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D:\Workspace\Production\Logistics-Dashboard\data\"/>
    </mc:Choice>
  </mc:AlternateContent>
  <xr:revisionPtr revIDLastSave="0" documentId="8_{3AC2E9E1-47DF-496E-870F-6D77538FFC6B}" xr6:coauthVersionLast="47" xr6:coauthVersionMax="47" xr10:uidLastSave="{00000000-0000-0000-0000-000000000000}"/>
  <bookViews>
    <workbookView xWindow="-165" yWindow="-165" windowWidth="29130" windowHeight="15810" tabRatio="777" activeTab="16" xr2:uid="{00000000-000D-0000-FFFF-FFFF00000000}"/>
  </bookViews>
  <sheets>
    <sheet name="Logistics record " sheetId="1" r:id="rId1"/>
    <sheet name="Debit Summary" sheetId="22" state="hidden" r:id="rId2"/>
    <sheet name="FedEx Export" sheetId="18" state="hidden" r:id="rId3"/>
    <sheet name="FedEx Import" sheetId="19" state="hidden" r:id="rId4"/>
    <sheet name="VVMV" sheetId="16" state="hidden" r:id="rId5"/>
    <sheet name="EI" sheetId="20" state="hidden" r:id="rId6"/>
    <sheet name="Dolphin" sheetId="21" state="hidden" r:id="rId7"/>
    <sheet name="DHL" sheetId="24" state="hidden" r:id="rId8"/>
    <sheet name="Import material detail" sheetId="4" r:id="rId9"/>
    <sheet name="EFI" sheetId="2" r:id="rId10"/>
    <sheet name="Lucid" sheetId="9" r:id="rId11"/>
    <sheet name="OEM" sheetId="13" r:id="rId12"/>
    <sheet name="PURE" sheetId="11" r:id="rId13"/>
    <sheet name="FORD" sheetId="23" r:id="rId14"/>
    <sheet name="Unigen MY Export" sheetId="14" r:id="rId15"/>
    <sheet name="FWD Detail" sheetId="5" r:id="rId16"/>
    <sheet name="According to Customer" sheetId="6" r:id="rId17"/>
  </sheets>
  <externalReferences>
    <externalReference r:id="rId18"/>
    <externalReference r:id="rId19"/>
    <externalReference r:id="rId20"/>
    <externalReference r:id="rId21"/>
    <externalReference r:id="rId22"/>
    <externalReference r:id="rId23"/>
    <externalReference r:id="rId24"/>
  </externalReferences>
  <definedNames>
    <definedName name="_xlnm._FilterDatabase" localSheetId="7" hidden="1">DHL!$A$2:$W$13</definedName>
    <definedName name="_xlnm._FilterDatabase" localSheetId="6" hidden="1">Dolphin!$A$17:$AC$23</definedName>
    <definedName name="_xlnm._FilterDatabase" localSheetId="9" hidden="1">EFI!$A$2:$L$56</definedName>
    <definedName name="_xlnm._FilterDatabase" localSheetId="5" hidden="1">EI!$A$12:$AW$31</definedName>
    <definedName name="_xlnm._FilterDatabase" localSheetId="2" hidden="1">'FedEx Export'!$A$2:$AA$10</definedName>
    <definedName name="_xlnm._FilterDatabase" localSheetId="3" hidden="1">'FedEx Import'!$A$1:$W$139</definedName>
    <definedName name="_xlnm._FilterDatabase" localSheetId="10" hidden="1">Lucid!$A$710:$M$883</definedName>
    <definedName name="_xlnm._FilterDatabase" localSheetId="12" hidden="1">PURE!$A$328:$M$453</definedName>
    <definedName name="_xlnm._FilterDatabase" localSheetId="4" hidden="1">VVMV!$A$3:$HO$609</definedName>
    <definedName name="_xlnm.Print_Area" localSheetId="6">Dolphin!$A$1:$Z$32</definedName>
    <definedName name="_xlnm.Print_Area" localSheetId="5">EI!$A$1:$AU$33</definedName>
    <definedName name="_xlnm.Print_Titles" localSheetId="4">VVMV!$1:$3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 i="1" l="1"/>
  <c r="Z3" i="1"/>
  <c r="B10" i="22"/>
  <c r="U19" i="22"/>
  <c r="T19" i="22"/>
  <c r="U18" i="22"/>
  <c r="T18" i="22"/>
  <c r="U17" i="22"/>
  <c r="T17" i="22"/>
  <c r="U16" i="22"/>
  <c r="T16" i="22"/>
  <c r="U15" i="22"/>
  <c r="T15" i="22"/>
  <c r="U14" i="22"/>
  <c r="T14" i="22"/>
  <c r="W13" i="22"/>
  <c r="V13" i="22"/>
  <c r="U13" i="22"/>
  <c r="T13" i="22"/>
  <c r="W11" i="22"/>
  <c r="V11" i="22"/>
  <c r="U11" i="22"/>
  <c r="T11" i="22"/>
  <c r="W10" i="22"/>
  <c r="W9" i="22"/>
  <c r="U9" i="4" s="1"/>
  <c r="W8" i="22"/>
  <c r="U8" i="4" s="1"/>
  <c r="S7" i="22"/>
  <c r="S20" i="22" s="1"/>
  <c r="S6" i="22"/>
  <c r="U6" i="4" s="1"/>
  <c r="S5" i="22"/>
  <c r="U5" i="4" s="1"/>
  <c r="W4" i="22"/>
  <c r="W20" i="22" s="1"/>
  <c r="V4" i="22"/>
  <c r="V20" i="22" s="1"/>
  <c r="U4" i="22"/>
  <c r="U20" i="22" s="1"/>
  <c r="T4" i="22"/>
  <c r="T20" i="22" s="1"/>
  <c r="V3" i="22"/>
  <c r="U3" i="22"/>
  <c r="T3" i="22"/>
  <c r="V2" i="22"/>
  <c r="U2" i="22"/>
  <c r="T2" i="22"/>
  <c r="C51" i="22"/>
  <c r="B51" i="22"/>
  <c r="C48" i="22"/>
  <c r="D47" i="22"/>
  <c r="C47" i="22"/>
  <c r="C45" i="22"/>
  <c r="B45" i="22"/>
  <c r="G44" i="22"/>
  <c r="A44" i="22"/>
  <c r="G43" i="22"/>
  <c r="D43" i="22"/>
  <c r="C43" i="22"/>
  <c r="A43" i="22"/>
  <c r="F41" i="22"/>
  <c r="F53" i="22" s="1"/>
  <c r="C41" i="22"/>
  <c r="A40" i="22"/>
  <c r="D39" i="22"/>
  <c r="C39" i="22"/>
  <c r="A39" i="22"/>
  <c r="C37" i="22"/>
  <c r="A36" i="22"/>
  <c r="D35" i="22"/>
  <c r="C35" i="22"/>
  <c r="C33" i="22"/>
  <c r="A31" i="22"/>
  <c r="D30" i="22"/>
  <c r="C30" i="22"/>
  <c r="A30" i="22"/>
  <c r="C28" i="22"/>
  <c r="C26" i="22"/>
  <c r="C24" i="22"/>
  <c r="A23" i="22"/>
  <c r="D22" i="22"/>
  <c r="C22" i="22"/>
  <c r="A22" i="22"/>
  <c r="C20" i="22"/>
  <c r="A19" i="22"/>
  <c r="C18" i="22"/>
  <c r="E16" i="22"/>
  <c r="E53" i="22" s="1"/>
  <c r="K15" i="22"/>
  <c r="C14" i="22"/>
  <c r="D13" i="22"/>
  <c r="C13" i="22"/>
  <c r="B13" i="22"/>
  <c r="A13" i="22"/>
  <c r="M12" i="22"/>
  <c r="M13" i="22" s="1"/>
  <c r="L12" i="22"/>
  <c r="D12" i="22"/>
  <c r="C12" i="22"/>
  <c r="B12" i="22"/>
  <c r="A12" i="22"/>
  <c r="M10" i="22"/>
  <c r="L10" i="22"/>
  <c r="K9" i="22"/>
  <c r="C9" i="22"/>
  <c r="P8" i="22"/>
  <c r="P14" i="22" s="1"/>
  <c r="P15" i="22" s="1"/>
  <c r="L8" i="22"/>
  <c r="L9" i="22" s="1"/>
  <c r="K8" i="22"/>
  <c r="K14" i="22" s="1"/>
  <c r="G8" i="22"/>
  <c r="D8" i="22"/>
  <c r="C8" i="22"/>
  <c r="A8" i="22"/>
  <c r="G7" i="22"/>
  <c r="D7" i="22"/>
  <c r="C7" i="22"/>
  <c r="A7" i="22"/>
  <c r="O6" i="22"/>
  <c r="O14" i="22" s="1"/>
  <c r="O15" i="22" s="1"/>
  <c r="N6" i="22"/>
  <c r="J6" i="22"/>
  <c r="D6" i="22"/>
  <c r="C6" i="22"/>
  <c r="BV82" i="5"/>
  <c r="BV84" i="5" s="1"/>
  <c r="AA13" i="1"/>
  <c r="Z13" i="1"/>
  <c r="U16" i="1"/>
  <c r="BA84" i="5"/>
  <c r="AZ84" i="5"/>
  <c r="AY84" i="5"/>
  <c r="AX84" i="5"/>
  <c r="AW84" i="5"/>
  <c r="AI84" i="5"/>
  <c r="AG84" i="5"/>
  <c r="AF84" i="5"/>
  <c r="AE84" i="5"/>
  <c r="Q84" i="5"/>
  <c r="P84" i="5"/>
  <c r="O84" i="5"/>
  <c r="N84" i="5"/>
  <c r="M84" i="5"/>
  <c r="L84" i="5"/>
  <c r="J84" i="5"/>
  <c r="I84" i="5"/>
  <c r="H84" i="5"/>
  <c r="G84" i="5"/>
  <c r="F84" i="5"/>
  <c r="E84" i="5"/>
  <c r="AK82" i="5"/>
  <c r="AK84" i="5" s="1"/>
  <c r="AH82" i="5"/>
  <c r="AH84" i="5" s="1"/>
  <c r="L71" i="23"/>
  <c r="K71" i="23"/>
  <c r="J71" i="23"/>
  <c r="I71" i="23"/>
  <c r="H71" i="23"/>
  <c r="G71" i="23"/>
  <c r="F71" i="23"/>
  <c r="E71" i="23"/>
  <c r="L37" i="23"/>
  <c r="L72" i="23" s="1"/>
  <c r="K37" i="23"/>
  <c r="K72" i="23" s="1"/>
  <c r="J37" i="23"/>
  <c r="J72" i="23" s="1"/>
  <c r="I37" i="23"/>
  <c r="I72" i="23" s="1"/>
  <c r="H37" i="23"/>
  <c r="H72" i="23" s="1"/>
  <c r="G37" i="23"/>
  <c r="G72" i="23" s="1"/>
  <c r="F37" i="23"/>
  <c r="F72" i="23" s="1"/>
  <c r="M70" i="23"/>
  <c r="M69" i="23"/>
  <c r="M68" i="23"/>
  <c r="M67" i="23"/>
  <c r="M66" i="23"/>
  <c r="M65" i="23"/>
  <c r="M64" i="23"/>
  <c r="M63" i="23"/>
  <c r="M62" i="23"/>
  <c r="M61" i="23"/>
  <c r="M60" i="23"/>
  <c r="M59" i="23"/>
  <c r="M58" i="23"/>
  <c r="M57" i="23"/>
  <c r="M56" i="23"/>
  <c r="M55" i="23"/>
  <c r="M54" i="23"/>
  <c r="M53" i="23"/>
  <c r="M52" i="23"/>
  <c r="M51" i="23"/>
  <c r="M50" i="23"/>
  <c r="M49" i="23"/>
  <c r="M48" i="23"/>
  <c r="M47" i="23"/>
  <c r="M46" i="23"/>
  <c r="M45" i="23"/>
  <c r="M44" i="23"/>
  <c r="M43" i="23"/>
  <c r="M42" i="23"/>
  <c r="M41" i="23"/>
  <c r="M40" i="23"/>
  <c r="M39" i="23"/>
  <c r="M38" i="23"/>
  <c r="M71" i="23" s="1"/>
  <c r="L1161" i="11"/>
  <c r="K1161" i="11"/>
  <c r="J1161" i="11"/>
  <c r="I1161" i="11"/>
  <c r="H1161" i="11"/>
  <c r="G1161" i="11"/>
  <c r="F1161" i="11"/>
  <c r="E1161" i="11"/>
  <c r="K871" i="11"/>
  <c r="J871" i="11"/>
  <c r="I871" i="11"/>
  <c r="H871" i="11"/>
  <c r="G871" i="11"/>
  <c r="F871" i="11"/>
  <c r="L701" i="11"/>
  <c r="K701" i="11"/>
  <c r="J701" i="11"/>
  <c r="I701" i="11"/>
  <c r="H701" i="11"/>
  <c r="G701" i="11"/>
  <c r="F701" i="11"/>
  <c r="L577" i="11"/>
  <c r="K577" i="11"/>
  <c r="J577" i="11"/>
  <c r="I577" i="11"/>
  <c r="H577" i="11"/>
  <c r="G577" i="11"/>
  <c r="F577" i="11"/>
  <c r="L454" i="11"/>
  <c r="K454" i="11"/>
  <c r="J454" i="11"/>
  <c r="I454" i="11"/>
  <c r="H454" i="11"/>
  <c r="G454" i="11"/>
  <c r="F454" i="11"/>
  <c r="L327" i="11"/>
  <c r="K327" i="11"/>
  <c r="J327" i="11"/>
  <c r="I327" i="11"/>
  <c r="H327" i="11"/>
  <c r="G327" i="11"/>
  <c r="F327" i="11"/>
  <c r="E327" i="11"/>
  <c r="L323" i="11"/>
  <c r="K323" i="11"/>
  <c r="J323" i="11"/>
  <c r="I323" i="11"/>
  <c r="H323" i="11"/>
  <c r="G323" i="11"/>
  <c r="F323" i="11"/>
  <c r="E323" i="11"/>
  <c r="L319" i="11"/>
  <c r="K319" i="11"/>
  <c r="J319" i="11"/>
  <c r="I319" i="11"/>
  <c r="H319" i="11"/>
  <c r="G319" i="11"/>
  <c r="F319" i="11"/>
  <c r="E319" i="11"/>
  <c r="L271" i="11"/>
  <c r="K271" i="11"/>
  <c r="J271" i="11"/>
  <c r="H271" i="11"/>
  <c r="G271" i="11"/>
  <c r="F271" i="11"/>
  <c r="E271" i="11"/>
  <c r="L260" i="11"/>
  <c r="K260" i="11"/>
  <c r="J260" i="11"/>
  <c r="H260" i="11"/>
  <c r="G260" i="11"/>
  <c r="F260" i="11"/>
  <c r="E260" i="11"/>
  <c r="L245" i="11"/>
  <c r="K245" i="11"/>
  <c r="K1162" i="11" s="1"/>
  <c r="J245" i="11"/>
  <c r="J1162" i="11" s="1"/>
  <c r="I245" i="11"/>
  <c r="H245" i="11"/>
  <c r="H1162" i="11" s="1"/>
  <c r="G245" i="11"/>
  <c r="G1162" i="11" s="1"/>
  <c r="F245" i="11"/>
  <c r="F1162" i="11" s="1"/>
  <c r="E245" i="11"/>
  <c r="M1160" i="11"/>
  <c r="M1159" i="11"/>
  <c r="M1158" i="11"/>
  <c r="M1157" i="11"/>
  <c r="M1156" i="11"/>
  <c r="M1155" i="11"/>
  <c r="M1154" i="11"/>
  <c r="M1153" i="11"/>
  <c r="M1152" i="11"/>
  <c r="M1151" i="11"/>
  <c r="M1150" i="11"/>
  <c r="M1149" i="11"/>
  <c r="M1148" i="11"/>
  <c r="M1147" i="11"/>
  <c r="M1146" i="11"/>
  <c r="M1145" i="11"/>
  <c r="M1144" i="11"/>
  <c r="M1143" i="11"/>
  <c r="M1142" i="11"/>
  <c r="M1141" i="11"/>
  <c r="M1140" i="11"/>
  <c r="M1139" i="11"/>
  <c r="M1138" i="11"/>
  <c r="M1137" i="11"/>
  <c r="M1136" i="11"/>
  <c r="M1135" i="11"/>
  <c r="M1134" i="11"/>
  <c r="M1133" i="11"/>
  <c r="M1132" i="11"/>
  <c r="M1131" i="11"/>
  <c r="M1130" i="11"/>
  <c r="M1129" i="11"/>
  <c r="M1128" i="11"/>
  <c r="M1127" i="11"/>
  <c r="M1126" i="11"/>
  <c r="M1125" i="11"/>
  <c r="M1124" i="11"/>
  <c r="M1123" i="11"/>
  <c r="M1122" i="11"/>
  <c r="M1121" i="11"/>
  <c r="M1120" i="11"/>
  <c r="M1119" i="11"/>
  <c r="M1118" i="11"/>
  <c r="M1117" i="11"/>
  <c r="M1116" i="11"/>
  <c r="M1115" i="11"/>
  <c r="M1114" i="11"/>
  <c r="M1113" i="11"/>
  <c r="M1112" i="11"/>
  <c r="M1111" i="11"/>
  <c r="M1110" i="11"/>
  <c r="M1109" i="11"/>
  <c r="M1108" i="11"/>
  <c r="M1107" i="11"/>
  <c r="M1106" i="11"/>
  <c r="M1105" i="11"/>
  <c r="M1104" i="11"/>
  <c r="M1103" i="11"/>
  <c r="M1102" i="11"/>
  <c r="M1101" i="11"/>
  <c r="M1100" i="11"/>
  <c r="M1099" i="11"/>
  <c r="M1098" i="11"/>
  <c r="M1097" i="11"/>
  <c r="M1096" i="11"/>
  <c r="M1095" i="11"/>
  <c r="M1094" i="11"/>
  <c r="M1093" i="11"/>
  <c r="M1092" i="11"/>
  <c r="M1091" i="11"/>
  <c r="M1090" i="11"/>
  <c r="M1089" i="11"/>
  <c r="M1088" i="11"/>
  <c r="M1087" i="11"/>
  <c r="M1086" i="11"/>
  <c r="M1085" i="11"/>
  <c r="M1084" i="11"/>
  <c r="M1083" i="11"/>
  <c r="M1082" i="11"/>
  <c r="M1081" i="11"/>
  <c r="M1080" i="11"/>
  <c r="M1079" i="11"/>
  <c r="M1078" i="11"/>
  <c r="M1077" i="11"/>
  <c r="M1076" i="11"/>
  <c r="M1075" i="11"/>
  <c r="M1074" i="11"/>
  <c r="M1073" i="11"/>
  <c r="M1072" i="11"/>
  <c r="M1071" i="11"/>
  <c r="M1070" i="11"/>
  <c r="M1069" i="11"/>
  <c r="M1068" i="11"/>
  <c r="M1067" i="11"/>
  <c r="M1066" i="11"/>
  <c r="M1065" i="11"/>
  <c r="M1064" i="11"/>
  <c r="M1063" i="11"/>
  <c r="M1062" i="11"/>
  <c r="M1061" i="11"/>
  <c r="M1060" i="11"/>
  <c r="M1059" i="11"/>
  <c r="M1058" i="11"/>
  <c r="M1057" i="11"/>
  <c r="M1056" i="11"/>
  <c r="M1055" i="11"/>
  <c r="M1054" i="11"/>
  <c r="M1053" i="11"/>
  <c r="M1052" i="11"/>
  <c r="M1051" i="11"/>
  <c r="M1050" i="11"/>
  <c r="M1049" i="11"/>
  <c r="M1048" i="11"/>
  <c r="M1047" i="11"/>
  <c r="M1046" i="11"/>
  <c r="M1045" i="11"/>
  <c r="M1044" i="11"/>
  <c r="M1043" i="11"/>
  <c r="M1042" i="11"/>
  <c r="M1041" i="11"/>
  <c r="M1040" i="11"/>
  <c r="M1039" i="11"/>
  <c r="M1038" i="11"/>
  <c r="M1037" i="11"/>
  <c r="M1036" i="11"/>
  <c r="M1035" i="11"/>
  <c r="M1034" i="11"/>
  <c r="M1033" i="11"/>
  <c r="M1032" i="11"/>
  <c r="M1031" i="11"/>
  <c r="M1030" i="11"/>
  <c r="M1029" i="11"/>
  <c r="M1028" i="11"/>
  <c r="M1027" i="11"/>
  <c r="M1026" i="11"/>
  <c r="M1025" i="11"/>
  <c r="M1024" i="11"/>
  <c r="M1023" i="11"/>
  <c r="M1022" i="11"/>
  <c r="M1021" i="11"/>
  <c r="M1020" i="11"/>
  <c r="M1019" i="11"/>
  <c r="M1018" i="11"/>
  <c r="M1017" i="11"/>
  <c r="M1016" i="11"/>
  <c r="M1015" i="11"/>
  <c r="M1014" i="11"/>
  <c r="M1013" i="11"/>
  <c r="M1012" i="11"/>
  <c r="M1011" i="11"/>
  <c r="M1010" i="11"/>
  <c r="M1009" i="11"/>
  <c r="M1008" i="11"/>
  <c r="M1007" i="11"/>
  <c r="M1006" i="11"/>
  <c r="M1005" i="11"/>
  <c r="M1004" i="11"/>
  <c r="M1003" i="11"/>
  <c r="M1002" i="11"/>
  <c r="M1001" i="11"/>
  <c r="M1000" i="11"/>
  <c r="M999" i="11"/>
  <c r="M998" i="11"/>
  <c r="M997" i="11"/>
  <c r="M996" i="11"/>
  <c r="M995" i="11"/>
  <c r="M994" i="11"/>
  <c r="M993" i="11"/>
  <c r="M992" i="11"/>
  <c r="M991" i="11"/>
  <c r="M990" i="11"/>
  <c r="M989" i="11"/>
  <c r="M988" i="11"/>
  <c r="M987" i="11"/>
  <c r="M986" i="11"/>
  <c r="M985" i="11"/>
  <c r="M984" i="11"/>
  <c r="M983" i="11"/>
  <c r="M982" i="11"/>
  <c r="M981" i="11"/>
  <c r="M980" i="11"/>
  <c r="M979" i="11"/>
  <c r="M978" i="11"/>
  <c r="M977" i="11"/>
  <c r="M976" i="11"/>
  <c r="M975" i="11"/>
  <c r="M974" i="11"/>
  <c r="M973" i="11"/>
  <c r="M972" i="11"/>
  <c r="M971" i="11"/>
  <c r="M970" i="11"/>
  <c r="M969" i="11"/>
  <c r="M968" i="11"/>
  <c r="M967" i="11"/>
  <c r="M966" i="11"/>
  <c r="M965" i="11"/>
  <c r="M964" i="11"/>
  <c r="M963" i="11"/>
  <c r="M962" i="11"/>
  <c r="M961" i="11"/>
  <c r="M960" i="11"/>
  <c r="M959" i="11"/>
  <c r="M958" i="11"/>
  <c r="M957" i="11"/>
  <c r="M956" i="11"/>
  <c r="M955" i="11"/>
  <c r="M954" i="11"/>
  <c r="M953" i="11"/>
  <c r="M952" i="11"/>
  <c r="M951" i="11"/>
  <c r="M950" i="11"/>
  <c r="M949" i="11"/>
  <c r="M948" i="11"/>
  <c r="M947" i="11"/>
  <c r="M946" i="11"/>
  <c r="M945" i="11"/>
  <c r="M944" i="11"/>
  <c r="M943" i="11"/>
  <c r="M942" i="11"/>
  <c r="M941" i="11"/>
  <c r="M940" i="11"/>
  <c r="M939" i="11"/>
  <c r="M938" i="11"/>
  <c r="M937" i="11"/>
  <c r="M936" i="11"/>
  <c r="M935" i="11"/>
  <c r="M934" i="11"/>
  <c r="M933" i="11"/>
  <c r="M932" i="11"/>
  <c r="M931" i="11"/>
  <c r="M930" i="11"/>
  <c r="M929" i="11"/>
  <c r="M928" i="11"/>
  <c r="M927" i="11"/>
  <c r="M926" i="11"/>
  <c r="M925" i="11"/>
  <c r="M924" i="11"/>
  <c r="M923" i="11"/>
  <c r="M922" i="11"/>
  <c r="M921" i="11"/>
  <c r="M920" i="11"/>
  <c r="M919" i="11"/>
  <c r="M918" i="11"/>
  <c r="M917" i="11"/>
  <c r="M916" i="11"/>
  <c r="M915" i="11"/>
  <c r="M914" i="11"/>
  <c r="M913" i="11"/>
  <c r="M912" i="11"/>
  <c r="M911" i="11"/>
  <c r="M910" i="11"/>
  <c r="M909" i="11"/>
  <c r="M908" i="11"/>
  <c r="M907" i="11"/>
  <c r="M906" i="11"/>
  <c r="M905" i="11"/>
  <c r="M904" i="11"/>
  <c r="M903" i="11"/>
  <c r="M902" i="11"/>
  <c r="M901" i="11"/>
  <c r="M900" i="11"/>
  <c r="M899" i="11"/>
  <c r="M898" i="11"/>
  <c r="M897" i="11"/>
  <c r="M896" i="11"/>
  <c r="M895" i="11"/>
  <c r="M894" i="11"/>
  <c r="M893" i="11"/>
  <c r="M892" i="11"/>
  <c r="M891" i="11"/>
  <c r="M890" i="11"/>
  <c r="M889" i="11"/>
  <c r="M888" i="11"/>
  <c r="M887" i="11"/>
  <c r="M886" i="11"/>
  <c r="M885" i="11"/>
  <c r="M884" i="11"/>
  <c r="M883" i="11"/>
  <c r="M882" i="11"/>
  <c r="M881" i="11"/>
  <c r="M880" i="11"/>
  <c r="M879" i="11"/>
  <c r="M878" i="11"/>
  <c r="M877" i="11"/>
  <c r="M876" i="11"/>
  <c r="M875" i="11"/>
  <c r="M874" i="11"/>
  <c r="M873" i="11"/>
  <c r="M872" i="11"/>
  <c r="L260" i="13"/>
  <c r="K260" i="13"/>
  <c r="J260" i="13"/>
  <c r="I260" i="13"/>
  <c r="H260" i="13"/>
  <c r="G260" i="13"/>
  <c r="F260" i="13"/>
  <c r="E260" i="13"/>
  <c r="L195" i="13"/>
  <c r="K195" i="13"/>
  <c r="J195" i="13"/>
  <c r="I195" i="13"/>
  <c r="H195" i="13"/>
  <c r="G195" i="13"/>
  <c r="F195" i="13"/>
  <c r="L171" i="13"/>
  <c r="K171" i="13"/>
  <c r="J171" i="13"/>
  <c r="I171" i="13"/>
  <c r="H171" i="13"/>
  <c r="G171" i="13"/>
  <c r="F171" i="13"/>
  <c r="E171" i="13"/>
  <c r="L146" i="13"/>
  <c r="K146" i="13"/>
  <c r="J146" i="13"/>
  <c r="I146" i="13"/>
  <c r="H146" i="13"/>
  <c r="G146" i="13"/>
  <c r="F146" i="13"/>
  <c r="E146" i="13"/>
  <c r="L128" i="13"/>
  <c r="K128" i="13"/>
  <c r="J128" i="13"/>
  <c r="I128" i="13"/>
  <c r="H128" i="13"/>
  <c r="G128" i="13"/>
  <c r="F128" i="13"/>
  <c r="K117" i="13"/>
  <c r="J117" i="13"/>
  <c r="I117" i="13"/>
  <c r="H117" i="13"/>
  <c r="G117" i="13"/>
  <c r="F117" i="13"/>
  <c r="E117" i="13"/>
  <c r="L114" i="13"/>
  <c r="K114" i="13"/>
  <c r="J114" i="13"/>
  <c r="I114" i="13"/>
  <c r="H114" i="13"/>
  <c r="G114" i="13"/>
  <c r="F114" i="13"/>
  <c r="E114" i="13"/>
  <c r="L110" i="13"/>
  <c r="K110" i="13"/>
  <c r="J110" i="13"/>
  <c r="I110" i="13"/>
  <c r="H110" i="13"/>
  <c r="G110" i="13"/>
  <c r="F110" i="13"/>
  <c r="E110" i="13"/>
  <c r="M93" i="13"/>
  <c r="L93" i="13"/>
  <c r="K93" i="13"/>
  <c r="K261" i="13" s="1"/>
  <c r="J93" i="13"/>
  <c r="J261" i="13" s="1"/>
  <c r="I93" i="13"/>
  <c r="I261" i="13" s="1"/>
  <c r="H93" i="13"/>
  <c r="H261" i="13" s="1"/>
  <c r="G93" i="13"/>
  <c r="G261" i="13" s="1"/>
  <c r="F93" i="13"/>
  <c r="F261" i="13" s="1"/>
  <c r="E93" i="13"/>
  <c r="M259" i="13"/>
  <c r="M258" i="13"/>
  <c r="M257" i="13"/>
  <c r="M256" i="13"/>
  <c r="M255" i="13"/>
  <c r="M254" i="13"/>
  <c r="M253" i="13"/>
  <c r="M252" i="13"/>
  <c r="M251" i="13"/>
  <c r="M250" i="13"/>
  <c r="M249" i="13"/>
  <c r="M248" i="13"/>
  <c r="M247" i="13"/>
  <c r="M246" i="13"/>
  <c r="M245" i="13"/>
  <c r="M244" i="13"/>
  <c r="M243" i="13"/>
  <c r="M242" i="13"/>
  <c r="M241" i="13"/>
  <c r="M240" i="13"/>
  <c r="M239" i="13"/>
  <c r="M238" i="13"/>
  <c r="M237" i="13"/>
  <c r="M236" i="13"/>
  <c r="M235" i="13"/>
  <c r="M234" i="13"/>
  <c r="M233" i="13"/>
  <c r="M232" i="13"/>
  <c r="M231" i="13"/>
  <c r="M230" i="13"/>
  <c r="M229" i="13"/>
  <c r="M228" i="13"/>
  <c r="M227" i="13"/>
  <c r="M226" i="13"/>
  <c r="M225" i="13"/>
  <c r="M224" i="13"/>
  <c r="M223" i="13"/>
  <c r="M222" i="13"/>
  <c r="M221" i="13"/>
  <c r="M220" i="13"/>
  <c r="M219" i="13"/>
  <c r="M218" i="13"/>
  <c r="M217" i="13"/>
  <c r="M216" i="13"/>
  <c r="M215" i="13"/>
  <c r="M214" i="13"/>
  <c r="M213" i="13"/>
  <c r="M212" i="13"/>
  <c r="M211" i="13"/>
  <c r="M210" i="13"/>
  <c r="M209" i="13"/>
  <c r="M208" i="13"/>
  <c r="M207" i="13"/>
  <c r="M206" i="13"/>
  <c r="M205" i="13"/>
  <c r="M204" i="13"/>
  <c r="M203" i="13"/>
  <c r="M202" i="13"/>
  <c r="M201" i="13"/>
  <c r="M200" i="13"/>
  <c r="M199" i="13"/>
  <c r="M198" i="13"/>
  <c r="M197" i="13"/>
  <c r="M196" i="13"/>
  <c r="M260" i="13" s="1"/>
  <c r="L1329" i="9"/>
  <c r="K1329" i="9"/>
  <c r="J1329" i="9"/>
  <c r="I1329" i="9"/>
  <c r="H1329" i="9"/>
  <c r="G1329" i="9"/>
  <c r="F1329" i="9"/>
  <c r="E1329" i="9"/>
  <c r="L1241" i="9"/>
  <c r="K1241" i="9"/>
  <c r="J1241" i="9"/>
  <c r="I1241" i="9"/>
  <c r="H1241" i="9"/>
  <c r="G1241" i="9"/>
  <c r="F1241" i="9"/>
  <c r="L1156" i="9"/>
  <c r="K1156" i="9"/>
  <c r="J1156" i="9"/>
  <c r="I1156" i="9"/>
  <c r="H1156" i="9"/>
  <c r="G1156" i="9"/>
  <c r="F1156" i="9"/>
  <c r="L1048" i="9"/>
  <c r="J1048" i="9"/>
  <c r="I1048" i="9"/>
  <c r="H1048" i="9"/>
  <c r="G1048" i="9"/>
  <c r="F1048" i="9"/>
  <c r="L884" i="9"/>
  <c r="K884" i="9"/>
  <c r="J884" i="9"/>
  <c r="I884" i="9"/>
  <c r="H884" i="9"/>
  <c r="G884" i="9"/>
  <c r="F884" i="9"/>
  <c r="L709" i="9"/>
  <c r="K709" i="9"/>
  <c r="J709" i="9"/>
  <c r="I709" i="9"/>
  <c r="H709" i="9"/>
  <c r="G709" i="9"/>
  <c r="F709" i="9"/>
  <c r="E709" i="9"/>
  <c r="L704" i="9"/>
  <c r="K704" i="9"/>
  <c r="J704" i="9"/>
  <c r="I704" i="9"/>
  <c r="H704" i="9"/>
  <c r="G704" i="9"/>
  <c r="F704" i="9"/>
  <c r="E704" i="9"/>
  <c r="L699" i="9"/>
  <c r="K699" i="9"/>
  <c r="J699" i="9"/>
  <c r="I699" i="9"/>
  <c r="H699" i="9"/>
  <c r="G699" i="9"/>
  <c r="F699" i="9"/>
  <c r="E699" i="9"/>
  <c r="M606" i="9"/>
  <c r="L606" i="9"/>
  <c r="K606" i="9"/>
  <c r="J606" i="9"/>
  <c r="I606" i="9"/>
  <c r="H606" i="9"/>
  <c r="G606" i="9"/>
  <c r="F606" i="9"/>
  <c r="E606" i="9"/>
  <c r="M545" i="9"/>
  <c r="L545" i="9"/>
  <c r="K545" i="9"/>
  <c r="J545" i="9"/>
  <c r="I545" i="9"/>
  <c r="H545" i="9"/>
  <c r="G545" i="9"/>
  <c r="F545" i="9"/>
  <c r="E545" i="9"/>
  <c r="M488" i="9"/>
  <c r="L488" i="9"/>
  <c r="K488" i="9"/>
  <c r="J488" i="9"/>
  <c r="I488" i="9"/>
  <c r="H488" i="9"/>
  <c r="G488" i="9"/>
  <c r="F488" i="9"/>
  <c r="E488" i="9"/>
  <c r="M443" i="9"/>
  <c r="L443" i="9"/>
  <c r="L1330" i="9" s="1"/>
  <c r="K443" i="9"/>
  <c r="J443" i="9"/>
  <c r="J1330" i="9" s="1"/>
  <c r="I443" i="9"/>
  <c r="I1330" i="9" s="1"/>
  <c r="H443" i="9"/>
  <c r="H1330" i="9" s="1"/>
  <c r="G443" i="9"/>
  <c r="G1330" i="9" s="1"/>
  <c r="F443" i="9"/>
  <c r="F1330" i="9" s="1"/>
  <c r="E443" i="9"/>
  <c r="M1328" i="9"/>
  <c r="M1327" i="9"/>
  <c r="M1326" i="9"/>
  <c r="M1325" i="9"/>
  <c r="M1324" i="9"/>
  <c r="M1323" i="9"/>
  <c r="M1322" i="9"/>
  <c r="M1321" i="9"/>
  <c r="M1320" i="9"/>
  <c r="M1319" i="9"/>
  <c r="M1318" i="9"/>
  <c r="M1317" i="9"/>
  <c r="M1316" i="9"/>
  <c r="M1315" i="9"/>
  <c r="M1314" i="9"/>
  <c r="M1313" i="9"/>
  <c r="M1312" i="9"/>
  <c r="M1311" i="9"/>
  <c r="M1310" i="9"/>
  <c r="M1309" i="9"/>
  <c r="M1308" i="9"/>
  <c r="M1307" i="9"/>
  <c r="M1306" i="9"/>
  <c r="M1305" i="9"/>
  <c r="M1304" i="9"/>
  <c r="M1303" i="9"/>
  <c r="M1302" i="9"/>
  <c r="M1301" i="9"/>
  <c r="M1300" i="9"/>
  <c r="M1299" i="9"/>
  <c r="M1298" i="9"/>
  <c r="M1297" i="9"/>
  <c r="M1296" i="9"/>
  <c r="M1295" i="9"/>
  <c r="M1294" i="9"/>
  <c r="M1293" i="9"/>
  <c r="M1292" i="9"/>
  <c r="M1291" i="9"/>
  <c r="M1290" i="9"/>
  <c r="M1289" i="9"/>
  <c r="M1288" i="9"/>
  <c r="M1287" i="9"/>
  <c r="M1286" i="9"/>
  <c r="M1285" i="9"/>
  <c r="M1284" i="9"/>
  <c r="M1283" i="9"/>
  <c r="M1282" i="9"/>
  <c r="M1281" i="9"/>
  <c r="M1280" i="9"/>
  <c r="M1279" i="9"/>
  <c r="M1278" i="9"/>
  <c r="M1277" i="9"/>
  <c r="M1276" i="9"/>
  <c r="M1275" i="9"/>
  <c r="M1274" i="9"/>
  <c r="M1273" i="9"/>
  <c r="M1272" i="9"/>
  <c r="M1271" i="9"/>
  <c r="M1270" i="9"/>
  <c r="M1269" i="9"/>
  <c r="M1268" i="9"/>
  <c r="M1267" i="9"/>
  <c r="M1266" i="9"/>
  <c r="M1265" i="9"/>
  <c r="M1264" i="9"/>
  <c r="M1263" i="9"/>
  <c r="M1262" i="9"/>
  <c r="M1261" i="9"/>
  <c r="M1260" i="9"/>
  <c r="M1259" i="9"/>
  <c r="M1258" i="9"/>
  <c r="M1257" i="9"/>
  <c r="M1256" i="9"/>
  <c r="M1255" i="9"/>
  <c r="M1254" i="9"/>
  <c r="M1253" i="9"/>
  <c r="M1252" i="9"/>
  <c r="M1251" i="9"/>
  <c r="M1250" i="9"/>
  <c r="M1249" i="9"/>
  <c r="M1248" i="9"/>
  <c r="M1247" i="9"/>
  <c r="M1246" i="9"/>
  <c r="M1245" i="9"/>
  <c r="M1244" i="9"/>
  <c r="M1243" i="9"/>
  <c r="M1242" i="9"/>
  <c r="M1329" i="9" s="1"/>
  <c r="L438" i="2"/>
  <c r="K438" i="2"/>
  <c r="J438" i="2"/>
  <c r="I438" i="2"/>
  <c r="H438" i="2"/>
  <c r="G438" i="2"/>
  <c r="F438" i="2"/>
  <c r="E438" i="2"/>
  <c r="L366" i="2"/>
  <c r="K366" i="2"/>
  <c r="J366" i="2"/>
  <c r="I366" i="2"/>
  <c r="H366" i="2"/>
  <c r="G366" i="2"/>
  <c r="F366" i="2"/>
  <c r="L320" i="2"/>
  <c r="K320" i="2"/>
  <c r="J320" i="2"/>
  <c r="I320" i="2"/>
  <c r="H320" i="2"/>
  <c r="G320" i="2"/>
  <c r="F320" i="2"/>
  <c r="L280" i="2"/>
  <c r="K280" i="2"/>
  <c r="J280" i="2"/>
  <c r="H280" i="2"/>
  <c r="G280" i="2"/>
  <c r="F280" i="2"/>
  <c r="L215" i="2"/>
  <c r="K215" i="2"/>
  <c r="J215" i="2"/>
  <c r="I215" i="2"/>
  <c r="H215" i="2"/>
  <c r="G215" i="2"/>
  <c r="F215" i="2"/>
  <c r="E215" i="2"/>
  <c r="L177" i="2"/>
  <c r="K177" i="2"/>
  <c r="J177" i="2"/>
  <c r="H177" i="2"/>
  <c r="G177" i="2"/>
  <c r="F177" i="2"/>
  <c r="E177" i="2"/>
  <c r="L157" i="2"/>
  <c r="K157" i="2"/>
  <c r="J157" i="2"/>
  <c r="I157" i="2"/>
  <c r="H157" i="2"/>
  <c r="G157" i="2"/>
  <c r="F157" i="2"/>
  <c r="E157" i="2"/>
  <c r="L142" i="2"/>
  <c r="K142" i="2"/>
  <c r="J142" i="2"/>
  <c r="I142" i="2"/>
  <c r="G142" i="2"/>
  <c r="F142" i="2"/>
  <c r="E142" i="2"/>
  <c r="L135" i="2"/>
  <c r="K135" i="2"/>
  <c r="J135" i="2"/>
  <c r="G135" i="2"/>
  <c r="F135" i="2"/>
  <c r="E135" i="2"/>
  <c r="L133" i="2"/>
  <c r="K133" i="2"/>
  <c r="J133" i="2"/>
  <c r="I133" i="2"/>
  <c r="G133" i="2"/>
  <c r="F133" i="2"/>
  <c r="E133" i="2"/>
  <c r="L130" i="2"/>
  <c r="J130" i="2"/>
  <c r="F130" i="2"/>
  <c r="E130" i="2"/>
  <c r="L125" i="2"/>
  <c r="J125" i="2"/>
  <c r="F125" i="2"/>
  <c r="E125" i="2"/>
  <c r="L120" i="2"/>
  <c r="J120" i="2"/>
  <c r="F120" i="2"/>
  <c r="E120" i="2"/>
  <c r="L115" i="2"/>
  <c r="J115" i="2"/>
  <c r="F115" i="2"/>
  <c r="E115" i="2"/>
  <c r="L111" i="2"/>
  <c r="K111" i="2"/>
  <c r="J111" i="2"/>
  <c r="H111" i="2"/>
  <c r="F111" i="2"/>
  <c r="E111" i="2"/>
  <c r="L107" i="2"/>
  <c r="K107" i="2"/>
  <c r="J107" i="2"/>
  <c r="I107" i="2"/>
  <c r="H107" i="2"/>
  <c r="G107" i="2"/>
  <c r="F107" i="2"/>
  <c r="E107" i="2"/>
  <c r="L103" i="2"/>
  <c r="J103" i="2"/>
  <c r="H103" i="2"/>
  <c r="F103" i="2"/>
  <c r="E103" i="2"/>
  <c r="L99" i="2"/>
  <c r="L439" i="2" s="1"/>
  <c r="H99" i="2"/>
  <c r="F99" i="2"/>
  <c r="F439" i="2" s="1"/>
  <c r="E99" i="2"/>
  <c r="L33" i="14"/>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438" i="2" s="1"/>
  <c r="L34" i="14"/>
  <c r="K34" i="14"/>
  <c r="J34" i="14"/>
  <c r="I34" i="14"/>
  <c r="H34" i="14"/>
  <c r="G34" i="14"/>
  <c r="F34" i="14"/>
  <c r="E34" i="14"/>
  <c r="K32" i="14"/>
  <c r="J32" i="14"/>
  <c r="I32" i="14"/>
  <c r="H32" i="14"/>
  <c r="G32" i="14"/>
  <c r="F32" i="14"/>
  <c r="K30" i="14"/>
  <c r="J30" i="14"/>
  <c r="I30" i="14"/>
  <c r="H30" i="14"/>
  <c r="G30" i="14"/>
  <c r="F30" i="14"/>
  <c r="K26" i="14"/>
  <c r="J26" i="14"/>
  <c r="I26" i="14"/>
  <c r="H26" i="14"/>
  <c r="G26" i="14"/>
  <c r="F26" i="14"/>
  <c r="K23" i="14"/>
  <c r="J23" i="14"/>
  <c r="I23" i="14"/>
  <c r="H23" i="14"/>
  <c r="G23" i="14"/>
  <c r="F23" i="14"/>
  <c r="K17" i="14"/>
  <c r="J17" i="14"/>
  <c r="I17" i="14"/>
  <c r="H17" i="14"/>
  <c r="G17" i="14"/>
  <c r="F17" i="14"/>
  <c r="J5" i="14"/>
  <c r="J35" i="14" s="1"/>
  <c r="H5" i="14"/>
  <c r="H35" i="14" s="1"/>
  <c r="F5" i="14"/>
  <c r="F35" i="14" s="1"/>
  <c r="D33" i="14"/>
  <c r="H221" i="11"/>
  <c r="G221" i="11"/>
  <c r="F221" i="11"/>
  <c r="E221" i="11"/>
  <c r="H212" i="11"/>
  <c r="G212" i="11"/>
  <c r="F212" i="11"/>
  <c r="H193" i="11"/>
  <c r="G193" i="11"/>
  <c r="F193" i="11"/>
  <c r="H180" i="11"/>
  <c r="G180" i="11"/>
  <c r="F180" i="11"/>
  <c r="H159" i="11"/>
  <c r="G159" i="11"/>
  <c r="F159" i="11"/>
  <c r="H143" i="11"/>
  <c r="G143" i="11"/>
  <c r="F143" i="11"/>
  <c r="H127" i="11"/>
  <c r="G127" i="11"/>
  <c r="F127" i="11"/>
  <c r="H106" i="11"/>
  <c r="G106" i="11"/>
  <c r="F106" i="11"/>
  <c r="E106" i="11"/>
  <c r="H86" i="11"/>
  <c r="G86" i="11"/>
  <c r="F86" i="11"/>
  <c r="E86" i="11"/>
  <c r="H67" i="11"/>
  <c r="G67" i="11"/>
  <c r="F67" i="11"/>
  <c r="E67" i="11"/>
  <c r="H29" i="11"/>
  <c r="H222" i="11" s="1"/>
  <c r="G29" i="11"/>
  <c r="G222" i="11" s="1"/>
  <c r="F29" i="11"/>
  <c r="F222" i="11" s="1"/>
  <c r="E29" i="11"/>
  <c r="I220" i="11"/>
  <c r="I219" i="11"/>
  <c r="I218" i="11"/>
  <c r="I217" i="11"/>
  <c r="I216" i="11"/>
  <c r="I215" i="11"/>
  <c r="I214" i="11"/>
  <c r="I213" i="11"/>
  <c r="I221" i="11" s="1"/>
  <c r="H75" i="13"/>
  <c r="G75" i="13"/>
  <c r="F75" i="13"/>
  <c r="E75" i="13"/>
  <c r="H72" i="13"/>
  <c r="G72" i="13"/>
  <c r="F72" i="13"/>
  <c r="H66" i="13"/>
  <c r="G66" i="13"/>
  <c r="F66" i="13"/>
  <c r="E66" i="13"/>
  <c r="H61" i="13"/>
  <c r="G61" i="13"/>
  <c r="F61" i="13"/>
  <c r="E61" i="13"/>
  <c r="H55" i="13"/>
  <c r="G55" i="13"/>
  <c r="F55" i="13"/>
  <c r="E55" i="13"/>
  <c r="H51" i="13"/>
  <c r="G51" i="13"/>
  <c r="F51" i="13"/>
  <c r="H47" i="13"/>
  <c r="G47" i="13"/>
  <c r="F47" i="13"/>
  <c r="H31" i="13"/>
  <c r="H76" i="13" s="1"/>
  <c r="G31" i="13"/>
  <c r="G76" i="13" s="1"/>
  <c r="F31" i="13"/>
  <c r="F76" i="13" s="1"/>
  <c r="I74" i="13"/>
  <c r="I73" i="13"/>
  <c r="I75" i="13" s="1"/>
  <c r="H406" i="9"/>
  <c r="G406" i="9"/>
  <c r="F406" i="9"/>
  <c r="E406" i="9"/>
  <c r="H391" i="9"/>
  <c r="G391" i="9"/>
  <c r="F391" i="9"/>
  <c r="H373" i="9"/>
  <c r="G373" i="9"/>
  <c r="F373" i="9"/>
  <c r="H350" i="9"/>
  <c r="G350" i="9"/>
  <c r="F350" i="9"/>
  <c r="H314" i="9"/>
  <c r="G314" i="9"/>
  <c r="F314" i="9"/>
  <c r="H281" i="9"/>
  <c r="G281" i="9"/>
  <c r="F281" i="9"/>
  <c r="H245" i="9"/>
  <c r="G245" i="9"/>
  <c r="F245" i="9"/>
  <c r="H195" i="9"/>
  <c r="G195" i="9"/>
  <c r="F195" i="9"/>
  <c r="E195" i="9"/>
  <c r="H120" i="9"/>
  <c r="G120" i="9"/>
  <c r="F120" i="9"/>
  <c r="E120" i="9"/>
  <c r="H79" i="9"/>
  <c r="G79" i="9"/>
  <c r="F79" i="9"/>
  <c r="E79" i="9"/>
  <c r="H30" i="9"/>
  <c r="G30" i="9"/>
  <c r="F30" i="9"/>
  <c r="E30" i="9"/>
  <c r="H15" i="9"/>
  <c r="H407" i="9" s="1"/>
  <c r="G15" i="9"/>
  <c r="G407" i="9" s="1"/>
  <c r="E15" i="9"/>
  <c r="I405" i="9"/>
  <c r="I404" i="9"/>
  <c r="I403" i="9"/>
  <c r="I402" i="9"/>
  <c r="I401" i="9"/>
  <c r="I400" i="9"/>
  <c r="I399" i="9"/>
  <c r="I398" i="9"/>
  <c r="I397" i="9"/>
  <c r="I396" i="9"/>
  <c r="I395" i="9"/>
  <c r="I394" i="9"/>
  <c r="I393" i="9"/>
  <c r="I392" i="9"/>
  <c r="I406" i="9" s="1"/>
  <c r="H91" i="2"/>
  <c r="G91" i="2"/>
  <c r="F91" i="2"/>
  <c r="E91" i="2"/>
  <c r="H84" i="2"/>
  <c r="G84" i="2"/>
  <c r="F84" i="2"/>
  <c r="H82" i="2"/>
  <c r="G82" i="2"/>
  <c r="F82" i="2"/>
  <c r="H79" i="2"/>
  <c r="G79" i="2"/>
  <c r="F79" i="2"/>
  <c r="H76" i="2"/>
  <c r="G76" i="2"/>
  <c r="F76" i="2"/>
  <c r="H67" i="2"/>
  <c r="G67" i="2"/>
  <c r="F67" i="2"/>
  <c r="H57" i="2"/>
  <c r="G57" i="2"/>
  <c r="F57" i="2"/>
  <c r="E57" i="2"/>
  <c r="H52" i="2"/>
  <c r="F52" i="2"/>
  <c r="E52" i="2"/>
  <c r="H49" i="2"/>
  <c r="F49" i="2"/>
  <c r="E49" i="2"/>
  <c r="H47" i="2"/>
  <c r="F47" i="2"/>
  <c r="E47" i="2"/>
  <c r="H41" i="2"/>
  <c r="E41" i="2"/>
  <c r="F35" i="2"/>
  <c r="E35" i="2"/>
  <c r="H28" i="2"/>
  <c r="G28" i="2"/>
  <c r="F28" i="2"/>
  <c r="E28" i="2"/>
  <c r="H21" i="2"/>
  <c r="G21" i="2"/>
  <c r="F21" i="2"/>
  <c r="E21" i="2"/>
  <c r="H13" i="2"/>
  <c r="G13" i="2"/>
  <c r="F13" i="2"/>
  <c r="E13" i="2"/>
  <c r="H10" i="2"/>
  <c r="G10" i="2"/>
  <c r="F10" i="2"/>
  <c r="E10" i="2"/>
  <c r="I90" i="2"/>
  <c r="I89" i="2"/>
  <c r="I88" i="2"/>
  <c r="I87" i="2"/>
  <c r="I86" i="2"/>
  <c r="I85" i="2"/>
  <c r="I91" i="2" s="1"/>
  <c r="AV13" i="20"/>
  <c r="BC13" i="20"/>
  <c r="AZ13" i="20"/>
  <c r="AQ11" i="6"/>
  <c r="BV71" i="5"/>
  <c r="U27" i="1"/>
  <c r="U10" i="1"/>
  <c r="U26" i="1"/>
  <c r="U19" i="1"/>
  <c r="U23" i="1"/>
  <c r="U31" i="1"/>
  <c r="U36" i="1"/>
  <c r="U40" i="1"/>
  <c r="U44" i="1"/>
  <c r="U10" i="24"/>
  <c r="V10" i="24" s="1"/>
  <c r="W10" i="24" s="1"/>
  <c r="U11" i="24"/>
  <c r="V11" i="24" s="1"/>
  <c r="W11" i="24" s="1"/>
  <c r="U12" i="24"/>
  <c r="V12" i="24" s="1"/>
  <c r="W12" i="24" s="1"/>
  <c r="U13" i="24"/>
  <c r="V13" i="24" s="1"/>
  <c r="W13" i="24" s="1"/>
  <c r="U9" i="24"/>
  <c r="V9" i="24" s="1"/>
  <c r="W9" i="24" s="1"/>
  <c r="U8" i="24"/>
  <c r="V8" i="24" s="1"/>
  <c r="W8" i="24" s="1"/>
  <c r="U7" i="24"/>
  <c r="V7" i="24" s="1"/>
  <c r="W7" i="24" s="1"/>
  <c r="U6" i="24"/>
  <c r="V6" i="24" s="1"/>
  <c r="U5" i="24"/>
  <c r="V5" i="24" s="1"/>
  <c r="U4" i="24"/>
  <c r="V4" i="24" s="1"/>
  <c r="U3" i="24"/>
  <c r="V3" i="24" s="1"/>
  <c r="AA20" i="21" a="1"/>
  <c r="AA19" i="21" a="1"/>
  <c r="AA18" i="21" a="1"/>
  <c r="H475" i="16"/>
  <c r="H474" i="16"/>
  <c r="H473" i="16"/>
  <c r="H472" i="16"/>
  <c r="H471" i="16"/>
  <c r="H470" i="16"/>
  <c r="H469" i="16"/>
  <c r="H468" i="16"/>
  <c r="H467" i="16"/>
  <c r="H466" i="16"/>
  <c r="H465" i="16"/>
  <c r="H464" i="16"/>
  <c r="H463" i="16"/>
  <c r="H462" i="16"/>
  <c r="H446" i="16"/>
  <c r="H445" i="16"/>
  <c r="H444" i="16"/>
  <c r="H443" i="16"/>
  <c r="H442" i="16"/>
  <c r="H441" i="16"/>
  <c r="H440" i="16"/>
  <c r="H439" i="16"/>
  <c r="H372" i="16"/>
  <c r="H370" i="16"/>
  <c r="H369" i="16"/>
  <c r="H367" i="16"/>
  <c r="H366" i="16"/>
  <c r="H365" i="16"/>
  <c r="H364" i="16"/>
  <c r="H363" i="16"/>
  <c r="H362" i="16"/>
  <c r="H361" i="16"/>
  <c r="H360" i="16"/>
  <c r="H359" i="16"/>
  <c r="H358" i="16"/>
  <c r="H357" i="16"/>
  <c r="H356" i="16"/>
  <c r="H355" i="16"/>
  <c r="H354" i="16"/>
  <c r="H353" i="16"/>
  <c r="H352" i="16"/>
  <c r="H351" i="16"/>
  <c r="H350" i="16"/>
  <c r="H349" i="16"/>
  <c r="H348" i="16"/>
  <c r="H347" i="16"/>
  <c r="H346" i="16"/>
  <c r="H345" i="16"/>
  <c r="H344" i="16"/>
  <c r="H343" i="16"/>
  <c r="H342" i="16"/>
  <c r="H341" i="16"/>
  <c r="H340" i="16"/>
  <c r="H339" i="16"/>
  <c r="H338" i="16"/>
  <c r="H337" i="16"/>
  <c r="H336" i="16"/>
  <c r="H335" i="16"/>
  <c r="H334" i="16"/>
  <c r="H333" i="16"/>
  <c r="H332" i="16"/>
  <c r="H331" i="16"/>
  <c r="H330" i="16"/>
  <c r="H329" i="16"/>
  <c r="H328" i="16"/>
  <c r="H327" i="16"/>
  <c r="H326" i="16"/>
  <c r="H325" i="16"/>
  <c r="H324" i="16"/>
  <c r="H310" i="16"/>
  <c r="H309" i="16"/>
  <c r="H308" i="16"/>
  <c r="H307" i="16"/>
  <c r="H306" i="16"/>
  <c r="H305" i="16"/>
  <c r="H304" i="16"/>
  <c r="H303" i="16"/>
  <c r="H302"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10" i="16"/>
  <c r="H9" i="16"/>
  <c r="H40" i="16"/>
  <c r="H41" i="16"/>
  <c r="H52" i="16"/>
  <c r="H51" i="16"/>
  <c r="H50" i="16"/>
  <c r="H49" i="16"/>
  <c r="H48" i="16"/>
  <c r="H47" i="16"/>
  <c r="H46" i="16"/>
  <c r="H45" i="16"/>
  <c r="H44" i="16"/>
  <c r="H43" i="16"/>
  <c r="H39" i="16"/>
  <c r="AF385" i="16"/>
  <c r="AF386" i="16"/>
  <c r="AF387" i="16"/>
  <c r="M387" i="16" s="1"/>
  <c r="AF388" i="16"/>
  <c r="M388" i="16" s="1"/>
  <c r="AF389" i="16"/>
  <c r="M389" i="16" s="1"/>
  <c r="AF390" i="16"/>
  <c r="M390" i="16" s="1"/>
  <c r="AF391" i="16"/>
  <c r="M391" i="16" s="1"/>
  <c r="AF392" i="16"/>
  <c r="M392" i="16" s="1"/>
  <c r="AF393" i="16"/>
  <c r="M393" i="16" s="1"/>
  <c r="AF394" i="16"/>
  <c r="M394" i="16" s="1"/>
  <c r="AF395" i="16"/>
  <c r="M395" i="16" s="1"/>
  <c r="AF396" i="16"/>
  <c r="M396" i="16" s="1"/>
  <c r="AF397" i="16"/>
  <c r="M397" i="16" s="1"/>
  <c r="AF398" i="16"/>
  <c r="M398" i="16" s="1"/>
  <c r="AF399" i="16"/>
  <c r="M399" i="16" s="1"/>
  <c r="AF400" i="16"/>
  <c r="AF401" i="16"/>
  <c r="AF402" i="16"/>
  <c r="AF403" i="16"/>
  <c r="AF404" i="16"/>
  <c r="AF405" i="16"/>
  <c r="AF406" i="16"/>
  <c r="AF407" i="16"/>
  <c r="AF408" i="16"/>
  <c r="AF409" i="16"/>
  <c r="AF410" i="16"/>
  <c r="AF411" i="16"/>
  <c r="AF412" i="16"/>
  <c r="AF413" i="16"/>
  <c r="AF414" i="16"/>
  <c r="AF415" i="16"/>
  <c r="AF416" i="16"/>
  <c r="AF417" i="16"/>
  <c r="AF418" i="16"/>
  <c r="AF419" i="16"/>
  <c r="AF420" i="16"/>
  <c r="AF421" i="16"/>
  <c r="AF422" i="16"/>
  <c r="AF423" i="16"/>
  <c r="M423" i="16" s="1"/>
  <c r="AF424" i="16"/>
  <c r="M424" i="16" s="1"/>
  <c r="AF425" i="16"/>
  <c r="M425" i="16" s="1"/>
  <c r="AF426" i="16"/>
  <c r="M426" i="16" s="1"/>
  <c r="AF427" i="16"/>
  <c r="M427" i="16" s="1"/>
  <c r="AF428" i="16"/>
  <c r="M428" i="16" s="1"/>
  <c r="AF429" i="16"/>
  <c r="M429" i="16" s="1"/>
  <c r="AF430" i="16"/>
  <c r="M430" i="16" s="1"/>
  <c r="AF431" i="16"/>
  <c r="M431" i="16" s="1"/>
  <c r="AF432" i="16"/>
  <c r="M432" i="16" s="1"/>
  <c r="AF433" i="16"/>
  <c r="M433" i="16" s="1"/>
  <c r="AF434" i="16"/>
  <c r="M434" i="16" s="1"/>
  <c r="AF435" i="16"/>
  <c r="M435" i="16" s="1"/>
  <c r="AF436" i="16"/>
  <c r="M436" i="16" s="1"/>
  <c r="AF437" i="16"/>
  <c r="M437" i="16" s="1"/>
  <c r="AF438" i="16"/>
  <c r="M438" i="16" s="1"/>
  <c r="AF439" i="16"/>
  <c r="M439" i="16" s="1"/>
  <c r="AF440" i="16"/>
  <c r="M440" i="16" s="1"/>
  <c r="AF441" i="16"/>
  <c r="M441" i="16" s="1"/>
  <c r="AF442" i="16"/>
  <c r="M442" i="16" s="1"/>
  <c r="AF443" i="16"/>
  <c r="M443" i="16" s="1"/>
  <c r="AF444" i="16"/>
  <c r="M444" i="16" s="1"/>
  <c r="AF445" i="16"/>
  <c r="M445" i="16" s="1"/>
  <c r="AF446" i="16"/>
  <c r="M446" i="16" s="1"/>
  <c r="AF447" i="16"/>
  <c r="M447" i="16" s="1"/>
  <c r="AF448" i="16"/>
  <c r="M448" i="16" s="1"/>
  <c r="AF449" i="16"/>
  <c r="M449" i="16" s="1"/>
  <c r="AF450" i="16"/>
  <c r="M450" i="16" s="1"/>
  <c r="AF451" i="16"/>
  <c r="M451" i="16" s="1"/>
  <c r="AF452" i="16"/>
  <c r="M452" i="16" s="1"/>
  <c r="AF453" i="16"/>
  <c r="M453" i="16" s="1"/>
  <c r="AF454" i="16"/>
  <c r="M454" i="16" s="1"/>
  <c r="AF455" i="16"/>
  <c r="M455" i="16" s="1"/>
  <c r="AF456" i="16"/>
  <c r="M456" i="16" s="1"/>
  <c r="AF457" i="16"/>
  <c r="M457" i="16" s="1"/>
  <c r="AF458" i="16"/>
  <c r="M458" i="16" s="1"/>
  <c r="AF459" i="16"/>
  <c r="M459" i="16" s="1"/>
  <c r="AF460" i="16"/>
  <c r="M460" i="16" s="1"/>
  <c r="AF461" i="16"/>
  <c r="M461" i="16" s="1"/>
  <c r="AF462" i="16"/>
  <c r="M462" i="16" s="1"/>
  <c r="AF463" i="16"/>
  <c r="M463" i="16" s="1"/>
  <c r="AF464" i="16"/>
  <c r="M464" i="16" s="1"/>
  <c r="AF465" i="16"/>
  <c r="M465" i="16" s="1"/>
  <c r="AF466" i="16"/>
  <c r="M466" i="16" s="1"/>
  <c r="AF467" i="16"/>
  <c r="M467" i="16" s="1"/>
  <c r="AF468" i="16"/>
  <c r="M468" i="16" s="1"/>
  <c r="AF469" i="16"/>
  <c r="M469" i="16" s="1"/>
  <c r="AF470" i="16"/>
  <c r="M470" i="16" s="1"/>
  <c r="AF471" i="16"/>
  <c r="M471" i="16" s="1"/>
  <c r="AF472" i="16"/>
  <c r="M472" i="16" s="1"/>
  <c r="AF473" i="16"/>
  <c r="M473" i="16" s="1"/>
  <c r="AF474" i="16"/>
  <c r="M474" i="16" s="1"/>
  <c r="AF475" i="16"/>
  <c r="M475" i="16" s="1"/>
  <c r="AF476" i="16"/>
  <c r="M476" i="16" s="1"/>
  <c r="AF477" i="16"/>
  <c r="M477" i="16" s="1"/>
  <c r="AF478" i="16"/>
  <c r="M478" i="16" s="1"/>
  <c r="AF479" i="16"/>
  <c r="M479" i="16" s="1"/>
  <c r="AF480" i="16"/>
  <c r="M480" i="16" s="1"/>
  <c r="AF481" i="16"/>
  <c r="M481" i="16" s="1"/>
  <c r="AF482" i="16"/>
  <c r="M482" i="16" s="1"/>
  <c r="AF483" i="16"/>
  <c r="M483" i="16" s="1"/>
  <c r="AF484" i="16"/>
  <c r="M484" i="16" s="1"/>
  <c r="AF485" i="16"/>
  <c r="M485" i="16" s="1"/>
  <c r="AF486" i="16"/>
  <c r="M486" i="16" s="1"/>
  <c r="AF487" i="16"/>
  <c r="M487" i="16" s="1"/>
  <c r="AF488" i="16"/>
  <c r="M488" i="16" s="1"/>
  <c r="AF489" i="16"/>
  <c r="AF490" i="16"/>
  <c r="AF491" i="16"/>
  <c r="AF492" i="16"/>
  <c r="M492" i="16" s="1"/>
  <c r="AF493" i="16"/>
  <c r="M493" i="16" s="1"/>
  <c r="AF494" i="16"/>
  <c r="M494" i="16" s="1"/>
  <c r="AF495" i="16"/>
  <c r="M495" i="16" s="1"/>
  <c r="AF496" i="16"/>
  <c r="M496" i="16" s="1"/>
  <c r="AF497" i="16"/>
  <c r="M497" i="16" s="1"/>
  <c r="AF498" i="16"/>
  <c r="M498" i="16" s="1"/>
  <c r="AF499" i="16"/>
  <c r="M499" i="16" s="1"/>
  <c r="AF500" i="16"/>
  <c r="AF501" i="16"/>
  <c r="AF502" i="16"/>
  <c r="M502" i="16" s="1"/>
  <c r="AF503" i="16"/>
  <c r="AF504" i="16"/>
  <c r="AF505" i="16"/>
  <c r="M505" i="16" s="1"/>
  <c r="AF506" i="16"/>
  <c r="AF507" i="16"/>
  <c r="AF508" i="16"/>
  <c r="AF509" i="16"/>
  <c r="M509" i="16" s="1"/>
  <c r="AF510" i="16"/>
  <c r="AF511" i="16"/>
  <c r="AF512" i="16"/>
  <c r="AF513" i="16"/>
  <c r="AF514" i="16"/>
  <c r="M514" i="16" s="1"/>
  <c r="AF515" i="16"/>
  <c r="M515" i="16" s="1"/>
  <c r="AF516" i="16"/>
  <c r="M516" i="16" s="1"/>
  <c r="AF517" i="16"/>
  <c r="M517" i="16" s="1"/>
  <c r="AF518" i="16"/>
  <c r="M518" i="16" s="1"/>
  <c r="AF519" i="16"/>
  <c r="M519" i="16" s="1"/>
  <c r="AF520" i="16"/>
  <c r="AF521" i="16"/>
  <c r="M521" i="16" s="1"/>
  <c r="AF522" i="16"/>
  <c r="M522" i="16" s="1"/>
  <c r="AF523" i="16"/>
  <c r="M523" i="16" s="1"/>
  <c r="AF524" i="16"/>
  <c r="AF525" i="16"/>
  <c r="AF526" i="16"/>
  <c r="M526" i="16" s="1"/>
  <c r="AF527" i="16"/>
  <c r="AF528" i="16"/>
  <c r="AF529" i="16"/>
  <c r="AF530" i="16"/>
  <c r="M530" i="16" s="1"/>
  <c r="AF531" i="16"/>
  <c r="M531" i="16" s="1"/>
  <c r="AF532" i="16"/>
  <c r="AF533" i="16"/>
  <c r="AF534" i="16"/>
  <c r="AF535" i="16"/>
  <c r="AF536" i="16"/>
  <c r="AF537" i="16"/>
  <c r="AF538" i="16"/>
  <c r="M538" i="16" s="1"/>
  <c r="AF539" i="16"/>
  <c r="AF540" i="16"/>
  <c r="AF541" i="16"/>
  <c r="AF542" i="16"/>
  <c r="AF543" i="16"/>
  <c r="AF544" i="16"/>
  <c r="AF545" i="16"/>
  <c r="AF546" i="16"/>
  <c r="M546" i="16" s="1"/>
  <c r="AF547" i="16"/>
  <c r="AF548" i="16"/>
  <c r="AF549" i="16"/>
  <c r="M549" i="16" s="1"/>
  <c r="AF550" i="16"/>
  <c r="AF551" i="16"/>
  <c r="AF552" i="16"/>
  <c r="AF553" i="16"/>
  <c r="AF554" i="16"/>
  <c r="AF555" i="16"/>
  <c r="AF556" i="16"/>
  <c r="AF557" i="16"/>
  <c r="AF558" i="16"/>
  <c r="AF559" i="16"/>
  <c r="AF560" i="16"/>
  <c r="AF561" i="16"/>
  <c r="AF562" i="16"/>
  <c r="AF563" i="16"/>
  <c r="AF564" i="16"/>
  <c r="AF565" i="16"/>
  <c r="M565" i="16" s="1"/>
  <c r="AF566" i="16"/>
  <c r="AF567" i="16"/>
  <c r="AF568" i="16"/>
  <c r="AF569" i="16"/>
  <c r="M569" i="16" s="1"/>
  <c r="AF570" i="16"/>
  <c r="M570" i="16" s="1"/>
  <c r="AF571" i="16"/>
  <c r="AF572" i="16"/>
  <c r="AF573" i="16"/>
  <c r="M573" i="16" s="1"/>
  <c r="AF574" i="16"/>
  <c r="M574" i="16" s="1"/>
  <c r="AF575" i="16"/>
  <c r="AF576" i="16"/>
  <c r="M576" i="16" s="1"/>
  <c r="AF577" i="16"/>
  <c r="AF578" i="16"/>
  <c r="M578" i="16" s="1"/>
  <c r="AF579" i="16"/>
  <c r="AF580" i="16"/>
  <c r="AF581" i="16"/>
  <c r="AF582" i="16"/>
  <c r="AF583" i="16"/>
  <c r="AF584" i="16"/>
  <c r="AF585" i="16"/>
  <c r="M585" i="16" s="1"/>
  <c r="AF586" i="16"/>
  <c r="AF587" i="16"/>
  <c r="M587" i="16" s="1"/>
  <c r="AF588" i="16"/>
  <c r="AF589" i="16"/>
  <c r="M589" i="16" s="1"/>
  <c r="AF590" i="16"/>
  <c r="AF591" i="16"/>
  <c r="AF592" i="16"/>
  <c r="M592" i="16" s="1"/>
  <c r="AF593" i="16"/>
  <c r="M593" i="16" s="1"/>
  <c r="AF594" i="16"/>
  <c r="M594" i="16" s="1"/>
  <c r="AF595" i="16"/>
  <c r="M595" i="16" s="1"/>
  <c r="AF596" i="16"/>
  <c r="AF597" i="16"/>
  <c r="AF598" i="16"/>
  <c r="AF599" i="16"/>
  <c r="AF600" i="16"/>
  <c r="AF601" i="16"/>
  <c r="AF602" i="16"/>
  <c r="Z425" i="16"/>
  <c r="AB425" i="16" s="1"/>
  <c r="AG425" i="16" s="1"/>
  <c r="Z426" i="16"/>
  <c r="AB426" i="16" s="1"/>
  <c r="AG426" i="16" s="1"/>
  <c r="Z427" i="16"/>
  <c r="AB427" i="16" s="1"/>
  <c r="AG427" i="16" s="1"/>
  <c r="Z428" i="16"/>
  <c r="AB428" i="16" s="1"/>
  <c r="AG428" i="16" s="1"/>
  <c r="Z429" i="16"/>
  <c r="AB429" i="16" s="1"/>
  <c r="AG429" i="16" s="1"/>
  <c r="Z430" i="16"/>
  <c r="AB430" i="16" s="1"/>
  <c r="AG430" i="16" s="1"/>
  <c r="Z431" i="16"/>
  <c r="AB431" i="16" s="1"/>
  <c r="AG431" i="16" s="1"/>
  <c r="Z432" i="16"/>
  <c r="AB432" i="16" s="1"/>
  <c r="AG432" i="16" s="1"/>
  <c r="Z433" i="16"/>
  <c r="AB433" i="16" s="1"/>
  <c r="AG433" i="16" s="1"/>
  <c r="Z434" i="16"/>
  <c r="AB434" i="16" s="1"/>
  <c r="AG434" i="16" s="1"/>
  <c r="Z435" i="16"/>
  <c r="AB435" i="16" s="1"/>
  <c r="AG435" i="16" s="1"/>
  <c r="Z436" i="16"/>
  <c r="AB436" i="16" s="1"/>
  <c r="AG436" i="16" s="1"/>
  <c r="Z437" i="16"/>
  <c r="AB437" i="16" s="1"/>
  <c r="AG437" i="16" s="1"/>
  <c r="Z438" i="16"/>
  <c r="AB438" i="16" s="1"/>
  <c r="AG438" i="16" s="1"/>
  <c r="Z439" i="16"/>
  <c r="AB439" i="16" s="1"/>
  <c r="AG439" i="16" s="1"/>
  <c r="Z440" i="16"/>
  <c r="AB440" i="16" s="1"/>
  <c r="Z441" i="16"/>
  <c r="AB441" i="16" s="1"/>
  <c r="AG441" i="16" s="1"/>
  <c r="Z442" i="16"/>
  <c r="AB442" i="16" s="1"/>
  <c r="AG442" i="16" s="1"/>
  <c r="Z443" i="16"/>
  <c r="AB443" i="16" s="1"/>
  <c r="AG443" i="16" s="1"/>
  <c r="Z444" i="16"/>
  <c r="AB444" i="16" s="1"/>
  <c r="AG444" i="16" s="1"/>
  <c r="Z445" i="16"/>
  <c r="AB445" i="16" s="1"/>
  <c r="AG445" i="16" s="1"/>
  <c r="Z446" i="16"/>
  <c r="AB446" i="16" s="1"/>
  <c r="AG446" i="16" s="1"/>
  <c r="Z447" i="16"/>
  <c r="AB447" i="16" s="1"/>
  <c r="AG447" i="16" s="1"/>
  <c r="Z448" i="16"/>
  <c r="AB448" i="16" s="1"/>
  <c r="AG448" i="16" s="1"/>
  <c r="Z449" i="16"/>
  <c r="AB449" i="16" s="1"/>
  <c r="AG449" i="16" s="1"/>
  <c r="Z450" i="16"/>
  <c r="AB450" i="16" s="1"/>
  <c r="AG450" i="16" s="1"/>
  <c r="Z451" i="16"/>
  <c r="AB451" i="16" s="1"/>
  <c r="AG451" i="16" s="1"/>
  <c r="Z452" i="16"/>
  <c r="AB452" i="16" s="1"/>
  <c r="AG452" i="16" s="1"/>
  <c r="Z453" i="16"/>
  <c r="AB453" i="16" s="1"/>
  <c r="AG453" i="16" s="1"/>
  <c r="Z454" i="16"/>
  <c r="AB454" i="16" s="1"/>
  <c r="AG454" i="16" s="1"/>
  <c r="Z455" i="16"/>
  <c r="AB455" i="16" s="1"/>
  <c r="AG455" i="16" s="1"/>
  <c r="Z456" i="16"/>
  <c r="AB456" i="16" s="1"/>
  <c r="AG456" i="16" s="1"/>
  <c r="Z457" i="16"/>
  <c r="AB457" i="16" s="1"/>
  <c r="AG457" i="16" s="1"/>
  <c r="Z458" i="16"/>
  <c r="AB458" i="16" s="1"/>
  <c r="AG458" i="16" s="1"/>
  <c r="Z459" i="16"/>
  <c r="AB459" i="16" s="1"/>
  <c r="AG459" i="16" s="1"/>
  <c r="Z460" i="16"/>
  <c r="AB460" i="16" s="1"/>
  <c r="AG460" i="16" s="1"/>
  <c r="Z461" i="16"/>
  <c r="AB461" i="16" s="1"/>
  <c r="AG461" i="16" s="1"/>
  <c r="Z462" i="16"/>
  <c r="AB462" i="16" s="1"/>
  <c r="AG462" i="16" s="1"/>
  <c r="Z463" i="16"/>
  <c r="AB463" i="16" s="1"/>
  <c r="AG463" i="16" s="1"/>
  <c r="Z464" i="16"/>
  <c r="AB464" i="16" s="1"/>
  <c r="AG464" i="16" s="1"/>
  <c r="Z465" i="16"/>
  <c r="AB465" i="16" s="1"/>
  <c r="AG465" i="16" s="1"/>
  <c r="Z466" i="16"/>
  <c r="AB466" i="16" s="1"/>
  <c r="AG466" i="16" s="1"/>
  <c r="Z467" i="16"/>
  <c r="AB467" i="16" s="1"/>
  <c r="AG467" i="16" s="1"/>
  <c r="Z468" i="16"/>
  <c r="AB468" i="16" s="1"/>
  <c r="AG468" i="16" s="1"/>
  <c r="Z469" i="16"/>
  <c r="AB469" i="16" s="1"/>
  <c r="AG469" i="16" s="1"/>
  <c r="Z470" i="16"/>
  <c r="AB470" i="16" s="1"/>
  <c r="AG470" i="16" s="1"/>
  <c r="Z471" i="16"/>
  <c r="AB471" i="16" s="1"/>
  <c r="AG471" i="16" s="1"/>
  <c r="Z472" i="16"/>
  <c r="AB472" i="16" s="1"/>
  <c r="AG472" i="16" s="1"/>
  <c r="Z473" i="16"/>
  <c r="AB473" i="16" s="1"/>
  <c r="AG473" i="16" s="1"/>
  <c r="Z474" i="16"/>
  <c r="AB474" i="16" s="1"/>
  <c r="AG474" i="16" s="1"/>
  <c r="Z475" i="16"/>
  <c r="AB475" i="16" s="1"/>
  <c r="AG475" i="16" s="1"/>
  <c r="Z476" i="16"/>
  <c r="AB476" i="16" s="1"/>
  <c r="AG476" i="16" s="1"/>
  <c r="Z477" i="16"/>
  <c r="AB477" i="16" s="1"/>
  <c r="AG477" i="16" s="1"/>
  <c r="Z478" i="16"/>
  <c r="AB478" i="16" s="1"/>
  <c r="AG478" i="16" s="1"/>
  <c r="Z479" i="16"/>
  <c r="AB479" i="16" s="1"/>
  <c r="AG479" i="16" s="1"/>
  <c r="Z480" i="16"/>
  <c r="AB480" i="16" s="1"/>
  <c r="AG480" i="16" s="1"/>
  <c r="Z481" i="16"/>
  <c r="AB481" i="16" s="1"/>
  <c r="AG481" i="16" s="1"/>
  <c r="Z482" i="16"/>
  <c r="AB482" i="16" s="1"/>
  <c r="AG482" i="16" s="1"/>
  <c r="Z483" i="16"/>
  <c r="AB483" i="16" s="1"/>
  <c r="AG483" i="16" s="1"/>
  <c r="Z484" i="16"/>
  <c r="AB484" i="16" s="1"/>
  <c r="AG484" i="16" s="1"/>
  <c r="Z485" i="16"/>
  <c r="AB485" i="16" s="1"/>
  <c r="AG485" i="16" s="1"/>
  <c r="Z486" i="16"/>
  <c r="AB486" i="16" s="1"/>
  <c r="AG486" i="16" s="1"/>
  <c r="Z487" i="16"/>
  <c r="AB487" i="16" s="1"/>
  <c r="AG487" i="16" s="1"/>
  <c r="Z488" i="16"/>
  <c r="AB488" i="16" s="1"/>
  <c r="AG488" i="16" s="1"/>
  <c r="Z489" i="16"/>
  <c r="AB489" i="16" s="1"/>
  <c r="Z490" i="16"/>
  <c r="AB490" i="16" s="1"/>
  <c r="Z491" i="16"/>
  <c r="AB491" i="16" s="1"/>
  <c r="Z492" i="16"/>
  <c r="AB492" i="16" s="1"/>
  <c r="AG492" i="16" s="1"/>
  <c r="Z493" i="16"/>
  <c r="AB493" i="16" s="1"/>
  <c r="AG493" i="16" s="1"/>
  <c r="Z494" i="16"/>
  <c r="AB494" i="16" s="1"/>
  <c r="AG494" i="16" s="1"/>
  <c r="Z495" i="16"/>
  <c r="AB495" i="16" s="1"/>
  <c r="AG495" i="16" s="1"/>
  <c r="Z496" i="16"/>
  <c r="AB496" i="16" s="1"/>
  <c r="AG496" i="16" s="1"/>
  <c r="Z497" i="16"/>
  <c r="AB497" i="16" s="1"/>
  <c r="AG497" i="16" s="1"/>
  <c r="Z498" i="16"/>
  <c r="AB498" i="16" s="1"/>
  <c r="AG498" i="16" s="1"/>
  <c r="Z499" i="16"/>
  <c r="AB499" i="16" s="1"/>
  <c r="AG499" i="16" s="1"/>
  <c r="Z500" i="16"/>
  <c r="AB500" i="16" s="1"/>
  <c r="Z501" i="16"/>
  <c r="AB501" i="16" s="1"/>
  <c r="Z502" i="16"/>
  <c r="AB502" i="16" s="1"/>
  <c r="AG502" i="16" s="1"/>
  <c r="Z503" i="16"/>
  <c r="AB503" i="16" s="1"/>
  <c r="Z504" i="16"/>
  <c r="AB504" i="16" s="1"/>
  <c r="Z505" i="16"/>
  <c r="AB505" i="16" s="1"/>
  <c r="AG505" i="16" s="1"/>
  <c r="Z506" i="16"/>
  <c r="AB506" i="16" s="1"/>
  <c r="Z507" i="16"/>
  <c r="AB507" i="16" s="1"/>
  <c r="Z508" i="16"/>
  <c r="AB508" i="16" s="1"/>
  <c r="Z509" i="16"/>
  <c r="AB509" i="16" s="1"/>
  <c r="AG509" i="16" s="1"/>
  <c r="Z510" i="16"/>
  <c r="AB510" i="16" s="1"/>
  <c r="Z511" i="16"/>
  <c r="AB511" i="16" s="1"/>
  <c r="Z512" i="16"/>
  <c r="AB512" i="16" s="1"/>
  <c r="Z513" i="16"/>
  <c r="AB513" i="16" s="1"/>
  <c r="Z514" i="16"/>
  <c r="AB514" i="16" s="1"/>
  <c r="AG514" i="16" s="1"/>
  <c r="Z515" i="16"/>
  <c r="AB515" i="16" s="1"/>
  <c r="AG515" i="16" s="1"/>
  <c r="Z516" i="16"/>
  <c r="AB516" i="16" s="1"/>
  <c r="AG516" i="16" s="1"/>
  <c r="Z517" i="16"/>
  <c r="AB517" i="16" s="1"/>
  <c r="AG517" i="16" s="1"/>
  <c r="Z518" i="16"/>
  <c r="AB518" i="16" s="1"/>
  <c r="AG518" i="16" s="1"/>
  <c r="Z519" i="16"/>
  <c r="AB519" i="16" s="1"/>
  <c r="AG519" i="16" s="1"/>
  <c r="Z520" i="16"/>
  <c r="AB520" i="16" s="1"/>
  <c r="Z521" i="16"/>
  <c r="AB521" i="16" s="1"/>
  <c r="AG521" i="16" s="1"/>
  <c r="Z522" i="16"/>
  <c r="AB522" i="16" s="1"/>
  <c r="AG522" i="16" s="1"/>
  <c r="Z523" i="16"/>
  <c r="AB523" i="16" s="1"/>
  <c r="AG523" i="16" s="1"/>
  <c r="Z524" i="16"/>
  <c r="AB524" i="16" s="1"/>
  <c r="Z525" i="16"/>
  <c r="AB525" i="16" s="1"/>
  <c r="Z526" i="16"/>
  <c r="AB526" i="16" s="1"/>
  <c r="AG526" i="16" s="1"/>
  <c r="Z527" i="16"/>
  <c r="AB527" i="16" s="1"/>
  <c r="Z528" i="16"/>
  <c r="AB528" i="16" s="1"/>
  <c r="Z529" i="16"/>
  <c r="AB529" i="16" s="1"/>
  <c r="Z530" i="16"/>
  <c r="AB530" i="16" s="1"/>
  <c r="AG530" i="16" s="1"/>
  <c r="Z531" i="16"/>
  <c r="AB531" i="16" s="1"/>
  <c r="AG531" i="16" s="1"/>
  <c r="Z532" i="16"/>
  <c r="AB532" i="16" s="1"/>
  <c r="Z533" i="16"/>
  <c r="AB533" i="16" s="1"/>
  <c r="Z534" i="16"/>
  <c r="AB534" i="16" s="1"/>
  <c r="Z535" i="16"/>
  <c r="AB535" i="16" s="1"/>
  <c r="Z536" i="16"/>
  <c r="AB536" i="16" s="1"/>
  <c r="Z537" i="16"/>
  <c r="AB537" i="16" s="1"/>
  <c r="Z538" i="16"/>
  <c r="AB538" i="16" s="1"/>
  <c r="AG538" i="16" s="1"/>
  <c r="Z539" i="16"/>
  <c r="AB539" i="16" s="1"/>
  <c r="Z540" i="16"/>
  <c r="AB540" i="16" s="1"/>
  <c r="Z541" i="16"/>
  <c r="AB541" i="16" s="1"/>
  <c r="Z542" i="16"/>
  <c r="AB542" i="16" s="1"/>
  <c r="Z543" i="16"/>
  <c r="AB543" i="16" s="1"/>
  <c r="Z544" i="16"/>
  <c r="AB544" i="16" s="1"/>
  <c r="Z545" i="16"/>
  <c r="AB545" i="16" s="1"/>
  <c r="Z546" i="16"/>
  <c r="AB546" i="16" s="1"/>
  <c r="AG546" i="16" s="1"/>
  <c r="Z547" i="16"/>
  <c r="AB547" i="16" s="1"/>
  <c r="Z548" i="16"/>
  <c r="AB548" i="16" s="1"/>
  <c r="Z549" i="16"/>
  <c r="AB549" i="16" s="1"/>
  <c r="AG549" i="16" s="1"/>
  <c r="Z550" i="16"/>
  <c r="AB550" i="16" s="1"/>
  <c r="Z551" i="16"/>
  <c r="AB551" i="16" s="1"/>
  <c r="Z552" i="16"/>
  <c r="AB552" i="16" s="1"/>
  <c r="Z553" i="16"/>
  <c r="AB553" i="16" s="1"/>
  <c r="Z554" i="16"/>
  <c r="AB554" i="16" s="1"/>
  <c r="Z555" i="16"/>
  <c r="AB555" i="16" s="1"/>
  <c r="Z556" i="16"/>
  <c r="AB556" i="16" s="1"/>
  <c r="Z557" i="16"/>
  <c r="AB557" i="16" s="1"/>
  <c r="Z558" i="16"/>
  <c r="AB558" i="16" s="1"/>
  <c r="Z559" i="16"/>
  <c r="AB559" i="16" s="1"/>
  <c r="Z560" i="16"/>
  <c r="AB560" i="16" s="1"/>
  <c r="Z561" i="16"/>
  <c r="AB561" i="16" s="1"/>
  <c r="Z562" i="16"/>
  <c r="AB562" i="16" s="1"/>
  <c r="Z563" i="16"/>
  <c r="AB563" i="16" s="1"/>
  <c r="Z564" i="16"/>
  <c r="AB564" i="16" s="1"/>
  <c r="Z565" i="16"/>
  <c r="AB565" i="16" s="1"/>
  <c r="AG565" i="16" s="1"/>
  <c r="Z566" i="16"/>
  <c r="AB566" i="16" s="1"/>
  <c r="Z567" i="16"/>
  <c r="AB567" i="16" s="1"/>
  <c r="Z568" i="16"/>
  <c r="AB568" i="16" s="1"/>
  <c r="Z569" i="16"/>
  <c r="AB569" i="16" s="1"/>
  <c r="AG569" i="16" s="1"/>
  <c r="Z570" i="16"/>
  <c r="AB570" i="16" s="1"/>
  <c r="AG570" i="16" s="1"/>
  <c r="Z571" i="16"/>
  <c r="AB571" i="16" s="1"/>
  <c r="Z572" i="16"/>
  <c r="AB572" i="16" s="1"/>
  <c r="Z573" i="16"/>
  <c r="AB573" i="16" s="1"/>
  <c r="AG573" i="16" s="1"/>
  <c r="Z574" i="16"/>
  <c r="AB574" i="16" s="1"/>
  <c r="AG574" i="16" s="1"/>
  <c r="Z575" i="16"/>
  <c r="AB575" i="16" s="1"/>
  <c r="Z576" i="16"/>
  <c r="AB576" i="16" s="1"/>
  <c r="AG576" i="16" s="1"/>
  <c r="Z577" i="16"/>
  <c r="AB577" i="16" s="1"/>
  <c r="Z578" i="16"/>
  <c r="AB578" i="16" s="1"/>
  <c r="AG578" i="16" s="1"/>
  <c r="Z579" i="16"/>
  <c r="AB579" i="16" s="1"/>
  <c r="Z580" i="16"/>
  <c r="AB580" i="16" s="1"/>
  <c r="Z581" i="16"/>
  <c r="AB581" i="16" s="1"/>
  <c r="Z582" i="16"/>
  <c r="AB582" i="16" s="1"/>
  <c r="Z583" i="16"/>
  <c r="AB583" i="16" s="1"/>
  <c r="Z584" i="16"/>
  <c r="AB584" i="16" s="1"/>
  <c r="Z585" i="16"/>
  <c r="AB585" i="16" s="1"/>
  <c r="AG585" i="16" s="1"/>
  <c r="Z586" i="16"/>
  <c r="AB586" i="16" s="1"/>
  <c r="Z587" i="16"/>
  <c r="AB587" i="16" s="1"/>
  <c r="AG587" i="16" s="1"/>
  <c r="Z588" i="16"/>
  <c r="AB588" i="16" s="1"/>
  <c r="Z589" i="16"/>
  <c r="AB589" i="16" s="1"/>
  <c r="AG589" i="16" s="1"/>
  <c r="Z590" i="16"/>
  <c r="AB590" i="16" s="1"/>
  <c r="Z591" i="16"/>
  <c r="AB591" i="16" s="1"/>
  <c r="Z592" i="16"/>
  <c r="AB592" i="16" s="1"/>
  <c r="AG592" i="16" s="1"/>
  <c r="Z593" i="16"/>
  <c r="AB593" i="16" s="1"/>
  <c r="AG593" i="16" s="1"/>
  <c r="Z594" i="16"/>
  <c r="AB594" i="16" s="1"/>
  <c r="AG594" i="16" s="1"/>
  <c r="Z595" i="16"/>
  <c r="AB595" i="16" s="1"/>
  <c r="AG595" i="16" s="1"/>
  <c r="Z596" i="16"/>
  <c r="AB596" i="16" s="1"/>
  <c r="Z597" i="16"/>
  <c r="AB597" i="16" s="1"/>
  <c r="Z598" i="16"/>
  <c r="AB598" i="16" s="1"/>
  <c r="Z599" i="16"/>
  <c r="AB599" i="16" s="1"/>
  <c r="Z600" i="16"/>
  <c r="AB600" i="16" s="1"/>
  <c r="Z601" i="16"/>
  <c r="AB601" i="16" s="1"/>
  <c r="Z602" i="16"/>
  <c r="AB602" i="16" s="1"/>
  <c r="Z603" i="16"/>
  <c r="AB603" i="16" s="1"/>
  <c r="AI603" i="16"/>
  <c r="AI602" i="16"/>
  <c r="AI601" i="16"/>
  <c r="AI600" i="16"/>
  <c r="AI599" i="16"/>
  <c r="AI598" i="16"/>
  <c r="AI597" i="16"/>
  <c r="AI596" i="16"/>
  <c r="AI595" i="16"/>
  <c r="AI594" i="16"/>
  <c r="AI593" i="16"/>
  <c r="AI592" i="16"/>
  <c r="AI591" i="16"/>
  <c r="AI590" i="16"/>
  <c r="AI589" i="16"/>
  <c r="AI588" i="16"/>
  <c r="AI587" i="16"/>
  <c r="AI586" i="16"/>
  <c r="AI585" i="16"/>
  <c r="AI584" i="16"/>
  <c r="AI583" i="16"/>
  <c r="AI582" i="16"/>
  <c r="AI581" i="16"/>
  <c r="AI580" i="16"/>
  <c r="AI579" i="16"/>
  <c r="AI578" i="16"/>
  <c r="AI577" i="16"/>
  <c r="AI576" i="16"/>
  <c r="AI575" i="16"/>
  <c r="AI574" i="16"/>
  <c r="AI573" i="16"/>
  <c r="AI572" i="16"/>
  <c r="AI571" i="16"/>
  <c r="AI570" i="16"/>
  <c r="AI569" i="16"/>
  <c r="AI568" i="16"/>
  <c r="AI567" i="16"/>
  <c r="AI566" i="16"/>
  <c r="AI565" i="16"/>
  <c r="AI564" i="16"/>
  <c r="AI563" i="16"/>
  <c r="AI562" i="16"/>
  <c r="AI561" i="16"/>
  <c r="AI560" i="16"/>
  <c r="AI559" i="16"/>
  <c r="AI558" i="16"/>
  <c r="AI557" i="16"/>
  <c r="AI556" i="16"/>
  <c r="AI555" i="16"/>
  <c r="AI554" i="16"/>
  <c r="AI553" i="16"/>
  <c r="AI552" i="16"/>
  <c r="AI551" i="16"/>
  <c r="AI550" i="16"/>
  <c r="AI549" i="16"/>
  <c r="AI548" i="16"/>
  <c r="AI547" i="16"/>
  <c r="AI546" i="16"/>
  <c r="AI545" i="16"/>
  <c r="AI544" i="16"/>
  <c r="AI543" i="16"/>
  <c r="AI542" i="16"/>
  <c r="AI541" i="16"/>
  <c r="AI540" i="16"/>
  <c r="AI539" i="16"/>
  <c r="AI538" i="16"/>
  <c r="AI537" i="16"/>
  <c r="AI536" i="16"/>
  <c r="AI535" i="16"/>
  <c r="AI534" i="16"/>
  <c r="AI533" i="16"/>
  <c r="AI532" i="16"/>
  <c r="AI531" i="16"/>
  <c r="AI530" i="16"/>
  <c r="AI529" i="16"/>
  <c r="AI528" i="16"/>
  <c r="AI527" i="16"/>
  <c r="AI526" i="16"/>
  <c r="AI525" i="16"/>
  <c r="AI524" i="16"/>
  <c r="AI523" i="16"/>
  <c r="AI522" i="16"/>
  <c r="AI521" i="16"/>
  <c r="AI520" i="16"/>
  <c r="AI519" i="16"/>
  <c r="AI518" i="16"/>
  <c r="AI517" i="16"/>
  <c r="AI516" i="16"/>
  <c r="AI515" i="16"/>
  <c r="AI514" i="16"/>
  <c r="AI513" i="16"/>
  <c r="AI512" i="16"/>
  <c r="AI511" i="16"/>
  <c r="AI510" i="16"/>
  <c r="AI509" i="16"/>
  <c r="AI508" i="16"/>
  <c r="AI507" i="16"/>
  <c r="AI506" i="16"/>
  <c r="AI505" i="16"/>
  <c r="AI504" i="16"/>
  <c r="AI503" i="16"/>
  <c r="AI502" i="16"/>
  <c r="AI501" i="16"/>
  <c r="AI500" i="16"/>
  <c r="AI499" i="16"/>
  <c r="AI498" i="16"/>
  <c r="AI497" i="16"/>
  <c r="AI496" i="16"/>
  <c r="AI495" i="16"/>
  <c r="AI494" i="16"/>
  <c r="AI493" i="16"/>
  <c r="AI492" i="16"/>
  <c r="AI491" i="16"/>
  <c r="AI490" i="16"/>
  <c r="AI489" i="16"/>
  <c r="AI488" i="16"/>
  <c r="AI487" i="16"/>
  <c r="AI486" i="16"/>
  <c r="AI485" i="16"/>
  <c r="AI484" i="16"/>
  <c r="AI483" i="16"/>
  <c r="AI482" i="16"/>
  <c r="AI481" i="16"/>
  <c r="AI480" i="16"/>
  <c r="AI479" i="16"/>
  <c r="AI478" i="16"/>
  <c r="AI477" i="16"/>
  <c r="AI476" i="16"/>
  <c r="AI475" i="16"/>
  <c r="AI474" i="16"/>
  <c r="AI473" i="16"/>
  <c r="AI472" i="16"/>
  <c r="AI471" i="16"/>
  <c r="AI470" i="16"/>
  <c r="AI469" i="16"/>
  <c r="AI468" i="16"/>
  <c r="AI467" i="16"/>
  <c r="AI466" i="16"/>
  <c r="AI465" i="16"/>
  <c r="AI464" i="16"/>
  <c r="AI463" i="16"/>
  <c r="AI462" i="16"/>
  <c r="AI461" i="16"/>
  <c r="AI460" i="16"/>
  <c r="AI459" i="16"/>
  <c r="AI458" i="16"/>
  <c r="AI457" i="16"/>
  <c r="AI456" i="16"/>
  <c r="AI455" i="16"/>
  <c r="AI454" i="16"/>
  <c r="AI453" i="16"/>
  <c r="AI452" i="16"/>
  <c r="AI451" i="16"/>
  <c r="AI450" i="16"/>
  <c r="AI449" i="16"/>
  <c r="AI448" i="16"/>
  <c r="AI447" i="16"/>
  <c r="AI446" i="16"/>
  <c r="AI445" i="16"/>
  <c r="AI444" i="16"/>
  <c r="AI443" i="16"/>
  <c r="AI442" i="16"/>
  <c r="AI441" i="16"/>
  <c r="AI440" i="16"/>
  <c r="AI439" i="16"/>
  <c r="AI438" i="16"/>
  <c r="AI437" i="16"/>
  <c r="AI436" i="16"/>
  <c r="AI435" i="16"/>
  <c r="AI434" i="16"/>
  <c r="AI433" i="16"/>
  <c r="AI432" i="16"/>
  <c r="AI431" i="16"/>
  <c r="AI430" i="16"/>
  <c r="AI429" i="16"/>
  <c r="AI428" i="16"/>
  <c r="AI427" i="16"/>
  <c r="AI426" i="16"/>
  <c r="AI425" i="16"/>
  <c r="AI424" i="16"/>
  <c r="AI423" i="16"/>
  <c r="AI422" i="16"/>
  <c r="AI421" i="16"/>
  <c r="AI420" i="16"/>
  <c r="AI419" i="16"/>
  <c r="AI418" i="16"/>
  <c r="AI417" i="16"/>
  <c r="AI416" i="16"/>
  <c r="AI415" i="16"/>
  <c r="AI414" i="16"/>
  <c r="AI413" i="16"/>
  <c r="AI412" i="16"/>
  <c r="AI411" i="16"/>
  <c r="AI410" i="16"/>
  <c r="AI409" i="16"/>
  <c r="AI408" i="16"/>
  <c r="AI407" i="16"/>
  <c r="AI406" i="16"/>
  <c r="AI405" i="16"/>
  <c r="AI404" i="16"/>
  <c r="AI403" i="16"/>
  <c r="AI402" i="16"/>
  <c r="AI401" i="16"/>
  <c r="AI400" i="16"/>
  <c r="AI399" i="16"/>
  <c r="AI398" i="16"/>
  <c r="AI397" i="16"/>
  <c r="AI396" i="16"/>
  <c r="AI395" i="16"/>
  <c r="AI394" i="16"/>
  <c r="AI393" i="16"/>
  <c r="AI392" i="16"/>
  <c r="AI391" i="16"/>
  <c r="AI390" i="16"/>
  <c r="AI389" i="16"/>
  <c r="AI388" i="16"/>
  <c r="AI387" i="16"/>
  <c r="AI386" i="16"/>
  <c r="AI385" i="16"/>
  <c r="AI384" i="16"/>
  <c r="AI383" i="16"/>
  <c r="AI382" i="16"/>
  <c r="AI381" i="16"/>
  <c r="AI380" i="16"/>
  <c r="AI379" i="16"/>
  <c r="AI378" i="16"/>
  <c r="AI377" i="16"/>
  <c r="AI376" i="16"/>
  <c r="AI375" i="16"/>
  <c r="AI374" i="16"/>
  <c r="AI373" i="16"/>
  <c r="AI372" i="16"/>
  <c r="AI371" i="16"/>
  <c r="AI370" i="16"/>
  <c r="AI369" i="16"/>
  <c r="AI368" i="16"/>
  <c r="AI367" i="16"/>
  <c r="AI366" i="16"/>
  <c r="AI365" i="16"/>
  <c r="AI364" i="16"/>
  <c r="AI363" i="16"/>
  <c r="AI362" i="16"/>
  <c r="AI361" i="16"/>
  <c r="AI360" i="16"/>
  <c r="AI359" i="16"/>
  <c r="AI358" i="16"/>
  <c r="AI357" i="16"/>
  <c r="AI356" i="16"/>
  <c r="AI355" i="16"/>
  <c r="AI354" i="16"/>
  <c r="AI353" i="16"/>
  <c r="AI352" i="16"/>
  <c r="AI351" i="16"/>
  <c r="AI350" i="16"/>
  <c r="AI349" i="16"/>
  <c r="AI348" i="16"/>
  <c r="AI347" i="16"/>
  <c r="AI346" i="16"/>
  <c r="AI345" i="16"/>
  <c r="AI344" i="16"/>
  <c r="AI343" i="16"/>
  <c r="AI342" i="16"/>
  <c r="AI341" i="16"/>
  <c r="AI340" i="16"/>
  <c r="AI339" i="16"/>
  <c r="AI338" i="16"/>
  <c r="AI337" i="16"/>
  <c r="AI336" i="16"/>
  <c r="AI335" i="16"/>
  <c r="AI334" i="16"/>
  <c r="AI333" i="16"/>
  <c r="AI332" i="16"/>
  <c r="AI331" i="16"/>
  <c r="AI330" i="16"/>
  <c r="AI329" i="16"/>
  <c r="AI328" i="16"/>
  <c r="AI327" i="16"/>
  <c r="AI326" i="16"/>
  <c r="AI325" i="16"/>
  <c r="AI324" i="16"/>
  <c r="AI323" i="16"/>
  <c r="AI322" i="16"/>
  <c r="AI321" i="16"/>
  <c r="AI320" i="16"/>
  <c r="AI319" i="16"/>
  <c r="AI318" i="16"/>
  <c r="AI317" i="16"/>
  <c r="AI316" i="16"/>
  <c r="AI315" i="16"/>
  <c r="AI314" i="16"/>
  <c r="AI313" i="16"/>
  <c r="AI312" i="16"/>
  <c r="AI311" i="16"/>
  <c r="AI310" i="16"/>
  <c r="AI309" i="16"/>
  <c r="AI308" i="16"/>
  <c r="AI307" i="16"/>
  <c r="AI306" i="16"/>
  <c r="AI305" i="16"/>
  <c r="AI304" i="16"/>
  <c r="AI303" i="16"/>
  <c r="AI302" i="16"/>
  <c r="AI301" i="16"/>
  <c r="AI300" i="16"/>
  <c r="AI299" i="16"/>
  <c r="AI298" i="16"/>
  <c r="AI297" i="16"/>
  <c r="AI296" i="16"/>
  <c r="AI295" i="16"/>
  <c r="AI294" i="16"/>
  <c r="AI293" i="16"/>
  <c r="AI292" i="16"/>
  <c r="AI291" i="16"/>
  <c r="AI290" i="16"/>
  <c r="AI289" i="16"/>
  <c r="AI288" i="16"/>
  <c r="AI287" i="16"/>
  <c r="AI286" i="16"/>
  <c r="AI285" i="16"/>
  <c r="AI284" i="16"/>
  <c r="AI283" i="16"/>
  <c r="AI282" i="16"/>
  <c r="AI281" i="16"/>
  <c r="AI280" i="16"/>
  <c r="AI279" i="16"/>
  <c r="AI278" i="16"/>
  <c r="AI277" i="16"/>
  <c r="AI276" i="16"/>
  <c r="AI275" i="16"/>
  <c r="AI274" i="16"/>
  <c r="AI273" i="16"/>
  <c r="AI272" i="16"/>
  <c r="AI271" i="16"/>
  <c r="AI270" i="16"/>
  <c r="AI269" i="16"/>
  <c r="AI268" i="16"/>
  <c r="AI267" i="16"/>
  <c r="AI266" i="16"/>
  <c r="AI265" i="16"/>
  <c r="AI264" i="16"/>
  <c r="AI263" i="16"/>
  <c r="AI262" i="16"/>
  <c r="AI261" i="16"/>
  <c r="AI260" i="16"/>
  <c r="AI259" i="16"/>
  <c r="AI258" i="16"/>
  <c r="AI257" i="16"/>
  <c r="AI256" i="16"/>
  <c r="AI255" i="16"/>
  <c r="AI254" i="16"/>
  <c r="AI253" i="16"/>
  <c r="AI252" i="16"/>
  <c r="AI251" i="16"/>
  <c r="AI250" i="16"/>
  <c r="AI249" i="16"/>
  <c r="AI248" i="16"/>
  <c r="AI247" i="16"/>
  <c r="AI246" i="16"/>
  <c r="AI245" i="16"/>
  <c r="AI244" i="16"/>
  <c r="AI243" i="16"/>
  <c r="AI242" i="16"/>
  <c r="AI241" i="16"/>
  <c r="AI240" i="16"/>
  <c r="AI239" i="16"/>
  <c r="AI238" i="16"/>
  <c r="AI237" i="16"/>
  <c r="AI236" i="16"/>
  <c r="AI235" i="16"/>
  <c r="AI234" i="16"/>
  <c r="AI233" i="16"/>
  <c r="AI232" i="16"/>
  <c r="AI231" i="16"/>
  <c r="AI230" i="16"/>
  <c r="AI229" i="16"/>
  <c r="AI228" i="16"/>
  <c r="AI227" i="16"/>
  <c r="AI226" i="16"/>
  <c r="AI225" i="16"/>
  <c r="AI224" i="16"/>
  <c r="AI223" i="16"/>
  <c r="AI222" i="16"/>
  <c r="AI221" i="16"/>
  <c r="AI220" i="16"/>
  <c r="AI219" i="16"/>
  <c r="AI218" i="16"/>
  <c r="AI217" i="16"/>
  <c r="AI216" i="16"/>
  <c r="AI215" i="16"/>
  <c r="AI214" i="16"/>
  <c r="AI213" i="16"/>
  <c r="AI212" i="16"/>
  <c r="AI211" i="16"/>
  <c r="AI210" i="16"/>
  <c r="AI209" i="16"/>
  <c r="AI208" i="16"/>
  <c r="AI207" i="16"/>
  <c r="AI206" i="16"/>
  <c r="AI205" i="16"/>
  <c r="AI204" i="16"/>
  <c r="AI203" i="16"/>
  <c r="AI202" i="16"/>
  <c r="AI201" i="16"/>
  <c r="AI200" i="16"/>
  <c r="AI199" i="16"/>
  <c r="AI198" i="16"/>
  <c r="AI197" i="16"/>
  <c r="AI196" i="16"/>
  <c r="AI195" i="16"/>
  <c r="AI194" i="16"/>
  <c r="AI193" i="16"/>
  <c r="AI192" i="16"/>
  <c r="AI191" i="16"/>
  <c r="AI190" i="16"/>
  <c r="AI189" i="16"/>
  <c r="AI188" i="16"/>
  <c r="AI187" i="16"/>
  <c r="AI186" i="16"/>
  <c r="AI185" i="16"/>
  <c r="AI184" i="16"/>
  <c r="AI183" i="16"/>
  <c r="AI182" i="16"/>
  <c r="AI181" i="16"/>
  <c r="AI180" i="16"/>
  <c r="AI179" i="16"/>
  <c r="AI178" i="16"/>
  <c r="AI177" i="16"/>
  <c r="AI176" i="16"/>
  <c r="AI175" i="16"/>
  <c r="AI174" i="16"/>
  <c r="AI173" i="16"/>
  <c r="AI172" i="16"/>
  <c r="AI171" i="16"/>
  <c r="AI170" i="16"/>
  <c r="AI169" i="16"/>
  <c r="AI168" i="16"/>
  <c r="AI167" i="16"/>
  <c r="AI166" i="16"/>
  <c r="AI165" i="16"/>
  <c r="AI164" i="16"/>
  <c r="AI163" i="16"/>
  <c r="AI162" i="16"/>
  <c r="AI161" i="16"/>
  <c r="AI160" i="16"/>
  <c r="AI159" i="16"/>
  <c r="AI158" i="16"/>
  <c r="AI157" i="16"/>
  <c r="AI156" i="16"/>
  <c r="AI155" i="16"/>
  <c r="AI154" i="16"/>
  <c r="AI153" i="16"/>
  <c r="AI152" i="16"/>
  <c r="AI151" i="16"/>
  <c r="AI150" i="16"/>
  <c r="AI149" i="16"/>
  <c r="AI148" i="16"/>
  <c r="AI147" i="16"/>
  <c r="AI146" i="16"/>
  <c r="AI145" i="16"/>
  <c r="AI144" i="16"/>
  <c r="AI143" i="16"/>
  <c r="AI142" i="16"/>
  <c r="AI141" i="16"/>
  <c r="AI140" i="16"/>
  <c r="AI139" i="16"/>
  <c r="AI138" i="16"/>
  <c r="AI137" i="16"/>
  <c r="AI136" i="16"/>
  <c r="AI135" i="16"/>
  <c r="AI134" i="16"/>
  <c r="AI133" i="16"/>
  <c r="AI132" i="16"/>
  <c r="AI131" i="16"/>
  <c r="AI130" i="16"/>
  <c r="AI129" i="16"/>
  <c r="AI128" i="16"/>
  <c r="AI127" i="16"/>
  <c r="AI126" i="16"/>
  <c r="AI125" i="16"/>
  <c r="AI124" i="16"/>
  <c r="AI123" i="16"/>
  <c r="AI122" i="16"/>
  <c r="AI121" i="16"/>
  <c r="AI120" i="16"/>
  <c r="AI119" i="16"/>
  <c r="AI118" i="16"/>
  <c r="AI117" i="16"/>
  <c r="AI116" i="16"/>
  <c r="AI115" i="16"/>
  <c r="AI114" i="16"/>
  <c r="AI113" i="16"/>
  <c r="AI112" i="16"/>
  <c r="AI111" i="16"/>
  <c r="AI110" i="16"/>
  <c r="AI109" i="16"/>
  <c r="AI108" i="16"/>
  <c r="AI107" i="16"/>
  <c r="AI106" i="16"/>
  <c r="AI105" i="16"/>
  <c r="AI104" i="16"/>
  <c r="AI103" i="16"/>
  <c r="AI102" i="16"/>
  <c r="AI101" i="16"/>
  <c r="AI100" i="16"/>
  <c r="AI99" i="16"/>
  <c r="AI98" i="16"/>
  <c r="AI97" i="16"/>
  <c r="AI96" i="16"/>
  <c r="AI95" i="16"/>
  <c r="AI94" i="16"/>
  <c r="AI93" i="16"/>
  <c r="AI92" i="16"/>
  <c r="AI91" i="16"/>
  <c r="AI90" i="16"/>
  <c r="AI89" i="16"/>
  <c r="AI88" i="16"/>
  <c r="AI87" i="16"/>
  <c r="AI86" i="16"/>
  <c r="AI85" i="16"/>
  <c r="AI84" i="16"/>
  <c r="AI83" i="16"/>
  <c r="AI82" i="16"/>
  <c r="AI81" i="16"/>
  <c r="AI80" i="16"/>
  <c r="AI79" i="16"/>
  <c r="AI78" i="16"/>
  <c r="AI77" i="16"/>
  <c r="AI76" i="16"/>
  <c r="AI75" i="16"/>
  <c r="AI74" i="16"/>
  <c r="AI73" i="16"/>
  <c r="AI72" i="16"/>
  <c r="AI71" i="16"/>
  <c r="AI70" i="16"/>
  <c r="AI69" i="16"/>
  <c r="AI68" i="16"/>
  <c r="AI67" i="16"/>
  <c r="AI66" i="16"/>
  <c r="AI65" i="16"/>
  <c r="AI64" i="16"/>
  <c r="AI63" i="16"/>
  <c r="AI62" i="16"/>
  <c r="AI61" i="16"/>
  <c r="AI60" i="16"/>
  <c r="AI59" i="16"/>
  <c r="AI58" i="16"/>
  <c r="AI57" i="16"/>
  <c r="AI56" i="16"/>
  <c r="AI55" i="16"/>
  <c r="AI54" i="16"/>
  <c r="AI53" i="16"/>
  <c r="AI52" i="16"/>
  <c r="AI51" i="16"/>
  <c r="AI50" i="16"/>
  <c r="AI49" i="16"/>
  <c r="AI48" i="16"/>
  <c r="AI47" i="16"/>
  <c r="AI46" i="16"/>
  <c r="AI45" i="16"/>
  <c r="AI44" i="16"/>
  <c r="AI43" i="16"/>
  <c r="AI42" i="16"/>
  <c r="AI41" i="16"/>
  <c r="AI40" i="16"/>
  <c r="AI39" i="16"/>
  <c r="AI38" i="16"/>
  <c r="AI37" i="16"/>
  <c r="AI36" i="16"/>
  <c r="AI35" i="16"/>
  <c r="AI34" i="16"/>
  <c r="AI33" i="16"/>
  <c r="AI32" i="16"/>
  <c r="AI31" i="16"/>
  <c r="AI30" i="16"/>
  <c r="AI29" i="16"/>
  <c r="AI28" i="16"/>
  <c r="AI27" i="16"/>
  <c r="AI26" i="16"/>
  <c r="AI25" i="16"/>
  <c r="AI24" i="16"/>
  <c r="AI23" i="16"/>
  <c r="AI22" i="16"/>
  <c r="AI21" i="16"/>
  <c r="AI20" i="16"/>
  <c r="AI19" i="16"/>
  <c r="AI18" i="16"/>
  <c r="AI17" i="16"/>
  <c r="AI16" i="16"/>
  <c r="AI15" i="16"/>
  <c r="AI14" i="16"/>
  <c r="AI13" i="16"/>
  <c r="AI12" i="16"/>
  <c r="AI11" i="16"/>
  <c r="AI10" i="16"/>
  <c r="AI9" i="16"/>
  <c r="AI8" i="16"/>
  <c r="AI7" i="16"/>
  <c r="AI6" i="16"/>
  <c r="AI5" i="16"/>
  <c r="AI4" i="16"/>
  <c r="N602" i="16" a="1"/>
  <c r="N601" i="16" a="1"/>
  <c r="N600" i="16" a="1"/>
  <c r="N599" i="16" a="1"/>
  <c r="N598" i="16" a="1"/>
  <c r="N597" i="16" a="1"/>
  <c r="N596" i="16" a="1"/>
  <c r="N595" i="16" a="1"/>
  <c r="N594" i="16" a="1"/>
  <c r="N593" i="16" a="1"/>
  <c r="N592" i="16" a="1"/>
  <c r="N591" i="16" a="1"/>
  <c r="N590" i="16" a="1"/>
  <c r="N589" i="16" a="1"/>
  <c r="N588" i="16" a="1"/>
  <c r="N587" i="16" a="1"/>
  <c r="N586" i="16" a="1"/>
  <c r="N585" i="16" a="1"/>
  <c r="N584" i="16" a="1"/>
  <c r="N583" i="16" a="1"/>
  <c r="N582" i="16" a="1"/>
  <c r="N581" i="16" a="1"/>
  <c r="N580" i="16" a="1"/>
  <c r="N579" i="16" a="1"/>
  <c r="N578" i="16" a="1"/>
  <c r="N577" i="16" a="1"/>
  <c r="N576" i="16" a="1"/>
  <c r="N575" i="16" a="1"/>
  <c r="N574" i="16" a="1"/>
  <c r="N573" i="16" a="1"/>
  <c r="N572" i="16" a="1"/>
  <c r="N571" i="16" a="1"/>
  <c r="N570" i="16" a="1"/>
  <c r="N569" i="16" a="1"/>
  <c r="N568" i="16" a="1"/>
  <c r="N567" i="16" a="1"/>
  <c r="N566" i="16" a="1"/>
  <c r="N565" i="16" a="1"/>
  <c r="N564" i="16" a="1"/>
  <c r="N563" i="16" a="1"/>
  <c r="N562" i="16" a="1"/>
  <c r="N561" i="16" a="1"/>
  <c r="N560" i="16" a="1"/>
  <c r="N559" i="16" a="1"/>
  <c r="N558" i="16" a="1"/>
  <c r="N557" i="16" a="1"/>
  <c r="N556" i="16" a="1"/>
  <c r="N555" i="16" a="1"/>
  <c r="N554" i="16" a="1"/>
  <c r="N553" i="16" a="1"/>
  <c r="N552" i="16" a="1"/>
  <c r="N551" i="16" a="1"/>
  <c r="N550" i="16" a="1"/>
  <c r="N549" i="16" a="1"/>
  <c r="N548" i="16" a="1"/>
  <c r="N547" i="16" a="1"/>
  <c r="N546" i="16" a="1"/>
  <c r="N545" i="16" a="1"/>
  <c r="N544" i="16" a="1"/>
  <c r="N543" i="16" a="1"/>
  <c r="N542" i="16" a="1"/>
  <c r="N541" i="16" a="1"/>
  <c r="N540" i="16" a="1"/>
  <c r="N539" i="16" a="1"/>
  <c r="N538" i="16" a="1"/>
  <c r="N537" i="16" a="1"/>
  <c r="N536" i="16" a="1"/>
  <c r="N535" i="16" a="1"/>
  <c r="N534" i="16" a="1"/>
  <c r="N533" i="16" a="1"/>
  <c r="N532" i="16" a="1"/>
  <c r="N531" i="16" a="1"/>
  <c r="N530" i="16" a="1"/>
  <c r="N529" i="16" a="1"/>
  <c r="N528" i="16" a="1"/>
  <c r="N527" i="16" a="1"/>
  <c r="N526" i="16" a="1"/>
  <c r="N525" i="16" a="1"/>
  <c r="N524" i="16" a="1"/>
  <c r="N523" i="16" a="1"/>
  <c r="N522" i="16" a="1"/>
  <c r="N521" i="16" a="1"/>
  <c r="N520" i="16" a="1"/>
  <c r="N519" i="16" a="1"/>
  <c r="N518" i="16" a="1"/>
  <c r="N517" i="16" a="1"/>
  <c r="N516" i="16" a="1"/>
  <c r="N515" i="16" a="1"/>
  <c r="N514" i="16" a="1"/>
  <c r="N513" i="16" a="1"/>
  <c r="N512" i="16" a="1"/>
  <c r="N511" i="16" a="1"/>
  <c r="N510" i="16" a="1"/>
  <c r="N509" i="16" a="1"/>
  <c r="N508" i="16" a="1"/>
  <c r="N507" i="16" a="1"/>
  <c r="N506" i="16" a="1"/>
  <c r="N505" i="16" a="1"/>
  <c r="N504" i="16" a="1"/>
  <c r="N503" i="16" a="1"/>
  <c r="N502" i="16" a="1"/>
  <c r="N501" i="16" a="1"/>
  <c r="N500" i="16" a="1"/>
  <c r="N499" i="16" a="1"/>
  <c r="N498" i="16" a="1"/>
  <c r="N497" i="16" a="1"/>
  <c r="N496" i="16" a="1"/>
  <c r="N495" i="16" a="1"/>
  <c r="N494" i="16" a="1"/>
  <c r="N493" i="16" a="1"/>
  <c r="N492" i="16" a="1"/>
  <c r="N491" i="16" a="1"/>
  <c r="N490" i="16" a="1"/>
  <c r="N489" i="16" a="1"/>
  <c r="N488" i="16" a="1"/>
  <c r="N487" i="16" a="1"/>
  <c r="N486" i="16" a="1"/>
  <c r="N485" i="16" a="1"/>
  <c r="N484" i="16" a="1"/>
  <c r="N483" i="16" a="1"/>
  <c r="N482" i="16" a="1"/>
  <c r="N481" i="16" a="1"/>
  <c r="N480" i="16" a="1"/>
  <c r="N479" i="16" a="1"/>
  <c r="N478" i="16" a="1"/>
  <c r="N477" i="16" a="1"/>
  <c r="N476" i="16" a="1"/>
  <c r="N475" i="16" a="1"/>
  <c r="N474" i="16" a="1"/>
  <c r="N473" i="16" a="1"/>
  <c r="N472" i="16" a="1"/>
  <c r="N471" i="16" a="1"/>
  <c r="N470" i="16" a="1"/>
  <c r="N469" i="16" a="1"/>
  <c r="N468" i="16" a="1"/>
  <c r="N467" i="16" a="1"/>
  <c r="N466" i="16" a="1"/>
  <c r="N465" i="16" a="1"/>
  <c r="N464" i="16" a="1"/>
  <c r="N463" i="16" a="1"/>
  <c r="N462" i="16" a="1"/>
  <c r="N461" i="16" a="1"/>
  <c r="N460" i="16" a="1"/>
  <c r="N459" i="16" a="1"/>
  <c r="N458" i="16" a="1"/>
  <c r="N457" i="16" a="1"/>
  <c r="N456" i="16" a="1"/>
  <c r="N455" i="16" a="1"/>
  <c r="N454" i="16" a="1"/>
  <c r="N453" i="16" a="1"/>
  <c r="N452" i="16" a="1"/>
  <c r="N451" i="16" a="1"/>
  <c r="N450" i="16" a="1"/>
  <c r="N449" i="16" a="1"/>
  <c r="N448" i="16" a="1"/>
  <c r="N447" i="16" a="1"/>
  <c r="N446" i="16" a="1"/>
  <c r="N445" i="16" a="1"/>
  <c r="N444" i="16" a="1"/>
  <c r="N443" i="16" a="1"/>
  <c r="N442" i="16" a="1"/>
  <c r="N441" i="16" a="1"/>
  <c r="N440" i="16" a="1"/>
  <c r="N439" i="16" a="1"/>
  <c r="N438" i="16" a="1"/>
  <c r="N437" i="16" a="1"/>
  <c r="N436" i="16" a="1"/>
  <c r="N435" i="16" a="1"/>
  <c r="N434" i="16" a="1"/>
  <c r="N433" i="16" a="1"/>
  <c r="N432" i="16" a="1"/>
  <c r="N431" i="16" a="1"/>
  <c r="N430" i="16" a="1"/>
  <c r="N429" i="16" a="1"/>
  <c r="N428" i="16" a="1"/>
  <c r="N427" i="16" a="1"/>
  <c r="N426" i="16" a="1"/>
  <c r="N425" i="16" a="1"/>
  <c r="N170" i="16" a="1"/>
  <c r="L602" i="16"/>
  <c r="K602" i="16"/>
  <c r="J602" i="16"/>
  <c r="L601" i="16"/>
  <c r="K601" i="16"/>
  <c r="J601" i="16"/>
  <c r="L600" i="16"/>
  <c r="K600" i="16"/>
  <c r="J600" i="16"/>
  <c r="L599" i="16"/>
  <c r="K599" i="16"/>
  <c r="J599" i="16"/>
  <c r="L598" i="16"/>
  <c r="K598" i="16"/>
  <c r="J598" i="16"/>
  <c r="L597" i="16"/>
  <c r="K597" i="16"/>
  <c r="J597" i="16"/>
  <c r="L596" i="16"/>
  <c r="K596" i="16"/>
  <c r="J596" i="16"/>
  <c r="L595" i="16"/>
  <c r="K595" i="16"/>
  <c r="J595" i="16"/>
  <c r="L594" i="16"/>
  <c r="K594" i="16"/>
  <c r="J594" i="16"/>
  <c r="L593" i="16"/>
  <c r="K593" i="16"/>
  <c r="J593" i="16"/>
  <c r="L592" i="16"/>
  <c r="K592" i="16"/>
  <c r="J592" i="16"/>
  <c r="L591" i="16"/>
  <c r="K591" i="16"/>
  <c r="J591" i="16"/>
  <c r="L590" i="16"/>
  <c r="K590" i="16"/>
  <c r="J590" i="16"/>
  <c r="L589" i="16"/>
  <c r="K589" i="16"/>
  <c r="J589" i="16"/>
  <c r="L588" i="16"/>
  <c r="K588" i="16"/>
  <c r="J588" i="16"/>
  <c r="L587" i="16"/>
  <c r="K587" i="16"/>
  <c r="J587" i="16"/>
  <c r="L586" i="16"/>
  <c r="K586" i="16"/>
  <c r="J586" i="16"/>
  <c r="L585" i="16"/>
  <c r="K585" i="16"/>
  <c r="J585" i="16"/>
  <c r="L584" i="16"/>
  <c r="K584" i="16"/>
  <c r="J584" i="16"/>
  <c r="L583" i="16"/>
  <c r="K583" i="16"/>
  <c r="J583" i="16"/>
  <c r="L582" i="16"/>
  <c r="K582" i="16"/>
  <c r="J582" i="16"/>
  <c r="L581" i="16"/>
  <c r="K581" i="16"/>
  <c r="J581" i="16"/>
  <c r="L580" i="16"/>
  <c r="K580" i="16"/>
  <c r="J580" i="16"/>
  <c r="L579" i="16"/>
  <c r="K579" i="16"/>
  <c r="J579" i="16"/>
  <c r="L578" i="16"/>
  <c r="K578" i="16"/>
  <c r="J578" i="16"/>
  <c r="L577" i="16"/>
  <c r="K577" i="16"/>
  <c r="J577" i="16"/>
  <c r="L576" i="16"/>
  <c r="K576" i="16"/>
  <c r="J576" i="16"/>
  <c r="L575" i="16"/>
  <c r="K575" i="16"/>
  <c r="J575" i="16"/>
  <c r="L574" i="16"/>
  <c r="K574" i="16"/>
  <c r="J574" i="16"/>
  <c r="L573" i="16"/>
  <c r="K573" i="16"/>
  <c r="J573" i="16"/>
  <c r="L572" i="16"/>
  <c r="K572" i="16"/>
  <c r="J572" i="16"/>
  <c r="L571" i="16"/>
  <c r="K571" i="16"/>
  <c r="J571" i="16"/>
  <c r="L570" i="16"/>
  <c r="K570" i="16"/>
  <c r="J570" i="16"/>
  <c r="L569" i="16"/>
  <c r="K569" i="16"/>
  <c r="J569" i="16"/>
  <c r="L568" i="16"/>
  <c r="K568" i="16"/>
  <c r="J568" i="16"/>
  <c r="L567" i="16"/>
  <c r="K567" i="16"/>
  <c r="J567" i="16"/>
  <c r="L566" i="16"/>
  <c r="K566" i="16"/>
  <c r="J566" i="16"/>
  <c r="BV9" i="5" s="1"/>
  <c r="L565" i="16"/>
  <c r="K565" i="16"/>
  <c r="J565" i="16"/>
  <c r="L564" i="16"/>
  <c r="K564" i="16"/>
  <c r="J564" i="16"/>
  <c r="L563" i="16"/>
  <c r="K563" i="16"/>
  <c r="J563" i="16"/>
  <c r="L562" i="16"/>
  <c r="K562" i="16"/>
  <c r="J562" i="16"/>
  <c r="L561" i="16"/>
  <c r="K561" i="16"/>
  <c r="J561" i="16"/>
  <c r="L560" i="16"/>
  <c r="K560" i="16"/>
  <c r="J560" i="16"/>
  <c r="L559" i="16"/>
  <c r="K559" i="16"/>
  <c r="J559" i="16"/>
  <c r="L558" i="16"/>
  <c r="K558" i="16"/>
  <c r="J558" i="16"/>
  <c r="L557" i="16"/>
  <c r="K557" i="16"/>
  <c r="J557" i="16"/>
  <c r="L556" i="16"/>
  <c r="K556" i="16"/>
  <c r="J556" i="16"/>
  <c r="L555" i="16"/>
  <c r="K555" i="16"/>
  <c r="J555" i="16"/>
  <c r="L554" i="16"/>
  <c r="K554" i="16"/>
  <c r="J554" i="16"/>
  <c r="L553" i="16"/>
  <c r="K553" i="16"/>
  <c r="J553" i="16"/>
  <c r="L552" i="16"/>
  <c r="K552" i="16"/>
  <c r="J552" i="16"/>
  <c r="L551" i="16"/>
  <c r="K551" i="16"/>
  <c r="J551" i="16"/>
  <c r="L550" i="16"/>
  <c r="K550" i="16"/>
  <c r="J550" i="16"/>
  <c r="L549" i="16"/>
  <c r="K549" i="16"/>
  <c r="J549" i="16"/>
  <c r="L548" i="16"/>
  <c r="K548" i="16"/>
  <c r="J548" i="16"/>
  <c r="L547" i="16"/>
  <c r="K547" i="16"/>
  <c r="J547" i="16"/>
  <c r="L546" i="16"/>
  <c r="K546" i="16"/>
  <c r="J546" i="16"/>
  <c r="L545" i="16"/>
  <c r="K545" i="16"/>
  <c r="J545" i="16"/>
  <c r="L544" i="16"/>
  <c r="K544" i="16"/>
  <c r="J544" i="16"/>
  <c r="L543" i="16"/>
  <c r="K543" i="16"/>
  <c r="J543" i="16"/>
  <c r="L542" i="16"/>
  <c r="K542" i="16"/>
  <c r="J542" i="16"/>
  <c r="L541" i="16"/>
  <c r="K541" i="16"/>
  <c r="J541" i="16"/>
  <c r="L540" i="16"/>
  <c r="K540" i="16"/>
  <c r="J540" i="16"/>
  <c r="L539" i="16"/>
  <c r="K539" i="16"/>
  <c r="J539" i="16"/>
  <c r="L538" i="16"/>
  <c r="K538" i="16"/>
  <c r="J538" i="16"/>
  <c r="L537" i="16"/>
  <c r="K537" i="16"/>
  <c r="J537" i="16"/>
  <c r="L536" i="16"/>
  <c r="K536" i="16"/>
  <c r="J536" i="16"/>
  <c r="L535" i="16"/>
  <c r="K535" i="16"/>
  <c r="J535" i="16"/>
  <c r="L534" i="16"/>
  <c r="K534" i="16"/>
  <c r="J534" i="16"/>
  <c r="L533" i="16"/>
  <c r="K533" i="16"/>
  <c r="J533" i="16"/>
  <c r="L532" i="16"/>
  <c r="K532" i="16"/>
  <c r="J532" i="16"/>
  <c r="L531" i="16"/>
  <c r="K531" i="16"/>
  <c r="J531" i="16"/>
  <c r="L530" i="16"/>
  <c r="K530" i="16"/>
  <c r="J530" i="16"/>
  <c r="L529" i="16"/>
  <c r="K529" i="16"/>
  <c r="J529" i="16"/>
  <c r="L528" i="16"/>
  <c r="K528" i="16"/>
  <c r="J528" i="16"/>
  <c r="L527" i="16"/>
  <c r="K527" i="16"/>
  <c r="J527" i="16"/>
  <c r="L526" i="16"/>
  <c r="K526" i="16"/>
  <c r="J526" i="16"/>
  <c r="L525" i="16"/>
  <c r="K525" i="16"/>
  <c r="J525" i="16"/>
  <c r="V60" i="19" s="1"/>
  <c r="L524" i="16"/>
  <c r="K524" i="16"/>
  <c r="J524" i="16"/>
  <c r="L523" i="16"/>
  <c r="K523" i="16"/>
  <c r="J523" i="16"/>
  <c r="L522" i="16"/>
  <c r="K522" i="16"/>
  <c r="J522" i="16"/>
  <c r="L521" i="16"/>
  <c r="K521" i="16"/>
  <c r="J521" i="16"/>
  <c r="L520" i="16"/>
  <c r="K520" i="16"/>
  <c r="J520" i="16"/>
  <c r="L519" i="16"/>
  <c r="K519" i="16"/>
  <c r="J519" i="16"/>
  <c r="L518" i="16"/>
  <c r="K518" i="16"/>
  <c r="J518" i="16"/>
  <c r="L517" i="16"/>
  <c r="K517" i="16"/>
  <c r="J517" i="16"/>
  <c r="L516" i="16"/>
  <c r="K516" i="16"/>
  <c r="J516" i="16"/>
  <c r="L515" i="16"/>
  <c r="K515" i="16"/>
  <c r="J515" i="16"/>
  <c r="L514" i="16"/>
  <c r="K514" i="16"/>
  <c r="J514" i="16"/>
  <c r="L513" i="16"/>
  <c r="K513" i="16"/>
  <c r="J513" i="16"/>
  <c r="L512" i="16"/>
  <c r="K512" i="16"/>
  <c r="J512" i="16"/>
  <c r="L511" i="16"/>
  <c r="K511" i="16"/>
  <c r="J511" i="16"/>
  <c r="L510" i="16"/>
  <c r="K510" i="16"/>
  <c r="J510" i="16"/>
  <c r="L509" i="16"/>
  <c r="K509" i="16"/>
  <c r="J509" i="16"/>
  <c r="L508" i="16"/>
  <c r="K508" i="16"/>
  <c r="J508" i="16"/>
  <c r="L507" i="16"/>
  <c r="K507" i="16"/>
  <c r="J507" i="16"/>
  <c r="L506" i="16"/>
  <c r="K506" i="16"/>
  <c r="J506" i="16"/>
  <c r="L505" i="16"/>
  <c r="K505" i="16"/>
  <c r="J505" i="16"/>
  <c r="L504" i="16"/>
  <c r="K504" i="16"/>
  <c r="J504" i="16"/>
  <c r="L503" i="16"/>
  <c r="K503" i="16"/>
  <c r="J503" i="16"/>
  <c r="L502" i="16"/>
  <c r="K502" i="16"/>
  <c r="J502" i="16"/>
  <c r="L501" i="16"/>
  <c r="K501" i="16"/>
  <c r="J501" i="16"/>
  <c r="L500" i="16"/>
  <c r="K500" i="16"/>
  <c r="J500" i="16"/>
  <c r="L499" i="16"/>
  <c r="K499" i="16"/>
  <c r="J499" i="16"/>
  <c r="L498" i="16"/>
  <c r="K498" i="16"/>
  <c r="J498" i="16"/>
  <c r="L497" i="16"/>
  <c r="K497" i="16"/>
  <c r="J497" i="16"/>
  <c r="L496" i="16"/>
  <c r="K496" i="16"/>
  <c r="J496" i="16"/>
  <c r="L495" i="16"/>
  <c r="K495" i="16"/>
  <c r="J495" i="16"/>
  <c r="L494" i="16"/>
  <c r="K494" i="16"/>
  <c r="J494" i="16"/>
  <c r="L493" i="16"/>
  <c r="K493" i="16"/>
  <c r="J493" i="16"/>
  <c r="L492" i="16"/>
  <c r="K492" i="16"/>
  <c r="J492" i="16"/>
  <c r="L491" i="16"/>
  <c r="K491" i="16"/>
  <c r="J491" i="16"/>
  <c r="L490" i="16"/>
  <c r="K490" i="16"/>
  <c r="J490" i="16"/>
  <c r="L489" i="16"/>
  <c r="K489" i="16"/>
  <c r="J489" i="16"/>
  <c r="L488" i="16"/>
  <c r="K488" i="16"/>
  <c r="J488" i="16"/>
  <c r="L487" i="16"/>
  <c r="K487" i="16"/>
  <c r="J487" i="16"/>
  <c r="L486" i="16"/>
  <c r="K486" i="16"/>
  <c r="J486" i="16"/>
  <c r="L485" i="16"/>
  <c r="K485" i="16"/>
  <c r="J485" i="16"/>
  <c r="L484" i="16"/>
  <c r="K484" i="16"/>
  <c r="J484" i="16"/>
  <c r="L483" i="16"/>
  <c r="K483" i="16"/>
  <c r="J483" i="16"/>
  <c r="L482" i="16"/>
  <c r="K482" i="16"/>
  <c r="J482" i="16"/>
  <c r="L481" i="16"/>
  <c r="K481" i="16"/>
  <c r="J481" i="16"/>
  <c r="L480" i="16"/>
  <c r="K480" i="16"/>
  <c r="J480" i="16"/>
  <c r="L479" i="16"/>
  <c r="K479" i="16"/>
  <c r="J479" i="16"/>
  <c r="L478" i="16"/>
  <c r="K478" i="16"/>
  <c r="J478" i="16"/>
  <c r="V132" i="19" s="1"/>
  <c r="L477" i="16"/>
  <c r="K477" i="16"/>
  <c r="J477" i="16"/>
  <c r="L476" i="16"/>
  <c r="K476" i="16"/>
  <c r="J476" i="16"/>
  <c r="L475" i="16"/>
  <c r="K475" i="16"/>
  <c r="J475" i="16"/>
  <c r="L474" i="16"/>
  <c r="K474" i="16"/>
  <c r="J474" i="16"/>
  <c r="L473" i="16"/>
  <c r="K473" i="16"/>
  <c r="J473" i="16"/>
  <c r="L472" i="16"/>
  <c r="K472" i="16"/>
  <c r="J472" i="16"/>
  <c r="L471" i="16"/>
  <c r="K471" i="16"/>
  <c r="J471" i="16"/>
  <c r="L470" i="16"/>
  <c r="K470" i="16"/>
  <c r="J470" i="16"/>
  <c r="L469" i="16"/>
  <c r="K469" i="16"/>
  <c r="J469" i="16"/>
  <c r="L468" i="16"/>
  <c r="K468" i="16"/>
  <c r="J468" i="16"/>
  <c r="L467" i="16"/>
  <c r="K467" i="16"/>
  <c r="J467" i="16"/>
  <c r="L466" i="16"/>
  <c r="K466" i="16"/>
  <c r="J466" i="16"/>
  <c r="L465" i="16"/>
  <c r="K465" i="16"/>
  <c r="J465" i="16"/>
  <c r="L464" i="16"/>
  <c r="K464" i="16"/>
  <c r="J464" i="16"/>
  <c r="L463" i="16"/>
  <c r="K463" i="16"/>
  <c r="J463" i="16"/>
  <c r="L462" i="16"/>
  <c r="K462" i="16"/>
  <c r="J462" i="16"/>
  <c r="L461" i="16"/>
  <c r="K461" i="16"/>
  <c r="J461" i="16"/>
  <c r="L460" i="16"/>
  <c r="K460" i="16"/>
  <c r="J460" i="16"/>
  <c r="L459" i="16"/>
  <c r="K459" i="16"/>
  <c r="J459" i="16"/>
  <c r="L458" i="16"/>
  <c r="K458" i="16"/>
  <c r="J458" i="16"/>
  <c r="L457" i="16"/>
  <c r="K457" i="16"/>
  <c r="J457" i="16"/>
  <c r="V138" i="19" s="1"/>
  <c r="L456" i="16"/>
  <c r="K456" i="16"/>
  <c r="J456" i="16"/>
  <c r="V135" i="19" s="1"/>
  <c r="L455" i="16"/>
  <c r="K455" i="16"/>
  <c r="J455" i="16"/>
  <c r="V139" i="19" s="1"/>
  <c r="L454" i="16"/>
  <c r="K454" i="16"/>
  <c r="J454" i="16"/>
  <c r="L453" i="16"/>
  <c r="K453" i="16"/>
  <c r="J453" i="16"/>
  <c r="L452" i="16"/>
  <c r="K452" i="16"/>
  <c r="J452" i="16"/>
  <c r="V137" i="19" s="1"/>
  <c r="L451" i="16"/>
  <c r="K451" i="16"/>
  <c r="J451" i="16"/>
  <c r="L450" i="16"/>
  <c r="K450" i="16"/>
  <c r="J450" i="16"/>
  <c r="V133" i="19" s="1"/>
  <c r="L449" i="16"/>
  <c r="K449" i="16"/>
  <c r="J449" i="16"/>
  <c r="L448" i="16"/>
  <c r="K448" i="16"/>
  <c r="J448" i="16"/>
  <c r="L447" i="16"/>
  <c r="K447" i="16"/>
  <c r="J447" i="16"/>
  <c r="L446" i="16"/>
  <c r="K446" i="16"/>
  <c r="J446" i="16"/>
  <c r="L445" i="16"/>
  <c r="K445" i="16"/>
  <c r="J445" i="16"/>
  <c r="L444" i="16"/>
  <c r="K444" i="16"/>
  <c r="J444" i="16"/>
  <c r="L443" i="16"/>
  <c r="K443" i="16"/>
  <c r="J443" i="16"/>
  <c r="L442" i="16"/>
  <c r="K442" i="16"/>
  <c r="J442" i="16"/>
  <c r="L441" i="16"/>
  <c r="K441" i="16"/>
  <c r="J441" i="16"/>
  <c r="L440" i="16"/>
  <c r="K440" i="16"/>
  <c r="J440" i="16"/>
  <c r="L439" i="16"/>
  <c r="K439" i="16"/>
  <c r="J439" i="16"/>
  <c r="L438" i="16"/>
  <c r="K438" i="16"/>
  <c r="J438" i="16"/>
  <c r="V128" i="19" s="1"/>
  <c r="L437" i="16"/>
  <c r="K437" i="16"/>
  <c r="J437" i="16"/>
  <c r="V127" i="19" s="1"/>
  <c r="L436" i="16"/>
  <c r="K436" i="16"/>
  <c r="J436" i="16"/>
  <c r="V134" i="19" s="1"/>
  <c r="L435" i="16"/>
  <c r="K435" i="16"/>
  <c r="J435" i="16"/>
  <c r="L434" i="16"/>
  <c r="K434" i="16"/>
  <c r="J434" i="16"/>
  <c r="V122" i="19" s="1"/>
  <c r="L433" i="16"/>
  <c r="K433" i="16"/>
  <c r="J433" i="16"/>
  <c r="V115" i="19" s="1"/>
  <c r="L432" i="16"/>
  <c r="K432" i="16"/>
  <c r="J432" i="16"/>
  <c r="V126" i="19" s="1"/>
  <c r="L431" i="16"/>
  <c r="K431" i="16"/>
  <c r="J431" i="16"/>
  <c r="V131" i="19" s="1"/>
  <c r="L430" i="16"/>
  <c r="K430" i="16"/>
  <c r="J430" i="16"/>
  <c r="L429" i="16"/>
  <c r="K429" i="16"/>
  <c r="J429" i="16"/>
  <c r="L428" i="16"/>
  <c r="K428" i="16"/>
  <c r="J428" i="16"/>
  <c r="L427" i="16"/>
  <c r="K427" i="16"/>
  <c r="J427" i="16"/>
  <c r="V136" i="19" s="1"/>
  <c r="L426" i="16"/>
  <c r="K426" i="16"/>
  <c r="J426" i="16"/>
  <c r="L425" i="16"/>
  <c r="K425" i="16"/>
  <c r="J425"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270" i="16"/>
  <c r="J271" i="16"/>
  <c r="J272" i="16"/>
  <c r="J273" i="16"/>
  <c r="J274" i="16"/>
  <c r="J275" i="16"/>
  <c r="J276" i="16"/>
  <c r="J277" i="16"/>
  <c r="J278" i="16"/>
  <c r="J279" i="16"/>
  <c r="J280" i="16"/>
  <c r="J281" i="16"/>
  <c r="J282" i="16"/>
  <c r="J283" i="16"/>
  <c r="J284" i="16"/>
  <c r="J285" i="16"/>
  <c r="J286" i="16"/>
  <c r="J287" i="16"/>
  <c r="J288" i="16"/>
  <c r="J289" i="16"/>
  <c r="J290" i="16"/>
  <c r="J291" i="16"/>
  <c r="J292" i="16"/>
  <c r="J293" i="16"/>
  <c r="J294" i="16"/>
  <c r="J295" i="16"/>
  <c r="J296" i="16"/>
  <c r="J297" i="16"/>
  <c r="J298" i="16"/>
  <c r="J299" i="16"/>
  <c r="J300" i="16"/>
  <c r="J301" i="16"/>
  <c r="J302" i="16"/>
  <c r="J303" i="16"/>
  <c r="J304" i="16"/>
  <c r="J305" i="16"/>
  <c r="J306" i="16"/>
  <c r="J307" i="16"/>
  <c r="J308" i="16"/>
  <c r="J309" i="16"/>
  <c r="J310" i="16"/>
  <c r="J311" i="16"/>
  <c r="J312" i="16"/>
  <c r="J313" i="16"/>
  <c r="J314" i="16"/>
  <c r="J315" i="16"/>
  <c r="J316" i="16"/>
  <c r="J317" i="16"/>
  <c r="J318" i="16"/>
  <c r="J319" i="16"/>
  <c r="J320" i="16"/>
  <c r="J321" i="16"/>
  <c r="J322" i="16"/>
  <c r="J323" i="16"/>
  <c r="J324" i="16"/>
  <c r="J325" i="16"/>
  <c r="J326" i="16"/>
  <c r="J327" i="16"/>
  <c r="J328" i="16"/>
  <c r="J329" i="16"/>
  <c r="J330" i="16"/>
  <c r="J331" i="16"/>
  <c r="J332" i="16"/>
  <c r="J333" i="16"/>
  <c r="J334" i="16"/>
  <c r="J335" i="16"/>
  <c r="J336" i="16"/>
  <c r="J337" i="16"/>
  <c r="J338" i="16"/>
  <c r="J339" i="16"/>
  <c r="J340" i="16"/>
  <c r="J341" i="16"/>
  <c r="J342" i="16"/>
  <c r="J343" i="16"/>
  <c r="J344" i="16"/>
  <c r="J345" i="16"/>
  <c r="J346" i="16"/>
  <c r="J347" i="16"/>
  <c r="J348" i="16"/>
  <c r="J349" i="16"/>
  <c r="J350" i="16"/>
  <c r="J351" i="16"/>
  <c r="J352" i="16"/>
  <c r="J353" i="16"/>
  <c r="J354" i="16"/>
  <c r="J355" i="16"/>
  <c r="J356" i="16"/>
  <c r="J357" i="16"/>
  <c r="J358" i="16"/>
  <c r="J359" i="16"/>
  <c r="J360" i="16"/>
  <c r="J361" i="16"/>
  <c r="J362" i="16"/>
  <c r="J363" i="16"/>
  <c r="J364" i="16"/>
  <c r="J365" i="16"/>
  <c r="J366" i="16"/>
  <c r="J367" i="16"/>
  <c r="J368" i="16"/>
  <c r="J369" i="16"/>
  <c r="J370" i="16"/>
  <c r="J371" i="16"/>
  <c r="J372" i="16"/>
  <c r="J373" i="16"/>
  <c r="J374" i="16"/>
  <c r="J375" i="16"/>
  <c r="J376" i="16"/>
  <c r="J377" i="16"/>
  <c r="J378" i="16"/>
  <c r="J379" i="16"/>
  <c r="J380" i="16"/>
  <c r="J381" i="16"/>
  <c r="J382" i="16"/>
  <c r="J383" i="16"/>
  <c r="J384" i="16"/>
  <c r="J385" i="16"/>
  <c r="J386" i="16"/>
  <c r="J387" i="16"/>
  <c r="J388" i="16"/>
  <c r="J389" i="16"/>
  <c r="J390" i="16"/>
  <c r="V112" i="19" s="1"/>
  <c r="J391" i="16"/>
  <c r="J392" i="16"/>
  <c r="J393" i="16"/>
  <c r="J394" i="16"/>
  <c r="J395" i="16"/>
  <c r="J396" i="16"/>
  <c r="J397" i="16"/>
  <c r="J398" i="16"/>
  <c r="V119" i="19" s="1"/>
  <c r="J399" i="16"/>
  <c r="V121" i="19" s="1"/>
  <c r="J400" i="16"/>
  <c r="J401" i="16"/>
  <c r="J402" i="16"/>
  <c r="V118" i="19" s="1"/>
  <c r="J403" i="16"/>
  <c r="V124" i="19" s="1"/>
  <c r="J404" i="16"/>
  <c r="J405" i="16"/>
  <c r="J406" i="16"/>
  <c r="J407" i="16"/>
  <c r="J408" i="16"/>
  <c r="J409" i="16"/>
  <c r="J410" i="16"/>
  <c r="J411" i="16"/>
  <c r="J412" i="16"/>
  <c r="J413" i="16"/>
  <c r="J414" i="16"/>
  <c r="J415" i="16"/>
  <c r="J416" i="16"/>
  <c r="J417" i="16"/>
  <c r="J418" i="16"/>
  <c r="J419" i="16"/>
  <c r="V125" i="19" s="1"/>
  <c r="J420" i="16"/>
  <c r="V129" i="19" s="1"/>
  <c r="J421" i="16"/>
  <c r="V130" i="19" s="1"/>
  <c r="J422" i="16"/>
  <c r="J423" i="16"/>
  <c r="J424" i="16"/>
  <c r="J603" i="16"/>
  <c r="K603" i="16"/>
  <c r="L603" i="16"/>
  <c r="AF603" i="16"/>
  <c r="U139" i="19" a="1"/>
  <c r="U138" i="19" a="1"/>
  <c r="U137" i="19" a="1"/>
  <c r="U136" i="19" a="1"/>
  <c r="U135" i="19" a="1"/>
  <c r="U134" i="19" a="1"/>
  <c r="U133" i="19" a="1"/>
  <c r="U132" i="19" a="1"/>
  <c r="U131" i="19" a="1"/>
  <c r="U130" i="19" a="1"/>
  <c r="U129" i="19" a="1"/>
  <c r="U128" i="19" a="1"/>
  <c r="U127" i="19" a="1"/>
  <c r="U126" i="19" a="1"/>
  <c r="U125" i="19" a="1"/>
  <c r="U124" i="19" a="1"/>
  <c r="U123" i="19" a="1"/>
  <c r="U122" i="19" a="1"/>
  <c r="U121" i="19" a="1"/>
  <c r="U120" i="19" a="1"/>
  <c r="U119" i="19" a="1"/>
  <c r="U118" i="19" a="1"/>
  <c r="U117" i="19" a="1"/>
  <c r="U116" i="19" a="1"/>
  <c r="U115" i="19" a="1"/>
  <c r="U114" i="19" a="1"/>
  <c r="U113" i="19" a="1"/>
  <c r="U112" i="19" a="1"/>
  <c r="U111" i="19" a="1"/>
  <c r="U110" i="19" a="1"/>
  <c r="U109" i="19" a="1"/>
  <c r="U108" i="19" a="1"/>
  <c r="U107" i="19" a="1"/>
  <c r="U106" i="19" a="1"/>
  <c r="U105" i="19" a="1"/>
  <c r="U104" i="19" a="1"/>
  <c r="U103" i="19" a="1"/>
  <c r="U102" i="19" a="1"/>
  <c r="U101" i="19" a="1"/>
  <c r="U100" i="19" a="1"/>
  <c r="U99" i="19" a="1"/>
  <c r="U98" i="19" a="1"/>
  <c r="U97" i="19" a="1"/>
  <c r="U96" i="19" a="1"/>
  <c r="U95" i="19" a="1"/>
  <c r="U94" i="19" a="1"/>
  <c r="U93" i="19" a="1"/>
  <c r="U92" i="19" a="1"/>
  <c r="U91" i="19" a="1"/>
  <c r="U90" i="19" a="1"/>
  <c r="U89" i="19" a="1"/>
  <c r="U88" i="19" a="1"/>
  <c r="U87" i="19" a="1"/>
  <c r="U86" i="19" a="1"/>
  <c r="U85" i="19" a="1"/>
  <c r="U84" i="19" a="1"/>
  <c r="U83" i="19" a="1"/>
  <c r="U82" i="19" a="1"/>
  <c r="U81" i="19" a="1"/>
  <c r="U80" i="19" a="1"/>
  <c r="U79" i="19" a="1"/>
  <c r="U78" i="19" a="1"/>
  <c r="U76" i="19" a="1"/>
  <c r="U75" i="19" a="1"/>
  <c r="U74" i="19" a="1"/>
  <c r="U73" i="19" a="1"/>
  <c r="U72" i="19" a="1"/>
  <c r="U71" i="19" a="1"/>
  <c r="U70" i="19" a="1"/>
  <c r="U69" i="19" a="1"/>
  <c r="U68" i="19" a="1"/>
  <c r="U67" i="19" a="1"/>
  <c r="U66" i="19" a="1"/>
  <c r="U65" i="19" a="1"/>
  <c r="U64" i="19" a="1"/>
  <c r="U63" i="19" a="1"/>
  <c r="U62" i="19" a="1"/>
  <c r="U61" i="19" a="1"/>
  <c r="U60" i="19" a="1"/>
  <c r="U59" i="19" a="1"/>
  <c r="U58" i="19" a="1"/>
  <c r="U57" i="19" a="1"/>
  <c r="U56" i="19" a="1"/>
  <c r="U55" i="19" a="1"/>
  <c r="U54" i="19" a="1"/>
  <c r="U53" i="19" a="1"/>
  <c r="U52" i="19" a="1"/>
  <c r="U51" i="19" a="1"/>
  <c r="U50" i="19" a="1"/>
  <c r="U49" i="19" a="1"/>
  <c r="U48" i="19" a="1"/>
  <c r="U47" i="19" a="1"/>
  <c r="U46" i="19" a="1"/>
  <c r="U45" i="19" a="1"/>
  <c r="U44" i="19" a="1"/>
  <c r="U43" i="19" a="1"/>
  <c r="U42" i="19" a="1"/>
  <c r="U41" i="19" a="1"/>
  <c r="U40" i="19" a="1"/>
  <c r="U39" i="19" a="1"/>
  <c r="U38" i="19" a="1"/>
  <c r="U37" i="19" a="1"/>
  <c r="U36" i="19" a="1"/>
  <c r="U35" i="19" a="1"/>
  <c r="U34" i="19" a="1"/>
  <c r="U33" i="19" a="1"/>
  <c r="U32" i="19" a="1"/>
  <c r="U31" i="19" a="1"/>
  <c r="U30" i="19" a="1"/>
  <c r="U29" i="19" a="1"/>
  <c r="U28" i="19" a="1"/>
  <c r="U27" i="19" a="1"/>
  <c r="U26" i="19" a="1"/>
  <c r="U25" i="19" a="1"/>
  <c r="U24" i="19" a="1"/>
  <c r="U23" i="19" a="1"/>
  <c r="U22" i="19" a="1"/>
  <c r="U21" i="19" a="1"/>
  <c r="U20" i="19" a="1"/>
  <c r="U19" i="19" a="1"/>
  <c r="U18" i="19" a="1"/>
  <c r="U17" i="19" a="1"/>
  <c r="U15" i="19" a="1"/>
  <c r="U14" i="19" a="1"/>
  <c r="U12" i="19" a="1"/>
  <c r="U11" i="19" a="1"/>
  <c r="U10" i="19" a="1"/>
  <c r="U9" i="19" a="1"/>
  <c r="U8" i="19" a="1"/>
  <c r="U7" i="19" a="1"/>
  <c r="U6" i="19" a="1"/>
  <c r="U5" i="19" a="1"/>
  <c r="U4" i="19" a="1"/>
  <c r="U3" i="19" a="1"/>
  <c r="U2" i="19" a="1"/>
  <c r="U13" i="19" a="1"/>
  <c r="R100" i="19"/>
  <c r="R101" i="19"/>
  <c r="R102" i="19"/>
  <c r="R103" i="19"/>
  <c r="R104" i="19"/>
  <c r="R105" i="19"/>
  <c r="R106" i="19"/>
  <c r="R107" i="19"/>
  <c r="R108" i="19"/>
  <c r="R109" i="19"/>
  <c r="R110" i="19"/>
  <c r="R111" i="19"/>
  <c r="R112"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99" i="19"/>
  <c r="R98" i="19"/>
  <c r="R97" i="19"/>
  <c r="R96" i="19"/>
  <c r="R95" i="19"/>
  <c r="AC3" i="18"/>
  <c r="A48" i="22" s="1"/>
  <c r="AC4" i="18"/>
  <c r="A35" i="22" s="1"/>
  <c r="AC5" i="18"/>
  <c r="A18" i="22" s="1"/>
  <c r="AC6" i="18"/>
  <c r="AC7" i="18"/>
  <c r="AC8" i="18"/>
  <c r="AC9" i="18"/>
  <c r="BD38" i="5"/>
  <c r="BC38" i="5"/>
  <c r="BA38" i="5"/>
  <c r="AZ38" i="5"/>
  <c r="AY38" i="5"/>
  <c r="AX38" i="5"/>
  <c r="AW38" i="5"/>
  <c r="AV38" i="5"/>
  <c r="AU38" i="5"/>
  <c r="AT38" i="5"/>
  <c r="AS38" i="5"/>
  <c r="AR38" i="5"/>
  <c r="AQ38" i="5"/>
  <c r="AP38" i="5"/>
  <c r="AO38" i="5"/>
  <c r="AM38" i="5"/>
  <c r="AL38" i="5"/>
  <c r="AJ38" i="5"/>
  <c r="AI38" i="5"/>
  <c r="AH38" i="5"/>
  <c r="AG38" i="5"/>
  <c r="AF38" i="5"/>
  <c r="AC38" i="5"/>
  <c r="AA38" i="5"/>
  <c r="Y38" i="5"/>
  <c r="X38" i="5"/>
  <c r="V38" i="5"/>
  <c r="U38" i="5"/>
  <c r="T38" i="5"/>
  <c r="S38" i="5"/>
  <c r="R38" i="5"/>
  <c r="Q38" i="5"/>
  <c r="P38" i="5"/>
  <c r="O38" i="5"/>
  <c r="N38" i="5"/>
  <c r="M38" i="5"/>
  <c r="L38" i="5"/>
  <c r="K38" i="5"/>
  <c r="J38" i="5"/>
  <c r="I38" i="5"/>
  <c r="G38" i="5"/>
  <c r="F38" i="5"/>
  <c r="I211" i="11"/>
  <c r="I71" i="13"/>
  <c r="M193" i="13"/>
  <c r="E36" i="23"/>
  <c r="E35" i="23"/>
  <c r="E34" i="23"/>
  <c r="D36" i="23"/>
  <c r="D35" i="23"/>
  <c r="D34" i="23"/>
  <c r="M36" i="23"/>
  <c r="M35" i="23"/>
  <c r="M34" i="23"/>
  <c r="M33" i="23"/>
  <c r="E33" i="23"/>
  <c r="D33" i="23"/>
  <c r="M32" i="23"/>
  <c r="E32" i="23"/>
  <c r="D32" i="23"/>
  <c r="M31" i="23"/>
  <c r="E31" i="23"/>
  <c r="D31" i="23"/>
  <c r="M30" i="23"/>
  <c r="E30" i="23"/>
  <c r="D30" i="23"/>
  <c r="M29" i="23"/>
  <c r="E29" i="23"/>
  <c r="D29" i="23"/>
  <c r="M28" i="23"/>
  <c r="E28" i="23"/>
  <c r="D28" i="23"/>
  <c r="M27" i="23"/>
  <c r="E27" i="23"/>
  <c r="D27" i="23"/>
  <c r="M26" i="23"/>
  <c r="E26" i="23"/>
  <c r="D26" i="23"/>
  <c r="M25" i="23"/>
  <c r="E25" i="23"/>
  <c r="D25" i="23"/>
  <c r="M24" i="23"/>
  <c r="E24" i="23"/>
  <c r="D24" i="23"/>
  <c r="M23" i="23"/>
  <c r="E23" i="23"/>
  <c r="D23" i="23"/>
  <c r="M22" i="23"/>
  <c r="E22" i="23"/>
  <c r="D22" i="23"/>
  <c r="M21" i="23"/>
  <c r="E21" i="23"/>
  <c r="D21" i="23"/>
  <c r="M20" i="23"/>
  <c r="E20" i="23"/>
  <c r="D20" i="23"/>
  <c r="M19" i="23"/>
  <c r="E19" i="23"/>
  <c r="D19" i="23"/>
  <c r="M18" i="23"/>
  <c r="E18" i="23"/>
  <c r="D18" i="23"/>
  <c r="M17" i="23"/>
  <c r="E17" i="23"/>
  <c r="D17" i="23"/>
  <c r="M16" i="23"/>
  <c r="E16" i="23"/>
  <c r="D16" i="23"/>
  <c r="M15" i="23"/>
  <c r="E15" i="23"/>
  <c r="D15" i="23"/>
  <c r="M14" i="23"/>
  <c r="E14" i="23"/>
  <c r="D14" i="23"/>
  <c r="M13" i="23"/>
  <c r="E13" i="23"/>
  <c r="D13" i="23"/>
  <c r="M12" i="23"/>
  <c r="E12" i="23"/>
  <c r="D12" i="23"/>
  <c r="M11" i="23"/>
  <c r="E11" i="23"/>
  <c r="D11" i="23"/>
  <c r="M10" i="23"/>
  <c r="E10" i="23"/>
  <c r="D10" i="23"/>
  <c r="M9" i="23"/>
  <c r="E9" i="23"/>
  <c r="D9" i="23"/>
  <c r="H4" i="23"/>
  <c r="G4" i="23"/>
  <c r="F4" i="23"/>
  <c r="E4" i="23"/>
  <c r="I3" i="23"/>
  <c r="L31" i="14"/>
  <c r="L32" i="14" s="1"/>
  <c r="E16" i="14"/>
  <c r="D16" i="14"/>
  <c r="E666" i="11"/>
  <c r="E664" i="11"/>
  <c r="E663" i="11"/>
  <c r="E665" i="11"/>
  <c r="E667" i="11"/>
  <c r="M870" i="11"/>
  <c r="D870" i="11"/>
  <c r="E870" i="11"/>
  <c r="L869" i="11"/>
  <c r="L868" i="11"/>
  <c r="L867" i="11"/>
  <c r="L866" i="11"/>
  <c r="L871" i="11" s="1"/>
  <c r="M866" i="11"/>
  <c r="M867" i="11"/>
  <c r="M868" i="11"/>
  <c r="M869" i="11"/>
  <c r="E869" i="11"/>
  <c r="E868" i="11"/>
  <c r="E867" i="11"/>
  <c r="E866" i="11"/>
  <c r="D869" i="11"/>
  <c r="D868" i="11"/>
  <c r="D867" i="11"/>
  <c r="D866" i="11"/>
  <c r="D858" i="11"/>
  <c r="E858" i="11"/>
  <c r="D859" i="11"/>
  <c r="E859" i="11"/>
  <c r="D860" i="11"/>
  <c r="E860" i="11"/>
  <c r="D861" i="11"/>
  <c r="E861" i="11"/>
  <c r="D862" i="11"/>
  <c r="E862" i="11"/>
  <c r="E857" i="11"/>
  <c r="D85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D738" i="11"/>
  <c r="E738" i="11"/>
  <c r="D739" i="11"/>
  <c r="E739" i="11"/>
  <c r="D740" i="11"/>
  <c r="E740" i="11"/>
  <c r="D741" i="11"/>
  <c r="E741" i="11"/>
  <c r="D742" i="11"/>
  <c r="E742" i="11"/>
  <c r="D743" i="11"/>
  <c r="E743" i="11"/>
  <c r="D744" i="11"/>
  <c r="E744" i="11"/>
  <c r="D745" i="11"/>
  <c r="E745" i="11"/>
  <c r="D746" i="11"/>
  <c r="E746" i="11"/>
  <c r="D747" i="11"/>
  <c r="E747" i="11"/>
  <c r="D748" i="11"/>
  <c r="E748" i="11"/>
  <c r="D749" i="11"/>
  <c r="E749" i="11"/>
  <c r="D750" i="11"/>
  <c r="E750" i="11"/>
  <c r="D751" i="11"/>
  <c r="E751" i="11"/>
  <c r="D752" i="11"/>
  <c r="E752" i="11"/>
  <c r="D753" i="11"/>
  <c r="E753" i="11"/>
  <c r="D754" i="11"/>
  <c r="E754" i="11"/>
  <c r="D755" i="11"/>
  <c r="E755" i="11"/>
  <c r="D756" i="11"/>
  <c r="E756" i="11"/>
  <c r="D757" i="11"/>
  <c r="E757" i="11"/>
  <c r="D758" i="11"/>
  <c r="E758" i="11"/>
  <c r="D759" i="11"/>
  <c r="E759" i="11"/>
  <c r="D760" i="11"/>
  <c r="E760" i="11"/>
  <c r="D761" i="11"/>
  <c r="E761" i="11"/>
  <c r="D762" i="11"/>
  <c r="E762" i="11"/>
  <c r="D763" i="11"/>
  <c r="E763" i="11"/>
  <c r="D764" i="11"/>
  <c r="E764" i="11"/>
  <c r="D765" i="11"/>
  <c r="E765" i="11"/>
  <c r="D766" i="11"/>
  <c r="E766" i="11"/>
  <c r="D767" i="11"/>
  <c r="E767" i="11"/>
  <c r="D768" i="11"/>
  <c r="E768" i="11"/>
  <c r="D769" i="11"/>
  <c r="E769" i="11"/>
  <c r="D770" i="11"/>
  <c r="E770" i="11"/>
  <c r="D771" i="11"/>
  <c r="E771" i="11"/>
  <c r="D772" i="11"/>
  <c r="E772" i="11"/>
  <c r="D773" i="11"/>
  <c r="E773" i="11"/>
  <c r="D774" i="11"/>
  <c r="E774" i="11"/>
  <c r="D775" i="11"/>
  <c r="E775" i="11"/>
  <c r="D776" i="11"/>
  <c r="E776" i="11"/>
  <c r="D777" i="11"/>
  <c r="E777" i="11"/>
  <c r="D778" i="11"/>
  <c r="E778" i="11"/>
  <c r="D779" i="11"/>
  <c r="E779" i="11"/>
  <c r="D780" i="11"/>
  <c r="E780" i="11"/>
  <c r="D781" i="11"/>
  <c r="E781" i="11"/>
  <c r="D782" i="11"/>
  <c r="E782" i="11"/>
  <c r="D783" i="11"/>
  <c r="E783" i="11"/>
  <c r="D784" i="11"/>
  <c r="E784" i="11"/>
  <c r="D785" i="11"/>
  <c r="E785" i="11"/>
  <c r="D786" i="11"/>
  <c r="E786" i="11"/>
  <c r="D787" i="11"/>
  <c r="E787" i="11"/>
  <c r="D788" i="11"/>
  <c r="E788" i="11"/>
  <c r="D789" i="11"/>
  <c r="E789" i="11"/>
  <c r="D790" i="11"/>
  <c r="E790" i="11"/>
  <c r="D791" i="11"/>
  <c r="E791" i="11"/>
  <c r="D792" i="11"/>
  <c r="E792" i="11"/>
  <c r="D793" i="11"/>
  <c r="E793" i="11"/>
  <c r="D794" i="11"/>
  <c r="E794" i="11"/>
  <c r="D795" i="11"/>
  <c r="E795" i="11"/>
  <c r="D796" i="11"/>
  <c r="E796" i="11"/>
  <c r="D797" i="11"/>
  <c r="E797" i="11"/>
  <c r="D798" i="11"/>
  <c r="E798" i="11"/>
  <c r="D799" i="11"/>
  <c r="E799" i="11"/>
  <c r="D800" i="11"/>
  <c r="E800" i="11"/>
  <c r="D801" i="11"/>
  <c r="E801" i="11"/>
  <c r="D802" i="11"/>
  <c r="E802" i="11"/>
  <c r="D803" i="11"/>
  <c r="E803" i="11"/>
  <c r="D804" i="11"/>
  <c r="E804" i="11"/>
  <c r="D805" i="11"/>
  <c r="E805" i="11"/>
  <c r="D806" i="11"/>
  <c r="E806" i="11"/>
  <c r="D807" i="11"/>
  <c r="E807" i="11"/>
  <c r="D808" i="11"/>
  <c r="E808" i="11"/>
  <c r="D809" i="11"/>
  <c r="E809" i="11"/>
  <c r="D810" i="11"/>
  <c r="E810" i="11"/>
  <c r="D811" i="11"/>
  <c r="E811" i="11"/>
  <c r="D812" i="11"/>
  <c r="E812" i="11"/>
  <c r="D813" i="11"/>
  <c r="E813" i="11"/>
  <c r="D814" i="11"/>
  <c r="E814" i="11"/>
  <c r="D815" i="11"/>
  <c r="E815" i="11"/>
  <c r="D816" i="11"/>
  <c r="E816" i="11"/>
  <c r="D817" i="11"/>
  <c r="E817" i="11"/>
  <c r="D818" i="11"/>
  <c r="E818" i="11"/>
  <c r="D819" i="11"/>
  <c r="E819" i="11"/>
  <c r="D820" i="11"/>
  <c r="E820" i="11"/>
  <c r="D821" i="11"/>
  <c r="E821" i="11"/>
  <c r="D822" i="11"/>
  <c r="E822" i="11"/>
  <c r="D823" i="11"/>
  <c r="E823" i="11"/>
  <c r="D824" i="11"/>
  <c r="E824" i="11"/>
  <c r="D825" i="11"/>
  <c r="E825" i="11"/>
  <c r="D826" i="11"/>
  <c r="E826" i="11"/>
  <c r="D827" i="11"/>
  <c r="E827" i="11"/>
  <c r="D828" i="11"/>
  <c r="E828" i="11"/>
  <c r="D829" i="11"/>
  <c r="E829" i="11"/>
  <c r="D830" i="11"/>
  <c r="E830" i="11"/>
  <c r="D831" i="11"/>
  <c r="E831" i="11"/>
  <c r="D832" i="11"/>
  <c r="E832" i="11"/>
  <c r="D833" i="11"/>
  <c r="E833" i="11"/>
  <c r="D834" i="11"/>
  <c r="E834" i="11"/>
  <c r="D835" i="11"/>
  <c r="E835" i="11"/>
  <c r="D836" i="11"/>
  <c r="E836" i="11"/>
  <c r="D837" i="11"/>
  <c r="E837" i="11"/>
  <c r="D838" i="11"/>
  <c r="E838" i="11"/>
  <c r="D839" i="11"/>
  <c r="E839" i="11"/>
  <c r="D840" i="11"/>
  <c r="E840" i="11"/>
  <c r="D841" i="11"/>
  <c r="E841" i="11"/>
  <c r="D842" i="11"/>
  <c r="E842" i="11"/>
  <c r="D843" i="11"/>
  <c r="E843" i="11"/>
  <c r="D844" i="11"/>
  <c r="E844" i="11"/>
  <c r="D845" i="11"/>
  <c r="E845" i="11"/>
  <c r="D846" i="11"/>
  <c r="E846" i="11"/>
  <c r="D847" i="11"/>
  <c r="E847" i="11"/>
  <c r="D848" i="11"/>
  <c r="E848" i="11"/>
  <c r="D849" i="11"/>
  <c r="E849" i="11"/>
  <c r="D850" i="11"/>
  <c r="E850" i="11"/>
  <c r="D851" i="11"/>
  <c r="E851" i="11"/>
  <c r="D852" i="11"/>
  <c r="E852" i="11"/>
  <c r="D853" i="11"/>
  <c r="E853" i="11"/>
  <c r="D854" i="11"/>
  <c r="E854" i="11"/>
  <c r="D855" i="11"/>
  <c r="E855" i="11"/>
  <c r="D856" i="11"/>
  <c r="E856" i="11"/>
  <c r="M747" i="11"/>
  <c r="M746" i="11"/>
  <c r="M745" i="11"/>
  <c r="M744" i="11"/>
  <c r="M743" i="11"/>
  <c r="M742" i="11"/>
  <c r="M741" i="11"/>
  <c r="M740" i="11"/>
  <c r="M739" i="11"/>
  <c r="M738" i="11"/>
  <c r="M737" i="11"/>
  <c r="M736" i="11"/>
  <c r="M735" i="11"/>
  <c r="M734" i="11"/>
  <c r="M733" i="11"/>
  <c r="M732" i="11"/>
  <c r="M731" i="11"/>
  <c r="M730" i="11"/>
  <c r="M729" i="11"/>
  <c r="M728" i="11"/>
  <c r="M727" i="11"/>
  <c r="M726" i="11"/>
  <c r="M725" i="11"/>
  <c r="M724" i="11"/>
  <c r="M723" i="11"/>
  <c r="M722" i="11"/>
  <c r="M721" i="11"/>
  <c r="M720" i="11"/>
  <c r="M719" i="11"/>
  <c r="M718" i="11"/>
  <c r="M717" i="11"/>
  <c r="M716" i="11"/>
  <c r="M715" i="11"/>
  <c r="M714" i="11"/>
  <c r="M713" i="11"/>
  <c r="M712" i="11"/>
  <c r="M711" i="11"/>
  <c r="M710" i="11"/>
  <c r="M709" i="11"/>
  <c r="M708" i="11"/>
  <c r="M707" i="11"/>
  <c r="M706" i="11"/>
  <c r="M705" i="11"/>
  <c r="M704" i="11"/>
  <c r="M703" i="11"/>
  <c r="M702" i="11"/>
  <c r="M871" i="11" s="1"/>
  <c r="E737" i="11"/>
  <c r="D737" i="11"/>
  <c r="E736" i="11"/>
  <c r="D736" i="11"/>
  <c r="E735" i="11"/>
  <c r="D735" i="11"/>
  <c r="E734" i="11"/>
  <c r="D734" i="11"/>
  <c r="E733" i="11"/>
  <c r="D733" i="11"/>
  <c r="E732" i="11"/>
  <c r="D732" i="11"/>
  <c r="E731" i="11"/>
  <c r="D731" i="11"/>
  <c r="E730" i="11"/>
  <c r="D730" i="11"/>
  <c r="E729" i="11"/>
  <c r="D729" i="11"/>
  <c r="E728" i="11"/>
  <c r="D728" i="11"/>
  <c r="E727" i="11"/>
  <c r="D727" i="11"/>
  <c r="E726" i="11"/>
  <c r="D726" i="11"/>
  <c r="E725" i="11"/>
  <c r="D725" i="11"/>
  <c r="E724" i="11"/>
  <c r="D724" i="11"/>
  <c r="E723" i="11"/>
  <c r="D723" i="11"/>
  <c r="E722" i="11"/>
  <c r="D722" i="11"/>
  <c r="E721" i="11"/>
  <c r="D721" i="11"/>
  <c r="E720" i="11"/>
  <c r="D720" i="11"/>
  <c r="E719" i="11"/>
  <c r="D719" i="11"/>
  <c r="E718" i="11"/>
  <c r="D718" i="11"/>
  <c r="E717" i="11"/>
  <c r="D717" i="11"/>
  <c r="E716" i="11"/>
  <c r="D716" i="11"/>
  <c r="E715" i="11"/>
  <c r="D715" i="11"/>
  <c r="E714" i="11"/>
  <c r="D714" i="11"/>
  <c r="E713" i="11"/>
  <c r="D713" i="11"/>
  <c r="E712" i="11"/>
  <c r="D712" i="11"/>
  <c r="E711" i="11"/>
  <c r="D711" i="11"/>
  <c r="E710" i="11"/>
  <c r="D710" i="11"/>
  <c r="E709" i="11"/>
  <c r="D709" i="11"/>
  <c r="E708" i="11"/>
  <c r="D708" i="11"/>
  <c r="E707" i="11"/>
  <c r="D707" i="11"/>
  <c r="E706" i="11"/>
  <c r="D706" i="11"/>
  <c r="E705" i="11"/>
  <c r="D705" i="11"/>
  <c r="E704" i="11"/>
  <c r="D704" i="11"/>
  <c r="E703" i="11"/>
  <c r="D703" i="11"/>
  <c r="E702" i="11"/>
  <c r="D702" i="11"/>
  <c r="I210" i="11"/>
  <c r="I209" i="11"/>
  <c r="I208" i="11"/>
  <c r="I207" i="11"/>
  <c r="I206" i="11"/>
  <c r="I205" i="11"/>
  <c r="I204" i="11"/>
  <c r="I203" i="11"/>
  <c r="I202" i="11"/>
  <c r="I201" i="11"/>
  <c r="I200" i="11"/>
  <c r="I199" i="11"/>
  <c r="I198" i="11"/>
  <c r="I197" i="11"/>
  <c r="I196" i="11"/>
  <c r="I195" i="11"/>
  <c r="I194" i="11"/>
  <c r="I212" i="11" s="1"/>
  <c r="AZ17" i="20"/>
  <c r="M184" i="13"/>
  <c r="M185" i="13"/>
  <c r="M186" i="13"/>
  <c r="M187" i="13"/>
  <c r="M188" i="13"/>
  <c r="M189" i="13"/>
  <c r="M190" i="13"/>
  <c r="M191" i="13"/>
  <c r="M192" i="13"/>
  <c r="M194" i="13"/>
  <c r="E173" i="13"/>
  <c r="D173" i="13"/>
  <c r="D192" i="13"/>
  <c r="D191" i="13"/>
  <c r="E192" i="13"/>
  <c r="E191" i="13"/>
  <c r="E190" i="13"/>
  <c r="D190" i="13"/>
  <c r="E189" i="13"/>
  <c r="D189" i="13"/>
  <c r="E188" i="13"/>
  <c r="D188" i="13"/>
  <c r="E187" i="13"/>
  <c r="D187" i="13"/>
  <c r="E186" i="13"/>
  <c r="D186" i="13"/>
  <c r="E185" i="13"/>
  <c r="D185" i="13"/>
  <c r="E184" i="13"/>
  <c r="D184" i="13"/>
  <c r="E183" i="13"/>
  <c r="D183" i="13"/>
  <c r="E182" i="13"/>
  <c r="D182" i="13"/>
  <c r="E181" i="13"/>
  <c r="D181" i="13"/>
  <c r="E180" i="13"/>
  <c r="D180" i="13"/>
  <c r="E179" i="13"/>
  <c r="D179" i="13"/>
  <c r="E178" i="13"/>
  <c r="D178" i="13"/>
  <c r="E177" i="13"/>
  <c r="D177" i="13"/>
  <c r="E176" i="13"/>
  <c r="D176" i="13"/>
  <c r="E175" i="13"/>
  <c r="D175" i="13"/>
  <c r="E174" i="13"/>
  <c r="D174" i="13"/>
  <c r="E172" i="13"/>
  <c r="D172" i="13"/>
  <c r="M183" i="13"/>
  <c r="M182" i="13"/>
  <c r="M181" i="13"/>
  <c r="M180" i="13"/>
  <c r="M179" i="13"/>
  <c r="M178" i="13"/>
  <c r="M177" i="13"/>
  <c r="M176" i="13"/>
  <c r="M175" i="13"/>
  <c r="M174" i="13"/>
  <c r="M173" i="13"/>
  <c r="M172" i="13"/>
  <c r="M195" i="13" s="1"/>
  <c r="I70" i="13"/>
  <c r="I69" i="13"/>
  <c r="I68" i="13"/>
  <c r="I67" i="13"/>
  <c r="I72" i="13" s="1"/>
  <c r="M1237" i="9"/>
  <c r="M1238" i="9"/>
  <c r="M1239" i="9"/>
  <c r="M1240" i="9"/>
  <c r="M1236" i="9"/>
  <c r="M1235" i="9"/>
  <c r="M1234" i="9"/>
  <c r="M1233" i="9"/>
  <c r="M1232" i="9"/>
  <c r="M1231" i="9"/>
  <c r="M1230" i="9"/>
  <c r="M1229" i="9"/>
  <c r="M1228" i="9"/>
  <c r="M1227" i="9"/>
  <c r="M1226" i="9"/>
  <c r="M1225" i="9"/>
  <c r="M1224" i="9"/>
  <c r="M1223" i="9"/>
  <c r="M1222" i="9"/>
  <c r="M1221" i="9"/>
  <c r="M1220" i="9"/>
  <c r="M1219" i="9"/>
  <c r="M1218" i="9"/>
  <c r="M1217" i="9"/>
  <c r="M1216" i="9"/>
  <c r="M1215" i="9"/>
  <c r="M1214" i="9"/>
  <c r="M1213" i="9"/>
  <c r="M1212" i="9"/>
  <c r="M1211" i="9"/>
  <c r="M1210" i="9"/>
  <c r="M1209" i="9"/>
  <c r="M1208" i="9"/>
  <c r="M1207" i="9"/>
  <c r="M1206" i="9"/>
  <c r="M1205" i="9"/>
  <c r="M1204" i="9"/>
  <c r="M1203" i="9"/>
  <c r="M1202" i="9"/>
  <c r="M1201" i="9"/>
  <c r="M1200" i="9"/>
  <c r="M1199" i="9"/>
  <c r="M1198" i="9"/>
  <c r="M1197" i="9"/>
  <c r="M1196" i="9"/>
  <c r="M1195" i="9"/>
  <c r="M1194" i="9"/>
  <c r="M1193" i="9"/>
  <c r="M1192" i="9"/>
  <c r="M1191" i="9"/>
  <c r="M1190" i="9"/>
  <c r="M1189" i="9"/>
  <c r="M1188" i="9"/>
  <c r="M1187" i="9"/>
  <c r="M1186" i="9"/>
  <c r="M1185" i="9"/>
  <c r="M1184" i="9"/>
  <c r="M1183" i="9"/>
  <c r="M1182" i="9"/>
  <c r="M1181" i="9"/>
  <c r="M1180" i="9"/>
  <c r="M1179" i="9"/>
  <c r="M1178" i="9"/>
  <c r="M1177" i="9"/>
  <c r="M1176" i="9"/>
  <c r="M1175" i="9"/>
  <c r="M1174" i="9"/>
  <c r="M1173" i="9"/>
  <c r="M1172" i="9"/>
  <c r="M1171" i="9"/>
  <c r="M1170" i="9"/>
  <c r="M1169" i="9"/>
  <c r="M1168" i="9"/>
  <c r="M1167" i="9"/>
  <c r="M1166" i="9"/>
  <c r="M1165" i="9"/>
  <c r="M1164" i="9"/>
  <c r="M1163" i="9"/>
  <c r="M1162" i="9"/>
  <c r="M1161" i="9"/>
  <c r="M1160" i="9"/>
  <c r="M1159" i="9"/>
  <c r="M1158" i="9"/>
  <c r="M1157" i="9"/>
  <c r="M1241" i="9" s="1"/>
  <c r="D1189" i="9"/>
  <c r="E1189" i="9"/>
  <c r="D1190" i="9"/>
  <c r="E1190" i="9"/>
  <c r="D1191" i="9"/>
  <c r="E1191" i="9"/>
  <c r="D1192" i="9"/>
  <c r="E1192" i="9"/>
  <c r="D1193" i="9"/>
  <c r="E1193" i="9"/>
  <c r="D1194" i="9"/>
  <c r="E1194" i="9"/>
  <c r="D1195" i="9"/>
  <c r="E1195" i="9"/>
  <c r="D1196" i="9"/>
  <c r="E1196" i="9"/>
  <c r="D1197" i="9"/>
  <c r="E1197" i="9"/>
  <c r="D1198" i="9"/>
  <c r="E1198" i="9"/>
  <c r="D1199" i="9"/>
  <c r="E1199" i="9"/>
  <c r="D1200" i="9"/>
  <c r="E1200" i="9"/>
  <c r="D1201" i="9"/>
  <c r="E1201" i="9"/>
  <c r="D1202" i="9"/>
  <c r="E1202" i="9"/>
  <c r="D1203" i="9"/>
  <c r="E1203" i="9"/>
  <c r="D1204" i="9"/>
  <c r="E1204" i="9"/>
  <c r="D1205" i="9"/>
  <c r="E1205" i="9"/>
  <c r="D1206" i="9"/>
  <c r="E1206" i="9"/>
  <c r="D1207" i="9"/>
  <c r="E1207" i="9"/>
  <c r="D1208" i="9"/>
  <c r="E1208" i="9"/>
  <c r="D1209" i="9"/>
  <c r="E1209" i="9"/>
  <c r="D1210" i="9"/>
  <c r="E1210" i="9"/>
  <c r="D1211" i="9"/>
  <c r="E1211" i="9"/>
  <c r="D1212" i="9"/>
  <c r="E1212" i="9"/>
  <c r="D1213" i="9"/>
  <c r="E1213" i="9"/>
  <c r="D1214" i="9"/>
  <c r="E1214" i="9"/>
  <c r="D1215" i="9"/>
  <c r="E1215" i="9"/>
  <c r="D1216" i="9"/>
  <c r="E1216" i="9"/>
  <c r="D1217" i="9"/>
  <c r="E1217" i="9"/>
  <c r="D1218" i="9"/>
  <c r="E1218" i="9"/>
  <c r="D1219" i="9"/>
  <c r="E1219" i="9"/>
  <c r="D1220" i="9"/>
  <c r="E1220" i="9"/>
  <c r="D1221" i="9"/>
  <c r="E1221" i="9"/>
  <c r="D1222" i="9"/>
  <c r="E1222" i="9"/>
  <c r="D1223" i="9"/>
  <c r="E1223" i="9"/>
  <c r="D1224" i="9"/>
  <c r="E1224" i="9"/>
  <c r="D1225" i="9"/>
  <c r="E1225" i="9"/>
  <c r="D1226" i="9"/>
  <c r="E1226" i="9"/>
  <c r="D1227" i="9"/>
  <c r="E1227" i="9"/>
  <c r="D1228" i="9"/>
  <c r="E1228" i="9"/>
  <c r="D1229" i="9"/>
  <c r="E1229" i="9"/>
  <c r="D1230" i="9"/>
  <c r="E1230" i="9"/>
  <c r="D1231" i="9"/>
  <c r="E1231" i="9"/>
  <c r="D1232" i="9"/>
  <c r="E1232" i="9"/>
  <c r="D1233" i="9"/>
  <c r="E1233" i="9"/>
  <c r="D1234" i="9"/>
  <c r="E1234" i="9"/>
  <c r="E1161" i="9"/>
  <c r="D1161" i="9"/>
  <c r="E1188" i="9"/>
  <c r="D1188" i="9"/>
  <c r="E1187" i="9"/>
  <c r="D1187" i="9"/>
  <c r="E1186" i="9"/>
  <c r="D1186" i="9"/>
  <c r="E1185" i="9"/>
  <c r="D1185" i="9"/>
  <c r="E1184" i="9"/>
  <c r="D1184" i="9"/>
  <c r="E1183" i="9"/>
  <c r="D1183" i="9"/>
  <c r="E1182" i="9"/>
  <c r="D1182" i="9"/>
  <c r="E1181" i="9"/>
  <c r="D1181" i="9"/>
  <c r="E1180" i="9"/>
  <c r="D1180" i="9"/>
  <c r="E1179" i="9"/>
  <c r="D1179" i="9"/>
  <c r="E1178" i="9"/>
  <c r="D1178" i="9"/>
  <c r="E1177" i="9"/>
  <c r="D1177" i="9"/>
  <c r="E1176" i="9"/>
  <c r="D1176" i="9"/>
  <c r="E1175" i="9"/>
  <c r="D1175" i="9"/>
  <c r="E1174" i="9"/>
  <c r="D1174" i="9"/>
  <c r="E1173" i="9"/>
  <c r="D1173" i="9"/>
  <c r="E1172" i="9"/>
  <c r="D1172" i="9"/>
  <c r="E1171" i="9"/>
  <c r="D1171" i="9"/>
  <c r="E1170" i="9"/>
  <c r="D1170" i="9"/>
  <c r="E1169" i="9"/>
  <c r="D1169" i="9"/>
  <c r="E1168" i="9"/>
  <c r="D1168" i="9"/>
  <c r="E1167" i="9"/>
  <c r="D1167" i="9"/>
  <c r="E1166" i="9"/>
  <c r="D1166" i="9"/>
  <c r="E1165" i="9"/>
  <c r="D1165" i="9"/>
  <c r="E1164" i="9"/>
  <c r="D1164" i="9"/>
  <c r="E1163" i="9"/>
  <c r="D1163" i="9"/>
  <c r="E1162" i="9"/>
  <c r="D1162" i="9"/>
  <c r="E1160" i="9"/>
  <c r="D1160" i="9"/>
  <c r="E1159" i="9"/>
  <c r="D1159" i="9"/>
  <c r="E1158" i="9"/>
  <c r="D1158" i="9"/>
  <c r="E1157" i="9"/>
  <c r="D1157" i="9"/>
  <c r="I390" i="9"/>
  <c r="I389" i="9"/>
  <c r="I388" i="9"/>
  <c r="I387" i="9"/>
  <c r="I386" i="9"/>
  <c r="I385" i="9"/>
  <c r="I384" i="9"/>
  <c r="I383" i="9"/>
  <c r="I382" i="9"/>
  <c r="I381" i="9"/>
  <c r="I380" i="9"/>
  <c r="I379" i="9"/>
  <c r="I378" i="9"/>
  <c r="I377" i="9"/>
  <c r="I376" i="9"/>
  <c r="I375" i="9"/>
  <c r="I374" i="9"/>
  <c r="I391" i="9" s="1"/>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M335" i="2"/>
  <c r="M334" i="2"/>
  <c r="M333" i="2"/>
  <c r="M332" i="2"/>
  <c r="M331" i="2"/>
  <c r="M330" i="2"/>
  <c r="M329" i="2"/>
  <c r="M328" i="2"/>
  <c r="M327" i="2"/>
  <c r="M326" i="2"/>
  <c r="M325" i="2"/>
  <c r="M324" i="2"/>
  <c r="M323" i="2"/>
  <c r="M322" i="2"/>
  <c r="M321" i="2"/>
  <c r="M366" i="2" s="1"/>
  <c r="E335" i="2"/>
  <c r="E334" i="2"/>
  <c r="E333" i="2"/>
  <c r="E332" i="2"/>
  <c r="E331" i="2"/>
  <c r="E330" i="2"/>
  <c r="E329" i="2"/>
  <c r="E328" i="2"/>
  <c r="E327" i="2"/>
  <c r="E326" i="2"/>
  <c r="E325" i="2"/>
  <c r="E324" i="2"/>
  <c r="E323" i="2"/>
  <c r="E322" i="2"/>
  <c r="E321" i="2"/>
  <c r="D335" i="2"/>
  <c r="D334" i="2"/>
  <c r="D333" i="2"/>
  <c r="D332" i="2"/>
  <c r="D331" i="2"/>
  <c r="D330" i="2"/>
  <c r="D329" i="2"/>
  <c r="D328" i="2"/>
  <c r="D327" i="2"/>
  <c r="D326" i="2"/>
  <c r="D325" i="2"/>
  <c r="D324" i="2"/>
  <c r="D323" i="2"/>
  <c r="D322" i="2"/>
  <c r="D321" i="2"/>
  <c r="I83" i="2"/>
  <c r="I84" i="2" s="1"/>
  <c r="S46" i="1"/>
  <c r="R46" i="1"/>
  <c r="Q46" i="1"/>
  <c r="P46" i="1"/>
  <c r="O46" i="1"/>
  <c r="M39" i="1"/>
  <c r="E41" i="1"/>
  <c r="L41" i="1"/>
  <c r="M41" i="1"/>
  <c r="N46" i="1"/>
  <c r="K46" i="1"/>
  <c r="J46" i="1"/>
  <c r="I46" i="1"/>
  <c r="H46" i="1"/>
  <c r="G46" i="1"/>
  <c r="F46" i="1"/>
  <c r="D46" i="1"/>
  <c r="AW14" i="20" a="1"/>
  <c r="AW15" i="20" a="1"/>
  <c r="AW17" i="20" a="1"/>
  <c r="AW18" i="20" a="1"/>
  <c r="AZ18" i="20"/>
  <c r="AK18" i="20"/>
  <c r="AK17" i="20"/>
  <c r="AZ16" i="20"/>
  <c r="AK16" i="20"/>
  <c r="AZ15" i="20"/>
  <c r="AK15" i="20"/>
  <c r="AZ14" i="20"/>
  <c r="AK14" i="20"/>
  <c r="N424" i="16" a="1"/>
  <c r="L424" i="16"/>
  <c r="K424" i="16"/>
  <c r="N423" i="16" a="1"/>
  <c r="L423" i="16"/>
  <c r="K423" i="16"/>
  <c r="N422" i="16" a="1"/>
  <c r="M422" i="16"/>
  <c r="L422" i="16"/>
  <c r="K422" i="16"/>
  <c r="N421" i="16" a="1"/>
  <c r="M421" i="16"/>
  <c r="L421" i="16"/>
  <c r="K421" i="16"/>
  <c r="N420" i="16" a="1"/>
  <c r="M420" i="16"/>
  <c r="L420" i="16"/>
  <c r="K420" i="16"/>
  <c r="N419" i="16" a="1"/>
  <c r="M419" i="16"/>
  <c r="L419" i="16"/>
  <c r="K419" i="16"/>
  <c r="N418" i="16" a="1"/>
  <c r="M418" i="16"/>
  <c r="L418" i="16"/>
  <c r="K418" i="16"/>
  <c r="N417" i="16" a="1"/>
  <c r="M417" i="16"/>
  <c r="L417" i="16"/>
  <c r="K417" i="16"/>
  <c r="N416" i="16" a="1"/>
  <c r="M416" i="16"/>
  <c r="L416" i="16"/>
  <c r="K416" i="16"/>
  <c r="N415" i="16" a="1"/>
  <c r="M415" i="16"/>
  <c r="L415" i="16"/>
  <c r="K415" i="16"/>
  <c r="N414" i="16" a="1"/>
  <c r="M414" i="16"/>
  <c r="L414" i="16"/>
  <c r="K414" i="16"/>
  <c r="N413" i="16" a="1"/>
  <c r="M413" i="16"/>
  <c r="L413" i="16"/>
  <c r="K413" i="16"/>
  <c r="N412" i="16" a="1"/>
  <c r="M412" i="16"/>
  <c r="L412" i="16"/>
  <c r="K412" i="16"/>
  <c r="N411" i="16" a="1"/>
  <c r="M411" i="16"/>
  <c r="L411" i="16"/>
  <c r="K411" i="16"/>
  <c r="N410" i="16" a="1"/>
  <c r="M410" i="16"/>
  <c r="L410" i="16"/>
  <c r="K410" i="16"/>
  <c r="N409" i="16" a="1"/>
  <c r="M409" i="16"/>
  <c r="L409" i="16"/>
  <c r="K409" i="16"/>
  <c r="N408" i="16" a="1"/>
  <c r="M408" i="16"/>
  <c r="L408" i="16"/>
  <c r="K408" i="16"/>
  <c r="N407" i="16" a="1"/>
  <c r="M407" i="16"/>
  <c r="L407" i="16"/>
  <c r="K407" i="16"/>
  <c r="N406" i="16" a="1"/>
  <c r="M406" i="16"/>
  <c r="L406" i="16"/>
  <c r="K406" i="16"/>
  <c r="N405" i="16" a="1"/>
  <c r="M405" i="16"/>
  <c r="L405" i="16"/>
  <c r="K405" i="16"/>
  <c r="N404" i="16" a="1"/>
  <c r="M404" i="16"/>
  <c r="L404" i="16"/>
  <c r="K404" i="16"/>
  <c r="N403" i="16" a="1"/>
  <c r="M403" i="16"/>
  <c r="L403" i="16"/>
  <c r="K403" i="16"/>
  <c r="N402" i="16" a="1"/>
  <c r="M402" i="16"/>
  <c r="L402" i="16"/>
  <c r="K402" i="16"/>
  <c r="N401" i="16" a="1"/>
  <c r="M401" i="16"/>
  <c r="L401" i="16"/>
  <c r="K401" i="16"/>
  <c r="N400" i="16" a="1"/>
  <c r="M400" i="16"/>
  <c r="L400" i="16"/>
  <c r="K400" i="16"/>
  <c r="N399" i="16" a="1"/>
  <c r="L399" i="16"/>
  <c r="K399" i="16"/>
  <c r="N398" i="16" a="1"/>
  <c r="L398" i="16"/>
  <c r="K398" i="16"/>
  <c r="N397" i="16" a="1"/>
  <c r="L397" i="16"/>
  <c r="K397" i="16"/>
  <c r="N396" i="16" a="1"/>
  <c r="L396" i="16"/>
  <c r="K396" i="16"/>
  <c r="N395" i="16" a="1"/>
  <c r="L395" i="16"/>
  <c r="K395" i="16"/>
  <c r="N394" i="16" a="1"/>
  <c r="L394" i="16"/>
  <c r="K394" i="16"/>
  <c r="N393" i="16" a="1"/>
  <c r="L393" i="16"/>
  <c r="K393" i="16"/>
  <c r="N392" i="16" a="1"/>
  <c r="L392" i="16"/>
  <c r="K392" i="16"/>
  <c r="N391" i="16" a="1"/>
  <c r="L391" i="16"/>
  <c r="K391" i="16"/>
  <c r="N390" i="16" a="1"/>
  <c r="L390" i="16"/>
  <c r="K390" i="16"/>
  <c r="N389" i="16" a="1"/>
  <c r="L389" i="16"/>
  <c r="K389" i="16"/>
  <c r="N388" i="16" a="1"/>
  <c r="L388" i="16"/>
  <c r="K388" i="16"/>
  <c r="N387" i="16" a="1"/>
  <c r="L387" i="16"/>
  <c r="K387" i="16"/>
  <c r="N386" i="16" a="1"/>
  <c r="M386" i="16"/>
  <c r="L386" i="16"/>
  <c r="K386" i="16"/>
  <c r="N385" i="16" a="1"/>
  <c r="M385" i="16"/>
  <c r="L385" i="16"/>
  <c r="K385" i="16"/>
  <c r="Z424" i="16"/>
  <c r="Z423" i="16"/>
  <c r="Z422" i="16"/>
  <c r="Z421" i="16"/>
  <c r="Z420" i="16"/>
  <c r="Z419" i="16"/>
  <c r="Z418" i="16"/>
  <c r="Z417" i="16"/>
  <c r="Z416" i="16"/>
  <c r="Z415" i="16"/>
  <c r="Z414" i="16"/>
  <c r="Z413" i="16"/>
  <c r="Z412" i="16"/>
  <c r="Z411" i="16"/>
  <c r="Z410" i="16"/>
  <c r="Z409" i="16"/>
  <c r="Z408" i="16"/>
  <c r="Z407" i="16"/>
  <c r="Z406" i="16"/>
  <c r="Z405" i="16"/>
  <c r="Z404" i="16"/>
  <c r="Z403" i="16"/>
  <c r="Z402" i="16"/>
  <c r="Z401" i="16"/>
  <c r="AB401" i="16" s="1"/>
  <c r="AG401" i="16" s="1"/>
  <c r="Z400" i="16"/>
  <c r="Z399" i="16"/>
  <c r="Z398" i="16"/>
  <c r="Z397" i="16"/>
  <c r="Z396" i="16"/>
  <c r="Z395" i="16"/>
  <c r="Z394" i="16"/>
  <c r="Z393" i="16"/>
  <c r="Z392" i="16"/>
  <c r="Z391" i="16"/>
  <c r="Z390" i="16"/>
  <c r="Z389" i="16"/>
  <c r="Z388" i="16"/>
  <c r="Z387" i="16"/>
  <c r="Z386" i="16"/>
  <c r="Z385" i="16"/>
  <c r="AB424" i="16"/>
  <c r="AG424" i="16" s="1"/>
  <c r="AB423" i="16"/>
  <c r="AG423" i="16" s="1"/>
  <c r="AB420" i="16"/>
  <c r="AG420" i="16" s="1"/>
  <c r="AB418" i="16"/>
  <c r="AG418" i="16" s="1"/>
  <c r="AB417" i="16"/>
  <c r="AG417" i="16" s="1"/>
  <c r="AB411" i="16"/>
  <c r="AG411" i="16" s="1"/>
  <c r="AB406" i="16"/>
  <c r="AG406" i="16" s="1"/>
  <c r="AB405" i="16"/>
  <c r="AG405" i="16" s="1"/>
  <c r="AB404" i="16"/>
  <c r="AG404" i="16" s="1"/>
  <c r="AB403" i="16"/>
  <c r="AG403" i="16" s="1"/>
  <c r="AB402" i="16"/>
  <c r="AG402" i="16" s="1"/>
  <c r="AB400" i="16"/>
  <c r="AG400" i="16" s="1"/>
  <c r="AB399" i="16"/>
  <c r="AG399" i="16" s="1"/>
  <c r="AB398" i="16"/>
  <c r="AG398" i="16" s="1"/>
  <c r="AB397" i="16"/>
  <c r="AG397" i="16" s="1"/>
  <c r="AB396" i="16"/>
  <c r="AG396" i="16" s="1"/>
  <c r="AB395" i="16"/>
  <c r="AG395" i="16" s="1"/>
  <c r="AB394" i="16"/>
  <c r="AG394" i="16" s="1"/>
  <c r="AB393" i="16"/>
  <c r="AG393" i="16" s="1"/>
  <c r="AB392" i="16"/>
  <c r="AG392" i="16" s="1"/>
  <c r="AB391" i="16"/>
  <c r="AG391" i="16" s="1"/>
  <c r="AB390" i="16"/>
  <c r="AG390" i="16" s="1"/>
  <c r="AB389" i="16"/>
  <c r="AG389" i="16" s="1"/>
  <c r="AB388" i="16"/>
  <c r="AG388" i="16" s="1"/>
  <c r="AB387" i="16"/>
  <c r="AG387" i="16" s="1"/>
  <c r="AB386" i="16"/>
  <c r="AG386" i="16" s="1"/>
  <c r="AB385" i="16"/>
  <c r="AG385" i="16" s="1"/>
  <c r="L29" i="14"/>
  <c r="L28" i="14"/>
  <c r="L27" i="14"/>
  <c r="L30" i="14" s="1"/>
  <c r="E700" i="11"/>
  <c r="D700" i="11"/>
  <c r="E699" i="11"/>
  <c r="D699" i="11"/>
  <c r="E698" i="11"/>
  <c r="D698" i="11"/>
  <c r="E697" i="11"/>
  <c r="D697" i="11"/>
  <c r="E695" i="11"/>
  <c r="D695" i="11"/>
  <c r="E694" i="11"/>
  <c r="D694" i="11"/>
  <c r="E693" i="11"/>
  <c r="D693" i="11"/>
  <c r="E692" i="11"/>
  <c r="D692" i="11"/>
  <c r="E691" i="11"/>
  <c r="D691" i="11"/>
  <c r="E690" i="11"/>
  <c r="D690" i="11"/>
  <c r="E689" i="11"/>
  <c r="D689" i="11"/>
  <c r="E688" i="11"/>
  <c r="D688" i="11"/>
  <c r="E686" i="11"/>
  <c r="D686" i="11"/>
  <c r="E685" i="11"/>
  <c r="D685" i="11"/>
  <c r="E683" i="11"/>
  <c r="D683" i="11"/>
  <c r="E682" i="11"/>
  <c r="D682" i="11"/>
  <c r="E681" i="11"/>
  <c r="D681" i="11"/>
  <c r="E680" i="11"/>
  <c r="D680" i="11"/>
  <c r="E679" i="11"/>
  <c r="D679" i="11"/>
  <c r="E676" i="11"/>
  <c r="D676" i="11"/>
  <c r="E674" i="11"/>
  <c r="D674" i="11"/>
  <c r="E673" i="11"/>
  <c r="D673" i="11"/>
  <c r="E670" i="11"/>
  <c r="D670" i="11"/>
  <c r="E669" i="11"/>
  <c r="D669" i="11"/>
  <c r="E668" i="11"/>
  <c r="D668" i="11"/>
  <c r="D667" i="11"/>
  <c r="D665" i="11"/>
  <c r="E662" i="11"/>
  <c r="D662" i="11"/>
  <c r="E661" i="11"/>
  <c r="D661" i="11"/>
  <c r="E660" i="11"/>
  <c r="D660" i="11"/>
  <c r="E659" i="11"/>
  <c r="D659" i="11"/>
  <c r="E658" i="11"/>
  <c r="D658" i="11"/>
  <c r="E657" i="11"/>
  <c r="D657" i="11"/>
  <c r="E656" i="11"/>
  <c r="D656" i="11"/>
  <c r="E655" i="11"/>
  <c r="D655" i="11"/>
  <c r="E654" i="11"/>
  <c r="D654" i="11"/>
  <c r="E653" i="11"/>
  <c r="D653" i="11"/>
  <c r="E652" i="11"/>
  <c r="D652" i="11"/>
  <c r="E651" i="11"/>
  <c r="D651" i="11"/>
  <c r="E650" i="11"/>
  <c r="D650" i="11"/>
  <c r="E649" i="11"/>
  <c r="D649" i="11"/>
  <c r="E648" i="11"/>
  <c r="D648" i="11"/>
  <c r="E647" i="11"/>
  <c r="D647" i="11"/>
  <c r="E646" i="11"/>
  <c r="D646" i="11"/>
  <c r="E645" i="11"/>
  <c r="D645" i="11"/>
  <c r="E644" i="11"/>
  <c r="D644" i="11"/>
  <c r="E643" i="11"/>
  <c r="D643" i="11"/>
  <c r="E642" i="11"/>
  <c r="D642" i="11"/>
  <c r="E641" i="11"/>
  <c r="D641" i="11"/>
  <c r="E640" i="11"/>
  <c r="D640" i="11"/>
  <c r="E639" i="11"/>
  <c r="D639" i="11"/>
  <c r="E638" i="11"/>
  <c r="D638" i="11"/>
  <c r="E637" i="11"/>
  <c r="D637" i="11"/>
  <c r="E636" i="11"/>
  <c r="D636" i="11"/>
  <c r="E635" i="11"/>
  <c r="D635" i="11"/>
  <c r="E634" i="11"/>
  <c r="D634" i="11"/>
  <c r="E633" i="11"/>
  <c r="D633" i="11"/>
  <c r="E632" i="11"/>
  <c r="D632" i="11"/>
  <c r="E631" i="11"/>
  <c r="D631" i="11"/>
  <c r="E630" i="11"/>
  <c r="D630" i="11"/>
  <c r="E629" i="11"/>
  <c r="D629" i="11"/>
  <c r="E628" i="11"/>
  <c r="D628" i="11"/>
  <c r="E627" i="11"/>
  <c r="D627" i="11"/>
  <c r="E626" i="11"/>
  <c r="D626" i="11"/>
  <c r="E625" i="11"/>
  <c r="D625" i="11"/>
  <c r="E624" i="11"/>
  <c r="D624" i="11"/>
  <c r="E623" i="11"/>
  <c r="D623" i="11"/>
  <c r="E622" i="11"/>
  <c r="D622" i="11"/>
  <c r="E621" i="11"/>
  <c r="D621" i="11"/>
  <c r="E620" i="11"/>
  <c r="D620" i="11"/>
  <c r="E619" i="11"/>
  <c r="D619" i="11"/>
  <c r="E618" i="11"/>
  <c r="D618" i="11"/>
  <c r="E617" i="11"/>
  <c r="D617" i="11"/>
  <c r="E616" i="11"/>
  <c r="D616" i="11"/>
  <c r="E615" i="11"/>
  <c r="D615" i="11"/>
  <c r="E614" i="11"/>
  <c r="D614" i="11"/>
  <c r="E613" i="11"/>
  <c r="D613" i="11"/>
  <c r="E612" i="11"/>
  <c r="D612" i="11"/>
  <c r="E611" i="11"/>
  <c r="D611" i="11"/>
  <c r="E610" i="11"/>
  <c r="D610" i="11"/>
  <c r="E609" i="11"/>
  <c r="D609" i="11"/>
  <c r="E608" i="11"/>
  <c r="D608" i="11"/>
  <c r="E607" i="11"/>
  <c r="D607" i="11"/>
  <c r="E606" i="11"/>
  <c r="D606" i="11"/>
  <c r="E605" i="11"/>
  <c r="D605" i="11"/>
  <c r="E604" i="11"/>
  <c r="D604" i="11"/>
  <c r="E603" i="11"/>
  <c r="D603" i="11"/>
  <c r="E602" i="11"/>
  <c r="D602" i="11"/>
  <c r="E601" i="11"/>
  <c r="D601" i="11"/>
  <c r="E600" i="11"/>
  <c r="D600" i="11"/>
  <c r="E599" i="11"/>
  <c r="D599" i="11"/>
  <c r="E598" i="11"/>
  <c r="D598" i="11"/>
  <c r="E597" i="11"/>
  <c r="D597" i="11"/>
  <c r="E596" i="11"/>
  <c r="D596" i="11"/>
  <c r="E595" i="11"/>
  <c r="D595" i="11"/>
  <c r="E594" i="11"/>
  <c r="D594" i="11"/>
  <c r="E593" i="11"/>
  <c r="D593" i="11"/>
  <c r="E592" i="11"/>
  <c r="D592" i="11"/>
  <c r="E591" i="11"/>
  <c r="D591" i="11"/>
  <c r="E590" i="11"/>
  <c r="D590" i="11"/>
  <c r="E589" i="11"/>
  <c r="D589" i="11"/>
  <c r="E588" i="11"/>
  <c r="D588" i="11"/>
  <c r="E587" i="11"/>
  <c r="D587" i="11"/>
  <c r="E586" i="11"/>
  <c r="D586" i="11"/>
  <c r="E585" i="11"/>
  <c r="D585" i="11"/>
  <c r="E584" i="11"/>
  <c r="D584" i="11"/>
  <c r="E583" i="11"/>
  <c r="D583" i="11"/>
  <c r="E582" i="11"/>
  <c r="D582" i="11"/>
  <c r="E581" i="11"/>
  <c r="D581" i="11"/>
  <c r="E579" i="11"/>
  <c r="D579" i="11"/>
  <c r="E578" i="11"/>
  <c r="D578" i="11"/>
  <c r="M700" i="11"/>
  <c r="M699" i="11"/>
  <c r="M698" i="11"/>
  <c r="M697" i="11"/>
  <c r="M696" i="11"/>
  <c r="M695" i="11"/>
  <c r="M694" i="11"/>
  <c r="M693" i="11"/>
  <c r="M692" i="11"/>
  <c r="M691" i="11"/>
  <c r="M690" i="11"/>
  <c r="M689" i="11"/>
  <c r="M688" i="11"/>
  <c r="M687" i="11"/>
  <c r="M686" i="11"/>
  <c r="M685" i="11"/>
  <c r="M684" i="11"/>
  <c r="M683" i="11"/>
  <c r="M682" i="11"/>
  <c r="M681" i="11"/>
  <c r="M680" i="11"/>
  <c r="M679" i="11"/>
  <c r="M678" i="11"/>
  <c r="M677" i="11"/>
  <c r="M676" i="11"/>
  <c r="M675" i="11"/>
  <c r="M674" i="11"/>
  <c r="M673" i="11"/>
  <c r="M672" i="11"/>
  <c r="M671" i="11"/>
  <c r="M670" i="11"/>
  <c r="M669" i="11"/>
  <c r="M668" i="11"/>
  <c r="M667" i="11"/>
  <c r="M666" i="11"/>
  <c r="M665" i="11"/>
  <c r="M664" i="11"/>
  <c r="M663" i="11"/>
  <c r="M662" i="11"/>
  <c r="M661" i="11"/>
  <c r="M660" i="11"/>
  <c r="M659" i="11"/>
  <c r="M658" i="11"/>
  <c r="M657" i="11"/>
  <c r="M656" i="11"/>
  <c r="M655" i="11"/>
  <c r="M654" i="11"/>
  <c r="M653" i="11"/>
  <c r="M652" i="11"/>
  <c r="M651" i="11"/>
  <c r="M650" i="11"/>
  <c r="M649" i="11"/>
  <c r="M648" i="11"/>
  <c r="M647" i="11"/>
  <c r="M646" i="11"/>
  <c r="M645" i="11"/>
  <c r="M644" i="11"/>
  <c r="M643" i="11"/>
  <c r="M642" i="11"/>
  <c r="M641" i="11"/>
  <c r="M640" i="11"/>
  <c r="M639" i="11"/>
  <c r="M638" i="11"/>
  <c r="M637" i="11"/>
  <c r="M636" i="11"/>
  <c r="M635" i="11"/>
  <c r="M634" i="11"/>
  <c r="M633" i="11"/>
  <c r="M632" i="11"/>
  <c r="M631" i="11"/>
  <c r="M630" i="11"/>
  <c r="M629" i="11"/>
  <c r="M628" i="11"/>
  <c r="M627" i="11"/>
  <c r="M626" i="11"/>
  <c r="M625" i="11"/>
  <c r="M624" i="11"/>
  <c r="M623" i="11"/>
  <c r="M622" i="11"/>
  <c r="M621" i="11"/>
  <c r="M620" i="11"/>
  <c r="M619" i="11"/>
  <c r="M618" i="11"/>
  <c r="M617" i="11"/>
  <c r="M616" i="11"/>
  <c r="M615" i="11"/>
  <c r="M614" i="11"/>
  <c r="M613" i="11"/>
  <c r="M612" i="11"/>
  <c r="M611" i="11"/>
  <c r="M610" i="11"/>
  <c r="M609" i="11"/>
  <c r="M608" i="11"/>
  <c r="M607" i="11"/>
  <c r="M606" i="11"/>
  <c r="M605" i="11"/>
  <c r="M604" i="11"/>
  <c r="M603" i="11"/>
  <c r="M602" i="11"/>
  <c r="M601" i="11"/>
  <c r="M600" i="11"/>
  <c r="M599" i="11"/>
  <c r="M598" i="11"/>
  <c r="M597" i="11"/>
  <c r="M596" i="11"/>
  <c r="M595" i="11"/>
  <c r="M594" i="11"/>
  <c r="M593" i="11"/>
  <c r="M592" i="11"/>
  <c r="M591" i="11"/>
  <c r="M590" i="11"/>
  <c r="M589" i="11"/>
  <c r="M588" i="11"/>
  <c r="M587" i="11"/>
  <c r="M586" i="11"/>
  <c r="M585" i="11"/>
  <c r="M584" i="11"/>
  <c r="M583" i="11"/>
  <c r="M582" i="11"/>
  <c r="M581" i="11"/>
  <c r="M580" i="11"/>
  <c r="M579" i="11"/>
  <c r="M578" i="11"/>
  <c r="M701" i="11" s="1"/>
  <c r="I192" i="11"/>
  <c r="I191" i="11"/>
  <c r="I190" i="11"/>
  <c r="I189" i="11"/>
  <c r="I188" i="11"/>
  <c r="I187" i="11"/>
  <c r="I186" i="11"/>
  <c r="I185" i="11"/>
  <c r="I184" i="11"/>
  <c r="I183" i="11"/>
  <c r="I182" i="11"/>
  <c r="I181" i="11"/>
  <c r="I193" i="11" s="1"/>
  <c r="M170" i="13"/>
  <c r="M169" i="13"/>
  <c r="M168" i="13"/>
  <c r="M167" i="13"/>
  <c r="M166" i="13"/>
  <c r="M165" i="13"/>
  <c r="M164" i="13"/>
  <c r="M163" i="13"/>
  <c r="M162" i="13"/>
  <c r="M161" i="13"/>
  <c r="M160" i="13"/>
  <c r="M159" i="13"/>
  <c r="M158" i="13"/>
  <c r="M157" i="13"/>
  <c r="M156" i="13"/>
  <c r="M155" i="13"/>
  <c r="M154" i="13"/>
  <c r="M153" i="13"/>
  <c r="M152" i="13"/>
  <c r="M151" i="13"/>
  <c r="M150" i="13"/>
  <c r="M149" i="13"/>
  <c r="M148" i="13"/>
  <c r="M147" i="13"/>
  <c r="M171" i="13" s="1"/>
  <c r="I65" i="13"/>
  <c r="I64" i="13"/>
  <c r="I63" i="13"/>
  <c r="I62" i="13"/>
  <c r="I66" i="13" s="1"/>
  <c r="E1155" i="9"/>
  <c r="D1155" i="9"/>
  <c r="E1154" i="9"/>
  <c r="D1154" i="9"/>
  <c r="E1153" i="9"/>
  <c r="D1153" i="9"/>
  <c r="E1152" i="9"/>
  <c r="D1152" i="9"/>
  <c r="E1151" i="9"/>
  <c r="D1151" i="9"/>
  <c r="E1150" i="9"/>
  <c r="D1150" i="9"/>
  <c r="E1149" i="9"/>
  <c r="D1149" i="9"/>
  <c r="E1148" i="9"/>
  <c r="D1148" i="9"/>
  <c r="E1147" i="9"/>
  <c r="D1147" i="9"/>
  <c r="E1146" i="9"/>
  <c r="D1146" i="9"/>
  <c r="E1145" i="9"/>
  <c r="D1145" i="9"/>
  <c r="E1144" i="9"/>
  <c r="D1144" i="9"/>
  <c r="E1143" i="9"/>
  <c r="D1143" i="9"/>
  <c r="E1142" i="9"/>
  <c r="D1142" i="9"/>
  <c r="E1141" i="9"/>
  <c r="E1140" i="9"/>
  <c r="D1140" i="9"/>
  <c r="E1139" i="9"/>
  <c r="D1139" i="9"/>
  <c r="E1138" i="9"/>
  <c r="D1138" i="9"/>
  <c r="E1137" i="9"/>
  <c r="D1137" i="9"/>
  <c r="E1136" i="9"/>
  <c r="D1136" i="9"/>
  <c r="E1135" i="9"/>
  <c r="D1135" i="9"/>
  <c r="E1134" i="9"/>
  <c r="D1134" i="9"/>
  <c r="E1133" i="9"/>
  <c r="D1133" i="9"/>
  <c r="E1132" i="9"/>
  <c r="D1132" i="9"/>
  <c r="E1131" i="9"/>
  <c r="D1131" i="9"/>
  <c r="E1130" i="9"/>
  <c r="D1130" i="9"/>
  <c r="E1129" i="9"/>
  <c r="D1129" i="9"/>
  <c r="E1128" i="9"/>
  <c r="D1128" i="9"/>
  <c r="E1127" i="9"/>
  <c r="D1127" i="9"/>
  <c r="E1126" i="9"/>
  <c r="D1126" i="9"/>
  <c r="E1125" i="9"/>
  <c r="D1125" i="9"/>
  <c r="E1124" i="9"/>
  <c r="D1124" i="9"/>
  <c r="E1123" i="9"/>
  <c r="D1123" i="9"/>
  <c r="E1122" i="9"/>
  <c r="D1122" i="9"/>
  <c r="E1121" i="9"/>
  <c r="D1121" i="9"/>
  <c r="E1120" i="9"/>
  <c r="D1120" i="9"/>
  <c r="E1119" i="9"/>
  <c r="D1119" i="9"/>
  <c r="E1118" i="9"/>
  <c r="D1118" i="9"/>
  <c r="E1117" i="9"/>
  <c r="D1117" i="9"/>
  <c r="E1116" i="9"/>
  <c r="D1116" i="9"/>
  <c r="E1115" i="9"/>
  <c r="D1115" i="9"/>
  <c r="E1114" i="9"/>
  <c r="D1114" i="9"/>
  <c r="E1113" i="9"/>
  <c r="D1113" i="9"/>
  <c r="E1112" i="9"/>
  <c r="D1112" i="9"/>
  <c r="E1111" i="9"/>
  <c r="D1111" i="9"/>
  <c r="E1110" i="9"/>
  <c r="D1110" i="9"/>
  <c r="E1109" i="9"/>
  <c r="D1109" i="9"/>
  <c r="E1108" i="9"/>
  <c r="D1108" i="9"/>
  <c r="E1107" i="9"/>
  <c r="D1107" i="9"/>
  <c r="E1106" i="9"/>
  <c r="D1106" i="9"/>
  <c r="E1105" i="9"/>
  <c r="D1105" i="9"/>
  <c r="E1104" i="9"/>
  <c r="D1104" i="9"/>
  <c r="E1103" i="9"/>
  <c r="D1103" i="9"/>
  <c r="E1102" i="9"/>
  <c r="D1102" i="9"/>
  <c r="E1101" i="9"/>
  <c r="D1101" i="9"/>
  <c r="E1100" i="9"/>
  <c r="D1100" i="9"/>
  <c r="E1099" i="9"/>
  <c r="D1099" i="9"/>
  <c r="E1098" i="9"/>
  <c r="D1098" i="9"/>
  <c r="E1097" i="9"/>
  <c r="D1097" i="9"/>
  <c r="E1096" i="9"/>
  <c r="D1096" i="9"/>
  <c r="E1095" i="9"/>
  <c r="D1095" i="9"/>
  <c r="E1094" i="9"/>
  <c r="D1094" i="9"/>
  <c r="E1093" i="9"/>
  <c r="D1093" i="9"/>
  <c r="E1092" i="9"/>
  <c r="D1092" i="9"/>
  <c r="E1091" i="9"/>
  <c r="D1091" i="9"/>
  <c r="E1090" i="9"/>
  <c r="D1090" i="9"/>
  <c r="E1089" i="9"/>
  <c r="D1089" i="9"/>
  <c r="E1088" i="9"/>
  <c r="D1088" i="9"/>
  <c r="E1087" i="9"/>
  <c r="D1087" i="9"/>
  <c r="E1086" i="9"/>
  <c r="D1086" i="9"/>
  <c r="E1085" i="9"/>
  <c r="D1085" i="9"/>
  <c r="E1084" i="9"/>
  <c r="D1084" i="9"/>
  <c r="E1083" i="9"/>
  <c r="D1083" i="9"/>
  <c r="E1082" i="9"/>
  <c r="D1082" i="9"/>
  <c r="E1081" i="9"/>
  <c r="D1081" i="9"/>
  <c r="E1080" i="9"/>
  <c r="D1080" i="9"/>
  <c r="E1079" i="9"/>
  <c r="D1079" i="9"/>
  <c r="E1078" i="9"/>
  <c r="D1078" i="9"/>
  <c r="E1077" i="9"/>
  <c r="D1077" i="9"/>
  <c r="E1076" i="9"/>
  <c r="D1076" i="9"/>
  <c r="E1075" i="9"/>
  <c r="D1075" i="9"/>
  <c r="E1074" i="9"/>
  <c r="D1074" i="9"/>
  <c r="E1073" i="9"/>
  <c r="D1073" i="9"/>
  <c r="E1072" i="9"/>
  <c r="D1072" i="9"/>
  <c r="E1071" i="9"/>
  <c r="D1071" i="9"/>
  <c r="E1070" i="9"/>
  <c r="D1070" i="9"/>
  <c r="E1069" i="9"/>
  <c r="D1069" i="9"/>
  <c r="E1068" i="9"/>
  <c r="D1068" i="9"/>
  <c r="E1067" i="9"/>
  <c r="D1067" i="9"/>
  <c r="E1066" i="9"/>
  <c r="D1066" i="9"/>
  <c r="E1065" i="9"/>
  <c r="D1065" i="9"/>
  <c r="E1064" i="9"/>
  <c r="D1064" i="9"/>
  <c r="E1063" i="9"/>
  <c r="D1063" i="9"/>
  <c r="E1062" i="9"/>
  <c r="D1062" i="9"/>
  <c r="E1061" i="9"/>
  <c r="D1061" i="9"/>
  <c r="E1060" i="9"/>
  <c r="D1060" i="9"/>
  <c r="E1059" i="9"/>
  <c r="D1059" i="9"/>
  <c r="E1058" i="9"/>
  <c r="D1058" i="9"/>
  <c r="E1057" i="9"/>
  <c r="D1057" i="9"/>
  <c r="E1056" i="9"/>
  <c r="D1056" i="9"/>
  <c r="E1055" i="9"/>
  <c r="D1055" i="9"/>
  <c r="E1054" i="9"/>
  <c r="D1054" i="9"/>
  <c r="E1053" i="9"/>
  <c r="D1053" i="9"/>
  <c r="E1052" i="9"/>
  <c r="D1052" i="9"/>
  <c r="E1051" i="9"/>
  <c r="D1051" i="9"/>
  <c r="E1050" i="9"/>
  <c r="D1050" i="9"/>
  <c r="E1049" i="9"/>
  <c r="D1049" i="9"/>
  <c r="M1155" i="9"/>
  <c r="M1154" i="9"/>
  <c r="M1153" i="9"/>
  <c r="M1152" i="9"/>
  <c r="M1151" i="9"/>
  <c r="M1150" i="9"/>
  <c r="M1149" i="9"/>
  <c r="M1148" i="9"/>
  <c r="M1147" i="9"/>
  <c r="M1146" i="9"/>
  <c r="M1145" i="9"/>
  <c r="M1144" i="9"/>
  <c r="M1143" i="9"/>
  <c r="M1142" i="9"/>
  <c r="M1141" i="9"/>
  <c r="M1140" i="9"/>
  <c r="M1139" i="9"/>
  <c r="M1138" i="9"/>
  <c r="M1137" i="9"/>
  <c r="M1136" i="9"/>
  <c r="M1135" i="9"/>
  <c r="M1134" i="9"/>
  <c r="M1133" i="9"/>
  <c r="M1132" i="9"/>
  <c r="M1131" i="9"/>
  <c r="M1130" i="9"/>
  <c r="M1129" i="9"/>
  <c r="M1128" i="9"/>
  <c r="M1127" i="9"/>
  <c r="M1126" i="9"/>
  <c r="M1125" i="9"/>
  <c r="M1124" i="9"/>
  <c r="M1123" i="9"/>
  <c r="M1122" i="9"/>
  <c r="M1121" i="9"/>
  <c r="M1120" i="9"/>
  <c r="M1119" i="9"/>
  <c r="M1118" i="9"/>
  <c r="M1117" i="9"/>
  <c r="M1116" i="9"/>
  <c r="M1115" i="9"/>
  <c r="M1114" i="9"/>
  <c r="M1113" i="9"/>
  <c r="M1112" i="9"/>
  <c r="M1111" i="9"/>
  <c r="M1110" i="9"/>
  <c r="M1109" i="9"/>
  <c r="M1108" i="9"/>
  <c r="M1107" i="9"/>
  <c r="M1106" i="9"/>
  <c r="M1105" i="9"/>
  <c r="M1104" i="9"/>
  <c r="M1103" i="9"/>
  <c r="M1102" i="9"/>
  <c r="M1101" i="9"/>
  <c r="M1100" i="9"/>
  <c r="M1099" i="9"/>
  <c r="M1098" i="9"/>
  <c r="M1097" i="9"/>
  <c r="M1096" i="9"/>
  <c r="M1095" i="9"/>
  <c r="M1094" i="9"/>
  <c r="M1093" i="9"/>
  <c r="M1092" i="9"/>
  <c r="M1091" i="9"/>
  <c r="M1090" i="9"/>
  <c r="M1089" i="9"/>
  <c r="M1088" i="9"/>
  <c r="M1087" i="9"/>
  <c r="M1086" i="9"/>
  <c r="M1085" i="9"/>
  <c r="M1084" i="9"/>
  <c r="M1083" i="9"/>
  <c r="M1082" i="9"/>
  <c r="M1081" i="9"/>
  <c r="M1080" i="9"/>
  <c r="M1079" i="9"/>
  <c r="M1078" i="9"/>
  <c r="M1077" i="9"/>
  <c r="M1076" i="9"/>
  <c r="M1075" i="9"/>
  <c r="M1074" i="9"/>
  <c r="M1073" i="9"/>
  <c r="M1072" i="9"/>
  <c r="M1071" i="9"/>
  <c r="M1070" i="9"/>
  <c r="M1069" i="9"/>
  <c r="M1068" i="9"/>
  <c r="M1067" i="9"/>
  <c r="M1066" i="9"/>
  <c r="M1065" i="9"/>
  <c r="M1064" i="9"/>
  <c r="M1063" i="9"/>
  <c r="M1062" i="9"/>
  <c r="M1061" i="9"/>
  <c r="M1060" i="9"/>
  <c r="M1059" i="9"/>
  <c r="M1058" i="9"/>
  <c r="M1057" i="9"/>
  <c r="M1056" i="9"/>
  <c r="M1055" i="9"/>
  <c r="M1054" i="9"/>
  <c r="M1053" i="9"/>
  <c r="M1052" i="9"/>
  <c r="M1051" i="9"/>
  <c r="M1050" i="9"/>
  <c r="M1049" i="9"/>
  <c r="M1156" i="9" s="1"/>
  <c r="I372" i="9"/>
  <c r="I371" i="9"/>
  <c r="I370" i="9"/>
  <c r="I369" i="9"/>
  <c r="I368" i="9"/>
  <c r="I367" i="9"/>
  <c r="I366" i="9"/>
  <c r="I365" i="9"/>
  <c r="I364" i="9"/>
  <c r="I363" i="9"/>
  <c r="I362" i="9"/>
  <c r="I361" i="9"/>
  <c r="I360" i="9"/>
  <c r="I359" i="9"/>
  <c r="I358" i="9"/>
  <c r="I357" i="9"/>
  <c r="I356" i="9"/>
  <c r="I355" i="9"/>
  <c r="I354" i="9"/>
  <c r="I353" i="9"/>
  <c r="I352" i="9"/>
  <c r="I351" i="9"/>
  <c r="I373" i="9" s="1"/>
  <c r="D53" i="22" l="1"/>
  <c r="C53" i="22"/>
  <c r="Q12" i="22"/>
  <c r="L13" i="22"/>
  <c r="Q13" i="22" s="1"/>
  <c r="M11" i="22"/>
  <c r="L14" i="22"/>
  <c r="L15" i="22" s="1"/>
  <c r="L11" i="22"/>
  <c r="Q11" i="22" s="1"/>
  <c r="Q10" i="22"/>
  <c r="J7" i="22"/>
  <c r="U18" i="1"/>
  <c r="M37" i="23"/>
  <c r="M72" i="23" s="1"/>
  <c r="E37" i="23"/>
  <c r="E72" i="23" s="1"/>
  <c r="M1161" i="11"/>
  <c r="E701" i="11"/>
  <c r="L1162" i="11"/>
  <c r="E871" i="11"/>
  <c r="E195" i="13"/>
  <c r="E1241" i="9"/>
  <c r="E1156" i="9"/>
  <c r="E366" i="2"/>
  <c r="W132" i="19"/>
  <c r="W139" i="19"/>
  <c r="W133" i="19"/>
  <c r="W127" i="19"/>
  <c r="W126" i="19"/>
  <c r="W112" i="19"/>
  <c r="W124" i="19"/>
  <c r="W130" i="19"/>
  <c r="W135" i="19"/>
  <c r="W128" i="19"/>
  <c r="W122" i="19"/>
  <c r="W131" i="19"/>
  <c r="W121" i="19"/>
  <c r="W125" i="19"/>
  <c r="W138" i="19"/>
  <c r="W137" i="19"/>
  <c r="W134" i="19"/>
  <c r="W115" i="19"/>
  <c r="W136" i="19"/>
  <c r="W119" i="19"/>
  <c r="W118" i="19"/>
  <c r="W129" i="19"/>
  <c r="U48" i="1"/>
  <c r="AG440" i="16"/>
  <c r="M603" i="16"/>
  <c r="O603" i="16" s="1"/>
  <c r="U51" i="1"/>
  <c r="E210" i="11"/>
  <c r="E209" i="11"/>
  <c r="E208" i="11"/>
  <c r="E207" i="11"/>
  <c r="E206" i="11"/>
  <c r="E205" i="11"/>
  <c r="E204" i="11"/>
  <c r="E203" i="11"/>
  <c r="E202" i="11"/>
  <c r="E201" i="11"/>
  <c r="E200" i="11"/>
  <c r="E199" i="11"/>
  <c r="E198" i="11"/>
  <c r="E197" i="11"/>
  <c r="E194" i="11"/>
  <c r="E192" i="11"/>
  <c r="E191" i="11"/>
  <c r="E190" i="11"/>
  <c r="E189" i="11"/>
  <c r="E188" i="11"/>
  <c r="E187" i="11"/>
  <c r="E186" i="11"/>
  <c r="E185" i="11"/>
  <c r="E184" i="11"/>
  <c r="E183" i="11"/>
  <c r="E179" i="11"/>
  <c r="E178" i="11"/>
  <c r="E177" i="11"/>
  <c r="E176" i="11"/>
  <c r="E175" i="11"/>
  <c r="E174" i="11"/>
  <c r="E173" i="11"/>
  <c r="E172" i="11"/>
  <c r="E171" i="11"/>
  <c r="E170" i="11"/>
  <c r="E169" i="11"/>
  <c r="E168" i="11"/>
  <c r="E167" i="11"/>
  <c r="E166" i="11"/>
  <c r="E165" i="11"/>
  <c r="E164" i="11"/>
  <c r="E163" i="11"/>
  <c r="D205" i="11"/>
  <c r="D210" i="11"/>
  <c r="D209" i="11"/>
  <c r="D208" i="11"/>
  <c r="D207" i="11"/>
  <c r="D206" i="11"/>
  <c r="E31" i="14"/>
  <c r="E32" i="14" s="1"/>
  <c r="D31" i="14"/>
  <c r="E29" i="14"/>
  <c r="D29" i="14"/>
  <c r="E28" i="14"/>
  <c r="D28" i="14"/>
  <c r="E27" i="14"/>
  <c r="D27" i="14"/>
  <c r="E25" i="14"/>
  <c r="D25" i="14"/>
  <c r="E24" i="14"/>
  <c r="D24" i="14"/>
  <c r="E22" i="14"/>
  <c r="D22" i="14"/>
  <c r="E21" i="14"/>
  <c r="D21" i="14"/>
  <c r="E20" i="14"/>
  <c r="D20" i="14"/>
  <c r="E19" i="14"/>
  <c r="D19" i="14"/>
  <c r="E18" i="14"/>
  <c r="D18" i="14"/>
  <c r="D204" i="11"/>
  <c r="D203" i="11"/>
  <c r="D202" i="11"/>
  <c r="D201" i="11"/>
  <c r="D200" i="11"/>
  <c r="D199" i="11"/>
  <c r="D198" i="11"/>
  <c r="D197" i="11"/>
  <c r="D194" i="11"/>
  <c r="E70" i="13"/>
  <c r="E72" i="13" s="1"/>
  <c r="D70" i="13"/>
  <c r="E390" i="9"/>
  <c r="D390" i="9"/>
  <c r="E389" i="9"/>
  <c r="D389" i="9"/>
  <c r="E388" i="9"/>
  <c r="D388" i="9"/>
  <c r="E387" i="9"/>
  <c r="D387" i="9"/>
  <c r="E386" i="9"/>
  <c r="D386" i="9"/>
  <c r="E385" i="9"/>
  <c r="D385" i="9"/>
  <c r="E384" i="9"/>
  <c r="D384" i="9"/>
  <c r="E383" i="9"/>
  <c r="D383" i="9"/>
  <c r="E382" i="9"/>
  <c r="D382" i="9"/>
  <c r="E381" i="9"/>
  <c r="D381" i="9"/>
  <c r="E380" i="9"/>
  <c r="D380" i="9"/>
  <c r="E379" i="9"/>
  <c r="D379" i="9"/>
  <c r="E378" i="9"/>
  <c r="D378" i="9"/>
  <c r="E377" i="9"/>
  <c r="D377" i="9"/>
  <c r="E376" i="9"/>
  <c r="D376" i="9"/>
  <c r="E375" i="9"/>
  <c r="D375" i="9"/>
  <c r="E374" i="9"/>
  <c r="D374" i="9"/>
  <c r="E83" i="2"/>
  <c r="E84" i="2" s="1"/>
  <c r="D83" i="2"/>
  <c r="O478" i="16"/>
  <c r="O479" i="16"/>
  <c r="O480" i="16"/>
  <c r="O481" i="16"/>
  <c r="O482" i="16"/>
  <c r="O483" i="16"/>
  <c r="O484" i="16"/>
  <c r="O485" i="16"/>
  <c r="O486" i="16"/>
  <c r="O487" i="16"/>
  <c r="O488" i="16"/>
  <c r="O492" i="16"/>
  <c r="O493" i="16"/>
  <c r="O494" i="16"/>
  <c r="O495" i="16"/>
  <c r="O496" i="16"/>
  <c r="O497" i="16"/>
  <c r="O498" i="16"/>
  <c r="O499" i="16"/>
  <c r="F602" i="16" a="1"/>
  <c r="H602" i="16" s="1"/>
  <c r="E602" i="16"/>
  <c r="F601" i="16" a="1"/>
  <c r="H601" i="16" s="1"/>
  <c r="E601" i="16"/>
  <c r="F600" i="16" a="1"/>
  <c r="H600" i="16" s="1"/>
  <c r="E600" i="16"/>
  <c r="E599" i="16"/>
  <c r="F599" i="16" a="1"/>
  <c r="H599" i="16" s="1"/>
  <c r="F598" i="16" a="1"/>
  <c r="H598" i="16" s="1"/>
  <c r="E598" i="16"/>
  <c r="F597" i="16" a="1"/>
  <c r="H597" i="16" s="1"/>
  <c r="E597" i="16"/>
  <c r="F596" i="16" a="1"/>
  <c r="H596" i="16" s="1"/>
  <c r="E596" i="16"/>
  <c r="F595" i="16" a="1"/>
  <c r="H595" i="16" s="1"/>
  <c r="E595" i="16"/>
  <c r="F594" i="16" a="1"/>
  <c r="H594" i="16" s="1"/>
  <c r="E594" i="16"/>
  <c r="F592" i="16" a="1"/>
  <c r="H592" i="16" s="1"/>
  <c r="E592" i="16"/>
  <c r="AG603" i="16"/>
  <c r="M489" i="16"/>
  <c r="O489" i="16" s="1"/>
  <c r="AG489" i="16"/>
  <c r="M490" i="16"/>
  <c r="O490" i="16" s="1"/>
  <c r="AG490" i="16"/>
  <c r="M491" i="16"/>
  <c r="O491" i="16" s="1"/>
  <c r="AG491" i="16"/>
  <c r="M500" i="16"/>
  <c r="O500" i="16" s="1"/>
  <c r="AG500" i="16"/>
  <c r="M501" i="16"/>
  <c r="O501" i="16" s="1"/>
  <c r="AG501" i="16"/>
  <c r="M503" i="16"/>
  <c r="O503" i="16" s="1"/>
  <c r="AG503" i="16"/>
  <c r="M504" i="16"/>
  <c r="O504" i="16" s="1"/>
  <c r="AG504" i="16"/>
  <c r="M506" i="16"/>
  <c r="O506" i="16" s="1"/>
  <c r="AG506" i="16"/>
  <c r="M507" i="16"/>
  <c r="O507" i="16" s="1"/>
  <c r="AG507" i="16"/>
  <c r="M508" i="16"/>
  <c r="O508" i="16" s="1"/>
  <c r="AG508" i="16"/>
  <c r="M510" i="16"/>
  <c r="O510" i="16" s="1"/>
  <c r="AG510" i="16"/>
  <c r="M511" i="16"/>
  <c r="O511" i="16" s="1"/>
  <c r="AG511" i="16"/>
  <c r="M512" i="16"/>
  <c r="O512" i="16" s="1"/>
  <c r="AG512" i="16"/>
  <c r="M513" i="16"/>
  <c r="O513" i="16" s="1"/>
  <c r="AG513" i="16"/>
  <c r="M520" i="16"/>
  <c r="AG520" i="16"/>
  <c r="M524" i="16"/>
  <c r="O524" i="16" s="1"/>
  <c r="AG524" i="16"/>
  <c r="M525" i="16"/>
  <c r="O525" i="16" s="1"/>
  <c r="AG525" i="16"/>
  <c r="M527" i="16"/>
  <c r="O527" i="16" s="1"/>
  <c r="AG527" i="16"/>
  <c r="M528" i="16"/>
  <c r="O528" i="16" s="1"/>
  <c r="AG528" i="16"/>
  <c r="M529" i="16"/>
  <c r="O529" i="16" s="1"/>
  <c r="AG529" i="16"/>
  <c r="M532" i="16"/>
  <c r="O532" i="16" s="1"/>
  <c r="AG532" i="16"/>
  <c r="M533" i="16"/>
  <c r="O533" i="16" s="1"/>
  <c r="AG533" i="16"/>
  <c r="M534" i="16"/>
  <c r="O534" i="16" s="1"/>
  <c r="AG534" i="16"/>
  <c r="M535" i="16"/>
  <c r="O535" i="16" s="1"/>
  <c r="AG535" i="16"/>
  <c r="M536" i="16"/>
  <c r="O536" i="16" s="1"/>
  <c r="AG536" i="16"/>
  <c r="M537" i="16"/>
  <c r="O537" i="16" s="1"/>
  <c r="AG537" i="16"/>
  <c r="M539" i="16"/>
  <c r="O539" i="16" s="1"/>
  <c r="AG539" i="16"/>
  <c r="M540" i="16"/>
  <c r="O540" i="16" s="1"/>
  <c r="AG540" i="16"/>
  <c r="M541" i="16"/>
  <c r="O541" i="16" s="1"/>
  <c r="AG541" i="16"/>
  <c r="M542" i="16"/>
  <c r="O542" i="16" s="1"/>
  <c r="AG542" i="16"/>
  <c r="M543" i="16"/>
  <c r="O543" i="16" s="1"/>
  <c r="AG543" i="16"/>
  <c r="M544" i="16"/>
  <c r="O544" i="16" s="1"/>
  <c r="AG544" i="16"/>
  <c r="M545" i="16"/>
  <c r="O545" i="16" s="1"/>
  <c r="AG545" i="16"/>
  <c r="M547" i="16"/>
  <c r="O547" i="16" s="1"/>
  <c r="AG547" i="16"/>
  <c r="M548" i="16"/>
  <c r="O548" i="16" s="1"/>
  <c r="AG548" i="16"/>
  <c r="M550" i="16"/>
  <c r="O550" i="16" s="1"/>
  <c r="AG550" i="16"/>
  <c r="M551" i="16"/>
  <c r="O551" i="16" s="1"/>
  <c r="AG551" i="16"/>
  <c r="M552" i="16"/>
  <c r="O552" i="16" s="1"/>
  <c r="AG552" i="16"/>
  <c r="M553" i="16"/>
  <c r="O553" i="16" s="1"/>
  <c r="AG553" i="16"/>
  <c r="M554" i="16"/>
  <c r="O554" i="16" s="1"/>
  <c r="AG554" i="16"/>
  <c r="M555" i="16"/>
  <c r="O555" i="16" s="1"/>
  <c r="AG555" i="16"/>
  <c r="M556" i="16"/>
  <c r="O556" i="16" s="1"/>
  <c r="AG556" i="16"/>
  <c r="M557" i="16"/>
  <c r="O557" i="16" s="1"/>
  <c r="AG557" i="16"/>
  <c r="M558" i="16"/>
  <c r="O558" i="16" s="1"/>
  <c r="AG558" i="16"/>
  <c r="M559" i="16"/>
  <c r="O559" i="16" s="1"/>
  <c r="AG559" i="16"/>
  <c r="M560" i="16"/>
  <c r="O560" i="16" s="1"/>
  <c r="AG560" i="16"/>
  <c r="M561" i="16"/>
  <c r="O561" i="16" s="1"/>
  <c r="AG561" i="16"/>
  <c r="M562" i="16"/>
  <c r="O562" i="16" s="1"/>
  <c r="AG562" i="16"/>
  <c r="M563" i="16"/>
  <c r="O563" i="16" s="1"/>
  <c r="AG563" i="16"/>
  <c r="M564" i="16"/>
  <c r="O564" i="16" s="1"/>
  <c r="AG564" i="16"/>
  <c r="M566" i="16"/>
  <c r="O566" i="16" s="1"/>
  <c r="AG566" i="16"/>
  <c r="M567" i="16"/>
  <c r="O567" i="16" s="1"/>
  <c r="B20" i="22" s="1"/>
  <c r="AG567" i="16"/>
  <c r="M568" i="16"/>
  <c r="O568" i="16" s="1"/>
  <c r="AG568" i="16"/>
  <c r="M571" i="16"/>
  <c r="O571" i="16" s="1"/>
  <c r="B24" i="22" s="1"/>
  <c r="AG571" i="16"/>
  <c r="M572" i="16"/>
  <c r="O572" i="16" s="1"/>
  <c r="AG572" i="16"/>
  <c r="M575" i="16"/>
  <c r="O575" i="16" s="1"/>
  <c r="B41" i="22" s="1"/>
  <c r="AG575" i="16"/>
  <c r="M577" i="16"/>
  <c r="O577" i="16" s="1"/>
  <c r="AG577" i="16"/>
  <c r="M579" i="16"/>
  <c r="O579" i="16" s="1"/>
  <c r="AG579" i="16"/>
  <c r="M580" i="16"/>
  <c r="O580" i="16" s="1"/>
  <c r="AG580" i="16"/>
  <c r="M581" i="16"/>
  <c r="O581" i="16" s="1"/>
  <c r="AG581" i="16"/>
  <c r="M582" i="16"/>
  <c r="O582" i="16" s="1"/>
  <c r="AG582" i="16"/>
  <c r="M583" i="16"/>
  <c r="O583" i="16" s="1"/>
  <c r="B47" i="22" s="1"/>
  <c r="AG583" i="16"/>
  <c r="M584" i="16"/>
  <c r="O584" i="16" s="1"/>
  <c r="AG584" i="16"/>
  <c r="M586" i="16"/>
  <c r="O586" i="16" s="1"/>
  <c r="AG586" i="16"/>
  <c r="M588" i="16"/>
  <c r="O588" i="16" s="1"/>
  <c r="AG588" i="16"/>
  <c r="M590" i="16"/>
  <c r="O590" i="16" s="1"/>
  <c r="AG590" i="16"/>
  <c r="M591" i="16"/>
  <c r="O591" i="16" s="1"/>
  <c r="AG591" i="16"/>
  <c r="M596" i="16"/>
  <c r="O596" i="16" s="1"/>
  <c r="AG596" i="16"/>
  <c r="M597" i="16"/>
  <c r="O597" i="16" s="1"/>
  <c r="AG597" i="16"/>
  <c r="M598" i="16"/>
  <c r="O598" i="16" s="1"/>
  <c r="AG598" i="16"/>
  <c r="M599" i="16"/>
  <c r="O599" i="16" s="1"/>
  <c r="AG599" i="16"/>
  <c r="M600" i="16"/>
  <c r="O600" i="16" s="1"/>
  <c r="AG600" i="16"/>
  <c r="M601" i="16"/>
  <c r="O601" i="16" s="1"/>
  <c r="AG601" i="16"/>
  <c r="M602" i="16"/>
  <c r="O602" i="16" s="1"/>
  <c r="AG602" i="16"/>
  <c r="E593" i="16"/>
  <c r="F593" i="16" a="1"/>
  <c r="H593" i="16" s="1"/>
  <c r="F591" i="16" a="1"/>
  <c r="H591" i="16" s="1"/>
  <c r="E591" i="16"/>
  <c r="E590" i="16"/>
  <c r="F590" i="16" a="1"/>
  <c r="H590" i="16" s="1"/>
  <c r="F589" i="16" a="1"/>
  <c r="H589" i="16" s="1"/>
  <c r="E589" i="16"/>
  <c r="F588" i="16" a="1"/>
  <c r="H588" i="16" s="1"/>
  <c r="E588" i="16"/>
  <c r="F587" i="16" a="1"/>
  <c r="H587" i="16" s="1"/>
  <c r="E587" i="16"/>
  <c r="F586" i="16" a="1"/>
  <c r="H586" i="16" s="1"/>
  <c r="E586" i="16"/>
  <c r="E585" i="16"/>
  <c r="F585" i="16" a="1"/>
  <c r="H585" i="16" s="1"/>
  <c r="E584" i="16"/>
  <c r="F584" i="16" a="1"/>
  <c r="H584" i="16" s="1"/>
  <c r="E583" i="16"/>
  <c r="F583" i="16" a="1"/>
  <c r="H583" i="16" s="1"/>
  <c r="E582" i="16"/>
  <c r="F582" i="16" a="1"/>
  <c r="H582" i="16" s="1"/>
  <c r="F581" i="16" a="1"/>
  <c r="E581" i="16"/>
  <c r="E580" i="16"/>
  <c r="F580" i="16" a="1"/>
  <c r="E579" i="16"/>
  <c r="F579" i="16" a="1"/>
  <c r="E578" i="16"/>
  <c r="F578" i="16" a="1"/>
  <c r="E577" i="16"/>
  <c r="F577" i="16" a="1"/>
  <c r="E576" i="16"/>
  <c r="F576" i="16" a="1"/>
  <c r="F575" i="16" a="1"/>
  <c r="E575" i="16"/>
  <c r="E574" i="16"/>
  <c r="F574" i="16" a="1"/>
  <c r="F573" i="16" a="1"/>
  <c r="E573" i="16"/>
  <c r="F572" i="16" a="1"/>
  <c r="E572" i="16"/>
  <c r="F571" i="16" a="1"/>
  <c r="E571" i="16"/>
  <c r="F570" i="16" a="1"/>
  <c r="E570" i="16"/>
  <c r="F569" i="16" a="1"/>
  <c r="E569" i="16"/>
  <c r="F568" i="16" a="1"/>
  <c r="E568" i="16"/>
  <c r="F567" i="16" a="1"/>
  <c r="E567" i="16"/>
  <c r="E566" i="16"/>
  <c r="F566" i="16" a="1"/>
  <c r="E565" i="16"/>
  <c r="F565" i="16" a="1"/>
  <c r="E564" i="16"/>
  <c r="F564" i="16" a="1"/>
  <c r="F563" i="16" a="1"/>
  <c r="E563" i="16"/>
  <c r="E562" i="16"/>
  <c r="F562" i="16" a="1"/>
  <c r="F561" i="16" a="1"/>
  <c r="E561" i="16"/>
  <c r="F560" i="16" a="1"/>
  <c r="E560" i="16"/>
  <c r="E559" i="16"/>
  <c r="F559" i="16" a="1"/>
  <c r="E558" i="16"/>
  <c r="F558" i="16" a="1"/>
  <c r="F557" i="16" a="1"/>
  <c r="E557" i="16"/>
  <c r="E556" i="16"/>
  <c r="F556" i="16" a="1"/>
  <c r="E555" i="16"/>
  <c r="F555" i="16" a="1"/>
  <c r="E554" i="16"/>
  <c r="F554" i="16" a="1"/>
  <c r="E553" i="16"/>
  <c r="F553" i="16" a="1"/>
  <c r="E552" i="16"/>
  <c r="F552" i="16" a="1"/>
  <c r="F551" i="16" a="1"/>
  <c r="E551" i="16"/>
  <c r="E550" i="16"/>
  <c r="F550" i="16" a="1"/>
  <c r="F549" i="16" a="1"/>
  <c r="E549" i="16"/>
  <c r="E548" i="16"/>
  <c r="F548" i="16" a="1"/>
  <c r="F547" i="16" a="1"/>
  <c r="E547" i="16"/>
  <c r="E546" i="16"/>
  <c r="F546" i="16" a="1"/>
  <c r="E545" i="16"/>
  <c r="F545" i="16" a="1"/>
  <c r="F544" i="16" a="1"/>
  <c r="E544" i="16"/>
  <c r="F543" i="16" a="1"/>
  <c r="E543" i="16"/>
  <c r="F542" i="16" a="1"/>
  <c r="E542" i="16"/>
  <c r="F541" i="16" a="1"/>
  <c r="E541" i="16"/>
  <c r="F540" i="16" a="1"/>
  <c r="E540" i="16"/>
  <c r="F539" i="16" a="1"/>
  <c r="E539" i="16"/>
  <c r="F538" i="16" a="1"/>
  <c r="E538" i="16"/>
  <c r="F537" i="16" a="1"/>
  <c r="E537" i="16"/>
  <c r="E536" i="16"/>
  <c r="F536" i="16" a="1"/>
  <c r="E535" i="16"/>
  <c r="F535" i="16" a="1"/>
  <c r="E534" i="16"/>
  <c r="F534" i="16" a="1"/>
  <c r="F533" i="16" a="1"/>
  <c r="E533" i="16"/>
  <c r="F532" i="16" a="1"/>
  <c r="E532" i="16"/>
  <c r="F531" i="16" a="1"/>
  <c r="E531" i="16"/>
  <c r="E530" i="16"/>
  <c r="F530" i="16" a="1"/>
  <c r="E529" i="16"/>
  <c r="F529" i="16" a="1"/>
  <c r="F528" i="16" a="1"/>
  <c r="E528" i="16"/>
  <c r="E527" i="16"/>
  <c r="F527" i="16" a="1"/>
  <c r="E526" i="16"/>
  <c r="F526" i="16" a="1"/>
  <c r="E525" i="16"/>
  <c r="G525" i="16" s="1" a="1"/>
  <c r="F525" i="16" a="1"/>
  <c r="E524" i="16"/>
  <c r="F524" i="16" a="1"/>
  <c r="E523" i="16"/>
  <c r="F523" i="16" a="1"/>
  <c r="F522" i="16" a="1"/>
  <c r="E522" i="16"/>
  <c r="F521" i="16" a="1"/>
  <c r="E521" i="16"/>
  <c r="E520" i="16"/>
  <c r="F520" i="16" a="1"/>
  <c r="F519" i="16" a="1"/>
  <c r="E519" i="16"/>
  <c r="F518" i="16" a="1"/>
  <c r="E518" i="16"/>
  <c r="F517" i="16" a="1"/>
  <c r="E517" i="16"/>
  <c r="G517" i="16" s="1" a="1"/>
  <c r="F516" i="16" a="1"/>
  <c r="E516" i="16"/>
  <c r="G516" i="16" s="1" a="1"/>
  <c r="E515" i="16"/>
  <c r="G515" i="16" s="1" a="1"/>
  <c r="F515" i="16" a="1"/>
  <c r="F514" i="16" a="1"/>
  <c r="E514" i="16"/>
  <c r="G514" i="16" s="1" a="1"/>
  <c r="F513" i="16" a="1"/>
  <c r="E513" i="16"/>
  <c r="G513" i="16" s="1" a="1"/>
  <c r="F512" i="16" a="1"/>
  <c r="E512" i="16"/>
  <c r="G512" i="16" s="1" a="1"/>
  <c r="F511" i="16" a="1"/>
  <c r="E511" i="16"/>
  <c r="G511" i="16" s="1" a="1"/>
  <c r="F510" i="16" a="1"/>
  <c r="E510" i="16"/>
  <c r="G510" i="16" s="1" a="1"/>
  <c r="F509" i="16" a="1"/>
  <c r="E509" i="16"/>
  <c r="G509" i="16" s="1" a="1"/>
  <c r="F508" i="16" a="1"/>
  <c r="E508" i="16"/>
  <c r="G508" i="16" s="1" a="1"/>
  <c r="E507" i="16"/>
  <c r="G507" i="16" s="1" a="1"/>
  <c r="F507" i="16" a="1"/>
  <c r="F506" i="16" a="1"/>
  <c r="E506" i="16"/>
  <c r="G506" i="16" s="1" a="1"/>
  <c r="E505" i="16"/>
  <c r="G505" i="16" s="1" a="1"/>
  <c r="F505" i="16" a="1"/>
  <c r="F504" i="16" a="1"/>
  <c r="E504" i="16"/>
  <c r="G504" i="16" s="1" a="1"/>
  <c r="E503" i="16"/>
  <c r="G503" i="16" s="1" a="1"/>
  <c r="F503" i="16" a="1"/>
  <c r="F502" i="16" a="1"/>
  <c r="E502" i="16"/>
  <c r="G502" i="16" s="1" a="1"/>
  <c r="F501" i="16" a="1"/>
  <c r="E501" i="16"/>
  <c r="G501" i="16" s="1" a="1"/>
  <c r="F500" i="16" a="1"/>
  <c r="E500" i="16"/>
  <c r="G500" i="16" s="1" a="1"/>
  <c r="F499" i="16" a="1"/>
  <c r="E499" i="16"/>
  <c r="G499" i="16" s="1" a="1"/>
  <c r="F498" i="16" a="1"/>
  <c r="E498" i="16"/>
  <c r="G498" i="16" s="1" a="1"/>
  <c r="F497" i="16" a="1"/>
  <c r="E497" i="16"/>
  <c r="G497" i="16" s="1" a="1"/>
  <c r="E496" i="16"/>
  <c r="G496" i="16" s="1" a="1"/>
  <c r="F496" i="16" a="1"/>
  <c r="E495" i="16"/>
  <c r="G495" i="16" s="1" a="1"/>
  <c r="F495" i="16" a="1"/>
  <c r="E494" i="16"/>
  <c r="G494" i="16" s="1" a="1"/>
  <c r="F494" i="16" a="1"/>
  <c r="E493" i="16"/>
  <c r="G493" i="16" s="1" a="1"/>
  <c r="F493" i="16" a="1"/>
  <c r="E492" i="16"/>
  <c r="G492" i="16" s="1" a="1"/>
  <c r="F492" i="16" a="1"/>
  <c r="F491" i="16" a="1"/>
  <c r="E491" i="16"/>
  <c r="G491" i="16" s="1" a="1"/>
  <c r="E490" i="16"/>
  <c r="G490" i="16" s="1" a="1"/>
  <c r="F490" i="16" a="1"/>
  <c r="F489" i="16" a="1"/>
  <c r="E489" i="16"/>
  <c r="G489" i="16" s="1" a="1"/>
  <c r="F488" i="16" a="1"/>
  <c r="E488" i="16"/>
  <c r="G488" i="16" s="1" a="1"/>
  <c r="F487" i="16" a="1"/>
  <c r="E487" i="16"/>
  <c r="G487" i="16" s="1" a="1"/>
  <c r="F486" i="16" a="1"/>
  <c r="E486" i="16"/>
  <c r="G486" i="16" s="1" a="1"/>
  <c r="E485" i="16"/>
  <c r="G485" i="16" s="1" a="1"/>
  <c r="F485" i="16" a="1"/>
  <c r="F484" i="16" a="1"/>
  <c r="E484" i="16"/>
  <c r="G484" i="16" s="1" a="1"/>
  <c r="E483" i="16"/>
  <c r="G483" i="16" s="1" a="1"/>
  <c r="F483" i="16" a="1"/>
  <c r="E482" i="16"/>
  <c r="G482" i="16" s="1" a="1"/>
  <c r="F482" i="16" a="1"/>
  <c r="E481" i="16"/>
  <c r="G481" i="16" s="1" a="1"/>
  <c r="F481" i="16" a="1"/>
  <c r="E480" i="16"/>
  <c r="G480" i="16" s="1" a="1"/>
  <c r="F480" i="16" a="1"/>
  <c r="E479" i="16"/>
  <c r="G479" i="16" s="1" a="1"/>
  <c r="F479" i="16" a="1"/>
  <c r="E478" i="16"/>
  <c r="G478" i="16" s="1" a="1"/>
  <c r="F478" i="16" a="1"/>
  <c r="F477" i="16" a="1"/>
  <c r="E477" i="16"/>
  <c r="G477" i="16" s="1" a="1"/>
  <c r="E476" i="16"/>
  <c r="G476" i="16" s="1" a="1"/>
  <c r="F476" i="16" a="1"/>
  <c r="F475" i="16" a="1"/>
  <c r="E475" i="16"/>
  <c r="G475" i="16" s="1" a="1"/>
  <c r="E474" i="16"/>
  <c r="G474" i="16" s="1" a="1"/>
  <c r="F474" i="16" a="1"/>
  <c r="E473" i="16"/>
  <c r="G473" i="16" s="1" a="1"/>
  <c r="F473" i="16" a="1"/>
  <c r="F472" i="16" a="1"/>
  <c r="E472" i="16"/>
  <c r="G472" i="16" s="1" a="1"/>
  <c r="F471" i="16" a="1"/>
  <c r="E471" i="16"/>
  <c r="G471" i="16" s="1" a="1"/>
  <c r="E470" i="16"/>
  <c r="G470" i="16" s="1" a="1"/>
  <c r="F470" i="16" a="1"/>
  <c r="E469" i="16"/>
  <c r="G469" i="16" s="1" a="1"/>
  <c r="F469" i="16" a="1"/>
  <c r="F468" i="16" a="1"/>
  <c r="E468" i="16"/>
  <c r="G468" i="16" s="1" a="1"/>
  <c r="E467" i="16"/>
  <c r="G467" i="16" s="1" a="1"/>
  <c r="F467" i="16" a="1"/>
  <c r="E466" i="16"/>
  <c r="G466" i="16" s="1" a="1"/>
  <c r="F466" i="16" a="1"/>
  <c r="E465" i="16"/>
  <c r="G465" i="16" s="1" a="1"/>
  <c r="F465" i="16" a="1"/>
  <c r="F464" i="16" a="1"/>
  <c r="E464" i="16"/>
  <c r="G464" i="16" s="1" a="1"/>
  <c r="E463" i="16"/>
  <c r="G463" i="16" s="1" a="1"/>
  <c r="F463" i="16" a="1"/>
  <c r="F462" i="16" a="1"/>
  <c r="E462" i="16"/>
  <c r="G462" i="16" s="1" a="1"/>
  <c r="E461" i="16"/>
  <c r="G461" i="16" s="1" a="1"/>
  <c r="F461" i="16" a="1"/>
  <c r="F460" i="16" a="1"/>
  <c r="E460" i="16"/>
  <c r="G460" i="16" s="1" a="1"/>
  <c r="E459" i="16"/>
  <c r="G459" i="16" s="1" a="1"/>
  <c r="F459" i="16" a="1"/>
  <c r="F458" i="16" a="1"/>
  <c r="E458" i="16"/>
  <c r="G458" i="16" s="1" a="1"/>
  <c r="F457" i="16" a="1"/>
  <c r="E457" i="16"/>
  <c r="G457" i="16" s="1" a="1"/>
  <c r="F456" i="16" a="1"/>
  <c r="E456" i="16"/>
  <c r="G456" i="16" s="1" a="1"/>
  <c r="F455" i="16" a="1"/>
  <c r="E455" i="16"/>
  <c r="G455" i="16" s="1" a="1"/>
  <c r="F454" i="16" a="1"/>
  <c r="E454" i="16"/>
  <c r="G454" i="16" s="1" a="1"/>
  <c r="E453" i="16"/>
  <c r="G453" i="16" s="1" a="1"/>
  <c r="F453" i="16" a="1"/>
  <c r="F452" i="16" a="1"/>
  <c r="E452" i="16"/>
  <c r="G452" i="16" s="1" a="1"/>
  <c r="E451" i="16"/>
  <c r="G451" i="16" s="1" a="1"/>
  <c r="F451" i="16" a="1"/>
  <c r="E450" i="16"/>
  <c r="G450" i="16" s="1" a="1"/>
  <c r="F450" i="16" a="1"/>
  <c r="F449" i="16" a="1"/>
  <c r="E449" i="16"/>
  <c r="G449" i="16" s="1" a="1"/>
  <c r="F448" i="16" a="1"/>
  <c r="E448" i="16"/>
  <c r="G448" i="16" s="1" a="1"/>
  <c r="E447" i="16"/>
  <c r="G447" i="16" s="1" a="1"/>
  <c r="F447" i="16" a="1"/>
  <c r="E446" i="16"/>
  <c r="G446" i="16" s="1" a="1"/>
  <c r="F446" i="16" a="1"/>
  <c r="E445" i="16"/>
  <c r="G445" i="16" s="1" a="1"/>
  <c r="F445" i="16" a="1"/>
  <c r="E444" i="16"/>
  <c r="G444" i="16" s="1" a="1"/>
  <c r="F444" i="16" a="1"/>
  <c r="F443" i="16" a="1"/>
  <c r="E443" i="16"/>
  <c r="G443" i="16" s="1" a="1"/>
  <c r="F442" i="16" a="1"/>
  <c r="E442" i="16"/>
  <c r="G442" i="16" s="1" a="1"/>
  <c r="E441" i="16"/>
  <c r="G441" i="16" s="1" a="1"/>
  <c r="F441" i="16" a="1"/>
  <c r="F440" i="16" a="1"/>
  <c r="E440" i="16"/>
  <c r="G440" i="16" s="1" a="1"/>
  <c r="E439" i="16"/>
  <c r="G439" i="16" s="1" a="1"/>
  <c r="F439" i="16" a="1"/>
  <c r="F438" i="16" a="1"/>
  <c r="E438" i="16"/>
  <c r="G438" i="16" s="1" a="1"/>
  <c r="E437" i="16"/>
  <c r="G437" i="16" s="1" a="1"/>
  <c r="F437" i="16" a="1"/>
  <c r="F436" i="16" a="1"/>
  <c r="E436" i="16"/>
  <c r="G436" i="16" s="1" a="1"/>
  <c r="F435" i="16" a="1"/>
  <c r="E435" i="16"/>
  <c r="G435" i="16" s="1" a="1"/>
  <c r="F434" i="16" a="1"/>
  <c r="E434" i="16"/>
  <c r="G434" i="16" s="1" a="1"/>
  <c r="F433" i="16" a="1"/>
  <c r="E433" i="16"/>
  <c r="G433" i="16" s="1" a="1"/>
  <c r="F432" i="16" a="1"/>
  <c r="E432" i="16"/>
  <c r="G432" i="16" s="1" a="1"/>
  <c r="F431" i="16" a="1"/>
  <c r="E431" i="16"/>
  <c r="G431" i="16" s="1" a="1"/>
  <c r="F430" i="16" a="1"/>
  <c r="E430" i="16"/>
  <c r="G430" i="16" s="1" a="1"/>
  <c r="F429" i="16" a="1"/>
  <c r="E429" i="16"/>
  <c r="G429" i="16" s="1" a="1"/>
  <c r="F428" i="16" a="1"/>
  <c r="E428" i="16"/>
  <c r="G428" i="16" s="1" a="1"/>
  <c r="F427" i="16" a="1"/>
  <c r="E427" i="16"/>
  <c r="G427" i="16" s="1" a="1"/>
  <c r="F426" i="16" a="1"/>
  <c r="E426" i="16"/>
  <c r="G426" i="16" s="1" a="1"/>
  <c r="F425" i="16" a="1"/>
  <c r="E425" i="16"/>
  <c r="G425" i="16" s="1" a="1"/>
  <c r="O595" i="16"/>
  <c r="O594" i="16"/>
  <c r="O593" i="16"/>
  <c r="O592" i="16"/>
  <c r="O589" i="16"/>
  <c r="O587" i="16"/>
  <c r="O585" i="16"/>
  <c r="O578" i="16"/>
  <c r="O576" i="16"/>
  <c r="O574" i="16"/>
  <c r="O573" i="16"/>
  <c r="O570" i="16"/>
  <c r="O569" i="16"/>
  <c r="B37" i="22" s="1"/>
  <c r="O565" i="16"/>
  <c r="O549" i="16"/>
  <c r="O546" i="16"/>
  <c r="O538" i="16"/>
  <c r="O531" i="16"/>
  <c r="O530" i="16"/>
  <c r="O526" i="16"/>
  <c r="O523" i="16"/>
  <c r="O522" i="16"/>
  <c r="O521" i="16"/>
  <c r="O519" i="16"/>
  <c r="O518" i="16"/>
  <c r="O517" i="16"/>
  <c r="O516" i="16"/>
  <c r="O515" i="16"/>
  <c r="O514" i="16"/>
  <c r="O509" i="16"/>
  <c r="O505" i="16"/>
  <c r="O502" i="16"/>
  <c r="O455" i="16"/>
  <c r="O454" i="16"/>
  <c r="O453" i="16"/>
  <c r="O452" i="16"/>
  <c r="O435" i="16"/>
  <c r="O434" i="16"/>
  <c r="O426" i="16"/>
  <c r="O425" i="16"/>
  <c r="O477" i="16"/>
  <c r="O476" i="16"/>
  <c r="O475" i="16"/>
  <c r="O474" i="16"/>
  <c r="O473" i="16"/>
  <c r="O472" i="16"/>
  <c r="O471" i="16"/>
  <c r="O470" i="16"/>
  <c r="O469" i="16"/>
  <c r="O468" i="16"/>
  <c r="O467" i="16"/>
  <c r="O466" i="16"/>
  <c r="O465" i="16"/>
  <c r="O464" i="16"/>
  <c r="O463" i="16"/>
  <c r="O462" i="16"/>
  <c r="O461" i="16"/>
  <c r="O460" i="16"/>
  <c r="O459" i="16"/>
  <c r="O458" i="16"/>
  <c r="O457" i="16"/>
  <c r="O456" i="16"/>
  <c r="O449" i="16"/>
  <c r="O448" i="16"/>
  <c r="O447" i="16"/>
  <c r="O446" i="16"/>
  <c r="O445" i="16"/>
  <c r="O444" i="16"/>
  <c r="O443" i="16"/>
  <c r="O442" i="16"/>
  <c r="O441" i="16"/>
  <c r="O440" i="16"/>
  <c r="O439" i="16"/>
  <c r="O438" i="16"/>
  <c r="O432" i="16"/>
  <c r="O436" i="16"/>
  <c r="O431" i="16"/>
  <c r="O451" i="16"/>
  <c r="O450" i="16"/>
  <c r="O437" i="16"/>
  <c r="O433" i="16"/>
  <c r="O430" i="16"/>
  <c r="O429" i="16"/>
  <c r="O428" i="16"/>
  <c r="O427" i="16"/>
  <c r="F424" i="16" a="1"/>
  <c r="E424" i="16"/>
  <c r="G424" i="16" s="1" a="1"/>
  <c r="F423" i="16" a="1"/>
  <c r="E423" i="16"/>
  <c r="G423" i="16" s="1" a="1"/>
  <c r="E422" i="16"/>
  <c r="G422" i="16" s="1" a="1"/>
  <c r="F422" i="16" a="1"/>
  <c r="F421" i="16" a="1"/>
  <c r="E421" i="16"/>
  <c r="G421" i="16" s="1" a="1"/>
  <c r="F420" i="16" a="1"/>
  <c r="E420" i="16"/>
  <c r="G420" i="16" s="1" a="1"/>
  <c r="F419" i="16" a="1"/>
  <c r="E419" i="16"/>
  <c r="G419" i="16" s="1" a="1"/>
  <c r="F418" i="16" a="1"/>
  <c r="E418" i="16"/>
  <c r="G418" i="16" s="1" a="1"/>
  <c r="F417" i="16" a="1"/>
  <c r="E417" i="16"/>
  <c r="G417" i="16" s="1" a="1"/>
  <c r="F416" i="16" a="1"/>
  <c r="E416" i="16"/>
  <c r="G416" i="16" s="1" a="1"/>
  <c r="F415" i="16" a="1"/>
  <c r="E415" i="16"/>
  <c r="G415" i="16" s="1" a="1"/>
  <c r="E414" i="16"/>
  <c r="G414" i="16" s="1" a="1"/>
  <c r="F414" i="16" a="1"/>
  <c r="F413" i="16" a="1"/>
  <c r="E413" i="16"/>
  <c r="G413" i="16" s="1" a="1"/>
  <c r="E412" i="16"/>
  <c r="G412" i="16" s="1" a="1"/>
  <c r="F412" i="16" a="1"/>
  <c r="F411" i="16" a="1"/>
  <c r="E411" i="16"/>
  <c r="G411" i="16" s="1" a="1"/>
  <c r="E410" i="16"/>
  <c r="G410" i="16" s="1" a="1"/>
  <c r="F410" i="16" a="1"/>
  <c r="F409" i="16" a="1"/>
  <c r="E409" i="16"/>
  <c r="G409" i="16" s="1" a="1"/>
  <c r="E408" i="16"/>
  <c r="G408" i="16" s="1" a="1"/>
  <c r="F408" i="16" a="1"/>
  <c r="F407" i="16" a="1"/>
  <c r="E407" i="16"/>
  <c r="G407" i="16" s="1" a="1"/>
  <c r="F406" i="16" a="1"/>
  <c r="E406" i="16"/>
  <c r="G406" i="16" s="1" a="1"/>
  <c r="F405" i="16" a="1"/>
  <c r="E405" i="16"/>
  <c r="G405" i="16" s="1" a="1"/>
  <c r="F404" i="16" a="1"/>
  <c r="E404" i="16"/>
  <c r="G404" i="16" s="1" a="1"/>
  <c r="F403" i="16" a="1"/>
  <c r="E403" i="16"/>
  <c r="G403" i="16" s="1" a="1"/>
  <c r="F402" i="16" a="1"/>
  <c r="E402" i="16"/>
  <c r="G402" i="16" s="1" a="1"/>
  <c r="F401" i="16" a="1"/>
  <c r="E401" i="16"/>
  <c r="G401" i="16" s="1" a="1"/>
  <c r="F400" i="16" a="1"/>
  <c r="E400" i="16"/>
  <c r="G400" i="16" s="1" a="1"/>
  <c r="F399" i="16" a="1"/>
  <c r="E399" i="16"/>
  <c r="G399" i="16" s="1" a="1"/>
  <c r="E398" i="16"/>
  <c r="G398" i="16" s="1" a="1"/>
  <c r="F398" i="16" a="1"/>
  <c r="E397" i="16"/>
  <c r="G397" i="16" s="1" a="1"/>
  <c r="F397" i="16" a="1"/>
  <c r="E396" i="16"/>
  <c r="G396" i="16" s="1" a="1"/>
  <c r="F396" i="16" a="1"/>
  <c r="F395" i="16" a="1"/>
  <c r="E395" i="16"/>
  <c r="G395" i="16" s="1" a="1"/>
  <c r="E394" i="16"/>
  <c r="G394" i="16" s="1" a="1"/>
  <c r="F394" i="16" a="1"/>
  <c r="E393" i="16"/>
  <c r="G393" i="16" s="1" a="1"/>
  <c r="F393" i="16" a="1"/>
  <c r="E392" i="16"/>
  <c r="G392" i="16" s="1" a="1"/>
  <c r="F392" i="16" a="1"/>
  <c r="E391" i="16"/>
  <c r="G391" i="16" s="1" a="1"/>
  <c r="F391" i="16" a="1"/>
  <c r="E390" i="16"/>
  <c r="G390" i="16" s="1" a="1"/>
  <c r="F390" i="16" a="1"/>
  <c r="F389" i="16" a="1"/>
  <c r="E389" i="16"/>
  <c r="G389" i="16" s="1" a="1"/>
  <c r="F388" i="16" a="1"/>
  <c r="E388" i="16"/>
  <c r="G388" i="16" s="1" a="1"/>
  <c r="F387" i="16" a="1"/>
  <c r="E387" i="16"/>
  <c r="G387" i="16" s="1" a="1"/>
  <c r="F386" i="16" a="1"/>
  <c r="E386" i="16"/>
  <c r="G386" i="16" s="1" a="1"/>
  <c r="F385" i="16" a="1"/>
  <c r="E385" i="16"/>
  <c r="G385" i="16" s="1" a="1"/>
  <c r="F384" i="16" a="1"/>
  <c r="E384" i="16"/>
  <c r="G384" i="16" s="1" a="1"/>
  <c r="F383" i="16" a="1"/>
  <c r="E383" i="16"/>
  <c r="G383" i="16" s="1" a="1"/>
  <c r="F382" i="16" a="1"/>
  <c r="E382" i="16"/>
  <c r="G382" i="16" s="1" a="1"/>
  <c r="E381" i="16"/>
  <c r="G381" i="16" s="1" a="1"/>
  <c r="F381" i="16" a="1"/>
  <c r="E380" i="16"/>
  <c r="G380" i="16" s="1" a="1"/>
  <c r="F380" i="16" a="1"/>
  <c r="E379" i="16"/>
  <c r="G379" i="16" s="1" a="1"/>
  <c r="F379" i="16" a="1"/>
  <c r="E378" i="16"/>
  <c r="G378" i="16" s="1" a="1"/>
  <c r="F378" i="16" a="1"/>
  <c r="E377" i="16"/>
  <c r="G377" i="16" s="1" a="1"/>
  <c r="F377" i="16" a="1"/>
  <c r="F376" i="16" a="1"/>
  <c r="E376" i="16"/>
  <c r="G376" i="16" s="1" a="1"/>
  <c r="F375" i="16" a="1"/>
  <c r="E375" i="16"/>
  <c r="G375" i="16" s="1" a="1"/>
  <c r="F374" i="16" a="1"/>
  <c r="E374" i="16"/>
  <c r="G374" i="16" s="1" a="1"/>
  <c r="F373" i="16" a="1"/>
  <c r="E373" i="16"/>
  <c r="G373" i="16" s="1" a="1"/>
  <c r="E372" i="16"/>
  <c r="G372" i="16" s="1" a="1"/>
  <c r="F372" i="16" a="1"/>
  <c r="F371" i="16" a="1"/>
  <c r="E371" i="16"/>
  <c r="G371" i="16" s="1" a="1"/>
  <c r="F370" i="16" a="1"/>
  <c r="E370" i="16"/>
  <c r="G370" i="16" s="1" a="1"/>
  <c r="E369" i="16"/>
  <c r="G369" i="16" s="1" a="1"/>
  <c r="F369" i="16" a="1"/>
  <c r="F368" i="16" a="1"/>
  <c r="E368" i="16"/>
  <c r="G368" i="16" s="1" a="1"/>
  <c r="E367" i="16"/>
  <c r="G367" i="16" s="1" a="1"/>
  <c r="F367" i="16" a="1"/>
  <c r="E366" i="16"/>
  <c r="G366" i="16" s="1" a="1"/>
  <c r="F366" i="16" a="1"/>
  <c r="E365" i="16"/>
  <c r="G365" i="16" s="1" a="1"/>
  <c r="F365" i="16" a="1"/>
  <c r="E364" i="16"/>
  <c r="G364" i="16" s="1" a="1"/>
  <c r="F364" i="16" a="1"/>
  <c r="F363" i="16" a="1"/>
  <c r="E363" i="16"/>
  <c r="G363" i="16" s="1" a="1"/>
  <c r="E362" i="16"/>
  <c r="G362" i="16" s="1" a="1"/>
  <c r="F362" i="16" a="1"/>
  <c r="E361" i="16"/>
  <c r="G361" i="16" s="1" a="1"/>
  <c r="F361" i="16" a="1"/>
  <c r="F360" i="16" a="1"/>
  <c r="E360" i="16"/>
  <c r="G360" i="16" s="1" a="1"/>
  <c r="E359" i="16"/>
  <c r="G359" i="16" s="1" a="1"/>
  <c r="F359" i="16" a="1"/>
  <c r="F358" i="16" a="1"/>
  <c r="E358" i="16"/>
  <c r="G358" i="16" s="1" a="1"/>
  <c r="F357" i="16" a="1"/>
  <c r="E357" i="16"/>
  <c r="G357" i="16" s="1" a="1"/>
  <c r="F356" i="16" a="1"/>
  <c r="E356" i="16"/>
  <c r="G356" i="16" s="1" a="1"/>
  <c r="F355" i="16" a="1"/>
  <c r="E355" i="16"/>
  <c r="G355" i="16" s="1" a="1"/>
  <c r="F354" i="16" a="1"/>
  <c r="E354" i="16"/>
  <c r="G354" i="16" s="1" a="1"/>
  <c r="F353" i="16" a="1"/>
  <c r="E353" i="16"/>
  <c r="G353" i="16" s="1" a="1"/>
  <c r="F352" i="16" a="1"/>
  <c r="E352" i="16"/>
  <c r="G352" i="16" s="1" a="1"/>
  <c r="F351" i="16" a="1"/>
  <c r="E351" i="16"/>
  <c r="G351" i="16" s="1" a="1"/>
  <c r="E350" i="16"/>
  <c r="G350" i="16" s="1" a="1"/>
  <c r="F350" i="16" a="1"/>
  <c r="F349" i="16" a="1"/>
  <c r="E349" i="16"/>
  <c r="G349" i="16" s="1" a="1"/>
  <c r="E348" i="16"/>
  <c r="G348" i="16" s="1" a="1"/>
  <c r="F348" i="16" a="1"/>
  <c r="F347" i="16" a="1"/>
  <c r="E347" i="16"/>
  <c r="G347" i="16" s="1" a="1"/>
  <c r="E346" i="16"/>
  <c r="G346" i="16" s="1" a="1"/>
  <c r="F346" i="16" a="1"/>
  <c r="F345" i="16" a="1"/>
  <c r="E345" i="16"/>
  <c r="G345" i="16" s="1" a="1"/>
  <c r="E344" i="16"/>
  <c r="G344" i="16" s="1" a="1"/>
  <c r="F344" i="16" a="1"/>
  <c r="F343" i="16" a="1"/>
  <c r="E343" i="16"/>
  <c r="G343" i="16" s="1" a="1"/>
  <c r="E342" i="16"/>
  <c r="G342" i="16" s="1" a="1"/>
  <c r="F342" i="16" a="1"/>
  <c r="F341" i="16" a="1"/>
  <c r="E341" i="16"/>
  <c r="G341" i="16" s="1" a="1"/>
  <c r="E340" i="16"/>
  <c r="G340" i="16" s="1" a="1"/>
  <c r="F340" i="16" a="1"/>
  <c r="E339" i="16"/>
  <c r="G339" i="16" s="1" a="1"/>
  <c r="F339" i="16" a="1"/>
  <c r="F338" i="16" a="1"/>
  <c r="E338" i="16"/>
  <c r="G338" i="16" s="1" a="1"/>
  <c r="E337" i="16"/>
  <c r="G337" i="16" s="1" a="1"/>
  <c r="F337" i="16" a="1"/>
  <c r="F336" i="16" a="1"/>
  <c r="E336" i="16"/>
  <c r="G336" i="16" s="1" a="1"/>
  <c r="E335" i="16"/>
  <c r="G335" i="16" s="1" a="1"/>
  <c r="F335" i="16" a="1"/>
  <c r="E334" i="16"/>
  <c r="G334" i="16" s="1" a="1"/>
  <c r="F334" i="16" a="1"/>
  <c r="F333" i="16" a="1"/>
  <c r="E333" i="16"/>
  <c r="G333" i="16" s="1" a="1"/>
  <c r="E332" i="16"/>
  <c r="G332" i="16" s="1" a="1"/>
  <c r="F332" i="16" a="1"/>
  <c r="F331" i="16" a="1"/>
  <c r="E331" i="16"/>
  <c r="G331" i="16" s="1" a="1"/>
  <c r="E330" i="16"/>
  <c r="G330" i="16" s="1" a="1"/>
  <c r="F330" i="16" a="1"/>
  <c r="F329" i="16" a="1"/>
  <c r="E329" i="16"/>
  <c r="G329" i="16" s="1" a="1"/>
  <c r="E328" i="16"/>
  <c r="G328" i="16" s="1" a="1"/>
  <c r="F328" i="16" a="1"/>
  <c r="E327" i="16"/>
  <c r="G327" i="16" s="1" a="1"/>
  <c r="F327" i="16" a="1"/>
  <c r="F326" i="16" a="1"/>
  <c r="E326" i="16"/>
  <c r="G326" i="16" s="1" a="1"/>
  <c r="F325" i="16" a="1"/>
  <c r="E325" i="16"/>
  <c r="G325" i="16" s="1" a="1"/>
  <c r="E324" i="16"/>
  <c r="G324" i="16" s="1" a="1"/>
  <c r="F324" i="16" a="1"/>
  <c r="E323" i="16"/>
  <c r="G323" i="16" s="1" a="1"/>
  <c r="F323" i="16" a="1"/>
  <c r="F322" i="16" a="1"/>
  <c r="E322" i="16"/>
  <c r="G322" i="16" s="1" a="1"/>
  <c r="F321" i="16" a="1"/>
  <c r="E321" i="16"/>
  <c r="G321" i="16" s="1" a="1"/>
  <c r="E320" i="16"/>
  <c r="G320" i="16" s="1" a="1"/>
  <c r="F320" i="16" a="1"/>
  <c r="E319" i="16"/>
  <c r="G319" i="16" s="1" a="1"/>
  <c r="F319" i="16" a="1"/>
  <c r="E318" i="16"/>
  <c r="G318" i="16" s="1" a="1"/>
  <c r="F318" i="16" a="1"/>
  <c r="F317" i="16" a="1"/>
  <c r="E317" i="16"/>
  <c r="G317" i="16" s="1" a="1"/>
  <c r="F316" i="16" a="1"/>
  <c r="E316" i="16"/>
  <c r="G316" i="16" s="1" a="1"/>
  <c r="F315" i="16" a="1"/>
  <c r="E315" i="16"/>
  <c r="G315" i="16" s="1" a="1"/>
  <c r="F314" i="16" a="1"/>
  <c r="E314" i="16"/>
  <c r="G314" i="16" s="1" a="1"/>
  <c r="F313" i="16" a="1"/>
  <c r="E313" i="16"/>
  <c r="G313" i="16" s="1" a="1"/>
  <c r="F312" i="16" a="1"/>
  <c r="E312" i="16"/>
  <c r="G312" i="16" s="1" a="1"/>
  <c r="F311" i="16" a="1"/>
  <c r="E311" i="16"/>
  <c r="G311" i="16" s="1" a="1"/>
  <c r="F310" i="16" a="1"/>
  <c r="E310" i="16"/>
  <c r="G310" i="16" s="1" a="1"/>
  <c r="F309" i="16" a="1"/>
  <c r="E309" i="16"/>
  <c r="G309" i="16" s="1" a="1"/>
  <c r="E308" i="16"/>
  <c r="G308" i="16" s="1" a="1"/>
  <c r="F308" i="16" a="1"/>
  <c r="F307" i="16" a="1"/>
  <c r="E307" i="16"/>
  <c r="G307" i="16" s="1" a="1"/>
  <c r="E306" i="16"/>
  <c r="G306" i="16" s="1" a="1"/>
  <c r="F306" i="16" a="1"/>
  <c r="E305" i="16"/>
  <c r="G305" i="16" s="1" a="1"/>
  <c r="F305" i="16" a="1"/>
  <c r="F304" i="16" a="1"/>
  <c r="E304" i="16"/>
  <c r="G304" i="16" s="1" a="1"/>
  <c r="E303" i="16"/>
  <c r="G303" i="16" s="1" a="1"/>
  <c r="F303" i="16" a="1"/>
  <c r="F302" i="16" a="1"/>
  <c r="E302" i="16"/>
  <c r="G302" i="16" s="1" a="1"/>
  <c r="E301" i="16"/>
  <c r="G301" i="16" s="1" a="1"/>
  <c r="F301" i="16" a="1"/>
  <c r="E300" i="16"/>
  <c r="G300" i="16" s="1" a="1"/>
  <c r="F300" i="16" a="1"/>
  <c r="F299" i="16" a="1"/>
  <c r="E299" i="16"/>
  <c r="G299" i="16" s="1" a="1"/>
  <c r="F298" i="16" a="1"/>
  <c r="E298" i="16"/>
  <c r="G298" i="16" s="1" a="1"/>
  <c r="F297" i="16" a="1"/>
  <c r="E297" i="16"/>
  <c r="G297" i="16" s="1" a="1"/>
  <c r="E296" i="16"/>
  <c r="G296" i="16" s="1" a="1"/>
  <c r="F296" i="16" a="1"/>
  <c r="E295" i="16"/>
  <c r="G295" i="16" s="1" a="1"/>
  <c r="F295" i="16" a="1"/>
  <c r="F294" i="16" a="1"/>
  <c r="E294" i="16"/>
  <c r="G294" i="16" s="1" a="1"/>
  <c r="F293" i="16" a="1"/>
  <c r="E293" i="16"/>
  <c r="G293" i="16" s="1" a="1"/>
  <c r="E292" i="16"/>
  <c r="G292" i="16" s="1" a="1"/>
  <c r="F292" i="16" a="1"/>
  <c r="E291" i="16"/>
  <c r="G291" i="16" s="1" a="1"/>
  <c r="F291" i="16" a="1"/>
  <c r="E290" i="16"/>
  <c r="G290" i="16" s="1" a="1"/>
  <c r="F290" i="16" a="1"/>
  <c r="E289" i="16"/>
  <c r="F289" i="16" a="1"/>
  <c r="E288" i="16"/>
  <c r="G288" i="16" s="1" a="1"/>
  <c r="F288" i="16" a="1"/>
  <c r="E287" i="16"/>
  <c r="G287" i="16" s="1" a="1"/>
  <c r="F287" i="16" a="1"/>
  <c r="E286" i="16"/>
  <c r="G286" i="16" s="1" a="1"/>
  <c r="F286" i="16" a="1"/>
  <c r="F285" i="16" a="1"/>
  <c r="E285" i="16"/>
  <c r="G285" i="16" s="1" a="1"/>
  <c r="F284" i="16" a="1"/>
  <c r="E284" i="16"/>
  <c r="G284" i="16" s="1" a="1"/>
  <c r="E283" i="16"/>
  <c r="G283" i="16" s="1" a="1"/>
  <c r="F283" i="16" a="1"/>
  <c r="F282" i="16" a="1"/>
  <c r="E282" i="16"/>
  <c r="G282" i="16" s="1" a="1"/>
  <c r="E281" i="16"/>
  <c r="G281" i="16" s="1" a="1"/>
  <c r="F281" i="16" a="1"/>
  <c r="F280" i="16" a="1"/>
  <c r="E280" i="16"/>
  <c r="G280" i="16" s="1" a="1"/>
  <c r="F279" i="16" a="1"/>
  <c r="E279" i="16"/>
  <c r="G279" i="16" s="1" a="1"/>
  <c r="F278" i="16" a="1"/>
  <c r="E278" i="16"/>
  <c r="G278" i="16" s="1" a="1"/>
  <c r="F277" i="16" a="1"/>
  <c r="E277" i="16"/>
  <c r="G277" i="16" s="1" a="1"/>
  <c r="F276" i="16" a="1"/>
  <c r="E276" i="16"/>
  <c r="G276" i="16" s="1" a="1"/>
  <c r="E275" i="16"/>
  <c r="G275" i="16" s="1" a="1"/>
  <c r="F275" i="16" a="1"/>
  <c r="F274" i="16" a="1"/>
  <c r="E274" i="16"/>
  <c r="G274" i="16" s="1" a="1"/>
  <c r="E273" i="16"/>
  <c r="G273" i="16" s="1" a="1"/>
  <c r="F273" i="16" a="1"/>
  <c r="E272" i="16"/>
  <c r="G272" i="16" s="1" a="1"/>
  <c r="F272" i="16" a="1"/>
  <c r="E271" i="16"/>
  <c r="G271" i="16" s="1" a="1"/>
  <c r="F271" i="16" a="1"/>
  <c r="F270" i="16" a="1"/>
  <c r="E270" i="16"/>
  <c r="G270" i="16" s="1" a="1"/>
  <c r="E269" i="16"/>
  <c r="G269" i="16" s="1" a="1"/>
  <c r="F269" i="16" a="1"/>
  <c r="F268" i="16" a="1"/>
  <c r="E268" i="16"/>
  <c r="G268" i="16" s="1" a="1"/>
  <c r="E267" i="16"/>
  <c r="G267" i="16" s="1" a="1"/>
  <c r="F267" i="16" a="1"/>
  <c r="E266" i="16"/>
  <c r="G266" i="16" s="1" a="1"/>
  <c r="F266" i="16" a="1"/>
  <c r="E265" i="16"/>
  <c r="G265" i="16" s="1" a="1"/>
  <c r="F265" i="16" a="1"/>
  <c r="E264" i="16"/>
  <c r="G264" i="16" s="1" a="1"/>
  <c r="F264" i="16" a="1"/>
  <c r="E263" i="16"/>
  <c r="G263" i="16" s="1" a="1"/>
  <c r="F263" i="16" a="1"/>
  <c r="E262" i="16"/>
  <c r="G262" i="16" s="1" a="1"/>
  <c r="F262" i="16" a="1"/>
  <c r="E261" i="16"/>
  <c r="G261" i="16" s="1" a="1"/>
  <c r="F261" i="16" a="1"/>
  <c r="F260" i="16" a="1"/>
  <c r="E260" i="16"/>
  <c r="G260" i="16" s="1" a="1"/>
  <c r="E259" i="16"/>
  <c r="G259" i="16" s="1" a="1"/>
  <c r="F259" i="16" a="1"/>
  <c r="F258" i="16" a="1"/>
  <c r="E258" i="16"/>
  <c r="G258" i="16" s="1" a="1"/>
  <c r="E257" i="16"/>
  <c r="G257" i="16" s="1" a="1"/>
  <c r="F257" i="16" a="1"/>
  <c r="E256" i="16"/>
  <c r="G256" i="16" s="1" a="1"/>
  <c r="F256" i="16" a="1"/>
  <c r="F255" i="16" a="1"/>
  <c r="E255" i="16"/>
  <c r="G255" i="16" s="1" a="1"/>
  <c r="F254" i="16" a="1"/>
  <c r="E254" i="16"/>
  <c r="G254" i="16" s="1" a="1"/>
  <c r="E253" i="16"/>
  <c r="G253" i="16" s="1" a="1"/>
  <c r="F253" i="16" a="1"/>
  <c r="E252" i="16"/>
  <c r="G252" i="16" s="1" a="1"/>
  <c r="F252" i="16" a="1"/>
  <c r="F251" i="16" a="1"/>
  <c r="E251" i="16"/>
  <c r="G251" i="16" s="1" a="1"/>
  <c r="F250" i="16" a="1"/>
  <c r="E250" i="16"/>
  <c r="G250" i="16" s="1" a="1"/>
  <c r="F249" i="16" a="1"/>
  <c r="E249" i="16"/>
  <c r="G249" i="16" s="1" a="1"/>
  <c r="E248" i="16"/>
  <c r="G248" i="16" s="1" a="1"/>
  <c r="F248" i="16" a="1"/>
  <c r="E247" i="16"/>
  <c r="G247" i="16" s="1" a="1"/>
  <c r="F247" i="16" a="1"/>
  <c r="E246" i="16"/>
  <c r="F246" i="16" a="1"/>
  <c r="F245" i="16" a="1"/>
  <c r="E245" i="16"/>
  <c r="G245" i="16" s="1" a="1"/>
  <c r="E244" i="16"/>
  <c r="G244" i="16" s="1" a="1"/>
  <c r="F244" i="16" a="1"/>
  <c r="E243" i="16"/>
  <c r="G243" i="16" s="1" a="1"/>
  <c r="F243" i="16" a="1"/>
  <c r="F242" i="16" a="1"/>
  <c r="E242" i="16"/>
  <c r="G242" i="16" s="1" a="1"/>
  <c r="E241" i="16"/>
  <c r="G241" i="16" s="1" a="1"/>
  <c r="F241" i="16" a="1"/>
  <c r="F240" i="16" a="1"/>
  <c r="E240" i="16"/>
  <c r="G240" i="16" s="1" a="1"/>
  <c r="E239" i="16"/>
  <c r="G239" i="16" s="1" a="1"/>
  <c r="F239" i="16" a="1"/>
  <c r="F238" i="16" a="1"/>
  <c r="E238" i="16"/>
  <c r="G238" i="16" s="1" a="1"/>
  <c r="E237" i="16"/>
  <c r="G237" i="16" s="1" a="1"/>
  <c r="F237" i="16" a="1"/>
  <c r="E236" i="16"/>
  <c r="G236" i="16" s="1" a="1"/>
  <c r="F236" i="16" a="1"/>
  <c r="F235" i="16" a="1"/>
  <c r="E235" i="16"/>
  <c r="G235" i="16" s="1" a="1"/>
  <c r="F234" i="16" a="1"/>
  <c r="E234" i="16"/>
  <c r="G234" i="16" s="1" a="1"/>
  <c r="E233" i="16"/>
  <c r="G233" i="16" s="1" a="1"/>
  <c r="F233" i="16" a="1"/>
  <c r="F232" i="16" a="1"/>
  <c r="E232" i="16"/>
  <c r="G232" i="16" s="1" a="1"/>
  <c r="F231" i="16" a="1"/>
  <c r="E231" i="16"/>
  <c r="G231" i="16" s="1" a="1"/>
  <c r="F230" i="16" a="1"/>
  <c r="E230" i="16"/>
  <c r="G230" i="16" s="1" a="1"/>
  <c r="F229" i="16" a="1"/>
  <c r="E229" i="16"/>
  <c r="G229" i="16" s="1" a="1"/>
  <c r="F228" i="16" a="1"/>
  <c r="E228" i="16"/>
  <c r="G228" i="16" s="1" a="1"/>
  <c r="F227" i="16" a="1"/>
  <c r="E227" i="16"/>
  <c r="G227" i="16" s="1" a="1"/>
  <c r="F226" i="16" a="1"/>
  <c r="E226" i="16"/>
  <c r="G226" i="16" s="1" a="1"/>
  <c r="F225" i="16" a="1"/>
  <c r="E225" i="16"/>
  <c r="G225" i="16" s="1" a="1"/>
  <c r="F224" i="16" a="1"/>
  <c r="E224" i="16"/>
  <c r="G224" i="16" s="1" a="1"/>
  <c r="F223" i="16" a="1"/>
  <c r="E223" i="16"/>
  <c r="G223" i="16" s="1" a="1"/>
  <c r="E222" i="16"/>
  <c r="G222" i="16" s="1" a="1"/>
  <c r="F222" i="16" a="1"/>
  <c r="E221" i="16"/>
  <c r="G221" i="16" s="1" a="1"/>
  <c r="F221" i="16" a="1"/>
  <c r="E220" i="16"/>
  <c r="G220" i="16" s="1" a="1"/>
  <c r="F220" i="16" a="1"/>
  <c r="F219" i="16" a="1"/>
  <c r="E219" i="16"/>
  <c r="G219" i="16" s="1" a="1"/>
  <c r="F218" i="16" a="1"/>
  <c r="E218" i="16"/>
  <c r="G218" i="16" s="1" a="1"/>
  <c r="F217" i="16" a="1"/>
  <c r="E217" i="16"/>
  <c r="G217" i="16" s="1" a="1"/>
  <c r="F216" i="16" a="1"/>
  <c r="E216" i="16"/>
  <c r="G216" i="16" s="1" a="1"/>
  <c r="F215" i="16" a="1"/>
  <c r="E215" i="16"/>
  <c r="G215" i="16" s="1" a="1"/>
  <c r="F214" i="16" a="1"/>
  <c r="E214" i="16"/>
  <c r="G214" i="16" s="1" a="1"/>
  <c r="F213" i="16" a="1"/>
  <c r="E213" i="16"/>
  <c r="G213" i="16" s="1" a="1"/>
  <c r="F212" i="16" a="1"/>
  <c r="E212" i="16"/>
  <c r="G212" i="16" s="1" a="1"/>
  <c r="F211" i="16" a="1"/>
  <c r="E211" i="16"/>
  <c r="G211" i="16" s="1" a="1"/>
  <c r="F210" i="16" a="1"/>
  <c r="E210" i="16"/>
  <c r="G210" i="16" s="1" a="1"/>
  <c r="F209" i="16" a="1"/>
  <c r="E209" i="16"/>
  <c r="G209" i="16" s="1" a="1"/>
  <c r="F208" i="16" a="1"/>
  <c r="E208" i="16"/>
  <c r="G208" i="16" s="1" a="1"/>
  <c r="F207" i="16" a="1"/>
  <c r="E207" i="16"/>
  <c r="G207" i="16" s="1" a="1"/>
  <c r="F206" i="16" a="1"/>
  <c r="E206" i="16"/>
  <c r="G206" i="16" s="1" a="1"/>
  <c r="F205" i="16" a="1"/>
  <c r="E205" i="16"/>
  <c r="G205" i="16" s="1" a="1"/>
  <c r="F204" i="16" a="1"/>
  <c r="E204" i="16"/>
  <c r="G204" i="16" s="1" a="1"/>
  <c r="F203" i="16" a="1"/>
  <c r="E203" i="16"/>
  <c r="G203" i="16" s="1" a="1"/>
  <c r="E202" i="16"/>
  <c r="G202" i="16" s="1" a="1"/>
  <c r="F202" i="16" a="1"/>
  <c r="E201" i="16"/>
  <c r="G201" i="16" s="1" a="1"/>
  <c r="F201" i="16" a="1"/>
  <c r="E200" i="16"/>
  <c r="G200" i="16" s="1" a="1"/>
  <c r="F200" i="16" a="1"/>
  <c r="E199" i="16"/>
  <c r="G199" i="16" s="1" a="1"/>
  <c r="F199" i="16" a="1"/>
  <c r="E198" i="16"/>
  <c r="G198" i="16" s="1" a="1"/>
  <c r="F198" i="16" a="1"/>
  <c r="E197" i="16"/>
  <c r="G197" i="16" s="1" a="1"/>
  <c r="F197" i="16" a="1"/>
  <c r="E196" i="16"/>
  <c r="G196" i="16" s="1" a="1"/>
  <c r="F196" i="16" a="1"/>
  <c r="F195" i="16" a="1"/>
  <c r="E195" i="16"/>
  <c r="G195" i="16" s="1" a="1"/>
  <c r="F194" i="16" a="1"/>
  <c r="E194" i="16"/>
  <c r="G194" i="16" s="1" a="1"/>
  <c r="F193" i="16" a="1"/>
  <c r="E193" i="16"/>
  <c r="G193" i="16" s="1" a="1"/>
  <c r="F192" i="16" a="1"/>
  <c r="E192" i="16"/>
  <c r="G192" i="16" s="1" a="1"/>
  <c r="F191" i="16" a="1"/>
  <c r="E191" i="16"/>
  <c r="G191" i="16" s="1" a="1"/>
  <c r="F190" i="16" a="1"/>
  <c r="E190" i="16"/>
  <c r="G190" i="16" s="1" a="1"/>
  <c r="F189" i="16" a="1"/>
  <c r="E189" i="16"/>
  <c r="G189" i="16" s="1" a="1"/>
  <c r="F188" i="16" a="1"/>
  <c r="E188" i="16"/>
  <c r="G188" i="16" s="1" a="1"/>
  <c r="F187" i="16" a="1"/>
  <c r="E187" i="16"/>
  <c r="G187" i="16" s="1" a="1"/>
  <c r="E186" i="16"/>
  <c r="G186" i="16" s="1" a="1"/>
  <c r="F186" i="16" a="1"/>
  <c r="F185" i="16" a="1"/>
  <c r="E185" i="16"/>
  <c r="G185" i="16" s="1" a="1"/>
  <c r="F184" i="16" a="1"/>
  <c r="E184" i="16"/>
  <c r="G184" i="16" s="1" a="1"/>
  <c r="F183" i="16" a="1"/>
  <c r="E183" i="16"/>
  <c r="G183" i="16" s="1" a="1"/>
  <c r="F182" i="16" a="1"/>
  <c r="E182" i="16"/>
  <c r="G182" i="16" s="1" a="1"/>
  <c r="F181" i="16" a="1"/>
  <c r="E181" i="16"/>
  <c r="G181" i="16" s="1" a="1"/>
  <c r="F180" i="16" a="1"/>
  <c r="E180" i="16"/>
  <c r="G180" i="16" s="1" a="1"/>
  <c r="F179" i="16" a="1"/>
  <c r="E179" i="16"/>
  <c r="G179" i="16" s="1" a="1"/>
  <c r="E178" i="16"/>
  <c r="G178" i="16" s="1" a="1"/>
  <c r="F178" i="16" a="1"/>
  <c r="E177" i="16"/>
  <c r="G177" i="16" s="1" a="1"/>
  <c r="F177" i="16" a="1"/>
  <c r="F176" i="16" a="1"/>
  <c r="E176" i="16"/>
  <c r="G176" i="16" s="1" a="1"/>
  <c r="F175" i="16" a="1"/>
  <c r="E175" i="16"/>
  <c r="G175" i="16" s="1" a="1"/>
  <c r="F174" i="16" a="1"/>
  <c r="E174" i="16"/>
  <c r="G174" i="16" s="1" a="1"/>
  <c r="F173" i="16" a="1"/>
  <c r="E173" i="16"/>
  <c r="G173" i="16" s="1" a="1"/>
  <c r="F172" i="16" a="1"/>
  <c r="E172" i="16"/>
  <c r="G172" i="16" s="1" a="1"/>
  <c r="F171" i="16" a="1"/>
  <c r="E171" i="16"/>
  <c r="G171" i="16" s="1" a="1"/>
  <c r="F170" i="16" a="1"/>
  <c r="E170" i="16"/>
  <c r="G170" i="16" s="1" a="1"/>
  <c r="E169" i="16"/>
  <c r="G169" i="16" s="1" a="1"/>
  <c r="F169" i="16" a="1"/>
  <c r="E168" i="16"/>
  <c r="G168" i="16" s="1" a="1"/>
  <c r="F168" i="16" a="1"/>
  <c r="E167" i="16"/>
  <c r="G167" i="16" s="1" a="1"/>
  <c r="F167" i="16" a="1"/>
  <c r="E166" i="16"/>
  <c r="G166" i="16" s="1" a="1"/>
  <c r="F166" i="16" a="1"/>
  <c r="E165" i="16"/>
  <c r="G165" i="16" s="1" a="1"/>
  <c r="F165" i="16" a="1"/>
  <c r="F164" i="16" a="1"/>
  <c r="E164" i="16"/>
  <c r="G164" i="16" s="1" a="1"/>
  <c r="F163" i="16" a="1"/>
  <c r="E163" i="16"/>
  <c r="G163" i="16" s="1" a="1"/>
  <c r="F162" i="16" a="1"/>
  <c r="E162" i="16"/>
  <c r="G162" i="16" s="1" a="1"/>
  <c r="F161" i="16" a="1"/>
  <c r="E161" i="16"/>
  <c r="G161" i="16" s="1" a="1"/>
  <c r="F160" i="16" a="1"/>
  <c r="E160" i="16"/>
  <c r="G160" i="16" s="1" a="1"/>
  <c r="F159" i="16" a="1"/>
  <c r="E159" i="16"/>
  <c r="G159" i="16" s="1" a="1"/>
  <c r="F158" i="16" a="1"/>
  <c r="E158" i="16"/>
  <c r="G158" i="16" s="1" a="1"/>
  <c r="F157" i="16" a="1"/>
  <c r="E157" i="16"/>
  <c r="G157" i="16" s="1" a="1"/>
  <c r="F156" i="16" a="1"/>
  <c r="E156" i="16"/>
  <c r="G156" i="16" s="1" a="1"/>
  <c r="F155" i="16" a="1"/>
  <c r="E155" i="16"/>
  <c r="G155" i="16" s="1" a="1"/>
  <c r="F154" i="16" a="1"/>
  <c r="E154" i="16"/>
  <c r="G154" i="16" s="1" a="1"/>
  <c r="F153" i="16" a="1"/>
  <c r="E153" i="16"/>
  <c r="G153" i="16" s="1" a="1"/>
  <c r="F152" i="16" a="1"/>
  <c r="E152" i="16"/>
  <c r="G152" i="16" s="1" a="1"/>
  <c r="F151" i="16" a="1"/>
  <c r="E151" i="16"/>
  <c r="G151" i="16" s="1" a="1"/>
  <c r="F150" i="16" a="1"/>
  <c r="E150" i="16"/>
  <c r="G150" i="16" s="1" a="1"/>
  <c r="F149" i="16" a="1"/>
  <c r="E149" i="16"/>
  <c r="G149" i="16" s="1" a="1"/>
  <c r="F148" i="16" a="1"/>
  <c r="E148" i="16"/>
  <c r="G148" i="16" s="1" a="1"/>
  <c r="F147" i="16" a="1"/>
  <c r="E147" i="16"/>
  <c r="G147" i="16" s="1" a="1"/>
  <c r="F146" i="16" a="1"/>
  <c r="E146" i="16"/>
  <c r="G146" i="16" s="1" a="1"/>
  <c r="F145" i="16" a="1"/>
  <c r="E145" i="16"/>
  <c r="G145" i="16" s="1" a="1"/>
  <c r="F144" i="16" a="1"/>
  <c r="E144" i="16"/>
  <c r="G144" i="16" s="1" a="1"/>
  <c r="F143" i="16" a="1"/>
  <c r="E143" i="16"/>
  <c r="G143" i="16" s="1" a="1"/>
  <c r="F142" i="16" a="1"/>
  <c r="E142" i="16"/>
  <c r="G142" i="16" s="1" a="1"/>
  <c r="F141" i="16" a="1"/>
  <c r="E141" i="16"/>
  <c r="G141" i="16" s="1" a="1"/>
  <c r="F140" i="16" a="1"/>
  <c r="E140" i="16"/>
  <c r="G140" i="16" s="1" a="1"/>
  <c r="F139" i="16" a="1"/>
  <c r="E139" i="16"/>
  <c r="G139" i="16" s="1" a="1"/>
  <c r="F138" i="16" a="1"/>
  <c r="E138" i="16"/>
  <c r="G138" i="16" s="1" a="1"/>
  <c r="F137" i="16" a="1"/>
  <c r="E137" i="16"/>
  <c r="G137" i="16" s="1" a="1"/>
  <c r="F136" i="16" a="1"/>
  <c r="E136" i="16"/>
  <c r="G136" i="16" s="1" a="1"/>
  <c r="E135" i="16"/>
  <c r="G135" i="16" s="1" a="1"/>
  <c r="F135" i="16" a="1"/>
  <c r="E134" i="16"/>
  <c r="G134" i="16" s="1" a="1"/>
  <c r="F134" i="16" a="1"/>
  <c r="E133" i="16"/>
  <c r="G133" i="16" s="1" a="1"/>
  <c r="F133" i="16" a="1"/>
  <c r="E132" i="16"/>
  <c r="G132" i="16" s="1" a="1"/>
  <c r="F132" i="16" a="1"/>
  <c r="E131" i="16"/>
  <c r="G131" i="16" s="1" a="1"/>
  <c r="F131" i="16" a="1"/>
  <c r="E130" i="16"/>
  <c r="G130" i="16" s="1" a="1"/>
  <c r="F130" i="16" a="1"/>
  <c r="E129" i="16"/>
  <c r="G129" i="16" s="1" a="1"/>
  <c r="F129" i="16" a="1"/>
  <c r="F128" i="16" a="1"/>
  <c r="E128" i="16"/>
  <c r="G128" i="16" s="1" a="1"/>
  <c r="F127" i="16" a="1"/>
  <c r="E127" i="16"/>
  <c r="G127" i="16" s="1" a="1"/>
  <c r="F126" i="16" a="1"/>
  <c r="E126" i="16"/>
  <c r="G126" i="16" s="1" a="1"/>
  <c r="F125" i="16" a="1"/>
  <c r="E125" i="16"/>
  <c r="G125" i="16" s="1" a="1"/>
  <c r="F124" i="16" a="1"/>
  <c r="E124" i="16"/>
  <c r="G124" i="16" s="1" a="1"/>
  <c r="F123" i="16" a="1"/>
  <c r="E123" i="16"/>
  <c r="G123" i="16" s="1" a="1"/>
  <c r="F122" i="16" a="1"/>
  <c r="E122" i="16"/>
  <c r="G122" i="16" s="1" a="1"/>
  <c r="E121" i="16"/>
  <c r="G121" i="16" s="1" a="1"/>
  <c r="F121" i="16" a="1"/>
  <c r="F120" i="16" a="1"/>
  <c r="E120" i="16"/>
  <c r="G120" i="16" s="1" a="1"/>
  <c r="E119" i="16"/>
  <c r="G119" i="16" s="1" a="1"/>
  <c r="F119" i="16" a="1"/>
  <c r="E118" i="16"/>
  <c r="G118" i="16" s="1" a="1"/>
  <c r="F118" i="16" a="1"/>
  <c r="E117" i="16"/>
  <c r="G117" i="16" s="1" a="1"/>
  <c r="F117" i="16" a="1"/>
  <c r="E116" i="16"/>
  <c r="G116" i="16" s="1" a="1"/>
  <c r="F116" i="16" a="1"/>
  <c r="E115" i="16"/>
  <c r="G115" i="16" s="1" a="1"/>
  <c r="F115" i="16" a="1"/>
  <c r="E114" i="16"/>
  <c r="G114" i="16" s="1" a="1"/>
  <c r="F114" i="16" a="1"/>
  <c r="E113" i="16"/>
  <c r="G113" i="16" s="1" a="1"/>
  <c r="F113" i="16" a="1"/>
  <c r="E112" i="16"/>
  <c r="G112" i="16" s="1" a="1"/>
  <c r="F112" i="16" a="1"/>
  <c r="E111" i="16"/>
  <c r="G111" i="16" s="1" a="1"/>
  <c r="F111" i="16" a="1"/>
  <c r="E110" i="16"/>
  <c r="G110" i="16" s="1" a="1"/>
  <c r="F110" i="16" a="1"/>
  <c r="E109" i="16"/>
  <c r="G109" i="16" s="1" a="1"/>
  <c r="F109" i="16" a="1"/>
  <c r="E108" i="16"/>
  <c r="G108" i="16" s="1" a="1"/>
  <c r="F108" i="16" a="1"/>
  <c r="E107" i="16"/>
  <c r="G107" i="16" s="1" a="1"/>
  <c r="F107" i="16" a="1"/>
  <c r="E106" i="16"/>
  <c r="F106" i="16" a="1"/>
  <c r="F105" i="16" a="1"/>
  <c r="E105" i="16"/>
  <c r="G105" i="16" s="1" a="1"/>
  <c r="F104" i="16" a="1"/>
  <c r="E104" i="16"/>
  <c r="G104" i="16" s="1" a="1"/>
  <c r="F103" i="16" a="1"/>
  <c r="E103" i="16"/>
  <c r="G103" i="16" s="1" a="1"/>
  <c r="F102" i="16" a="1"/>
  <c r="E102" i="16"/>
  <c r="G102" i="16" s="1" a="1"/>
  <c r="E101" i="16"/>
  <c r="G101" i="16" s="1" a="1"/>
  <c r="F101" i="16" a="1"/>
  <c r="E100" i="16"/>
  <c r="G100" i="16" s="1" a="1"/>
  <c r="F100" i="16" a="1"/>
  <c r="E99" i="16"/>
  <c r="G99" i="16" s="1" a="1"/>
  <c r="F99" i="16" a="1"/>
  <c r="E98" i="16"/>
  <c r="G98" i="16" s="1" a="1"/>
  <c r="F98" i="16" a="1"/>
  <c r="F97" i="16" a="1"/>
  <c r="E97" i="16"/>
  <c r="G97" i="16" s="1" a="1"/>
  <c r="F96" i="16" a="1"/>
  <c r="E96" i="16"/>
  <c r="G96" i="16" s="1" a="1"/>
  <c r="E95" i="16"/>
  <c r="G95" i="16" s="1" a="1"/>
  <c r="F95" i="16" a="1"/>
  <c r="F94" i="16" a="1"/>
  <c r="E94" i="16"/>
  <c r="G94" i="16" s="1" a="1"/>
  <c r="F93" i="16" a="1"/>
  <c r="E93" i="16"/>
  <c r="G93" i="16" s="1" a="1"/>
  <c r="E92" i="16"/>
  <c r="G92" i="16" s="1" a="1"/>
  <c r="F92" i="16" a="1"/>
  <c r="E91" i="16"/>
  <c r="G91" i="16" s="1" a="1"/>
  <c r="F91" i="16" a="1"/>
  <c r="E90" i="16"/>
  <c r="G90" i="16" s="1" a="1"/>
  <c r="F90" i="16" a="1"/>
  <c r="E89" i="16"/>
  <c r="G89" i="16" s="1" a="1"/>
  <c r="F89" i="16" a="1"/>
  <c r="E88" i="16"/>
  <c r="G88" i="16" s="1" a="1"/>
  <c r="F88" i="16" a="1"/>
  <c r="E87" i="16"/>
  <c r="G87" i="16" s="1" a="1"/>
  <c r="F87" i="16" a="1"/>
  <c r="E86" i="16"/>
  <c r="G86" i="16" s="1" a="1"/>
  <c r="F86" i="16" a="1"/>
  <c r="E85" i="16"/>
  <c r="F85" i="16" a="1"/>
  <c r="E84" i="16"/>
  <c r="G84" i="16" s="1" a="1"/>
  <c r="F84" i="16" a="1"/>
  <c r="E83" i="16"/>
  <c r="G83" i="16" s="1" a="1"/>
  <c r="F83" i="16" a="1"/>
  <c r="E82" i="16"/>
  <c r="G82" i="16" s="1" a="1"/>
  <c r="F82" i="16" a="1"/>
  <c r="E81" i="16"/>
  <c r="F81" i="16" a="1"/>
  <c r="E80" i="16"/>
  <c r="G80" i="16" s="1" a="1"/>
  <c r="F80" i="16" a="1"/>
  <c r="E79" i="16"/>
  <c r="G79" i="16" s="1" a="1"/>
  <c r="F79" i="16" a="1"/>
  <c r="F78" i="16" a="1"/>
  <c r="E78" i="16"/>
  <c r="G78" i="16" s="1" a="1"/>
  <c r="E77" i="16"/>
  <c r="G77" i="16" s="1" a="1"/>
  <c r="F77" i="16" a="1"/>
  <c r="F76" i="16" a="1"/>
  <c r="E76" i="16"/>
  <c r="G76" i="16" s="1" a="1"/>
  <c r="F75" i="16" a="1"/>
  <c r="E75" i="16"/>
  <c r="G75" i="16" s="1" a="1"/>
  <c r="F74" i="16" a="1"/>
  <c r="E74" i="16"/>
  <c r="G74" i="16" s="1" a="1"/>
  <c r="E73" i="16"/>
  <c r="G73" i="16" s="1" a="1"/>
  <c r="F73" i="16" a="1"/>
  <c r="E72" i="16"/>
  <c r="G72" i="16" s="1" a="1"/>
  <c r="F72" i="16" a="1"/>
  <c r="E71" i="16"/>
  <c r="G71" i="16" s="1" a="1"/>
  <c r="F71" i="16" a="1"/>
  <c r="E70" i="16"/>
  <c r="G70" i="16" s="1" a="1"/>
  <c r="F70" i="16" a="1"/>
  <c r="F69" i="16" a="1"/>
  <c r="E69" i="16"/>
  <c r="F68" i="16" a="1"/>
  <c r="E68" i="16"/>
  <c r="G68" i="16" s="1" a="1"/>
  <c r="F67" i="16" a="1"/>
  <c r="E67" i="16"/>
  <c r="G67" i="16" s="1" a="1"/>
  <c r="F66" i="16" a="1"/>
  <c r="E66" i="16"/>
  <c r="G66" i="16" s="1" a="1"/>
  <c r="F65" i="16" a="1"/>
  <c r="E65" i="16"/>
  <c r="G65" i="16" s="1" a="1"/>
  <c r="F64" i="16" a="1"/>
  <c r="E64" i="16"/>
  <c r="G64" i="16" s="1" a="1"/>
  <c r="F63" i="16" a="1"/>
  <c r="E63" i="16"/>
  <c r="G63" i="16" s="1" a="1"/>
  <c r="F62" i="16" a="1"/>
  <c r="E62" i="16"/>
  <c r="G62" i="16" s="1" a="1"/>
  <c r="F61" i="16" a="1"/>
  <c r="E61" i="16"/>
  <c r="G61" i="16" s="1" a="1"/>
  <c r="E60" i="16"/>
  <c r="G60" i="16" s="1" a="1"/>
  <c r="F60" i="16" a="1"/>
  <c r="E59" i="16"/>
  <c r="G59" i="16" s="1" a="1"/>
  <c r="F59" i="16" a="1"/>
  <c r="F58" i="16" a="1"/>
  <c r="E58" i="16"/>
  <c r="G58" i="16" s="1" a="1"/>
  <c r="F57" i="16" a="1"/>
  <c r="E57" i="16"/>
  <c r="G57" i="16" s="1" a="1"/>
  <c r="F56" i="16" a="1"/>
  <c r="E56" i="16"/>
  <c r="G56" i="16" s="1" a="1"/>
  <c r="F55" i="16" a="1"/>
  <c r="E55" i="16"/>
  <c r="G55" i="16" s="1" a="1"/>
  <c r="F54" i="16" a="1"/>
  <c r="E54" i="16"/>
  <c r="G54" i="16" s="1" a="1"/>
  <c r="F53" i="16" a="1"/>
  <c r="E53" i="16"/>
  <c r="G53" i="16" s="1" a="1"/>
  <c r="E52" i="16"/>
  <c r="G52" i="16" s="1" a="1"/>
  <c r="F52" i="16" a="1"/>
  <c r="F51" i="16" a="1"/>
  <c r="E51" i="16"/>
  <c r="G51" i="16" s="1" a="1"/>
  <c r="E50" i="16"/>
  <c r="G50" i="16" s="1" a="1"/>
  <c r="F50" i="16" a="1"/>
  <c r="F49" i="16" a="1"/>
  <c r="E49" i="16"/>
  <c r="G49" i="16" s="1" a="1"/>
  <c r="E48" i="16"/>
  <c r="G48" i="16" s="1" a="1"/>
  <c r="F48" i="16" a="1"/>
  <c r="F47" i="16" a="1"/>
  <c r="E47" i="16"/>
  <c r="G47" i="16" s="1" a="1"/>
  <c r="E46" i="16"/>
  <c r="G46" i="16" s="1" a="1"/>
  <c r="F46" i="16" a="1"/>
  <c r="E45" i="16"/>
  <c r="G45" i="16" s="1" a="1"/>
  <c r="F45" i="16" a="1"/>
  <c r="F44" i="16" a="1"/>
  <c r="E44" i="16"/>
  <c r="G44" i="16" s="1" a="1"/>
  <c r="E43" i="16"/>
  <c r="G43" i="16" s="1" a="1"/>
  <c r="F43" i="16" a="1"/>
  <c r="E42" i="16"/>
  <c r="G42" i="16" s="1" a="1"/>
  <c r="F42" i="16" a="1"/>
  <c r="F41" i="16" a="1"/>
  <c r="E41" i="16"/>
  <c r="G41" i="16" s="1" a="1"/>
  <c r="E40" i="16"/>
  <c r="G40" i="16" s="1" a="1"/>
  <c r="F40" i="16" a="1"/>
  <c r="E39" i="16"/>
  <c r="G39" i="16" s="1" a="1"/>
  <c r="F39" i="16" a="1"/>
  <c r="E38" i="16"/>
  <c r="G38" i="16" s="1" a="1"/>
  <c r="F38" i="16" a="1"/>
  <c r="F37" i="16" a="1"/>
  <c r="E37" i="16"/>
  <c r="G37" i="16" s="1" a="1"/>
  <c r="F36" i="16" a="1"/>
  <c r="E36" i="16"/>
  <c r="G36" i="16" s="1" a="1"/>
  <c r="F35" i="16" a="1"/>
  <c r="E35" i="16"/>
  <c r="G35" i="16" s="1" a="1"/>
  <c r="F34" i="16" a="1"/>
  <c r="E34" i="16"/>
  <c r="G34" i="16" s="1" a="1"/>
  <c r="E33" i="16"/>
  <c r="G33" i="16" s="1" a="1"/>
  <c r="F33" i="16" a="1"/>
  <c r="E32" i="16"/>
  <c r="G32" i="16" s="1" a="1"/>
  <c r="F32" i="16" a="1"/>
  <c r="E31" i="16"/>
  <c r="G31" i="16" s="1" a="1"/>
  <c r="F31" i="16" a="1"/>
  <c r="E30" i="16"/>
  <c r="G30" i="16" s="1" a="1"/>
  <c r="F30" i="16" a="1"/>
  <c r="E29" i="16"/>
  <c r="G29" i="16" s="1" a="1"/>
  <c r="F29" i="16" a="1"/>
  <c r="E28" i="16"/>
  <c r="G28" i="16" s="1" a="1"/>
  <c r="F28" i="16" a="1"/>
  <c r="E27" i="16"/>
  <c r="G27" i="16" s="1" a="1"/>
  <c r="F27" i="16" a="1"/>
  <c r="E26" i="16"/>
  <c r="G26" i="16" s="1" a="1"/>
  <c r="F26" i="16" a="1"/>
  <c r="E25" i="16"/>
  <c r="G25" i="16" s="1" a="1"/>
  <c r="F25" i="16" a="1"/>
  <c r="E24" i="16"/>
  <c r="G24" i="16" s="1" a="1"/>
  <c r="F24" i="16" a="1"/>
  <c r="E23" i="16"/>
  <c r="G23" i="16" s="1" a="1"/>
  <c r="F23" i="16" a="1"/>
  <c r="F22" i="16" a="1"/>
  <c r="E22" i="16"/>
  <c r="G22" i="16" s="1" a="1"/>
  <c r="F21" i="16" a="1"/>
  <c r="E21" i="16"/>
  <c r="G21" i="16" s="1" a="1"/>
  <c r="F20" i="16" a="1"/>
  <c r="E20" i="16"/>
  <c r="G20" i="16" s="1" a="1"/>
  <c r="F19" i="16" a="1"/>
  <c r="E19" i="16"/>
  <c r="G19" i="16" s="1" a="1"/>
  <c r="F18" i="16" a="1"/>
  <c r="E18" i="16"/>
  <c r="G18" i="16" s="1" a="1"/>
  <c r="F17" i="16" a="1"/>
  <c r="E17" i="16"/>
  <c r="G17" i="16" s="1" a="1"/>
  <c r="F16" i="16" a="1"/>
  <c r="E16" i="16"/>
  <c r="G16" i="16" s="1" a="1"/>
  <c r="E15" i="16"/>
  <c r="G15" i="16" s="1" a="1"/>
  <c r="F15" i="16" a="1"/>
  <c r="E14" i="16"/>
  <c r="G14" i="16" s="1" a="1"/>
  <c r="F14" i="16" a="1"/>
  <c r="F13" i="16" a="1"/>
  <c r="E13" i="16"/>
  <c r="G13" i="16" s="1" a="1"/>
  <c r="F12" i="16" a="1"/>
  <c r="E12" i="16"/>
  <c r="G12" i="16" s="1" a="1"/>
  <c r="F11" i="16" a="1"/>
  <c r="E11" i="16"/>
  <c r="G11" i="16" s="1" a="1"/>
  <c r="F10" i="16" a="1"/>
  <c r="E10" i="16"/>
  <c r="G10" i="16" s="1" a="1"/>
  <c r="F9" i="16" a="1"/>
  <c r="E9" i="16"/>
  <c r="G9" i="16" s="1" a="1"/>
  <c r="F8" i="16" a="1"/>
  <c r="E8" i="16"/>
  <c r="G8" i="16" s="1" a="1"/>
  <c r="F7" i="16" a="1"/>
  <c r="E7" i="16"/>
  <c r="G7" i="16" s="1" a="1"/>
  <c r="F6" i="16" a="1"/>
  <c r="E6" i="16"/>
  <c r="G6" i="16" s="1" a="1"/>
  <c r="F5" i="16" a="1"/>
  <c r="E5" i="16"/>
  <c r="G5" i="16" s="1" a="1"/>
  <c r="E4" i="16"/>
  <c r="F4" i="16" a="1"/>
  <c r="BB38" i="5"/>
  <c r="AN38" i="5"/>
  <c r="AK38" i="5"/>
  <c r="AE38" i="5"/>
  <c r="AD38" i="5"/>
  <c r="AB38" i="5"/>
  <c r="Z38" i="5"/>
  <c r="W38" i="5"/>
  <c r="E38" i="5"/>
  <c r="H38" i="5"/>
  <c r="W6" i="24"/>
  <c r="W5" i="24"/>
  <c r="W3" i="24"/>
  <c r="W4" i="24"/>
  <c r="H5" i="23"/>
  <c r="G5" i="23"/>
  <c r="F5" i="23"/>
  <c r="I4" i="23"/>
  <c r="AB422" i="16"/>
  <c r="AG422" i="16" s="1"/>
  <c r="AB421" i="16"/>
  <c r="AG421" i="16" s="1"/>
  <c r="AB419" i="16"/>
  <c r="AG419" i="16" s="1"/>
  <c r="AB416" i="16"/>
  <c r="AG416" i="16" s="1"/>
  <c r="AB415" i="16"/>
  <c r="AG415" i="16" s="1"/>
  <c r="AB414" i="16"/>
  <c r="AG414" i="16" s="1"/>
  <c r="AB413" i="16"/>
  <c r="AG413" i="16" s="1"/>
  <c r="AB412" i="16"/>
  <c r="AG412" i="16" s="1"/>
  <c r="AB410" i="16"/>
  <c r="AG410" i="16" s="1"/>
  <c r="AB409" i="16"/>
  <c r="AG409" i="16" s="1"/>
  <c r="AB408" i="16"/>
  <c r="AG408" i="16" s="1"/>
  <c r="AB407" i="16"/>
  <c r="AG407" i="16" s="1"/>
  <c r="AR10" i="6"/>
  <c r="M46" i="1"/>
  <c r="L46" i="1"/>
  <c r="E46" i="1"/>
  <c r="O394" i="16"/>
  <c r="AM18" i="20"/>
  <c r="AP18" i="20" s="1"/>
  <c r="AR18" i="20" s="1"/>
  <c r="AU18" i="20" s="1"/>
  <c r="AV18" i="20" s="1"/>
  <c r="BB18" i="20" s="1"/>
  <c r="AM17" i="20"/>
  <c r="AP17" i="20" s="1"/>
  <c r="AR17" i="20" s="1"/>
  <c r="AU17" i="20" s="1"/>
  <c r="AV17" i="20" s="1"/>
  <c r="BB17" i="20" s="1"/>
  <c r="AM16" i="20"/>
  <c r="AP16" i="20" s="1"/>
  <c r="AR16" i="20" s="1"/>
  <c r="AU16" i="20" s="1"/>
  <c r="AV16" i="20" s="1"/>
  <c r="AM15" i="20"/>
  <c r="AP15" i="20" s="1"/>
  <c r="AR15" i="20" s="1"/>
  <c r="AU15" i="20" s="1"/>
  <c r="AV15" i="20" s="1"/>
  <c r="BB15" i="20" s="1"/>
  <c r="AM14" i="20"/>
  <c r="AP14" i="20" s="1"/>
  <c r="AR14" i="20" s="1"/>
  <c r="AU14" i="20" s="1"/>
  <c r="AV14" i="20" s="1"/>
  <c r="BB14" i="20" s="1"/>
  <c r="O424" i="16"/>
  <c r="O423" i="16"/>
  <c r="O422" i="16"/>
  <c r="O421" i="16"/>
  <c r="O419" i="16"/>
  <c r="O418" i="16"/>
  <c r="O417" i="16"/>
  <c r="O416" i="16"/>
  <c r="O412" i="16"/>
  <c r="O409" i="16"/>
  <c r="O401" i="16"/>
  <c r="O398" i="16"/>
  <c r="O397" i="16"/>
  <c r="O395" i="16"/>
  <c r="O393" i="16"/>
  <c r="O392" i="16"/>
  <c r="O391" i="16"/>
  <c r="O390" i="16"/>
  <c r="O389" i="16"/>
  <c r="O388" i="16"/>
  <c r="O387" i="16"/>
  <c r="O386" i="16"/>
  <c r="O385" i="16"/>
  <c r="O420" i="16"/>
  <c r="O415" i="16"/>
  <c r="O414" i="16"/>
  <c r="O413" i="16"/>
  <c r="O411" i="16"/>
  <c r="O410" i="16"/>
  <c r="O408" i="16"/>
  <c r="O407" i="16"/>
  <c r="O406" i="16"/>
  <c r="O405" i="16"/>
  <c r="O404" i="16"/>
  <c r="O403" i="16"/>
  <c r="O402" i="16"/>
  <c r="O400" i="16"/>
  <c r="O399" i="16"/>
  <c r="O396" i="16"/>
  <c r="M293" i="2"/>
  <c r="M292" i="2"/>
  <c r="M291" i="2"/>
  <c r="M290" i="2"/>
  <c r="M289" i="2"/>
  <c r="M288" i="2"/>
  <c r="M287" i="2"/>
  <c r="M286" i="2"/>
  <c r="M285" i="2"/>
  <c r="M284" i="2"/>
  <c r="M283" i="2"/>
  <c r="M282" i="2"/>
  <c r="M281" i="2"/>
  <c r="E319" i="2"/>
  <c r="D319" i="2"/>
  <c r="E318" i="2"/>
  <c r="D318" i="2"/>
  <c r="E317" i="2"/>
  <c r="D317" i="2"/>
  <c r="E316" i="2"/>
  <c r="D316" i="2"/>
  <c r="E315" i="2"/>
  <c r="D315" i="2"/>
  <c r="E314" i="2"/>
  <c r="D314" i="2"/>
  <c r="E313" i="2"/>
  <c r="D313" i="2"/>
  <c r="E312" i="2"/>
  <c r="D312" i="2"/>
  <c r="E311" i="2"/>
  <c r="D311" i="2"/>
  <c r="E310" i="2"/>
  <c r="D310" i="2"/>
  <c r="E309" i="2"/>
  <c r="D309" i="2"/>
  <c r="E308" i="2"/>
  <c r="D308" i="2"/>
  <c r="E307" i="2"/>
  <c r="D307" i="2"/>
  <c r="E306" i="2"/>
  <c r="D306" i="2"/>
  <c r="E305" i="2"/>
  <c r="D305" i="2"/>
  <c r="E304" i="2"/>
  <c r="D304" i="2"/>
  <c r="E303" i="2"/>
  <c r="D303" i="2"/>
  <c r="E302" i="2"/>
  <c r="D302" i="2"/>
  <c r="E301" i="2"/>
  <c r="D301" i="2"/>
  <c r="E300" i="2"/>
  <c r="D300" i="2"/>
  <c r="E299" i="2"/>
  <c r="D299" i="2"/>
  <c r="E298" i="2"/>
  <c r="D298" i="2"/>
  <c r="E297" i="2"/>
  <c r="D297" i="2"/>
  <c r="E296" i="2"/>
  <c r="D296" i="2"/>
  <c r="E295" i="2"/>
  <c r="D295" i="2"/>
  <c r="E294" i="2"/>
  <c r="D294" i="2"/>
  <c r="E293" i="2"/>
  <c r="E292" i="2"/>
  <c r="E291" i="2"/>
  <c r="E290" i="2"/>
  <c r="E289" i="2"/>
  <c r="E288" i="2"/>
  <c r="E287" i="2"/>
  <c r="E286" i="2"/>
  <c r="E285" i="2"/>
  <c r="E284" i="2"/>
  <c r="E283" i="2"/>
  <c r="E282" i="2"/>
  <c r="E281" i="2"/>
  <c r="D293" i="2"/>
  <c r="D292" i="2"/>
  <c r="D291" i="2"/>
  <c r="D290" i="2"/>
  <c r="D289" i="2"/>
  <c r="D288" i="2"/>
  <c r="D287" i="2"/>
  <c r="D286" i="2"/>
  <c r="D285" i="2"/>
  <c r="D284" i="2"/>
  <c r="D283" i="2"/>
  <c r="D282" i="2"/>
  <c r="D281" i="2"/>
  <c r="I81" i="2"/>
  <c r="I80" i="2"/>
  <c r="I82" i="2" s="1"/>
  <c r="O520" i="16" l="1"/>
  <c r="B14" i="22"/>
  <c r="U14" i="1" s="1"/>
  <c r="B32" i="22"/>
  <c r="M6" i="22"/>
  <c r="N8" i="22"/>
  <c r="N14" i="22" s="1"/>
  <c r="N15" i="22" s="1"/>
  <c r="G6" i="22"/>
  <c r="G53" i="22" s="1"/>
  <c r="G586" i="16" a="1"/>
  <c r="AD8" i="18"/>
  <c r="AE8" i="18" s="1"/>
  <c r="AD3" i="18"/>
  <c r="AE3" i="18" s="1"/>
  <c r="E212" i="11"/>
  <c r="E391" i="9"/>
  <c r="E320" i="2"/>
  <c r="E30" i="14"/>
  <c r="E26" i="14"/>
  <c r="E23" i="14"/>
  <c r="E193" i="11"/>
  <c r="E180" i="11"/>
  <c r="G587" i="16" a="1"/>
  <c r="G589" i="16" a="1"/>
  <c r="G598" i="16" a="1"/>
  <c r="G601" i="16" a="1"/>
  <c r="G600" i="16" a="1"/>
  <c r="G596" i="16" a="1"/>
  <c r="G594" i="16" a="1"/>
  <c r="G593" i="16" a="1"/>
  <c r="G595" i="16" a="1"/>
  <c r="G591" i="16" a="1"/>
  <c r="G590" i="16" a="1"/>
  <c r="G583" i="16" a="1"/>
  <c r="G582" i="16" a="1"/>
  <c r="G602" i="16" a="1"/>
  <c r="G597" i="16" a="1"/>
  <c r="G588" i="16" a="1"/>
  <c r="G584" i="16" a="1"/>
  <c r="G599" i="16" a="1"/>
  <c r="G592" i="16" a="1"/>
  <c r="G585" i="16" a="1"/>
  <c r="U13" i="1"/>
  <c r="G4" i="16" a="1"/>
  <c r="U12" i="1"/>
  <c r="G571" i="16" a="1"/>
  <c r="G568" i="16" a="1"/>
  <c r="G567" i="16" a="1"/>
  <c r="G566" i="16" a="1"/>
  <c r="G576" i="16" a="1"/>
  <c r="G580" i="16" a="1"/>
  <c r="G577" i="16" a="1"/>
  <c r="G569" i="16" a="1"/>
  <c r="G581" i="16" a="1"/>
  <c r="G578" i="16" a="1"/>
  <c r="G579" i="16" a="1"/>
  <c r="G574" i="16" a="1"/>
  <c r="G572" i="16" a="1"/>
  <c r="G575" i="16" a="1"/>
  <c r="G573" i="16" a="1"/>
  <c r="G570" i="16" a="1"/>
  <c r="I602" i="16"/>
  <c r="I601" i="16"/>
  <c r="I600" i="16"/>
  <c r="I599" i="16"/>
  <c r="I598" i="16"/>
  <c r="I597" i="16"/>
  <c r="I596" i="16"/>
  <c r="I595" i="16"/>
  <c r="I594" i="16"/>
  <c r="I592" i="16"/>
  <c r="I593" i="16"/>
  <c r="I591" i="16"/>
  <c r="I590" i="16"/>
  <c r="I589" i="16"/>
  <c r="I588" i="16"/>
  <c r="I587" i="16"/>
  <c r="I586" i="16"/>
  <c r="I585" i="16"/>
  <c r="I584" i="16"/>
  <c r="I583" i="16"/>
  <c r="I582" i="16"/>
  <c r="I581" i="16"/>
  <c r="H581" i="16"/>
  <c r="I580" i="16"/>
  <c r="H580" i="16"/>
  <c r="I579" i="16"/>
  <c r="H579" i="16"/>
  <c r="I578" i="16"/>
  <c r="H578" i="16"/>
  <c r="I577" i="16"/>
  <c r="H577" i="16"/>
  <c r="I576" i="16"/>
  <c r="H576" i="16"/>
  <c r="I575" i="16"/>
  <c r="H575" i="16"/>
  <c r="I574" i="16"/>
  <c r="H574" i="16"/>
  <c r="I573" i="16"/>
  <c r="H573" i="16"/>
  <c r="I572" i="16"/>
  <c r="H572" i="16"/>
  <c r="I571" i="16"/>
  <c r="H571" i="16"/>
  <c r="I570" i="16"/>
  <c r="H570" i="16"/>
  <c r="I569" i="16"/>
  <c r="H569" i="16"/>
  <c r="I568" i="16"/>
  <c r="H568" i="16"/>
  <c r="I567" i="16"/>
  <c r="H567" i="16"/>
  <c r="I566" i="16"/>
  <c r="H566" i="16"/>
  <c r="AD4" i="18"/>
  <c r="AE4" i="18" s="1"/>
  <c r="AD7" i="18"/>
  <c r="AE7" i="18" s="1"/>
  <c r="U14" i="4"/>
  <c r="AD9" i="18"/>
  <c r="AE9" i="18" s="1"/>
  <c r="AD6" i="18"/>
  <c r="AE6" i="18" s="1"/>
  <c r="AD5" i="18"/>
  <c r="AE5" i="18" s="1"/>
  <c r="BV36" i="5"/>
  <c r="BV35" i="5"/>
  <c r="I5" i="23"/>
  <c r="E5" i="23"/>
  <c r="BB16" i="20"/>
  <c r="M308" i="2"/>
  <c r="M304" i="2"/>
  <c r="M305" i="2"/>
  <c r="M306" i="2"/>
  <c r="M307" i="2"/>
  <c r="M309" i="2"/>
  <c r="M294" i="2"/>
  <c r="M320" i="2" s="1"/>
  <c r="M310" i="2"/>
  <c r="M296" i="2"/>
  <c r="M312" i="2"/>
  <c r="M297" i="2"/>
  <c r="M313" i="2"/>
  <c r="M299" i="2"/>
  <c r="M315" i="2"/>
  <c r="M300" i="2"/>
  <c r="M316" i="2"/>
  <c r="M295" i="2"/>
  <c r="M311" i="2"/>
  <c r="M298" i="2"/>
  <c r="M301" i="2"/>
  <c r="M317" i="2"/>
  <c r="M302" i="2"/>
  <c r="M318" i="2"/>
  <c r="M314" i="2"/>
  <c r="M303" i="2"/>
  <c r="M319" i="2"/>
  <c r="Q6" i="22" l="1"/>
  <c r="M7" i="22"/>
  <c r="U10" i="4"/>
  <c r="U15" i="1"/>
  <c r="U45" i="1"/>
  <c r="U32" i="1"/>
  <c r="U37" i="1"/>
  <c r="U41" i="1"/>
  <c r="U24" i="1"/>
  <c r="BV38" i="5"/>
  <c r="AE18" i="21" l="1"/>
  <c r="AF18" i="21" s="1"/>
  <c r="AC18" i="21"/>
  <c r="AD18" i="21" l="1"/>
  <c r="BV24" i="5" l="1"/>
  <c r="AE69" i="5"/>
  <c r="AE71" i="5" s="1"/>
  <c r="AF69" i="5"/>
  <c r="AF71" i="5" s="1"/>
  <c r="AG69" i="5"/>
  <c r="AK69" i="5"/>
  <c r="AQ69" i="5"/>
  <c r="BA69" i="5"/>
  <c r="BC69" i="5"/>
  <c r="E71" i="5"/>
  <c r="F71" i="5"/>
  <c r="G71" i="5"/>
  <c r="H71" i="5"/>
  <c r="I71" i="5"/>
  <c r="J71" i="5"/>
  <c r="L71" i="5"/>
  <c r="M71" i="5"/>
  <c r="N71" i="5"/>
  <c r="O71" i="5"/>
  <c r="P71" i="5"/>
  <c r="Q71" i="5"/>
  <c r="AG71" i="5"/>
  <c r="AK71" i="5"/>
  <c r="AQ71" i="5"/>
  <c r="BA71" i="5"/>
  <c r="BC71" i="5"/>
  <c r="BG71" i="5"/>
  <c r="BI71" i="5"/>
  <c r="BL71" i="5"/>
  <c r="BO71" i="5"/>
  <c r="AG21" i="21" l="1"/>
  <c r="AG20" i="21"/>
  <c r="AG19" i="21"/>
  <c r="AG18" i="21"/>
  <c r="AE21" i="21"/>
  <c r="AF21" i="21" s="1"/>
  <c r="AE20" i="21"/>
  <c r="AF20" i="21" s="1"/>
  <c r="AE19" i="21"/>
  <c r="AF19" i="21" s="1"/>
  <c r="L25" i="14"/>
  <c r="L24" i="14"/>
  <c r="M576" i="11"/>
  <c r="M575" i="11"/>
  <c r="E576" i="11"/>
  <c r="E575" i="11"/>
  <c r="M574" i="11"/>
  <c r="E559"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E557" i="11"/>
  <c r="E556" i="11"/>
  <c r="E555" i="11"/>
  <c r="E554" i="11"/>
  <c r="E553" i="11"/>
  <c r="E552" i="11"/>
  <c r="E551" i="11"/>
  <c r="E550" i="11"/>
  <c r="E549" i="11"/>
  <c r="E548" i="11"/>
  <c r="E547" i="11"/>
  <c r="E546" i="11"/>
  <c r="E545" i="11"/>
  <c r="E544" i="11"/>
  <c r="E543" i="11"/>
  <c r="E542" i="11"/>
  <c r="E541" i="11"/>
  <c r="E540" i="11"/>
  <c r="E539" i="11"/>
  <c r="E538" i="11"/>
  <c r="E537" i="11"/>
  <c r="E536" i="11"/>
  <c r="E535" i="11"/>
  <c r="E534" i="11"/>
  <c r="E533" i="11"/>
  <c r="E532" i="11"/>
  <c r="E531" i="11"/>
  <c r="E530" i="11"/>
  <c r="E529" i="11"/>
  <c r="E528" i="11"/>
  <c r="E527" i="11"/>
  <c r="E526" i="11"/>
  <c r="E525" i="11"/>
  <c r="E524" i="11"/>
  <c r="E523" i="11"/>
  <c r="E522" i="11"/>
  <c r="E521" i="11"/>
  <c r="E520" i="11"/>
  <c r="E519" i="11"/>
  <c r="E518" i="11"/>
  <c r="E517" i="11"/>
  <c r="E516" i="11"/>
  <c r="E515" i="11"/>
  <c r="E514" i="11"/>
  <c r="E513" i="11"/>
  <c r="E512" i="11"/>
  <c r="E511" i="11"/>
  <c r="E510" i="11"/>
  <c r="E509" i="11"/>
  <c r="E508" i="11"/>
  <c r="E507" i="11"/>
  <c r="E506" i="11"/>
  <c r="D559" i="11"/>
  <c r="D557" i="11"/>
  <c r="D556" i="11"/>
  <c r="D555" i="11"/>
  <c r="D554" i="11"/>
  <c r="D553" i="11"/>
  <c r="D552" i="11"/>
  <c r="D551" i="11"/>
  <c r="D550" i="11"/>
  <c r="D549" i="11"/>
  <c r="D548" i="11"/>
  <c r="D547" i="11"/>
  <c r="D546" i="11"/>
  <c r="D545" i="11"/>
  <c r="D544" i="11"/>
  <c r="D543" i="11"/>
  <c r="D542" i="11"/>
  <c r="D541" i="11"/>
  <c r="D540" i="11"/>
  <c r="D539" i="11"/>
  <c r="D538" i="11"/>
  <c r="D537" i="11"/>
  <c r="D536" i="11"/>
  <c r="D535" i="11"/>
  <c r="D534" i="11"/>
  <c r="D533" i="11"/>
  <c r="D532" i="11"/>
  <c r="D531" i="11"/>
  <c r="D530" i="11"/>
  <c r="D529" i="11"/>
  <c r="D528" i="11"/>
  <c r="D527" i="11"/>
  <c r="D526" i="11"/>
  <c r="D525" i="11"/>
  <c r="D524" i="11"/>
  <c r="D523" i="11"/>
  <c r="D522" i="11"/>
  <c r="D521" i="11"/>
  <c r="D520" i="11"/>
  <c r="D519" i="11"/>
  <c r="D518" i="11"/>
  <c r="D517" i="11"/>
  <c r="D516" i="11"/>
  <c r="D515" i="11"/>
  <c r="D514" i="11"/>
  <c r="D513" i="11"/>
  <c r="D512" i="11"/>
  <c r="D511" i="11"/>
  <c r="D510" i="11"/>
  <c r="D509" i="11"/>
  <c r="D508" i="11"/>
  <c r="D507" i="11"/>
  <c r="D506" i="11"/>
  <c r="M505" i="11"/>
  <c r="M504" i="11"/>
  <c r="M503" i="11"/>
  <c r="M502" i="11"/>
  <c r="M501" i="11"/>
  <c r="M500" i="11"/>
  <c r="M499" i="11"/>
  <c r="M498" i="11"/>
  <c r="M497" i="11"/>
  <c r="M496" i="11"/>
  <c r="M495" i="11"/>
  <c r="M494" i="11"/>
  <c r="M493" i="11"/>
  <c r="M492" i="11"/>
  <c r="M491" i="11"/>
  <c r="M490" i="11"/>
  <c r="M489" i="11"/>
  <c r="M488" i="11"/>
  <c r="M487" i="11"/>
  <c r="M486" i="11"/>
  <c r="M485" i="11"/>
  <c r="M484" i="11"/>
  <c r="M483" i="11"/>
  <c r="M482" i="11"/>
  <c r="M481" i="11"/>
  <c r="M480" i="11"/>
  <c r="M479" i="11"/>
  <c r="M478" i="11"/>
  <c r="M477" i="11"/>
  <c r="M476" i="11"/>
  <c r="M475" i="11"/>
  <c r="M474" i="11"/>
  <c r="M473" i="11"/>
  <c r="M472" i="11"/>
  <c r="M471" i="11"/>
  <c r="M470" i="11"/>
  <c r="M469" i="11"/>
  <c r="M468" i="11"/>
  <c r="M467" i="11"/>
  <c r="M466" i="11"/>
  <c r="M465" i="11"/>
  <c r="M464" i="11"/>
  <c r="M463" i="11"/>
  <c r="M462" i="11"/>
  <c r="M461" i="11"/>
  <c r="M460" i="11"/>
  <c r="M459" i="11"/>
  <c r="M458" i="11"/>
  <c r="M457" i="11"/>
  <c r="M456" i="11"/>
  <c r="M455" i="11"/>
  <c r="M577" i="11" s="1"/>
  <c r="E577" i="11" l="1"/>
  <c r="L26" i="14"/>
  <c r="AH18" i="21"/>
  <c r="AI18" i="21" s="1"/>
  <c r="I179" i="11"/>
  <c r="I178" i="11"/>
  <c r="I177" i="11"/>
  <c r="I176" i="11"/>
  <c r="I175" i="11"/>
  <c r="I174" i="11"/>
  <c r="I173" i="11"/>
  <c r="I172" i="11"/>
  <c r="I171" i="11"/>
  <c r="I170" i="11"/>
  <c r="I169" i="11"/>
  <c r="I168" i="11"/>
  <c r="I167" i="11"/>
  <c r="I166" i="11"/>
  <c r="I165" i="11"/>
  <c r="I164" i="11"/>
  <c r="I163" i="11"/>
  <c r="I162" i="11"/>
  <c r="I161" i="11"/>
  <c r="I160" i="11"/>
  <c r="I180" i="11" l="1"/>
  <c r="M145" i="13"/>
  <c r="M144" i="13"/>
  <c r="M143" i="13"/>
  <c r="M142" i="13"/>
  <c r="M141" i="13"/>
  <c r="M140" i="13"/>
  <c r="M139" i="13"/>
  <c r="M138" i="13"/>
  <c r="M137" i="13"/>
  <c r="M136" i="13"/>
  <c r="M135" i="13"/>
  <c r="M134" i="13"/>
  <c r="M133" i="13"/>
  <c r="M132" i="13"/>
  <c r="M131" i="13"/>
  <c r="M130" i="13"/>
  <c r="M129" i="13"/>
  <c r="M146" i="13" s="1"/>
  <c r="I60" i="13" l="1"/>
  <c r="I59" i="13"/>
  <c r="I58" i="13"/>
  <c r="I57" i="13"/>
  <c r="I56" i="13"/>
  <c r="I61" i="13" s="1"/>
  <c r="M1047" i="9"/>
  <c r="M1046" i="9"/>
  <c r="M1045" i="9"/>
  <c r="M1044" i="9"/>
  <c r="K977" i="9"/>
  <c r="M977" i="9" s="1"/>
  <c r="K952" i="9"/>
  <c r="M1043" i="9"/>
  <c r="M1042" i="9"/>
  <c r="M1041" i="9"/>
  <c r="M1040" i="9"/>
  <c r="M1039" i="9"/>
  <c r="M1038" i="9"/>
  <c r="M1037" i="9"/>
  <c r="M1036" i="9"/>
  <c r="M1035" i="9"/>
  <c r="M1034" i="9"/>
  <c r="M1033" i="9"/>
  <c r="M1032" i="9"/>
  <c r="M1031" i="9"/>
  <c r="M1030" i="9"/>
  <c r="M1029" i="9"/>
  <c r="M1028" i="9"/>
  <c r="M1027" i="9"/>
  <c r="M1026" i="9"/>
  <c r="M1025" i="9"/>
  <c r="M1024" i="9"/>
  <c r="M1023" i="9"/>
  <c r="M1022" i="9"/>
  <c r="M1021" i="9"/>
  <c r="M1020" i="9"/>
  <c r="M1019" i="9"/>
  <c r="M1018" i="9"/>
  <c r="M1017" i="9"/>
  <c r="M1016" i="9"/>
  <c r="M1015" i="9"/>
  <c r="M1014" i="9"/>
  <c r="M1013" i="9"/>
  <c r="M1012" i="9"/>
  <c r="M1011" i="9"/>
  <c r="M1010" i="9"/>
  <c r="M1009" i="9"/>
  <c r="M1008" i="9"/>
  <c r="M1007" i="9"/>
  <c r="M1006" i="9"/>
  <c r="M1005" i="9"/>
  <c r="M1004" i="9"/>
  <c r="M1003" i="9"/>
  <c r="M1002" i="9"/>
  <c r="M1001" i="9"/>
  <c r="M1000" i="9"/>
  <c r="M999" i="9"/>
  <c r="M998" i="9"/>
  <c r="M997" i="9"/>
  <c r="M996" i="9"/>
  <c r="M995" i="9"/>
  <c r="M994" i="9"/>
  <c r="M993" i="9"/>
  <c r="M992" i="9"/>
  <c r="M991" i="9"/>
  <c r="M990" i="9"/>
  <c r="M989" i="9"/>
  <c r="M988" i="9"/>
  <c r="M987" i="9"/>
  <c r="M986" i="9"/>
  <c r="M985" i="9"/>
  <c r="M984" i="9"/>
  <c r="M983" i="9"/>
  <c r="M982" i="9"/>
  <c r="M981" i="9"/>
  <c r="M980" i="9"/>
  <c r="M979" i="9"/>
  <c r="M978" i="9"/>
  <c r="M976" i="9"/>
  <c r="M975" i="9"/>
  <c r="M974" i="9"/>
  <c r="M973" i="9"/>
  <c r="M972" i="9"/>
  <c r="M971" i="9"/>
  <c r="M970" i="9"/>
  <c r="M969" i="9"/>
  <c r="M968" i="9"/>
  <c r="M967" i="9"/>
  <c r="M966" i="9"/>
  <c r="M965" i="9"/>
  <c r="M964" i="9"/>
  <c r="M963" i="9"/>
  <c r="M962" i="9"/>
  <c r="M961" i="9"/>
  <c r="M960" i="9"/>
  <c r="M959" i="9"/>
  <c r="M958" i="9"/>
  <c r="M957" i="9"/>
  <c r="M956" i="9"/>
  <c r="M955" i="9"/>
  <c r="M954" i="9"/>
  <c r="M953" i="9"/>
  <c r="M951" i="9"/>
  <c r="M950" i="9"/>
  <c r="M949" i="9"/>
  <c r="M948" i="9"/>
  <c r="M947" i="9"/>
  <c r="M946" i="9"/>
  <c r="M945" i="9"/>
  <c r="M944" i="9"/>
  <c r="M943" i="9"/>
  <c r="M942" i="9"/>
  <c r="M941" i="9"/>
  <c r="M940" i="9"/>
  <c r="M939" i="9"/>
  <c r="M938" i="9"/>
  <c r="M937" i="9"/>
  <c r="M936" i="9"/>
  <c r="M935" i="9"/>
  <c r="M934" i="9"/>
  <c r="M933" i="9"/>
  <c r="M932" i="9"/>
  <c r="M931" i="9"/>
  <c r="M930" i="9"/>
  <c r="M929" i="9"/>
  <c r="M928" i="9"/>
  <c r="M927" i="9"/>
  <c r="M926" i="9"/>
  <c r="M925" i="9"/>
  <c r="M924" i="9"/>
  <c r="M923" i="9"/>
  <c r="M922" i="9"/>
  <c r="M921" i="9"/>
  <c r="M920" i="9"/>
  <c r="M919" i="9"/>
  <c r="M918" i="9"/>
  <c r="M917" i="9"/>
  <c r="M916" i="9"/>
  <c r="M915" i="9"/>
  <c r="M914" i="9"/>
  <c r="M913" i="9"/>
  <c r="M912" i="9"/>
  <c r="M911" i="9"/>
  <c r="M910" i="9"/>
  <c r="M909" i="9"/>
  <c r="M908" i="9"/>
  <c r="M907" i="9"/>
  <c r="M906" i="9"/>
  <c r="M905" i="9"/>
  <c r="M904" i="9"/>
  <c r="M903" i="9"/>
  <c r="M902" i="9"/>
  <c r="M901" i="9"/>
  <c r="M900" i="9"/>
  <c r="M899" i="9"/>
  <c r="M898" i="9"/>
  <c r="M897" i="9"/>
  <c r="M896" i="9"/>
  <c r="M895" i="9"/>
  <c r="M894" i="9"/>
  <c r="M893" i="9"/>
  <c r="M892" i="9"/>
  <c r="M891" i="9"/>
  <c r="M890" i="9"/>
  <c r="M889" i="9"/>
  <c r="M888" i="9"/>
  <c r="M887" i="9"/>
  <c r="M886" i="9"/>
  <c r="M885" i="9"/>
  <c r="D1040" i="9"/>
  <c r="D1039" i="9"/>
  <c r="D1038" i="9"/>
  <c r="D1037" i="9"/>
  <c r="D1036" i="9"/>
  <c r="D1035" i="9"/>
  <c r="D1034" i="9"/>
  <c r="D1033" i="9"/>
  <c r="D1032" i="9"/>
  <c r="D1031" i="9"/>
  <c r="D1030" i="9"/>
  <c r="D1029" i="9"/>
  <c r="D1028" i="9"/>
  <c r="D1027" i="9"/>
  <c r="D1026" i="9"/>
  <c r="D1025" i="9"/>
  <c r="D1024" i="9"/>
  <c r="D1023" i="9"/>
  <c r="D1022" i="9"/>
  <c r="D1021" i="9"/>
  <c r="D1020" i="9"/>
  <c r="D1019" i="9"/>
  <c r="D1018" i="9"/>
  <c r="D1017" i="9"/>
  <c r="D1016" i="9"/>
  <c r="D1015" i="9"/>
  <c r="D1014" i="9"/>
  <c r="D1013" i="9"/>
  <c r="D1012" i="9"/>
  <c r="D1011" i="9"/>
  <c r="D1010" i="9"/>
  <c r="D1009" i="9"/>
  <c r="D1008" i="9"/>
  <c r="D1007" i="9"/>
  <c r="D1005" i="9"/>
  <c r="D1004" i="9"/>
  <c r="D1003" i="9"/>
  <c r="D1002" i="9"/>
  <c r="D1001" i="9"/>
  <c r="D1000" i="9"/>
  <c r="D999" i="9"/>
  <c r="D998" i="9"/>
  <c r="D997" i="9"/>
  <c r="D996" i="9"/>
  <c r="D995" i="9"/>
  <c r="D994" i="9"/>
  <c r="D993" i="9"/>
  <c r="D992" i="9"/>
  <c r="D991" i="9"/>
  <c r="D990" i="9"/>
  <c r="D989" i="9"/>
  <c r="D988" i="9"/>
  <c r="D987" i="9"/>
  <c r="D986" i="9"/>
  <c r="D985" i="9"/>
  <c r="D984" i="9"/>
  <c r="D983" i="9"/>
  <c r="D982" i="9"/>
  <c r="D981" i="9"/>
  <c r="D980" i="9"/>
  <c r="D979" i="9"/>
  <c r="D978" i="9"/>
  <c r="D977" i="9"/>
  <c r="D976" i="9"/>
  <c r="D975" i="9"/>
  <c r="D974" i="9"/>
  <c r="D973" i="9"/>
  <c r="D972" i="9"/>
  <c r="D971" i="9"/>
  <c r="D970" i="9"/>
  <c r="D969" i="9"/>
  <c r="D968" i="9"/>
  <c r="D967" i="9"/>
  <c r="D966" i="9"/>
  <c r="D965" i="9"/>
  <c r="D964" i="9"/>
  <c r="D963" i="9"/>
  <c r="D962" i="9"/>
  <c r="D961" i="9"/>
  <c r="D960" i="9"/>
  <c r="D959" i="9"/>
  <c r="D958" i="9"/>
  <c r="D957" i="9"/>
  <c r="D956" i="9"/>
  <c r="D955" i="9"/>
  <c r="D953" i="9"/>
  <c r="D952" i="9"/>
  <c r="D951" i="9"/>
  <c r="D950" i="9"/>
  <c r="D949" i="9"/>
  <c r="D948" i="9"/>
  <c r="D947" i="9"/>
  <c r="D946" i="9"/>
  <c r="D945" i="9"/>
  <c r="D944" i="9"/>
  <c r="D943" i="9"/>
  <c r="D942" i="9"/>
  <c r="D941" i="9"/>
  <c r="D940" i="9"/>
  <c r="D939" i="9"/>
  <c r="D938" i="9"/>
  <c r="D937" i="9"/>
  <c r="E1040" i="9"/>
  <c r="E1039" i="9"/>
  <c r="E1038" i="9"/>
  <c r="E1037" i="9"/>
  <c r="E1036" i="9"/>
  <c r="E1035" i="9"/>
  <c r="E1034" i="9"/>
  <c r="E1033" i="9"/>
  <c r="E1032" i="9"/>
  <c r="E1031" i="9"/>
  <c r="E1030" i="9"/>
  <c r="E1029" i="9"/>
  <c r="E1028" i="9"/>
  <c r="E1027" i="9"/>
  <c r="E1026" i="9"/>
  <c r="E1025" i="9"/>
  <c r="E1024" i="9"/>
  <c r="E1023" i="9"/>
  <c r="E1022" i="9"/>
  <c r="E1021" i="9"/>
  <c r="E1020" i="9"/>
  <c r="E1019" i="9"/>
  <c r="E1018" i="9"/>
  <c r="E1017" i="9"/>
  <c r="E1016" i="9"/>
  <c r="E1015" i="9"/>
  <c r="E1014" i="9"/>
  <c r="E1013" i="9"/>
  <c r="E1012" i="9"/>
  <c r="E1011" i="9"/>
  <c r="E1010" i="9"/>
  <c r="E1009" i="9"/>
  <c r="E1008" i="9"/>
  <c r="E1007" i="9"/>
  <c r="E1005" i="9"/>
  <c r="E1004" i="9"/>
  <c r="E1003" i="9"/>
  <c r="E1002" i="9"/>
  <c r="E1001" i="9"/>
  <c r="E1000" i="9"/>
  <c r="E999" i="9"/>
  <c r="E998" i="9"/>
  <c r="E997" i="9"/>
  <c r="E996" i="9"/>
  <c r="E995" i="9"/>
  <c r="E994" i="9"/>
  <c r="E993" i="9"/>
  <c r="E992" i="9"/>
  <c r="E991" i="9"/>
  <c r="E990" i="9"/>
  <c r="E989" i="9"/>
  <c r="E988" i="9"/>
  <c r="E987" i="9"/>
  <c r="E986" i="9"/>
  <c r="E985" i="9"/>
  <c r="E984" i="9"/>
  <c r="E983" i="9"/>
  <c r="E982" i="9"/>
  <c r="E981" i="9"/>
  <c r="E980" i="9"/>
  <c r="E979" i="9"/>
  <c r="E978" i="9"/>
  <c r="E977" i="9"/>
  <c r="E976" i="9"/>
  <c r="E975" i="9"/>
  <c r="E974" i="9"/>
  <c r="E973" i="9"/>
  <c r="E972" i="9"/>
  <c r="E971" i="9"/>
  <c r="E970" i="9"/>
  <c r="E969" i="9"/>
  <c r="E968" i="9"/>
  <c r="E967" i="9"/>
  <c r="E966" i="9"/>
  <c r="E965" i="9"/>
  <c r="E964" i="9"/>
  <c r="E963" i="9"/>
  <c r="E962" i="9"/>
  <c r="E961" i="9"/>
  <c r="E960" i="9"/>
  <c r="E959" i="9"/>
  <c r="E958" i="9"/>
  <c r="E957" i="9"/>
  <c r="E956" i="9"/>
  <c r="E955" i="9"/>
  <c r="E953" i="9"/>
  <c r="E952" i="9"/>
  <c r="E951" i="9"/>
  <c r="E950" i="9"/>
  <c r="E949" i="9"/>
  <c r="E948" i="9"/>
  <c r="E947" i="9"/>
  <c r="E946" i="9"/>
  <c r="E945" i="9"/>
  <c r="E944" i="9"/>
  <c r="E943" i="9"/>
  <c r="E942" i="9"/>
  <c r="E941" i="9"/>
  <c r="E940" i="9"/>
  <c r="E939" i="9"/>
  <c r="E938" i="9"/>
  <c r="E937" i="9"/>
  <c r="E1048" i="9" l="1"/>
  <c r="K1048" i="9"/>
  <c r="K1330" i="9"/>
  <c r="M952" i="9"/>
  <c r="M1048" i="9" s="1"/>
  <c r="I349" i="9"/>
  <c r="I348" i="9"/>
  <c r="I347" i="9"/>
  <c r="I346" i="9"/>
  <c r="I345" i="9"/>
  <c r="I344" i="9"/>
  <c r="I343" i="9"/>
  <c r="I342" i="9"/>
  <c r="I341" i="9"/>
  <c r="I340" i="9"/>
  <c r="I339" i="9"/>
  <c r="I338" i="9"/>
  <c r="I337" i="9"/>
  <c r="I336" i="9"/>
  <c r="I335" i="9"/>
  <c r="I334" i="9"/>
  <c r="I333" i="9"/>
  <c r="I332" i="9"/>
  <c r="I331" i="9"/>
  <c r="I330" i="9"/>
  <c r="I329" i="9"/>
  <c r="I328" i="9"/>
  <c r="I327" i="9"/>
  <c r="I326" i="9"/>
  <c r="I325" i="9"/>
  <c r="I324" i="9"/>
  <c r="I323" i="9"/>
  <c r="I322" i="9"/>
  <c r="I321" i="9"/>
  <c r="I320" i="9"/>
  <c r="I319" i="9"/>
  <c r="I318" i="9"/>
  <c r="I317" i="9"/>
  <c r="I316" i="9"/>
  <c r="I315" i="9"/>
  <c r="I350" i="9" l="1"/>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80" i="2" l="1"/>
  <c r="E439" i="2" s="1"/>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36" i="2"/>
  <c r="D237" i="2"/>
  <c r="D238" i="2"/>
  <c r="D239" i="2"/>
  <c r="D240" i="2"/>
  <c r="D241" i="2"/>
  <c r="D242" i="2"/>
  <c r="D243" i="2"/>
  <c r="D244" i="2"/>
  <c r="D245" i="2"/>
  <c r="D246" i="2"/>
  <c r="D247" i="2"/>
  <c r="D248" i="2"/>
  <c r="D249" i="2"/>
  <c r="D250" i="2"/>
  <c r="D251" i="2"/>
  <c r="D252" i="2"/>
  <c r="I245" i="2"/>
  <c r="M245" i="2" s="1"/>
  <c r="I246" i="2"/>
  <c r="M246" i="2" s="1"/>
  <c r="I247" i="2"/>
  <c r="M247" i="2" s="1"/>
  <c r="I248" i="2"/>
  <c r="M248" i="2" s="1"/>
  <c r="I249" i="2"/>
  <c r="M249" i="2" s="1"/>
  <c r="I250" i="2"/>
  <c r="M250" i="2" s="1"/>
  <c r="I251" i="2"/>
  <c r="M251" i="2" s="1"/>
  <c r="I252" i="2"/>
  <c r="M252" i="2" s="1"/>
  <c r="I253" i="2"/>
  <c r="M253" i="2" s="1"/>
  <c r="I254" i="2"/>
  <c r="M254" i="2" s="1"/>
  <c r="I255" i="2"/>
  <c r="M255" i="2" s="1"/>
  <c r="I256" i="2"/>
  <c r="M256" i="2" s="1"/>
  <c r="I257" i="2"/>
  <c r="M257" i="2" s="1"/>
  <c r="I258" i="2"/>
  <c r="M258" i="2" s="1"/>
  <c r="I259" i="2"/>
  <c r="M259" i="2" s="1"/>
  <c r="I260" i="2"/>
  <c r="M260" i="2" s="1"/>
  <c r="I261" i="2"/>
  <c r="M261" i="2" s="1"/>
  <c r="I262" i="2"/>
  <c r="M262" i="2" s="1"/>
  <c r="I263" i="2"/>
  <c r="M263" i="2" s="1"/>
  <c r="I264" i="2"/>
  <c r="M264" i="2" s="1"/>
  <c r="I265" i="2"/>
  <c r="M265" i="2" s="1"/>
  <c r="I266" i="2"/>
  <c r="M266" i="2" s="1"/>
  <c r="I267" i="2"/>
  <c r="M267" i="2" s="1"/>
  <c r="I268" i="2"/>
  <c r="M268" i="2" s="1"/>
  <c r="I269" i="2"/>
  <c r="M269" i="2" s="1"/>
  <c r="I270" i="2"/>
  <c r="M270" i="2" s="1"/>
  <c r="I271" i="2"/>
  <c r="M271" i="2" s="1"/>
  <c r="I272" i="2"/>
  <c r="M272" i="2" s="1"/>
  <c r="I273" i="2"/>
  <c r="M273" i="2" s="1"/>
  <c r="I274" i="2"/>
  <c r="M274" i="2" s="1"/>
  <c r="I275" i="2"/>
  <c r="M275" i="2" s="1"/>
  <c r="I276" i="2"/>
  <c r="M276" i="2" s="1"/>
  <c r="I277" i="2"/>
  <c r="M277" i="2" s="1"/>
  <c r="I278" i="2"/>
  <c r="M278" i="2" s="1"/>
  <c r="I279" i="2"/>
  <c r="M279" i="2" s="1"/>
  <c r="D235" i="2"/>
  <c r="D234" i="2"/>
  <c r="D233" i="2"/>
  <c r="D232" i="2"/>
  <c r="D231" i="2"/>
  <c r="D230" i="2"/>
  <c r="D229" i="2"/>
  <c r="D228" i="2"/>
  <c r="D227" i="2"/>
  <c r="D226" i="2"/>
  <c r="D225" i="2"/>
  <c r="D224" i="2"/>
  <c r="D223" i="2"/>
  <c r="D222" i="2"/>
  <c r="D221" i="2"/>
  <c r="D220" i="2"/>
  <c r="D219" i="2"/>
  <c r="D218" i="2"/>
  <c r="D217" i="2"/>
  <c r="D216" i="2"/>
  <c r="I244" i="2"/>
  <c r="M244" i="2" s="1"/>
  <c r="I243" i="2"/>
  <c r="M243" i="2" s="1"/>
  <c r="I242" i="2"/>
  <c r="M242" i="2" s="1"/>
  <c r="I241" i="2"/>
  <c r="M241" i="2" s="1"/>
  <c r="I240" i="2"/>
  <c r="M240" i="2" s="1"/>
  <c r="I239" i="2"/>
  <c r="M239" i="2" s="1"/>
  <c r="I238" i="2"/>
  <c r="M238" i="2" s="1"/>
  <c r="I237" i="2"/>
  <c r="M237" i="2" s="1"/>
  <c r="I236" i="2"/>
  <c r="M236" i="2" s="1"/>
  <c r="BV51" i="5" l="1"/>
  <c r="BV55" i="5"/>
  <c r="BV53" i="5"/>
  <c r="BV50" i="5"/>
  <c r="AC21" i="21"/>
  <c r="AD21" i="21" s="1"/>
  <c r="AH21" i="21" s="1"/>
  <c r="AI21" i="21" s="1"/>
  <c r="AC20" i="21"/>
  <c r="AD20" i="21" s="1"/>
  <c r="AH20" i="21" s="1"/>
  <c r="AI20" i="21" s="1"/>
  <c r="AC19" i="21"/>
  <c r="AD19" i="21" s="1"/>
  <c r="BV58" i="5"/>
  <c r="BV56" i="5"/>
  <c r="AK54" i="5"/>
  <c r="AH54" i="5"/>
  <c r="AH19" i="21" l="1"/>
  <c r="AI19" i="21" s="1"/>
  <c r="BV54" i="5"/>
  <c r="BV52" i="5"/>
  <c r="AW13" i="20" l="1" a="1"/>
  <c r="U39" i="1" l="1"/>
  <c r="U43" i="1"/>
  <c r="U35" i="1"/>
  <c r="U30" i="1"/>
  <c r="Q12" i="18"/>
  <c r="O13" i="18" s="1"/>
  <c r="U47" i="1" l="1"/>
  <c r="AE10" i="18" l="1"/>
  <c r="I313" i="9" l="1"/>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I158" i="11"/>
  <c r="I157" i="11"/>
  <c r="I156" i="11"/>
  <c r="I314" i="9" l="1"/>
  <c r="U4" i="1"/>
  <c r="L22" i="14"/>
  <c r="L21" i="14"/>
  <c r="L20" i="14"/>
  <c r="L19" i="14"/>
  <c r="L18" i="14"/>
  <c r="L23" i="14" l="1"/>
  <c r="M453" i="11"/>
  <c r="M452" i="11"/>
  <c r="M451" i="11"/>
  <c r="M450" i="11"/>
  <c r="M449" i="11"/>
  <c r="M448" i="11"/>
  <c r="M447" i="11"/>
  <c r="M446" i="11"/>
  <c r="M445" i="11"/>
  <c r="M444" i="11"/>
  <c r="M443" i="11"/>
  <c r="M442" i="11"/>
  <c r="M441" i="11"/>
  <c r="M440" i="11"/>
  <c r="M439" i="11"/>
  <c r="M438" i="11"/>
  <c r="M437" i="11"/>
  <c r="M436" i="11"/>
  <c r="M435" i="11"/>
  <c r="M434" i="11"/>
  <c r="M433" i="11"/>
  <c r="M432" i="11"/>
  <c r="M431" i="11"/>
  <c r="M430" i="11"/>
  <c r="M429" i="11"/>
  <c r="M428" i="11"/>
  <c r="M427" i="11"/>
  <c r="M426" i="11"/>
  <c r="M425" i="11"/>
  <c r="M424" i="11"/>
  <c r="M423" i="11"/>
  <c r="M422" i="11"/>
  <c r="M421" i="11"/>
  <c r="M420" i="11"/>
  <c r="M419" i="11"/>
  <c r="M418" i="11"/>
  <c r="M417" i="11"/>
  <c r="M416" i="11"/>
  <c r="M415" i="11"/>
  <c r="M414" i="11"/>
  <c r="M413" i="11"/>
  <c r="M412" i="11"/>
  <c r="M411" i="11"/>
  <c r="M410" i="11"/>
  <c r="M409" i="11"/>
  <c r="M408" i="11"/>
  <c r="M407" i="11"/>
  <c r="M406" i="11"/>
  <c r="M405" i="11"/>
  <c r="M404" i="11"/>
  <c r="M403" i="11"/>
  <c r="M402" i="11"/>
  <c r="M401" i="11"/>
  <c r="M400" i="11"/>
  <c r="M399" i="11"/>
  <c r="M398" i="11"/>
  <c r="M397" i="11"/>
  <c r="M396" i="11"/>
  <c r="M395" i="11"/>
  <c r="M394" i="11"/>
  <c r="M393" i="11"/>
  <c r="M392" i="11"/>
  <c r="M391" i="11"/>
  <c r="M390" i="11"/>
  <c r="M389" i="11"/>
  <c r="M388" i="11"/>
  <c r="M387" i="11"/>
  <c r="M386" i="11"/>
  <c r="M385" i="11"/>
  <c r="M384" i="11"/>
  <c r="M383" i="11"/>
  <c r="M382" i="11"/>
  <c r="M381" i="11"/>
  <c r="M380" i="11"/>
  <c r="M379" i="11"/>
  <c r="M378" i="11"/>
  <c r="M377" i="11"/>
  <c r="M376" i="11"/>
  <c r="M375" i="11"/>
  <c r="M374" i="11"/>
  <c r="M373" i="11"/>
  <c r="M372" i="11"/>
  <c r="M371" i="11"/>
  <c r="M370" i="11"/>
  <c r="M369" i="11"/>
  <c r="M368" i="11"/>
  <c r="M367" i="11"/>
  <c r="M366" i="11"/>
  <c r="M365" i="11"/>
  <c r="M364" i="11"/>
  <c r="M363" i="11"/>
  <c r="M362" i="11"/>
  <c r="M361" i="11"/>
  <c r="M360" i="11"/>
  <c r="M359" i="11"/>
  <c r="M358" i="11"/>
  <c r="M357" i="11"/>
  <c r="M356" i="11"/>
  <c r="M355" i="11"/>
  <c r="M354" i="11"/>
  <c r="M353" i="11"/>
  <c r="M352" i="11"/>
  <c r="M351" i="11"/>
  <c r="M350" i="11"/>
  <c r="M349" i="11"/>
  <c r="M348" i="11"/>
  <c r="M347" i="11"/>
  <c r="M346" i="11"/>
  <c r="M345" i="11"/>
  <c r="M344" i="11"/>
  <c r="M343" i="11"/>
  <c r="M342" i="11"/>
  <c r="M341" i="11"/>
  <c r="M340" i="11"/>
  <c r="M339" i="11"/>
  <c r="M338" i="11"/>
  <c r="M337" i="11"/>
  <c r="M336" i="11"/>
  <c r="M335" i="11"/>
  <c r="M334" i="11"/>
  <c r="M333" i="11"/>
  <c r="M332" i="11"/>
  <c r="M331" i="11"/>
  <c r="M330" i="11"/>
  <c r="M329" i="11"/>
  <c r="M328" i="11"/>
  <c r="E436" i="11"/>
  <c r="D436" i="11"/>
  <c r="E435" i="11"/>
  <c r="D435" i="11"/>
  <c r="E434" i="11"/>
  <c r="D434" i="11"/>
  <c r="E433" i="11"/>
  <c r="D433" i="11"/>
  <c r="E432" i="11"/>
  <c r="D432" i="11"/>
  <c r="E431" i="11"/>
  <c r="D431" i="11"/>
  <c r="E430" i="11"/>
  <c r="D430" i="11"/>
  <c r="E429" i="11"/>
  <c r="D429" i="11"/>
  <c r="E428" i="11"/>
  <c r="D428" i="11"/>
  <c r="E427" i="11"/>
  <c r="D427" i="11"/>
  <c r="E426" i="11"/>
  <c r="D426" i="11"/>
  <c r="E425" i="11"/>
  <c r="D425" i="11"/>
  <c r="E424" i="11"/>
  <c r="D424" i="11"/>
  <c r="E423" i="11"/>
  <c r="D423" i="11"/>
  <c r="E422" i="11"/>
  <c r="D422" i="11"/>
  <c r="E421" i="11"/>
  <c r="D421" i="11"/>
  <c r="E420" i="11"/>
  <c r="D420" i="11"/>
  <c r="E419" i="11"/>
  <c r="D419" i="11"/>
  <c r="E418" i="11"/>
  <c r="D418" i="11"/>
  <c r="E417" i="11"/>
  <c r="D417" i="11"/>
  <c r="E416" i="11"/>
  <c r="D416" i="11"/>
  <c r="E415" i="11"/>
  <c r="D415" i="11"/>
  <c r="E414" i="11"/>
  <c r="D414" i="11"/>
  <c r="E413" i="11"/>
  <c r="D413" i="11"/>
  <c r="E412" i="11"/>
  <c r="D412" i="11"/>
  <c r="E411" i="11"/>
  <c r="D411" i="11"/>
  <c r="E410" i="11"/>
  <c r="D410" i="11"/>
  <c r="E409" i="11"/>
  <c r="D409" i="11"/>
  <c r="E408" i="11"/>
  <c r="D408" i="11"/>
  <c r="E407" i="11"/>
  <c r="D407" i="11"/>
  <c r="E406" i="11"/>
  <c r="D406" i="11"/>
  <c r="E405" i="11"/>
  <c r="D405" i="11"/>
  <c r="E404" i="11"/>
  <c r="D404" i="11"/>
  <c r="E403" i="11"/>
  <c r="D403" i="11"/>
  <c r="E402" i="11"/>
  <c r="D402" i="11"/>
  <c r="E401" i="11"/>
  <c r="D401" i="11"/>
  <c r="E400" i="11"/>
  <c r="D400" i="11"/>
  <c r="E399" i="11"/>
  <c r="D399" i="11"/>
  <c r="E398" i="11"/>
  <c r="D398" i="11"/>
  <c r="E397" i="11"/>
  <c r="D397" i="11"/>
  <c r="E396" i="11"/>
  <c r="D396" i="11"/>
  <c r="E395" i="11"/>
  <c r="D395" i="11"/>
  <c r="E394" i="11"/>
  <c r="D394" i="11"/>
  <c r="E393" i="11"/>
  <c r="D393" i="11"/>
  <c r="E392" i="11"/>
  <c r="D392" i="11"/>
  <c r="E391" i="11"/>
  <c r="D391" i="11"/>
  <c r="E390" i="11"/>
  <c r="D390" i="11"/>
  <c r="E389" i="11"/>
  <c r="D389" i="11"/>
  <c r="E388" i="11"/>
  <c r="D388" i="11"/>
  <c r="E387" i="11"/>
  <c r="D387" i="11"/>
  <c r="E386" i="11"/>
  <c r="D386" i="11"/>
  <c r="E385" i="11"/>
  <c r="D385" i="11"/>
  <c r="E384" i="11"/>
  <c r="D384" i="11"/>
  <c r="E383" i="11"/>
  <c r="D383" i="11"/>
  <c r="E382" i="11"/>
  <c r="D382" i="11"/>
  <c r="E381" i="11"/>
  <c r="D381" i="11"/>
  <c r="E380" i="11"/>
  <c r="D380" i="11"/>
  <c r="E379" i="11"/>
  <c r="D379" i="11"/>
  <c r="E378" i="11"/>
  <c r="D378" i="11"/>
  <c r="E377" i="11"/>
  <c r="D377" i="11"/>
  <c r="E376" i="11"/>
  <c r="D376" i="11"/>
  <c r="E375" i="11"/>
  <c r="D375" i="11"/>
  <c r="E374" i="11"/>
  <c r="D374" i="11"/>
  <c r="E373" i="11"/>
  <c r="D373" i="11"/>
  <c r="E372" i="11"/>
  <c r="D372" i="11"/>
  <c r="E371" i="11"/>
  <c r="D371" i="11"/>
  <c r="E370" i="11"/>
  <c r="D370" i="11"/>
  <c r="E369" i="11"/>
  <c r="D369" i="11"/>
  <c r="E368" i="11"/>
  <c r="D368" i="11"/>
  <c r="E367" i="11"/>
  <c r="D367" i="11"/>
  <c r="E366" i="11"/>
  <c r="D366" i="11"/>
  <c r="E365" i="11"/>
  <c r="D365" i="11"/>
  <c r="E364" i="11"/>
  <c r="D364" i="11"/>
  <c r="E363" i="11"/>
  <c r="D363" i="11"/>
  <c r="E362" i="11"/>
  <c r="D362" i="11"/>
  <c r="E361" i="11"/>
  <c r="D361" i="11"/>
  <c r="E360" i="11"/>
  <c r="D360" i="11"/>
  <c r="E359" i="11"/>
  <c r="D359" i="11"/>
  <c r="E358" i="11"/>
  <c r="D358" i="11"/>
  <c r="E357" i="11"/>
  <c r="D357" i="11"/>
  <c r="E356" i="11"/>
  <c r="D356" i="11"/>
  <c r="E355" i="11"/>
  <c r="D355" i="11"/>
  <c r="E354" i="11"/>
  <c r="D354" i="11"/>
  <c r="E353" i="11"/>
  <c r="D353" i="11"/>
  <c r="E352" i="11"/>
  <c r="D352" i="11"/>
  <c r="E351" i="11"/>
  <c r="D351" i="11"/>
  <c r="E350" i="11"/>
  <c r="D350" i="11"/>
  <c r="E349" i="11"/>
  <c r="D349" i="11"/>
  <c r="E348" i="11"/>
  <c r="D348" i="11"/>
  <c r="E347" i="11"/>
  <c r="D347" i="11"/>
  <c r="E346" i="11"/>
  <c r="D346" i="11"/>
  <c r="E345" i="11"/>
  <c r="D345" i="11"/>
  <c r="E344" i="11"/>
  <c r="D344" i="11"/>
  <c r="E343" i="11"/>
  <c r="D343" i="11"/>
  <c r="E342" i="11"/>
  <c r="D342" i="11"/>
  <c r="E341" i="11"/>
  <c r="D341" i="11"/>
  <c r="E340" i="11"/>
  <c r="D340" i="11"/>
  <c r="E339" i="11"/>
  <c r="D339" i="11"/>
  <c r="E338" i="11"/>
  <c r="D338" i="11"/>
  <c r="E337" i="11"/>
  <c r="D337" i="11"/>
  <c r="E336" i="11"/>
  <c r="D336" i="11"/>
  <c r="E335" i="11"/>
  <c r="D335" i="11"/>
  <c r="E334" i="11"/>
  <c r="D334" i="11"/>
  <c r="E333" i="11"/>
  <c r="D333" i="11"/>
  <c r="E332" i="11"/>
  <c r="D332" i="11"/>
  <c r="E331" i="11"/>
  <c r="D331" i="11"/>
  <c r="E330" i="11"/>
  <c r="D330" i="11"/>
  <c r="E329" i="11"/>
  <c r="D329" i="11"/>
  <c r="E328" i="11"/>
  <c r="D328" i="11"/>
  <c r="I155" i="11"/>
  <c r="I154" i="11"/>
  <c r="I153" i="11"/>
  <c r="I152" i="11"/>
  <c r="I151" i="11"/>
  <c r="I150" i="11"/>
  <c r="I149" i="11"/>
  <c r="I148" i="11"/>
  <c r="I147" i="11"/>
  <c r="I146" i="11"/>
  <c r="I145" i="11"/>
  <c r="I144" i="11"/>
  <c r="I159" i="11" s="1"/>
  <c r="E132" i="11"/>
  <c r="E131" i="11"/>
  <c r="E130" i="11"/>
  <c r="E129" i="11"/>
  <c r="E128" i="11"/>
  <c r="D132" i="11"/>
  <c r="D131" i="11"/>
  <c r="D130" i="11"/>
  <c r="D129" i="11"/>
  <c r="I54" i="13"/>
  <c r="I53" i="13"/>
  <c r="M127" i="13"/>
  <c r="M126" i="13"/>
  <c r="M125" i="13"/>
  <c r="M124" i="13"/>
  <c r="M123" i="13"/>
  <c r="M122" i="13"/>
  <c r="M121" i="13"/>
  <c r="M119" i="13"/>
  <c r="E124" i="13"/>
  <c r="D124" i="13"/>
  <c r="E123" i="13"/>
  <c r="D123" i="13"/>
  <c r="E122" i="13"/>
  <c r="D122" i="13"/>
  <c r="E121" i="13"/>
  <c r="D121" i="13"/>
  <c r="E120" i="13"/>
  <c r="D120" i="13"/>
  <c r="E119" i="13"/>
  <c r="D119" i="13"/>
  <c r="E118" i="13"/>
  <c r="D118" i="13"/>
  <c r="I52" i="13"/>
  <c r="I55" i="13" s="1"/>
  <c r="M870" i="9"/>
  <c r="M869" i="9"/>
  <c r="M868" i="9"/>
  <c r="M862" i="9"/>
  <c r="M854" i="9"/>
  <c r="M846" i="9"/>
  <c r="M845" i="9"/>
  <c r="M813" i="9"/>
  <c r="M812" i="9"/>
  <c r="M811" i="9"/>
  <c r="M810" i="9"/>
  <c r="M809" i="9"/>
  <c r="M808" i="9"/>
  <c r="M807" i="9"/>
  <c r="M806" i="9"/>
  <c r="M805" i="9"/>
  <c r="M804" i="9"/>
  <c r="M803" i="9"/>
  <c r="M802" i="9"/>
  <c r="M801" i="9"/>
  <c r="M800" i="9"/>
  <c r="M798" i="9"/>
  <c r="M794" i="9"/>
  <c r="M793" i="9"/>
  <c r="M787" i="9"/>
  <c r="M786" i="9"/>
  <c r="M784" i="9"/>
  <c r="M779" i="9"/>
  <c r="M778" i="9"/>
  <c r="M762" i="9"/>
  <c r="M757" i="9"/>
  <c r="M756" i="9"/>
  <c r="M755" i="9"/>
  <c r="M754" i="9"/>
  <c r="M753" i="9"/>
  <c r="M751" i="9"/>
  <c r="M750" i="9"/>
  <c r="M749" i="9"/>
  <c r="M748" i="9"/>
  <c r="M747" i="9"/>
  <c r="M746" i="9"/>
  <c r="M736" i="9"/>
  <c r="M731" i="9"/>
  <c r="M723" i="9"/>
  <c r="M718" i="9"/>
  <c r="M714" i="9"/>
  <c r="M712" i="9"/>
  <c r="M711" i="9"/>
  <c r="M710" i="9"/>
  <c r="E874" i="9"/>
  <c r="E873" i="9"/>
  <c r="E872" i="9"/>
  <c r="E871" i="9"/>
  <c r="M867" i="9"/>
  <c r="M865" i="9"/>
  <c r="M864" i="9"/>
  <c r="M861" i="9"/>
  <c r="M858" i="9"/>
  <c r="M852" i="9"/>
  <c r="M851" i="9"/>
  <c r="M850" i="9"/>
  <c r="M849" i="9"/>
  <c r="M848" i="9"/>
  <c r="M847" i="9"/>
  <c r="M843" i="9"/>
  <c r="M842" i="9"/>
  <c r="M841" i="9"/>
  <c r="M840" i="9"/>
  <c r="M839" i="9"/>
  <c r="M838" i="9"/>
  <c r="M835" i="9"/>
  <c r="M833" i="9"/>
  <c r="M832" i="9"/>
  <c r="M830" i="9"/>
  <c r="M829" i="9"/>
  <c r="M827" i="9"/>
  <c r="M826" i="9"/>
  <c r="M822" i="9"/>
  <c r="M821" i="9"/>
  <c r="M819" i="9"/>
  <c r="M818" i="9"/>
  <c r="M816" i="9"/>
  <c r="M799" i="9"/>
  <c r="M796" i="9"/>
  <c r="M792" i="9"/>
  <c r="M791" i="9"/>
  <c r="M789" i="9"/>
  <c r="M788" i="9"/>
  <c r="M781" i="9"/>
  <c r="M780" i="9"/>
  <c r="M777" i="9"/>
  <c r="M776" i="9"/>
  <c r="M774" i="9"/>
  <c r="M773" i="9"/>
  <c r="M772" i="9"/>
  <c r="M771" i="9"/>
  <c r="M770" i="9"/>
  <c r="M767" i="9"/>
  <c r="M766" i="9"/>
  <c r="M765" i="9"/>
  <c r="M764" i="9"/>
  <c r="M760" i="9"/>
  <c r="M758" i="9"/>
  <c r="M752" i="9"/>
  <c r="M743" i="9"/>
  <c r="M741" i="9"/>
  <c r="M740" i="9"/>
  <c r="M737" i="9"/>
  <c r="M735" i="9"/>
  <c r="M729" i="9"/>
  <c r="M728" i="9"/>
  <c r="M725" i="9"/>
  <c r="M722" i="9"/>
  <c r="M719" i="9"/>
  <c r="M717" i="9"/>
  <c r="M716" i="9"/>
  <c r="M715"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710" i="9"/>
  <c r="M213" i="2"/>
  <c r="M214" i="2"/>
  <c r="M454" i="11" l="1"/>
  <c r="E454" i="11"/>
  <c r="E1162" i="11"/>
  <c r="E128" i="13"/>
  <c r="E261" i="13"/>
  <c r="E884" i="9"/>
  <c r="E1330" i="9"/>
  <c r="M877" i="9"/>
  <c r="M878" i="9"/>
  <c r="M879" i="9"/>
  <c r="M881" i="9"/>
  <c r="M882" i="9"/>
  <c r="M880" i="9"/>
  <c r="M883" i="9"/>
  <c r="M876" i="9"/>
  <c r="M875" i="9"/>
  <c r="M180" i="2" l="1"/>
  <c r="M181" i="2"/>
  <c r="M182" i="2"/>
  <c r="M183" i="2"/>
  <c r="M184" i="2"/>
  <c r="M186" i="2"/>
  <c r="M188" i="2"/>
  <c r="M189" i="2"/>
  <c r="M194" i="2"/>
  <c r="M195" i="2"/>
  <c r="M197" i="2"/>
  <c r="M199" i="2"/>
  <c r="M200" i="2"/>
  <c r="M203" i="2"/>
  <c r="M205" i="2"/>
  <c r="M208" i="2"/>
  <c r="M209" i="2"/>
  <c r="M210" i="2"/>
  <c r="M211" i="2"/>
  <c r="M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I78" i="2" l="1"/>
  <c r="I77" i="2"/>
  <c r="I79" i="2" s="1"/>
  <c r="I233" i="2"/>
  <c r="I234" i="2" l="1"/>
  <c r="I235" i="2"/>
  <c r="AK13" i="20" l="1"/>
  <c r="AM13" i="20" s="1"/>
  <c r="AP13" i="20" s="1"/>
  <c r="AR13" i="20" s="1"/>
  <c r="AU13" i="20" s="1"/>
  <c r="D192" i="11" l="1"/>
  <c r="D191" i="11"/>
  <c r="D190" i="11"/>
  <c r="D189" i="11"/>
  <c r="D188" i="11"/>
  <c r="D187" i="11"/>
  <c r="D186" i="11"/>
  <c r="D185" i="11"/>
  <c r="D184" i="11"/>
  <c r="D183" i="11"/>
  <c r="E351" i="9"/>
  <c r="E372" i="9"/>
  <c r="D372" i="9"/>
  <c r="E371" i="9"/>
  <c r="D371" i="9"/>
  <c r="E370" i="9"/>
  <c r="D370" i="9"/>
  <c r="E369" i="9"/>
  <c r="D369" i="9"/>
  <c r="E368" i="9"/>
  <c r="D368" i="9"/>
  <c r="E367" i="9"/>
  <c r="D367" i="9"/>
  <c r="E366" i="9"/>
  <c r="D366" i="9"/>
  <c r="E365" i="9"/>
  <c r="D365" i="9"/>
  <c r="E364" i="9"/>
  <c r="D364" i="9"/>
  <c r="E363" i="9"/>
  <c r="D363" i="9"/>
  <c r="E362" i="9"/>
  <c r="D362" i="9"/>
  <c r="E361" i="9"/>
  <c r="D361" i="9"/>
  <c r="E360" i="9"/>
  <c r="D360" i="9"/>
  <c r="E359" i="9"/>
  <c r="D359" i="9"/>
  <c r="E358" i="9"/>
  <c r="D358" i="9"/>
  <c r="E357" i="9"/>
  <c r="D357" i="9"/>
  <c r="E356" i="9"/>
  <c r="D356" i="9"/>
  <c r="E355" i="9"/>
  <c r="D355" i="9"/>
  <c r="E354" i="9"/>
  <c r="D354" i="9"/>
  <c r="E353" i="9"/>
  <c r="D353" i="9"/>
  <c r="E352" i="9"/>
  <c r="D352" i="9"/>
  <c r="E81" i="2"/>
  <c r="D81" i="2"/>
  <c r="D80" i="2"/>
  <c r="E80" i="2"/>
  <c r="D178" i="11"/>
  <c r="D177" i="11"/>
  <c r="D175" i="11"/>
  <c r="D174" i="11"/>
  <c r="D173" i="11"/>
  <c r="D171" i="11"/>
  <c r="D170" i="11"/>
  <c r="D168" i="11"/>
  <c r="D167" i="11"/>
  <c r="D165" i="11"/>
  <c r="D164" i="11"/>
  <c r="D179" i="11"/>
  <c r="D176" i="11"/>
  <c r="D172" i="11"/>
  <c r="D169" i="11"/>
  <c r="D166" i="11"/>
  <c r="D163" i="11"/>
  <c r="E349" i="9"/>
  <c r="E347" i="9"/>
  <c r="E345" i="9"/>
  <c r="E344" i="9"/>
  <c r="E341" i="9"/>
  <c r="E340" i="9"/>
  <c r="E337" i="9"/>
  <c r="E336" i="9"/>
  <c r="E333" i="9"/>
  <c r="E331" i="9"/>
  <c r="E328" i="9"/>
  <c r="E326" i="9"/>
  <c r="E323" i="9"/>
  <c r="E321" i="9"/>
  <c r="E319" i="9"/>
  <c r="D339" i="9"/>
  <c r="D338" i="9"/>
  <c r="D334" i="9"/>
  <c r="D332" i="9"/>
  <c r="D328" i="9"/>
  <c r="D326" i="9"/>
  <c r="D323" i="9"/>
  <c r="D320" i="9"/>
  <c r="D318" i="9"/>
  <c r="E346" i="9"/>
  <c r="E339" i="9"/>
  <c r="E334" i="9"/>
  <c r="E329" i="9"/>
  <c r="E324" i="9"/>
  <c r="E318" i="9"/>
  <c r="D336" i="9"/>
  <c r="D331" i="9"/>
  <c r="D325" i="9"/>
  <c r="D319" i="9"/>
  <c r="E348" i="9"/>
  <c r="E342" i="9"/>
  <c r="E338" i="9"/>
  <c r="E335" i="9"/>
  <c r="E330" i="9"/>
  <c r="E325" i="9"/>
  <c r="E320" i="9"/>
  <c r="D337" i="9"/>
  <c r="D330" i="9"/>
  <c r="D324" i="9"/>
  <c r="E343" i="9"/>
  <c r="E332" i="9"/>
  <c r="E327" i="9"/>
  <c r="E322" i="9"/>
  <c r="D340" i="9"/>
  <c r="D333" i="9"/>
  <c r="D327" i="9"/>
  <c r="D321" i="9"/>
  <c r="D349" i="9"/>
  <c r="D348" i="9"/>
  <c r="D347" i="9"/>
  <c r="D346" i="9"/>
  <c r="D345" i="9"/>
  <c r="D344" i="9"/>
  <c r="D343" i="9"/>
  <c r="D342" i="9"/>
  <c r="D341" i="9"/>
  <c r="D335" i="9"/>
  <c r="D329" i="9"/>
  <c r="D322" i="9"/>
  <c r="E153" i="11"/>
  <c r="E152" i="11"/>
  <c r="E150" i="11"/>
  <c r="E149" i="11"/>
  <c r="E148" i="11"/>
  <c r="E146" i="11"/>
  <c r="E145" i="11"/>
  <c r="D155" i="11"/>
  <c r="D154" i="11"/>
  <c r="D153" i="11"/>
  <c r="D152" i="11"/>
  <c r="D149" i="11"/>
  <c r="D148" i="11"/>
  <c r="D146" i="11"/>
  <c r="E142" i="11"/>
  <c r="E138" i="11"/>
  <c r="E137" i="11"/>
  <c r="E134" i="11"/>
  <c r="D142" i="11"/>
  <c r="D140" i="11"/>
  <c r="D137" i="11"/>
  <c r="D135" i="11"/>
  <c r="D133" i="11"/>
  <c r="E306" i="9"/>
  <c r="E310" i="9"/>
  <c r="D312" i="9"/>
  <c r="D308" i="9"/>
  <c r="D306" i="9"/>
  <c r="D302" i="9"/>
  <c r="D299" i="9"/>
  <c r="D297" i="9"/>
  <c r="D293" i="9"/>
  <c r="D290" i="9"/>
  <c r="D288" i="9"/>
  <c r="D283" i="9"/>
  <c r="E155" i="11"/>
  <c r="E151" i="11"/>
  <c r="E147" i="11"/>
  <c r="E144" i="11"/>
  <c r="D150" i="11"/>
  <c r="D144" i="11"/>
  <c r="E140" i="11"/>
  <c r="E135" i="11"/>
  <c r="D138" i="11"/>
  <c r="E308" i="9"/>
  <c r="D310" i="9"/>
  <c r="D303" i="9"/>
  <c r="D294" i="9"/>
  <c r="D287" i="9"/>
  <c r="E154" i="11"/>
  <c r="D151" i="11"/>
  <c r="D147" i="11"/>
  <c r="D145" i="11"/>
  <c r="E141" i="11"/>
  <c r="E139" i="11"/>
  <c r="E136" i="11"/>
  <c r="E133" i="11"/>
  <c r="D141" i="11"/>
  <c r="D139" i="11"/>
  <c r="D136" i="11"/>
  <c r="D134" i="11"/>
  <c r="E305" i="9"/>
  <c r="E311" i="9"/>
  <c r="D311" i="9"/>
  <c r="D307" i="9"/>
  <c r="D305" i="9"/>
  <c r="D300" i="9"/>
  <c r="D298" i="9"/>
  <c r="D296" i="9"/>
  <c r="D291" i="9"/>
  <c r="D289" i="9"/>
  <c r="D285" i="9"/>
  <c r="D282" i="9"/>
  <c r="E282" i="9"/>
  <c r="E283" i="9"/>
  <c r="E284" i="9"/>
  <c r="E285" i="9"/>
  <c r="E286" i="9"/>
  <c r="E287" i="9"/>
  <c r="E294" i="9"/>
  <c r="E296" i="9"/>
  <c r="E298" i="9"/>
  <c r="E300" i="9"/>
  <c r="E303" i="9"/>
  <c r="E307" i="9"/>
  <c r="E312" i="9"/>
  <c r="D304" i="9"/>
  <c r="D295" i="9"/>
  <c r="D286" i="9"/>
  <c r="E288" i="9"/>
  <c r="E289" i="9"/>
  <c r="E290" i="9"/>
  <c r="E291" i="9"/>
  <c r="E292" i="9"/>
  <c r="E293" i="9"/>
  <c r="E295" i="9"/>
  <c r="E297" i="9"/>
  <c r="E299" i="9"/>
  <c r="E301" i="9"/>
  <c r="E302" i="9"/>
  <c r="E304" i="9"/>
  <c r="E309" i="9"/>
  <c r="D309" i="9"/>
  <c r="D301" i="9"/>
  <c r="D292" i="9"/>
  <c r="D284" i="9"/>
  <c r="E78" i="2"/>
  <c r="E77" i="2"/>
  <c r="E79" i="2" s="1"/>
  <c r="D78" i="2"/>
  <c r="D77" i="2"/>
  <c r="M775" i="9"/>
  <c r="M814" i="9"/>
  <c r="M828" i="9"/>
  <c r="AK19" i="20"/>
  <c r="M739" i="9"/>
  <c r="R15" i="19"/>
  <c r="L20" i="1"/>
  <c r="E82" i="2" l="1"/>
  <c r="E159" i="11"/>
  <c r="E143" i="11"/>
  <c r="E373" i="9"/>
  <c r="E350" i="9"/>
  <c r="E314" i="9"/>
  <c r="BB13" i="20"/>
  <c r="BV30" i="5"/>
  <c r="BV59" i="5" l="1"/>
  <c r="BV57" i="5"/>
  <c r="Y7" i="6"/>
  <c r="U46" i="1" l="1"/>
  <c r="BV60" i="5"/>
  <c r="AR9" i="6" l="1"/>
  <c r="AR6" i="6" l="1"/>
  <c r="AR8" i="6"/>
  <c r="AR4" i="6"/>
  <c r="AR5" i="6"/>
  <c r="I142" i="11"/>
  <c r="I141" i="11"/>
  <c r="I140" i="11"/>
  <c r="I139" i="11"/>
  <c r="I138" i="11"/>
  <c r="I137" i="11"/>
  <c r="I136" i="11"/>
  <c r="I135" i="11"/>
  <c r="I134" i="11"/>
  <c r="I133" i="11"/>
  <c r="I132" i="11"/>
  <c r="I131" i="11"/>
  <c r="I130" i="11"/>
  <c r="I129" i="11"/>
  <c r="I128" i="11"/>
  <c r="I143" i="11" s="1"/>
  <c r="D128" i="11"/>
  <c r="D68" i="2"/>
  <c r="I50" i="13"/>
  <c r="I49" i="13"/>
  <c r="I48" i="13"/>
  <c r="I33" i="13"/>
  <c r="I34" i="13"/>
  <c r="I35" i="13"/>
  <c r="I36" i="13"/>
  <c r="I37" i="13"/>
  <c r="I38" i="13"/>
  <c r="I39" i="13"/>
  <c r="I40" i="13"/>
  <c r="I41" i="13"/>
  <c r="I42" i="13"/>
  <c r="I43" i="13"/>
  <c r="I44" i="13"/>
  <c r="I45" i="13"/>
  <c r="I46" i="13"/>
  <c r="I32" i="13"/>
  <c r="I47" i="13" s="1"/>
  <c r="E50" i="13"/>
  <c r="E49" i="13"/>
  <c r="E48" i="13"/>
  <c r="D49" i="13"/>
  <c r="D50" i="13"/>
  <c r="D48" i="13"/>
  <c r="M708" i="9"/>
  <c r="I51" i="13" l="1"/>
  <c r="E51" i="13"/>
  <c r="AR11" i="6"/>
  <c r="M706" i="9"/>
  <c r="I74" i="2"/>
  <c r="I75" i="2"/>
  <c r="I280" i="9"/>
  <c r="I279" i="9"/>
  <c r="I278" i="9"/>
  <c r="I277" i="9"/>
  <c r="I276" i="9"/>
  <c r="I275" i="9"/>
  <c r="I274" i="9"/>
  <c r="I273" i="9"/>
  <c r="I272" i="9"/>
  <c r="I271" i="9"/>
  <c r="I270" i="9"/>
  <c r="I269" i="9"/>
  <c r="I268" i="9"/>
  <c r="I267" i="9"/>
  <c r="I266" i="9"/>
  <c r="I265" i="9"/>
  <c r="I264" i="9"/>
  <c r="I263" i="9"/>
  <c r="I262" i="9"/>
  <c r="I261" i="9"/>
  <c r="I260" i="9"/>
  <c r="I259" i="9"/>
  <c r="I258" i="9"/>
  <c r="I257" i="9"/>
  <c r="I256" i="9"/>
  <c r="I255" i="9"/>
  <c r="I254" i="9"/>
  <c r="I253" i="9"/>
  <c r="I252" i="9"/>
  <c r="I251" i="9"/>
  <c r="I250" i="9"/>
  <c r="I249" i="9"/>
  <c r="I248" i="9"/>
  <c r="I247" i="9"/>
  <c r="I246" i="9"/>
  <c r="E255" i="9"/>
  <c r="E254" i="9"/>
  <c r="E253" i="9"/>
  <c r="E252" i="9"/>
  <c r="E251" i="9"/>
  <c r="E250" i="9"/>
  <c r="E249" i="9"/>
  <c r="E248" i="9"/>
  <c r="E247" i="9"/>
  <c r="E246" i="9"/>
  <c r="D255" i="9"/>
  <c r="D254" i="9"/>
  <c r="D253" i="9"/>
  <c r="D252" i="9"/>
  <c r="D251" i="9"/>
  <c r="D250" i="9"/>
  <c r="D249" i="9"/>
  <c r="D248" i="9"/>
  <c r="D247" i="9"/>
  <c r="D246" i="9"/>
  <c r="I281" i="9" l="1"/>
  <c r="M176" i="2"/>
  <c r="I174" i="2"/>
  <c r="M174" i="2" s="1"/>
  <c r="I172" i="2"/>
  <c r="M172" i="2" s="1"/>
  <c r="I170" i="2"/>
  <c r="M170" i="2" s="1"/>
  <c r="I169" i="2"/>
  <c r="M169" i="2" s="1"/>
  <c r="I168" i="2"/>
  <c r="I167" i="2"/>
  <c r="M167" i="2" s="1"/>
  <c r="I166" i="2"/>
  <c r="M166" i="2" s="1"/>
  <c r="I164" i="2"/>
  <c r="M164" i="2" s="1"/>
  <c r="I162" i="2"/>
  <c r="M162" i="2" s="1"/>
  <c r="I161" i="2"/>
  <c r="M161" i="2" s="1"/>
  <c r="E68" i="2"/>
  <c r="E69" i="2"/>
  <c r="D69" i="2"/>
  <c r="M168" i="2" l="1"/>
  <c r="J18" i="1" l="1"/>
  <c r="J21" i="1" s="1"/>
  <c r="N18" i="1"/>
  <c r="N21" i="1" s="1"/>
  <c r="D20" i="1"/>
  <c r="D21" i="1" s="1"/>
  <c r="E20" i="1"/>
  <c r="E21" i="1" s="1"/>
  <c r="G20" i="1"/>
  <c r="G21" i="1" s="1"/>
  <c r="L21" i="1"/>
  <c r="M20" i="1"/>
  <c r="M21" i="1" s="1"/>
  <c r="F21" i="1"/>
  <c r="H21" i="1"/>
  <c r="I21" i="1"/>
  <c r="K21" i="1"/>
  <c r="D24" i="1"/>
  <c r="D25" i="1" s="1"/>
  <c r="E24" i="1"/>
  <c r="E25" i="1" s="1"/>
  <c r="G24" i="1"/>
  <c r="G25" i="1" s="1"/>
  <c r="L24" i="1"/>
  <c r="L25" i="1" s="1"/>
  <c r="M24" i="1"/>
  <c r="M25" i="1" s="1"/>
  <c r="N24" i="1"/>
  <c r="N25" i="1" s="1"/>
  <c r="F25" i="1"/>
  <c r="H25" i="1"/>
  <c r="I25" i="1"/>
  <c r="J25" i="1"/>
  <c r="K25" i="1"/>
  <c r="U29" i="1"/>
  <c r="D28" i="1"/>
  <c r="D29" i="1" s="1"/>
  <c r="E28" i="1"/>
  <c r="E29" i="1" s="1"/>
  <c r="G28" i="1"/>
  <c r="G29" i="1" s="1"/>
  <c r="F29" i="1"/>
  <c r="H29" i="1"/>
  <c r="I29" i="1"/>
  <c r="J29" i="1"/>
  <c r="K29" i="1"/>
  <c r="L29" i="1"/>
  <c r="M29" i="1"/>
  <c r="N29" i="1"/>
  <c r="I30" i="1"/>
  <c r="I34" i="1" s="1"/>
  <c r="J30" i="1"/>
  <c r="J34" i="1" s="1"/>
  <c r="D32" i="1"/>
  <c r="D34" i="1" s="1"/>
  <c r="E32" i="1"/>
  <c r="E34" i="1" s="1"/>
  <c r="G32" i="1"/>
  <c r="G34" i="1" s="1"/>
  <c r="L32" i="1"/>
  <c r="L34" i="1" s="1"/>
  <c r="M32" i="1"/>
  <c r="M34" i="1" s="1"/>
  <c r="F34" i="1"/>
  <c r="H34" i="1"/>
  <c r="K34" i="1"/>
  <c r="N34" i="1"/>
  <c r="M35" i="1"/>
  <c r="D37" i="1"/>
  <c r="D38" i="1" s="1"/>
  <c r="E37" i="1"/>
  <c r="E38" i="1" s="1"/>
  <c r="G37" i="1"/>
  <c r="G38" i="1" s="1"/>
  <c r="J37" i="1"/>
  <c r="J38" i="1" s="1"/>
  <c r="L37" i="1"/>
  <c r="L38" i="1" s="1"/>
  <c r="M37" i="1"/>
  <c r="F38" i="1"/>
  <c r="H38" i="1"/>
  <c r="I38" i="1"/>
  <c r="K38" i="1"/>
  <c r="N38" i="1"/>
  <c r="E42" i="1"/>
  <c r="L42" i="1"/>
  <c r="D42" i="1"/>
  <c r="F42" i="1"/>
  <c r="G42" i="1"/>
  <c r="H42" i="1"/>
  <c r="I42" i="1"/>
  <c r="J42" i="1"/>
  <c r="K42" i="1"/>
  <c r="N42" i="1"/>
  <c r="D47" i="1"/>
  <c r="D49" i="1" s="1"/>
  <c r="E47" i="1"/>
  <c r="E49" i="1" s="1"/>
  <c r="G47" i="1"/>
  <c r="L47" i="1"/>
  <c r="L49" i="1" s="1"/>
  <c r="M47" i="1"/>
  <c r="N47" i="1"/>
  <c r="G48" i="1"/>
  <c r="J48" i="1"/>
  <c r="J49" i="1" s="1"/>
  <c r="M48" i="1"/>
  <c r="N48" i="1"/>
  <c r="F49" i="1"/>
  <c r="H49" i="1"/>
  <c r="I49" i="1"/>
  <c r="K49" i="1"/>
  <c r="M42" i="1" l="1"/>
  <c r="M49" i="1"/>
  <c r="G49" i="1"/>
  <c r="F50" i="1"/>
  <c r="N49" i="1"/>
  <c r="I50" i="1"/>
  <c r="H50" i="1"/>
  <c r="M38" i="1"/>
  <c r="D50" i="1"/>
  <c r="L50" i="1"/>
  <c r="K50" i="1"/>
  <c r="E50" i="1"/>
  <c r="J50" i="1"/>
  <c r="G50" i="1" l="1"/>
  <c r="N50" i="1"/>
  <c r="M50" i="1"/>
  <c r="Z350" i="16" l="1"/>
  <c r="AB350" i="16" s="1"/>
  <c r="Z349" i="16"/>
  <c r="AB349" i="16" s="1"/>
  <c r="Z347" i="16"/>
  <c r="AB347" i="16" s="1"/>
  <c r="Z306" i="16"/>
  <c r="AB306" i="16" s="1"/>
  <c r="Z305" i="16"/>
  <c r="AB305" i="16" s="1"/>
  <c r="Z302" i="16"/>
  <c r="AB302" i="16" s="1"/>
  <c r="Z301" i="16"/>
  <c r="AB301" i="16" s="1"/>
  <c r="Z300" i="16"/>
  <c r="AB300" i="16" s="1"/>
  <c r="Z299" i="16"/>
  <c r="AB299" i="16" s="1"/>
  <c r="Z62" i="16"/>
  <c r="AB62" i="16" s="1"/>
  <c r="Z30" i="16"/>
  <c r="AB30" i="16" s="1"/>
  <c r="Z14" i="16"/>
  <c r="AB14" i="16" s="1"/>
  <c r="Z13" i="16"/>
  <c r="AB13" i="16" s="1"/>
  <c r="Z12" i="16"/>
  <c r="AB12" i="16" s="1"/>
  <c r="Z11" i="16"/>
  <c r="AB11" i="16" s="1"/>
  <c r="Z381" i="16"/>
  <c r="AB381" i="16" s="1"/>
  <c r="Z380" i="16"/>
  <c r="AB380" i="16" s="1"/>
  <c r="V120" i="19"/>
  <c r="W120" i="19" s="1"/>
  <c r="V114" i="19"/>
  <c r="W114" i="19" s="1"/>
  <c r="V108" i="19"/>
  <c r="W108" i="19" s="1"/>
  <c r="V123" i="19"/>
  <c r="W123" i="19" s="1"/>
  <c r="V117" i="19"/>
  <c r="W117" i="19" s="1"/>
  <c r="Z367" i="16"/>
  <c r="AB367" i="16" s="1"/>
  <c r="V35" i="19"/>
  <c r="V34" i="19"/>
  <c r="V95" i="19"/>
  <c r="W95" i="19" s="1"/>
  <c r="V106" i="19"/>
  <c r="W106" i="19" s="1"/>
  <c r="V110" i="19"/>
  <c r="W110" i="19" s="1"/>
  <c r="V116" i="19"/>
  <c r="W116" i="19" s="1"/>
  <c r="V100" i="19"/>
  <c r="W100" i="19" s="1"/>
  <c r="V99" i="19"/>
  <c r="W99" i="19" s="1"/>
  <c r="V113" i="19"/>
  <c r="W113" i="19" s="1"/>
  <c r="V105" i="19"/>
  <c r="W105" i="19" s="1"/>
  <c r="V104" i="19"/>
  <c r="W104" i="19" s="1"/>
  <c r="V96" i="19"/>
  <c r="W96" i="19" s="1"/>
  <c r="V102" i="19"/>
  <c r="W102" i="19" s="1"/>
  <c r="V97" i="19"/>
  <c r="W97" i="19" s="1"/>
  <c r="V107" i="19"/>
  <c r="W107" i="19" s="1"/>
  <c r="V109" i="19"/>
  <c r="W109" i="19" s="1"/>
  <c r="V103" i="19"/>
  <c r="W103" i="19" s="1"/>
  <c r="V24" i="19"/>
  <c r="V98" i="19"/>
  <c r="W98" i="19" s="1"/>
  <c r="V33" i="19"/>
  <c r="V80" i="19"/>
  <c r="V84" i="19"/>
  <c r="V77" i="19"/>
  <c r="V76" i="19"/>
  <c r="V81" i="19"/>
  <c r="V68" i="19"/>
  <c r="V78" i="19"/>
  <c r="V90" i="19"/>
  <c r="V66" i="19"/>
  <c r="V62" i="19"/>
  <c r="V6" i="19"/>
  <c r="V30" i="19"/>
  <c r="V13" i="19"/>
  <c r="V23" i="19"/>
  <c r="V22" i="19"/>
  <c r="V49" i="19"/>
  <c r="V15" i="19"/>
  <c r="V17" i="19"/>
  <c r="V31" i="19"/>
  <c r="V12" i="19"/>
  <c r="V29" i="19"/>
  <c r="V28" i="19"/>
  <c r="V32" i="19"/>
  <c r="V21" i="19"/>
  <c r="V16" i="19"/>
  <c r="V19" i="19"/>
  <c r="V11" i="19"/>
  <c r="V3" i="19"/>
  <c r="V20" i="19"/>
  <c r="N4" i="16" a="1"/>
  <c r="V7" i="19" l="1"/>
  <c r="V27" i="19"/>
  <c r="V10" i="19"/>
  <c r="V18" i="19"/>
  <c r="V72" i="19"/>
  <c r="V56" i="19"/>
  <c r="V89" i="19"/>
  <c r="V43" i="19"/>
  <c r="V39" i="19"/>
  <c r="V8" i="19"/>
  <c r="V75" i="19"/>
  <c r="V54" i="19"/>
  <c r="V55" i="19"/>
  <c r="V51" i="19"/>
  <c r="V50" i="19"/>
  <c r="V46" i="19"/>
  <c r="V53" i="19"/>
  <c r="V88" i="19"/>
  <c r="V25" i="19"/>
  <c r="V92" i="19"/>
  <c r="V94" i="19"/>
  <c r="V74" i="19"/>
  <c r="V83" i="19"/>
  <c r="V87" i="19"/>
  <c r="V86" i="19"/>
  <c r="V85" i="19"/>
  <c r="V73" i="19"/>
  <c r="V82" i="19"/>
  <c r="V41" i="19"/>
  <c r="V91" i="19"/>
  <c r="V79" i="19"/>
  <c r="V67" i="19"/>
  <c r="V65" i="19"/>
  <c r="V71" i="19"/>
  <c r="V70" i="19"/>
  <c r="V64" i="19"/>
  <c r="V69" i="19"/>
  <c r="V61" i="19"/>
  <c r="V63" i="19"/>
  <c r="V93" i="19"/>
  <c r="V26" i="19"/>
  <c r="V57" i="19"/>
  <c r="V38" i="19"/>
  <c r="V58" i="19"/>
  <c r="V52" i="19"/>
  <c r="V47" i="19"/>
  <c r="V42" i="19"/>
  <c r="V37" i="19"/>
  <c r="V44" i="19"/>
  <c r="V36" i="19"/>
  <c r="V48" i="19"/>
  <c r="V45" i="19"/>
  <c r="V40" i="19"/>
  <c r="V4" i="19"/>
  <c r="V9" i="19"/>
  <c r="V5" i="19"/>
  <c r="V14" i="19"/>
  <c r="V101" i="19"/>
  <c r="W101" i="19" s="1"/>
  <c r="V2" i="19"/>
  <c r="Z81" i="16"/>
  <c r="AB81" i="16" s="1"/>
  <c r="Z348" i="16"/>
  <c r="AB348" i="16" s="1"/>
  <c r="Z82" i="16"/>
  <c r="AB82" i="16" s="1"/>
  <c r="Z45" i="16"/>
  <c r="AB45" i="16" s="1"/>
  <c r="Z83" i="16"/>
  <c r="AB83" i="16" s="1"/>
  <c r="Z84" i="16"/>
  <c r="AB84" i="16" s="1"/>
  <c r="Z351" i="16"/>
  <c r="AB351" i="16" s="1"/>
  <c r="Z175" i="16"/>
  <c r="AB175" i="16" s="1"/>
  <c r="Z80" i="16"/>
  <c r="AB80" i="16" s="1"/>
  <c r="Z187" i="16"/>
  <c r="AB187" i="16" s="1"/>
  <c r="Z382" i="16"/>
  <c r="AB382" i="16" s="1"/>
  <c r="Z189" i="16"/>
  <c r="AB189" i="16" s="1"/>
  <c r="Z244" i="16"/>
  <c r="AB244" i="16" s="1"/>
  <c r="V59" i="19"/>
  <c r="V111" i="19"/>
  <c r="W111" i="19" s="1"/>
  <c r="Z4" i="16"/>
  <c r="AB4" i="16" s="1"/>
  <c r="Z297" i="16"/>
  <c r="AB297" i="16" s="1"/>
  <c r="Z339" i="16"/>
  <c r="AB339" i="16" s="1"/>
  <c r="Z79" i="16"/>
  <c r="AB79" i="16" s="1"/>
  <c r="Z176" i="16"/>
  <c r="AB176" i="16" s="1"/>
  <c r="Z283" i="16"/>
  <c r="AB283" i="16" s="1"/>
  <c r="Z340" i="16"/>
  <c r="AB340" i="16" s="1"/>
  <c r="Z28" i="16"/>
  <c r="AB28" i="16" s="1"/>
  <c r="Z91" i="16"/>
  <c r="AB91" i="16" s="1"/>
  <c r="Z203" i="16"/>
  <c r="AB203" i="16" s="1"/>
  <c r="Z303" i="16"/>
  <c r="AB303" i="16" s="1"/>
  <c r="Z371" i="16"/>
  <c r="AB371" i="16" s="1"/>
  <c r="Z196" i="16"/>
  <c r="AB196" i="16" s="1"/>
  <c r="Z29" i="16"/>
  <c r="AB29" i="16" s="1"/>
  <c r="Z107" i="16"/>
  <c r="AB107" i="16" s="1"/>
  <c r="Z211" i="16"/>
  <c r="AB211" i="16" s="1"/>
  <c r="Z372" i="16"/>
  <c r="AB372" i="16" s="1"/>
  <c r="Z194" i="16"/>
  <c r="AB194" i="16" s="1"/>
  <c r="Z112" i="16"/>
  <c r="AB112" i="16" s="1"/>
  <c r="Z50" i="16"/>
  <c r="AB50" i="16" s="1"/>
  <c r="Z109" i="16"/>
  <c r="AB109" i="16" s="1"/>
  <c r="Z223" i="16"/>
  <c r="AB223" i="16" s="1"/>
  <c r="Z318" i="16"/>
  <c r="AB318" i="16" s="1"/>
  <c r="Z108" i="16"/>
  <c r="AB108" i="16" s="1"/>
  <c r="Z51" i="16"/>
  <c r="AB51" i="16" s="1"/>
  <c r="Z110" i="16"/>
  <c r="AB110" i="16" s="1"/>
  <c r="Z224" i="16"/>
  <c r="AB224" i="16" s="1"/>
  <c r="Z319" i="16"/>
  <c r="AB319" i="16" s="1"/>
  <c r="Z52" i="16"/>
  <c r="AB52" i="16" s="1"/>
  <c r="Z111" i="16"/>
  <c r="AB111" i="16" s="1"/>
  <c r="Z225" i="16"/>
  <c r="AB225" i="16" s="1"/>
  <c r="Z320" i="16"/>
  <c r="AB320" i="16" s="1"/>
  <c r="Z195" i="16"/>
  <c r="AB195" i="16" s="1"/>
  <c r="Z222" i="16"/>
  <c r="AB222" i="16" s="1"/>
  <c r="Z59" i="16"/>
  <c r="AB59" i="16" s="1"/>
  <c r="Z139" i="16"/>
  <c r="AB139" i="16" s="1"/>
  <c r="Z226" i="16"/>
  <c r="AB226" i="16" s="1"/>
  <c r="Z332" i="16"/>
  <c r="AB332" i="16" s="1"/>
  <c r="Z60" i="16"/>
  <c r="AB60" i="16" s="1"/>
  <c r="Z173" i="16"/>
  <c r="AB173" i="16" s="1"/>
  <c r="Z227" i="16"/>
  <c r="AB227" i="16" s="1"/>
  <c r="Z333" i="16"/>
  <c r="AB333" i="16" s="1"/>
  <c r="Z304" i="16"/>
  <c r="AB304" i="16" s="1"/>
  <c r="Z61" i="16"/>
  <c r="AB61" i="16" s="1"/>
  <c r="Z174" i="16"/>
  <c r="AB174" i="16" s="1"/>
  <c r="Z228" i="16"/>
  <c r="AB228" i="16" s="1"/>
  <c r="Z334" i="16"/>
  <c r="AB334" i="16" s="1"/>
  <c r="Z179" i="16"/>
  <c r="AB179" i="16" s="1"/>
  <c r="Z379" i="16"/>
  <c r="AB379" i="16" s="1"/>
  <c r="Z15" i="16"/>
  <c r="AB15" i="16" s="1"/>
  <c r="Z63" i="16"/>
  <c r="AB63" i="16" s="1"/>
  <c r="Z92" i="16"/>
  <c r="AB92" i="16" s="1"/>
  <c r="Z124" i="16"/>
  <c r="AB124" i="16" s="1"/>
  <c r="Z180" i="16"/>
  <c r="AB180" i="16" s="1"/>
  <c r="Z207" i="16"/>
  <c r="AB207" i="16" s="1"/>
  <c r="Z235" i="16"/>
  <c r="AB235" i="16" s="1"/>
  <c r="Z257" i="16"/>
  <c r="AB257" i="16" s="1"/>
  <c r="Z329" i="16"/>
  <c r="AB329" i="16" s="1"/>
  <c r="Z352" i="16"/>
  <c r="AB352" i="16" s="1"/>
  <c r="Z369" i="16"/>
  <c r="AB369" i="16" s="1"/>
  <c r="Z370" i="16"/>
  <c r="AB370" i="16" s="1"/>
  <c r="Z121" i="16"/>
  <c r="AB121" i="16" s="1"/>
  <c r="Z178" i="16"/>
  <c r="AB178" i="16" s="1"/>
  <c r="Z205" i="16"/>
  <c r="AB205" i="16" s="1"/>
  <c r="Z255" i="16"/>
  <c r="AB255" i="16" s="1"/>
  <c r="Z323" i="16"/>
  <c r="AB323" i="16" s="1"/>
  <c r="Z123" i="16"/>
  <c r="AB123" i="16" s="1"/>
  <c r="Z206" i="16"/>
  <c r="AB206" i="16" s="1"/>
  <c r="Z256" i="16"/>
  <c r="AB256" i="16" s="1"/>
  <c r="Z324" i="16"/>
  <c r="AB324" i="16" s="1"/>
  <c r="Z27" i="16"/>
  <c r="AB27" i="16" s="1"/>
  <c r="Z64" i="16"/>
  <c r="AB64" i="16" s="1"/>
  <c r="Z93" i="16"/>
  <c r="AB93" i="16" s="1"/>
  <c r="Z125" i="16"/>
  <c r="AB125" i="16" s="1"/>
  <c r="Z185" i="16"/>
  <c r="AB185" i="16" s="1"/>
  <c r="Z208" i="16"/>
  <c r="AB208" i="16" s="1"/>
  <c r="Z236" i="16"/>
  <c r="AB236" i="16" s="1"/>
  <c r="Z258" i="16"/>
  <c r="AB258" i="16" s="1"/>
  <c r="Z331" i="16"/>
  <c r="AB331" i="16" s="1"/>
  <c r="Z353" i="16"/>
  <c r="AB353" i="16" s="1"/>
  <c r="Z368" i="16"/>
  <c r="AB368" i="16" s="1"/>
  <c r="Z137" i="16"/>
  <c r="AB137" i="16" s="1"/>
  <c r="Z66" i="16"/>
  <c r="AB66" i="16" s="1"/>
  <c r="Z95" i="16"/>
  <c r="AB95" i="16" s="1"/>
  <c r="Z188" i="16"/>
  <c r="AB188" i="16" s="1"/>
  <c r="Z210" i="16"/>
  <c r="AB210" i="16" s="1"/>
  <c r="Z238" i="16"/>
  <c r="AB238" i="16" s="1"/>
  <c r="Z268" i="16"/>
  <c r="AB268" i="16" s="1"/>
  <c r="Z307" i="16"/>
  <c r="AB307" i="16" s="1"/>
  <c r="Z355" i="16"/>
  <c r="AB355" i="16" s="1"/>
  <c r="Z252" i="16"/>
  <c r="AB252" i="16" s="1"/>
  <c r="Z253" i="16"/>
  <c r="AB253" i="16" s="1"/>
  <c r="Z177" i="16"/>
  <c r="AB177" i="16" s="1"/>
  <c r="Z254" i="16"/>
  <c r="AB254" i="16" s="1"/>
  <c r="Z94" i="16"/>
  <c r="AB94" i="16" s="1"/>
  <c r="Z41" i="16"/>
  <c r="AB41" i="16" s="1"/>
  <c r="Z75" i="16"/>
  <c r="AB75" i="16" s="1"/>
  <c r="Z97" i="16"/>
  <c r="AB97" i="16" s="1"/>
  <c r="Z155" i="16"/>
  <c r="AB155" i="16" s="1"/>
  <c r="Z190" i="16"/>
  <c r="AB190" i="16" s="1"/>
  <c r="Z212" i="16"/>
  <c r="AB212" i="16" s="1"/>
  <c r="Z240" i="16"/>
  <c r="AB240" i="16" s="1"/>
  <c r="Z270" i="16"/>
  <c r="AB270" i="16" s="1"/>
  <c r="Z313" i="16"/>
  <c r="AB313" i="16" s="1"/>
  <c r="Z335" i="16"/>
  <c r="AB335" i="16" s="1"/>
  <c r="Z363" i="16"/>
  <c r="AB363" i="16" s="1"/>
  <c r="Z251" i="16"/>
  <c r="AB251" i="16" s="1"/>
  <c r="Z204" i="16"/>
  <c r="AB204" i="16" s="1"/>
  <c r="Z237" i="16"/>
  <c r="AB237" i="16" s="1"/>
  <c r="Z267" i="16"/>
  <c r="AB267" i="16" s="1"/>
  <c r="Z354" i="16"/>
  <c r="AB354" i="16" s="1"/>
  <c r="Z96" i="16"/>
  <c r="AB96" i="16" s="1"/>
  <c r="Z239" i="16"/>
  <c r="AB239" i="16" s="1"/>
  <c r="Z43" i="16"/>
  <c r="AB43" i="16" s="1"/>
  <c r="Z76" i="16"/>
  <c r="AB76" i="16" s="1"/>
  <c r="Z98" i="16"/>
  <c r="AB98" i="16" s="1"/>
  <c r="Z169" i="16"/>
  <c r="AB169" i="16" s="1"/>
  <c r="Z191" i="16"/>
  <c r="AB191" i="16" s="1"/>
  <c r="Z219" i="16"/>
  <c r="AB219" i="16" s="1"/>
  <c r="Z241" i="16"/>
  <c r="AB241" i="16" s="1"/>
  <c r="Z271" i="16"/>
  <c r="AB271" i="16" s="1"/>
  <c r="Z315" i="16"/>
  <c r="AB315" i="16" s="1"/>
  <c r="Z336" i="16"/>
  <c r="AB336" i="16" s="1"/>
  <c r="Z364" i="16"/>
  <c r="AB364" i="16" s="1"/>
  <c r="Z321" i="16"/>
  <c r="AB321" i="16" s="1"/>
  <c r="Z209" i="16"/>
  <c r="AB209" i="16" s="1"/>
  <c r="Z153" i="16"/>
  <c r="AB153" i="16" s="1"/>
  <c r="Z269" i="16"/>
  <c r="AB269" i="16" s="1"/>
  <c r="Z44" i="16"/>
  <c r="AB44" i="16" s="1"/>
  <c r="Z77" i="16"/>
  <c r="AB77" i="16" s="1"/>
  <c r="Z99" i="16"/>
  <c r="AB99" i="16" s="1"/>
  <c r="Z171" i="16"/>
  <c r="AB171" i="16" s="1"/>
  <c r="Z192" i="16"/>
  <c r="AB192" i="16" s="1"/>
  <c r="Z220" i="16"/>
  <c r="AB220" i="16" s="1"/>
  <c r="Z242" i="16"/>
  <c r="AB242" i="16" s="1"/>
  <c r="Z272" i="16"/>
  <c r="AB272" i="16" s="1"/>
  <c r="Z316" i="16"/>
  <c r="AB316" i="16" s="1"/>
  <c r="Z337" i="16"/>
  <c r="AB337" i="16" s="1"/>
  <c r="Z365" i="16"/>
  <c r="AB365" i="16" s="1"/>
  <c r="Z322" i="16"/>
  <c r="AB322" i="16" s="1"/>
  <c r="Z65" i="16"/>
  <c r="AB65" i="16" s="1"/>
  <c r="Z67" i="16"/>
  <c r="AB67" i="16" s="1"/>
  <c r="Z308" i="16"/>
  <c r="AB308" i="16" s="1"/>
  <c r="Z356" i="16"/>
  <c r="AB356" i="16" s="1"/>
  <c r="Z49" i="16"/>
  <c r="AB49" i="16" s="1"/>
  <c r="Z78" i="16"/>
  <c r="AB78" i="16" s="1"/>
  <c r="Z100" i="16"/>
  <c r="AB100" i="16" s="1"/>
  <c r="Z172" i="16"/>
  <c r="AB172" i="16" s="1"/>
  <c r="Z193" i="16"/>
  <c r="AB193" i="16" s="1"/>
  <c r="Z221" i="16"/>
  <c r="AB221" i="16" s="1"/>
  <c r="Z243" i="16"/>
  <c r="AB243" i="16" s="1"/>
  <c r="Z281" i="16"/>
  <c r="AB281" i="16" s="1"/>
  <c r="Z317" i="16"/>
  <c r="AB317" i="16" s="1"/>
  <c r="Z338" i="16"/>
  <c r="AB338" i="16" s="1"/>
  <c r="Z366" i="16"/>
  <c r="AB366" i="16" s="1"/>
  <c r="Z5" i="16"/>
  <c r="AB5" i="16" s="1"/>
  <c r="Z21" i="16"/>
  <c r="AB21" i="16" s="1"/>
  <c r="Z37" i="16"/>
  <c r="AB37" i="16" s="1"/>
  <c r="Z53" i="16"/>
  <c r="AB53" i="16" s="1"/>
  <c r="Z69" i="16"/>
  <c r="AB69" i="16" s="1"/>
  <c r="Z85" i="16"/>
  <c r="AB85" i="16" s="1"/>
  <c r="Z101" i="16"/>
  <c r="AB101" i="16" s="1"/>
  <c r="Z117" i="16"/>
  <c r="AB117" i="16" s="1"/>
  <c r="Z133" i="16"/>
  <c r="AB133" i="16" s="1"/>
  <c r="Z149" i="16"/>
  <c r="AB149" i="16" s="1"/>
  <c r="Z165" i="16"/>
  <c r="AB165" i="16" s="1"/>
  <c r="Z181" i="16"/>
  <c r="AB181" i="16" s="1"/>
  <c r="Z197" i="16"/>
  <c r="AB197" i="16" s="1"/>
  <c r="Z213" i="16"/>
  <c r="AB213" i="16" s="1"/>
  <c r="Z229" i="16"/>
  <c r="AB229" i="16" s="1"/>
  <c r="Z245" i="16"/>
  <c r="AB245" i="16" s="1"/>
  <c r="Z261" i="16"/>
  <c r="AB261" i="16" s="1"/>
  <c r="Z277" i="16"/>
  <c r="AB277" i="16" s="1"/>
  <c r="Z293" i="16"/>
  <c r="AB293" i="16" s="1"/>
  <c r="Z309" i="16"/>
  <c r="AB309" i="16" s="1"/>
  <c r="Z325" i="16"/>
  <c r="AB325" i="16" s="1"/>
  <c r="Z341" i="16"/>
  <c r="AB341" i="16" s="1"/>
  <c r="Z357" i="16"/>
  <c r="AB357" i="16" s="1"/>
  <c r="Z373" i="16"/>
  <c r="AB373" i="16" s="1"/>
  <c r="Z156" i="16"/>
  <c r="AB156" i="16" s="1"/>
  <c r="Z141" i="16"/>
  <c r="AB141" i="16" s="1"/>
  <c r="Z286" i="16"/>
  <c r="AB286" i="16" s="1"/>
  <c r="Z159" i="16"/>
  <c r="AB159" i="16" s="1"/>
  <c r="Z287" i="16"/>
  <c r="AB287" i="16" s="1"/>
  <c r="Z32" i="16"/>
  <c r="AB32" i="16" s="1"/>
  <c r="Z144" i="16"/>
  <c r="AB144" i="16" s="1"/>
  <c r="Z288" i="16"/>
  <c r="AB288" i="16" s="1"/>
  <c r="Z129" i="16"/>
  <c r="AB129" i="16" s="1"/>
  <c r="Z273" i="16"/>
  <c r="AB273" i="16" s="1"/>
  <c r="Z130" i="16"/>
  <c r="AB130" i="16" s="1"/>
  <c r="Z290" i="16"/>
  <c r="AB290" i="16" s="1"/>
  <c r="Z147" i="16"/>
  <c r="AB147" i="16" s="1"/>
  <c r="Z259" i="16"/>
  <c r="AB259" i="16" s="1"/>
  <c r="Z291" i="16"/>
  <c r="AB291" i="16" s="1"/>
  <c r="Z20" i="16"/>
  <c r="AB20" i="16" s="1"/>
  <c r="Z36" i="16"/>
  <c r="AB36" i="16" s="1"/>
  <c r="Z68" i="16"/>
  <c r="AB68" i="16" s="1"/>
  <c r="Z116" i="16"/>
  <c r="AB116" i="16" s="1"/>
  <c r="Z132" i="16"/>
  <c r="AB132" i="16" s="1"/>
  <c r="Z148" i="16"/>
  <c r="AB148" i="16" s="1"/>
  <c r="Z164" i="16"/>
  <c r="AB164" i="16" s="1"/>
  <c r="Z260" i="16"/>
  <c r="AB260" i="16" s="1"/>
  <c r="Z276" i="16"/>
  <c r="AB276" i="16" s="1"/>
  <c r="Z292" i="16"/>
  <c r="AB292" i="16" s="1"/>
  <c r="Z6" i="16"/>
  <c r="AB6" i="16" s="1"/>
  <c r="Z22" i="16"/>
  <c r="AB22" i="16" s="1"/>
  <c r="Z38" i="16"/>
  <c r="AB38" i="16" s="1"/>
  <c r="Z54" i="16"/>
  <c r="AB54" i="16" s="1"/>
  <c r="Z70" i="16"/>
  <c r="AB70" i="16" s="1"/>
  <c r="Z86" i="16"/>
  <c r="AB86" i="16" s="1"/>
  <c r="Z102" i="16"/>
  <c r="AB102" i="16" s="1"/>
  <c r="Z118" i="16"/>
  <c r="AB118" i="16" s="1"/>
  <c r="Z134" i="16"/>
  <c r="AB134" i="16" s="1"/>
  <c r="Z150" i="16"/>
  <c r="AB150" i="16" s="1"/>
  <c r="Z166" i="16"/>
  <c r="AB166" i="16" s="1"/>
  <c r="Z182" i="16"/>
  <c r="AB182" i="16" s="1"/>
  <c r="Z198" i="16"/>
  <c r="AB198" i="16" s="1"/>
  <c r="Z214" i="16"/>
  <c r="AB214" i="16" s="1"/>
  <c r="Z230" i="16"/>
  <c r="AB230" i="16" s="1"/>
  <c r="Z246" i="16"/>
  <c r="AB246" i="16" s="1"/>
  <c r="Z262" i="16"/>
  <c r="AB262" i="16" s="1"/>
  <c r="Z278" i="16"/>
  <c r="AB278" i="16" s="1"/>
  <c r="Z294" i="16"/>
  <c r="AB294" i="16" s="1"/>
  <c r="Z310" i="16"/>
  <c r="AB310" i="16" s="1"/>
  <c r="Z326" i="16"/>
  <c r="AB326" i="16" s="1"/>
  <c r="Z342" i="16"/>
  <c r="AB342" i="16" s="1"/>
  <c r="Z358" i="16"/>
  <c r="AB358" i="16" s="1"/>
  <c r="Z374" i="16"/>
  <c r="AB374" i="16" s="1"/>
  <c r="Z157" i="16"/>
  <c r="AB157" i="16" s="1"/>
  <c r="Z142" i="16"/>
  <c r="AB142" i="16" s="1"/>
  <c r="Z31" i="16"/>
  <c r="AB31" i="16" s="1"/>
  <c r="Z16" i="16"/>
  <c r="AB16" i="16" s="1"/>
  <c r="Z128" i="16"/>
  <c r="AB128" i="16" s="1"/>
  <c r="Z161" i="16"/>
  <c r="AB161" i="16" s="1"/>
  <c r="Z34" i="16"/>
  <c r="AB34" i="16" s="1"/>
  <c r="Z115" i="16"/>
  <c r="AB115" i="16" s="1"/>
  <c r="Z7" i="16"/>
  <c r="AB7" i="16" s="1"/>
  <c r="Z23" i="16"/>
  <c r="AB23" i="16" s="1"/>
  <c r="Z39" i="16"/>
  <c r="AB39" i="16" s="1"/>
  <c r="Z55" i="16"/>
  <c r="AB55" i="16" s="1"/>
  <c r="Z71" i="16"/>
  <c r="AB71" i="16" s="1"/>
  <c r="Z87" i="16"/>
  <c r="AB87" i="16" s="1"/>
  <c r="Z103" i="16"/>
  <c r="AB103" i="16" s="1"/>
  <c r="Z119" i="16"/>
  <c r="AB119" i="16" s="1"/>
  <c r="Z135" i="16"/>
  <c r="AB135" i="16" s="1"/>
  <c r="Z151" i="16"/>
  <c r="AB151" i="16" s="1"/>
  <c r="Z167" i="16"/>
  <c r="AB167" i="16" s="1"/>
  <c r="Z183" i="16"/>
  <c r="AB183" i="16" s="1"/>
  <c r="Z199" i="16"/>
  <c r="AB199" i="16" s="1"/>
  <c r="Z215" i="16"/>
  <c r="AB215" i="16" s="1"/>
  <c r="Z231" i="16"/>
  <c r="AB231" i="16" s="1"/>
  <c r="Z247" i="16"/>
  <c r="AB247" i="16" s="1"/>
  <c r="Z263" i="16"/>
  <c r="AB263" i="16" s="1"/>
  <c r="Z279" i="16"/>
  <c r="AB279" i="16" s="1"/>
  <c r="Z295" i="16"/>
  <c r="AB295" i="16" s="1"/>
  <c r="Z311" i="16"/>
  <c r="AB311" i="16" s="1"/>
  <c r="Z327" i="16"/>
  <c r="AB327" i="16" s="1"/>
  <c r="Z343" i="16"/>
  <c r="AB343" i="16" s="1"/>
  <c r="Z359" i="16"/>
  <c r="AB359" i="16" s="1"/>
  <c r="Z375" i="16"/>
  <c r="AB375" i="16" s="1"/>
  <c r="Z46" i="16"/>
  <c r="AB46" i="16" s="1"/>
  <c r="Z143" i="16"/>
  <c r="AB143" i="16" s="1"/>
  <c r="Z17" i="16"/>
  <c r="AB17" i="16" s="1"/>
  <c r="Z145" i="16"/>
  <c r="AB145" i="16" s="1"/>
  <c r="Z162" i="16"/>
  <c r="AB162" i="16" s="1"/>
  <c r="Z163" i="16"/>
  <c r="AB163" i="16" s="1"/>
  <c r="Z8" i="16"/>
  <c r="AB8" i="16" s="1"/>
  <c r="Z24" i="16"/>
  <c r="AB24" i="16" s="1"/>
  <c r="Z40" i="16"/>
  <c r="AB40" i="16" s="1"/>
  <c r="Z56" i="16"/>
  <c r="AB56" i="16" s="1"/>
  <c r="Z72" i="16"/>
  <c r="AB72" i="16" s="1"/>
  <c r="Z88" i="16"/>
  <c r="AB88" i="16" s="1"/>
  <c r="Z104" i="16"/>
  <c r="AB104" i="16" s="1"/>
  <c r="Z120" i="16"/>
  <c r="AB120" i="16" s="1"/>
  <c r="Z136" i="16"/>
  <c r="AB136" i="16" s="1"/>
  <c r="Z152" i="16"/>
  <c r="AB152" i="16" s="1"/>
  <c r="Z168" i="16"/>
  <c r="AB168" i="16" s="1"/>
  <c r="Z184" i="16"/>
  <c r="AB184" i="16" s="1"/>
  <c r="Z200" i="16"/>
  <c r="AB200" i="16" s="1"/>
  <c r="Z216" i="16"/>
  <c r="AB216" i="16" s="1"/>
  <c r="Z232" i="16"/>
  <c r="AB232" i="16" s="1"/>
  <c r="Z248" i="16"/>
  <c r="AB248" i="16" s="1"/>
  <c r="Z264" i="16"/>
  <c r="AB264" i="16" s="1"/>
  <c r="Z280" i="16"/>
  <c r="AB280" i="16" s="1"/>
  <c r="Z296" i="16"/>
  <c r="AB296" i="16" s="1"/>
  <c r="Z312" i="16"/>
  <c r="AB312" i="16" s="1"/>
  <c r="Z328" i="16"/>
  <c r="AB328" i="16" s="1"/>
  <c r="Z344" i="16"/>
  <c r="AB344" i="16" s="1"/>
  <c r="Z360" i="16"/>
  <c r="AB360" i="16" s="1"/>
  <c r="Z376" i="16"/>
  <c r="AB376" i="16" s="1"/>
  <c r="Z140" i="16"/>
  <c r="AB140" i="16" s="1"/>
  <c r="Z126" i="16"/>
  <c r="AB126" i="16" s="1"/>
  <c r="Z47" i="16"/>
  <c r="AB47" i="16" s="1"/>
  <c r="Z383" i="16"/>
  <c r="AB383" i="16" s="1"/>
  <c r="Z384" i="16"/>
  <c r="AB384" i="16" s="1"/>
  <c r="Z25" i="16"/>
  <c r="AB25" i="16" s="1"/>
  <c r="Z89" i="16"/>
  <c r="AB89" i="16" s="1"/>
  <c r="Z201" i="16"/>
  <c r="AB201" i="16" s="1"/>
  <c r="Z217" i="16"/>
  <c r="AB217" i="16" s="1"/>
  <c r="Z233" i="16"/>
  <c r="AB233" i="16" s="1"/>
  <c r="Z265" i="16"/>
  <c r="AB265" i="16" s="1"/>
  <c r="Z345" i="16"/>
  <c r="AB345" i="16" s="1"/>
  <c r="Z361" i="16"/>
  <c r="AB361" i="16" s="1"/>
  <c r="Z377" i="16"/>
  <c r="AB377" i="16" s="1"/>
  <c r="Z284" i="16"/>
  <c r="AB284" i="16" s="1"/>
  <c r="Z285" i="16"/>
  <c r="AB285" i="16" s="1"/>
  <c r="Z158" i="16"/>
  <c r="AB158" i="16" s="1"/>
  <c r="Z127" i="16"/>
  <c r="AB127" i="16" s="1"/>
  <c r="Z48" i="16"/>
  <c r="AB48" i="16" s="1"/>
  <c r="Z160" i="16"/>
  <c r="AB160" i="16" s="1"/>
  <c r="Z33" i="16"/>
  <c r="AB33" i="16" s="1"/>
  <c r="Z113" i="16"/>
  <c r="AB113" i="16" s="1"/>
  <c r="Z289" i="16"/>
  <c r="AB289" i="16" s="1"/>
  <c r="Z18" i="16"/>
  <c r="AB18" i="16" s="1"/>
  <c r="Z114" i="16"/>
  <c r="AB114" i="16" s="1"/>
  <c r="Z146" i="16"/>
  <c r="AB146" i="16" s="1"/>
  <c r="Z274" i="16"/>
  <c r="AB274" i="16" s="1"/>
  <c r="Z19" i="16"/>
  <c r="AB19" i="16" s="1"/>
  <c r="Z35" i="16"/>
  <c r="AB35" i="16" s="1"/>
  <c r="Z131" i="16"/>
  <c r="AB131" i="16" s="1"/>
  <c r="Z275" i="16"/>
  <c r="AB275" i="16" s="1"/>
  <c r="Z9" i="16"/>
  <c r="AB9" i="16" s="1"/>
  <c r="Z57" i="16"/>
  <c r="AB57" i="16" s="1"/>
  <c r="Z73" i="16"/>
  <c r="AB73" i="16" s="1"/>
  <c r="Z105" i="16"/>
  <c r="AB105" i="16" s="1"/>
  <c r="Z249" i="16"/>
  <c r="AB249" i="16" s="1"/>
  <c r="Z10" i="16"/>
  <c r="AB10" i="16" s="1"/>
  <c r="Z26" i="16"/>
  <c r="AB26" i="16" s="1"/>
  <c r="Z42" i="16"/>
  <c r="AB42" i="16" s="1"/>
  <c r="Z58" i="16"/>
  <c r="AB58" i="16" s="1"/>
  <c r="Z74" i="16"/>
  <c r="AB74" i="16" s="1"/>
  <c r="Z90" i="16"/>
  <c r="AB90" i="16" s="1"/>
  <c r="Z106" i="16"/>
  <c r="AB106" i="16" s="1"/>
  <c r="Z122" i="16"/>
  <c r="AB122" i="16" s="1"/>
  <c r="Z138" i="16"/>
  <c r="AB138" i="16" s="1"/>
  <c r="Z154" i="16"/>
  <c r="AB154" i="16" s="1"/>
  <c r="Z170" i="16"/>
  <c r="AB170" i="16" s="1"/>
  <c r="Z186" i="16"/>
  <c r="AB186" i="16" s="1"/>
  <c r="Z202" i="16"/>
  <c r="AB202" i="16" s="1"/>
  <c r="Z218" i="16"/>
  <c r="AB218" i="16" s="1"/>
  <c r="Z234" i="16"/>
  <c r="AB234" i="16" s="1"/>
  <c r="Z250" i="16"/>
  <c r="AB250" i="16" s="1"/>
  <c r="Z266" i="16"/>
  <c r="AB266" i="16" s="1"/>
  <c r="Z282" i="16"/>
  <c r="AB282" i="16" s="1"/>
  <c r="Z298" i="16"/>
  <c r="AB298" i="16" s="1"/>
  <c r="Z314" i="16"/>
  <c r="AB314" i="16" s="1"/>
  <c r="Z330" i="16"/>
  <c r="AB330" i="16" s="1"/>
  <c r="Z346" i="16"/>
  <c r="AB346" i="16" s="1"/>
  <c r="Z362" i="16"/>
  <c r="AB362" i="16" s="1"/>
  <c r="Z378" i="16"/>
  <c r="AB378" i="16" s="1"/>
  <c r="AA605" i="16"/>
  <c r="U15" i="4" l="1"/>
  <c r="M233" i="2"/>
  <c r="M235" i="2"/>
  <c r="M234" i="2"/>
  <c r="Z605" i="16"/>
  <c r="M95" i="13" l="1"/>
  <c r="M96" i="13"/>
  <c r="M97" i="13"/>
  <c r="M98" i="13"/>
  <c r="M99" i="13"/>
  <c r="M100" i="13"/>
  <c r="M101" i="13"/>
  <c r="M102" i="13"/>
  <c r="M103" i="13"/>
  <c r="M104" i="13"/>
  <c r="M105" i="13"/>
  <c r="M106" i="13"/>
  <c r="M107" i="13"/>
  <c r="M108" i="13"/>
  <c r="M109" i="13"/>
  <c r="M94" i="13"/>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700" i="9"/>
  <c r="M608" i="9"/>
  <c r="M607" i="9"/>
  <c r="M110" i="13" l="1"/>
  <c r="M699" i="9"/>
  <c r="M320" i="11"/>
  <c r="M111" i="13"/>
  <c r="X18" i="21" l="1"/>
  <c r="BV43" i="5" l="1"/>
  <c r="AO19" i="20" l="1"/>
  <c r="AN19" i="20"/>
  <c r="AE19" i="20"/>
  <c r="AD19" i="20"/>
  <c r="AC19" i="20"/>
  <c r="AB19" i="20"/>
  <c r="AA19" i="20"/>
  <c r="Z19" i="20"/>
  <c r="Y19" i="20"/>
  <c r="X19" i="20"/>
  <c r="W19" i="20"/>
  <c r="U19" i="20"/>
  <c r="V19" i="20"/>
  <c r="T19" i="20"/>
  <c r="S19" i="20"/>
  <c r="R19" i="20"/>
  <c r="M326" i="11" l="1"/>
  <c r="M322" i="11"/>
  <c r="M113" i="13" l="1"/>
  <c r="M703" i="9"/>
  <c r="AM19" i="20"/>
  <c r="AP19" i="20"/>
  <c r="AR19" i="20"/>
  <c r="AT21" i="20" s="1"/>
  <c r="BV45" i="5" l="1"/>
  <c r="AU19" i="20"/>
  <c r="AU20" i="20"/>
  <c r="AU21" i="20"/>
  <c r="AU22" i="20"/>
  <c r="AU23" i="20"/>
  <c r="BV41" i="5" l="1"/>
  <c r="Y22" i="21" l="1"/>
  <c r="X21" i="21"/>
  <c r="T21" i="21"/>
  <c r="X20" i="21"/>
  <c r="T20" i="21"/>
  <c r="X19" i="21"/>
  <c r="T19" i="21"/>
  <c r="T18" i="21"/>
  <c r="Y20" i="21" l="1"/>
  <c r="Y21" i="21"/>
  <c r="Y19" i="21"/>
  <c r="T23" i="21"/>
  <c r="F26" i="21" s="1"/>
  <c r="X23" i="21"/>
  <c r="F27" i="21" s="1"/>
  <c r="Y18" i="21"/>
  <c r="F28" i="21" l="1"/>
  <c r="F29" i="21" s="1"/>
  <c r="Y23" i="21"/>
  <c r="M701" i="9" l="1"/>
  <c r="BV46" i="5"/>
  <c r="BV44" i="5"/>
  <c r="BV42" i="5"/>
  <c r="U12" i="4"/>
  <c r="Q145" i="19"/>
  <c r="I126" i="11" l="1"/>
  <c r="I125" i="11"/>
  <c r="I124" i="11"/>
  <c r="I123" i="11"/>
  <c r="I122" i="11"/>
  <c r="I121" i="11"/>
  <c r="I120" i="11"/>
  <c r="I119" i="11"/>
  <c r="I118" i="11"/>
  <c r="I117" i="11"/>
  <c r="I116" i="11"/>
  <c r="I115" i="11"/>
  <c r="I114" i="11"/>
  <c r="I113" i="11"/>
  <c r="I112" i="11"/>
  <c r="I111" i="11"/>
  <c r="I110" i="11"/>
  <c r="I109" i="11"/>
  <c r="I108" i="11"/>
  <c r="I107" i="11"/>
  <c r="I127" i="11" l="1"/>
  <c r="L16" i="14"/>
  <c r="L15" i="14"/>
  <c r="L14" i="14"/>
  <c r="L13" i="14"/>
  <c r="L12" i="14"/>
  <c r="L11" i="14"/>
  <c r="L10" i="14"/>
  <c r="L9" i="14"/>
  <c r="L8" i="14"/>
  <c r="L7" i="14"/>
  <c r="L6" i="14"/>
  <c r="L17" i="14" s="1"/>
  <c r="I199" i="9" l="1"/>
  <c r="I200" i="9"/>
  <c r="I207" i="9"/>
  <c r="I208" i="9"/>
  <c r="I209" i="9"/>
  <c r="I210" i="9"/>
  <c r="I211" i="9"/>
  <c r="I215" i="9"/>
  <c r="I216" i="9"/>
  <c r="I217" i="9"/>
  <c r="I218" i="9"/>
  <c r="I224" i="9"/>
  <c r="I225" i="9"/>
  <c r="I226" i="9"/>
  <c r="I227" i="9"/>
  <c r="I231" i="9"/>
  <c r="I238" i="9"/>
  <c r="I239" i="9"/>
  <c r="I240" i="9"/>
  <c r="I241" i="9"/>
  <c r="I242" i="9"/>
  <c r="I243" i="9"/>
  <c r="I236" i="9"/>
  <c r="I233" i="9"/>
  <c r="I232" i="9"/>
  <c r="I229" i="9"/>
  <c r="I223" i="9"/>
  <c r="I222" i="9"/>
  <c r="I221" i="9"/>
  <c r="I220" i="9"/>
  <c r="I219" i="9"/>
  <c r="I214" i="9"/>
  <c r="I213" i="9"/>
  <c r="I212" i="9"/>
  <c r="I206" i="9"/>
  <c r="I205" i="9"/>
  <c r="I204" i="9"/>
  <c r="I203" i="9"/>
  <c r="I202" i="9"/>
  <c r="I201" i="9"/>
  <c r="I198" i="9"/>
  <c r="I197" i="9"/>
  <c r="I196" i="9"/>
  <c r="I244" i="9"/>
  <c r="I237" i="9"/>
  <c r="I235" i="9"/>
  <c r="I234" i="9"/>
  <c r="I228" i="9"/>
  <c r="I66" i="2"/>
  <c r="I65" i="2"/>
  <c r="I64" i="2"/>
  <c r="I63" i="2"/>
  <c r="I62" i="2"/>
  <c r="I61" i="2"/>
  <c r="I60" i="2"/>
  <c r="I59" i="2"/>
  <c r="I58" i="2"/>
  <c r="I67" i="2" s="1"/>
  <c r="I230" i="9" l="1"/>
  <c r="I245" i="9" s="1"/>
  <c r="AU3" i="20" l="1"/>
  <c r="AU5" i="20"/>
  <c r="AS19" i="20"/>
  <c r="AT22" i="20" s="1"/>
  <c r="AT24" i="20" l="1"/>
  <c r="AT19" i="20"/>
  <c r="AQ19" i="20"/>
  <c r="BO60" i="5" l="1"/>
  <c r="BN60" i="5"/>
  <c r="BL60" i="5"/>
  <c r="BK60" i="5"/>
  <c r="BJ60" i="5"/>
  <c r="BI60" i="5"/>
  <c r="BH60" i="5"/>
  <c r="BG60" i="5"/>
  <c r="BF60" i="5"/>
  <c r="BE60" i="5"/>
  <c r="BD60" i="5"/>
  <c r="BC60" i="5"/>
  <c r="BB60" i="5"/>
  <c r="AZ60" i="5"/>
  <c r="AY60" i="5"/>
  <c r="AX60" i="5"/>
  <c r="AW60" i="5"/>
  <c r="AI60" i="5"/>
  <c r="AG60" i="5"/>
  <c r="AF60" i="5"/>
  <c r="AE60" i="5"/>
  <c r="Q60" i="5"/>
  <c r="P60" i="5"/>
  <c r="O60" i="5"/>
  <c r="N60" i="5"/>
  <c r="M60" i="5"/>
  <c r="L60" i="5"/>
  <c r="J60" i="5"/>
  <c r="I60" i="5"/>
  <c r="H60" i="5"/>
  <c r="G60" i="5"/>
  <c r="F60" i="5"/>
  <c r="E60" i="5"/>
  <c r="BV47" i="5"/>
  <c r="BO47" i="5"/>
  <c r="BM47" i="5"/>
  <c r="BL47" i="5"/>
  <c r="BK47" i="5"/>
  <c r="BJ47" i="5"/>
  <c r="BI47" i="5"/>
  <c r="BH47" i="5"/>
  <c r="BG47" i="5"/>
  <c r="BF47" i="5"/>
  <c r="BE47" i="5"/>
  <c r="BD47" i="5"/>
  <c r="BC47" i="5"/>
  <c r="BB47" i="5"/>
  <c r="BA47" i="5"/>
  <c r="AZ47" i="5"/>
  <c r="AY47" i="5"/>
  <c r="AX47" i="5"/>
  <c r="AW47" i="5"/>
  <c r="AV47" i="5"/>
  <c r="AU47" i="5"/>
  <c r="AT47" i="5"/>
  <c r="AS47" i="5"/>
  <c r="AR47" i="5"/>
  <c r="AQ47" i="5"/>
  <c r="AP47" i="5"/>
  <c r="AO47" i="5"/>
  <c r="AN47" i="5"/>
  <c r="AM47" i="5"/>
  <c r="AL47" i="5"/>
  <c r="AK47" i="5"/>
  <c r="AJ47" i="5"/>
  <c r="AI47" i="5"/>
  <c r="AG47" i="5"/>
  <c r="AF47" i="5"/>
  <c r="AE47" i="5"/>
  <c r="Q47" i="5"/>
  <c r="P47" i="5"/>
  <c r="O47" i="5"/>
  <c r="M47" i="5"/>
  <c r="J47" i="5"/>
  <c r="I47" i="5"/>
  <c r="H47" i="5"/>
  <c r="G47" i="5"/>
  <c r="F47" i="5"/>
  <c r="E47" i="5"/>
  <c r="BO32" i="5"/>
  <c r="BN32" i="5"/>
  <c r="BM32" i="5"/>
  <c r="BL32" i="5"/>
  <c r="BK32" i="5"/>
  <c r="BI32" i="5"/>
  <c r="BH32" i="5"/>
  <c r="BG32" i="5"/>
  <c r="BF32" i="5"/>
  <c r="BE32" i="5"/>
  <c r="BD32" i="5"/>
  <c r="BC32" i="5"/>
  <c r="BA32" i="5"/>
  <c r="AZ32" i="5"/>
  <c r="AY32" i="5"/>
  <c r="AX32" i="5"/>
  <c r="AW32" i="5"/>
  <c r="AV32" i="5"/>
  <c r="AU32" i="5"/>
  <c r="AT32" i="5"/>
  <c r="AS32" i="5"/>
  <c r="AR32" i="5"/>
  <c r="AQ32" i="5"/>
  <c r="AP32" i="5"/>
  <c r="AO32" i="5"/>
  <c r="AM32" i="5"/>
  <c r="AL32" i="5"/>
  <c r="AJ32" i="5"/>
  <c r="AI32" i="5"/>
  <c r="AH32" i="5"/>
  <c r="AG32" i="5"/>
  <c r="AF32" i="5"/>
  <c r="AC32" i="5"/>
  <c r="AA32" i="5"/>
  <c r="Y32" i="5"/>
  <c r="X32" i="5"/>
  <c r="V32" i="5"/>
  <c r="U32" i="5"/>
  <c r="T32" i="5"/>
  <c r="S32" i="5"/>
  <c r="R32" i="5"/>
  <c r="Q32" i="5"/>
  <c r="P32" i="5"/>
  <c r="O32" i="5"/>
  <c r="N32" i="5"/>
  <c r="M32" i="5"/>
  <c r="L32" i="5"/>
  <c r="K32" i="5"/>
  <c r="J32" i="5"/>
  <c r="I32" i="5"/>
  <c r="G32" i="5"/>
  <c r="F32" i="5"/>
  <c r="BI26" i="5"/>
  <c r="BG26" i="5"/>
  <c r="BB26" i="5"/>
  <c r="AT23" i="20" l="1"/>
  <c r="R3" i="19"/>
  <c r="R4" i="19"/>
  <c r="M872" i="9" s="1"/>
  <c r="R5" i="19"/>
  <c r="M853" i="9" s="1"/>
  <c r="R6" i="19"/>
  <c r="R7" i="19"/>
  <c r="M873" i="9" s="1"/>
  <c r="R8" i="19"/>
  <c r="R9" i="19"/>
  <c r="I218" i="2" s="1"/>
  <c r="R10" i="19"/>
  <c r="R11" i="19"/>
  <c r="M863" i="9" s="1"/>
  <c r="R12" i="19"/>
  <c r="M720" i="9" s="1"/>
  <c r="R13" i="19"/>
  <c r="R14" i="19"/>
  <c r="M874" i="9" s="1"/>
  <c r="R16" i="19"/>
  <c r="R17" i="19"/>
  <c r="I175" i="2" s="1"/>
  <c r="M175" i="2" s="1"/>
  <c r="R18" i="19"/>
  <c r="M178" i="2" s="1"/>
  <c r="R19" i="19"/>
  <c r="M734" i="9" s="1"/>
  <c r="R20" i="19"/>
  <c r="W20" i="19" s="1"/>
  <c r="R21" i="19"/>
  <c r="M733" i="9" s="1"/>
  <c r="R22" i="19"/>
  <c r="R23" i="19"/>
  <c r="R24" i="19"/>
  <c r="M759" i="9" s="1"/>
  <c r="R25" i="19"/>
  <c r="W25" i="19" s="1"/>
  <c r="R26" i="19"/>
  <c r="W26" i="19" s="1"/>
  <c r="R27" i="19"/>
  <c r="R28" i="19"/>
  <c r="R29" i="19"/>
  <c r="R30" i="19"/>
  <c r="W30" i="19" s="1"/>
  <c r="R31" i="19"/>
  <c r="M742" i="9" s="1"/>
  <c r="R32" i="19"/>
  <c r="R33" i="19"/>
  <c r="M856" i="9" s="1"/>
  <c r="R34" i="19"/>
  <c r="R35" i="19"/>
  <c r="R36" i="19"/>
  <c r="I220" i="2" s="1"/>
  <c r="M220" i="2" s="1"/>
  <c r="R37" i="19"/>
  <c r="R38" i="19"/>
  <c r="R39" i="19"/>
  <c r="M763" i="9" s="1"/>
  <c r="R40" i="19"/>
  <c r="R41" i="19"/>
  <c r="M761" i="9" s="1"/>
  <c r="R42" i="19"/>
  <c r="R43" i="19"/>
  <c r="M768" i="9" s="1"/>
  <c r="R44" i="19"/>
  <c r="R45" i="19"/>
  <c r="M769" i="9" s="1"/>
  <c r="R46" i="19"/>
  <c r="R47" i="19"/>
  <c r="R48" i="19"/>
  <c r="M187" i="2" s="1"/>
  <c r="R49" i="19"/>
  <c r="M785" i="9" s="1"/>
  <c r="R50" i="19"/>
  <c r="I221" i="2" s="1"/>
  <c r="R51" i="19"/>
  <c r="R52" i="19"/>
  <c r="R53" i="19"/>
  <c r="R54" i="19"/>
  <c r="R55" i="19"/>
  <c r="R56" i="19"/>
  <c r="R57" i="19"/>
  <c r="R58" i="19"/>
  <c r="R59" i="19"/>
  <c r="M190" i="2" s="1"/>
  <c r="R60" i="19"/>
  <c r="M797" i="9" s="1"/>
  <c r="R61" i="19"/>
  <c r="M192" i="2" s="1"/>
  <c r="R62" i="19"/>
  <c r="R63" i="19"/>
  <c r="R64" i="19"/>
  <c r="I224" i="2" s="1"/>
  <c r="R65" i="19"/>
  <c r="R66" i="19"/>
  <c r="I225" i="2" s="1"/>
  <c r="R67" i="19"/>
  <c r="R68" i="19"/>
  <c r="R69" i="19"/>
  <c r="M795" i="9" s="1"/>
  <c r="R70" i="19"/>
  <c r="M198" i="2" s="1"/>
  <c r="R71" i="19"/>
  <c r="R72" i="19"/>
  <c r="M825" i="9" s="1"/>
  <c r="R73" i="19"/>
  <c r="R74" i="19"/>
  <c r="M831" i="9" s="1"/>
  <c r="R75" i="19"/>
  <c r="R76" i="19"/>
  <c r="R77" i="19"/>
  <c r="R78" i="19"/>
  <c r="R79" i="19"/>
  <c r="R80" i="19"/>
  <c r="M120" i="13" s="1"/>
  <c r="R81" i="19"/>
  <c r="M817" i="9" s="1"/>
  <c r="R82" i="19"/>
  <c r="R83" i="19"/>
  <c r="R84" i="19"/>
  <c r="R85" i="19"/>
  <c r="R86" i="19"/>
  <c r="M824" i="9" s="1"/>
  <c r="R87" i="19"/>
  <c r="R88" i="19"/>
  <c r="M201" i="2" s="1"/>
  <c r="R89" i="19"/>
  <c r="R90" i="19"/>
  <c r="M836" i="9"/>
  <c r="R91" i="19"/>
  <c r="M204" i="2" s="1"/>
  <c r="R92" i="19"/>
  <c r="R93" i="19"/>
  <c r="M744" i="9" s="1"/>
  <c r="R94" i="19"/>
  <c r="I232" i="2"/>
  <c r="M820" i="9"/>
  <c r="M202" i="2"/>
  <c r="I171" i="2"/>
  <c r="M171" i="2" s="1"/>
  <c r="R2" i="19"/>
  <c r="BV8" i="5"/>
  <c r="L384" i="16"/>
  <c r="L383" i="16"/>
  <c r="L382" i="16"/>
  <c r="L381" i="16"/>
  <c r="L380" i="16"/>
  <c r="L379" i="16"/>
  <c r="L377" i="16"/>
  <c r="L376" i="16"/>
  <c r="L375" i="16"/>
  <c r="L374" i="16"/>
  <c r="L373" i="16"/>
  <c r="L372" i="16"/>
  <c r="L371" i="16"/>
  <c r="L369" i="16"/>
  <c r="L367" i="16"/>
  <c r="L366" i="16"/>
  <c r="L365" i="16"/>
  <c r="L364" i="16"/>
  <c r="L363" i="16"/>
  <c r="L362" i="16"/>
  <c r="L361" i="16"/>
  <c r="L360" i="16"/>
  <c r="L359" i="16"/>
  <c r="L358" i="16"/>
  <c r="L357" i="16"/>
  <c r="L356" i="16"/>
  <c r="L355" i="16"/>
  <c r="L354" i="16"/>
  <c r="L353" i="16"/>
  <c r="L352" i="16"/>
  <c r="L351" i="16"/>
  <c r="L350" i="16"/>
  <c r="L349" i="16"/>
  <c r="L348" i="16"/>
  <c r="L347" i="16"/>
  <c r="L346" i="16"/>
  <c r="L345" i="16"/>
  <c r="L344" i="16"/>
  <c r="L343" i="16"/>
  <c r="L342" i="16"/>
  <c r="L341" i="16"/>
  <c r="L340" i="16"/>
  <c r="L339" i="16"/>
  <c r="L338" i="16"/>
  <c r="L337" i="16"/>
  <c r="L336" i="16"/>
  <c r="L335" i="16"/>
  <c r="L334" i="16"/>
  <c r="L333" i="16"/>
  <c r="L332" i="16"/>
  <c r="L331" i="16"/>
  <c r="L330" i="16"/>
  <c r="L329" i="16"/>
  <c r="L328" i="16"/>
  <c r="L327" i="16"/>
  <c r="L326" i="16"/>
  <c r="L325" i="16"/>
  <c r="L324" i="16"/>
  <c r="L323" i="16"/>
  <c r="L322" i="16"/>
  <c r="L321" i="16"/>
  <c r="L320" i="16"/>
  <c r="L319" i="16"/>
  <c r="L318" i="16"/>
  <c r="L317" i="16"/>
  <c r="L316" i="16"/>
  <c r="L315" i="16"/>
  <c r="L314" i="16"/>
  <c r="L313" i="16"/>
  <c r="L312" i="16"/>
  <c r="L311" i="16"/>
  <c r="L310" i="16"/>
  <c r="L309" i="16"/>
  <c r="L308" i="16"/>
  <c r="L307" i="16"/>
  <c r="L306" i="16"/>
  <c r="L305" i="16"/>
  <c r="L304" i="16"/>
  <c r="L303" i="16"/>
  <c r="L302" i="16"/>
  <c r="L301" i="16"/>
  <c r="L300" i="16"/>
  <c r="L299" i="16"/>
  <c r="L298" i="16"/>
  <c r="L297" i="16"/>
  <c r="L296" i="16"/>
  <c r="L295" i="16"/>
  <c r="L294" i="16"/>
  <c r="L293" i="16"/>
  <c r="L292" i="16"/>
  <c r="L291" i="16"/>
  <c r="L290" i="16"/>
  <c r="L289" i="16"/>
  <c r="L288" i="16"/>
  <c r="L287" i="16"/>
  <c r="L286" i="16"/>
  <c r="L285" i="16"/>
  <c r="L284" i="16"/>
  <c r="L283" i="16"/>
  <c r="L282" i="16"/>
  <c r="L281" i="16"/>
  <c r="L280" i="16"/>
  <c r="L279" i="16"/>
  <c r="L278" i="16"/>
  <c r="L277" i="16"/>
  <c r="L276" i="16"/>
  <c r="L275" i="16"/>
  <c r="L274" i="16"/>
  <c r="L273" i="16"/>
  <c r="L272" i="16"/>
  <c r="L271" i="16"/>
  <c r="L270" i="16"/>
  <c r="L269" i="16"/>
  <c r="L268" i="16"/>
  <c r="L267" i="16"/>
  <c r="L266" i="16"/>
  <c r="L265" i="16"/>
  <c r="L264" i="16"/>
  <c r="L263" i="16"/>
  <c r="L262" i="16"/>
  <c r="L261" i="16"/>
  <c r="L260" i="16"/>
  <c r="L259" i="16"/>
  <c r="L258" i="16"/>
  <c r="L257" i="16"/>
  <c r="L256" i="16"/>
  <c r="L255" i="16"/>
  <c r="L254" i="16"/>
  <c r="L253" i="16"/>
  <c r="L252" i="16"/>
  <c r="L251" i="16"/>
  <c r="L250" i="16"/>
  <c r="L249" i="16"/>
  <c r="L248" i="16"/>
  <c r="L247" i="16"/>
  <c r="L246" i="16"/>
  <c r="L245" i="16"/>
  <c r="L244" i="16"/>
  <c r="L243" i="16"/>
  <c r="L242" i="16"/>
  <c r="L241" i="16"/>
  <c r="L240" i="16"/>
  <c r="L239" i="16"/>
  <c r="L238" i="16"/>
  <c r="L237" i="16"/>
  <c r="L236" i="16"/>
  <c r="L234" i="16"/>
  <c r="L233" i="16"/>
  <c r="L232" i="16"/>
  <c r="L231" i="16"/>
  <c r="L230" i="16"/>
  <c r="L229" i="16"/>
  <c r="L228" i="16"/>
  <c r="L227" i="16"/>
  <c r="L226" i="16"/>
  <c r="L225" i="16"/>
  <c r="L224" i="16"/>
  <c r="L223" i="16"/>
  <c r="L222" i="16"/>
  <c r="L221" i="16"/>
  <c r="L220" i="16"/>
  <c r="L219" i="16"/>
  <c r="L218" i="16"/>
  <c r="L217" i="16"/>
  <c r="L216" i="16"/>
  <c r="L215" i="16"/>
  <c r="L214" i="16"/>
  <c r="L213" i="16"/>
  <c r="L212" i="16"/>
  <c r="L211" i="16"/>
  <c r="L210" i="16"/>
  <c r="L209" i="16"/>
  <c r="L208" i="16"/>
  <c r="L207" i="16"/>
  <c r="L206" i="16"/>
  <c r="L205" i="16"/>
  <c r="L204" i="16"/>
  <c r="L203" i="16"/>
  <c r="L202" i="16"/>
  <c r="L201" i="16"/>
  <c r="L200" i="16"/>
  <c r="L199" i="16"/>
  <c r="L198" i="16"/>
  <c r="L197" i="16"/>
  <c r="L196" i="16"/>
  <c r="L195" i="16"/>
  <c r="L194" i="16"/>
  <c r="L193" i="16"/>
  <c r="L192" i="16"/>
  <c r="L191" i="16"/>
  <c r="L190" i="16"/>
  <c r="L189" i="16"/>
  <c r="L188" i="16"/>
  <c r="L187" i="16"/>
  <c r="L186" i="16"/>
  <c r="L185" i="16"/>
  <c r="L184" i="16"/>
  <c r="L183" i="16"/>
  <c r="L182" i="16"/>
  <c r="L181" i="16"/>
  <c r="L180" i="16"/>
  <c r="L179" i="16"/>
  <c r="L177" i="16"/>
  <c r="L176" i="16"/>
  <c r="L175" i="16"/>
  <c r="L174" i="16"/>
  <c r="L173" i="16"/>
  <c r="L172" i="16"/>
  <c r="L171" i="16"/>
  <c r="L170" i="16"/>
  <c r="L169" i="16"/>
  <c r="L168" i="16"/>
  <c r="L167" i="16"/>
  <c r="L166" i="16"/>
  <c r="L165" i="16"/>
  <c r="L164" i="16"/>
  <c r="L163" i="16"/>
  <c r="L162" i="16"/>
  <c r="L161" i="16"/>
  <c r="L160" i="16"/>
  <c r="L159" i="16"/>
  <c r="L158" i="16"/>
  <c r="L157" i="16"/>
  <c r="L156" i="16"/>
  <c r="L155" i="16"/>
  <c r="L154" i="16"/>
  <c r="L153" i="16"/>
  <c r="L152" i="16"/>
  <c r="L151" i="16"/>
  <c r="L150" i="16"/>
  <c r="L148" i="16"/>
  <c r="L147" i="16"/>
  <c r="L146" i="16"/>
  <c r="L145" i="16"/>
  <c r="L144" i="16"/>
  <c r="L143" i="16"/>
  <c r="L142" i="16"/>
  <c r="L141" i="16"/>
  <c r="L140" i="16"/>
  <c r="L139" i="16"/>
  <c r="L138" i="16"/>
  <c r="L137" i="16"/>
  <c r="L136" i="16"/>
  <c r="L135" i="16"/>
  <c r="L134" i="16"/>
  <c r="L133" i="16"/>
  <c r="L132" i="16"/>
  <c r="L131" i="16"/>
  <c r="L130" i="16"/>
  <c r="L129" i="16"/>
  <c r="L128" i="16"/>
  <c r="L127" i="16"/>
  <c r="L126" i="16"/>
  <c r="L124" i="16"/>
  <c r="L123" i="16"/>
  <c r="L121" i="16"/>
  <c r="L120" i="16"/>
  <c r="L119" i="16"/>
  <c r="L118" i="16"/>
  <c r="L117" i="16"/>
  <c r="L116" i="16"/>
  <c r="L115" i="16"/>
  <c r="L114" i="16"/>
  <c r="L113" i="16"/>
  <c r="L112" i="16"/>
  <c r="L111" i="16"/>
  <c r="L110" i="16"/>
  <c r="L109" i="16"/>
  <c r="L108" i="16"/>
  <c r="L107"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L51" i="16"/>
  <c r="L50" i="16"/>
  <c r="L49" i="16"/>
  <c r="L48" i="16"/>
  <c r="L47" i="16"/>
  <c r="L46" i="16"/>
  <c r="L45" i="16"/>
  <c r="L44" i="16"/>
  <c r="L43" i="16"/>
  <c r="L41" i="16"/>
  <c r="L40" i="16"/>
  <c r="L39" i="16"/>
  <c r="L38" i="16"/>
  <c r="L37" i="16"/>
  <c r="L36" i="16"/>
  <c r="L35" i="16"/>
  <c r="L33" i="16"/>
  <c r="L32" i="16"/>
  <c r="L31" i="16"/>
  <c r="L30" i="16"/>
  <c r="L29" i="16"/>
  <c r="L28" i="16"/>
  <c r="L27" i="16"/>
  <c r="L26" i="16"/>
  <c r="L25" i="16"/>
  <c r="L24" i="16"/>
  <c r="L23" i="16"/>
  <c r="L21" i="16"/>
  <c r="L20" i="16"/>
  <c r="L19" i="16"/>
  <c r="L18" i="16"/>
  <c r="L17" i="16"/>
  <c r="L16" i="16"/>
  <c r="L15" i="16"/>
  <c r="L12" i="16"/>
  <c r="L11" i="16"/>
  <c r="L10" i="16"/>
  <c r="L9" i="16"/>
  <c r="L8" i="16"/>
  <c r="L7" i="16"/>
  <c r="L5" i="16"/>
  <c r="L4" i="16"/>
  <c r="I73" i="2"/>
  <c r="I72" i="2"/>
  <c r="I71" i="2"/>
  <c r="I70" i="2"/>
  <c r="I69" i="2"/>
  <c r="I68" i="2"/>
  <c r="K384" i="16"/>
  <c r="K383" i="16"/>
  <c r="K382" i="16"/>
  <c r="K381" i="16"/>
  <c r="K380" i="16"/>
  <c r="K379" i="16"/>
  <c r="K377" i="16"/>
  <c r="K376" i="16"/>
  <c r="K375" i="16"/>
  <c r="K374" i="16"/>
  <c r="K373" i="16"/>
  <c r="K372" i="16"/>
  <c r="K371" i="16"/>
  <c r="K370" i="16"/>
  <c r="K368" i="16"/>
  <c r="K367" i="16"/>
  <c r="K366" i="16"/>
  <c r="K364" i="16"/>
  <c r="K363" i="16"/>
  <c r="K362" i="16"/>
  <c r="K361"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1" i="16"/>
  <c r="K250" i="16"/>
  <c r="K249" i="16"/>
  <c r="K247" i="16"/>
  <c r="K246" i="16"/>
  <c r="K245" i="16"/>
  <c r="K244" i="16"/>
  <c r="K243" i="16"/>
  <c r="K242" i="16"/>
  <c r="K241" i="16"/>
  <c r="K240" i="16"/>
  <c r="K239" i="16"/>
  <c r="K238" i="16"/>
  <c r="K237" i="16"/>
  <c r="K236" i="16"/>
  <c r="K234" i="16"/>
  <c r="K233" i="16"/>
  <c r="K232" i="16"/>
  <c r="K231" i="16"/>
  <c r="K230" i="16"/>
  <c r="K229"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1" i="16"/>
  <c r="K190" i="16"/>
  <c r="K189" i="16"/>
  <c r="K188" i="16"/>
  <c r="K187" i="16"/>
  <c r="K186" i="16"/>
  <c r="K185" i="16"/>
  <c r="K184" i="16"/>
  <c r="K183" i="16"/>
  <c r="K182" i="16"/>
  <c r="K181" i="16"/>
  <c r="K179" i="16"/>
  <c r="K177" i="16"/>
  <c r="K176" i="16"/>
  <c r="K175" i="16"/>
  <c r="K174" i="16"/>
  <c r="K173" i="16"/>
  <c r="K172" i="16"/>
  <c r="K171" i="16"/>
  <c r="K170" i="16"/>
  <c r="K169" i="16"/>
  <c r="K168" i="16"/>
  <c r="K167" i="16"/>
  <c r="K166" i="16"/>
  <c r="K164" i="16"/>
  <c r="K163" i="16"/>
  <c r="K162" i="16"/>
  <c r="K161" i="16"/>
  <c r="K160" i="16"/>
  <c r="K159" i="16"/>
  <c r="K158" i="16"/>
  <c r="K157" i="16"/>
  <c r="K156" i="16"/>
  <c r="K155" i="16"/>
  <c r="K154" i="16"/>
  <c r="K153" i="16"/>
  <c r="K152" i="16"/>
  <c r="K147" i="16"/>
  <c r="K146" i="16"/>
  <c r="K145" i="16"/>
  <c r="K144" i="16"/>
  <c r="K143" i="16"/>
  <c r="K142" i="16"/>
  <c r="K141" i="16"/>
  <c r="K140" i="16"/>
  <c r="K139" i="16"/>
  <c r="K138" i="16"/>
  <c r="K137" i="16"/>
  <c r="K136" i="16"/>
  <c r="K135" i="16"/>
  <c r="K134" i="16"/>
  <c r="K133" i="16"/>
  <c r="K132" i="16"/>
  <c r="K131" i="16"/>
  <c r="K130" i="16"/>
  <c r="K129" i="16"/>
  <c r="K128" i="16"/>
  <c r="K127" i="16"/>
  <c r="K126" i="16"/>
  <c r="K124" i="16"/>
  <c r="K123" i="16"/>
  <c r="K122" i="16"/>
  <c r="K121" i="16"/>
  <c r="K120" i="16"/>
  <c r="K119" i="16"/>
  <c r="K118" i="16"/>
  <c r="K117" i="16"/>
  <c r="K116" i="16"/>
  <c r="K115" i="16"/>
  <c r="K114" i="16"/>
  <c r="K113" i="16"/>
  <c r="K112" i="16"/>
  <c r="K111" i="16"/>
  <c r="K110" i="16"/>
  <c r="K109" i="16"/>
  <c r="K107" i="16"/>
  <c r="K106" i="16"/>
  <c r="K105" i="16"/>
  <c r="K104" i="16"/>
  <c r="K103" i="16"/>
  <c r="K102" i="16"/>
  <c r="K101" i="16"/>
  <c r="K100" i="16"/>
  <c r="K99" i="16"/>
  <c r="K98" i="16"/>
  <c r="K97" i="16"/>
  <c r="K96" i="16"/>
  <c r="K95" i="16"/>
  <c r="K94" i="16"/>
  <c r="K93" i="16"/>
  <c r="K92"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1" i="16"/>
  <c r="K40" i="16"/>
  <c r="K39" i="16"/>
  <c r="K38" i="16"/>
  <c r="K37" i="16"/>
  <c r="K36" i="16"/>
  <c r="K35" i="16"/>
  <c r="K34" i="16"/>
  <c r="K32" i="16"/>
  <c r="K31" i="16"/>
  <c r="K30" i="16"/>
  <c r="K29" i="16"/>
  <c r="K28" i="16"/>
  <c r="K27" i="16"/>
  <c r="K26" i="16"/>
  <c r="K25" i="16"/>
  <c r="K24" i="16"/>
  <c r="K23" i="16"/>
  <c r="K22" i="16"/>
  <c r="K21" i="16"/>
  <c r="K20" i="16"/>
  <c r="K19" i="16"/>
  <c r="K18" i="16"/>
  <c r="K17" i="16"/>
  <c r="K16" i="16"/>
  <c r="K15" i="16"/>
  <c r="K13" i="16"/>
  <c r="K12" i="16"/>
  <c r="K11" i="16"/>
  <c r="K9" i="16"/>
  <c r="K7" i="16"/>
  <c r="K6" i="16"/>
  <c r="K5" i="16"/>
  <c r="N12" i="16" a="1"/>
  <c r="N384" i="16" a="1"/>
  <c r="N383" i="16" a="1"/>
  <c r="N382" i="16" a="1"/>
  <c r="N381" i="16" a="1"/>
  <c r="N380" i="16" a="1"/>
  <c r="N379" i="16" a="1"/>
  <c r="N378" i="16" a="1"/>
  <c r="N377" i="16" a="1"/>
  <c r="N376" i="16" a="1"/>
  <c r="N375" i="16" a="1"/>
  <c r="N374" i="16" a="1"/>
  <c r="N373" i="16" a="1"/>
  <c r="N372" i="16" a="1"/>
  <c r="N371" i="16" a="1"/>
  <c r="N370" i="16" a="1"/>
  <c r="N369" i="16" a="1"/>
  <c r="N368" i="16" a="1"/>
  <c r="N367" i="16" a="1"/>
  <c r="N366" i="16" a="1"/>
  <c r="N365" i="16" a="1"/>
  <c r="N364" i="16" a="1"/>
  <c r="N363" i="16" a="1"/>
  <c r="N362" i="16" a="1"/>
  <c r="N361" i="16" a="1"/>
  <c r="N360" i="16" a="1"/>
  <c r="N359" i="16" a="1"/>
  <c r="N358" i="16" a="1"/>
  <c r="N357" i="16" a="1"/>
  <c r="N356" i="16" a="1"/>
  <c r="N355" i="16" a="1"/>
  <c r="N354" i="16" a="1"/>
  <c r="N353" i="16" a="1"/>
  <c r="N352" i="16" a="1"/>
  <c r="N351" i="16" a="1"/>
  <c r="N350" i="16" a="1"/>
  <c r="N349" i="16" a="1"/>
  <c r="N348" i="16" a="1"/>
  <c r="N347" i="16" a="1"/>
  <c r="N346" i="16" a="1"/>
  <c r="N345" i="16" a="1"/>
  <c r="N344" i="16" a="1"/>
  <c r="N343" i="16" a="1"/>
  <c r="N342" i="16" a="1"/>
  <c r="N341" i="16" a="1"/>
  <c r="N340" i="16" a="1"/>
  <c r="N339" i="16" a="1"/>
  <c r="N338" i="16" a="1"/>
  <c r="N337" i="16" a="1"/>
  <c r="N336" i="16" a="1"/>
  <c r="N335" i="16" a="1"/>
  <c r="N334" i="16" a="1"/>
  <c r="N333" i="16" a="1"/>
  <c r="N332" i="16" a="1"/>
  <c r="N331" i="16" a="1"/>
  <c r="N330" i="16" a="1"/>
  <c r="N329" i="16" a="1"/>
  <c r="N328" i="16" a="1"/>
  <c r="N327" i="16" a="1"/>
  <c r="N326" i="16" a="1"/>
  <c r="N325" i="16" a="1"/>
  <c r="N324" i="16" a="1"/>
  <c r="N323" i="16" a="1"/>
  <c r="N322" i="16" a="1"/>
  <c r="N321" i="16" a="1"/>
  <c r="N320" i="16" a="1"/>
  <c r="N319" i="16" a="1"/>
  <c r="N318" i="16" a="1"/>
  <c r="N317" i="16" a="1"/>
  <c r="N316" i="16" a="1"/>
  <c r="N315" i="16" a="1"/>
  <c r="N314" i="16" a="1"/>
  <c r="N313" i="16" a="1"/>
  <c r="N312" i="16" a="1"/>
  <c r="N311" i="16" a="1"/>
  <c r="N310" i="16" a="1"/>
  <c r="N309" i="16" a="1"/>
  <c r="N308" i="16" a="1"/>
  <c r="N307" i="16" a="1"/>
  <c r="N306" i="16" a="1"/>
  <c r="N305" i="16" a="1"/>
  <c r="N304" i="16" a="1"/>
  <c r="N303" i="16" a="1"/>
  <c r="N302" i="16" a="1"/>
  <c r="N301" i="16" a="1"/>
  <c r="N300" i="16" a="1"/>
  <c r="N299" i="16" a="1"/>
  <c r="N298" i="16" a="1"/>
  <c r="N297" i="16" a="1"/>
  <c r="N296" i="16" a="1"/>
  <c r="N295" i="16" a="1"/>
  <c r="N294" i="16" a="1"/>
  <c r="N293" i="16" a="1"/>
  <c r="N292" i="16" a="1"/>
  <c r="N291" i="16" a="1"/>
  <c r="N290" i="16" a="1"/>
  <c r="N289" i="16" a="1"/>
  <c r="N288" i="16" a="1"/>
  <c r="N287" i="16" a="1"/>
  <c r="N286" i="16" a="1"/>
  <c r="N285" i="16" a="1"/>
  <c r="N284" i="16" a="1"/>
  <c r="N283" i="16" a="1"/>
  <c r="N282" i="16" a="1"/>
  <c r="N281" i="16" a="1"/>
  <c r="N280" i="16" a="1"/>
  <c r="N279" i="16" a="1"/>
  <c r="N278" i="16" a="1"/>
  <c r="N277" i="16" a="1"/>
  <c r="N276" i="16" a="1"/>
  <c r="N275" i="16" a="1"/>
  <c r="N274" i="16" a="1"/>
  <c r="N273" i="16" a="1"/>
  <c r="N272" i="16" a="1"/>
  <c r="N271" i="16" a="1"/>
  <c r="N270" i="16" a="1"/>
  <c r="N269" i="16" a="1"/>
  <c r="N268" i="16" a="1"/>
  <c r="N267" i="16" a="1"/>
  <c r="N266" i="16" a="1"/>
  <c r="N265" i="16" a="1"/>
  <c r="N264" i="16" a="1"/>
  <c r="N263" i="16" a="1"/>
  <c r="N262" i="16" a="1"/>
  <c r="N261" i="16" a="1"/>
  <c r="N260" i="16" a="1"/>
  <c r="N259" i="16" a="1"/>
  <c r="N258" i="16" a="1"/>
  <c r="N257" i="16" a="1"/>
  <c r="N256" i="16" a="1"/>
  <c r="N255" i="16" a="1"/>
  <c r="N254" i="16" a="1"/>
  <c r="N253" i="16" a="1"/>
  <c r="N252" i="16" a="1"/>
  <c r="N251" i="16" a="1"/>
  <c r="N250" i="16" a="1"/>
  <c r="N249" i="16" a="1"/>
  <c r="N248" i="16" a="1"/>
  <c r="N247" i="16" a="1"/>
  <c r="N246" i="16" a="1"/>
  <c r="N245" i="16" a="1"/>
  <c r="N244" i="16" a="1"/>
  <c r="N243" i="16" a="1"/>
  <c r="N242" i="16" a="1"/>
  <c r="N241" i="16" a="1"/>
  <c r="N240" i="16" a="1"/>
  <c r="N239" i="16" a="1"/>
  <c r="N238" i="16" a="1"/>
  <c r="N237" i="16" a="1"/>
  <c r="N236" i="16" a="1"/>
  <c r="N235" i="16" a="1"/>
  <c r="N234" i="16" a="1"/>
  <c r="N233" i="16" a="1"/>
  <c r="N232" i="16" a="1"/>
  <c r="N231" i="16" a="1"/>
  <c r="N230" i="16" a="1"/>
  <c r="N229" i="16" a="1"/>
  <c r="N228" i="16" a="1"/>
  <c r="N227" i="16" a="1"/>
  <c r="N226" i="16" a="1"/>
  <c r="N225" i="16" a="1"/>
  <c r="N224" i="16" a="1"/>
  <c r="N223" i="16" a="1"/>
  <c r="N222" i="16" a="1"/>
  <c r="N221" i="16" a="1"/>
  <c r="N220" i="16" a="1"/>
  <c r="N219" i="16" a="1"/>
  <c r="N218" i="16" a="1"/>
  <c r="N217" i="16" a="1"/>
  <c r="N216" i="16" a="1"/>
  <c r="N215" i="16" a="1"/>
  <c r="N214" i="16" a="1"/>
  <c r="N213" i="16" a="1"/>
  <c r="N212" i="16" a="1"/>
  <c r="N211" i="16" a="1"/>
  <c r="N210" i="16" a="1"/>
  <c r="N209" i="16" a="1"/>
  <c r="N208" i="16" a="1"/>
  <c r="N207" i="16" a="1"/>
  <c r="N206" i="16" a="1"/>
  <c r="N205" i="16" a="1"/>
  <c r="N204" i="16" a="1"/>
  <c r="N203" i="16" a="1"/>
  <c r="N202" i="16" a="1"/>
  <c r="N201" i="16" a="1"/>
  <c r="N200" i="16" a="1"/>
  <c r="N199" i="16" a="1"/>
  <c r="N198" i="16" a="1"/>
  <c r="N197" i="16" a="1"/>
  <c r="N196" i="16" a="1"/>
  <c r="N195" i="16" a="1"/>
  <c r="N194" i="16" a="1"/>
  <c r="N193" i="16" a="1"/>
  <c r="N192" i="16" a="1"/>
  <c r="N191" i="16" a="1"/>
  <c r="N190" i="16" a="1"/>
  <c r="N189" i="16" a="1"/>
  <c r="N188" i="16" a="1"/>
  <c r="N187" i="16" a="1"/>
  <c r="N186" i="16" a="1"/>
  <c r="N185" i="16" a="1"/>
  <c r="N184" i="16" a="1"/>
  <c r="N183" i="16" a="1"/>
  <c r="N182" i="16" a="1"/>
  <c r="N181" i="16" a="1"/>
  <c r="N180" i="16" a="1"/>
  <c r="N179" i="16" a="1"/>
  <c r="N178" i="16" a="1"/>
  <c r="N177" i="16" a="1"/>
  <c r="N176" i="16" a="1"/>
  <c r="N175" i="16" a="1"/>
  <c r="N174" i="16" a="1"/>
  <c r="N173" i="16" a="1"/>
  <c r="N172" i="16" a="1"/>
  <c r="N171" i="16" a="1"/>
  <c r="N169" i="16" a="1"/>
  <c r="N168" i="16" a="1"/>
  <c r="N167" i="16" a="1"/>
  <c r="N166" i="16" a="1"/>
  <c r="N165" i="16" a="1"/>
  <c r="N164" i="16" a="1"/>
  <c r="N163" i="16" a="1"/>
  <c r="N162" i="16" a="1"/>
  <c r="N161" i="16" a="1"/>
  <c r="N160" i="16" a="1"/>
  <c r="N159" i="16" a="1"/>
  <c r="N158" i="16" a="1"/>
  <c r="N157" i="16" a="1"/>
  <c r="N156" i="16" a="1"/>
  <c r="N155" i="16" a="1"/>
  <c r="N154" i="16" a="1"/>
  <c r="N153" i="16" a="1"/>
  <c r="N152" i="16" a="1"/>
  <c r="N151" i="16" a="1"/>
  <c r="N150" i="16" a="1"/>
  <c r="N149" i="16" a="1"/>
  <c r="N148" i="16" a="1"/>
  <c r="N147" i="16" a="1"/>
  <c r="N146" i="16" a="1"/>
  <c r="N145" i="16" a="1"/>
  <c r="N144" i="16" a="1"/>
  <c r="N143" i="16" a="1"/>
  <c r="N142" i="16" a="1"/>
  <c r="N141" i="16" a="1"/>
  <c r="N140" i="16" a="1"/>
  <c r="N139" i="16" a="1"/>
  <c r="N138" i="16" a="1"/>
  <c r="N137" i="16" a="1"/>
  <c r="N136" i="16" a="1"/>
  <c r="N135" i="16" a="1"/>
  <c r="N134" i="16" a="1"/>
  <c r="N133" i="16" a="1"/>
  <c r="N132" i="16" a="1"/>
  <c r="N131" i="16" a="1"/>
  <c r="N130" i="16" a="1"/>
  <c r="N129" i="16" a="1"/>
  <c r="N128" i="16" a="1"/>
  <c r="N127" i="16" a="1"/>
  <c r="N126" i="16" a="1"/>
  <c r="N125" i="16" a="1"/>
  <c r="N124" i="16" a="1"/>
  <c r="N123" i="16" a="1"/>
  <c r="N122" i="16" a="1"/>
  <c r="N121" i="16" a="1"/>
  <c r="N120" i="16" a="1"/>
  <c r="N119" i="16" a="1"/>
  <c r="N118" i="16" a="1"/>
  <c r="N117" i="16" a="1"/>
  <c r="N116" i="16" a="1"/>
  <c r="N115" i="16" a="1"/>
  <c r="N114" i="16" a="1"/>
  <c r="N113" i="16" a="1"/>
  <c r="N112" i="16" a="1"/>
  <c r="N111" i="16" a="1"/>
  <c r="N110" i="16" a="1"/>
  <c r="N109" i="16" a="1"/>
  <c r="N108" i="16" a="1"/>
  <c r="N107" i="16" a="1"/>
  <c r="N106" i="16" a="1"/>
  <c r="N105" i="16" a="1"/>
  <c r="N104" i="16" a="1"/>
  <c r="N103" i="16" a="1"/>
  <c r="N102" i="16" a="1"/>
  <c r="N101" i="16" a="1"/>
  <c r="N100" i="16" a="1"/>
  <c r="N99" i="16" a="1"/>
  <c r="N98" i="16" a="1"/>
  <c r="N97" i="16" a="1"/>
  <c r="N96" i="16" a="1"/>
  <c r="N95" i="16" a="1"/>
  <c r="N94" i="16" a="1"/>
  <c r="N93" i="16" a="1"/>
  <c r="N92" i="16" a="1"/>
  <c r="N91" i="16" a="1"/>
  <c r="N90" i="16" a="1"/>
  <c r="N89" i="16" a="1"/>
  <c r="N88" i="16" a="1"/>
  <c r="N87" i="16" a="1"/>
  <c r="N86" i="16" a="1"/>
  <c r="N85" i="16" a="1"/>
  <c r="N84" i="16" a="1"/>
  <c r="N83" i="16" a="1"/>
  <c r="N82" i="16" a="1"/>
  <c r="N81" i="16" a="1"/>
  <c r="N80" i="16" a="1"/>
  <c r="N79" i="16" a="1"/>
  <c r="N78" i="16" a="1"/>
  <c r="N77" i="16" a="1"/>
  <c r="N76" i="16" a="1"/>
  <c r="N75" i="16" a="1"/>
  <c r="N74" i="16" a="1"/>
  <c r="N73" i="16" a="1"/>
  <c r="N72" i="16" a="1"/>
  <c r="N71" i="16" a="1"/>
  <c r="N70" i="16" a="1"/>
  <c r="N69" i="16" a="1"/>
  <c r="N68" i="16" a="1"/>
  <c r="N67" i="16" a="1"/>
  <c r="N66" i="16" a="1"/>
  <c r="N65" i="16" a="1"/>
  <c r="N64" i="16" a="1"/>
  <c r="N63" i="16" a="1"/>
  <c r="N62" i="16" a="1"/>
  <c r="N61" i="16" a="1"/>
  <c r="N60" i="16" a="1"/>
  <c r="N59" i="16" a="1"/>
  <c r="N58" i="16" a="1"/>
  <c r="N57" i="16" a="1"/>
  <c r="N56" i="16" a="1"/>
  <c r="N55" i="16" a="1"/>
  <c r="N54" i="16" a="1"/>
  <c r="N53" i="16" a="1"/>
  <c r="N52" i="16" a="1"/>
  <c r="N51" i="16" a="1"/>
  <c r="N50" i="16" a="1"/>
  <c r="N49" i="16" a="1"/>
  <c r="N48" i="16" a="1"/>
  <c r="N47" i="16" a="1"/>
  <c r="N46" i="16" a="1"/>
  <c r="N45" i="16" a="1"/>
  <c r="N44" i="16" a="1"/>
  <c r="N43" i="16" a="1"/>
  <c r="N42" i="16" a="1"/>
  <c r="N41" i="16" a="1"/>
  <c r="N40" i="16" a="1"/>
  <c r="N39" i="16" a="1"/>
  <c r="N38" i="16" a="1"/>
  <c r="N37" i="16" a="1"/>
  <c r="N36" i="16" a="1"/>
  <c r="N35" i="16" a="1"/>
  <c r="N34" i="16" a="1"/>
  <c r="N33" i="16" a="1"/>
  <c r="N32" i="16" a="1"/>
  <c r="N31" i="16" a="1"/>
  <c r="N30" i="16" a="1"/>
  <c r="N29" i="16" a="1"/>
  <c r="N28" i="16" a="1"/>
  <c r="N27" i="16" a="1"/>
  <c r="N26" i="16" a="1"/>
  <c r="N25" i="16" a="1"/>
  <c r="N24" i="16" a="1"/>
  <c r="N23" i="16" a="1"/>
  <c r="N22" i="16" a="1"/>
  <c r="N21" i="16" a="1"/>
  <c r="N20" i="16" a="1"/>
  <c r="N19" i="16" a="1"/>
  <c r="N18" i="16" a="1"/>
  <c r="N17" i="16" a="1"/>
  <c r="N16" i="16" a="1"/>
  <c r="N15" i="16" a="1"/>
  <c r="N14" i="16" a="1"/>
  <c r="N13" i="16" a="1"/>
  <c r="N11" i="16" a="1"/>
  <c r="N10" i="16" a="1"/>
  <c r="N9" i="16" a="1"/>
  <c r="N8" i="16" a="1"/>
  <c r="N7" i="16" a="1"/>
  <c r="N6" i="16" a="1"/>
  <c r="N5" i="16" a="1"/>
  <c r="J8" i="22" l="1"/>
  <c r="A6" i="22"/>
  <c r="A53" i="22" s="1"/>
  <c r="I76" i="2"/>
  <c r="U13" i="4"/>
  <c r="U11" i="4"/>
  <c r="U7" i="4"/>
  <c r="W19" i="19"/>
  <c r="W18" i="19"/>
  <c r="M721" i="9"/>
  <c r="I230" i="2"/>
  <c r="M196" i="2"/>
  <c r="I227" i="2"/>
  <c r="M815" i="9"/>
  <c r="I228" i="2"/>
  <c r="M783" i="9"/>
  <c r="I223" i="2"/>
  <c r="I173" i="2"/>
  <c r="M173" i="2" s="1"/>
  <c r="I217" i="2"/>
  <c r="W2" i="19"/>
  <c r="I216" i="2"/>
  <c r="M823" i="9"/>
  <c r="I226" i="2"/>
  <c r="W27" i="19"/>
  <c r="I219" i="2"/>
  <c r="M219" i="2" s="1"/>
  <c r="M834" i="9"/>
  <c r="I229" i="2"/>
  <c r="M866" i="9"/>
  <c r="I222" i="2"/>
  <c r="I165" i="2"/>
  <c r="M165" i="2" s="1"/>
  <c r="I231" i="2"/>
  <c r="W17" i="19"/>
  <c r="M179" i="2"/>
  <c r="M215" i="2" s="1"/>
  <c r="W29" i="19"/>
  <c r="M730" i="9"/>
  <c r="W22" i="19"/>
  <c r="M857" i="9"/>
  <c r="W32" i="19"/>
  <c r="I159" i="2"/>
  <c r="M159" i="2" s="1"/>
  <c r="W36" i="19"/>
  <c r="M713" i="9"/>
  <c r="W28" i="19"/>
  <c r="M790" i="9"/>
  <c r="W51" i="19"/>
  <c r="W35" i="19"/>
  <c r="M191" i="2"/>
  <c r="M738" i="9"/>
  <c r="M860" i="9"/>
  <c r="M724" i="9"/>
  <c r="M855" i="9"/>
  <c r="M745" i="9"/>
  <c r="M206" i="2"/>
  <c r="M207" i="2"/>
  <c r="M727" i="9"/>
  <c r="M859" i="9"/>
  <c r="M726" i="9"/>
  <c r="M844" i="9"/>
  <c r="M732" i="9"/>
  <c r="M837" i="9"/>
  <c r="M871" i="9"/>
  <c r="I158" i="2"/>
  <c r="M782" i="9"/>
  <c r="I160" i="2"/>
  <c r="M160" i="2" s="1"/>
  <c r="M185" i="2"/>
  <c r="I163" i="2"/>
  <c r="M163" i="2" s="1"/>
  <c r="M193" i="2"/>
  <c r="BV29" i="5"/>
  <c r="Q146" i="19"/>
  <c r="J14" i="22" l="1"/>
  <c r="J9" i="22"/>
  <c r="I280" i="2"/>
  <c r="M884" i="9"/>
  <c r="I177" i="2"/>
  <c r="M118" i="13"/>
  <c r="M128" i="13" s="1"/>
  <c r="M216" i="2"/>
  <c r="M158" i="2"/>
  <c r="M177" i="2" s="1"/>
  <c r="M324" i="11"/>
  <c r="M115" i="13"/>
  <c r="M705" i="9"/>
  <c r="E126" i="11"/>
  <c r="E125" i="11"/>
  <c r="D126" i="11"/>
  <c r="D125" i="11"/>
  <c r="E115" i="11"/>
  <c r="E123" i="11"/>
  <c r="D15" i="14"/>
  <c r="D7" i="14"/>
  <c r="D6" i="14"/>
  <c r="E6" i="14"/>
  <c r="E107" i="11"/>
  <c r="E117" i="11"/>
  <c r="D110" i="11"/>
  <c r="E110" i="11"/>
  <c r="E9" i="14"/>
  <c r="D114" i="11"/>
  <c r="D2" i="14"/>
  <c r="E7" i="14"/>
  <c r="D108" i="11"/>
  <c r="D116" i="11"/>
  <c r="D124" i="11"/>
  <c r="E14" i="14"/>
  <c r="D14" i="14"/>
  <c r="D117" i="11"/>
  <c r="E109" i="11"/>
  <c r="D13" i="14"/>
  <c r="E12" i="14"/>
  <c r="D12" i="14"/>
  <c r="D3" i="14"/>
  <c r="E114" i="11"/>
  <c r="E15" i="14"/>
  <c r="E108" i="11"/>
  <c r="E116" i="11"/>
  <c r="E124" i="11"/>
  <c r="D109" i="11"/>
  <c r="E13" i="14"/>
  <c r="D107" i="11"/>
  <c r="D118" i="11"/>
  <c r="E118" i="11"/>
  <c r="E121" i="11"/>
  <c r="E8" i="14"/>
  <c r="D115" i="11"/>
  <c r="D111" i="11"/>
  <c r="D119" i="11"/>
  <c r="E11" i="14"/>
  <c r="E111" i="11"/>
  <c r="E119" i="11"/>
  <c r="D11" i="14"/>
  <c r="D112" i="11"/>
  <c r="D120" i="11"/>
  <c r="E4" i="14"/>
  <c r="E10" i="14"/>
  <c r="E112" i="11"/>
  <c r="E120" i="11"/>
  <c r="D4" i="14"/>
  <c r="D10" i="14"/>
  <c r="D113" i="11"/>
  <c r="D121" i="11"/>
  <c r="E3" i="14"/>
  <c r="E113" i="11"/>
  <c r="D9" i="14"/>
  <c r="D122" i="11"/>
  <c r="E2" i="14"/>
  <c r="E122" i="11"/>
  <c r="D8" i="14"/>
  <c r="D123" i="11"/>
  <c r="D43" i="13"/>
  <c r="D35" i="13"/>
  <c r="D27" i="13"/>
  <c r="D19" i="13"/>
  <c r="D11" i="13"/>
  <c r="D3" i="13"/>
  <c r="E242" i="9"/>
  <c r="E234" i="9"/>
  <c r="E226" i="9"/>
  <c r="E218" i="9"/>
  <c r="E210" i="9"/>
  <c r="E202" i="9"/>
  <c r="E61" i="2"/>
  <c r="D25" i="13"/>
  <c r="E240" i="9"/>
  <c r="E208" i="9"/>
  <c r="E32" i="13"/>
  <c r="D240" i="9"/>
  <c r="D208" i="9"/>
  <c r="D40" i="13"/>
  <c r="D8" i="13"/>
  <c r="E215" i="9"/>
  <c r="E39" i="13"/>
  <c r="D239" i="9"/>
  <c r="D207" i="9"/>
  <c r="D23" i="13"/>
  <c r="E244" i="9"/>
  <c r="E214" i="9"/>
  <c r="E46" i="13"/>
  <c r="E22" i="13"/>
  <c r="D238" i="9"/>
  <c r="D206" i="9"/>
  <c r="D38" i="13"/>
  <c r="D6" i="13"/>
  <c r="E213" i="9"/>
  <c r="E45" i="13"/>
  <c r="E13" i="13"/>
  <c r="D221" i="9"/>
  <c r="D197" i="9"/>
  <c r="D29" i="13"/>
  <c r="E236" i="9"/>
  <c r="E204" i="9"/>
  <c r="E44" i="13"/>
  <c r="E20" i="13"/>
  <c r="D228" i="9"/>
  <c r="D196" i="9"/>
  <c r="D28" i="13"/>
  <c r="E243" i="9"/>
  <c r="E211" i="9"/>
  <c r="D59" i="2"/>
  <c r="E27" i="13"/>
  <c r="D243" i="9"/>
  <c r="D211" i="9"/>
  <c r="E42" i="13"/>
  <c r="E34" i="13"/>
  <c r="E26" i="13"/>
  <c r="E18" i="13"/>
  <c r="E10" i="13"/>
  <c r="D242" i="9"/>
  <c r="D234" i="9"/>
  <c r="D226" i="9"/>
  <c r="D218" i="9"/>
  <c r="D210" i="9"/>
  <c r="D202" i="9"/>
  <c r="E62" i="2"/>
  <c r="D17" i="13"/>
  <c r="E224" i="9"/>
  <c r="E65" i="2"/>
  <c r="E16" i="13"/>
  <c r="D224" i="9"/>
  <c r="D32" i="13"/>
  <c r="E239" i="9"/>
  <c r="E207" i="9"/>
  <c r="E23" i="13"/>
  <c r="D223" i="9"/>
  <c r="D66" i="2"/>
  <c r="D7" i="13"/>
  <c r="E222" i="9"/>
  <c r="D65" i="2"/>
  <c r="E14" i="13"/>
  <c r="D230" i="9"/>
  <c r="D198" i="9"/>
  <c r="D30" i="13"/>
  <c r="E237" i="9"/>
  <c r="E205" i="9"/>
  <c r="E37" i="13"/>
  <c r="D237" i="9"/>
  <c r="D205" i="9"/>
  <c r="D37" i="13"/>
  <c r="D5" i="13"/>
  <c r="E212" i="9"/>
  <c r="D236" i="9"/>
  <c r="D204" i="9"/>
  <c r="D36" i="13"/>
  <c r="D4" i="13"/>
  <c r="E219" i="9"/>
  <c r="E43" i="13"/>
  <c r="E11" i="13"/>
  <c r="D227" i="9"/>
  <c r="E60" i="2"/>
  <c r="D42" i="13"/>
  <c r="D34" i="13"/>
  <c r="D26" i="13"/>
  <c r="D18" i="13"/>
  <c r="D10" i="13"/>
  <c r="E241" i="9"/>
  <c r="E233" i="9"/>
  <c r="E225" i="9"/>
  <c r="E217" i="9"/>
  <c r="E209" i="9"/>
  <c r="E201" i="9"/>
  <c r="E63" i="2"/>
  <c r="D41" i="13"/>
  <c r="D9" i="13"/>
  <c r="E216" i="9"/>
  <c r="E40" i="13"/>
  <c r="E8" i="13"/>
  <c r="D216" i="9"/>
  <c r="E66" i="2"/>
  <c r="D24" i="13"/>
  <c r="E231" i="9"/>
  <c r="E199" i="9"/>
  <c r="E15" i="13"/>
  <c r="D231" i="9"/>
  <c r="D199" i="9"/>
  <c r="D15" i="13"/>
  <c r="E230" i="9"/>
  <c r="E198" i="9"/>
  <c r="E30" i="13"/>
  <c r="D244" i="9"/>
  <c r="D214" i="9"/>
  <c r="D64" i="2"/>
  <c r="D22" i="13"/>
  <c r="E229" i="9"/>
  <c r="E197" i="9"/>
  <c r="E29" i="13"/>
  <c r="E5" i="13"/>
  <c r="D213" i="9"/>
  <c r="D45" i="13"/>
  <c r="D13" i="13"/>
  <c r="E220" i="9"/>
  <c r="D61" i="2"/>
  <c r="E28" i="13"/>
  <c r="E4" i="13"/>
  <c r="D220" i="9"/>
  <c r="D60" i="2"/>
  <c r="D20" i="13"/>
  <c r="E235" i="9"/>
  <c r="E203" i="9"/>
  <c r="E35" i="13"/>
  <c r="E3" i="13"/>
  <c r="D219" i="9"/>
  <c r="D58" i="2"/>
  <c r="E41" i="13"/>
  <c r="E33" i="13"/>
  <c r="E25" i="13"/>
  <c r="E17" i="13"/>
  <c r="E9" i="13"/>
  <c r="D241" i="9"/>
  <c r="D233" i="9"/>
  <c r="D225" i="9"/>
  <c r="D217" i="9"/>
  <c r="D209" i="9"/>
  <c r="D201" i="9"/>
  <c r="E64" i="2"/>
  <c r="D33" i="13"/>
  <c r="E232" i="9"/>
  <c r="E200" i="9"/>
  <c r="E24" i="13"/>
  <c r="D232" i="9"/>
  <c r="D200" i="9"/>
  <c r="D16" i="13"/>
  <c r="E223" i="9"/>
  <c r="E58" i="2"/>
  <c r="E7" i="13"/>
  <c r="D215" i="9"/>
  <c r="D39" i="13"/>
  <c r="E238" i="9"/>
  <c r="E206" i="9"/>
  <c r="E38" i="13"/>
  <c r="E6" i="13"/>
  <c r="D222" i="9"/>
  <c r="D46" i="13"/>
  <c r="D14" i="13"/>
  <c r="E221" i="9"/>
  <c r="D63" i="2"/>
  <c r="E21" i="13"/>
  <c r="D229" i="9"/>
  <c r="D62" i="2"/>
  <c r="D21" i="13"/>
  <c r="E228" i="9"/>
  <c r="E196" i="9"/>
  <c r="E36" i="13"/>
  <c r="E12" i="13"/>
  <c r="D212" i="9"/>
  <c r="D44" i="13"/>
  <c r="D12" i="13"/>
  <c r="E227" i="9"/>
  <c r="E59" i="2"/>
  <c r="E19" i="13"/>
  <c r="D235" i="9"/>
  <c r="D203" i="9"/>
  <c r="J15" i="22" l="1"/>
  <c r="E17" i="14"/>
  <c r="E5" i="14"/>
  <c r="E35" i="14" s="1"/>
  <c r="E127" i="11"/>
  <c r="E222" i="11" s="1"/>
  <c r="E47" i="13"/>
  <c r="E31" i="13"/>
  <c r="E245" i="9"/>
  <c r="E67" i="2"/>
  <c r="E76" i="13" l="1"/>
  <c r="W16" i="19"/>
  <c r="W15" i="19"/>
  <c r="M156" i="2"/>
  <c r="W13" i="19"/>
  <c r="W12" i="19"/>
  <c r="AF384" i="16"/>
  <c r="M384" i="16" s="1"/>
  <c r="AF383" i="16"/>
  <c r="M383" i="16" s="1"/>
  <c r="AF382" i="16"/>
  <c r="M382" i="16" s="1"/>
  <c r="AF381" i="16"/>
  <c r="M381" i="16" s="1"/>
  <c r="AF380" i="16"/>
  <c r="M380" i="16" s="1"/>
  <c r="AF379" i="16"/>
  <c r="M379" i="16" s="1"/>
  <c r="L378" i="16"/>
  <c r="K378" i="16"/>
  <c r="AF377" i="16"/>
  <c r="M377" i="16" s="1"/>
  <c r="AF376" i="16"/>
  <c r="M376" i="16" s="1"/>
  <c r="AF375" i="16"/>
  <c r="M375" i="16" s="1"/>
  <c r="AF374" i="16"/>
  <c r="M374" i="16" s="1"/>
  <c r="AF373" i="16"/>
  <c r="M373" i="16" s="1"/>
  <c r="AF372" i="16"/>
  <c r="M372" i="16" s="1"/>
  <c r="AF371" i="16"/>
  <c r="M371" i="16" s="1"/>
  <c r="AF370" i="16"/>
  <c r="M370" i="16" s="1"/>
  <c r="L370" i="16"/>
  <c r="AF369" i="16"/>
  <c r="M369" i="16" s="1"/>
  <c r="K369" i="16"/>
  <c r="AF368" i="16"/>
  <c r="M368" i="16" s="1"/>
  <c r="L368" i="16"/>
  <c r="AF367" i="16"/>
  <c r="M367" i="16" s="1"/>
  <c r="AF366" i="16"/>
  <c r="M366" i="16" s="1"/>
  <c r="AF365" i="16"/>
  <c r="M365" i="16" s="1"/>
  <c r="K365" i="16"/>
  <c r="AF364" i="16"/>
  <c r="M364" i="16" s="1"/>
  <c r="AF363" i="16"/>
  <c r="M363" i="16" s="1"/>
  <c r="AF362" i="16"/>
  <c r="M362" i="16" s="1"/>
  <c r="AF361" i="16"/>
  <c r="M361" i="16" s="1"/>
  <c r="AF360" i="16"/>
  <c r="M360" i="16" s="1"/>
  <c r="K360" i="16"/>
  <c r="AF359" i="16"/>
  <c r="M359" i="16" s="1"/>
  <c r="AF358" i="16"/>
  <c r="M358" i="16" s="1"/>
  <c r="AF357" i="16"/>
  <c r="M357" i="16" s="1"/>
  <c r="AF356" i="16"/>
  <c r="M356" i="16" s="1"/>
  <c r="AF355" i="16"/>
  <c r="M355" i="16" s="1"/>
  <c r="AF354" i="16"/>
  <c r="M354" i="16" s="1"/>
  <c r="AF353" i="16"/>
  <c r="M353" i="16" s="1"/>
  <c r="AF352" i="16"/>
  <c r="M352" i="16" s="1"/>
  <c r="AF351" i="16"/>
  <c r="M351" i="16" s="1"/>
  <c r="AF350" i="16"/>
  <c r="M350" i="16" s="1"/>
  <c r="AF349" i="16"/>
  <c r="M349" i="16" s="1"/>
  <c r="AF348" i="16"/>
  <c r="M348" i="16" s="1"/>
  <c r="AF347" i="16"/>
  <c r="M347" i="16" s="1"/>
  <c r="AF346" i="16"/>
  <c r="M346" i="16" s="1"/>
  <c r="AF345" i="16"/>
  <c r="M345" i="16" s="1"/>
  <c r="AF344" i="16"/>
  <c r="M344" i="16" s="1"/>
  <c r="AF343" i="16"/>
  <c r="M343" i="16" s="1"/>
  <c r="AF342" i="16"/>
  <c r="M342" i="16" s="1"/>
  <c r="AF341" i="16"/>
  <c r="M341" i="16" s="1"/>
  <c r="AF340" i="16"/>
  <c r="M340" i="16" s="1"/>
  <c r="AF339" i="16"/>
  <c r="M339" i="16" s="1"/>
  <c r="AF338" i="16"/>
  <c r="M338" i="16" s="1"/>
  <c r="AF337" i="16"/>
  <c r="M337" i="16" s="1"/>
  <c r="AF336" i="16"/>
  <c r="M336" i="16" s="1"/>
  <c r="AF335" i="16"/>
  <c r="M335" i="16" s="1"/>
  <c r="AF334" i="16"/>
  <c r="M334" i="16" s="1"/>
  <c r="AF333" i="16"/>
  <c r="M333" i="16" s="1"/>
  <c r="AF332" i="16"/>
  <c r="M332" i="16" s="1"/>
  <c r="AF331" i="16"/>
  <c r="M331" i="16" s="1"/>
  <c r="AF330" i="16"/>
  <c r="M330" i="16" s="1"/>
  <c r="AF329" i="16"/>
  <c r="M329" i="16" s="1"/>
  <c r="AF328" i="16"/>
  <c r="M328" i="16" s="1"/>
  <c r="AF327" i="16"/>
  <c r="M327" i="16" s="1"/>
  <c r="AF326" i="16"/>
  <c r="M326" i="16" s="1"/>
  <c r="AF325" i="16"/>
  <c r="M325" i="16" s="1"/>
  <c r="AF324" i="16"/>
  <c r="M324" i="16" s="1"/>
  <c r="AF323" i="16"/>
  <c r="M323" i="16" s="1"/>
  <c r="AF322" i="16"/>
  <c r="M322" i="16" s="1"/>
  <c r="AF321" i="16"/>
  <c r="M321" i="16" s="1"/>
  <c r="AF320" i="16"/>
  <c r="M320" i="16" s="1"/>
  <c r="AF319" i="16"/>
  <c r="M319" i="16" s="1"/>
  <c r="AF318" i="16"/>
  <c r="M318" i="16" s="1"/>
  <c r="AF317" i="16"/>
  <c r="M317" i="16" s="1"/>
  <c r="AF316" i="16"/>
  <c r="M316" i="16" s="1"/>
  <c r="AF315" i="16"/>
  <c r="M315" i="16" s="1"/>
  <c r="AF314" i="16"/>
  <c r="M314" i="16" s="1"/>
  <c r="AF313" i="16"/>
  <c r="M313" i="16" s="1"/>
  <c r="AF312" i="16"/>
  <c r="M312" i="16" s="1"/>
  <c r="AF311" i="16"/>
  <c r="M311" i="16" s="1"/>
  <c r="AF310" i="16"/>
  <c r="M310" i="16" s="1"/>
  <c r="AF309" i="16"/>
  <c r="M309" i="16" s="1"/>
  <c r="AF308" i="16"/>
  <c r="M308" i="16" s="1"/>
  <c r="AF307" i="16"/>
  <c r="M307" i="16" s="1"/>
  <c r="AF306" i="16"/>
  <c r="M306" i="16" s="1"/>
  <c r="AF305" i="16"/>
  <c r="M305" i="16" s="1"/>
  <c r="AF304" i="16"/>
  <c r="M304" i="16" s="1"/>
  <c r="AF303" i="16"/>
  <c r="M303" i="16" s="1"/>
  <c r="AF302" i="16"/>
  <c r="M302" i="16" s="1"/>
  <c r="AF301" i="16"/>
  <c r="M301" i="16" s="1"/>
  <c r="AF300" i="16"/>
  <c r="M300" i="16" s="1"/>
  <c r="AF299" i="16"/>
  <c r="M299" i="16" s="1"/>
  <c r="AF298" i="16"/>
  <c r="M298" i="16" s="1"/>
  <c r="AF297" i="16"/>
  <c r="M297" i="16" s="1"/>
  <c r="AF296" i="16"/>
  <c r="M296" i="16" s="1"/>
  <c r="AF295" i="16"/>
  <c r="M295" i="16" s="1"/>
  <c r="AF294" i="16"/>
  <c r="M294" i="16" s="1"/>
  <c r="AF293" i="16"/>
  <c r="M293" i="16" s="1"/>
  <c r="AF292" i="16"/>
  <c r="M292" i="16" s="1"/>
  <c r="AF291" i="16"/>
  <c r="M291" i="16" s="1"/>
  <c r="AF290" i="16"/>
  <c r="M290" i="16" s="1"/>
  <c r="AF289" i="16"/>
  <c r="M289" i="16" s="1"/>
  <c r="AF288" i="16"/>
  <c r="M288" i="16" s="1"/>
  <c r="AF287" i="16"/>
  <c r="M287" i="16" s="1"/>
  <c r="AF286" i="16"/>
  <c r="M286" i="16" s="1"/>
  <c r="AF285" i="16"/>
  <c r="M285" i="16" s="1"/>
  <c r="AF284" i="16"/>
  <c r="M284" i="16" s="1"/>
  <c r="AF283" i="16"/>
  <c r="M283" i="16" s="1"/>
  <c r="AF282" i="16"/>
  <c r="M282" i="16" s="1"/>
  <c r="K282" i="16"/>
  <c r="AF281" i="16"/>
  <c r="M281" i="16" s="1"/>
  <c r="AF280" i="16"/>
  <c r="M280" i="16" s="1"/>
  <c r="AF279" i="16"/>
  <c r="M279" i="16" s="1"/>
  <c r="AF278" i="16"/>
  <c r="M278" i="16" s="1"/>
  <c r="AF277" i="16"/>
  <c r="M277" i="16" s="1"/>
  <c r="AF276" i="16"/>
  <c r="M276" i="16" s="1"/>
  <c r="AF275" i="16"/>
  <c r="M275" i="16" s="1"/>
  <c r="AF274" i="16"/>
  <c r="M274" i="16" s="1"/>
  <c r="AF273" i="16"/>
  <c r="M273" i="16" s="1"/>
  <c r="AF272" i="16"/>
  <c r="M272" i="16" s="1"/>
  <c r="AF271" i="16"/>
  <c r="M271" i="16" s="1"/>
  <c r="AF270" i="16"/>
  <c r="M270" i="16" s="1"/>
  <c r="AF269" i="16"/>
  <c r="M269" i="16" s="1"/>
  <c r="AF268" i="16"/>
  <c r="M268" i="16" s="1"/>
  <c r="AF267" i="16"/>
  <c r="M267" i="16" s="1"/>
  <c r="AF266" i="16"/>
  <c r="M266" i="16" s="1"/>
  <c r="AF265" i="16"/>
  <c r="M265" i="16" s="1"/>
  <c r="AF264" i="16"/>
  <c r="M264" i="16" s="1"/>
  <c r="AF263" i="16"/>
  <c r="M263" i="16" s="1"/>
  <c r="AF262" i="16"/>
  <c r="M262" i="16" s="1"/>
  <c r="AF261" i="16"/>
  <c r="M261" i="16" s="1"/>
  <c r="AF260" i="16"/>
  <c r="M260" i="16" s="1"/>
  <c r="AF259" i="16"/>
  <c r="M259" i="16" s="1"/>
  <c r="AF258" i="16"/>
  <c r="M258" i="16" s="1"/>
  <c r="AF257" i="16"/>
  <c r="M257" i="16" s="1"/>
  <c r="AF256" i="16"/>
  <c r="M256" i="16" s="1"/>
  <c r="W10" i="19"/>
  <c r="AF255" i="16"/>
  <c r="M255" i="16" s="1"/>
  <c r="AF254" i="16"/>
  <c r="M254" i="16" s="1"/>
  <c r="AF253" i="16"/>
  <c r="M253" i="16" s="1"/>
  <c r="K252" i="16"/>
  <c r="AF251" i="16"/>
  <c r="M251" i="16" s="1"/>
  <c r="AF250" i="16"/>
  <c r="M250" i="16" s="1"/>
  <c r="AF249" i="16"/>
  <c r="M249" i="16" s="1"/>
  <c r="AF248" i="16"/>
  <c r="M248" i="16" s="1"/>
  <c r="K248" i="16"/>
  <c r="AF247" i="16"/>
  <c r="M247" i="16" s="1"/>
  <c r="AF246" i="16"/>
  <c r="M246" i="16" s="1"/>
  <c r="AF245" i="16"/>
  <c r="M245" i="16" s="1"/>
  <c r="AF244" i="16"/>
  <c r="M244" i="16" s="1"/>
  <c r="AF243" i="16"/>
  <c r="M243" i="16" s="1"/>
  <c r="AF242" i="16"/>
  <c r="M242" i="16" s="1"/>
  <c r="AF241" i="16"/>
  <c r="M241" i="16" s="1"/>
  <c r="AF240" i="16"/>
  <c r="M240" i="16" s="1"/>
  <c r="AF239" i="16"/>
  <c r="M239" i="16" s="1"/>
  <c r="AF238" i="16"/>
  <c r="M238" i="16" s="1"/>
  <c r="AF237" i="16"/>
  <c r="M237" i="16" s="1"/>
  <c r="AF236" i="16"/>
  <c r="M236" i="16" s="1"/>
  <c r="L235" i="16"/>
  <c r="K235" i="16"/>
  <c r="AF234" i="16"/>
  <c r="M234" i="16" s="1"/>
  <c r="AF233" i="16"/>
  <c r="M233" i="16" s="1"/>
  <c r="AF232" i="16"/>
  <c r="M232" i="16" s="1"/>
  <c r="AF231" i="16"/>
  <c r="M231" i="16" s="1"/>
  <c r="AF230" i="16"/>
  <c r="M230" i="16" s="1"/>
  <c r="AF229" i="16"/>
  <c r="M229" i="16" s="1"/>
  <c r="AF228" i="16"/>
  <c r="M228" i="16" s="1"/>
  <c r="K228" i="16"/>
  <c r="AF227" i="16"/>
  <c r="M227" i="16" s="1"/>
  <c r="AF226" i="16"/>
  <c r="M226" i="16" s="1"/>
  <c r="AF225" i="16"/>
  <c r="M225" i="16" s="1"/>
  <c r="W7" i="19"/>
  <c r="AF224" i="16"/>
  <c r="M224" i="16" s="1"/>
  <c r="AF223" i="16"/>
  <c r="M223" i="16" s="1"/>
  <c r="AF222" i="16"/>
  <c r="M222" i="16" s="1"/>
  <c r="AF221" i="16"/>
  <c r="M221" i="16" s="1"/>
  <c r="AF220" i="16"/>
  <c r="M220" i="16" s="1"/>
  <c r="AF219" i="16"/>
  <c r="M219" i="16" s="1"/>
  <c r="AF218" i="16"/>
  <c r="M218" i="16" s="1"/>
  <c r="AF217" i="16"/>
  <c r="M217" i="16" s="1"/>
  <c r="AF216" i="16"/>
  <c r="M216" i="16" s="1"/>
  <c r="AF215" i="16"/>
  <c r="M215" i="16" s="1"/>
  <c r="AF214" i="16"/>
  <c r="M214" i="16" s="1"/>
  <c r="AF213" i="16"/>
  <c r="M213" i="16" s="1"/>
  <c r="AF212" i="16"/>
  <c r="M212" i="16" s="1"/>
  <c r="AF211" i="16"/>
  <c r="M211" i="16" s="1"/>
  <c r="AF210" i="16"/>
  <c r="M210" i="16" s="1"/>
  <c r="AF209" i="16"/>
  <c r="M209" i="16" s="1"/>
  <c r="AF208" i="16"/>
  <c r="M208" i="16" s="1"/>
  <c r="AF207" i="16"/>
  <c r="M207" i="16" s="1"/>
  <c r="W87" i="19"/>
  <c r="AF206" i="16"/>
  <c r="M206" i="16" s="1"/>
  <c r="AF205" i="16"/>
  <c r="M205" i="16" s="1"/>
  <c r="AF204" i="16"/>
  <c r="M204" i="16" s="1"/>
  <c r="W6" i="19"/>
  <c r="AF203" i="16"/>
  <c r="M203" i="16" s="1"/>
  <c r="AF202" i="16"/>
  <c r="M202" i="16" s="1"/>
  <c r="AF201" i="16"/>
  <c r="M201" i="16" s="1"/>
  <c r="AF200" i="16"/>
  <c r="M200" i="16" s="1"/>
  <c r="AF199" i="16"/>
  <c r="M199" i="16" s="1"/>
  <c r="AF198" i="16"/>
  <c r="M198" i="16" s="1"/>
  <c r="AF197" i="16"/>
  <c r="M197" i="16" s="1"/>
  <c r="AF196" i="16"/>
  <c r="M196" i="16" s="1"/>
  <c r="AF195" i="16"/>
  <c r="M195" i="16" s="1"/>
  <c r="W89" i="19"/>
  <c r="AF194" i="16"/>
  <c r="M194" i="16" s="1"/>
  <c r="W80" i="19"/>
  <c r="AF193" i="16"/>
  <c r="M193" i="16" s="1"/>
  <c r="K192" i="16"/>
  <c r="AF191" i="16"/>
  <c r="M191" i="16" s="1"/>
  <c r="AF190" i="16"/>
  <c r="M190" i="16" s="1"/>
  <c r="AF189" i="16"/>
  <c r="M189" i="16" s="1"/>
  <c r="AF188" i="16"/>
  <c r="M188" i="16" s="1"/>
  <c r="AF187" i="16"/>
  <c r="M187" i="16" s="1"/>
  <c r="AF186" i="16"/>
  <c r="M186" i="16" s="1"/>
  <c r="AF185" i="16"/>
  <c r="M185" i="16" s="1"/>
  <c r="AF184" i="16"/>
  <c r="M184" i="16" s="1"/>
  <c r="AF183" i="16"/>
  <c r="M183" i="16" s="1"/>
  <c r="AF182" i="16"/>
  <c r="M182" i="16" s="1"/>
  <c r="AF181" i="16"/>
  <c r="M181" i="16" s="1"/>
  <c r="AF180" i="16"/>
  <c r="M180" i="16" s="1"/>
  <c r="K180" i="16"/>
  <c r="AF179" i="16"/>
  <c r="M179" i="16" s="1"/>
  <c r="AF178" i="16"/>
  <c r="M178" i="16" s="1"/>
  <c r="L178" i="16"/>
  <c r="K178" i="16"/>
  <c r="AF177" i="16"/>
  <c r="M177" i="16" s="1"/>
  <c r="W86" i="19"/>
  <c r="AF176" i="16"/>
  <c r="M176" i="16" s="1"/>
  <c r="AF175" i="16"/>
  <c r="M175" i="16" s="1"/>
  <c r="AF174" i="16"/>
  <c r="M174" i="16" s="1"/>
  <c r="AF173" i="16"/>
  <c r="M173" i="16" s="1"/>
  <c r="AF172" i="16"/>
  <c r="M172" i="16" s="1"/>
  <c r="AF171" i="16"/>
  <c r="M171" i="16" s="1"/>
  <c r="W93" i="19"/>
  <c r="AF170" i="16"/>
  <c r="M170" i="16" s="1"/>
  <c r="W90" i="19"/>
  <c r="AF169" i="16"/>
  <c r="M169" i="16" s="1"/>
  <c r="AF168" i="16"/>
  <c r="M168" i="16" s="1"/>
  <c r="AF167" i="16"/>
  <c r="M167" i="16" s="1"/>
  <c r="AF166" i="16"/>
  <c r="M166" i="16" s="1"/>
  <c r="AF165" i="16"/>
  <c r="M165" i="16" s="1"/>
  <c r="K165" i="16"/>
  <c r="AF164" i="16"/>
  <c r="M164" i="16" s="1"/>
  <c r="AF163" i="16"/>
  <c r="M163" i="16" s="1"/>
  <c r="AF162" i="16"/>
  <c r="M162" i="16" s="1"/>
  <c r="W94" i="19"/>
  <c r="AF161" i="16"/>
  <c r="M161" i="16" s="1"/>
  <c r="W81" i="19"/>
  <c r="AF160" i="16"/>
  <c r="M160" i="16" s="1"/>
  <c r="W5" i="19"/>
  <c r="AF159" i="16"/>
  <c r="M159" i="16" s="1"/>
  <c r="AF158" i="16"/>
  <c r="M158" i="16" s="1"/>
  <c r="AF157" i="16"/>
  <c r="M157" i="16" s="1"/>
  <c r="W91" i="19"/>
  <c r="AF156" i="16"/>
  <c r="M156" i="16" s="1"/>
  <c r="AF155" i="16"/>
  <c r="M155" i="16" s="1"/>
  <c r="AF154" i="16"/>
  <c r="M154" i="16" s="1"/>
  <c r="W75" i="19"/>
  <c r="AF153" i="16"/>
  <c r="M153" i="16" s="1"/>
  <c r="AF152" i="16"/>
  <c r="M152" i="16" s="1"/>
  <c r="K151" i="16"/>
  <c r="AF150" i="16"/>
  <c r="M150" i="16" s="1"/>
  <c r="K150" i="16"/>
  <c r="AF149" i="16"/>
  <c r="M149" i="16" s="1"/>
  <c r="L149" i="16"/>
  <c r="K149" i="16"/>
  <c r="K148" i="16"/>
  <c r="AF145" i="16"/>
  <c r="M145" i="16" s="1"/>
  <c r="W78" i="19"/>
  <c r="AF143" i="16"/>
  <c r="M143" i="16" s="1"/>
  <c r="AF142" i="16"/>
  <c r="M142" i="16" s="1"/>
  <c r="AF141" i="16"/>
  <c r="M141" i="16" s="1"/>
  <c r="AF140" i="16"/>
  <c r="M140" i="16" s="1"/>
  <c r="AF139" i="16"/>
  <c r="M139" i="16" s="1"/>
  <c r="W74" i="19"/>
  <c r="AF138" i="16"/>
  <c r="M138" i="16" s="1"/>
  <c r="AF137" i="16"/>
  <c r="M137" i="16" s="1"/>
  <c r="AF136" i="16"/>
  <c r="M136" i="16" s="1"/>
  <c r="W48" i="19"/>
  <c r="AF135" i="16"/>
  <c r="M135" i="16" s="1"/>
  <c r="W88" i="19"/>
  <c r="AF134" i="16"/>
  <c r="M134" i="16" s="1"/>
  <c r="W84" i="19"/>
  <c r="AF133" i="16"/>
  <c r="M133" i="16" s="1"/>
  <c r="W73" i="19"/>
  <c r="AF132" i="16"/>
  <c r="M132" i="16" s="1"/>
  <c r="AF131" i="16"/>
  <c r="M131" i="16" s="1"/>
  <c r="AF130" i="16"/>
  <c r="M130" i="16" s="1"/>
  <c r="W67" i="19"/>
  <c r="AF129" i="16"/>
  <c r="M129" i="16" s="1"/>
  <c r="AF128" i="16"/>
  <c r="M128" i="16" s="1"/>
  <c r="W77" i="19"/>
  <c r="AF127" i="16"/>
  <c r="M127" i="16" s="1"/>
  <c r="W72" i="19"/>
  <c r="AF126" i="16"/>
  <c r="M126" i="16" s="1"/>
  <c r="L125" i="16"/>
  <c r="K125" i="16"/>
  <c r="AF124" i="16"/>
  <c r="M124" i="16" s="1"/>
  <c r="W46" i="19"/>
  <c r="AF123" i="16"/>
  <c r="M123" i="16" s="1"/>
  <c r="AF122" i="16"/>
  <c r="M122" i="16" s="1"/>
  <c r="L122" i="16"/>
  <c r="AF121" i="16"/>
  <c r="M121" i="16" s="1"/>
  <c r="AF120" i="16"/>
  <c r="M120" i="16" s="1"/>
  <c r="AF119" i="16"/>
  <c r="M119" i="16" s="1"/>
  <c r="W69" i="19"/>
  <c r="AF118" i="16"/>
  <c r="M118" i="16" s="1"/>
  <c r="W58" i="19"/>
  <c r="AF117" i="16"/>
  <c r="M117" i="16" s="1"/>
  <c r="W49" i="19"/>
  <c r="AF116" i="16"/>
  <c r="M116" i="16" s="1"/>
  <c r="AF115" i="16"/>
  <c r="M115" i="16" s="1"/>
  <c r="W55" i="19"/>
  <c r="AF114" i="16"/>
  <c r="M114" i="16" s="1"/>
  <c r="AF113" i="16"/>
  <c r="M113" i="16" s="1"/>
  <c r="W62" i="19"/>
  <c r="AF112" i="16"/>
  <c r="M112" i="16" s="1"/>
  <c r="W82" i="19"/>
  <c r="AF111" i="16"/>
  <c r="M111" i="16" s="1"/>
  <c r="AF110" i="16"/>
  <c r="M110" i="16" s="1"/>
  <c r="AF109" i="16"/>
  <c r="M109" i="16" s="1"/>
  <c r="W24" i="19"/>
  <c r="AF108" i="16"/>
  <c r="M108" i="16" s="1"/>
  <c r="K108" i="16"/>
  <c r="AF107" i="16"/>
  <c r="M107" i="16" s="1"/>
  <c r="AF106" i="16"/>
  <c r="M106" i="16" s="1"/>
  <c r="W68" i="19"/>
  <c r="AF105" i="16"/>
  <c r="M105" i="16" s="1"/>
  <c r="AF104" i="16"/>
  <c r="M104" i="16" s="1"/>
  <c r="AF103" i="16"/>
  <c r="M103" i="16" s="1"/>
  <c r="W23" i="19"/>
  <c r="AF102" i="16"/>
  <c r="M102" i="16" s="1"/>
  <c r="AF101" i="16"/>
  <c r="M101" i="16" s="1"/>
  <c r="W70" i="19"/>
  <c r="AF100" i="16"/>
  <c r="M100" i="16" s="1"/>
  <c r="AF99" i="16"/>
  <c r="M99" i="16" s="1"/>
  <c r="W38" i="19"/>
  <c r="AF98" i="16"/>
  <c r="M98" i="16" s="1"/>
  <c r="W65" i="19"/>
  <c r="AF97" i="16"/>
  <c r="M97" i="16" s="1"/>
  <c r="AF96" i="16"/>
  <c r="M96" i="16" s="1"/>
  <c r="AF95" i="16"/>
  <c r="M95" i="16" s="1"/>
  <c r="W63" i="19"/>
  <c r="AF94" i="16"/>
  <c r="M94" i="16" s="1"/>
  <c r="W43" i="19"/>
  <c r="AF93" i="16"/>
  <c r="M93" i="16" s="1"/>
  <c r="AF92" i="16"/>
  <c r="M92" i="16" s="1"/>
  <c r="AF91" i="16"/>
  <c r="M91" i="16" s="1"/>
  <c r="K91" i="16"/>
  <c r="AF90" i="16"/>
  <c r="M90" i="16" s="1"/>
  <c r="AF89" i="16"/>
  <c r="M89" i="16" s="1"/>
  <c r="AF88" i="16"/>
  <c r="M88" i="16" s="1"/>
  <c r="AF87" i="16"/>
  <c r="M87" i="16" s="1"/>
  <c r="AF86" i="16"/>
  <c r="M86" i="16" s="1"/>
  <c r="AF85" i="16"/>
  <c r="M85" i="16" s="1"/>
  <c r="W42" i="19"/>
  <c r="AF84" i="16"/>
  <c r="M84" i="16" s="1"/>
  <c r="AF83" i="16"/>
  <c r="M83" i="16" s="1"/>
  <c r="AF82" i="16"/>
  <c r="M82" i="16" s="1"/>
  <c r="AF81" i="16"/>
  <c r="M81" i="16" s="1"/>
  <c r="AF80" i="16"/>
  <c r="M80" i="16" s="1"/>
  <c r="AF79" i="16"/>
  <c r="M79" i="16" s="1"/>
  <c r="AF78" i="16"/>
  <c r="M78" i="16" s="1"/>
  <c r="AF77" i="16"/>
  <c r="M77" i="16" s="1"/>
  <c r="W52" i="19"/>
  <c r="AF76" i="16"/>
  <c r="M76" i="16" s="1"/>
  <c r="W54" i="19"/>
  <c r="AF75" i="16"/>
  <c r="M75" i="16" s="1"/>
  <c r="AF74" i="16"/>
  <c r="M74" i="16" s="1"/>
  <c r="W37" i="19"/>
  <c r="AF73" i="16"/>
  <c r="M73" i="16" s="1"/>
  <c r="AF72" i="16"/>
  <c r="M72" i="16" s="1"/>
  <c r="AF71" i="16"/>
  <c r="M71" i="16" s="1"/>
  <c r="AF70" i="16"/>
  <c r="M70" i="16" s="1"/>
  <c r="W40" i="19"/>
  <c r="AF69" i="16"/>
  <c r="M69" i="16" s="1"/>
  <c r="AF68" i="16"/>
  <c r="M68" i="16" s="1"/>
  <c r="AF67" i="16"/>
  <c r="M67" i="16" s="1"/>
  <c r="AF66" i="16"/>
  <c r="M66" i="16" s="1"/>
  <c r="AF65" i="16"/>
  <c r="M65" i="16" s="1"/>
  <c r="O65" i="16" s="1"/>
  <c r="AF64" i="16"/>
  <c r="M64" i="16" s="1"/>
  <c r="AF63" i="16"/>
  <c r="M63" i="16" s="1"/>
  <c r="AF62" i="16"/>
  <c r="M62" i="16" s="1"/>
  <c r="AF61" i="16"/>
  <c r="M61" i="16" s="1"/>
  <c r="AF60" i="16"/>
  <c r="M60" i="16" s="1"/>
  <c r="AF59" i="16"/>
  <c r="M59" i="16" s="1"/>
  <c r="W47" i="19"/>
  <c r="AF58" i="16"/>
  <c r="M58" i="16" s="1"/>
  <c r="AF57" i="16"/>
  <c r="M57" i="16" s="1"/>
  <c r="AF56" i="16"/>
  <c r="M56" i="16" s="1"/>
  <c r="AF55" i="16"/>
  <c r="M55" i="16" s="1"/>
  <c r="AF54" i="16"/>
  <c r="M54" i="16" s="1"/>
  <c r="AF53" i="16"/>
  <c r="M53" i="16" s="1"/>
  <c r="AF52" i="16"/>
  <c r="M52" i="16" s="1"/>
  <c r="W4" i="19"/>
  <c r="AF51" i="16"/>
  <c r="M51" i="16" s="1"/>
  <c r="AF50" i="16"/>
  <c r="M50" i="16" s="1"/>
  <c r="AF49" i="16"/>
  <c r="M49" i="16" s="1"/>
  <c r="AF48" i="16"/>
  <c r="M48" i="16" s="1"/>
  <c r="AF47" i="16"/>
  <c r="M47" i="16" s="1"/>
  <c r="AF46" i="16"/>
  <c r="M46" i="16" s="1"/>
  <c r="AF45" i="16"/>
  <c r="M45" i="16" s="1"/>
  <c r="AF44" i="16"/>
  <c r="M44" i="16" s="1"/>
  <c r="W3" i="19"/>
  <c r="AF43" i="16"/>
  <c r="M43" i="16" s="1"/>
  <c r="W44" i="19"/>
  <c r="L42" i="16"/>
  <c r="K42" i="16"/>
  <c r="AF39" i="16"/>
  <c r="M39" i="16" s="1"/>
  <c r="W61" i="19"/>
  <c r="AF38" i="16"/>
  <c r="M38" i="16" s="1"/>
  <c r="W33" i="19"/>
  <c r="AF37" i="16"/>
  <c r="M37" i="16" s="1"/>
  <c r="W34" i="19"/>
  <c r="L34" i="16"/>
  <c r="K33" i="16"/>
  <c r="AF31" i="16"/>
  <c r="M31" i="16" s="1"/>
  <c r="AF30" i="16"/>
  <c r="M30" i="16" s="1"/>
  <c r="AF29" i="16"/>
  <c r="M29" i="16" s="1"/>
  <c r="AF28" i="16"/>
  <c r="M28" i="16" s="1"/>
  <c r="AF27" i="16"/>
  <c r="M27" i="16" s="1"/>
  <c r="AF26" i="16"/>
  <c r="M26" i="16" s="1"/>
  <c r="W56" i="19"/>
  <c r="AF25" i="16"/>
  <c r="M25" i="16" s="1"/>
  <c r="AF24" i="16"/>
  <c r="M24" i="16" s="1"/>
  <c r="AF23" i="16"/>
  <c r="M23" i="16" s="1"/>
  <c r="W39" i="19"/>
  <c r="AF22" i="16"/>
  <c r="M22" i="16" s="1"/>
  <c r="L22" i="16"/>
  <c r="AF21" i="16"/>
  <c r="M21" i="16" s="1"/>
  <c r="AF20" i="16"/>
  <c r="M20" i="16" s="1"/>
  <c r="AF19" i="16"/>
  <c r="M19" i="16" s="1"/>
  <c r="W60" i="19"/>
  <c r="AF18" i="16"/>
  <c r="M18" i="16" s="1"/>
  <c r="AF17" i="16"/>
  <c r="M17" i="16" s="1"/>
  <c r="W59" i="19"/>
  <c r="AF16" i="16"/>
  <c r="M16" i="16" s="1"/>
  <c r="AF15" i="16"/>
  <c r="M15" i="16" s="1"/>
  <c r="AF14" i="16"/>
  <c r="M14" i="16" s="1"/>
  <c r="L14" i="16"/>
  <c r="K14" i="16"/>
  <c r="AF13" i="16"/>
  <c r="M13" i="16" s="1"/>
  <c r="L13" i="16"/>
  <c r="AF12" i="16"/>
  <c r="M12" i="16" s="1"/>
  <c r="AF11" i="16"/>
  <c r="M11" i="16" s="1"/>
  <c r="AF10" i="16"/>
  <c r="M10" i="16" s="1"/>
  <c r="K10" i="16"/>
  <c r="AF9" i="16"/>
  <c r="M9" i="16" s="1"/>
  <c r="W45" i="19"/>
  <c r="AF8" i="16"/>
  <c r="M8" i="16" s="1"/>
  <c r="K8" i="16"/>
  <c r="AF7" i="16"/>
  <c r="M7" i="16" s="1"/>
  <c r="AF6" i="16"/>
  <c r="M6" i="16" s="1"/>
  <c r="L6" i="16"/>
  <c r="AF5" i="16"/>
  <c r="M5" i="16" s="1"/>
  <c r="AF4" i="16"/>
  <c r="M4" i="16" s="1"/>
  <c r="K4" i="16"/>
  <c r="B6" i="22" l="1"/>
  <c r="U6" i="1" s="1"/>
  <c r="B8" i="22"/>
  <c r="U8" i="1" s="1"/>
  <c r="B7" i="22"/>
  <c r="U7" i="1" s="1"/>
  <c r="U4" i="4"/>
  <c r="U3" i="4"/>
  <c r="U2" i="4"/>
  <c r="U16" i="4"/>
  <c r="U17" i="4"/>
  <c r="W50" i="19"/>
  <c r="M221" i="2"/>
  <c r="W66" i="19"/>
  <c r="M225" i="2"/>
  <c r="W64" i="19"/>
  <c r="M224" i="2"/>
  <c r="W8" i="19"/>
  <c r="W92" i="19"/>
  <c r="M230" i="2"/>
  <c r="W71" i="19"/>
  <c r="M226" i="2"/>
  <c r="W57" i="19"/>
  <c r="M223" i="2"/>
  <c r="M231" i="2"/>
  <c r="W79" i="19"/>
  <c r="M228" i="2"/>
  <c r="W9" i="19"/>
  <c r="M218" i="2"/>
  <c r="W85" i="19"/>
  <c r="M229" i="2"/>
  <c r="W76" i="19"/>
  <c r="M227" i="2"/>
  <c r="O4" i="16"/>
  <c r="AF147" i="16"/>
  <c r="M147" i="16" s="1"/>
  <c r="O147" i="16" s="1"/>
  <c r="BV15" i="5"/>
  <c r="BV14" i="5"/>
  <c r="W83" i="19"/>
  <c r="AF146" i="16"/>
  <c r="M146" i="16" s="1"/>
  <c r="O146" i="16" s="1"/>
  <c r="AF33" i="16"/>
  <c r="M33" i="16" s="1"/>
  <c r="AF151" i="16"/>
  <c r="M151" i="16" s="1"/>
  <c r="O151" i="16" s="1"/>
  <c r="W31" i="19"/>
  <c r="M154" i="2"/>
  <c r="M149" i="2"/>
  <c r="M150" i="2"/>
  <c r="M152" i="2"/>
  <c r="M151" i="2"/>
  <c r="M145" i="2"/>
  <c r="W41" i="19"/>
  <c r="M153" i="2"/>
  <c r="M146" i="2"/>
  <c r="M147" i="2"/>
  <c r="M143" i="2"/>
  <c r="M157" i="2" s="1"/>
  <c r="W11" i="19"/>
  <c r="M155" i="2"/>
  <c r="M148" i="2"/>
  <c r="M144" i="2"/>
  <c r="W14" i="19"/>
  <c r="AF41" i="16"/>
  <c r="M41" i="16" s="1"/>
  <c r="O41" i="16" s="1"/>
  <c r="O150" i="16"/>
  <c r="O341" i="16"/>
  <c r="O55" i="16"/>
  <c r="O63" i="16"/>
  <c r="O87" i="16"/>
  <c r="O94" i="16"/>
  <c r="O102" i="16"/>
  <c r="O171" i="16"/>
  <c r="O200" i="16"/>
  <c r="O208" i="16"/>
  <c r="O216" i="16"/>
  <c r="O238" i="16"/>
  <c r="O275" i="16"/>
  <c r="O289" i="16"/>
  <c r="O297" i="16"/>
  <c r="O313" i="16"/>
  <c r="O321" i="16"/>
  <c r="O366" i="16"/>
  <c r="O352" i="16"/>
  <c r="O56" i="16"/>
  <c r="O64" i="16"/>
  <c r="O72" i="16"/>
  <c r="O80" i="16"/>
  <c r="O88" i="16"/>
  <c r="O95" i="16"/>
  <c r="O103" i="16"/>
  <c r="O172" i="16"/>
  <c r="O179" i="16"/>
  <c r="O193" i="16"/>
  <c r="O201" i="16"/>
  <c r="O209" i="16"/>
  <c r="O217" i="16"/>
  <c r="O225" i="16"/>
  <c r="O239" i="16"/>
  <c r="O247" i="16"/>
  <c r="O276" i="16"/>
  <c r="O282" i="16"/>
  <c r="O290" i="16"/>
  <c r="O298" i="16"/>
  <c r="O306" i="16"/>
  <c r="O314" i="16"/>
  <c r="O322" i="16"/>
  <c r="O345" i="16"/>
  <c r="O360" i="16"/>
  <c r="O367" i="16"/>
  <c r="O380" i="16"/>
  <c r="O163" i="16"/>
  <c r="O185" i="16"/>
  <c r="O231" i="16"/>
  <c r="O259" i="16"/>
  <c r="O267" i="16"/>
  <c r="O328" i="16"/>
  <c r="O336" i="16"/>
  <c r="O351" i="16"/>
  <c r="O359" i="16"/>
  <c r="O379" i="16"/>
  <c r="O305" i="16"/>
  <c r="O329" i="16"/>
  <c r="O357" i="16"/>
  <c r="O246" i="16"/>
  <c r="O110" i="16"/>
  <c r="O156" i="16"/>
  <c r="O186" i="16"/>
  <c r="O232" i="16"/>
  <c r="O224" i="16"/>
  <c r="O260" i="16"/>
  <c r="O71" i="16"/>
  <c r="O79" i="16"/>
  <c r="O164" i="16"/>
  <c r="O265" i="16"/>
  <c r="O349" i="16"/>
  <c r="O364" i="16"/>
  <c r="O370" i="16"/>
  <c r="O11" i="16"/>
  <c r="O24" i="16"/>
  <c r="O62" i="16"/>
  <c r="O70" i="16"/>
  <c r="O78" i="16"/>
  <c r="O86" i="16"/>
  <c r="O93" i="16"/>
  <c r="O101" i="16"/>
  <c r="O124" i="16"/>
  <c r="O16" i="16"/>
  <c r="O23" i="16"/>
  <c r="O30" i="16"/>
  <c r="O45" i="16"/>
  <c r="O53" i="16"/>
  <c r="O115" i="16"/>
  <c r="O129" i="16"/>
  <c r="O137" i="16"/>
  <c r="O161" i="16"/>
  <c r="O183" i="16"/>
  <c r="O191" i="16"/>
  <c r="O229" i="16"/>
  <c r="O257" i="16"/>
  <c r="O273" i="16"/>
  <c r="O326" i="16"/>
  <c r="O334" i="16"/>
  <c r="O18" i="16"/>
  <c r="O372" i="16"/>
  <c r="O13" i="16"/>
  <c r="O26" i="16"/>
  <c r="O119" i="16"/>
  <c r="O141" i="16"/>
  <c r="O233" i="16"/>
  <c r="O261" i="16"/>
  <c r="O269" i="16"/>
  <c r="O330" i="16"/>
  <c r="O353" i="16"/>
  <c r="O37" i="16"/>
  <c r="O73" i="16"/>
  <c r="O89" i="16"/>
  <c r="O104" i="16"/>
  <c r="O194" i="16"/>
  <c r="O202" i="16"/>
  <c r="O218" i="16"/>
  <c r="O283" i="16"/>
  <c r="O299" i="16"/>
  <c r="O315" i="16"/>
  <c r="O50" i="16"/>
  <c r="O120" i="16"/>
  <c r="O270" i="16"/>
  <c r="O368" i="16"/>
  <c r="O158" i="16"/>
  <c r="O165" i="16"/>
  <c r="O134" i="16"/>
  <c r="O142" i="16"/>
  <c r="O188" i="16"/>
  <c r="O112" i="16"/>
  <c r="O180" i="16"/>
  <c r="O254" i="16"/>
  <c r="O7" i="16"/>
  <c r="O20" i="16"/>
  <c r="O49" i="16"/>
  <c r="O111" i="16"/>
  <c r="O133" i="16"/>
  <c r="O157" i="16"/>
  <c r="O187" i="16"/>
  <c r="O253" i="16"/>
  <c r="O338" i="16"/>
  <c r="O374" i="16"/>
  <c r="O57" i="16"/>
  <c r="O81" i="16"/>
  <c r="O96" i="16"/>
  <c r="O173" i="16"/>
  <c r="O210" i="16"/>
  <c r="O226" i="16"/>
  <c r="O240" i="16"/>
  <c r="O291" i="16"/>
  <c r="O307" i="16"/>
  <c r="O323" i="16"/>
  <c r="O361" i="16"/>
  <c r="O381" i="16"/>
  <c r="O27" i="16"/>
  <c r="O126" i="16"/>
  <c r="O234" i="16"/>
  <c r="O262" i="16"/>
  <c r="O277" i="16"/>
  <c r="O331" i="16"/>
  <c r="O339" i="16"/>
  <c r="O346" i="16"/>
  <c r="O354" i="16"/>
  <c r="O375" i="16"/>
  <c r="O21" i="16"/>
  <c r="O58" i="16"/>
  <c r="O90" i="16"/>
  <c r="O105" i="16"/>
  <c r="O174" i="16"/>
  <c r="O211" i="16"/>
  <c r="O227" i="16"/>
  <c r="O248" i="16"/>
  <c r="O300" i="16"/>
  <c r="O362" i="16"/>
  <c r="O8" i="16"/>
  <c r="O43" i="16"/>
  <c r="O121" i="16"/>
  <c r="O181" i="16"/>
  <c r="O263" i="16"/>
  <c r="O332" i="16"/>
  <c r="O347" i="16"/>
  <c r="O39" i="16"/>
  <c r="O59" i="16"/>
  <c r="O67" i="16"/>
  <c r="O75" i="16"/>
  <c r="O83" i="16"/>
  <c r="O98" i="16"/>
  <c r="O106" i="16"/>
  <c r="O152" i="16"/>
  <c r="O167" i="16"/>
  <c r="O175" i="16"/>
  <c r="O196" i="16"/>
  <c r="O204" i="16"/>
  <c r="O212" i="16"/>
  <c r="O220" i="16"/>
  <c r="O242" i="16"/>
  <c r="O249" i="16"/>
  <c r="O278" i="16"/>
  <c r="O285" i="16"/>
  <c r="O293" i="16"/>
  <c r="O301" i="16"/>
  <c r="O309" i="16"/>
  <c r="O317" i="16"/>
  <c r="O363" i="16"/>
  <c r="O369" i="16"/>
  <c r="O383" i="16"/>
  <c r="O9" i="16"/>
  <c r="O15" i="16"/>
  <c r="O22" i="16"/>
  <c r="O29" i="16"/>
  <c r="O44" i="16"/>
  <c r="O52" i="16"/>
  <c r="O114" i="16"/>
  <c r="O128" i="16"/>
  <c r="O136" i="16"/>
  <c r="O160" i="16"/>
  <c r="O182" i="16"/>
  <c r="O190" i="16"/>
  <c r="O228" i="16"/>
  <c r="O256" i="16"/>
  <c r="O264" i="16"/>
  <c r="O272" i="16"/>
  <c r="O325" i="16"/>
  <c r="O333" i="16"/>
  <c r="O348" i="16"/>
  <c r="O356" i="16"/>
  <c r="O377" i="16"/>
  <c r="O60" i="16"/>
  <c r="O68" i="16"/>
  <c r="O76" i="16"/>
  <c r="O84" i="16"/>
  <c r="O91" i="16"/>
  <c r="O99" i="16"/>
  <c r="O107" i="16"/>
  <c r="O122" i="16"/>
  <c r="O153" i="16"/>
  <c r="O168" i="16"/>
  <c r="O176" i="16"/>
  <c r="O197" i="16"/>
  <c r="O205" i="16"/>
  <c r="O213" i="16"/>
  <c r="O221" i="16"/>
  <c r="O243" i="16"/>
  <c r="O250" i="16"/>
  <c r="O279" i="16"/>
  <c r="O286" i="16"/>
  <c r="O294" i="16"/>
  <c r="O302" i="16"/>
  <c r="O310" i="16"/>
  <c r="O318" i="16"/>
  <c r="O384" i="16"/>
  <c r="O82" i="16"/>
  <c r="O292" i="16"/>
  <c r="O28" i="16"/>
  <c r="O271" i="16"/>
  <c r="O69" i="16"/>
  <c r="O169" i="16"/>
  <c r="O244" i="16"/>
  <c r="O280" i="16"/>
  <c r="O311" i="16"/>
  <c r="O17" i="16"/>
  <c r="O31" i="16"/>
  <c r="O46" i="16"/>
  <c r="O108" i="16"/>
  <c r="O116" i="16"/>
  <c r="O130" i="16"/>
  <c r="O138" i="16"/>
  <c r="O145" i="16"/>
  <c r="O162" i="16"/>
  <c r="O184" i="16"/>
  <c r="O230" i="16"/>
  <c r="O258" i="16"/>
  <c r="O266" i="16"/>
  <c r="O327" i="16"/>
  <c r="O335" i="16"/>
  <c r="O350" i="16"/>
  <c r="O358" i="16"/>
  <c r="O371" i="16"/>
  <c r="O284" i="16"/>
  <c r="O143" i="16"/>
  <c r="O10" i="16"/>
  <c r="O85" i="16"/>
  <c r="O154" i="16"/>
  <c r="O198" i="16"/>
  <c r="O236" i="16"/>
  <c r="O319" i="16"/>
  <c r="O5" i="16"/>
  <c r="O54" i="16"/>
  <c r="O149" i="16"/>
  <c r="O170" i="16"/>
  <c r="O199" i="16"/>
  <c r="O207" i="16"/>
  <c r="O215" i="16"/>
  <c r="O223" i="16"/>
  <c r="O237" i="16"/>
  <c r="O245" i="16"/>
  <c r="O274" i="16"/>
  <c r="O288" i="16"/>
  <c r="O296" i="16"/>
  <c r="O304" i="16"/>
  <c r="O312" i="16"/>
  <c r="O320" i="16"/>
  <c r="O343" i="16"/>
  <c r="O365" i="16"/>
  <c r="O74" i="16"/>
  <c r="O195" i="16"/>
  <c r="O316" i="16"/>
  <c r="O51" i="16"/>
  <c r="O127" i="16"/>
  <c r="O100" i="16"/>
  <c r="O206" i="16"/>
  <c r="O251" i="16"/>
  <c r="O287" i="16"/>
  <c r="O47" i="16"/>
  <c r="O109" i="16"/>
  <c r="O117" i="16"/>
  <c r="O131" i="16"/>
  <c r="O139" i="16"/>
  <c r="O155" i="16"/>
  <c r="O281" i="16"/>
  <c r="O189" i="16"/>
  <c r="O61" i="16"/>
  <c r="O123" i="16"/>
  <c r="O177" i="16"/>
  <c r="O214" i="16"/>
  <c r="O295" i="16"/>
  <c r="O12" i="16"/>
  <c r="O178" i="16"/>
  <c r="O344" i="16"/>
  <c r="O38" i="16"/>
  <c r="O66" i="16"/>
  <c r="O97" i="16"/>
  <c r="O166" i="16"/>
  <c r="O203" i="16"/>
  <c r="O219" i="16"/>
  <c r="O241" i="16"/>
  <c r="O308" i="16"/>
  <c r="O382" i="16"/>
  <c r="O14" i="16"/>
  <c r="O113" i="16"/>
  <c r="O135" i="16"/>
  <c r="O159" i="16"/>
  <c r="O255" i="16"/>
  <c r="O324" i="16"/>
  <c r="O340" i="16"/>
  <c r="O355" i="16"/>
  <c r="O376" i="16"/>
  <c r="O77" i="16"/>
  <c r="O92" i="16"/>
  <c r="O222" i="16"/>
  <c r="O303" i="16"/>
  <c r="O342" i="16"/>
  <c r="O6" i="16"/>
  <c r="O19" i="16"/>
  <c r="O25" i="16"/>
  <c r="O48" i="16"/>
  <c r="O118" i="16"/>
  <c r="O132" i="16"/>
  <c r="O140" i="16"/>
  <c r="O268" i="16"/>
  <c r="O337" i="16"/>
  <c r="O373" i="16"/>
  <c r="BV11" i="5"/>
  <c r="BV10" i="5"/>
  <c r="AF144" i="16"/>
  <c r="M144" i="16" s="1"/>
  <c r="O144" i="16" s="1"/>
  <c r="AF235" i="16"/>
  <c r="M235" i="16" s="1"/>
  <c r="O235" i="16" s="1"/>
  <c r="BV21" i="5"/>
  <c r="BV20" i="5"/>
  <c r="BV17" i="5"/>
  <c r="BV16" i="5"/>
  <c r="AF378" i="16"/>
  <c r="M378" i="16" s="1"/>
  <c r="O378" i="16" s="1"/>
  <c r="AG132" i="16"/>
  <c r="AG8" i="16"/>
  <c r="AG14" i="16"/>
  <c r="AG27" i="16"/>
  <c r="AG50" i="16"/>
  <c r="AG112" i="16"/>
  <c r="AG120" i="16"/>
  <c r="AG126" i="16"/>
  <c r="AG173" i="16"/>
  <c r="AG180" i="16"/>
  <c r="AG194" i="16"/>
  <c r="AG202" i="16"/>
  <c r="AG210" i="16"/>
  <c r="AG218" i="16"/>
  <c r="AG226" i="16"/>
  <c r="AG240" i="16"/>
  <c r="AG248" i="16"/>
  <c r="AG283" i="16"/>
  <c r="AG291" i="16"/>
  <c r="AG299" i="16"/>
  <c r="AG307" i="16"/>
  <c r="AG315" i="16"/>
  <c r="AG323" i="16"/>
  <c r="AG346" i="16"/>
  <c r="AG361" i="16"/>
  <c r="AG368" i="16"/>
  <c r="AG381" i="16"/>
  <c r="AG21" i="16"/>
  <c r="AG38" i="16"/>
  <c r="AG58" i="16"/>
  <c r="AG66" i="16"/>
  <c r="AG74" i="16"/>
  <c r="AG82" i="16"/>
  <c r="AG90" i="16"/>
  <c r="AG97" i="16"/>
  <c r="AG105" i="16"/>
  <c r="AG134" i="16"/>
  <c r="AG142" i="16"/>
  <c r="AG158" i="16"/>
  <c r="AG188" i="16"/>
  <c r="AG234" i="16"/>
  <c r="AG254" i="16"/>
  <c r="AG262" i="16"/>
  <c r="AG270" i="16"/>
  <c r="AG277" i="16"/>
  <c r="AG331" i="16"/>
  <c r="AG339" i="16"/>
  <c r="AG354" i="16"/>
  <c r="AG375" i="16"/>
  <c r="AG28" i="16"/>
  <c r="AG43" i="16"/>
  <c r="AG51" i="16"/>
  <c r="AG113" i="16"/>
  <c r="AG121" i="16"/>
  <c r="AG127" i="16"/>
  <c r="AG166" i="16"/>
  <c r="AG174" i="16"/>
  <c r="AG195" i="16"/>
  <c r="AG203" i="16"/>
  <c r="AG211" i="16"/>
  <c r="AG219" i="16"/>
  <c r="AG227" i="16"/>
  <c r="AG241" i="16"/>
  <c r="AG284" i="16"/>
  <c r="AG292" i="16"/>
  <c r="AG300" i="16"/>
  <c r="AG308" i="16"/>
  <c r="AG362" i="16"/>
  <c r="AG382" i="16"/>
  <c r="AG39" i="16"/>
  <c r="AG59" i="16"/>
  <c r="AG67" i="16"/>
  <c r="AG75" i="16"/>
  <c r="AG83" i="16"/>
  <c r="AG91" i="16"/>
  <c r="AG98" i="16"/>
  <c r="AG106" i="16"/>
  <c r="AG135" i="16"/>
  <c r="AG143" i="16"/>
  <c r="AG159" i="16"/>
  <c r="AG181" i="16"/>
  <c r="AG189" i="16"/>
  <c r="AG255" i="16"/>
  <c r="AG263" i="16"/>
  <c r="AG271" i="16"/>
  <c r="AG324" i="16"/>
  <c r="AG332" i="16"/>
  <c r="AG340" i="16"/>
  <c r="AG347" i="16"/>
  <c r="AG355" i="16"/>
  <c r="AG376" i="16"/>
  <c r="AG15" i="16"/>
  <c r="AG29" i="16"/>
  <c r="AG44" i="16"/>
  <c r="AG52" i="16"/>
  <c r="AG114" i="16"/>
  <c r="AG122" i="16"/>
  <c r="AG128" i="16"/>
  <c r="AG152" i="16"/>
  <c r="AG167" i="16"/>
  <c r="AG175" i="16"/>
  <c r="AG196" i="16"/>
  <c r="AG204" i="16"/>
  <c r="AG212" i="16"/>
  <c r="AG220" i="16"/>
  <c r="AG242" i="16"/>
  <c r="AG249" i="16"/>
  <c r="AG278" i="16"/>
  <c r="AG285" i="16"/>
  <c r="AG293" i="16"/>
  <c r="AG301" i="16"/>
  <c r="AG309" i="16"/>
  <c r="AG317" i="16"/>
  <c r="AG363" i="16"/>
  <c r="AG383" i="16"/>
  <c r="AG60" i="16"/>
  <c r="AG68" i="16"/>
  <c r="AG76" i="16"/>
  <c r="AG84" i="16"/>
  <c r="AG99" i="16"/>
  <c r="AG107" i="16"/>
  <c r="AG136" i="16"/>
  <c r="AG160" i="16"/>
  <c r="AG182" i="16"/>
  <c r="AG190" i="16"/>
  <c r="AG256" i="16"/>
  <c r="AG264" i="16"/>
  <c r="AG272" i="16"/>
  <c r="AG325" i="16"/>
  <c r="AG333" i="16"/>
  <c r="AG348" i="16"/>
  <c r="AG377" i="16"/>
  <c r="AG10" i="16"/>
  <c r="AG16" i="16"/>
  <c r="AG23" i="16"/>
  <c r="AG45" i="16"/>
  <c r="AG53" i="16"/>
  <c r="AG115" i="16"/>
  <c r="AG129" i="16"/>
  <c r="AG153" i="16"/>
  <c r="AG168" i="16"/>
  <c r="AG176" i="16"/>
  <c r="AG197" i="16"/>
  <c r="AG205" i="16"/>
  <c r="AG213" i="16"/>
  <c r="AG221" i="16"/>
  <c r="AG243" i="16"/>
  <c r="AG250" i="16"/>
  <c r="AG279" i="16"/>
  <c r="AG286" i="16"/>
  <c r="AG294" i="16"/>
  <c r="AG302" i="16"/>
  <c r="AG310" i="16"/>
  <c r="AG318" i="16"/>
  <c r="AG384" i="16"/>
  <c r="AG61" i="16"/>
  <c r="AG69" i="16"/>
  <c r="AG77" i="16"/>
  <c r="AG85" i="16"/>
  <c r="AG92" i="16"/>
  <c r="AG100" i="16"/>
  <c r="AG108" i="16"/>
  <c r="AG123" i="16"/>
  <c r="AG137" i="16"/>
  <c r="AG161" i="16"/>
  <c r="AG183" i="16"/>
  <c r="AG191" i="16"/>
  <c r="AG229" i="16"/>
  <c r="AG257" i="16"/>
  <c r="AG265" i="16"/>
  <c r="AG273" i="16"/>
  <c r="AG326" i="16"/>
  <c r="AG334" i="16"/>
  <c r="AG349" i="16"/>
  <c r="AG357" i="16"/>
  <c r="AG364" i="16"/>
  <c r="AG17" i="16"/>
  <c r="AG31" i="16"/>
  <c r="AG46" i="16"/>
  <c r="AG116" i="16"/>
  <c r="AG130" i="16"/>
  <c r="AG154" i="16"/>
  <c r="AG169" i="16"/>
  <c r="AG177" i="16"/>
  <c r="AG198" i="16"/>
  <c r="AG206" i="16"/>
  <c r="AG214" i="16"/>
  <c r="AG222" i="16"/>
  <c r="AG236" i="16"/>
  <c r="AG244" i="16"/>
  <c r="AG251" i="16"/>
  <c r="AG280" i="16"/>
  <c r="AG287" i="16"/>
  <c r="AG295" i="16"/>
  <c r="AG303" i="16"/>
  <c r="AG311" i="16"/>
  <c r="AG319" i="16"/>
  <c r="AG342" i="16"/>
  <c r="AG18" i="16"/>
  <c r="AG47" i="16"/>
  <c r="AG109" i="16"/>
  <c r="AG117" i="16"/>
  <c r="AG131" i="16"/>
  <c r="AG155" i="16"/>
  <c r="AG170" i="16"/>
  <c r="AG178" i="16"/>
  <c r="AG199" i="16"/>
  <c r="AG207" i="16"/>
  <c r="AG215" i="16"/>
  <c r="AG223" i="16"/>
  <c r="AG237" i="16"/>
  <c r="AG245" i="16"/>
  <c r="AG274" i="16"/>
  <c r="AG288" i="16"/>
  <c r="AG296" i="16"/>
  <c r="AG304" i="16"/>
  <c r="AG312" i="16"/>
  <c r="AG320" i="16"/>
  <c r="AG343" i="16"/>
  <c r="AG316" i="16"/>
  <c r="AG9" i="16"/>
  <c r="AG24" i="16"/>
  <c r="AG62" i="16"/>
  <c r="AG70" i="16"/>
  <c r="AG86" i="16"/>
  <c r="AG93" i="16"/>
  <c r="AG138" i="16"/>
  <c r="AG184" i="16"/>
  <c r="AG327" i="16"/>
  <c r="AG335" i="16"/>
  <c r="AG350" i="16"/>
  <c r="AG371" i="16"/>
  <c r="AG12" i="16"/>
  <c r="AG55" i="16"/>
  <c r="AG63" i="16"/>
  <c r="AG71" i="16"/>
  <c r="AG79" i="16"/>
  <c r="AG87" i="16"/>
  <c r="AG94" i="16"/>
  <c r="AG102" i="16"/>
  <c r="AG139" i="16"/>
  <c r="AG163" i="16"/>
  <c r="AG185" i="16"/>
  <c r="AG231" i="16"/>
  <c r="AG259" i="16"/>
  <c r="AG267" i="16"/>
  <c r="AG281" i="16"/>
  <c r="AG328" i="16"/>
  <c r="AG336" i="16"/>
  <c r="AG351" i="16"/>
  <c r="AG359" i="16"/>
  <c r="AG372" i="16"/>
  <c r="AG356" i="16"/>
  <c r="AG124" i="16"/>
  <c r="AG19" i="16"/>
  <c r="AG25" i="16"/>
  <c r="AG48" i="16"/>
  <c r="AG110" i="16"/>
  <c r="AG118" i="16"/>
  <c r="AG171" i="16"/>
  <c r="AG200" i="16"/>
  <c r="AG208" i="16"/>
  <c r="AG216" i="16"/>
  <c r="AG224" i="16"/>
  <c r="AG238" i="16"/>
  <c r="AG246" i="16"/>
  <c r="AG275" i="16"/>
  <c r="AG289" i="16"/>
  <c r="AG297" i="16"/>
  <c r="AG305" i="16"/>
  <c r="AG313" i="16"/>
  <c r="AG321" i="16"/>
  <c r="AG344" i="16"/>
  <c r="AG366" i="16"/>
  <c r="AG379" i="16"/>
  <c r="AG30" i="16"/>
  <c r="AG145" i="16"/>
  <c r="AG56" i="16"/>
  <c r="AG64" i="16"/>
  <c r="AG72" i="16"/>
  <c r="AG80" i="16"/>
  <c r="AG88" i="16"/>
  <c r="AG95" i="16"/>
  <c r="AG103" i="16"/>
  <c r="AG140" i="16"/>
  <c r="AG156" i="16"/>
  <c r="AG164" i="16"/>
  <c r="AG186" i="16"/>
  <c r="AG232" i="16"/>
  <c r="AG260" i="16"/>
  <c r="AG268" i="16"/>
  <c r="AG329" i="16"/>
  <c r="AG337" i="16"/>
  <c r="AG352" i="16"/>
  <c r="AG373" i="16"/>
  <c r="AG162" i="16"/>
  <c r="AG7" i="16"/>
  <c r="AG20" i="16"/>
  <c r="AG26" i="16"/>
  <c r="AG49" i="16"/>
  <c r="AG111" i="16"/>
  <c r="AG119" i="16"/>
  <c r="AG172" i="16"/>
  <c r="AG179" i="16"/>
  <c r="AG193" i="16"/>
  <c r="AG201" i="16"/>
  <c r="AG209" i="16"/>
  <c r="AG217" i="16"/>
  <c r="AG225" i="16"/>
  <c r="AG239" i="16"/>
  <c r="AG247" i="16"/>
  <c r="AG276" i="16"/>
  <c r="AG290" i="16"/>
  <c r="AG298" i="16"/>
  <c r="AG306" i="16"/>
  <c r="AG314" i="16"/>
  <c r="AG322" i="16"/>
  <c r="AG345" i="16"/>
  <c r="AG367" i="16"/>
  <c r="AG380" i="16"/>
  <c r="AG11" i="16"/>
  <c r="AG78" i="16"/>
  <c r="AG101" i="16"/>
  <c r="AG230" i="16"/>
  <c r="AG258" i="16"/>
  <c r="AG266" i="16"/>
  <c r="AG358" i="16"/>
  <c r="AG37" i="16"/>
  <c r="AG57" i="16"/>
  <c r="AG65" i="16"/>
  <c r="AG73" i="16"/>
  <c r="AG81" i="16"/>
  <c r="AG89" i="16"/>
  <c r="AG96" i="16"/>
  <c r="AG104" i="16"/>
  <c r="AG133" i="16"/>
  <c r="AG141" i="16"/>
  <c r="AG157" i="16"/>
  <c r="AG187" i="16"/>
  <c r="AG233" i="16"/>
  <c r="AG253" i="16"/>
  <c r="AG261" i="16"/>
  <c r="AG269" i="16"/>
  <c r="AG330" i="16"/>
  <c r="AG338" i="16"/>
  <c r="AG353" i="16"/>
  <c r="AG374" i="16"/>
  <c r="AG5" i="16"/>
  <c r="AG54" i="16"/>
  <c r="AG282" i="16"/>
  <c r="AG165" i="16"/>
  <c r="AF252" i="16"/>
  <c r="M252" i="16" s="1"/>
  <c r="O252" i="16" s="1"/>
  <c r="AF40" i="16"/>
  <c r="M40" i="16" s="1"/>
  <c r="O40" i="16" s="1"/>
  <c r="AF36" i="16"/>
  <c r="M36" i="16" s="1"/>
  <c r="O36" i="16" s="1"/>
  <c r="AG370" i="16"/>
  <c r="AG369" i="16"/>
  <c r="AG22" i="16"/>
  <c r="AG149" i="16"/>
  <c r="AG13" i="16"/>
  <c r="X605" i="16"/>
  <c r="AG150" i="16"/>
  <c r="AG228" i="16"/>
  <c r="AF35" i="16"/>
  <c r="M35" i="16" s="1"/>
  <c r="O35" i="16" s="1"/>
  <c r="AG365" i="16"/>
  <c r="AF42" i="16"/>
  <c r="M42" i="16" s="1"/>
  <c r="O42" i="16" s="1"/>
  <c r="AG360" i="16"/>
  <c r="AF125" i="16"/>
  <c r="M125" i="16" s="1"/>
  <c r="O125" i="16" s="1"/>
  <c r="AF192" i="16"/>
  <c r="M192" i="16" s="1"/>
  <c r="O192" i="16" s="1"/>
  <c r="AG341" i="16"/>
  <c r="V605" i="16"/>
  <c r="W605" i="16"/>
  <c r="AC605" i="16"/>
  <c r="AF34" i="16"/>
  <c r="M34" i="16" s="1"/>
  <c r="O34" i="16" s="1"/>
  <c r="AG4" i="16"/>
  <c r="Y605" i="16"/>
  <c r="AD605" i="16"/>
  <c r="AF32" i="16"/>
  <c r="M32" i="16" s="1"/>
  <c r="AG6" i="16"/>
  <c r="AE605" i="16"/>
  <c r="AF148" i="16"/>
  <c r="M148" i="16" s="1"/>
  <c r="O148" i="16" s="1"/>
  <c r="B9" i="22" l="1"/>
  <c r="B53" i="22" s="1"/>
  <c r="O33" i="16"/>
  <c r="U19" i="4"/>
  <c r="U18" i="4"/>
  <c r="O32" i="16"/>
  <c r="M8" i="22" s="1"/>
  <c r="W53" i="19"/>
  <c r="M222" i="2"/>
  <c r="M217" i="2"/>
  <c r="M232" i="2"/>
  <c r="L116" i="13"/>
  <c r="AG147" i="16"/>
  <c r="AG146" i="16"/>
  <c r="BV12" i="5"/>
  <c r="AG33" i="16"/>
  <c r="AG151" i="16"/>
  <c r="W21" i="19"/>
  <c r="M702" i="9"/>
  <c r="AG41" i="16"/>
  <c r="AG144" i="16"/>
  <c r="BV32" i="5"/>
  <c r="BV13" i="5"/>
  <c r="BV19" i="5"/>
  <c r="AG235" i="16"/>
  <c r="BV23" i="5"/>
  <c r="BV22" i="5"/>
  <c r="BV18" i="5"/>
  <c r="AG378" i="16"/>
  <c r="AG32" i="16"/>
  <c r="AG252" i="16"/>
  <c r="AG148" i="16"/>
  <c r="AG35" i="16"/>
  <c r="AG36" i="16"/>
  <c r="AG40" i="16"/>
  <c r="AG34" i="16"/>
  <c r="AG42" i="16"/>
  <c r="AG192" i="16"/>
  <c r="AG125" i="16"/>
  <c r="AF605" i="16"/>
  <c r="S608" i="16" s="1"/>
  <c r="AB605" i="16"/>
  <c r="S607" i="16" s="1"/>
  <c r="M318" i="11"/>
  <c r="M317" i="11"/>
  <c r="M316" i="11"/>
  <c r="M315" i="11"/>
  <c r="M314" i="11"/>
  <c r="M313" i="11"/>
  <c r="M312" i="11"/>
  <c r="M311" i="11"/>
  <c r="M310" i="11"/>
  <c r="M309" i="11"/>
  <c r="M308" i="11"/>
  <c r="M307" i="11"/>
  <c r="M306" i="11"/>
  <c r="M305" i="11"/>
  <c r="M304" i="11"/>
  <c r="M303" i="11"/>
  <c r="M302" i="11"/>
  <c r="M301" i="11"/>
  <c r="M300" i="11"/>
  <c r="M299" i="11"/>
  <c r="M298" i="11"/>
  <c r="M297" i="11"/>
  <c r="M296" i="11"/>
  <c r="M295" i="11"/>
  <c r="M294" i="11"/>
  <c r="M293" i="11"/>
  <c r="M292" i="11"/>
  <c r="M291" i="11"/>
  <c r="M290" i="11"/>
  <c r="M289" i="11"/>
  <c r="M288" i="11"/>
  <c r="M287" i="11"/>
  <c r="M286" i="11"/>
  <c r="M285" i="11"/>
  <c r="M284" i="11"/>
  <c r="M283" i="11"/>
  <c r="M282" i="11"/>
  <c r="M281" i="11"/>
  <c r="M280" i="11"/>
  <c r="M279" i="11"/>
  <c r="M278" i="11"/>
  <c r="M277" i="11"/>
  <c r="M276" i="11"/>
  <c r="M275" i="11"/>
  <c r="M274" i="11"/>
  <c r="M273" i="11"/>
  <c r="M272" i="11"/>
  <c r="M319" i="11" s="1"/>
  <c r="M270" i="11"/>
  <c r="M269" i="11"/>
  <c r="M268" i="11"/>
  <c r="M267" i="11"/>
  <c r="M266" i="11"/>
  <c r="M265" i="11"/>
  <c r="M264" i="11"/>
  <c r="I263" i="11"/>
  <c r="I271" i="11" s="1"/>
  <c r="M262" i="11"/>
  <c r="M261" i="11"/>
  <c r="M259" i="11"/>
  <c r="M258" i="11"/>
  <c r="M257" i="11"/>
  <c r="M256" i="11"/>
  <c r="M255" i="11"/>
  <c r="I254" i="11"/>
  <c r="M253" i="11"/>
  <c r="M252" i="11"/>
  <c r="M251" i="11"/>
  <c r="M250" i="11"/>
  <c r="M249" i="11"/>
  <c r="M248" i="11"/>
  <c r="M247" i="11"/>
  <c r="M246" i="11"/>
  <c r="M244" i="11"/>
  <c r="M243" i="11"/>
  <c r="M242" i="11"/>
  <c r="M241" i="11"/>
  <c r="M240" i="11"/>
  <c r="M239" i="11"/>
  <c r="M238" i="11"/>
  <c r="M237" i="11"/>
  <c r="M236" i="11"/>
  <c r="M235" i="11"/>
  <c r="M234" i="11"/>
  <c r="M233" i="11"/>
  <c r="M232" i="11"/>
  <c r="M231" i="11"/>
  <c r="M230" i="11"/>
  <c r="M229" i="11"/>
  <c r="M228" i="11"/>
  <c r="M227" i="11"/>
  <c r="M226" i="11"/>
  <c r="A4" i="1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D100" i="2"/>
  <c r="D101" i="2"/>
  <c r="D102" i="2"/>
  <c r="D108" i="2"/>
  <c r="D112" i="2"/>
  <c r="D113" i="2"/>
  <c r="D114" i="2"/>
  <c r="D116" i="2"/>
  <c r="D117" i="2"/>
  <c r="D118" i="2"/>
  <c r="D119" i="2"/>
  <c r="D121" i="2"/>
  <c r="D122" i="2"/>
  <c r="D123" i="2"/>
  <c r="D124" i="2"/>
  <c r="D126" i="2"/>
  <c r="D127" i="2"/>
  <c r="D128" i="2"/>
  <c r="D129" i="2"/>
  <c r="D131" i="2"/>
  <c r="D132" i="2"/>
  <c r="D134" i="2"/>
  <c r="D136" i="2"/>
  <c r="D137" i="2"/>
  <c r="D138" i="2"/>
  <c r="D139" i="2"/>
  <c r="D140" i="2"/>
  <c r="D141" i="2"/>
  <c r="M280" i="2" l="1"/>
  <c r="M9" i="22"/>
  <c r="M14" i="22"/>
  <c r="Q8" i="22"/>
  <c r="U9" i="1"/>
  <c r="U11" i="1" s="1"/>
  <c r="I260" i="11"/>
  <c r="I1162" i="11"/>
  <c r="M245" i="11"/>
  <c r="M1162" i="11" s="1"/>
  <c r="L117" i="13"/>
  <c r="L261" i="13" s="1"/>
  <c r="M704" i="9"/>
  <c r="M116" i="13"/>
  <c r="M117" i="13" s="1"/>
  <c r="U20" i="4"/>
  <c r="M707" i="9"/>
  <c r="M709" i="9" s="1"/>
  <c r="M1330" i="9" s="1"/>
  <c r="M325" i="11"/>
  <c r="M327" i="11" s="1"/>
  <c r="M321" i="11"/>
  <c r="M323" i="11" s="1"/>
  <c r="M112" i="13"/>
  <c r="AG605" i="16"/>
  <c r="M254" i="11"/>
  <c r="M260" i="11" s="1"/>
  <c r="BV26" i="5"/>
  <c r="BV85" i="5" s="1"/>
  <c r="S609" i="16"/>
  <c r="V609" i="16" s="1"/>
  <c r="M263" i="11"/>
  <c r="M271" i="11" s="1"/>
  <c r="Q14" i="22" l="1"/>
  <c r="Q15" i="22" s="1"/>
  <c r="M15" i="22"/>
  <c r="M114" i="13"/>
  <c r="M261" i="13"/>
  <c r="A4" i="9" l="1"/>
  <c r="A5" i="9" s="1"/>
  <c r="A6" i="9" s="1"/>
  <c r="A7" i="9" s="1"/>
  <c r="A8" i="9" s="1"/>
  <c r="A9" i="9" s="1"/>
  <c r="A10" i="9" s="1"/>
  <c r="A11" i="9" s="1"/>
  <c r="A12" i="9" s="1"/>
  <c r="A13" i="9" s="1"/>
  <c r="A14" i="9" s="1"/>
  <c r="A17" i="9"/>
  <c r="A18" i="9" s="1"/>
  <c r="A19" i="9" s="1"/>
  <c r="A20" i="9" s="1"/>
  <c r="A21" i="9" s="1"/>
  <c r="A22" i="9" s="1"/>
  <c r="A23" i="9" s="1"/>
  <c r="A24" i="9" s="1"/>
  <c r="A25" i="9" s="1"/>
  <c r="A26" i="9" s="1"/>
  <c r="A27" i="9" s="1"/>
  <c r="A28" i="9" s="1"/>
  <c r="A29" i="9" s="1"/>
  <c r="A32" i="9"/>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81" i="9"/>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2" i="9"/>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H141" i="2"/>
  <c r="M141" i="2" s="1"/>
  <c r="H140" i="2"/>
  <c r="M140" i="2" s="1"/>
  <c r="H139" i="2"/>
  <c r="M139" i="2" s="1"/>
  <c r="H138" i="2"/>
  <c r="M138" i="2" s="1"/>
  <c r="H137" i="2"/>
  <c r="M137" i="2" s="1"/>
  <c r="A137" i="2"/>
  <c r="A138" i="2" s="1"/>
  <c r="A139" i="2" s="1"/>
  <c r="A140" i="2" s="1"/>
  <c r="A141" i="2" s="1"/>
  <c r="H136" i="2"/>
  <c r="H142" i="2" s="1"/>
  <c r="I134" i="2"/>
  <c r="I135" i="2" s="1"/>
  <c r="H134" i="2"/>
  <c r="H135" i="2" s="1"/>
  <c r="H132" i="2"/>
  <c r="M132" i="2" s="1"/>
  <c r="A132" i="2"/>
  <c r="H131" i="2"/>
  <c r="H133" i="2" s="1"/>
  <c r="K129" i="2"/>
  <c r="K130" i="2" s="1"/>
  <c r="I129" i="2"/>
  <c r="G129" i="2"/>
  <c r="H128" i="2"/>
  <c r="G128" i="2"/>
  <c r="G130" i="2" s="1"/>
  <c r="I127" i="2"/>
  <c r="H127" i="2"/>
  <c r="A127" i="2"/>
  <c r="A128" i="2" s="1"/>
  <c r="A129" i="2" s="1"/>
  <c r="I126" i="2"/>
  <c r="I130" i="2" s="1"/>
  <c r="H126" i="2"/>
  <c r="H130" i="2" s="1"/>
  <c r="K124" i="2"/>
  <c r="I124" i="2"/>
  <c r="H124" i="2"/>
  <c r="G124" i="2"/>
  <c r="I123" i="2"/>
  <c r="H123" i="2"/>
  <c r="I122" i="2"/>
  <c r="H122" i="2"/>
  <c r="A122" i="2"/>
  <c r="A123" i="2" s="1"/>
  <c r="A124" i="2" s="1"/>
  <c r="K121" i="2"/>
  <c r="K125" i="2" s="1"/>
  <c r="I121" i="2"/>
  <c r="I125" i="2" s="1"/>
  <c r="H121" i="2"/>
  <c r="H125" i="2" s="1"/>
  <c r="G121" i="2"/>
  <c r="G125" i="2" s="1"/>
  <c r="K119" i="2"/>
  <c r="K120" i="2" s="1"/>
  <c r="I119" i="2"/>
  <c r="H119" i="2"/>
  <c r="H120" i="2" s="1"/>
  <c r="G119" i="2"/>
  <c r="G120" i="2" s="1"/>
  <c r="I118" i="2"/>
  <c r="M118" i="2" s="1"/>
  <c r="I117" i="2"/>
  <c r="A117" i="2"/>
  <c r="A118" i="2" s="1"/>
  <c r="A119" i="2" s="1"/>
  <c r="I116" i="2"/>
  <c r="I120" i="2" s="1"/>
  <c r="K114" i="2"/>
  <c r="K115" i="2" s="1"/>
  <c r="I114" i="2"/>
  <c r="H114" i="2"/>
  <c r="G114" i="2"/>
  <c r="G115" i="2" s="1"/>
  <c r="I113" i="2"/>
  <c r="M113" i="2" s="1"/>
  <c r="A113" i="2"/>
  <c r="A114" i="2" s="1"/>
  <c r="I112" i="2"/>
  <c r="I115" i="2" s="1"/>
  <c r="I110" i="2"/>
  <c r="G110" i="2"/>
  <c r="I109" i="2"/>
  <c r="G109" i="2"/>
  <c r="G111" i="2" s="1"/>
  <c r="A109" i="2"/>
  <c r="A110" i="2" s="1"/>
  <c r="I108" i="2"/>
  <c r="I111" i="2" s="1"/>
  <c r="M106" i="2"/>
  <c r="M105" i="2"/>
  <c r="A105" i="2"/>
  <c r="A106" i="2" s="1"/>
  <c r="M104" i="2"/>
  <c r="M107" i="2" s="1"/>
  <c r="K102" i="2"/>
  <c r="M102" i="2" s="1"/>
  <c r="K101" i="2"/>
  <c r="K103" i="2" s="1"/>
  <c r="G101" i="2"/>
  <c r="G103" i="2" s="1"/>
  <c r="A101" i="2"/>
  <c r="A102" i="2" s="1"/>
  <c r="I100" i="2"/>
  <c r="I103" i="2" s="1"/>
  <c r="K98" i="2"/>
  <c r="I98" i="2"/>
  <c r="A98" i="2"/>
  <c r="K97" i="2"/>
  <c r="J97" i="2"/>
  <c r="I97" i="2"/>
  <c r="G97" i="2"/>
  <c r="A12" i="2"/>
  <c r="A15" i="2"/>
  <c r="A23" i="2"/>
  <c r="A30" i="2"/>
  <c r="A37" i="2"/>
  <c r="A43" i="2"/>
  <c r="A51" i="2"/>
  <c r="A54" i="2"/>
  <c r="H115" i="2" l="1"/>
  <c r="H439" i="2" s="1"/>
  <c r="K99" i="2"/>
  <c r="K439" i="2"/>
  <c r="J99" i="2"/>
  <c r="J439" i="2" s="1"/>
  <c r="I99" i="2"/>
  <c r="I439" i="2" s="1"/>
  <c r="G99" i="2"/>
  <c r="G439" i="2" s="1"/>
  <c r="A38" i="2"/>
  <c r="A39" i="2" s="1"/>
  <c r="A40" i="2" s="1"/>
  <c r="A55" i="2"/>
  <c r="A56" i="2" s="1"/>
  <c r="A31" i="2"/>
  <c r="A32" i="2" s="1"/>
  <c r="A33" i="2" s="1"/>
  <c r="A34" i="2" s="1"/>
  <c r="A16" i="2"/>
  <c r="A17" i="2" s="1"/>
  <c r="A18" i="2" s="1"/>
  <c r="A19" i="2" s="1"/>
  <c r="A20" i="2" s="1"/>
  <c r="A44" i="2"/>
  <c r="A45" i="2" s="1"/>
  <c r="A46" i="2" s="1"/>
  <c r="A24" i="2"/>
  <c r="A25" i="2" s="1"/>
  <c r="A26" i="2" s="1"/>
  <c r="A27" i="2" s="1"/>
  <c r="M112" i="2"/>
  <c r="M100" i="2"/>
  <c r="M128" i="2"/>
  <c r="M108" i="2"/>
  <c r="M136" i="2"/>
  <c r="M142" i="2" s="1"/>
  <c r="M122" i="2"/>
  <c r="M124" i="2"/>
  <c r="M127" i="2"/>
  <c r="M101" i="2"/>
  <c r="M109" i="2"/>
  <c r="M116" i="2"/>
  <c r="M123" i="2"/>
  <c r="M119" i="2"/>
  <c r="M126" i="2"/>
  <c r="M130" i="2" s="1"/>
  <c r="M121" i="2"/>
  <c r="M125" i="2" s="1"/>
  <c r="M129" i="2"/>
  <c r="M97" i="2"/>
  <c r="M98" i="2"/>
  <c r="M114" i="2"/>
  <c r="M134" i="2"/>
  <c r="M135" i="2" s="1"/>
  <c r="M131" i="2"/>
  <c r="M133" i="2" s="1"/>
  <c r="M110" i="2"/>
  <c r="M117" i="2"/>
  <c r="N7" i="1"/>
  <c r="M120" i="2" l="1"/>
  <c r="M103" i="2"/>
  <c r="M111" i="2"/>
  <c r="M115" i="2"/>
  <c r="M99" i="2"/>
  <c r="M439" i="2" s="1"/>
  <c r="AJ3" i="6"/>
  <c r="U17" i="1"/>
  <c r="I2" i="14"/>
  <c r="I5" i="14" l="1"/>
  <c r="I35" i="14" s="1"/>
  <c r="AK6" i="6"/>
  <c r="AK10" i="6"/>
  <c r="AK9" i="6"/>
  <c r="AK8" i="6"/>
  <c r="AK7" i="6"/>
  <c r="AK4" i="6"/>
  <c r="AK5" i="6"/>
  <c r="W9" i="6" l="1"/>
  <c r="W8" i="6"/>
  <c r="W7" i="6"/>
  <c r="W6" i="6"/>
  <c r="W5" i="6"/>
  <c r="W4" i="6"/>
  <c r="BO19" i="5" l="1"/>
  <c r="BO9" i="5"/>
  <c r="K4" i="14" l="1"/>
  <c r="K3" i="14"/>
  <c r="K2" i="14"/>
  <c r="K5" i="14" l="1"/>
  <c r="K35" i="14" s="1"/>
  <c r="G4" i="14"/>
  <c r="L4" i="14" s="1"/>
  <c r="G3" i="14"/>
  <c r="L3" i="14" s="1"/>
  <c r="G2" i="14"/>
  <c r="G5" i="14" l="1"/>
  <c r="G35" i="14" s="1"/>
  <c r="L2" i="14"/>
  <c r="L5" i="14" l="1"/>
  <c r="L35" i="14" s="1"/>
  <c r="N20" i="4"/>
  <c r="BO13" i="5"/>
  <c r="BO11" i="5" l="1"/>
  <c r="BO26" i="5" s="1"/>
  <c r="BO85" i="5" s="1"/>
  <c r="I19" i="13"/>
  <c r="I18" i="13"/>
  <c r="I17" i="13"/>
  <c r="I16" i="13"/>
  <c r="I15" i="13"/>
  <c r="I14" i="13"/>
  <c r="I13" i="13"/>
  <c r="I12" i="13"/>
  <c r="I11" i="13"/>
  <c r="I10" i="13"/>
  <c r="I9" i="13"/>
  <c r="I8" i="13"/>
  <c r="I30" i="13"/>
  <c r="I29" i="13"/>
  <c r="I28" i="13"/>
  <c r="I27" i="13"/>
  <c r="I26" i="13"/>
  <c r="I25" i="13"/>
  <c r="I24" i="13"/>
  <c r="I23" i="13"/>
  <c r="I22" i="13"/>
  <c r="I21" i="13"/>
  <c r="I20" i="13"/>
  <c r="I7" i="13"/>
  <c r="I6" i="13"/>
  <c r="I5" i="13"/>
  <c r="I4" i="13"/>
  <c r="I3" i="13"/>
  <c r="I103" i="11"/>
  <c r="I102" i="11"/>
  <c r="I101" i="11"/>
  <c r="I100" i="11"/>
  <c r="I192" i="9"/>
  <c r="I19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55" i="2"/>
  <c r="I54" i="2"/>
  <c r="I31" i="13" l="1"/>
  <c r="I76" i="13" s="1"/>
  <c r="I105" i="11"/>
  <c r="I104" i="11"/>
  <c r="I99" i="11"/>
  <c r="I98" i="11"/>
  <c r="I97" i="11"/>
  <c r="I96" i="11"/>
  <c r="I95" i="11"/>
  <c r="I94" i="11"/>
  <c r="I93" i="11"/>
  <c r="I92" i="11"/>
  <c r="I91" i="11"/>
  <c r="I90" i="11"/>
  <c r="I89" i="11"/>
  <c r="I88" i="11"/>
  <c r="I87" i="11"/>
  <c r="I106" i="11" s="1"/>
  <c r="I194" i="9"/>
  <c r="I191" i="9"/>
  <c r="I190" i="9"/>
  <c r="I189" i="9"/>
  <c r="I188" i="9"/>
  <c r="I187" i="9"/>
  <c r="I186" i="9"/>
  <c r="I185" i="9"/>
  <c r="I184" i="9"/>
  <c r="I183" i="9"/>
  <c r="I182" i="9"/>
  <c r="I181" i="9"/>
  <c r="I180" i="9"/>
  <c r="I179" i="9"/>
  <c r="I178" i="9"/>
  <c r="I177" i="9"/>
  <c r="I176" i="9"/>
  <c r="I175" i="9"/>
  <c r="I174" i="9"/>
  <c r="I173" i="9"/>
  <c r="I172" i="9"/>
  <c r="I171" i="9"/>
  <c r="I170" i="9"/>
  <c r="I169" i="9"/>
  <c r="I168" i="9"/>
  <c r="I167" i="9"/>
  <c r="I166" i="9"/>
  <c r="I165" i="9"/>
  <c r="I164" i="9"/>
  <c r="I163" i="9"/>
  <c r="I126" i="9"/>
  <c r="I125" i="9"/>
  <c r="I124" i="9"/>
  <c r="I123" i="9"/>
  <c r="I121" i="9"/>
  <c r="I56" i="2" l="1"/>
  <c r="I53" i="2"/>
  <c r="I57" i="2" s="1"/>
  <c r="N51" i="1" l="1"/>
  <c r="N15" i="1" l="1"/>
  <c r="N11" i="1"/>
  <c r="BN41" i="5"/>
  <c r="BN47" i="5" s="1"/>
  <c r="M4" i="4"/>
  <c r="M6" i="1"/>
  <c r="N17" i="1" l="1"/>
  <c r="N5" i="1" l="1"/>
  <c r="I68" i="11"/>
  <c r="I69" i="11"/>
  <c r="I70" i="11"/>
  <c r="I71" i="11"/>
  <c r="I72" i="11"/>
  <c r="I73" i="11"/>
  <c r="I74" i="11"/>
  <c r="I75" i="11"/>
  <c r="I76" i="11"/>
  <c r="I77" i="11"/>
  <c r="I78" i="11"/>
  <c r="I79" i="11"/>
  <c r="I80" i="11"/>
  <c r="I81" i="11"/>
  <c r="I82" i="11"/>
  <c r="I83" i="11"/>
  <c r="I84" i="11"/>
  <c r="I85" i="11"/>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86" i="11" l="1"/>
  <c r="I120" i="9"/>
  <c r="U5" i="6"/>
  <c r="U6" i="6"/>
  <c r="U8" i="6"/>
  <c r="U9" i="6"/>
  <c r="U4" i="6"/>
  <c r="BN9" i="5"/>
  <c r="BN19" i="5"/>
  <c r="M11" i="1"/>
  <c r="L11" i="1"/>
  <c r="K11" i="1"/>
  <c r="M20" i="4"/>
  <c r="M15" i="1" l="1"/>
  <c r="M17" i="1" s="1"/>
  <c r="BN13" i="5"/>
  <c r="BN26" i="5" s="1"/>
  <c r="BN85" i="5" s="1"/>
  <c r="G51" i="2"/>
  <c r="I51" i="2" s="1"/>
  <c r="G50" i="2"/>
  <c r="G52" i="2" s="1"/>
  <c r="I50" i="2" l="1"/>
  <c r="I52" i="2" s="1"/>
  <c r="N3" i="1" l="1"/>
  <c r="M5" i="1" l="1"/>
  <c r="M3" i="1" s="1"/>
  <c r="I30" i="11" l="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31" i="9"/>
  <c r="S8" i="6"/>
  <c r="S5" i="6"/>
  <c r="S6" i="6"/>
  <c r="S7" i="6"/>
  <c r="T7" i="6" s="1"/>
  <c r="U7" i="6" s="1"/>
  <c r="S9" i="6"/>
  <c r="S4" i="6"/>
  <c r="I67" i="11" l="1"/>
  <c r="I79" i="9"/>
  <c r="L15" i="1"/>
  <c r="BM19" i="5" l="1"/>
  <c r="L20" i="4" l="1"/>
  <c r="BM52" i="5" l="1"/>
  <c r="BM60" i="5" s="1"/>
  <c r="BM66" i="5" l="1"/>
  <c r="BA66" i="5"/>
  <c r="AZ66" i="5"/>
  <c r="AY66" i="5"/>
  <c r="AX66" i="5"/>
  <c r="AW66" i="5"/>
  <c r="AI66" i="5"/>
  <c r="AG66" i="5"/>
  <c r="AF66" i="5"/>
  <c r="AE66" i="5"/>
  <c r="Q66" i="5"/>
  <c r="P66" i="5"/>
  <c r="O66" i="5"/>
  <c r="N66" i="5"/>
  <c r="M66" i="5"/>
  <c r="L66" i="5"/>
  <c r="J66" i="5"/>
  <c r="I66" i="5"/>
  <c r="H66" i="5"/>
  <c r="G66" i="5"/>
  <c r="F66" i="5"/>
  <c r="E66" i="5"/>
  <c r="AK64" i="5"/>
  <c r="AK66" i="5" s="1"/>
  <c r="AH64" i="5"/>
  <c r="AH66" i="5" s="1"/>
  <c r="BM9" i="5"/>
  <c r="BM26" i="5" s="1"/>
  <c r="BM85" i="5" l="1"/>
  <c r="G48" i="2"/>
  <c r="G49" i="2" s="1"/>
  <c r="I48" i="2" l="1"/>
  <c r="I49" i="2" s="1"/>
  <c r="L17" i="1"/>
  <c r="L5" i="1" l="1"/>
  <c r="L3" i="1" s="1"/>
  <c r="I27" i="11" l="1"/>
  <c r="I28" i="11"/>
  <c r="I17" i="11" l="1"/>
  <c r="I18" i="11"/>
  <c r="I19" i="11"/>
  <c r="I20" i="11"/>
  <c r="I21" i="11"/>
  <c r="I22" i="11"/>
  <c r="I23" i="11"/>
  <c r="I24" i="11"/>
  <c r="I25" i="11"/>
  <c r="I26" i="11"/>
  <c r="I16" i="11" l="1"/>
  <c r="I15" i="11"/>
  <c r="I14" i="11"/>
  <c r="I13" i="11"/>
  <c r="I12" i="11"/>
  <c r="I11" i="11"/>
  <c r="I10" i="11"/>
  <c r="I9" i="11"/>
  <c r="I8" i="11"/>
  <c r="I7" i="11"/>
  <c r="I6" i="11"/>
  <c r="I5" i="11"/>
  <c r="I4" i="11"/>
  <c r="I3" i="11"/>
  <c r="I29" i="11" l="1"/>
  <c r="I222" i="11" s="1"/>
  <c r="E10" i="1"/>
  <c r="F10" i="1"/>
  <c r="G10" i="1"/>
  <c r="H10" i="1"/>
  <c r="I10" i="1"/>
  <c r="J10" i="1"/>
  <c r="K10" i="1"/>
  <c r="D10" i="1"/>
  <c r="Q8" i="6" l="1"/>
  <c r="Q9" i="6"/>
  <c r="Q5" i="6"/>
  <c r="Q6" i="6"/>
  <c r="Q7" i="6"/>
  <c r="Q4" i="6"/>
  <c r="I16" i="9"/>
  <c r="I17" i="9"/>
  <c r="I18" i="9"/>
  <c r="I19" i="9"/>
  <c r="I20" i="9"/>
  <c r="I21" i="9"/>
  <c r="I22" i="9"/>
  <c r="I23" i="9"/>
  <c r="I24" i="9"/>
  <c r="I25" i="9"/>
  <c r="I26" i="9"/>
  <c r="I27" i="9"/>
  <c r="I28" i="9"/>
  <c r="I29" i="9"/>
  <c r="I42" i="2"/>
  <c r="G44" i="2"/>
  <c r="I44" i="2" s="1"/>
  <c r="G45" i="2"/>
  <c r="I45" i="2" s="1"/>
  <c r="G46" i="2"/>
  <c r="I46" i="2" s="1"/>
  <c r="G43" i="2"/>
  <c r="G47" i="2" s="1"/>
  <c r="BL9" i="5"/>
  <c r="BL19" i="5"/>
  <c r="I30" i="9" l="1"/>
  <c r="BL26" i="5"/>
  <c r="I43" i="2"/>
  <c r="I47" i="2" s="1"/>
  <c r="K15" i="1"/>
  <c r="K17" i="1" l="1"/>
  <c r="K20" i="4"/>
  <c r="K5" i="1" l="1"/>
  <c r="K3" i="1" l="1"/>
  <c r="J11" i="1" l="1"/>
  <c r="J15" i="1"/>
  <c r="J7" i="1"/>
  <c r="J17" i="1" l="1"/>
  <c r="O5" i="6" l="1"/>
  <c r="O6" i="6"/>
  <c r="O7" i="6"/>
  <c r="O8" i="6"/>
  <c r="O9" i="6"/>
  <c r="O4" i="6"/>
  <c r="BK19" i="5" l="1"/>
  <c r="BK9" i="5"/>
  <c r="I20" i="4"/>
  <c r="J20" i="4"/>
  <c r="BK26" i="5" l="1"/>
  <c r="J51" i="1"/>
  <c r="I7" i="9"/>
  <c r="I13" i="9"/>
  <c r="I12" i="9"/>
  <c r="I11" i="9"/>
  <c r="I10" i="9"/>
  <c r="I9" i="9"/>
  <c r="F4" i="9"/>
  <c r="I5" i="9"/>
  <c r="I14" i="9"/>
  <c r="I8" i="9"/>
  <c r="I6" i="9"/>
  <c r="I3" i="9"/>
  <c r="I36" i="2"/>
  <c r="G40" i="2"/>
  <c r="I40" i="2" s="1"/>
  <c r="G39" i="2"/>
  <c r="G41" i="2" s="1"/>
  <c r="F38" i="2"/>
  <c r="F37" i="2"/>
  <c r="F15" i="9" l="1"/>
  <c r="F407" i="9" s="1"/>
  <c r="I15" i="9"/>
  <c r="F41" i="2"/>
  <c r="F92" i="2" s="1"/>
  <c r="I39" i="2"/>
  <c r="I4" i="9"/>
  <c r="I37" i="2"/>
  <c r="I38" i="2"/>
  <c r="I41" i="2" l="1"/>
  <c r="J52" i="1" l="1"/>
  <c r="J5" i="1" l="1"/>
  <c r="J3" i="1" s="1"/>
  <c r="M6" i="6" l="1"/>
  <c r="M5" i="6"/>
  <c r="M7" i="6"/>
  <c r="M8" i="6"/>
  <c r="M9" i="6"/>
  <c r="M4" i="6"/>
  <c r="K6" i="6"/>
  <c r="BJ19" i="5"/>
  <c r="BJ9" i="5"/>
  <c r="I15" i="1"/>
  <c r="F15" i="1"/>
  <c r="I11" i="1"/>
  <c r="BJ26" i="5" l="1"/>
  <c r="I17" i="1"/>
  <c r="I7" i="1" l="1"/>
  <c r="I51" i="1"/>
  <c r="H33" i="2" l="1"/>
  <c r="G32" i="2"/>
  <c r="G31" i="2"/>
  <c r="G30" i="2"/>
  <c r="G29" i="2"/>
  <c r="H35" i="2" l="1"/>
  <c r="H92" i="2" s="1"/>
  <c r="G35" i="2"/>
  <c r="G92" i="2" s="1"/>
  <c r="BJ30" i="5"/>
  <c r="BJ32" i="5" s="1"/>
  <c r="I34" i="2" l="1"/>
  <c r="I33" i="2"/>
  <c r="I32" i="2"/>
  <c r="I31" i="2"/>
  <c r="I30" i="2"/>
  <c r="I29" i="2"/>
  <c r="I35" i="2" l="1"/>
  <c r="I5" i="1"/>
  <c r="I3" i="1" s="1"/>
  <c r="D7" i="1"/>
  <c r="E7" i="1"/>
  <c r="F7" i="1"/>
  <c r="G7" i="1"/>
  <c r="G52" i="1" l="1"/>
  <c r="BH25" i="5"/>
  <c r="K4" i="6" l="1"/>
  <c r="K5" i="6" l="1"/>
  <c r="K7" i="6"/>
  <c r="K8" i="6"/>
  <c r="K9" i="6"/>
  <c r="BH9" i="5" l="1"/>
  <c r="I27" i="2" l="1"/>
  <c r="I26" i="2"/>
  <c r="I25" i="2"/>
  <c r="I24" i="2"/>
  <c r="I23" i="2"/>
  <c r="I22" i="2"/>
  <c r="I28" i="2" l="1"/>
  <c r="H17" i="1"/>
  <c r="H3" i="1" s="1"/>
  <c r="H20" i="4" l="1"/>
  <c r="I5" i="6" l="1"/>
  <c r="I6" i="6"/>
  <c r="I7" i="6"/>
  <c r="I8" i="6"/>
  <c r="I9" i="6"/>
  <c r="I4" i="6"/>
  <c r="BH19" i="5" l="1"/>
  <c r="BH23" i="5" l="1"/>
  <c r="BH21" i="5"/>
  <c r="G20" i="4"/>
  <c r="G14" i="1"/>
  <c r="G15" i="1" s="1"/>
  <c r="G9" i="1"/>
  <c r="G11" i="1" s="1"/>
  <c r="BH26" i="5" l="1"/>
  <c r="G17" i="1"/>
  <c r="G5" i="1" l="1"/>
  <c r="G3" i="1" s="1"/>
  <c r="G9" i="6" l="1"/>
  <c r="I14" i="2" l="1"/>
  <c r="I15" i="2"/>
  <c r="I16" i="2"/>
  <c r="I17" i="2"/>
  <c r="I18" i="2"/>
  <c r="I19" i="2"/>
  <c r="I20" i="2"/>
  <c r="I21" i="2" l="1"/>
  <c r="F11" i="1"/>
  <c r="F20" i="4"/>
  <c r="F17" i="1" l="1"/>
  <c r="E9" i="1"/>
  <c r="F5" i="1" l="1"/>
  <c r="F3" i="1" s="1"/>
  <c r="E4" i="6" l="1"/>
  <c r="E9" i="6"/>
  <c r="E5" i="6"/>
  <c r="E7" i="6"/>
  <c r="E6" i="6"/>
  <c r="E8" i="6"/>
  <c r="BF19" i="5" l="1"/>
  <c r="BF9" i="5"/>
  <c r="I12" i="2"/>
  <c r="I11" i="2"/>
  <c r="I13" i="2" s="1"/>
  <c r="BF26" i="5" l="1"/>
  <c r="E13" i="4"/>
  <c r="E20" i="4" s="1"/>
  <c r="E11" i="1"/>
  <c r="E15" i="1"/>
  <c r="E17" i="1" l="1"/>
  <c r="E5" i="1" l="1"/>
  <c r="E3" i="1" s="1"/>
  <c r="C5" i="6" l="1"/>
  <c r="C6" i="6"/>
  <c r="C7" i="6"/>
  <c r="C8" i="6"/>
  <c r="C9" i="6"/>
  <c r="C4" i="6"/>
  <c r="BE9" i="5" l="1"/>
  <c r="BE19" i="5"/>
  <c r="BE21" i="5"/>
  <c r="BE23" i="5"/>
  <c r="BE17" i="5"/>
  <c r="I3" i="2"/>
  <c r="I4" i="2"/>
  <c r="I5" i="2"/>
  <c r="I6" i="2"/>
  <c r="I7" i="2"/>
  <c r="I8" i="2"/>
  <c r="I9" i="2"/>
  <c r="D14" i="1"/>
  <c r="D15" i="1" s="1"/>
  <c r="D51" i="1"/>
  <c r="D20" i="4"/>
  <c r="I10" i="2" l="1"/>
  <c r="I92" i="2" s="1"/>
  <c r="BE26" i="5"/>
  <c r="D9" i="1"/>
  <c r="D11" i="1" s="1"/>
  <c r="D17" i="1" s="1"/>
  <c r="D5" i="1" l="1"/>
  <c r="D3" i="1" s="1"/>
  <c r="BD19" i="5" l="1"/>
  <c r="BD23" i="5"/>
  <c r="BD21" i="5"/>
  <c r="BD9" i="5"/>
  <c r="BD26" i="5" l="1"/>
  <c r="BC9" i="5" l="1"/>
  <c r="BC19" i="5"/>
  <c r="BC23" i="5"/>
  <c r="BC17" i="5"/>
  <c r="BC21" i="5"/>
  <c r="BC15" i="5"/>
  <c r="BC26" i="5" l="1"/>
  <c r="BB29" i="5" l="1"/>
  <c r="BB32" i="5" s="1"/>
  <c r="BA19" i="5" l="1"/>
  <c r="BA21" i="5"/>
  <c r="BA9" i="5"/>
  <c r="BA23" i="5"/>
  <c r="BA11" i="5"/>
  <c r="BA26" i="5" l="1"/>
  <c r="BA50" i="5" l="1"/>
  <c r="BA60" i="5" s="1"/>
  <c r="AZ19" i="5" l="1"/>
  <c r="AZ9" i="5"/>
  <c r="AZ26" i="5" l="1"/>
  <c r="AY9" i="5"/>
  <c r="AY19" i="5"/>
  <c r="AY26" i="5" l="1"/>
  <c r="AX19" i="5" l="1"/>
  <c r="AX9" i="5"/>
  <c r="AX26" i="5" l="1"/>
  <c r="AW23" i="5"/>
  <c r="AW9" i="5" l="1"/>
  <c r="AW19" i="5"/>
  <c r="AW26" i="5" l="1"/>
  <c r="AK52" i="5" l="1"/>
  <c r="AK60" i="5" s="1"/>
  <c r="AH52" i="5"/>
  <c r="AH60" i="5" s="1"/>
  <c r="AV19" i="5" l="1"/>
  <c r="AV9" i="5"/>
  <c r="AV26" i="5" l="1"/>
  <c r="AU23" i="5"/>
  <c r="AU9" i="5"/>
  <c r="AU19" i="5"/>
  <c r="AU21" i="5"/>
  <c r="AU26" i="5" l="1"/>
  <c r="AT19" i="5" l="1"/>
  <c r="AT9" i="5"/>
  <c r="AT11" i="5"/>
  <c r="AT26" i="5" l="1"/>
  <c r="AS19" i="5" l="1"/>
  <c r="AS9" i="5"/>
  <c r="AS17" i="5"/>
  <c r="AS23" i="5"/>
  <c r="AS21" i="5"/>
  <c r="AS26" i="5" l="1"/>
  <c r="AR19" i="5" l="1"/>
  <c r="AR9" i="5"/>
  <c r="AR26" i="5" l="1"/>
  <c r="AQ23" i="5"/>
  <c r="AQ21" i="5"/>
  <c r="AQ19" i="5"/>
  <c r="AQ9" i="5" l="1"/>
  <c r="AQ26" i="5" s="1"/>
  <c r="AP9" i="5" l="1"/>
  <c r="AP19" i="5"/>
  <c r="AP26" i="5" l="1"/>
  <c r="AO9" i="5" l="1"/>
  <c r="AO19" i="5"/>
  <c r="AO23" i="5"/>
  <c r="AO21" i="5"/>
  <c r="AO26" i="5" l="1"/>
  <c r="AN29" i="5" l="1"/>
  <c r="AN32" i="5" s="1"/>
  <c r="AN19" i="5" l="1"/>
  <c r="AN9" i="5" l="1"/>
  <c r="AN26" i="5" s="1"/>
  <c r="AM19" i="5" l="1"/>
  <c r="AM9" i="5"/>
  <c r="AM26" i="5" l="1"/>
  <c r="AL19" i="5" l="1"/>
  <c r="AL9" i="5"/>
  <c r="AL26" i="5" l="1"/>
  <c r="AK19" i="5" l="1"/>
  <c r="AK29" i="5" l="1"/>
  <c r="AK32" i="5" s="1"/>
  <c r="AK9" i="5" l="1"/>
  <c r="AK26" i="5" s="1"/>
  <c r="AJ9" i="5" l="1"/>
  <c r="AJ19" i="5"/>
  <c r="AJ26" i="5" l="1"/>
  <c r="AI19" i="5" l="1"/>
  <c r="AI9" i="5"/>
  <c r="AI26" i="5" l="1"/>
  <c r="AH23" i="5" l="1"/>
  <c r="AH19" i="5" l="1"/>
  <c r="AH9" i="5" l="1"/>
  <c r="AH41" i="5" l="1"/>
  <c r="AH47" i="5" s="1"/>
  <c r="AH21" i="5" l="1"/>
  <c r="AH26" i="5" s="1"/>
  <c r="AG19" i="5" l="1"/>
  <c r="AG9" i="5" l="1"/>
  <c r="AG23" i="5"/>
  <c r="AG21" i="5"/>
  <c r="AG26" i="5" l="1"/>
  <c r="AF21" i="5" l="1"/>
  <c r="AF23" i="5"/>
  <c r="AF19" i="5"/>
  <c r="AF9" i="5"/>
  <c r="AF26" i="5" l="1"/>
  <c r="AE29" i="5" l="1"/>
  <c r="AE32" i="5" s="1"/>
  <c r="AE23" i="5" l="1"/>
  <c r="AE19" i="5"/>
  <c r="AE9" i="5"/>
  <c r="AE13" i="5"/>
  <c r="AE26" i="5" l="1"/>
  <c r="AD43" i="5" l="1"/>
  <c r="AD41" i="5"/>
  <c r="AD9" i="5"/>
  <c r="AD19" i="5"/>
  <c r="AD23" i="5"/>
  <c r="AD21" i="5"/>
  <c r="AD47" i="5" l="1"/>
  <c r="AD26" i="5"/>
  <c r="AD30" i="5"/>
  <c r="AD32" i="5" s="1"/>
  <c r="AC23" i="5" l="1"/>
  <c r="AC17" i="5"/>
  <c r="AC19" i="5"/>
  <c r="AC9" i="5"/>
  <c r="AC41" i="5"/>
  <c r="AC47" i="5" s="1"/>
  <c r="AC26" i="5" l="1"/>
  <c r="AB29" i="5"/>
  <c r="AB32" i="5" s="1"/>
  <c r="AB21" i="5" l="1"/>
  <c r="AB19" i="5" l="1"/>
  <c r="AB9" i="5"/>
  <c r="AB23" i="5"/>
  <c r="AB26" i="5" l="1"/>
  <c r="AA79" i="5"/>
  <c r="AA9" i="5" l="1"/>
  <c r="AA19" i="5"/>
  <c r="AA26" i="5" l="1"/>
  <c r="Z29" i="5" l="1"/>
  <c r="Z30" i="5" l="1"/>
  <c r="Z32" i="5" s="1"/>
  <c r="Z9" i="5" l="1"/>
  <c r="Z19" i="5"/>
  <c r="Z26" i="5" l="1"/>
  <c r="Z79" i="5" l="1"/>
  <c r="Y79" i="5" l="1"/>
  <c r="Y19" i="5"/>
  <c r="Y9" i="5"/>
  <c r="Y23" i="5" l="1"/>
  <c r="Y21" i="5"/>
  <c r="Y26" i="5" l="1"/>
  <c r="X19" i="5" l="1"/>
  <c r="X9" i="5"/>
  <c r="X79" i="5"/>
  <c r="X25" i="5" l="1"/>
  <c r="X23" i="5"/>
  <c r="X21" i="5"/>
  <c r="X26" i="5" l="1"/>
  <c r="W29" i="5"/>
  <c r="W32" i="5" s="1"/>
  <c r="W79" i="5" l="1"/>
  <c r="W9" i="5" l="1"/>
  <c r="W19" i="5" l="1"/>
  <c r="W26" i="5" s="1"/>
  <c r="V19" i="5" l="1"/>
  <c r="V23" i="5" l="1"/>
  <c r="V26" i="5" s="1"/>
  <c r="U79" i="5"/>
  <c r="U9" i="5" l="1"/>
  <c r="U19" i="5"/>
  <c r="H7" i="5"/>
  <c r="U23" i="5" l="1"/>
  <c r="U21" i="5"/>
  <c r="U17" i="5"/>
  <c r="U26" i="5" l="1"/>
  <c r="T9" i="5" l="1"/>
  <c r="T19" i="5"/>
  <c r="T23" i="5" l="1"/>
  <c r="T21" i="5"/>
  <c r="T26" i="5" l="1"/>
  <c r="S79" i="5" l="1"/>
  <c r="S19" i="5" l="1"/>
  <c r="S9" i="5"/>
  <c r="S21" i="5"/>
  <c r="S23" i="5"/>
  <c r="S17" i="5"/>
  <c r="S25" i="5"/>
  <c r="S26" i="5" l="1"/>
  <c r="R79" i="5" l="1"/>
  <c r="R17" i="5"/>
  <c r="R19" i="5"/>
  <c r="R21" i="5"/>
  <c r="R26" i="5" l="1"/>
  <c r="Q19" i="5" l="1"/>
  <c r="Q21" i="5"/>
  <c r="Q23" i="5"/>
  <c r="Q9" i="5"/>
  <c r="Q26" i="5" l="1"/>
  <c r="Q79" i="5" l="1"/>
  <c r="P79" i="5"/>
  <c r="P19" i="5" l="1"/>
  <c r="P9" i="5"/>
  <c r="P23" i="5"/>
  <c r="P21" i="5"/>
  <c r="P26" i="5" l="1"/>
  <c r="O9" i="5"/>
  <c r="O19" i="5"/>
  <c r="O79" i="5"/>
  <c r="O26" i="5" l="1"/>
  <c r="M79" i="5" l="1"/>
  <c r="N79" i="5"/>
  <c r="N41" i="5"/>
  <c r="N47" i="5" s="1"/>
  <c r="N9" i="5"/>
  <c r="N19" i="5"/>
  <c r="N23" i="5"/>
  <c r="N21" i="5" l="1"/>
  <c r="N11" i="5"/>
  <c r="N26" i="5" l="1"/>
  <c r="M19" i="5"/>
  <c r="M9" i="5"/>
  <c r="M23" i="5"/>
  <c r="M21" i="5"/>
  <c r="M26" i="5" l="1"/>
  <c r="L79" i="5"/>
  <c r="L41" i="5"/>
  <c r="L47" i="5" s="1"/>
  <c r="L9" i="5"/>
  <c r="L19" i="5"/>
  <c r="L11" i="5"/>
  <c r="L26" i="5" l="1"/>
  <c r="K79" i="5" l="1"/>
  <c r="K21" i="5"/>
  <c r="K19" i="5" l="1"/>
  <c r="K9" i="5"/>
  <c r="K26" i="5" l="1"/>
  <c r="J19" i="5"/>
  <c r="J9" i="5"/>
  <c r="J21" i="5"/>
  <c r="J23" i="5"/>
  <c r="J26" i="5" l="1"/>
  <c r="J79" i="5"/>
  <c r="I79" i="5" l="1"/>
  <c r="I19" i="5" l="1"/>
  <c r="I9" i="5"/>
  <c r="I23" i="5"/>
  <c r="I21" i="5"/>
  <c r="I13" i="5"/>
  <c r="I11" i="5"/>
  <c r="I26" i="5" l="1"/>
  <c r="H29" i="5"/>
  <c r="H32" i="5" s="1"/>
  <c r="H23" i="5" l="1"/>
  <c r="H17" i="5" l="1"/>
  <c r="H9" i="5" l="1"/>
  <c r="H19" i="5"/>
  <c r="H11" i="5"/>
  <c r="H21" i="5" l="1"/>
  <c r="H26" i="5" s="1"/>
  <c r="G9" i="5" l="1"/>
  <c r="G19" i="5"/>
  <c r="G13" i="5"/>
  <c r="G11" i="5"/>
  <c r="G26" i="5" l="1"/>
  <c r="F9" i="5"/>
  <c r="F11" i="5"/>
  <c r="F19" i="5" l="1"/>
  <c r="F21" i="5"/>
  <c r="F26" i="5" l="1"/>
  <c r="E75" i="5" l="1"/>
  <c r="E19" i="5" l="1"/>
  <c r="E29" i="5" l="1"/>
  <c r="E32" i="5" s="1"/>
  <c r="E9" i="5"/>
  <c r="E21" i="5"/>
  <c r="E26" i="5" l="1"/>
  <c r="H79" i="5"/>
  <c r="G79" i="5"/>
  <c r="F79" i="5"/>
  <c r="E79" i="5"/>
  <c r="I122" i="9" l="1"/>
  <c r="I195" i="9" l="1"/>
  <c r="I407" i="9" s="1"/>
  <c r="E269" i="9" l="1"/>
  <c r="D265" i="9"/>
  <c r="D256" i="9"/>
  <c r="D267" i="9"/>
  <c r="E265" i="9"/>
  <c r="D258" i="9"/>
  <c r="D259" i="9"/>
  <c r="E273" i="9"/>
  <c r="D262" i="9"/>
  <c r="D280" i="9"/>
  <c r="E268" i="9"/>
  <c r="D266" i="9"/>
  <c r="E267" i="9"/>
  <c r="D268" i="9"/>
  <c r="D269" i="9"/>
  <c r="E259" i="9"/>
  <c r="D260" i="9"/>
  <c r="D277" i="9"/>
  <c r="D279" i="9"/>
  <c r="E266" i="9"/>
  <c r="D276" i="9"/>
  <c r="E256" i="9"/>
  <c r="E270" i="9"/>
  <c r="E280" i="9"/>
  <c r="E264" i="9"/>
  <c r="D270" i="9"/>
  <c r="E279" i="9"/>
  <c r="E263" i="9"/>
  <c r="D271" i="9"/>
  <c r="D274" i="9"/>
  <c r="E274" i="9"/>
  <c r="D261" i="9"/>
  <c r="E271" i="9"/>
  <c r="E278" i="9"/>
  <c r="E262" i="9"/>
  <c r="D272" i="9"/>
  <c r="E277" i="9"/>
  <c r="E261" i="9"/>
  <c r="D257" i="9"/>
  <c r="D273" i="9"/>
  <c r="E276" i="9"/>
  <c r="E260" i="9"/>
  <c r="E275" i="9"/>
  <c r="D275" i="9"/>
  <c r="E258" i="9"/>
  <c r="E257" i="9"/>
  <c r="E272" i="9"/>
  <c r="D278" i="9"/>
  <c r="D263" i="9"/>
  <c r="D264" i="9"/>
  <c r="E73" i="2"/>
  <c r="E72" i="2"/>
  <c r="D73" i="2"/>
  <c r="D71" i="2"/>
  <c r="D70" i="2"/>
  <c r="E71" i="2"/>
  <c r="D72" i="2"/>
  <c r="E70" i="2"/>
  <c r="E281" i="9" l="1"/>
  <c r="E407" i="9"/>
  <c r="E76" i="2"/>
  <c r="E92" i="2"/>
  <c r="U20" i="1"/>
  <c r="U21" i="1" l="1"/>
  <c r="U42" i="1"/>
  <c r="U38" i="1"/>
  <c r="U22" i="1"/>
  <c r="U25" i="1" s="1"/>
  <c r="U34" i="1" l="1"/>
  <c r="U49" i="1"/>
  <c r="U50" i="1" l="1"/>
  <c r="U5" i="1" s="1"/>
  <c r="U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Diep Thi. Nguyen</author>
    <author>Hue Dinh Thi</author>
    <author>Ha Do Thi Thu</author>
  </authors>
  <commentList>
    <comment ref="F12" authorId="0" shapeId="0" xr:uid="{00000000-0006-0000-0000-000019000000}">
      <text>
        <r>
          <rPr>
            <sz val="11"/>
            <color indexed="81"/>
            <rFont val="Tahoma"/>
            <family val="2"/>
          </rPr>
          <t xml:space="preserve"> Vitrox/ Conveyor of Goldland
</t>
        </r>
      </text>
    </comment>
    <comment ref="F14" authorId="0" shapeId="0" xr:uid="{00000000-0006-0000-0000-00001C000000}">
      <text>
        <r>
          <rPr>
            <sz val="11"/>
            <color indexed="81"/>
            <rFont val="Tahoma"/>
            <family val="2"/>
          </rPr>
          <t xml:space="preserve">Panasonic machine
</t>
        </r>
      </text>
    </comment>
    <comment ref="F16" authorId="0" shapeId="0" xr:uid="{00000000-0006-0000-0000-000028000000}">
      <text>
        <r>
          <rPr>
            <sz val="11"/>
            <color indexed="81"/>
            <rFont val="Tahoma"/>
            <family val="2"/>
          </rPr>
          <t xml:space="preserve">Unloading &amp; Moving Panasonic/ Anda -Lucid + Inspection of Panasonic
</t>
        </r>
      </text>
    </comment>
    <comment ref="H16" authorId="0" shapeId="0" xr:uid="{00000000-0006-0000-0000-000029000000}">
      <text>
        <r>
          <rPr>
            <sz val="11"/>
            <color indexed="81"/>
            <rFont val="Tahoma"/>
            <family val="2"/>
          </rPr>
          <t>Unloading/moving Anda shipment -&gt; Charge to Lucid</t>
        </r>
      </text>
    </comment>
    <comment ref="I16" authorId="0" shapeId="0" xr:uid="{00000000-0006-0000-0000-00002A000000}">
      <text>
        <r>
          <rPr>
            <sz val="11"/>
            <color indexed="81"/>
            <rFont val="Tahoma"/>
            <family val="2"/>
          </rPr>
          <t>Unloading &amp; Moving:
+ Vitrox (1 cont 20)
+ JTU (1 cont 20)
+ 6 machines from Floor 2 to 1</t>
        </r>
        <r>
          <rPr>
            <sz val="11"/>
            <color indexed="81"/>
            <rFont val="Tahoma"/>
            <family val="2"/>
          </rPr>
          <t xml:space="preserve">
</t>
        </r>
      </text>
    </comment>
    <comment ref="K16" authorId="0" shapeId="0" xr:uid="{00000000-0006-0000-0000-00002B000000}">
      <text>
        <r>
          <rPr>
            <sz val="9"/>
            <color indexed="81"/>
            <rFont val="Tahoma"/>
            <family val="2"/>
          </rPr>
          <t xml:space="preserve">Unloading &amp; moving ERSA machine
</t>
        </r>
      </text>
    </comment>
    <comment ref="L16" authorId="0" shapeId="0" xr:uid="{00000000-0006-0000-0000-00002C000000}">
      <text>
        <r>
          <rPr>
            <b/>
            <sz val="9"/>
            <color indexed="81"/>
            <rFont val="Tahoma"/>
            <family val="2"/>
          </rPr>
          <t>Unloading &amp; moving Heller/ Zhizhan shipments</t>
        </r>
      </text>
    </comment>
    <comment ref="N16" authorId="1" shapeId="0" xr:uid="{AEEF8D87-7688-40E5-AF7A-FBBFDE923996}">
      <text>
        <r>
          <rPr>
            <b/>
            <sz val="9"/>
            <color indexed="81"/>
            <rFont val="Tahoma"/>
            <family val="2"/>
          </rPr>
          <t>Hue Dinh Thi:</t>
        </r>
        <r>
          <rPr>
            <sz val="9"/>
            <color indexed="81"/>
            <rFont val="Tahoma"/>
            <family val="2"/>
          </rPr>
          <t xml:space="preserve">
Unloading &amp; moving Heller</t>
        </r>
      </text>
    </comment>
    <comment ref="U16" authorId="2" shapeId="0" xr:uid="{DEDEF84C-43A2-498A-97D1-55D1E6C6FF80}">
      <text>
        <r>
          <rPr>
            <b/>
            <sz val="9"/>
            <color indexed="81"/>
            <rFont val="Tahoma"/>
            <family val="2"/>
          </rPr>
          <t>Ha Do Thi Thu:</t>
        </r>
        <r>
          <rPr>
            <sz val="9"/>
            <color indexed="81"/>
            <rFont val="Tahoma"/>
            <family val="2"/>
          </rPr>
          <t xml:space="preserve">
Unloading &amp; moving Vitrox</t>
        </r>
      </text>
    </comment>
    <comment ref="H22" authorId="2" shapeId="0" xr:uid="{00000000-0006-0000-0000-00002E000000}">
      <text>
        <r>
          <rPr>
            <sz val="9"/>
            <color indexed="81"/>
            <rFont val="Tahoma"/>
            <family val="2"/>
          </rPr>
          <t>+ 2 shipment to Lucid Mexico -&gt;  Fee charge to Lucid  $7947.73
+ 1 shipment to NI Tester -&gt; charged to Lucid $181.99</t>
        </r>
      </text>
    </comment>
    <comment ref="I30" authorId="2" shapeId="0" xr:uid="{00000000-0006-0000-0000-000031000000}">
      <text>
        <r>
          <rPr>
            <sz val="11"/>
            <color indexed="81"/>
            <rFont val="Tahoma"/>
            <family val="2"/>
          </rPr>
          <t>RMA to AVNET=$1540.17 (Expeditors)
+ RMA to EFI = $109.42</t>
        </r>
      </text>
    </comment>
    <comment ref="J30" authorId="2" shapeId="0" xr:uid="{00000000-0006-0000-0000-000032000000}">
      <text>
        <r>
          <rPr>
            <b/>
            <sz val="9"/>
            <color indexed="81"/>
            <rFont val="Tahoma"/>
            <family val="2"/>
          </rPr>
          <t>RMA to EFI: $103.64 (FedEx)
RMA to AVNET: $391.75 (Expeditors)</t>
        </r>
      </text>
    </comment>
    <comment ref="K30" authorId="0" shapeId="0" xr:uid="{00000000-0006-0000-0000-000033000000}">
      <text>
        <r>
          <rPr>
            <b/>
            <sz val="9"/>
            <color indexed="81"/>
            <rFont val="Tahoma"/>
            <family val="2"/>
          </rPr>
          <t>RMA AVNET = $772.93</t>
        </r>
      </text>
    </comment>
    <comment ref="J37" authorId="2" shapeId="0" xr:uid="{00000000-0006-0000-0000-000037000000}">
      <text>
        <r>
          <rPr>
            <sz val="9"/>
            <color indexed="81"/>
            <rFont val="Tahoma"/>
            <family val="2"/>
          </rPr>
          <t>60 usd: Truck cancelation of 45T0395303</t>
        </r>
      </text>
    </comment>
    <comment ref="G48" authorId="0" shapeId="0" xr:uid="{00000000-0006-0000-0000-00005C000000}">
      <text>
        <r>
          <rPr>
            <sz val="11"/>
            <color indexed="81"/>
            <rFont val="Tahoma"/>
            <family val="2"/>
          </rPr>
          <t xml:space="preserve">Ship jig to Unigen US $1192.63
</t>
        </r>
      </text>
    </comment>
    <comment ref="G52" authorId="0" shapeId="0" xr:uid="{00000000-0006-0000-0000-000063000000}">
      <text>
        <r>
          <rPr>
            <sz val="11"/>
            <color indexed="81"/>
            <rFont val="Tahoma"/>
            <family val="2"/>
          </rPr>
          <t xml:space="preserve">2025 Settlement report
</t>
        </r>
      </text>
    </comment>
    <comment ref="J52" authorId="2" shapeId="0" xr:uid="{00000000-0006-0000-0000-000064000000}">
      <text>
        <r>
          <rPr>
            <sz val="9"/>
            <color indexed="81"/>
            <rFont val="Tahoma"/>
            <family val="2"/>
          </rPr>
          <t>renew ECUS digital signature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 Do Thi Thu</author>
  </authors>
  <commentList>
    <comment ref="AB6" authorId="0" shapeId="0" xr:uid="{3C5C2DEF-3FA5-451C-A3DB-798B35AE28DF}">
      <text>
        <r>
          <rPr>
            <b/>
            <sz val="9"/>
            <color indexed="81"/>
            <rFont val="Tahoma"/>
            <family val="2"/>
          </rPr>
          <t>Ha Do Thi Thu:</t>
        </r>
        <r>
          <rPr>
            <sz val="9"/>
            <color indexed="81"/>
            <rFont val="Tahoma"/>
            <family val="2"/>
          </rPr>
          <t xml:space="preserve">
615,240 duty tax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W18" authorId="0" shapeId="0" xr:uid="{1055A7DC-9BB3-4BD6-B603-A1752DF22FE7}">
      <text>
        <r>
          <rPr>
            <b/>
            <sz val="9"/>
            <color indexed="81"/>
            <rFont val="Tahoma"/>
            <family val="2"/>
          </rPr>
          <t>USER:</t>
        </r>
        <r>
          <rPr>
            <sz val="9"/>
            <color indexed="81"/>
            <rFont val="Tahoma"/>
            <family val="2"/>
          </rPr>
          <t xml:space="preserve">
HĐ số 782395
HD số 97333
</t>
        </r>
      </text>
    </comment>
    <comment ref="W19" authorId="0" shapeId="0" xr:uid="{A3C8F488-D787-4177-9204-DF1CCA6CB80E}">
      <text>
        <r>
          <rPr>
            <b/>
            <sz val="9"/>
            <color indexed="81"/>
            <rFont val="Tahoma"/>
            <family val="2"/>
          </rPr>
          <t>USER:</t>
        </r>
        <r>
          <rPr>
            <sz val="9"/>
            <color indexed="81"/>
            <rFont val="Tahoma"/>
            <family val="2"/>
          </rPr>
          <t xml:space="preserve">
HĐ số 42368
</t>
        </r>
      </text>
    </comment>
    <comment ref="W20" authorId="0" shapeId="0" xr:uid="{0DD0B974-C043-458B-AC6A-D4097420B3CB}">
      <text>
        <r>
          <rPr>
            <b/>
            <sz val="9"/>
            <color indexed="81"/>
            <rFont val="Tahoma"/>
            <family val="2"/>
          </rPr>
          <t>USER:</t>
        </r>
        <r>
          <rPr>
            <sz val="9"/>
            <color indexed="81"/>
            <rFont val="Tahoma"/>
            <family val="2"/>
          </rPr>
          <t xml:space="preserve">
HĐ số 42652
</t>
        </r>
      </text>
    </comment>
    <comment ref="W21" authorId="0" shapeId="0" xr:uid="{07D2E8AE-1417-401C-95DA-30BF42764A86}">
      <text>
        <r>
          <rPr>
            <b/>
            <sz val="9"/>
            <color indexed="81"/>
            <rFont val="Tahoma"/>
            <family val="2"/>
          </rPr>
          <t>USER:</t>
        </r>
        <r>
          <rPr>
            <sz val="9"/>
            <color indexed="81"/>
            <rFont val="Tahoma"/>
            <family val="2"/>
          </rPr>
          <t xml:space="preserve">
HD số 50672
Nợ biên lai nộp phi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Diep Thi. Nguyen</author>
  </authors>
  <commentList>
    <comment ref="K5" authorId="0" shapeId="0" xr:uid="{00000000-0006-0000-0900-000001000000}">
      <text>
        <r>
          <rPr>
            <b/>
            <sz val="9"/>
            <color indexed="81"/>
            <rFont val="Tahoma"/>
            <family val="2"/>
          </rPr>
          <t>Ship CARRIER 31-0061-00 to HK. Pure approved PPV in the end of quarter</t>
        </r>
      </text>
    </comment>
    <comment ref="H7" authorId="0" shapeId="0" xr:uid="{00000000-0006-0000-0900-000002000000}">
      <text>
        <r>
          <rPr>
            <b/>
            <sz val="9"/>
            <color indexed="81"/>
            <rFont val="Tahoma"/>
            <family val="2"/>
          </rPr>
          <t>Glen got PO PPV  from EFI</t>
        </r>
      </text>
    </comment>
    <comment ref="U7" authorId="0" shapeId="0" xr:uid="{00000000-0006-0000-0900-000003000000}">
      <text>
        <r>
          <rPr>
            <b/>
            <sz val="11"/>
            <color indexed="81"/>
            <rFont val="Tahoma"/>
            <family val="2"/>
          </rPr>
          <t>Ship XRAY to Vitrox MY</t>
        </r>
      </text>
    </comment>
    <comment ref="AN7" authorId="0" shapeId="0" xr:uid="{00000000-0006-0000-0900-000004000000}">
      <text>
        <r>
          <rPr>
            <sz val="11"/>
            <color indexed="81"/>
            <rFont val="Tahoma"/>
            <family val="2"/>
          </rPr>
          <t xml:space="preserve">Ship carrier to Shenzhen Fulian
$774.85 =&gt; Charge to Pure
</t>
        </r>
      </text>
    </comment>
    <comment ref="U9" authorId="0" shapeId="0" xr:uid="{00000000-0006-0000-0900-000005000000}">
      <text>
        <r>
          <rPr>
            <b/>
            <sz val="11"/>
            <color indexed="81"/>
            <rFont val="Tahoma"/>
            <family val="2"/>
          </rPr>
          <t>Solve wrong COO of Foxconn shipment with Customs =&gt; Charged to Boardcom/Foxconn</t>
        </r>
      </text>
    </comment>
    <comment ref="F11" authorId="0" shapeId="0" xr:uid="{00000000-0006-0000-0900-000006000000}">
      <text>
        <r>
          <rPr>
            <b/>
            <sz val="9"/>
            <color indexed="81"/>
            <rFont val="Tahoma"/>
            <family val="2"/>
          </rPr>
          <t>1 cont 40 lashing</t>
        </r>
      </text>
    </comment>
    <comment ref="H11" authorId="0" shapeId="0" xr:uid="{00000000-0006-0000-0900-000007000000}">
      <text>
        <r>
          <rPr>
            <b/>
            <sz val="9"/>
            <color indexed="81"/>
            <rFont val="Tahoma"/>
            <family val="2"/>
          </rPr>
          <t>1 cont Midekey</t>
        </r>
        <r>
          <rPr>
            <sz val="9"/>
            <color indexed="81"/>
            <rFont val="Tahoma"/>
            <family val="2"/>
          </rPr>
          <t xml:space="preserve">
</t>
        </r>
      </text>
    </comment>
    <comment ref="L11" authorId="0" shapeId="0" xr:uid="{00000000-0006-0000-0900-000008000000}">
      <text>
        <r>
          <rPr>
            <b/>
            <sz val="9"/>
            <color indexed="81"/>
            <rFont val="Tahoma"/>
            <family val="2"/>
          </rPr>
          <t>1 cont 20' lashing EFI</t>
        </r>
        <r>
          <rPr>
            <sz val="9"/>
            <color indexed="81"/>
            <rFont val="Tahoma"/>
            <family val="2"/>
          </rPr>
          <t xml:space="preserve">
</t>
        </r>
      </text>
    </comment>
    <comment ref="N15" authorId="0" shapeId="0" xr:uid="{00000000-0006-0000-0900-000009000000}">
      <text>
        <r>
          <rPr>
            <b/>
            <sz val="9"/>
            <color indexed="81"/>
            <rFont val="Tahoma"/>
            <family val="2"/>
          </rPr>
          <t>Vitrox shipment</t>
        </r>
      </text>
    </comment>
    <comment ref="H17" authorId="0" shapeId="0" xr:uid="{00000000-0006-0000-0900-00000A000000}">
      <text>
        <r>
          <rPr>
            <b/>
            <sz val="9"/>
            <color indexed="81"/>
            <rFont val="Tahoma"/>
            <family val="2"/>
          </rPr>
          <t>Glen got PO PPV  from EFI</t>
        </r>
      </text>
    </comment>
    <comment ref="V19" authorId="0" shapeId="0" xr:uid="{00000000-0006-0000-0900-00000B000000}">
      <text>
        <r>
          <rPr>
            <sz val="11"/>
            <color indexed="81"/>
            <rFont val="Tahoma"/>
            <family val="2"/>
          </rPr>
          <t>Import OLD Destop from HQ =&gt; Need to solve with Customs/ $900</t>
        </r>
      </text>
    </comment>
    <comment ref="S21" authorId="0" shapeId="0" xr:uid="{00000000-0006-0000-0900-00000C000000}">
      <text>
        <r>
          <rPr>
            <sz val="9"/>
            <color indexed="81"/>
            <rFont val="Tahoma"/>
            <family val="2"/>
          </rPr>
          <t>Trucking for X RAY: $537.64
Unloading &amp; moving for XRAY machine: $903.23</t>
        </r>
      </text>
    </comment>
    <comment ref="L25" authorId="0" shapeId="0" xr:uid="{00000000-0006-0000-0900-00000D000000}">
      <text>
        <r>
          <rPr>
            <b/>
            <sz val="9"/>
            <color indexed="81"/>
            <rFont val="Tahoma"/>
            <family val="2"/>
          </rPr>
          <t>Statement Report for customs</t>
        </r>
        <r>
          <rPr>
            <sz val="9"/>
            <color indexed="81"/>
            <rFont val="Tahoma"/>
            <family val="2"/>
          </rPr>
          <t xml:space="preserve">
</t>
        </r>
      </text>
    </comment>
    <comment ref="R25" authorId="0" shapeId="0" xr:uid="{00000000-0006-0000-0900-00000E000000}">
      <text>
        <r>
          <rPr>
            <b/>
            <sz val="9"/>
            <color indexed="81"/>
            <rFont val="Tahoma"/>
            <family val="2"/>
          </rPr>
          <t>Extend Customs Declaration Sheet for Equipment/ machine following Processing contact</t>
        </r>
      </text>
    </comment>
    <comment ref="X25" authorId="0" shapeId="0" xr:uid="{00000000-0006-0000-0900-00000F000000}">
      <text>
        <r>
          <rPr>
            <b/>
            <sz val="11"/>
            <color indexed="81"/>
            <rFont val="Tahoma"/>
            <family val="2"/>
          </rPr>
          <t>Statement Report for customs</t>
        </r>
      </text>
    </comment>
    <comment ref="AJ25" authorId="0" shapeId="0" xr:uid="{00000000-0006-0000-0900-000010000000}">
      <text>
        <r>
          <rPr>
            <sz val="11"/>
            <color indexed="81"/>
            <rFont val="Tahoma"/>
            <family val="2"/>
          </rPr>
          <t xml:space="preserve">annual settlement report for customs
</t>
        </r>
      </text>
    </comment>
    <comment ref="AV25" authorId="0" shapeId="0" xr:uid="{00000000-0006-0000-0900-000011000000}">
      <text>
        <r>
          <rPr>
            <sz val="11"/>
            <color indexed="81"/>
            <rFont val="Tahoma"/>
            <family val="2"/>
          </rPr>
          <t>annual settlement report for customs</t>
        </r>
      </text>
    </comment>
    <comment ref="BH25" authorId="0" shapeId="0" xr:uid="{00000000-0006-0000-0900-000012000000}">
      <text>
        <r>
          <rPr>
            <sz val="11"/>
            <color indexed="81"/>
            <rFont val="Tahoma"/>
            <family val="2"/>
          </rPr>
          <t xml:space="preserve">annual settlement report for customs
</t>
        </r>
      </text>
    </comment>
    <comment ref="AD45" authorId="0" shapeId="0" xr:uid="{00000000-0006-0000-0900-000013000000}">
      <text>
        <r>
          <rPr>
            <sz val="11"/>
            <color indexed="81"/>
            <rFont val="Tahoma"/>
            <family val="2"/>
          </rPr>
          <t>Optivolt issue PO to UNIGEN</t>
        </r>
      </text>
    </comment>
    <comment ref="AK50" authorId="0" shapeId="0" xr:uid="{00000000-0006-0000-0900-000014000000}">
      <text>
        <r>
          <rPr>
            <sz val="11"/>
            <color indexed="81"/>
            <rFont val="Tahoma"/>
            <family val="2"/>
          </rPr>
          <t xml:space="preserve">Return recoating PCB from Boardtex (on behalft of Pure)
</t>
        </r>
      </text>
    </comment>
    <comment ref="AL50" authorId="0" shapeId="0" xr:uid="{00000000-0006-0000-0900-000015000000}">
      <text>
        <r>
          <rPr>
            <sz val="11"/>
            <color indexed="81"/>
            <rFont val="Tahoma"/>
            <family val="2"/>
          </rPr>
          <t xml:space="preserve">
'+ 2 shpt from WUS China (pcb)
+ 1 shpt from RMG SG (solder paste)
+ 1 shipment from WUS: recoating pcb (pay onbehalft of Pure): $1385.9</t>
        </r>
      </text>
    </comment>
    <comment ref="AK52" authorId="0" shapeId="0" xr:uid="{00000000-0006-0000-0900-000016000000}">
      <text>
        <r>
          <rPr>
            <sz val="11"/>
            <color indexed="81"/>
            <rFont val="Tahoma"/>
            <family val="2"/>
          </rPr>
          <t>+ Chen ming cont 20
+ JT selective soldering machine cont20
+ Goldland 1cbm (dispensing machine)</t>
        </r>
      </text>
    </comment>
    <comment ref="AK54" authorId="0" shapeId="0" xr:uid="{9DE2F949-C0F1-4451-9094-40B5C50A7F6F}">
      <text>
        <r>
          <rPr>
            <sz val="11"/>
            <color indexed="81"/>
            <rFont val="Tahoma"/>
            <family val="2"/>
          </rPr>
          <t>+ Chen ming cont 20
+ JT selective soldering machine cont20
+ Goldland 1cbm (dispensing machine)</t>
        </r>
      </text>
    </comment>
    <comment ref="AK64" authorId="0" shapeId="0" xr:uid="{00000000-0006-0000-0900-000017000000}">
      <text>
        <r>
          <rPr>
            <sz val="11"/>
            <color indexed="81"/>
            <rFont val="Tahoma"/>
            <family val="2"/>
          </rPr>
          <t>+ Chen ming cont 20
+ JT selective soldering machine cont20
+ Goldland 1cbm (dispensing machine)</t>
        </r>
      </text>
    </comment>
    <comment ref="AE69" authorId="0" shapeId="0" xr:uid="{00000000-0006-0000-0900-000018000000}">
      <text>
        <r>
          <rPr>
            <sz val="11"/>
            <color indexed="81"/>
            <rFont val="Tahoma"/>
            <family val="2"/>
          </rPr>
          <t>Unloading &amp; moving at factory</t>
        </r>
      </text>
    </comment>
    <comment ref="J76" authorId="0" shapeId="0" xr:uid="{00000000-0006-0000-0900-000019000000}">
      <text>
        <r>
          <rPr>
            <b/>
            <sz val="9"/>
            <color indexed="81"/>
            <rFont val="Tahoma"/>
            <family val="2"/>
          </rPr>
          <t>Ship to HQ</t>
        </r>
        <r>
          <rPr>
            <sz val="9"/>
            <color indexed="81"/>
            <rFont val="Tahoma"/>
            <family val="2"/>
          </rPr>
          <t xml:space="preserve">
+ E00512: Transfer carrier 31-0061-00 qty 2880 pcs
+ E00510: Transfer carrier 31-0061-00 qty 600 pcs &amp; ESD bag 6*10 inch qty 15000 pcs</t>
        </r>
      </text>
    </comment>
    <comment ref="AK82" authorId="0" shapeId="0" xr:uid="{FD87B3EB-9B84-44F1-8C79-3A88697E8A8A}">
      <text>
        <r>
          <rPr>
            <sz val="11"/>
            <color indexed="81"/>
            <rFont val="Tahoma"/>
            <family val="2"/>
          </rPr>
          <t>+ Chen ming cont 20
+ JT selective soldering machine cont20
+ Goldland 1cbm (dispensing machine)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<sst xmlns="http://schemas.openxmlformats.org/spreadsheetml/2006/main" count="11654" uniqueCount="3080">
  <si>
    <t>UHAN Payment in Month</t>
  </si>
  <si>
    <t>Import</t>
  </si>
  <si>
    <t>Raw materials (Supplier to UHAN)</t>
  </si>
  <si>
    <t>Freight</t>
  </si>
  <si>
    <t>Customs &amp; Trucking fees</t>
  </si>
  <si>
    <t>Other freight charges</t>
  </si>
  <si>
    <t>Subtotal</t>
  </si>
  <si>
    <t>Export</t>
  </si>
  <si>
    <t>Customs fees in Month</t>
  </si>
  <si>
    <t>Weight of Freight</t>
  </si>
  <si>
    <t>Equipments + Toolings</t>
  </si>
  <si>
    <t>Subtotal of Raw materials</t>
  </si>
  <si>
    <t>Subtotal of Equipments &amp; Toolings</t>
  </si>
  <si>
    <t>Subtotal of Transfer Raw Materials</t>
  </si>
  <si>
    <t>Subtotal of FG Pure</t>
  </si>
  <si>
    <t>Subtotal of Other charges</t>
  </si>
  <si>
    <t>Others</t>
  </si>
  <si>
    <t>Freight (For RMA shipment)</t>
  </si>
  <si>
    <t>Customs fees &amp; Trucking for Inspection by Customs</t>
  </si>
  <si>
    <t>0 KG</t>
  </si>
  <si>
    <t>Other shipment (To UTPE, return to supplier, return equipment to HQ, OEM…)</t>
  </si>
  <si>
    <t>EFI</t>
  </si>
  <si>
    <t xml:space="preserve">Freight </t>
  </si>
  <si>
    <t>Subtotal of EFI</t>
  </si>
  <si>
    <t>Fees paid to EFI's fwd (term FOB)</t>
  </si>
  <si>
    <t>Trucking 
fee</t>
  </si>
  <si>
    <t>Customs
 fee</t>
  </si>
  <si>
    <t>Mode</t>
  </si>
  <si>
    <t>Kgs</t>
  </si>
  <si>
    <t>CBM</t>
  </si>
  <si>
    <t>THC, CIC, DO</t>
  </si>
  <si>
    <t>DONGGUAN CHENMING ELECTRONIC CO., LTD</t>
  </si>
  <si>
    <t>SEA</t>
  </si>
  <si>
    <t>Month</t>
  </si>
  <si>
    <t>EFI US</t>
  </si>
  <si>
    <t>TOTAL</t>
  </si>
  <si>
    <t>Trucking fee</t>
  </si>
  <si>
    <t>Customs fee</t>
  </si>
  <si>
    <t>Ship to</t>
  </si>
  <si>
    <t>INV No#</t>
  </si>
  <si>
    <t>Bill of Lading</t>
  </si>
  <si>
    <t>Supplier Name</t>
  </si>
  <si>
    <t>Customs supervision</t>
  </si>
  <si>
    <t>EXW Fee + Freight</t>
  </si>
  <si>
    <t>MONTH</t>
  </si>
  <si>
    <t>Fedex</t>
  </si>
  <si>
    <t>RACER TECHNOLOGY PTE LTD</t>
  </si>
  <si>
    <t>A&amp;E RISING TECHONLOGIES LTD</t>
  </si>
  <si>
    <t>Sea</t>
  </si>
  <si>
    <t>DONGGUAN CHENMING ELECTRONICS CO..,LTD</t>
  </si>
  <si>
    <t>cont 20</t>
  </si>
  <si>
    <t>20'</t>
  </si>
  <si>
    <t>Air</t>
  </si>
  <si>
    <t>Customs</t>
  </si>
  <si>
    <t>Trucking</t>
  </si>
  <si>
    <t>Local charges at port</t>
  </si>
  <si>
    <t xml:space="preserve">Shipment Qty </t>
  </si>
  <si>
    <t>Weight (Kg)</t>
  </si>
  <si>
    <t>Weight (CBM+Container)</t>
  </si>
  <si>
    <t xml:space="preserve">Local charge </t>
  </si>
  <si>
    <t>Dunnage &amp; Fumigate</t>
  </si>
  <si>
    <t>VVMV</t>
  </si>
  <si>
    <t>On behalf of UHAN paid</t>
  </si>
  <si>
    <t>FEDEX</t>
  </si>
  <si>
    <t>STARLINK</t>
  </si>
  <si>
    <t>AIR</t>
  </si>
  <si>
    <t>Amount</t>
  </si>
  <si>
    <t>Shipment No#</t>
  </si>
  <si>
    <t>PURE STORAGE</t>
  </si>
  <si>
    <t>Electronics for Imaging</t>
  </si>
  <si>
    <t>FULL LOGISTICS COST</t>
  </si>
  <si>
    <t>Air Freight</t>
  </si>
  <si>
    <t>Sea Freight</t>
  </si>
  <si>
    <t>Other fees</t>
  </si>
  <si>
    <t>Forwarder Detail</t>
  </si>
  <si>
    <t>Pure</t>
  </si>
  <si>
    <t>OEM</t>
  </si>
  <si>
    <t>Move HK route from Starlink to UHAN's fwd</t>
  </si>
  <si>
    <t>1shpt</t>
  </si>
  <si>
    <t>5shpt</t>
  </si>
  <si>
    <t>9 shplt</t>
  </si>
  <si>
    <t>NEW VISION DISPLAY C/O FENIX LOGISTIC SERVICES LTD</t>
  </si>
  <si>
    <t>AVNET</t>
  </si>
  <si>
    <t>A&amp;E RISING TECHNOLOGIES LTD</t>
  </si>
  <si>
    <t>DONGGUAN CHENMING ELECTRONICS CO.,LTD</t>
  </si>
  <si>
    <t>Expeditors</t>
  </si>
  <si>
    <t>EFI PLANT 3520 (ISRAEL, MATAN)</t>
  </si>
  <si>
    <t>ADL</t>
  </si>
  <si>
    <t>DHS</t>
  </si>
  <si>
    <t>Unloading, moving machine</t>
  </si>
  <si>
    <t>Remark</t>
  </si>
  <si>
    <t>Gia Bao</t>
  </si>
  <si>
    <t>A E RISING TECHONLOGIES LTD</t>
  </si>
  <si>
    <t>AGIGA</t>
  </si>
  <si>
    <t>Lucid</t>
  </si>
  <si>
    <t>Full logistics cost (Unigen pay)</t>
  </si>
  <si>
    <t xml:space="preserve"> Pay on behalf of others </t>
  </si>
  <si>
    <t>Total Logistics cost (include pay on behalf of others)</t>
  </si>
  <si>
    <t>Weight of Freight (KG)</t>
  </si>
  <si>
    <t>AIC</t>
  </si>
  <si>
    <t>Subtotal of FG Lucid</t>
  </si>
  <si>
    <t>UHAN pay on behalf of Others (SUM)</t>
  </si>
  <si>
    <t>Subtotal of FG AGIGA</t>
  </si>
  <si>
    <t>Dolphin</t>
  </si>
  <si>
    <t>4.6 KG</t>
  </si>
  <si>
    <t>REGGIANI MACCHINE</t>
  </si>
  <si>
    <t>Detail of raising: (SUM)</t>
  </si>
  <si>
    <t>16.5 KG</t>
  </si>
  <si>
    <t>RACER TECHNOLOGY PTE, LTD</t>
  </si>
  <si>
    <t>MATAN DIGITAL PRINTERS 2001 LTD.</t>
  </si>
  <si>
    <t>UNIGEN CORPORATION</t>
  </si>
  <si>
    <t>Subtotal of AIC</t>
  </si>
  <si>
    <t>184.2 KG</t>
  </si>
  <si>
    <t>5.8 KG</t>
  </si>
  <si>
    <t>7.8 KG</t>
  </si>
  <si>
    <t>SZHPH25000005</t>
  </si>
  <si>
    <t>4220 KG</t>
  </si>
  <si>
    <t>UHAN_INV05658</t>
  </si>
  <si>
    <t>UHAN_INV05664</t>
  </si>
  <si>
    <t>UHAN_INV05663</t>
  </si>
  <si>
    <t>E00862</t>
  </si>
  <si>
    <t>UHAN_INV05671</t>
  </si>
  <si>
    <t>UHAN_INV05672</t>
  </si>
  <si>
    <t>UHAN_INV05705</t>
  </si>
  <si>
    <t>FIERY, LLC</t>
  </si>
  <si>
    <t>LPIAHPH250033</t>
  </si>
  <si>
    <t>53.9 KG</t>
  </si>
  <si>
    <t>3.6 KG</t>
  </si>
  <si>
    <t>16.4 KG</t>
  </si>
  <si>
    <t>UHAN_INV05713</t>
  </si>
  <si>
    <t>UHAN_INV05726</t>
  </si>
  <si>
    <t>ASPHPHE14272105</t>
  </si>
  <si>
    <t>LSZHPH2500918</t>
  </si>
  <si>
    <t>39.5 KG</t>
  </si>
  <si>
    <t>21.7 KG</t>
  </si>
  <si>
    <t>15.6 KG</t>
  </si>
  <si>
    <t>27.3 KG</t>
  </si>
  <si>
    <t>20 KG</t>
  </si>
  <si>
    <t>772590062741</t>
  </si>
  <si>
    <t>772621089659</t>
  </si>
  <si>
    <t>UHAN_INV05749</t>
  </si>
  <si>
    <t>UHAN_INV05750</t>
  </si>
  <si>
    <t>UHAN_INV05759</t>
  </si>
  <si>
    <t>UHAN_INV05772</t>
  </si>
  <si>
    <t>INV05782</t>
  </si>
  <si>
    <t>EFI IL</t>
  </si>
  <si>
    <t>AVNET US</t>
  </si>
  <si>
    <t>EFI Italy</t>
  </si>
  <si>
    <t>3318 KG</t>
  </si>
  <si>
    <t>10.2 KG</t>
  </si>
  <si>
    <t>34 KG</t>
  </si>
  <si>
    <t>LSZHPH2502913</t>
  </si>
  <si>
    <t>LPIAHPH250928</t>
  </si>
  <si>
    <t>15.3 KG</t>
  </si>
  <si>
    <t>1138 KG</t>
  </si>
  <si>
    <t>11.6 KG</t>
  </si>
  <si>
    <t>11.2 KG</t>
  </si>
  <si>
    <t>E00909</t>
  </si>
  <si>
    <t>UHAN-INV05881</t>
  </si>
  <si>
    <t>UHAN_INV05858</t>
  </si>
  <si>
    <t>UHAN_INV05900</t>
  </si>
  <si>
    <t>UHAN-INV05902</t>
  </si>
  <si>
    <t>UHAN-INV05910</t>
  </si>
  <si>
    <t xml:space="preserve">S00369769 </t>
  </si>
  <si>
    <t xml:space="preserve">DONGGUAN CHENMING ELECTRONICS CO..,LTD		</t>
  </si>
  <si>
    <t>44.5 KG</t>
  </si>
  <si>
    <t>28.8 KG</t>
  </si>
  <si>
    <t>196.9 KG</t>
  </si>
  <si>
    <t>UHAN-INV05918</t>
  </si>
  <si>
    <t>UHAN-INV05923</t>
  </si>
  <si>
    <t>UHAN-INV05941</t>
  </si>
  <si>
    <t>UHAN-INV05965</t>
  </si>
  <si>
    <t>INV05971</t>
  </si>
  <si>
    <t xml:space="preserve">BSJSZ0085316 </t>
  </si>
  <si>
    <t>114CTNS(CONT 20)</t>
  </si>
  <si>
    <t>Supplier name</t>
  </si>
  <si>
    <t>KGs</t>
  </si>
  <si>
    <t>trucking fee</t>
  </si>
  <si>
    <t>UNIVERSAL GLOBAL SCIENTIFIC</t>
  </si>
  <si>
    <t>Universal Global Scientific Industrial Co., Ltd.</t>
  </si>
  <si>
    <t xml:space="preserve">NINGBO XUSHENG GROUP CO.,LTD		</t>
  </si>
  <si>
    <t xml:space="preserve">YANCHENG CHARLES POWER TECHNOLOGY GROUP CO., LTD		</t>
  </si>
  <si>
    <t xml:space="preserve">SUZHOU CURRENT ELECTRIC LIMITED COMPANY		</t>
  </si>
  <si>
    <t>Kunshan Eson Precision Engineering Co.,Ltd.</t>
  </si>
  <si>
    <t>BOSSARD (M) SDN BHD</t>
  </si>
  <si>
    <t>E00933</t>
  </si>
  <si>
    <t>UHAN-INV05979</t>
  </si>
  <si>
    <t>UHAN-INV05995</t>
  </si>
  <si>
    <t>Sample 664</t>
  </si>
  <si>
    <t>E00939</t>
  </si>
  <si>
    <t>Texas</t>
  </si>
  <si>
    <t>SUZHOU PINSHINE</t>
  </si>
  <si>
    <t>UHAN-INV05963</t>
  </si>
  <si>
    <t>UHAN-INV05969</t>
  </si>
  <si>
    <t>UHAN-INV05970</t>
  </si>
  <si>
    <t>UHAN-INV05981</t>
  </si>
  <si>
    <t>UHAN-INV05982</t>
  </si>
  <si>
    <t>UHAN-INV05989</t>
  </si>
  <si>
    <t>UHAN-INV05984</t>
  </si>
  <si>
    <t>UHAN-INV05983</t>
  </si>
  <si>
    <t>UHAN-INV05992</t>
  </si>
  <si>
    <t>UHAN-INV06007</t>
  </si>
  <si>
    <t>Lucid AZ</t>
  </si>
  <si>
    <t>HELLA</t>
  </si>
  <si>
    <t>Lucid Arizona</t>
  </si>
  <si>
    <t>Lucid US</t>
  </si>
  <si>
    <t>DAA</t>
  </si>
  <si>
    <t>LPIAHPH251562</t>
  </si>
  <si>
    <t>882214085919</t>
  </si>
  <si>
    <t>461596520307</t>
  </si>
  <si>
    <t>NEW VISION DISPLAY C/O FENIX LOGISTIC SERVICES LTD.</t>
  </si>
  <si>
    <t>4 plt</t>
  </si>
  <si>
    <t>BSJSZ0085679</t>
  </si>
  <si>
    <t xml:space="preserve">Dongguan Chenming Electronic Co., Ltd		</t>
  </si>
  <si>
    <t xml:space="preserve">TXGHPHK25704 </t>
  </si>
  <si>
    <t xml:space="preserve">LSHHPH2505686  </t>
  </si>
  <si>
    <t>ST25071300</t>
  </si>
  <si>
    <t xml:space="preserve">LSHHPH2506123 </t>
  </si>
  <si>
    <t xml:space="preserve">TXGHPHK25713 </t>
  </si>
  <si>
    <t>TXGHPHK25714</t>
  </si>
  <si>
    <t>ST25071732</t>
  </si>
  <si>
    <t xml:space="preserve">TAITECH PRECISION ELECTRONIC(KUNSHAN) CO.,LTD.		</t>
  </si>
  <si>
    <t xml:space="preserve">UNIVERSAL GLOBAL SCIENTIFIC INDUSTRIAL, CO, LTD		</t>
  </si>
  <si>
    <t xml:space="preserve">SHENNAN CIRCUITS CO.,LTD </t>
  </si>
  <si>
    <t>14 CTNS</t>
  </si>
  <si>
    <t xml:space="preserve">Kunshan Eson Precision Engineering Co.,Ltd.		</t>
  </si>
  <si>
    <t xml:space="preserve">LSHHPH2505933 </t>
  </si>
  <si>
    <t xml:space="preserve">BSJSH0085714B </t>
  </si>
  <si>
    <t xml:space="preserve">ZHENJIANG FINEWORLD AUTOMOTIVE TECHNOLOGY CO.,LTD		</t>
  </si>
  <si>
    <t>UNIVERSAL GLOBAL SCIENTIFIC INDUST.</t>
  </si>
  <si>
    <t>UNIVERSAL GLOBAL SCIENTIFIC INDUSTRIAL, CO, LTD.</t>
  </si>
  <si>
    <t>UNIVERSAL GLOBAL SCIENTIFIC INDUSTRY</t>
  </si>
  <si>
    <t>SHENNAN CIRCUITS CO.,LTD</t>
  </si>
  <si>
    <t>SHENNAN CIRCUITS CO.,LTD.</t>
  </si>
  <si>
    <t>SHENNAN CIRCUITS CO.LTD</t>
  </si>
  <si>
    <t>619345515564</t>
  </si>
  <si>
    <t>619345515542</t>
  </si>
  <si>
    <t>619345515520</t>
  </si>
  <si>
    <t>618108343816</t>
  </si>
  <si>
    <t>1515811</t>
  </si>
  <si>
    <t>FLK2506271463</t>
  </si>
  <si>
    <t>1515851</t>
  </si>
  <si>
    <t>1515897</t>
  </si>
  <si>
    <t>LSHHPH2505935</t>
  </si>
  <si>
    <t>1515943</t>
  </si>
  <si>
    <t>7672209204</t>
  </si>
  <si>
    <t>1515994</t>
  </si>
  <si>
    <t>882923220667</t>
  </si>
  <si>
    <t xml:space="preserve"> FEDEX</t>
  </si>
  <si>
    <t xml:space="preserve"> DHL</t>
  </si>
  <si>
    <t>Asian Dragon</t>
  </si>
  <si>
    <t xml:space="preserve">FUKANG </t>
  </si>
  <si>
    <t>LSHHPH2506094</t>
  </si>
  <si>
    <t>ST25071254</t>
  </si>
  <si>
    <t>BIZLINK SPEEDY PTE. LTD</t>
  </si>
  <si>
    <t xml:space="preserve"> $                 -  </t>
  </si>
  <si>
    <t>SUZHOU PIN SHINE TECHNOLOGY CO.,LTD</t>
  </si>
  <si>
    <t>LSHHPH2505676</t>
  </si>
  <si>
    <t>UNIVERSAL GLOBAL SCIENTIFIC INDUSTR</t>
  </si>
  <si>
    <t>HUZHOU DEKASI ELECTRONICS CO.,LTD</t>
  </si>
  <si>
    <t>Universal Global Scientific Ind Co Ltd</t>
  </si>
  <si>
    <t>BSJSZ0086335D</t>
  </si>
  <si>
    <t>LSHHPH2506394</t>
  </si>
  <si>
    <t>MNN/HPH/00926</t>
  </si>
  <si>
    <t>BSJZJ0086385</t>
  </si>
  <si>
    <t>LSHHPH2506776</t>
  </si>
  <si>
    <t>LSHHPH2506944</t>
  </si>
  <si>
    <t>LSHHPH2506940</t>
  </si>
  <si>
    <t>BSJSH086794</t>
  </si>
  <si>
    <t>Suzhou Current Electric Limited</t>
  </si>
  <si>
    <t xml:space="preserve">Readore MFG Phils Corp		</t>
  </si>
  <si>
    <t>332,8</t>
  </si>
  <si>
    <t>Gia Bảo</t>
  </si>
  <si>
    <t>ASPHPHE14467317</t>
  </si>
  <si>
    <t>Racer</t>
  </si>
  <si>
    <t>PSHPH2570034</t>
  </si>
  <si>
    <t>LSHHPH2506217</t>
  </si>
  <si>
    <t>LSHHPH2506179</t>
  </si>
  <si>
    <t>LSHHPH2506368</t>
  </si>
  <si>
    <t>LSHHPH2506361</t>
  </si>
  <si>
    <t>LSHHPH2506366</t>
  </si>
  <si>
    <t>PSHPH2570128</t>
  </si>
  <si>
    <t>HKHPG250822</t>
  </si>
  <si>
    <t>LSHHPH2506701</t>
  </si>
  <si>
    <t>LSHHPH2506761</t>
  </si>
  <si>
    <t>LNBHPH254391</t>
  </si>
  <si>
    <t>HKHPG2508153</t>
  </si>
  <si>
    <t>PSHPH2580051</t>
  </si>
  <si>
    <t>CHENG FWA INDUSTRIAL CO., LTD.</t>
  </si>
  <si>
    <t>SUZHOU PINSHINE TECHNOLOGY CO.,LTD</t>
  </si>
  <si>
    <t>HUZHOU DEKASI ELECTRONICS CO,LTD.</t>
  </si>
  <si>
    <t>SUNONWEALTH ELECTRIC MACHINE INDUSTRY CO.,LTD</t>
  </si>
  <si>
    <t>Sea Link Die Casting Kunshan Co., Ltd.</t>
  </si>
  <si>
    <t>TAITECH PRECISION ELECTRONIC(KUNSHAN) CO.,LTD.</t>
  </si>
  <si>
    <t>BIZLINK SPEEDY PTE. LTD.</t>
  </si>
  <si>
    <t>SUZHOU PINSHINE TECHNOLOGY CO., LTD</t>
  </si>
  <si>
    <t>ENNOVI ADVANCED MOBILITY SOLUTIONS HANGZHOU CO., LTD.</t>
  </si>
  <si>
    <t>BIZLINK SPEEDY PTE. LTD. C/O COMBINE INTERNATIONAL LOGISTICS CO.,LTD.</t>
  </si>
  <si>
    <t>CHENG FWA INDUSTRIAL CO., LTD</t>
  </si>
  <si>
    <t>UHAN-INV05996</t>
  </si>
  <si>
    <t>UHAN-INV06028</t>
  </si>
  <si>
    <t>UHAN-INV06031</t>
  </si>
  <si>
    <t>UHAN-INV06052</t>
  </si>
  <si>
    <t>UHAN-INV06008</t>
  </si>
  <si>
    <t>UHAN-INV06020</t>
  </si>
  <si>
    <t>UHAN-INV06019</t>
  </si>
  <si>
    <t>UHAN-INV06029</t>
  </si>
  <si>
    <t>UHAN-INV06030</t>
  </si>
  <si>
    <t>UHAN-INV06009</t>
  </si>
  <si>
    <t>UHAN-INV05993</t>
  </si>
  <si>
    <t>UHAN-INV06037</t>
  </si>
  <si>
    <t>UHAN-INV06010</t>
  </si>
  <si>
    <t>UHAN-INV06056</t>
  </si>
  <si>
    <t>UHAN-INV06074</t>
  </si>
  <si>
    <t>UHAN-INV06069</t>
  </si>
  <si>
    <t>UHAN-INV06079</t>
  </si>
  <si>
    <t>UHAN-INV06067</t>
  </si>
  <si>
    <t>Import declaration No#</t>
  </si>
  <si>
    <t>Richardson RFPD INC</t>
  </si>
  <si>
    <t>COMPEQ MANUFACTURING CO., LTD</t>
  </si>
  <si>
    <t>PSHPH2570059</t>
  </si>
  <si>
    <t>LSZHPH2507843</t>
  </si>
  <si>
    <t>PSHPH2570097</t>
  </si>
  <si>
    <t>PSHPH2580008</t>
  </si>
  <si>
    <t>PSHPH2580009</t>
  </si>
  <si>
    <t>HKHPG250877</t>
  </si>
  <si>
    <t>PSHPH2580077</t>
  </si>
  <si>
    <t>MIN AIK TECHNOLOGY CO., LTD</t>
  </si>
  <si>
    <t>ISU PETASYS INTERNATIONAL (HONGKONG) LIMITED</t>
  </si>
  <si>
    <t>COMPEQ MANUFACTURING COMPANY LIMIT</t>
  </si>
  <si>
    <t>COMPEQ MANUFACTURING COMPANY LIMITED</t>
  </si>
  <si>
    <t>NIDEC CHAUN CHOUNG TECHNOLOGY CORP.</t>
  </si>
  <si>
    <t>EI</t>
  </si>
  <si>
    <t>vvmv</t>
  </si>
  <si>
    <t>dolphin</t>
  </si>
  <si>
    <t>QUALCOMM CDMA TECHNOLOGIES ASIA-PAC</t>
  </si>
  <si>
    <t>COMPEQ</t>
  </si>
  <si>
    <t>GOLD CIRCUIT ELECTRONICS LTD</t>
  </si>
  <si>
    <t>ISU PETASYS HUNAN</t>
  </si>
  <si>
    <t>fedex</t>
  </si>
  <si>
    <t>E00949</t>
  </si>
  <si>
    <t>UHAN-INV06014</t>
  </si>
  <si>
    <t>UHAN-INV06015</t>
  </si>
  <si>
    <t>UHAN-INV06016</t>
  </si>
  <si>
    <t>UHAN-INV06017</t>
  </si>
  <si>
    <t>UHAN-INV06018</t>
  </si>
  <si>
    <t>E00952</t>
  </si>
  <si>
    <t>UHAN-INV06025</t>
  </si>
  <si>
    <t>E00953</t>
  </si>
  <si>
    <t>UHAN-INV06041</t>
  </si>
  <si>
    <t>UHAN-INV06043</t>
  </si>
  <si>
    <t>UHAN-INV06044</t>
  </si>
  <si>
    <t>UHAN-INV06045</t>
  </si>
  <si>
    <t>UHAN-INV06042</t>
  </si>
  <si>
    <t>E00955</t>
  </si>
  <si>
    <t>UHAN-INV06053</t>
  </si>
  <si>
    <t>UHAN-INV06058</t>
  </si>
  <si>
    <t>UHAN-INV06059</t>
  </si>
  <si>
    <t>UHAN-INV06057</t>
  </si>
  <si>
    <t>UHAN-INV06076</t>
  </si>
  <si>
    <t>E00961</t>
  </si>
  <si>
    <t>UHAN-INV06088</t>
  </si>
  <si>
    <t>UHAN-INV06089</t>
  </si>
  <si>
    <t>UHAN-INV06090</t>
  </si>
  <si>
    <t>Jabil MX</t>
  </si>
  <si>
    <t>Kingston</t>
  </si>
  <si>
    <t>HQ1</t>
  </si>
  <si>
    <t>FJZ US</t>
  </si>
  <si>
    <t>Pure Storage</t>
  </si>
  <si>
    <t>CLOUD NETWORK TECHSINGAPORE PTE LTD</t>
  </si>
  <si>
    <t>883343879038</t>
  </si>
  <si>
    <t>883532018385</t>
  </si>
  <si>
    <t>HEILIND ASIA PACIFIC (SG) PTE LTD</t>
  </si>
  <si>
    <t>YUEN CHANG INT'L TECH CO., LTD</t>
  </si>
  <si>
    <t>EMI STOP CORP.</t>
  </si>
  <si>
    <t>AMPHENOL FCI ASIA PTE LTD</t>
  </si>
  <si>
    <t>COILCRAFT SINGAPORE PTE LTD</t>
  </si>
  <si>
    <t>ACTON TECHNOLOGY PTE LTD C/O</t>
  </si>
  <si>
    <t>TTI ELECTRONICS ASIA PTE LTD</t>
  </si>
  <si>
    <t>ARROW ELECTRONICS ASIA (S) PTE LTD</t>
  </si>
  <si>
    <t>MICRON SEMICONDUCTOR CO.LTD</t>
  </si>
  <si>
    <t>PENCOM LTD</t>
  </si>
  <si>
    <t>AMPHENOL EAST ASIA LTD</t>
  </si>
  <si>
    <t>move to OEM</t>
  </si>
  <si>
    <t>UHAN-INV06126</t>
  </si>
  <si>
    <t>UHAN-INV06093</t>
  </si>
  <si>
    <t>UHAN-INV06091</t>
  </si>
  <si>
    <t>UHAN-INV06095</t>
  </si>
  <si>
    <t>UHAN-INV06096</t>
  </si>
  <si>
    <t>UHAN-INV06077</t>
  </si>
  <si>
    <t>UHAN-INV06107</t>
  </si>
  <si>
    <t>UHAN-INV06108</t>
  </si>
  <si>
    <t>UHAN-INV06034</t>
  </si>
  <si>
    <t>UHAN-INV06102</t>
  </si>
  <si>
    <t>UHAN-INV06110</t>
  </si>
  <si>
    <t>UHAN-INV06111</t>
  </si>
  <si>
    <t>UHAN-INV06104</t>
  </si>
  <si>
    <t>UHAN-INV06106</t>
  </si>
  <si>
    <t>UHAN-INV06103</t>
  </si>
  <si>
    <t>UHAN-INV06109</t>
  </si>
  <si>
    <t>UHAN-INV06105</t>
  </si>
  <si>
    <t>UHAN-INV06116</t>
  </si>
  <si>
    <t>UHAN-INV06115</t>
  </si>
  <si>
    <t>UHAN-INV06117</t>
  </si>
  <si>
    <t>UHAN-INV06118</t>
  </si>
  <si>
    <t>UHAN-INV06121</t>
  </si>
  <si>
    <t>UHAN-INV06123</t>
  </si>
  <si>
    <t>UHAN-INV06127</t>
  </si>
  <si>
    <t>UHAN-INV06134</t>
  </si>
  <si>
    <t>UHAN-INV06136</t>
  </si>
  <si>
    <t>UHAN-INV06137</t>
  </si>
  <si>
    <t>UHAN-INV06135</t>
  </si>
  <si>
    <t>UHAN-INV06122</t>
  </si>
  <si>
    <t>E00972</t>
  </si>
  <si>
    <t>UHAN-INV06153</t>
  </si>
  <si>
    <t>UHAN-INV06155</t>
  </si>
  <si>
    <t>UHAN-INV06152</t>
  </si>
  <si>
    <t>UHAN-INV06154</t>
  </si>
  <si>
    <t>UHAN-INV06173</t>
  </si>
  <si>
    <t>UHAN-INV06165</t>
  </si>
  <si>
    <t>UHAN-INV06166</t>
  </si>
  <si>
    <t>UHAN-INV06178</t>
  </si>
  <si>
    <t>UHAN-INV06156</t>
  </si>
  <si>
    <t>UHAN-INV06180</t>
  </si>
  <si>
    <t>UHAN-INV06179</t>
  </si>
  <si>
    <t>UHAN-INV06194</t>
  </si>
  <si>
    <t>UHAN-INV06195</t>
  </si>
  <si>
    <t>UHAN-INV06199</t>
  </si>
  <si>
    <t>UHAN-INV06181</t>
  </si>
  <si>
    <t>UHAN-INV06182</t>
  </si>
  <si>
    <t>UHAN-INV06183</t>
  </si>
  <si>
    <t>UHAN-INV06207</t>
  </si>
  <si>
    <t>UMG</t>
  </si>
  <si>
    <t>Lucid Tracy</t>
  </si>
  <si>
    <t>E00963</t>
  </si>
  <si>
    <t>E00964</t>
  </si>
  <si>
    <t>E00965</t>
  </si>
  <si>
    <t>INV06112</t>
  </si>
  <si>
    <t>INV06113</t>
  </si>
  <si>
    <t>INV06105</t>
  </si>
  <si>
    <t>INV06120</t>
  </si>
  <si>
    <t>INV06128</t>
  </si>
  <si>
    <t>E00967</t>
  </si>
  <si>
    <t>INV06129</t>
  </si>
  <si>
    <t>E00968</t>
  </si>
  <si>
    <t>INV06130</t>
  </si>
  <si>
    <t>INV06131</t>
  </si>
  <si>
    <t>INV06132</t>
  </si>
  <si>
    <t>INV06133</t>
  </si>
  <si>
    <t>E00971</t>
  </si>
  <si>
    <t>INV06150</t>
  </si>
  <si>
    <t>INV06159</t>
  </si>
  <si>
    <t>INV06160</t>
  </si>
  <si>
    <t>INV06161</t>
  </si>
  <si>
    <t>INV06162</t>
  </si>
  <si>
    <t>INV06163</t>
  </si>
  <si>
    <t>INV06164</t>
  </si>
  <si>
    <t>E00973</t>
  </si>
  <si>
    <t>INV06186</t>
  </si>
  <si>
    <t>INV06187</t>
  </si>
  <si>
    <t>INV06188</t>
  </si>
  <si>
    <t>INV06189</t>
  </si>
  <si>
    <t>INV06190</t>
  </si>
  <si>
    <t>E00974</t>
  </si>
  <si>
    <t>INV06191</t>
  </si>
  <si>
    <t>INV06192</t>
  </si>
  <si>
    <t>INV06193</t>
  </si>
  <si>
    <t>Bangtai</t>
  </si>
  <si>
    <t>Transfer to HQ1</t>
  </si>
  <si>
    <t>Kioxia</t>
  </si>
  <si>
    <t>281.8 KG</t>
  </si>
  <si>
    <t>14.6 KG</t>
  </si>
  <si>
    <t>BANG TAI INTERNATIONAL LOG CO., LTD</t>
  </si>
  <si>
    <t>LSHHPH2507251</t>
  </si>
  <si>
    <t>SHHPH25016596</t>
  </si>
  <si>
    <t>LSHHPH2507473</t>
  </si>
  <si>
    <t>LSHHPH2507304</t>
  </si>
  <si>
    <t>LSHHPH2507740</t>
  </si>
  <si>
    <t>LSHHPH2507861</t>
  </si>
  <si>
    <t>LSHHPH2508176</t>
  </si>
  <si>
    <t>PSHPH2590003</t>
  </si>
  <si>
    <t>HKHPG250948</t>
  </si>
  <si>
    <t>PSHPH2590034</t>
  </si>
  <si>
    <t>LSHHPH2508501</t>
  </si>
  <si>
    <t>LSHHPH2508485</t>
  </si>
  <si>
    <t>TAITECH PRECISION ELECTRONIC(KUNSHAN) CO.,LTD</t>
  </si>
  <si>
    <t>SUZHOU PIN SHINE TECHNOLOGY CO., LTD</t>
  </si>
  <si>
    <t>SEA LINK DIE CASTING KUNSHAN CO.LTD</t>
  </si>
  <si>
    <t>KUNSHAN ESON PRECISION ENGINEERING CO.,LTD.</t>
  </si>
  <si>
    <t>SUPERCON TECHNOLOGY CO., LTD.</t>
  </si>
  <si>
    <t>BOSWAY ELECTRONICS CO. LTD</t>
  </si>
  <si>
    <t>SUZHOU PIN SHINE TECHNOLOGY CO LTD</t>
  </si>
  <si>
    <t>LSZHPH2509364</t>
  </si>
  <si>
    <t>PSHPH2580133</t>
  </si>
  <si>
    <t>PSHPH2580111</t>
  </si>
  <si>
    <t>PSHPH2580154</t>
  </si>
  <si>
    <t>PSHPH2590046</t>
  </si>
  <si>
    <t>GOLD CIRCUIT ELECTRONICS LTD.</t>
  </si>
  <si>
    <t>Truck</t>
  </si>
  <si>
    <t>WORLD PEACE INDUSTRIAL CO., LTD.</t>
  </si>
  <si>
    <t>WANCHUN YOU</t>
  </si>
  <si>
    <t>GULTECH JIANGSU</t>
  </si>
  <si>
    <t>SUZHOU NOVOSENSE MICROELECTRONICS</t>
  </si>
  <si>
    <t>XINYOU HARDWARE</t>
  </si>
  <si>
    <t>SUPERCON TECHNOLOGY CO.LTD,</t>
  </si>
  <si>
    <t>QUACOMM CDMA TECHNOLOGIES ASIA-PAC</t>
  </si>
  <si>
    <t xml:space="preserve">Ennovi Advanced Mobility Solutions Hangzhou Co., Ltd.				</t>
  </si>
  <si>
    <t xml:space="preserve">Universal Global Scientific Industrial Co., Ltd.			</t>
  </si>
  <si>
    <t xml:space="preserve">ENNOVI ADVANCED MOBILITY SOLUTIONS HANGZHOU CO., LTD.		</t>
  </si>
  <si>
    <t>AOF-25909340</t>
  </si>
  <si>
    <t xml:space="preserve">LSHHPH2507544 </t>
  </si>
  <si>
    <t>SA250707107</t>
  </si>
  <si>
    <t>LSHHPH2508062</t>
  </si>
  <si>
    <t>BSJNB0087082</t>
  </si>
  <si>
    <t>WTPTXGHPH250530</t>
  </si>
  <si>
    <t>SHHPH25019717</t>
  </si>
  <si>
    <t>ST25091906</t>
  </si>
  <si>
    <t xml:space="preserve">READORE TECHNOLOGY (HK) LIMITED		</t>
  </si>
  <si>
    <t xml:space="preserve">WUS INTERNATIONAL COMPANY LIMITED		</t>
  </si>
  <si>
    <t>MNN/HPH/00948</t>
  </si>
  <si>
    <t>AS257384</t>
  </si>
  <si>
    <t>MNN/HPH/00959</t>
  </si>
  <si>
    <t>RICHARDSON RFPD HONG KONG LIMITED</t>
  </si>
  <si>
    <t>DONGGUANG COFAN ELECTRONIC TECHNOLO</t>
  </si>
  <si>
    <t>HEILIND ASIA PACIFIC</t>
  </si>
  <si>
    <t>NANYA TECHNOLOGY CORP</t>
  </si>
  <si>
    <t>Unigen MY</t>
  </si>
  <si>
    <t>Ei</t>
  </si>
  <si>
    <t>CHIA CHANG CO., LTD</t>
  </si>
  <si>
    <t>Readore MFG Phils Corp</t>
  </si>
  <si>
    <t>42I0231449</t>
  </si>
  <si>
    <t xml:space="preserve">GULTECH JIANGSU ELECTRONICS TECHNOLOGIES CO LTD		</t>
  </si>
  <si>
    <t xml:space="preserve">ZHENJIANG FINEWORLD AUTOMOTIVE TECHNOLOGY CO.,LTD										
										</t>
  </si>
  <si>
    <t xml:space="preserve">Kunshan Eson Precision Engineering		</t>
  </si>
  <si>
    <t xml:space="preserve">CHENG FWA INDUSTRIAL CO., LTD		</t>
  </si>
  <si>
    <t xml:space="preserve">UNIVERSAL GLOBAL SCIENTIFIC INDUST		</t>
  </si>
  <si>
    <t xml:space="preserve">LSHHPH2507117 </t>
  </si>
  <si>
    <t>LSHHPH2508701</t>
  </si>
  <si>
    <t>LSHHPH2508726</t>
  </si>
  <si>
    <t>LSHHPH2508960</t>
  </si>
  <si>
    <t>BSJSH0087567B</t>
  </si>
  <si>
    <t>LSHHPH2508893</t>
  </si>
  <si>
    <t>WTPKELHPH250635</t>
  </si>
  <si>
    <t>LSHHPH2509014</t>
  </si>
  <si>
    <t>LSHHPH2509337</t>
  </si>
  <si>
    <t>TXGHPHK25O10</t>
  </si>
  <si>
    <t>BSJSH0087859</t>
  </si>
  <si>
    <t>WTPKELHPH250674</t>
  </si>
  <si>
    <t>E00978</t>
  </si>
  <si>
    <t>E00984</t>
  </si>
  <si>
    <t>E00982</t>
  </si>
  <si>
    <t>E00986</t>
  </si>
  <si>
    <t>E00988</t>
  </si>
  <si>
    <t>UHAN-INV06260</t>
  </si>
  <si>
    <t>UHAN-INV06316</t>
  </si>
  <si>
    <t>UHAN-INV06208</t>
  </si>
  <si>
    <t>UHAN-INV06215</t>
  </si>
  <si>
    <t>UHAN-INV06216</t>
  </si>
  <si>
    <t>UHAN-INV06213</t>
  </si>
  <si>
    <t>UHAN-INV06214</t>
  </si>
  <si>
    <t>UHAN-INV06217</t>
  </si>
  <si>
    <t>UHAN-INV06225</t>
  </si>
  <si>
    <t>UHAN-INV06226</t>
  </si>
  <si>
    <t>UHAN-INV06227</t>
  </si>
  <si>
    <t>UHAN-INV06228</t>
  </si>
  <si>
    <t>UHAN-INV06229</t>
  </si>
  <si>
    <t>UHAN-INV06222</t>
  </si>
  <si>
    <t>UHAN-INV06196</t>
  </si>
  <si>
    <t>UHAN-INV06237</t>
  </si>
  <si>
    <t>UHAN-INV06234</t>
  </si>
  <si>
    <t>UHAN-INV06238</t>
  </si>
  <si>
    <t>UHAN-INV06235</t>
  </si>
  <si>
    <t>UHAN-INV06239</t>
  </si>
  <si>
    <t>UHAN-INV06236</t>
  </si>
  <si>
    <t>UHAN-INV06252</t>
  </si>
  <si>
    <t>UHAN-INV06251</t>
  </si>
  <si>
    <t>UHAN-INV06254</t>
  </si>
  <si>
    <t>UHAN-INV06255</t>
  </si>
  <si>
    <t>UHAN-INV06253</t>
  </si>
  <si>
    <t>UHAN-INV06247</t>
  </si>
  <si>
    <t>UHAN-INV06256</t>
  </si>
  <si>
    <t>UHAN-INV06257</t>
  </si>
  <si>
    <t>UHAN-INV06276</t>
  </si>
  <si>
    <t>UHAN-INV06275</t>
  </si>
  <si>
    <t>UHAN-INV06270</t>
  </si>
  <si>
    <t>UHAN-INV06278</t>
  </si>
  <si>
    <t>UHAN-INV06279</t>
  </si>
  <si>
    <t>UHAN-INV06280</t>
  </si>
  <si>
    <t>UHAN-INV06274</t>
  </si>
  <si>
    <t>UHAN-INV06283</t>
  </si>
  <si>
    <t>UHAN-INV06284</t>
  </si>
  <si>
    <t>UHAN-INV06299</t>
  </si>
  <si>
    <t>UHAN-INV06308</t>
  </si>
  <si>
    <t>NI MY</t>
  </si>
  <si>
    <t>Fushan</t>
  </si>
  <si>
    <t>UHAN-INV06218</t>
  </si>
  <si>
    <t>UHAN-INV06219</t>
  </si>
  <si>
    <t>UHAN-INV06220</t>
  </si>
  <si>
    <t>UHAN-INV06221</t>
  </si>
  <si>
    <t>UHAN-INV06240</t>
  </si>
  <si>
    <t>UHAN-INV06265</t>
  </si>
  <si>
    <t>UHAN-INV06266</t>
  </si>
  <si>
    <t>UHAN-INV06267</t>
  </si>
  <si>
    <t>UHAN-INV06268</t>
  </si>
  <si>
    <t>UHAN-INV06271</t>
  </si>
  <si>
    <t>UHAN-INV06290</t>
  </si>
  <si>
    <t>UHAN-INV06291</t>
  </si>
  <si>
    <t>UHAN-INV06292</t>
  </si>
  <si>
    <t>UHAN-INV06288</t>
  </si>
  <si>
    <t>UHAN-INV06289</t>
  </si>
  <si>
    <t>FCZ</t>
  </si>
  <si>
    <t>FJZ</t>
  </si>
  <si>
    <t>Kingston TW</t>
  </si>
  <si>
    <t>Kingston US</t>
  </si>
  <si>
    <t>WUS INTERNATIONAL COMPANY LIMITED</t>
  </si>
  <si>
    <t>MIN AIK TECHNOLOGY CO., LTD_x000D_
_x000D_
TW</t>
  </si>
  <si>
    <t>ISU PETASYS INTERNATIONAL (HONGKONG) LIMITED_x000D_
HK</t>
  </si>
  <si>
    <t>COMPEQ MANUFACTURING (HUIZHOU) CO., LTD.</t>
  </si>
  <si>
    <t>ISU Petasys International (HongKong) Limited</t>
  </si>
  <si>
    <t>IST25090128</t>
  </si>
  <si>
    <t>175-2590012</t>
  </si>
  <si>
    <t>X07202509-184</t>
  </si>
  <si>
    <t>250970814</t>
  </si>
  <si>
    <t>175-25A0005</t>
  </si>
  <si>
    <t>251010005-7</t>
  </si>
  <si>
    <t>X07202509-396</t>
  </si>
  <si>
    <t>X2509110</t>
  </si>
  <si>
    <t>20250917401</t>
  </si>
  <si>
    <t>DS71-250900018&amp;19</t>
  </si>
  <si>
    <t>S251003001</t>
  </si>
  <si>
    <t>2025-13812</t>
  </si>
  <si>
    <t>BHI2509209</t>
  </si>
  <si>
    <t>DS71-250900026</t>
  </si>
  <si>
    <t>BESS21250904</t>
  </si>
  <si>
    <t>SLDC2509020</t>
  </si>
  <si>
    <t>2025-14137</t>
  </si>
  <si>
    <t>DS71-250900035</t>
  </si>
  <si>
    <t>DKSPI20250924</t>
  </si>
  <si>
    <t>X2510059</t>
  </si>
  <si>
    <t>20251010403</t>
  </si>
  <si>
    <t>TAITECH PRECISION ELECTRONIC(KUNSHAN) CO.,LTD._x000D_
CN</t>
  </si>
  <si>
    <t>BIZLINK SPEEDY PTE. LTD._x000D_
HK</t>
  </si>
  <si>
    <t>SUZHOU PIN SHINE TECHNOLOGY CO _x000D_
CN</t>
  </si>
  <si>
    <t>SUPERCON TECHNOLOGY LTD_x000D_
TW</t>
  </si>
  <si>
    <t>Ennovi Advanced Mobility Solutions Hangzhou Co., Ltd.</t>
  </si>
  <si>
    <t>HUZHOU DEKASI ELECTRONICS CO.,LTD.</t>
  </si>
  <si>
    <t>TAITECH PRECISION ELECTRONIC (KUNSHAN) CO. , LTD.</t>
  </si>
  <si>
    <t>BizLink (ShenZhen ) Co.ltd</t>
  </si>
  <si>
    <t>SUNLORD ELECTRONICS TECHNOLOGY PTE</t>
  </si>
  <si>
    <t>KINJI ELECTRONICS LTD</t>
  </si>
  <si>
    <t>BRAIN POWER</t>
  </si>
  <si>
    <t>KEYMATE MECHATRONICS (SUZHOU) CO., LTD</t>
  </si>
  <si>
    <t>HWHPH2503058</t>
  </si>
  <si>
    <t>BRAIN POWER ENTERPRISE (HONG KONG ) LIMITED</t>
  </si>
  <si>
    <t>HKHPG251045</t>
  </si>
  <si>
    <t>FedEx</t>
  </si>
  <si>
    <t>E00995</t>
  </si>
  <si>
    <t>UHAN-INV06336</t>
  </si>
  <si>
    <t>UHAN-INV06374</t>
  </si>
  <si>
    <t>UHAN-INV06391</t>
  </si>
  <si>
    <t>UHAN-INV06447</t>
  </si>
  <si>
    <t>UHAN-INV06306</t>
  </si>
  <si>
    <t>UHAN-INV06307</t>
  </si>
  <si>
    <t>UHAN-INV06314</t>
  </si>
  <si>
    <t>UHAN-INV06313</t>
  </si>
  <si>
    <t>UHAN-INV06305</t>
  </si>
  <si>
    <t>UHAN-INV06330</t>
  </si>
  <si>
    <t>UHAN-INV06331</t>
  </si>
  <si>
    <t>UHAN-INV06310</t>
  </si>
  <si>
    <t>UHAN-INV06315</t>
  </si>
  <si>
    <t>UHAN-INV06300</t>
  </si>
  <si>
    <t>UHAN-INV06332</t>
  </si>
  <si>
    <t>UHAN-INV06333</t>
  </si>
  <si>
    <t>UHAN-INV06309</t>
  </si>
  <si>
    <t>UHAN-INV06334</t>
  </si>
  <si>
    <t>UHAN-INV06337</t>
  </si>
  <si>
    <t>UHAN-INV06338</t>
  </si>
  <si>
    <t>UHAN-INV06339</t>
  </si>
  <si>
    <t>UHAN-INV06341</t>
  </si>
  <si>
    <t>UHAN-INV06361</t>
  </si>
  <si>
    <t>UHAN-INV06340</t>
  </si>
  <si>
    <t>UHAN-INV06362</t>
  </si>
  <si>
    <t>UHAN-INV06367</t>
  </si>
  <si>
    <t>UHAN-INV06368</t>
  </si>
  <si>
    <t>UHAN-INV06353</t>
  </si>
  <si>
    <t>UHAN-INV06354</t>
  </si>
  <si>
    <t>UHAN-INV06371</t>
  </si>
  <si>
    <t>UHAN-INV06373</t>
  </si>
  <si>
    <t>UHAN-INV06372</t>
  </si>
  <si>
    <t>UHAN-INV06355</t>
  </si>
  <si>
    <t>UHAN-INV06356</t>
  </si>
  <si>
    <t>UHAN-INV06380</t>
  </si>
  <si>
    <t>UHAN-INV06378</t>
  </si>
  <si>
    <t>UHAN-INV06379</t>
  </si>
  <si>
    <t>UHAN-INV06357</t>
  </si>
  <si>
    <t>UHAN-INV06359</t>
  </si>
  <si>
    <t>UHAN-INV06358</t>
  </si>
  <si>
    <t>UHAN-INV06388</t>
  </si>
  <si>
    <t>UHAN-INV06389</t>
  </si>
  <si>
    <t>UHAN-INV06390</t>
  </si>
  <si>
    <t>UHAN-INV06385</t>
  </si>
  <si>
    <t>UHAN-INV06386</t>
  </si>
  <si>
    <t>UHAN-INV06398</t>
  </si>
  <si>
    <t>UHAN-INV06399</t>
  </si>
  <si>
    <t>UHAN-INV06400</t>
  </si>
  <si>
    <t>UHAN-INV06401</t>
  </si>
  <si>
    <t>UHAN-INV06402</t>
  </si>
  <si>
    <t>UHAN-INV06403</t>
  </si>
  <si>
    <t>UHAN-INV06369</t>
  </si>
  <si>
    <t>UHAN-INV06414</t>
  </si>
  <si>
    <t>UHAN-INV06413</t>
  </si>
  <si>
    <t>UHAN-INV06405</t>
  </si>
  <si>
    <t>UHAN-INV06404</t>
  </si>
  <si>
    <t>UHAN-INV06406</t>
  </si>
  <si>
    <t>UHAN-INV06425</t>
  </si>
  <si>
    <t>UHAN-INV06426</t>
  </si>
  <si>
    <t>UHAN-INV06427</t>
  </si>
  <si>
    <t>UHAN-INV06428</t>
  </si>
  <si>
    <t>UHAN-INV06412</t>
  </si>
  <si>
    <t>UHAN-INV06429</t>
  </si>
  <si>
    <t>UHAN-INV06430</t>
  </si>
  <si>
    <t>UHAN-INV06409</t>
  </si>
  <si>
    <t>UHAN-INV06437</t>
  </si>
  <si>
    <t>UHAN-INV06438</t>
  </si>
  <si>
    <t>UHAN-INV06439</t>
  </si>
  <si>
    <t>UHAN-INV06440</t>
  </si>
  <si>
    <t>UHAN-INV06433</t>
  </si>
  <si>
    <t>UHAN-INV06448</t>
  </si>
  <si>
    <t>UHAN-INV06432</t>
  </si>
  <si>
    <t>UHAN-INV06434</t>
  </si>
  <si>
    <t>UHAN-INV06407</t>
  </si>
  <si>
    <t>UHAN-INV06441</t>
  </si>
  <si>
    <t>UHAN-INV06442</t>
  </si>
  <si>
    <t>Lucid Group</t>
  </si>
  <si>
    <t>INFINEON TECHNOLOGIES</t>
  </si>
  <si>
    <t>TEXAS INSTRUMENTS MALAYSIA SDN BHD</t>
  </si>
  <si>
    <t>SAMPLE 697</t>
  </si>
  <si>
    <t>SAMPLE 699</t>
  </si>
  <si>
    <t>UHAN-INV06325</t>
  </si>
  <si>
    <t>UHAN-INV06326</t>
  </si>
  <si>
    <t>UHAN-INV06327</t>
  </si>
  <si>
    <t>UHAN-INV06328</t>
  </si>
  <si>
    <t>UHAN-INV06329</t>
  </si>
  <si>
    <t>UHAN-INV06342</t>
  </si>
  <si>
    <t>UHAN-INV06344</t>
  </si>
  <si>
    <t>UHAN-INV06343</t>
  </si>
  <si>
    <t>E00990</t>
  </si>
  <si>
    <t>UHAN-INV06377</t>
  </si>
  <si>
    <t>UHAN-INV06382</t>
  </si>
  <si>
    <t>UHAN-INV06383</t>
  </si>
  <si>
    <t>UHAN-INV06384</t>
  </si>
  <si>
    <t>UHAN-INV06418</t>
  </si>
  <si>
    <t>UHAN-INV06419</t>
  </si>
  <si>
    <t>UHAN-INV06420</t>
  </si>
  <si>
    <t>E00993</t>
  </si>
  <si>
    <t>UHAN-INV06444</t>
  </si>
  <si>
    <t>UHAN-INV06422</t>
  </si>
  <si>
    <t>UHAN-INV06322</t>
  </si>
  <si>
    <t>UHAN-INV06335</t>
  </si>
  <si>
    <t>UHAN-INV06347</t>
  </si>
  <si>
    <t>UHAN-INV06345</t>
  </si>
  <si>
    <t>UHAN-INV06321</t>
  </si>
  <si>
    <t>UHAN-INV06364</t>
  </si>
  <si>
    <t>UHAN-INV06365</t>
  </si>
  <si>
    <t>UHAN-INV06387</t>
  </si>
  <si>
    <t>UHAN-INV06392</t>
  </si>
  <si>
    <t>UHAN-INV06396</t>
  </si>
  <si>
    <t>UHAN-INV06394</t>
  </si>
  <si>
    <t>UHAN-INV06393</t>
  </si>
  <si>
    <t>UHAN-INV06410</t>
  </si>
  <si>
    <t>UHAN-INV06417</t>
  </si>
  <si>
    <t>UHAN-INV06416</t>
  </si>
  <si>
    <t>UHAN-INV06415</t>
  </si>
  <si>
    <t>UHAN-INV06435</t>
  </si>
  <si>
    <t>UHAN-INV06436</t>
  </si>
  <si>
    <t>UHAN-INV06446</t>
  </si>
  <si>
    <t>UHAN-INV06445</t>
  </si>
  <si>
    <t>UHAN-INV06452</t>
  </si>
  <si>
    <t>UHAN-INV06451</t>
  </si>
  <si>
    <t>Ingrasys</t>
  </si>
  <si>
    <t>Sanmina</t>
  </si>
  <si>
    <t>WPG</t>
  </si>
  <si>
    <t>Jabil MY</t>
  </si>
  <si>
    <t>Seagate</t>
  </si>
  <si>
    <t>Cloud TW</t>
  </si>
  <si>
    <t>Cloud HK</t>
  </si>
  <si>
    <t>CTU</t>
  </si>
  <si>
    <t>RAVE computer</t>
  </si>
  <si>
    <t>IXSystems</t>
  </si>
  <si>
    <t>Photron</t>
  </si>
  <si>
    <t>UHAN-INV06366</t>
  </si>
  <si>
    <t>UHAN-INV06397</t>
  </si>
  <si>
    <t>UHAN-INV06450</t>
  </si>
  <si>
    <t>INV06303</t>
  </si>
  <si>
    <t>INV06302</t>
  </si>
  <si>
    <t>INV06304</t>
  </si>
  <si>
    <t>NET APP</t>
  </si>
  <si>
    <t>Skyglobal</t>
  </si>
  <si>
    <t>MING CHIANG PRECISION CO., LTD</t>
  </si>
  <si>
    <t>ARROW COMPONENTS (M) SDN BHD</t>
  </si>
  <si>
    <t>CHIP ONE STOP, INC.</t>
  </si>
  <si>
    <t>AVNET ASIA PTE LTD</t>
  </si>
  <si>
    <t>TEXAS INSTRUMENTS ASIA LIMITED</t>
  </si>
  <si>
    <t>ENNOVI ADVANCED MOBILITY SOLUTIONS</t>
  </si>
  <si>
    <t>TEXAS INSTRUMENTS SOUTHEAST ASIA PT</t>
  </si>
  <si>
    <t>VITALSYSTEM TECHNOLOGY PTE LTD</t>
  </si>
  <si>
    <t>MICRON MEMORY MY SDN BHD</t>
  </si>
  <si>
    <t>STEADFAST INDUSTRIAL PTE LTD</t>
  </si>
  <si>
    <t>SHIPPING</t>
  </si>
  <si>
    <t>MICROCHIP TECHNOLOGY (THAILAND).</t>
  </si>
  <si>
    <t>SINO FAITH TECHNOLOGY DVPT LTD</t>
  </si>
  <si>
    <t>TECHFORD INTERNATIONAL LIMITED</t>
  </si>
  <si>
    <t>MICROCHIP TECHNOLOGY (TH) CO LTD</t>
  </si>
  <si>
    <t>AMPHENOL EAST ASIA LTD.</t>
  </si>
  <si>
    <t>MICRON SEMI ASIA OPS</t>
  </si>
  <si>
    <t>CYMMETRIK SHENZHEN PRINTING CO. LTD</t>
  </si>
  <si>
    <t>MICROCHIP TECHNOLOGY OPS PHIL CORP</t>
  </si>
  <si>
    <t>W   B TECHNOLOGY LTD.</t>
  </si>
  <si>
    <t>CINDY FENG</t>
  </si>
  <si>
    <t>TXC CORPORATION</t>
  </si>
  <si>
    <t>TING CHEN</t>
  </si>
  <si>
    <t>STATS CHIPPAC KOREA LTD.</t>
  </si>
  <si>
    <t>LEOCO(SZ) PRECISE INDUSTRIAL CO.LTD</t>
  </si>
  <si>
    <t>SINO FAITH TECHNOLOGY  DVPT LTD</t>
  </si>
  <si>
    <t>MAX TREND INTL DEVELOPMENT LTD</t>
  </si>
  <si>
    <t>BRAIN POWER ENTERPRISE (HONG KONG )</t>
  </si>
  <si>
    <t>Expeditor</t>
  </si>
  <si>
    <t>GOLD CIRCUIT ELECTRONICS CO., LTD</t>
  </si>
  <si>
    <t>WT MICROELECTRONICS SPORE P/L</t>
  </si>
  <si>
    <t>Sino Faith Technology Development</t>
  </si>
  <si>
    <t>LIPERS ENTERPRISE CO LTD</t>
  </si>
  <si>
    <t>Charles Power Technology Group (Suzhou branch)</t>
  </si>
  <si>
    <t>Kunshan Eson Precision Engineering</t>
  </si>
  <si>
    <t>ZHENJIANG FINEWORLD AUTOMOTIVE</t>
  </si>
  <si>
    <t>BSJNB0088368A</t>
  </si>
  <si>
    <t>LSHHPH2509787</t>
  </si>
  <si>
    <t>TXGHPHK25N03</t>
  </si>
  <si>
    <t>LNBHPH256312</t>
  </si>
  <si>
    <t>SHHPH25022982</t>
  </si>
  <si>
    <t>LSHHPH2501284</t>
  </si>
  <si>
    <t>LSHHPH2501113</t>
  </si>
  <si>
    <t>LSHHPH2501482A</t>
  </si>
  <si>
    <t>TXGHPHK25N17</t>
  </si>
  <si>
    <t>LUCID</t>
  </si>
  <si>
    <t>ELEMENT14 PTE LTD</t>
  </si>
  <si>
    <t>E00989</t>
  </si>
  <si>
    <t>E00992</t>
  </si>
  <si>
    <t>BRAIN-POWER (QINGYUAN)CO LTD</t>
  </si>
  <si>
    <t>LSHHPH2509630</t>
  </si>
  <si>
    <t>HWHPH2503299</t>
  </si>
  <si>
    <t>HWHPH2503292</t>
  </si>
  <si>
    <t>LNBHPH255997</t>
  </si>
  <si>
    <t>LSHHPH2509930</t>
  </si>
  <si>
    <t>AS259083</t>
  </si>
  <si>
    <t>ASPHPHE14523115</t>
  </si>
  <si>
    <t>HKHPG251167</t>
  </si>
  <si>
    <t>HWHPH2503517</t>
  </si>
  <si>
    <t>HWHPH2503571</t>
  </si>
  <si>
    <t>SEA LINK DIE CASTING KUNSHAN CO. , LTD</t>
  </si>
  <si>
    <t>SUNONWEALTH ELECTRIC MACHINE INDUSTRY CO. , LTD</t>
  </si>
  <si>
    <t>ENNOVI ADVANCED MOBILITY SOLUTIONS HANGZHOU_x000D_
CO., LTD.</t>
  </si>
  <si>
    <t>ZHENJIANG FINEWORLD AUTOMOTIVE TECHNOLOGY CO.,LTD</t>
  </si>
  <si>
    <t>PSHPH25A0131</t>
  </si>
  <si>
    <t>PSHPH25A0136</t>
  </si>
  <si>
    <t>PSHPH25A0175</t>
  </si>
  <si>
    <t>PSHPH25A0159</t>
  </si>
  <si>
    <t>AS259384</t>
  </si>
  <si>
    <t>LSZHPH2513141</t>
  </si>
  <si>
    <t>MIN AIK TECHNOLOGY CO., LTD.</t>
  </si>
  <si>
    <t>HWHPH2503397</t>
  </si>
  <si>
    <t>HKHPG251142</t>
  </si>
  <si>
    <t>GULTECH (JIANGSU) ELECTRONICS TECHNOLOGIES CO., LTD.</t>
  </si>
  <si>
    <t>HWHPH2503235</t>
  </si>
  <si>
    <t>Xuất</t>
  </si>
  <si>
    <t>Nhập</t>
  </si>
  <si>
    <t>Total</t>
  </si>
  <si>
    <t>Double check</t>
  </si>
  <si>
    <t>VND</t>
  </si>
  <si>
    <t>Quote customer</t>
  </si>
  <si>
    <t>Cost</t>
  </si>
  <si>
    <r>
      <t xml:space="preserve">Other </t>
    </r>
    <r>
      <rPr>
        <b/>
        <sz val="11"/>
        <color rgb="FFFF0000"/>
        <rFont val="Calibri"/>
        <family val="2"/>
        <scheme val="minor"/>
      </rPr>
      <t>freight</t>
    </r>
    <r>
      <rPr>
        <b/>
        <sz val="11"/>
        <color theme="1"/>
        <rFont val="Calibri"/>
        <family val="2"/>
        <scheme val="minor"/>
      </rPr>
      <t xml:space="preserve"> charges</t>
    </r>
  </si>
  <si>
    <t>EXPORT</t>
  </si>
  <si>
    <t>IMPORT</t>
  </si>
  <si>
    <t>Jan-25 Total</t>
  </si>
  <si>
    <t>Feb-25 Total</t>
  </si>
  <si>
    <t>Mar-25 Total</t>
  </si>
  <si>
    <t>May-25 Total</t>
  </si>
  <si>
    <t>Jun-25 Total</t>
  </si>
  <si>
    <t>Jul-25 Total</t>
  </si>
  <si>
    <t>Aug-25 Total</t>
  </si>
  <si>
    <t>Sep-25 Total</t>
  </si>
  <si>
    <t>Oct-25 Total</t>
  </si>
  <si>
    <t>Nov-25 Total</t>
  </si>
  <si>
    <t>Grand Total</t>
  </si>
  <si>
    <t>Apr-25 Total</t>
  </si>
  <si>
    <t>25-Nov Total</t>
  </si>
  <si>
    <t>Kg</t>
  </si>
  <si>
    <t>DHL</t>
  </si>
  <si>
    <t>UHAN_INV05971</t>
  </si>
  <si>
    <t>DSV</t>
  </si>
  <si>
    <t>Leschaco</t>
  </si>
  <si>
    <t>FedEx Log</t>
  </si>
  <si>
    <t>TGI</t>
  </si>
  <si>
    <t>Store, hl, lift on, lift off</t>
  </si>
  <si>
    <t>FedEx Customs supervision fee</t>
  </si>
  <si>
    <t>KG</t>
  </si>
  <si>
    <t>Store, hl
LIFT ON/OFF..</t>
  </si>
  <si>
    <t>No</t>
  </si>
  <si>
    <t>HBL No.</t>
  </si>
  <si>
    <t>Invoice No</t>
  </si>
  <si>
    <t>Shipper</t>
  </si>
  <si>
    <t>Destination/ Shipper's country</t>
  </si>
  <si>
    <t>Custom 
No</t>
  </si>
  <si>
    <t>CD Date</t>
  </si>
  <si>
    <t>Quantity</t>
  </si>
  <si>
    <t>Service charge - Amount VND</t>
  </si>
  <si>
    <t>Sub-Total (vnd)</t>
  </si>
  <si>
    <t>Pay on be half of Unigen - Amount VND</t>
  </si>
  <si>
    <t>Sub-Total
(vnd)</t>
  </si>
  <si>
    <t>TOTAL AMOUNT</t>
  </si>
  <si>
    <t>NOTE</t>
  </si>
  <si>
    <t>Inpection fee/
Handling</t>
  </si>
  <si>
    <t>EXW, OF, LOCAL CHARGE</t>
  </si>
  <si>
    <t>Infrastructure fee, lphq</t>
  </si>
  <si>
    <t>Local charge</t>
  </si>
  <si>
    <t xml:space="preserve"> Storage charge, labor, </t>
  </si>
  <si>
    <t>LoẠI HÌNH</t>
  </si>
  <si>
    <t>HK</t>
  </si>
  <si>
    <t>CPN</t>
  </si>
  <si>
    <t>E11</t>
  </si>
  <si>
    <t>MICRON SEMICONDUCTOR XIAN CO.LTD</t>
  </si>
  <si>
    <t>CN</t>
  </si>
  <si>
    <t>TW</t>
  </si>
  <si>
    <t>LCL</t>
  </si>
  <si>
    <t>TTI INC</t>
  </si>
  <si>
    <t>US</t>
  </si>
  <si>
    <t>Avnet Asia Pte Ltd</t>
  </si>
  <si>
    <t>SG</t>
  </si>
  <si>
    <t>MICRON MEMORY MALAYSIA SDN BHD</t>
  </si>
  <si>
    <t>MY</t>
  </si>
  <si>
    <t>KIOXIA CORPORATION C/O KIOXIA AMERICA INC</t>
  </si>
  <si>
    <t>AVNET - CHANDLER</t>
  </si>
  <si>
    <t>ARROW ELECTRONICS, INC</t>
  </si>
  <si>
    <t>PH</t>
  </si>
  <si>
    <t>FUTURE ELECTRONICS FICE</t>
  </si>
  <si>
    <t>ARROW COMPONENTS MEXICO SA De CV</t>
  </si>
  <si>
    <t>MX</t>
  </si>
  <si>
    <t>ARROW COMPONENTS MEXICO S.A. DE C.V</t>
  </si>
  <si>
    <t>Avnet, Inc.</t>
  </si>
  <si>
    <t>JP</t>
  </si>
  <si>
    <t>FUTURE ELECTRONICS</t>
  </si>
  <si>
    <t>FUTURE ELECTRONICS (ADC)</t>
  </si>
  <si>
    <t>C/O KINTETSU WORLD EXPRESS (CHINA) TEXAS INSTRUMENTS ASIA LIMITED</t>
  </si>
  <si>
    <t>MICROCHIP TECHNOLOGY (THAILAND). CO.,LTD</t>
  </si>
  <si>
    <t>TH</t>
  </si>
  <si>
    <t>WT MICROELECTRONICS SINGAPORE PTE L</t>
  </si>
  <si>
    <t>LIPERS ENTERPRISE CO., LTD.</t>
  </si>
  <si>
    <t>DIGI-KEY ELECTRONICS</t>
  </si>
  <si>
    <t>ROSENBERGER HOCHFREQUENZTECHNIK</t>
  </si>
  <si>
    <t>DE</t>
  </si>
  <si>
    <t>AVNET- CHANDLER</t>
  </si>
  <si>
    <t>ARROW ELECTRONICS INC</t>
  </si>
  <si>
    <t>Richardson RFPD Hong Kong Limited</t>
  </si>
  <si>
    <t>MOUSER ELECTRONICS INC</t>
  </si>
  <si>
    <t>WPG SOUTH ASIA PTE. LTD</t>
  </si>
  <si>
    <t>LITTELFUSE FAR EAST PTE LTD</t>
  </si>
  <si>
    <t>C/O DHL SUPPLY CHAIN SGP P/L, TEXAS INSTRUMENTS SOUTHEAST ASIA PT</t>
  </si>
  <si>
    <t>ARROW COMPONENTS (M) SDN BHD, C/O ARROW COMPONENTS (M) SDN BHD</t>
  </si>
  <si>
    <t>ARROW ELECTRONICS, INC.</t>
  </si>
  <si>
    <t>O/B ANALOG DEVICES INTERNATIONAL UC DHL SUPPLY CHAIN MGMT PHILS. INC</t>
  </si>
  <si>
    <t>O/B ANALOG DEVICES INTERNATIONAL UC, DHL SUPPLY CHAIN MGMT PHILS. INC</t>
  </si>
  <si>
    <t>VN</t>
  </si>
  <si>
    <t>VENKEL LTD</t>
  </si>
  <si>
    <t>FUTURE ELECTRONICS INC (DIST) PTE LTD</t>
  </si>
  <si>
    <t>DHL SUPPLY CHAIN MGMT PHILS. INC</t>
  </si>
  <si>
    <t>ASE ELECTRONICS (M) SDN BHD</t>
  </si>
  <si>
    <t>Shenzhen Sunlord Electronics Co.Ltd</t>
  </si>
  <si>
    <t>FIERY, LLC.</t>
  </si>
  <si>
    <t>MICRON MEMORY MALAYSIA SDN BHD. ASSEMBLED IN MALAYSIA</t>
  </si>
  <si>
    <t>A &amp; E Rising Technologies Ltd</t>
  </si>
  <si>
    <t>VELOCITY ELECTRONICS ASIA PTE LTD</t>
  </si>
  <si>
    <t>WURTH ELECTRONICS MIDCOM</t>
  </si>
  <si>
    <t>SUNLORD ELECTRONICS TECHNOLOGY PTE LTD</t>
  </si>
  <si>
    <t>AVNET TECH HK LTD (1602 - HX64)</t>
  </si>
  <si>
    <t>ANALOG DEVICES GEN. TRIAS, INC.</t>
  </si>
  <si>
    <t>M&amp;Partners CO ., LTD (Suntsu Agent)</t>
  </si>
  <si>
    <t>TC</t>
  </si>
  <si>
    <t>CÔNG TY TNHH GE-SHEN (VIỆT NAM)</t>
  </si>
  <si>
    <t>CÔNG TY TNHH BAO BÌ HẠO NHUỆ VIỆT NAM</t>
  </si>
  <si>
    <t>CÔNG TY TNHH SẢN XUẤT VÀ KINH DOANH THỊNH VƯỢNG</t>
  </si>
  <si>
    <t>CHI NHÁNH CỦA CÔNG TY TNHH EPE PACKAGING (VIỆT NAM) TẠI VSIP HẢI PHÒNG</t>
  </si>
  <si>
    <t>UHAN-INV06454</t>
  </si>
  <si>
    <t>MITAC COMPUTING TECHNOLOGY CORPORATION</t>
  </si>
  <si>
    <t>UHAN-INV06470</t>
  </si>
  <si>
    <t>JABIL CIRCUIT SDN BHD</t>
  </si>
  <si>
    <t>E00996-2</t>
  </si>
  <si>
    <t>UHAN-INV06458</t>
  </si>
  <si>
    <t>Lucid USA, Inc.(CasaGrande Whse)</t>
  </si>
  <si>
    <t>UHAN-INV06469</t>
  </si>
  <si>
    <t>Microchip Technology Inc. Wassef</t>
  </si>
  <si>
    <t>UHAN-INV06471</t>
  </si>
  <si>
    <t>JABIL CIRCUIT DE MEXICO S. DE R.L. DE C.V.</t>
  </si>
  <si>
    <t>E00996-1</t>
  </si>
  <si>
    <t>UHAN-INV06473</t>
  </si>
  <si>
    <t>UHAN-INV06474</t>
  </si>
  <si>
    <t>Jabil Circuit Sdn Bhd</t>
  </si>
  <si>
    <t>UHAN-INV06475</t>
  </si>
  <si>
    <t>UHAN-INV06457</t>
  </si>
  <si>
    <t>UHAN-INV06459</t>
  </si>
  <si>
    <t>UHAN-INV06462</t>
  </si>
  <si>
    <t>UHAN-INV06479</t>
  </si>
  <si>
    <t>UHAN-INV06460</t>
  </si>
  <si>
    <t>UHAN-INV06461</t>
  </si>
  <si>
    <t>E00998</t>
  </si>
  <si>
    <t>Pure Warehouse</t>
  </si>
  <si>
    <t>E00999</t>
  </si>
  <si>
    <t>Cloud Network Technology Singapore PTE Ltd</t>
  </si>
  <si>
    <t>UHAN-INV06465</t>
  </si>
  <si>
    <t>UHAN-INV06466</t>
  </si>
  <si>
    <t>UHAN-INV06467</t>
  </si>
  <si>
    <t>E01000</t>
  </si>
  <si>
    <t>E01002</t>
  </si>
  <si>
    <t>UHAN-INV06408</t>
  </si>
  <si>
    <t>HELLA GmbH &amp; Co. KGaA.</t>
  </si>
  <si>
    <t>UHAN-INV06476</t>
  </si>
  <si>
    <t>UHAN-INV06468</t>
  </si>
  <si>
    <t>UHAN-INV06477</t>
  </si>
  <si>
    <t>UHAN-INV06443</t>
  </si>
  <si>
    <t>UHAN-INV06481</t>
  </si>
  <si>
    <t>UHAN-INV06491</t>
  </si>
  <si>
    <t>Jabil Circuit de Mexico, S.de R.L.de C.V</t>
  </si>
  <si>
    <t>UHAN-INV06492</t>
  </si>
  <si>
    <t>UHAN-INV06493</t>
  </si>
  <si>
    <t>Jabil Circuit de Mexico, S.de R.L.de C.V.</t>
  </si>
  <si>
    <t>UHAN-INV06496</t>
  </si>
  <si>
    <t>UHAN-INV06494</t>
  </si>
  <si>
    <t>Jabil Circuit de Mexico, S.de R.L.de  C.V.</t>
  </si>
  <si>
    <t>UHAN-INV06497</t>
  </si>
  <si>
    <t>Taiwan Express (HK) Co., Ltd</t>
  </si>
  <si>
    <t>UHAN-INV06495</t>
  </si>
  <si>
    <t>E01003</t>
  </si>
  <si>
    <t>UHAN-INV06499</t>
  </si>
  <si>
    <t>UHAN-INV06485</t>
  </si>
  <si>
    <t>UHAN-INV06500</t>
  </si>
  <si>
    <t>UHAN-INV06486</t>
  </si>
  <si>
    <t>UHAN-INV06482</t>
  </si>
  <si>
    <t>UHAN-INV06487</t>
  </si>
  <si>
    <t>UHAN-INV06501</t>
  </si>
  <si>
    <t>UHAN-INV06502</t>
  </si>
  <si>
    <t>UHAN-INV06503</t>
  </si>
  <si>
    <t>UHAN-INV06506</t>
  </si>
  <si>
    <t>CLOUD NETWORK TECHNOLOGY SINGAPORE PTE. LTD</t>
  </si>
  <si>
    <t>UHAN-INV06507</t>
  </si>
  <si>
    <t>UHAN-INV06463</t>
  </si>
  <si>
    <t>Lucid Group, USA Service Parts Distribution Ctr</t>
  </si>
  <si>
    <t>UHAN-INV06488</t>
  </si>
  <si>
    <t>UHAN-INV06489</t>
  </si>
  <si>
    <t>UHAN-INV06504</t>
  </si>
  <si>
    <t>UHAN-INV06505</t>
  </si>
  <si>
    <t>UHAN-INV06513</t>
  </si>
  <si>
    <t>UHAN-INV06508</t>
  </si>
  <si>
    <t>UHAN-INV06509</t>
  </si>
  <si>
    <t>UHAN-INV06515</t>
  </si>
  <si>
    <t>UHAN-INV06431</t>
  </si>
  <si>
    <t>LUCID USA INC</t>
  </si>
  <si>
    <t>E01007-2</t>
  </si>
  <si>
    <t>E01007-1</t>
  </si>
  <si>
    <t>UHAN-INV06464</t>
  </si>
  <si>
    <t>UHAN-INV06510</t>
  </si>
  <si>
    <t>UHAN-INV06524</t>
  </si>
  <si>
    <t>UHAN-INV06517</t>
  </si>
  <si>
    <t>UHAN-INV06518</t>
  </si>
  <si>
    <t>UHAN-INV06519</t>
  </si>
  <si>
    <t>UHAN-INV06525</t>
  </si>
  <si>
    <t>UHAN-INV06490</t>
  </si>
  <si>
    <t>HELLA GmbH &amp; Co. KGaA</t>
  </si>
  <si>
    <t>E01004</t>
  </si>
  <si>
    <t>UHAN-INV06523</t>
  </si>
  <si>
    <t>UHAN-INV06533</t>
  </si>
  <si>
    <t>UHAN-INV06531</t>
  </si>
  <si>
    <t>UHAN-INV06530</t>
  </si>
  <si>
    <t>E01010</t>
  </si>
  <si>
    <t>Kingston Technology</t>
  </si>
  <si>
    <t>UHAN-INV06537</t>
  </si>
  <si>
    <t>SANMINA CORPORATION</t>
  </si>
  <si>
    <t>UHAN-INV06538</t>
  </si>
  <si>
    <t>UHAN-INV06522</t>
  </si>
  <si>
    <t>UHAN-INV06520</t>
  </si>
  <si>
    <t>E01011</t>
  </si>
  <si>
    <t>UHAN-INV06521</t>
  </si>
  <si>
    <t>UHAN-INV06528</t>
  </si>
  <si>
    <t>UHAN-INV06529</t>
  </si>
  <si>
    <t>E01012</t>
  </si>
  <si>
    <t>Mouser Electronics, Inc.</t>
  </si>
  <si>
    <t>UHAN-INV06544</t>
  </si>
  <si>
    <t>UHAN-INV06535</t>
  </si>
  <si>
    <t>UHAN-INV06542</t>
  </si>
  <si>
    <t>UHAN-INV06516</t>
  </si>
  <si>
    <t>UHAN-INV06543</t>
  </si>
  <si>
    <t>UHAN-INV06551</t>
  </si>
  <si>
    <t>E01014</t>
  </si>
  <si>
    <t>E01015</t>
  </si>
  <si>
    <t>ARROW ELECTRONICS MEXICO S. de R.L</t>
  </si>
  <si>
    <t>UHAN-INV06536</t>
  </si>
  <si>
    <t>UHAN-INV06545</t>
  </si>
  <si>
    <t>UHAN-INV06546</t>
  </si>
  <si>
    <t xml:space="preserve">TOTAL </t>
  </si>
  <si>
    <t xml:space="preserve">TOTAL AMOUNT VVMV CHARGES IN: </t>
  </si>
  <si>
    <t xml:space="preserve">TOTAL AMOUNT VVMV PAID OF UNIGEN IN: </t>
  </si>
  <si>
    <t xml:space="preserve">GRAND TOTAL </t>
  </si>
  <si>
    <t>Route</t>
  </si>
  <si>
    <t>Who pays</t>
  </si>
  <si>
    <t>VLOOKUP</t>
  </si>
  <si>
    <t>VAT INVOICE NO.</t>
  </si>
  <si>
    <t>DEBIT NOTE NO.</t>
  </si>
  <si>
    <t>DEBIT NOTE DATE</t>
  </si>
  <si>
    <t>AWB</t>
  </si>
  <si>
    <t>SHIP DATE</t>
  </si>
  <si>
    <t>SHIPPER</t>
  </si>
  <si>
    <t>CONSIGNEE</t>
  </si>
  <si>
    <t>ORIG</t>
  </si>
  <si>
    <t>DEST</t>
  </si>
  <si>
    <t>SERV</t>
  </si>
  <si>
    <t>CHRGBL
WGHT (KG)</t>
  </si>
  <si>
    <t>NET CHARGE</t>
  </si>
  <si>
    <t>OTHER CHARGE</t>
  </si>
  <si>
    <t>FUEL SURCHARGE</t>
  </si>
  <si>
    <t>VAT (8%)</t>
  </si>
  <si>
    <t>TOTAL AMOUNT 
(VND)</t>
  </si>
  <si>
    <t>STT</t>
  </si>
  <si>
    <t>Description</t>
  </si>
  <si>
    <t>Invoice</t>
  </si>
  <si>
    <t>Who pays?</t>
  </si>
  <si>
    <t>GW</t>
  </si>
  <si>
    <t>ETA</t>
  </si>
  <si>
    <t>USD</t>
  </si>
  <si>
    <t>UNIGEN VIET NAM HANOI CO., LTD</t>
  </si>
  <si>
    <t>IE</t>
  </si>
  <si>
    <t>ANALOG DEVICES GEN. TRIAS, INC</t>
  </si>
  <si>
    <t>COMPEQ MANUFACTURING CO., LTD.</t>
  </si>
  <si>
    <t>Total in VND (Including VAT)</t>
  </si>
  <si>
    <t>Tên tài khoản ngân hàng : Công ty TNHH FedEx Express Việt Nam</t>
  </si>
  <si>
    <t>Tên ngân hàng : Citibank N.A. (Việt Nam)</t>
  </si>
  <si>
    <t>Số tài khoản : 200888xxxxxxxxx</t>
  </si>
  <si>
    <t>(Trong đó xxxxxxxxx là số tài khoản FedEx gồm 9 chữ số của bạn)</t>
  </si>
  <si>
    <t>Tên chi nhánh : Citibank, N.A. – Chi nhánh Hà Nội</t>
  </si>
  <si>
    <t>Mã ngân hàng : 01605001</t>
  </si>
  <si>
    <t>Địa chỉ chi nhánh : Tầng 12A và Tầng 12B, Tòa nhà Horison Tower, Số 40 Cát Linh, Phường Ô Chợ Dừa, Thành phố Hà Nội, Việt Nam</t>
  </si>
  <si>
    <t>Mã Swift : CITIVNVX</t>
  </si>
  <si>
    <t>VAT (5.26%)</t>
  </si>
  <si>
    <t>UNIGEN VIETNAM HANOI</t>
  </si>
  <si>
    <t>2P</t>
  </si>
  <si>
    <t>WT MICROELECTRONICS S'PORE P/L</t>
  </si>
  <si>
    <t>DONGGUAN CHENMING ELECTRONIC CO.,</t>
  </si>
  <si>
    <t>Type</t>
  </si>
  <si>
    <t>Raw materials</t>
  </si>
  <si>
    <t>USD FREIGHT</t>
  </si>
  <si>
    <t>USD
Customs</t>
  </si>
  <si>
    <t>USD
Trucking</t>
  </si>
  <si>
    <t>LPHQ</t>
  </si>
  <si>
    <t>Tỷ giá</t>
  </si>
  <si>
    <t>Fee</t>
  </si>
  <si>
    <t>Air Import</t>
  </si>
  <si>
    <t>Sea import</t>
  </si>
  <si>
    <t>Air Export</t>
  </si>
  <si>
    <t>Chi nhánh công ty TNHH Expeditors Việt Nam – Chi nhánh Hà Nội
11 và 12, tòa nhà Lancaster Luminaire, 1152 đường Láng, phường Láng, thành phố Hà Nội, Việt Nam
Tax code: 0312545104-001</t>
  </si>
  <si>
    <t>G1173908</t>
  </si>
  <si>
    <t>Unigen Vietnam Hanoi Co., LTD</t>
  </si>
  <si>
    <t xml:space="preserve">Date. </t>
  </si>
  <si>
    <t>Company:</t>
  </si>
  <si>
    <t>CÔNG TY TNHH UNIGEN VIỆT NAM HÀ NỘI</t>
  </si>
  <si>
    <t xml:space="preserve">Period: </t>
  </si>
  <si>
    <t>Address:</t>
  </si>
  <si>
    <t>Số 11, đường 8, Khu công nghiệp đô thị và dịch vụ VSIP Bắc Ninh, Phường Từ Sơn, tỉnh Bắc Ninh, Việt Nam</t>
  </si>
  <si>
    <t xml:space="preserve">Lead time: </t>
  </si>
  <si>
    <t>Tax code:</t>
  </si>
  <si>
    <t>2300674028</t>
  </si>
  <si>
    <t xml:space="preserve">Deadline payment: </t>
  </si>
  <si>
    <t>EXPEDITORS STATEMENT</t>
  </si>
  <si>
    <t>Curremcy</t>
  </si>
  <si>
    <t xml:space="preserve">Shipment </t>
  </si>
  <si>
    <t>COB</t>
  </si>
  <si>
    <t>VOLUME</t>
  </si>
  <si>
    <t>Expeditors VAT invoice No.</t>
  </si>
  <si>
    <t>Origin charges (foreign currency)</t>
  </si>
  <si>
    <t>DOC</t>
  </si>
  <si>
    <t>Handling</t>
  </si>
  <si>
    <t>Total in VAT invoices</t>
  </si>
  <si>
    <t>Pass through charges/ Infrastructure</t>
  </si>
  <si>
    <t>Cước vận chuyển</t>
  </si>
  <si>
    <t>Phí pickup</t>
  </si>
  <si>
    <t>Phí xử lý hàng hóa</t>
  </si>
  <si>
    <t>Phí soi chiếu hàng hóa</t>
  </si>
  <si>
    <t>Phụ phí xếp dỡ tại cảng+ Phí soi chiếu an ninh</t>
  </si>
  <si>
    <t>Phụ phí xếp dỡ tại cảng</t>
  </si>
  <si>
    <t>Phí vận chuyển sân bay</t>
  </si>
  <si>
    <t>Phụ phí an ninh quốc tế</t>
  </si>
  <si>
    <t>GST</t>
  </si>
  <si>
    <t>Phí Outlay</t>
  </si>
  <si>
    <t>Phí in nhãn TC</t>
  </si>
  <si>
    <t>Phí thông quan xuất khẩu</t>
  </si>
  <si>
    <t>Phụ phí nhiên liệu</t>
  </si>
  <si>
    <t>Tổng tiền USD</t>
  </si>
  <si>
    <t>THU HỘ CƯỚC VẬN CHUYỂN QUỐC TẾ HÀNG NHẬP</t>
  </si>
  <si>
    <t>NO.</t>
  </si>
  <si>
    <t>Expeditors inv</t>
  </si>
  <si>
    <t>Invoice date</t>
  </si>
  <si>
    <t>File Ref</t>
  </si>
  <si>
    <t>MBL/ HBL</t>
  </si>
  <si>
    <t>type</t>
  </si>
  <si>
    <t>POL</t>
  </si>
  <si>
    <t>ETD/COB</t>
  </si>
  <si>
    <t>POD</t>
  </si>
  <si>
    <t>Ship date</t>
  </si>
  <si>
    <t>CW</t>
  </si>
  <si>
    <t>(CBM)</t>
  </si>
  <si>
    <t>VAT No.</t>
  </si>
  <si>
    <t>Date</t>
  </si>
  <si>
    <t>AIR FREIGHT</t>
  </si>
  <si>
    <t>PICKUP</t>
  </si>
  <si>
    <t>HANDLING</t>
  </si>
  <si>
    <t>RCAR</t>
  </si>
  <si>
    <t>AIRPORT TRANSFER FEE</t>
  </si>
  <si>
    <t>ISS</t>
  </si>
  <si>
    <t>SERVICE TAX</t>
  </si>
  <si>
    <t>OUTLAY</t>
  </si>
  <si>
    <t>TC LABEL</t>
  </si>
  <si>
    <t>EXPORT CLEARANCE</t>
  </si>
  <si>
    <t>FSC SHORT HAUL</t>
  </si>
  <si>
    <t>TOTAL IN USD</t>
  </si>
  <si>
    <t xml:space="preserve">Exchange Rate </t>
  </si>
  <si>
    <t>Total(VND)</t>
  </si>
  <si>
    <t>PHÍ CHỨNG TỪ</t>
  </si>
  <si>
    <t>PHÍ LÀM HÀNG</t>
  </si>
  <si>
    <t>Amount before TAX</t>
  </si>
  <si>
    <t>VAT amount</t>
  </si>
  <si>
    <t>Amount 
with VAT</t>
  </si>
  <si>
    <t>Notes</t>
  </si>
  <si>
    <t>air import</t>
  </si>
  <si>
    <t>Your early settlement is highly appreciated!</t>
  </si>
  <si>
    <t>Total service fee</t>
  </si>
  <si>
    <t>Total pass through charges</t>
  </si>
  <si>
    <t>With best regards,</t>
  </si>
  <si>
    <t>Total statement</t>
  </si>
  <si>
    <t>Please settle this payment to our bank account as follow:</t>
  </si>
  <si>
    <t xml:space="preserve">Account name: </t>
  </si>
  <si>
    <t>Expeditors Vietnam Co, Ltd .,Hanoi</t>
  </si>
  <si>
    <t>Chi nhánh công ty TNHH Expeditors Việt Nam – Chi nhánh Hà Nội</t>
  </si>
  <si>
    <t xml:space="preserve">Add: </t>
  </si>
  <si>
    <t>11th – 12th Floor, Lancaster Luminaire Building, 1152 Lang Road, Lang Ward, Hanoi, Vietnam</t>
  </si>
  <si>
    <t>11 và 12, tòa nhà Lancaster Luminaire, 1152 đường Láng, phường Láng, thành phố Hà Nội, Việt Nam</t>
  </si>
  <si>
    <t xml:space="preserve">Bank name:     </t>
  </si>
  <si>
    <t>Bank for Foreign Trade of Viet Nam – Thanh Cong Branch</t>
  </si>
  <si>
    <t>Ngân Hàng Ngoại thương Việt Nam -  Chi Nhánh Thành Công</t>
  </si>
  <si>
    <t xml:space="preserve">Bank Address:  </t>
  </si>
  <si>
    <t>30-32 Lang Ha street, Hanoi, Vietnam.</t>
  </si>
  <si>
    <t>30 - 32 Phố Láng Hạ, Hà Nội, Việt Nam</t>
  </si>
  <si>
    <t xml:space="preserve">Account No:     </t>
  </si>
  <si>
    <t>USD : 045.137.0391268</t>
  </si>
  <si>
    <t xml:space="preserve">VND : 045.100.0368668 </t>
  </si>
  <si>
    <t xml:space="preserve">Swift Code  :      </t>
  </si>
  <si>
    <t xml:space="preserve"> BFTVVNVX002</t>
  </si>
  <si>
    <t>Note: Both local and overseas bank charges are due to customer and not included in the total balance.</t>
  </si>
  <si>
    <t>Customs Administration fee</t>
  </si>
  <si>
    <t>TOTAL USD</t>
  </si>
  <si>
    <t>Dec-25 Total</t>
  </si>
  <si>
    <t>Sample 711</t>
  </si>
  <si>
    <t>Sample 709</t>
  </si>
  <si>
    <t>Sample 714</t>
  </si>
  <si>
    <t>Tracking/INV</t>
  </si>
  <si>
    <t>Consignee/Shipper</t>
  </si>
  <si>
    <t>PURE</t>
  </si>
  <si>
    <t>Transfer to HQ1, MY</t>
  </si>
  <si>
    <t>7s</t>
  </si>
  <si>
    <t>5s</t>
  </si>
  <si>
    <t>To:</t>
  </si>
  <si>
    <t>UNIGEN VIETNAM HA NOI CO.,LTD</t>
  </si>
  <si>
    <t>PIC:</t>
  </si>
  <si>
    <t>Ms Huệ - Ms Diệp</t>
  </si>
  <si>
    <t xml:space="preserve">Date: </t>
  </si>
  <si>
    <t>STATEMENT IN DEC.2025</t>
  </si>
  <si>
    <t>HBL no</t>
  </si>
  <si>
    <t>Shipper/Cnee</t>
  </si>
  <si>
    <t>AOL/POL</t>
  </si>
  <si>
    <t>Service Charge - Amount VNĐ</t>
  </si>
  <si>
    <t>Sub Total</t>
  </si>
  <si>
    <t>Payment on behalf</t>
  </si>
  <si>
    <t>Sub Total VNĐ</t>
  </si>
  <si>
    <t>Cbm</t>
  </si>
  <si>
    <t>Customs Clearance fee</t>
  </si>
  <si>
    <t>Custom Supervisor fee</t>
  </si>
  <si>
    <t>D/O fee</t>
  </si>
  <si>
    <t>Local Charge</t>
  </si>
  <si>
    <t>EXW, A/F, O/F</t>
  </si>
  <si>
    <t>Infrastructure fee</t>
  </si>
  <si>
    <t>POB</t>
  </si>
  <si>
    <t>ZHENJIANG FINEWORLD</t>
  </si>
  <si>
    <t>SHA</t>
  </si>
  <si>
    <t>GRAND TOTAL IN DEC.2025 (VNĐ)</t>
  </si>
  <si>
    <t>TOTAL AMOUNT DOLPHIN CHARGES IN:</t>
  </si>
  <si>
    <t>VNĐ</t>
  </si>
  <si>
    <t>TOTAL AMOUNT DOLPHIN PAID OF UNIGEN IN:</t>
  </si>
  <si>
    <t>GRAND TOTAL:</t>
  </si>
  <si>
    <t>DOLPHIN SEA AIR - HANOI BRANCH</t>
  </si>
  <si>
    <t>CHINHÁNHCÔNGTYCPDỊCHVỤHÀNGHẢIHÀNGKHÔNGCONCÁHEO</t>
  </si>
  <si>
    <t>Add:Phòng18-01,Tầng18,ThápB,TòanhàEpicTower,Số19PhốDuyTân,P.DịchVọngHậu,Q.CầuGiấy,TPHàNội,ViệtNam</t>
  </si>
  <si>
    <t>TaxCode:0305358801-001</t>
  </si>
  <si>
    <t>Tel:+84.24.6273.0558</t>
  </si>
  <si>
    <t>Email:Charlie@dolphinseaair.com</t>
  </si>
  <si>
    <t>Website:https://dolphinseaair.com</t>
  </si>
  <si>
    <t>CDSNo</t>
  </si>
  <si>
    <t>LỆ PHÍ HẢI QUAN</t>
  </si>
  <si>
    <t>MODE</t>
  </si>
  <si>
    <t>Phí chứng từ</t>
  </si>
  <si>
    <t>25-Dec Total</t>
  </si>
  <si>
    <t>VVMV customs fee</t>
  </si>
  <si>
    <t>Total USD</t>
  </si>
  <si>
    <t>LUCID USA, INC</t>
  </si>
  <si>
    <t>AGIGA TECH (CHENGDU) LLC</t>
  </si>
  <si>
    <t>CORAZA SYSTEMS MALAYSIA SDN. BHD</t>
  </si>
  <si>
    <t>Acton Technology Pte Ltd C/O Savino Del Bene (S) Pte Ltd</t>
  </si>
  <si>
    <t>TE CONNECTIVITY</t>
  </si>
  <si>
    <t>SAMTEC ASIA PACIFIC PTE LTD</t>
  </si>
  <si>
    <t>CYMMETRIK SHENZHEN PRINTING CO., LTD</t>
  </si>
  <si>
    <t>WURTH ELECTRONICS MIDCOM INC</t>
  </si>
  <si>
    <t>SMITH &amp; ASSOCIATES FAR EAST LTD</t>
  </si>
  <si>
    <t>NIHON DEMPA KOGYO CO. LTD.</t>
  </si>
  <si>
    <t>TONG LAY DOO INDUSTRIAL CO., LTD</t>
  </si>
  <si>
    <t>KIOXIA CORPORATION C/O KIOXIA AMERICA INC.</t>
  </si>
  <si>
    <t>ARROW COMPONENTS MEXICO S.A DE C.V.</t>
  </si>
  <si>
    <t>WHITE HORSE LABORATORIES LTD</t>
  </si>
  <si>
    <t>: STEADFAST INDUSTRIAL PTE LTD</t>
  </si>
  <si>
    <t>UNIGEN TECHNOLOGY SDN BHD</t>
  </si>
  <si>
    <t>Local</t>
  </si>
  <si>
    <t>CÔNG TY CỔ PHẦN IN VÀ BAO BÌ GOLDSUN</t>
  </si>
  <si>
    <t>CÔNG TY TNHH PROWAY VINA</t>
  </si>
  <si>
    <t>UHAN-INV06532</t>
  </si>
  <si>
    <t>UHAN-INV06556</t>
  </si>
  <si>
    <t>UHAN-INV06557</t>
  </si>
  <si>
    <t>UHAN-INV06547</t>
  </si>
  <si>
    <t>UHAN-INV06548</t>
  </si>
  <si>
    <t>UHAN-INV06549</t>
  </si>
  <si>
    <t>UHAN-INV06558</t>
  </si>
  <si>
    <t>UHAN-INV06559</t>
  </si>
  <si>
    <t>UHAN-INV06560</t>
  </si>
  <si>
    <t>Kingston Technology Far East Co.</t>
  </si>
  <si>
    <t>E01013</t>
  </si>
  <si>
    <t>BANG TAI INTERNATIONAL LOGISTICS CO., LTD</t>
  </si>
  <si>
    <t>UHAN-INV06534</t>
  </si>
  <si>
    <t>UHAN-INV06561</t>
  </si>
  <si>
    <t>UHAN-INV06562</t>
  </si>
  <si>
    <t>UHAN-INV06550</t>
  </si>
  <si>
    <t>UHAN-INV06554</t>
  </si>
  <si>
    <t>UHAN-INV06555</t>
  </si>
  <si>
    <t>UHAN-INV06567</t>
  </si>
  <si>
    <t>UHAN-INV06568</t>
  </si>
  <si>
    <t>Pure Storage, Inc.</t>
  </si>
  <si>
    <t>UHAN-INV06563</t>
  </si>
  <si>
    <t>UHAN-INV06571</t>
  </si>
  <si>
    <t>UHAN-INV06576</t>
  </si>
  <si>
    <t>UHAN-INV06572</t>
  </si>
  <si>
    <t>UHAN-INV06581</t>
  </si>
  <si>
    <t>UHAN-INV06575</t>
  </si>
  <si>
    <t>E01021</t>
  </si>
  <si>
    <t>Smith &amp; Associates Far East, Ltd</t>
  </si>
  <si>
    <t>UHAN-INV06588</t>
  </si>
  <si>
    <t>UHAN-INV06589</t>
  </si>
  <si>
    <t>UHAN-INV06587</t>
  </si>
  <si>
    <t>UHAN-INV06582</t>
  </si>
  <si>
    <t>UHAN-INV06583</t>
  </si>
  <si>
    <t>UHAN-INV06584</t>
  </si>
  <si>
    <t>UHAN-INV06592</t>
  </si>
  <si>
    <t>UHAN-INV06591</t>
  </si>
  <si>
    <t>UHAN-INV06590</t>
  </si>
  <si>
    <t>UHAN-INV06595</t>
  </si>
  <si>
    <t>UHAN-INV06596</t>
  </si>
  <si>
    <t>E01023</t>
  </si>
  <si>
    <t>NI Malaysia Sdn Bhd</t>
  </si>
  <si>
    <t>UHAN-INV06601</t>
  </si>
  <si>
    <t>UHAN-INV06599</t>
  </si>
  <si>
    <t>UHAN-INV06600</t>
  </si>
  <si>
    <t>UHAN-INV06580</t>
  </si>
  <si>
    <t>UHAN-INV06608</t>
  </si>
  <si>
    <t>UHAN-INV06607</t>
  </si>
  <si>
    <t>UHAN-INV06603</t>
  </si>
  <si>
    <t>UHAN-INV06604</t>
  </si>
  <si>
    <t>UHAN-INV06605</t>
  </si>
  <si>
    <t>E01025</t>
  </si>
  <si>
    <t>AVNET Electronics</t>
  </si>
  <si>
    <t>UHAN-INV06612</t>
  </si>
  <si>
    <t>UHAN-INV06613</t>
  </si>
  <si>
    <t>UHAN-INV06620</t>
  </si>
  <si>
    <t>UHAN-INV06617</t>
  </si>
  <si>
    <t>UHAN-INV06623</t>
  </si>
  <si>
    <t>UHAN-INV06616</t>
  </si>
  <si>
    <t>UHAN-INV06624</t>
  </si>
  <si>
    <t>UHAN-INV06625</t>
  </si>
  <si>
    <t>UHAN-INV06618</t>
  </si>
  <si>
    <t>UHAN-INV06619</t>
  </si>
  <si>
    <t>UHAN-INV06615</t>
  </si>
  <si>
    <t>UHAN-INV06622</t>
  </si>
  <si>
    <t xml:space="preserve">VAT </t>
  </si>
  <si>
    <t>Total (Included vAT)</t>
  </si>
  <si>
    <t>LOCAL</t>
  </si>
  <si>
    <t>Của sheet Import material detail</t>
  </si>
  <si>
    <t>Của sheet Logistics Record</t>
  </si>
  <si>
    <t>MICROCHIP</t>
  </si>
  <si>
    <t>Jan-26 Total</t>
  </si>
  <si>
    <t>INV06513</t>
  </si>
  <si>
    <t>INV06544</t>
  </si>
  <si>
    <t>Rate</t>
  </si>
  <si>
    <t>OEM+AGI</t>
  </si>
  <si>
    <t>888427865511</t>
  </si>
  <si>
    <t>HIGH ADVANCE SDN. BHD</t>
  </si>
  <si>
    <t>888595795779</t>
  </si>
  <si>
    <t>ASE GROUP KAOHSIUNG</t>
  </si>
  <si>
    <t>888636723898</t>
  </si>
  <si>
    <t>HKHPG260181</t>
  </si>
  <si>
    <t>HWHPH2600636</t>
  </si>
  <si>
    <t>01PEN0376894</t>
  </si>
  <si>
    <t>8XN2372</t>
  </si>
  <si>
    <t>8XN2369</t>
  </si>
  <si>
    <t>8XN2367</t>
  </si>
  <si>
    <t>8XN2368</t>
  </si>
  <si>
    <t>8XN2374</t>
  </si>
  <si>
    <t>8XN2371</t>
  </si>
  <si>
    <t>8XN2370</t>
  </si>
  <si>
    <t>8XN2375</t>
  </si>
  <si>
    <t>8XN2366</t>
  </si>
  <si>
    <t>8XN2373</t>
  </si>
  <si>
    <t>LSZHPH2600536</t>
  </si>
  <si>
    <t>8XN2389</t>
  </si>
  <si>
    <t>SEBL26010129</t>
  </si>
  <si>
    <t>PSHPH2610094</t>
  </si>
  <si>
    <t>LPGPENHPH2601024-01</t>
  </si>
  <si>
    <t>LNBHPH260503</t>
  </si>
  <si>
    <t>HKHPG260206</t>
  </si>
  <si>
    <t>PSHPH2610164</t>
  </si>
  <si>
    <t>8XN2412</t>
  </si>
  <si>
    <t>8XN2413</t>
  </si>
  <si>
    <t>8XN2418</t>
  </si>
  <si>
    <t>8XN2425</t>
  </si>
  <si>
    <t>8XN2424</t>
  </si>
  <si>
    <t>8XN2461</t>
  </si>
  <si>
    <t>8XN2459</t>
  </si>
  <si>
    <t>8XN2463</t>
  </si>
  <si>
    <t>8XN2421</t>
  </si>
  <si>
    <t>8XN2462</t>
  </si>
  <si>
    <t>8XN2419</t>
  </si>
  <si>
    <t>8XN2428</t>
  </si>
  <si>
    <t>8XN2422</t>
  </si>
  <si>
    <t>8XN2460</t>
  </si>
  <si>
    <t>8XN2427</t>
  </si>
  <si>
    <t>8XN2423</t>
  </si>
  <si>
    <t>8XN2420</t>
  </si>
  <si>
    <t>8XN2426</t>
  </si>
  <si>
    <t>HWHPH2600788</t>
  </si>
  <si>
    <t>1Z75A9570473359154</t>
  </si>
  <si>
    <t>01PEN0380356</t>
  </si>
  <si>
    <t>SEBL26020074</t>
  </si>
  <si>
    <t>SUZHOU PIN SHINE TECHNOLOGY CO.,LTD.</t>
  </si>
  <si>
    <t>ARROW ELECTRONICS DLC</t>
  </si>
  <si>
    <t>GREG LEWIS</t>
  </si>
  <si>
    <t>RROW ELECTRONICS INC, C/O ARROW COMPONENTS (M) SDN BHD</t>
  </si>
  <si>
    <t>PAN JIT INTERNATIONAL</t>
  </si>
  <si>
    <t>CYMMETRIK SHENZHEN PRINTING CO LTD</t>
  </si>
  <si>
    <t>Kingston Technology Company, Inc.</t>
  </si>
  <si>
    <t>KIOXIA CORPORATION</t>
  </si>
  <si>
    <t>C/O DHL SUPPLY CHAIN MGNT PHILS, ANALOG DEVICES GEN. TRIAS, INC.</t>
  </si>
  <si>
    <t>Sunlord Electronics Technology Pte</t>
  </si>
  <si>
    <t>Micron Memory Malaysia Sdn Bhd</t>
  </si>
  <si>
    <t>ALLIANCE MEMORY INC</t>
  </si>
  <si>
    <t>O/B ANALOG DEVICES INTERNATIONAL UC DHL SUPPLY CHAIN MGMT PHILS INC</t>
  </si>
  <si>
    <t>KIM KEE TRANSPORTATION COMPANY</t>
  </si>
  <si>
    <t>GOTREND TECHNOLOGY CO.,LTD.</t>
  </si>
  <si>
    <t>M&amp;Partners Co.,Ltd (Suntsu Agent)</t>
  </si>
  <si>
    <t>BIZLINK SPEEDY PTE. LTD. C/O COMBINE INTERNATIONAL LOGISTICS CO., LTD.</t>
  </si>
  <si>
    <t>ASE ELECTRONICS (M) SDN. BHD.</t>
  </si>
  <si>
    <t>SEMTECH SEMICON TECH (HK) CO.,LTD</t>
  </si>
  <si>
    <t>ACTON TECHNOLOGY PTE LTD C/O Savino Del Bene (S) Pte Ltd</t>
  </si>
  <si>
    <t>YUEN CHANG INTL CO., LTD</t>
  </si>
  <si>
    <t>WT MICROELECTRONICS (S) PTE LTD</t>
  </si>
  <si>
    <t>Avnet, Inc</t>
  </si>
  <si>
    <t>SUZHOU PIN SHINE TECHNOLOGY CO. , LTD.</t>
  </si>
  <si>
    <t>BV ARROW ELECTRONICS</t>
  </si>
  <si>
    <t>CUBE COMPONENTS C/O WHITEHORSE</t>
  </si>
  <si>
    <t>CORAZA SYSTEMS MALAYSIA SDN. BHD.</t>
  </si>
  <si>
    <t>C/O DHL SUPPLY CHAIN THAILAND LIMIT, ANALOG DEVICES (THAILAND) CO., LTD</t>
  </si>
  <si>
    <t>SHIPPER: COMPEQ MANUFACTURING CO., LTD</t>
  </si>
  <si>
    <t>Future Electronics (ADC)</t>
  </si>
  <si>
    <t>MNPartners Co.,Ltd (Suntsu Agent)</t>
  </si>
  <si>
    <t>NINGBO XUSHENG GROUP CO.,LTD.</t>
  </si>
  <si>
    <t>RECONEXT</t>
  </si>
  <si>
    <t>MASTER ELECTRONICS</t>
  </si>
  <si>
    <t>COMPONENT STOCKERS</t>
  </si>
  <si>
    <t>SDM (SHANGHAI-SDSS</t>
  </si>
  <si>
    <t>O/B ANALOG DEVICES INTERNATIONAL UC DHL SUPPLY CHAIN MANAGEMENT PHILS, INC.</t>
  </si>
  <si>
    <t>SANDISK STORAGE SDN. BHD</t>
  </si>
  <si>
    <t>ROCHESTER ELECTRONICS</t>
  </si>
  <si>
    <t>WUS PRINTED CIRCUIT (KUNSHAN) LTD</t>
  </si>
  <si>
    <t>UMG TECHNOLOGIES, INC.</t>
  </si>
  <si>
    <t>Lucid USA, Inc</t>
  </si>
  <si>
    <t>Agiga Tech (Chengdu) LLC</t>
  </si>
  <si>
    <t>HELLA GMBH CO. KGAA</t>
  </si>
  <si>
    <t>CÔNG TY TNHH MỘT THÀNH VIÊN YANG MIN ENTERPRISE (VIỆT NAM)</t>
  </si>
  <si>
    <t>YUYANG (VIETNAM) COMPANY LIMITED</t>
  </si>
  <si>
    <t>GOLDSUN PACKAGING AND PRINTING JOINT STOCK COMPANY</t>
  </si>
  <si>
    <t>W&amp;B TECHNOLOGY VIET NAM CO.,LTD</t>
  </si>
  <si>
    <t>JINSUNG ELECTRONIC &amp; INDUSTRIAL SUPPLY CO LTD</t>
  </si>
  <si>
    <t>ASIA BOLT VINA CO., LTD.</t>
  </si>
  <si>
    <t>THINH VUONG PRODUCTION AND TRADING CO.,LTD</t>
  </si>
  <si>
    <t>CÔNG TY TNHH CÔNG NGHIỆP ĐINH ỐC EVERGREEN</t>
  </si>
  <si>
    <t>CÔNG TY TRÁCH NHIỆM HỮU HẠN TEXCHEM-PACK (VIỆT NAM)</t>
  </si>
  <si>
    <t>CÔNG TY CỔ PHẦN BAO BÌ PT</t>
  </si>
  <si>
    <t>UHAN-INV06577</t>
  </si>
  <si>
    <t>E01029</t>
  </si>
  <si>
    <t>BANG TAI INTERNATIONAL LOGISTICS CO., LTD.Lot</t>
  </si>
  <si>
    <t>UHAN-INV06629</t>
  </si>
  <si>
    <t>UHAN-INV06628</t>
  </si>
  <si>
    <t>UHAN-INV06637</t>
  </si>
  <si>
    <t>EFI CRETAPRINT</t>
  </si>
  <si>
    <t>UHAN-INV06598</t>
  </si>
  <si>
    <t>E01016-1</t>
  </si>
  <si>
    <t>E01016-2</t>
  </si>
  <si>
    <t>E01030</t>
  </si>
  <si>
    <t>ARROW ASIA PAC LTD</t>
  </si>
  <si>
    <t>UHAN-INV06638</t>
  </si>
  <si>
    <t>UHAN-INV06639</t>
  </si>
  <si>
    <t>UHAN-INV06633</t>
  </si>
  <si>
    <t>UHAN-INV06643</t>
  </si>
  <si>
    <t>UHAN-INV06614</t>
  </si>
  <si>
    <t>UHAN-INV06641</t>
  </si>
  <si>
    <t>UHAN-INV06635</t>
  </si>
  <si>
    <t>UHAN-INV06642</t>
  </si>
  <si>
    <t>UHAN-INV06634</t>
  </si>
  <si>
    <t>E01031</t>
  </si>
  <si>
    <t>UHAN-INV06646</t>
  </si>
  <si>
    <t>UHAN-INV06645</t>
  </si>
  <si>
    <t>UHAN-INV06648</t>
  </si>
  <si>
    <t>UHAN-INV06647</t>
  </si>
  <si>
    <t>UHAN-INV06649</t>
  </si>
  <si>
    <t>UHAN-INV06650</t>
  </si>
  <si>
    <t>E01033</t>
  </si>
  <si>
    <t>BANG TAI INTERNATIONAL LOGISTICS CO., LTD.</t>
  </si>
  <si>
    <t>UHAN-INV06656</t>
  </si>
  <si>
    <t>UHAN-INV06657</t>
  </si>
  <si>
    <t>UHAN-INV06654</t>
  </si>
  <si>
    <t>UHAN-INV06652</t>
  </si>
  <si>
    <t>UHAN-INV06653</t>
  </si>
  <si>
    <t>E01035</t>
  </si>
  <si>
    <t>UHAN-INV06658</t>
  </si>
  <si>
    <t>UHAN-INV06660</t>
  </si>
  <si>
    <t>UHAN-INV06659</t>
  </si>
  <si>
    <t>UHAN-INV06630</t>
  </si>
  <si>
    <t>UHAN-INV06670</t>
  </si>
  <si>
    <t>UHAN-INV06664</t>
  </si>
  <si>
    <t>UHAN-INV06665</t>
  </si>
  <si>
    <t>UHAN-INV06671</t>
  </si>
  <si>
    <t>E01036</t>
  </si>
  <si>
    <t>Unigen Technology Sdn. Bhd.</t>
  </si>
  <si>
    <t>UHAN-INV06644</t>
  </si>
  <si>
    <t>UHAN-INV06674</t>
  </si>
  <si>
    <t>UHAN-INV06666</t>
  </si>
  <si>
    <t>UHAN-INV06667</t>
  </si>
  <si>
    <t>UHAN-INV06668</t>
  </si>
  <si>
    <t>UHAN-INV06681</t>
  </si>
  <si>
    <t>UHAN-INV06675</t>
  </si>
  <si>
    <t>UHAN-INV06676</t>
  </si>
  <si>
    <t>UHAN-INV06679</t>
  </si>
  <si>
    <t>UHAN-INV06680</t>
  </si>
  <si>
    <t>Final Amount</t>
  </si>
  <si>
    <t>CONG TY TNHH DVN AUTOMATION</t>
  </si>
  <si>
    <t>BHJSH0091089B</t>
  </si>
  <si>
    <t>KEHPH2610704</t>
  </si>
  <si>
    <t>S00433171</t>
  </si>
  <si>
    <t>TaiTech Precision</t>
  </si>
  <si>
    <t>LSHHPH2600607</t>
  </si>
  <si>
    <t>LSHHPH2600661</t>
  </si>
  <si>
    <t>LSHHPH2600913</t>
  </si>
  <si>
    <t>TXGHPHK26201</t>
  </si>
  <si>
    <t>MNN/HPH/01052</t>
  </si>
  <si>
    <t>READORE MFG PHILS CORP</t>
  </si>
  <si>
    <t>LSHHPH2600488</t>
  </si>
  <si>
    <t>YANCHENG CHARLES</t>
  </si>
  <si>
    <t>45T0444720</t>
  </si>
  <si>
    <t>45T0451387</t>
  </si>
  <si>
    <t>Richardson RFPD Hong Kong Limi</t>
  </si>
  <si>
    <t>MAX TREND INTERNATIONAL DEVELO</t>
  </si>
  <si>
    <t>UNIGEN (HK) LIMITED</t>
  </si>
  <si>
    <t>CAR PARKING</t>
  </si>
  <si>
    <t>IMPORT CHARGE, DELIVERY, HEAVY LIFT</t>
  </si>
  <si>
    <t>SUPERVISION</t>
  </si>
  <si>
    <t>THC</t>
  </si>
  <si>
    <t>UNIGEN VIETNAM HANOI CO., LTD.</t>
  </si>
  <si>
    <t>UNIGEN VIETNAM HANOI CO. LTD</t>
  </si>
  <si>
    <t>UNIGEN VIETNAM HANOI CO., LTD</t>
  </si>
  <si>
    <t>UNIGEN VIETNAM HANOI CO.,LTD</t>
  </si>
  <si>
    <t>UNIGEN HANOI</t>
  </si>
  <si>
    <t>SMITH   ASSOCIATES FAR EAST LTD</t>
  </si>
  <si>
    <t>UNIGEN VIETNAM HANOI CO.LTD</t>
  </si>
  <si>
    <t>UNIGEN VIETNAM HANOI CO LTD</t>
  </si>
  <si>
    <t>NIHON DEMPA KOGYO CO.  LTD.</t>
  </si>
  <si>
    <t>UNIGEN VIET NAM HA NOI CO.LTD</t>
  </si>
  <si>
    <t>UNIGEN VIETNAM HANOI CO  LTD</t>
  </si>
  <si>
    <t>UNIGEN VIETNAM HANOI, CO., LTD</t>
  </si>
  <si>
    <t>ANALOG DEVICES (THAILAND) CO.,LTD</t>
  </si>
  <si>
    <t>KIOXIA AMERICA C/O TLGA</t>
  </si>
  <si>
    <t>SILICON MOTION INC</t>
  </si>
  <si>
    <t>MRO</t>
  </si>
  <si>
    <t>Feb-26 Total</t>
  </si>
  <si>
    <t>Sample 730</t>
  </si>
  <si>
    <t>LUCID USA, INC.</t>
  </si>
  <si>
    <t>889129246999</t>
  </si>
  <si>
    <t>JABIL CIRCUIT DE MEXICO, S.DE R.L.</t>
  </si>
  <si>
    <t>889183440114</t>
  </si>
  <si>
    <t>889455862493</t>
  </si>
  <si>
    <t>SINOTRANS JIANGSU FUCHANG</t>
  </si>
  <si>
    <t>TEXAS INSTRUMENTS SOUTHEAST ASIA PL</t>
  </si>
  <si>
    <t>KEL CORPORATION  TAMA CENTER</t>
  </si>
  <si>
    <t>NANYA TECHNOLOGY CORPORATION</t>
  </si>
  <si>
    <t>UNION MEMORY LTD.</t>
  </si>
  <si>
    <t>WPG SOUTH ASIA PTE LTD</t>
  </si>
  <si>
    <t>KIOXIA AMERICA, INC C/O TLGA</t>
  </si>
  <si>
    <t>WPG SOUTH ASIA PTE LTD.</t>
  </si>
  <si>
    <t>PSHPH2620028</t>
  </si>
  <si>
    <t>LSZHPH2601263</t>
  </si>
  <si>
    <t>HKHPG2602127</t>
  </si>
  <si>
    <t>DIM023595010</t>
  </si>
  <si>
    <t>1ZG2B4810403964937</t>
  </si>
  <si>
    <t>PLISG2H00696</t>
  </si>
  <si>
    <t>PSHPH2620084</t>
  </si>
  <si>
    <t>1Z75A9570473381816</t>
  </si>
  <si>
    <t>8XN3506</t>
  </si>
  <si>
    <t>8XN3507</t>
  </si>
  <si>
    <t>8XN3509</t>
  </si>
  <si>
    <t>8XN3508</t>
  </si>
  <si>
    <t>8XN3505</t>
  </si>
  <si>
    <t>SEBL26030008</t>
  </si>
  <si>
    <t>PSHPH2630019</t>
  </si>
  <si>
    <t>HWHPH2600978</t>
  </si>
  <si>
    <t>8XN3533</t>
  </si>
  <si>
    <t>LNBHPH260947</t>
  </si>
  <si>
    <t>8XN3532</t>
  </si>
  <si>
    <t>8XN3528</t>
  </si>
  <si>
    <t>8XN3536</t>
  </si>
  <si>
    <t>8XN3535</t>
  </si>
  <si>
    <t>8XN3534</t>
  </si>
  <si>
    <t>8XN3543</t>
  </si>
  <si>
    <t>LPGPENHPH2602014-01</t>
  </si>
  <si>
    <t>8XN3566</t>
  </si>
  <si>
    <t>PLISGFE00095</t>
  </si>
  <si>
    <t>SEBL26030026</t>
  </si>
  <si>
    <t>SEBL26030056</t>
  </si>
  <si>
    <t>PLISGFE00105</t>
  </si>
  <si>
    <t>SFO0168598</t>
  </si>
  <si>
    <t>IFTZ-ZBL-260306057</t>
  </si>
  <si>
    <t>UVH-02/26</t>
  </si>
  <si>
    <t>ASIA-UNZ20260225</t>
  </si>
  <si>
    <t>YFYJ-PUR 2502 SB</t>
  </si>
  <si>
    <t>YFYJ-PUR 2502 TV</t>
  </si>
  <si>
    <t>00000317</t>
  </si>
  <si>
    <t>YFYJ-PUR 2502 GS</t>
  </si>
  <si>
    <t>YFYJ-PUR 2502 JS</t>
  </si>
  <si>
    <t>INV-UNG-030326</t>
  </si>
  <si>
    <t>VN20260306007</t>
  </si>
  <si>
    <t>SP-UNIGEN-031026-01</t>
  </si>
  <si>
    <t>IPTH260323-UNI</t>
  </si>
  <si>
    <t>UHAN-INV06686</t>
  </si>
  <si>
    <t>UHAN-INV06692</t>
  </si>
  <si>
    <t>UHAN-INV06689</t>
  </si>
  <si>
    <t>UHAN-INV06690</t>
  </si>
  <si>
    <t>UHAN-INV06691</t>
  </si>
  <si>
    <t>UHAN-INV06693</t>
  </si>
  <si>
    <t>UHAN-INV06697</t>
  </si>
  <si>
    <t>E01045</t>
  </si>
  <si>
    <t>UHAN-INV06708</t>
  </si>
  <si>
    <t>E01049</t>
  </si>
  <si>
    <t>UHAN-INV06712</t>
  </si>
  <si>
    <t>UHAN-INV06713</t>
  </si>
  <si>
    <t>E01051</t>
  </si>
  <si>
    <t>UHAN-INV06720</t>
  </si>
  <si>
    <t>E01052</t>
  </si>
  <si>
    <t>UHAN-INV06729</t>
  </si>
  <si>
    <t>UHAN-INV06730</t>
  </si>
  <si>
    <t>UHAN-INV06737</t>
  </si>
  <si>
    <t>E01057</t>
  </si>
  <si>
    <t>E01058</t>
  </si>
  <si>
    <t>E01059</t>
  </si>
  <si>
    <t>UHAN-INV06741</t>
  </si>
  <si>
    <t>FUTURE ELECTRONICS INC( DIST ) PTE LTD</t>
  </si>
  <si>
    <t>HEILIND ELECTRONICS</t>
  </si>
  <si>
    <t>MOUSER ELECTRONICS, INC.</t>
  </si>
  <si>
    <t>MNPartners CO ., LTD (Suntsu Agent)</t>
  </si>
  <si>
    <t>EXAS INSTRUMENTS ASIA LIMITED C/O KWE LOGISTICS (SHENZHEN)</t>
  </si>
  <si>
    <t>TEXAS INSTRUMENTS ASIA LIMITED C/O KWE LOGISTICS (SHENZHEN)</t>
  </si>
  <si>
    <t>WT MICROELECTRONICS SINGAPORE PTE LTD</t>
  </si>
  <si>
    <t>C/O KWE LOGISTICS (SHENZHEN), TEXAS INSTRUMENTS ASIA LIMITED</t>
  </si>
  <si>
    <t>Texas Instruments Southeast Asia PL</t>
  </si>
  <si>
    <t>ARROW ELECTRONICS INC C/O ARROW COMPONENTS (M) SDN BHD</t>
  </si>
  <si>
    <t>WURTH ELEKTRONIK EISOS GMBH</t>
  </si>
  <si>
    <t>ARROW ELECTRONICS INC, ARROW COMPONENTS (M) SDN BHD</t>
  </si>
  <si>
    <t>Shenzhen JCX Technology Co., Ltd.</t>
  </si>
  <si>
    <t>c/o DHL Supply Chain SGP P/L Texas Instruments Southeast Asia Pt</t>
  </si>
  <si>
    <t>FLEXTRONICS INTERNATIONAL GMBH</t>
  </si>
  <si>
    <t>TI AMERICAS REGIONAL PDC TEXAS INSTRUMENTS INC</t>
  </si>
  <si>
    <t>ARROW GERMANY, C/O ARROW CENTRAL EUROPE</t>
  </si>
  <si>
    <t>ENNOVI ADVANCED MOBILITY SOLUTIONS HANGZHOU</t>
  </si>
  <si>
    <t>CHENG FWA INDUSTRIAL CO., LTD (NGUOI GUI: INA INA WU)</t>
  </si>
  <si>
    <t>AVNET-CHANDLER</t>
  </si>
  <si>
    <t>FUSION TRADE PTE LTD</t>
  </si>
  <si>
    <t>ARROW ELECTRONICS ASIA (S) PTE LTD C/O ARROW COMPONENTS (M) SDN BHD</t>
  </si>
  <si>
    <t>ARROW GERMANY C/O Arrow Central Europe</t>
  </si>
  <si>
    <t>FUTURE ELECTRONICS LTD.</t>
  </si>
  <si>
    <t>FUTURE ELECTRONICS INC. (DISTRIBUTION) PTE LTD</t>
  </si>
  <si>
    <t>WURTH ELEKTRONIK FRANCE</t>
  </si>
  <si>
    <t>FUTURE ELECTRONICS INC.(DISTRIBUTION) PTE LTD</t>
  </si>
  <si>
    <t>DIODES HONG KONG LIMITED</t>
  </si>
  <si>
    <t>IXSYSTEMS/TRUENAS.</t>
  </si>
  <si>
    <t>TYCO ELECTRONICS AMP QINGDAO LTD</t>
  </si>
  <si>
    <t>FOXCONN CZ S.R.O</t>
  </si>
  <si>
    <t>JABIL CIRCUIT DE MEXICO S DE R.L. DE C.V.</t>
  </si>
  <si>
    <t>Sifo Smart Automation Inc.</t>
  </si>
  <si>
    <t>ASIA BOLT VINA CO.,LTD</t>
  </si>
  <si>
    <t>SUPERBOX TECHNOLOGY COMPANY LIMITED</t>
  </si>
  <si>
    <t>W&amp;B TECHNOLOGY (VIET NAM) COMPANY LIMITED</t>
  </si>
  <si>
    <t>Heatscape.com Inc. - Vietnam</t>
  </si>
  <si>
    <t>Interplex Precision Technology (Hanoi) Co. Ltd</t>
  </si>
  <si>
    <t>INGRASYS TECHNOLOGY INC</t>
  </si>
  <si>
    <t>Lucid USA, Inc.</t>
  </si>
  <si>
    <t>AMAX Information Technologies Co., Ltd</t>
  </si>
  <si>
    <t>ASE GROUP Kaohsiung</t>
  </si>
  <si>
    <t>Lucid USA, Inc.(Coolidge Whse)</t>
  </si>
  <si>
    <t>BCQT</t>
  </si>
  <si>
    <t>LSHHPH2601207</t>
  </si>
  <si>
    <t>MNN/HPH/01067</t>
  </si>
  <si>
    <t>LSHHPH2601866</t>
  </si>
  <si>
    <t>MNN/HPH/01093</t>
  </si>
  <si>
    <t>BHJSH0091880</t>
  </si>
  <si>
    <t>LSHHPH2602054</t>
  </si>
  <si>
    <t>E01047</t>
  </si>
  <si>
    <t xml:space="preserve">DELTAMAX </t>
  </si>
  <si>
    <t>1PLT</t>
  </si>
  <si>
    <t>Customs Inspection</t>
  </si>
  <si>
    <t>CARGO SCREENING FEE/RCAR</t>
  </si>
  <si>
    <t>Checking additional Handling charge</t>
  </si>
  <si>
    <t>INV06674</t>
  </si>
  <si>
    <t>INV06681</t>
  </si>
  <si>
    <t>INV06687</t>
  </si>
  <si>
    <t>Sea export</t>
  </si>
  <si>
    <t>TOTAL FREIGHT</t>
  </si>
  <si>
    <t>Mar-26 Total</t>
  </si>
  <si>
    <t>INV06682</t>
  </si>
  <si>
    <t>INV06684</t>
  </si>
  <si>
    <t>INV06685</t>
  </si>
  <si>
    <t>INV06683</t>
  </si>
  <si>
    <t>INV06699</t>
  </si>
  <si>
    <t>INV06698</t>
  </si>
  <si>
    <t>INV06702</t>
  </si>
  <si>
    <t>INV06703</t>
  </si>
  <si>
    <t>INV06701</t>
  </si>
  <si>
    <t>INV06707</t>
  </si>
  <si>
    <t>INV06705</t>
  </si>
  <si>
    <t>INV06706</t>
  </si>
  <si>
    <t>INV06677</t>
  </si>
  <si>
    <t>INV06704</t>
  </si>
  <si>
    <t>INV06716</t>
  </si>
  <si>
    <t>INV06718</t>
  </si>
  <si>
    <t>INV06721</t>
  </si>
  <si>
    <t>INV06722</t>
  </si>
  <si>
    <t>INV06723</t>
  </si>
  <si>
    <t>INV06711</t>
  </si>
  <si>
    <t>INV06717</t>
  </si>
  <si>
    <t>INV06715</t>
  </si>
  <si>
    <t>INV06732</t>
  </si>
  <si>
    <t>INV06724</t>
  </si>
  <si>
    <t>INV06731</t>
  </si>
  <si>
    <t>INV06726</t>
  </si>
  <si>
    <t>INV06733</t>
  </si>
  <si>
    <t>INV06734</t>
  </si>
  <si>
    <t>INV06738</t>
  </si>
  <si>
    <t>INV06739</t>
  </si>
  <si>
    <t>INV06740</t>
  </si>
  <si>
    <t>INV06735</t>
  </si>
  <si>
    <t>VVMV(sea)</t>
  </si>
  <si>
    <t>Dragon</t>
  </si>
  <si>
    <t>UPS</t>
  </si>
  <si>
    <t>Customs USD</t>
  </si>
  <si>
    <t>Freight USD</t>
  </si>
  <si>
    <t>Trucking USD</t>
  </si>
  <si>
    <t>Import Qty (pcs)</t>
  </si>
  <si>
    <t>LPGPENHPH2603007-01</t>
  </si>
  <si>
    <t>HKHPG2603167</t>
  </si>
  <si>
    <t>LSZHPH2601990</t>
  </si>
  <si>
    <t>LSZHPH2601960</t>
  </si>
  <si>
    <t>LNBHPH261320</t>
  </si>
  <si>
    <t>LPIAHPH260926</t>
  </si>
  <si>
    <t>PSHPH2630134</t>
  </si>
  <si>
    <t>HWHPH2601263</t>
  </si>
  <si>
    <t>HWHPH2601367</t>
  </si>
  <si>
    <t>QRO0056364</t>
  </si>
  <si>
    <t>HKHPG260438</t>
  </si>
  <si>
    <t>PLISGFE00199</t>
  </si>
  <si>
    <t>PSHPH2640061</t>
  </si>
  <si>
    <t>HWHPH2601478</t>
  </si>
  <si>
    <t>8XN3684</t>
  </si>
  <si>
    <t>HTE26SL415</t>
  </si>
  <si>
    <t>SEBL26040037</t>
  </si>
  <si>
    <t>PLISGFE00245</t>
  </si>
  <si>
    <t>AMA INTERNATIONAL FREIGHT LTD</t>
  </si>
  <si>
    <t>ARROW COMPONENTS SDN BHD</t>
  </si>
  <si>
    <t>FUTURETECH COMPONENTS LIMITED</t>
  </si>
  <si>
    <t>ARROW ELECTRONICS ASIA(S) PTE LTD C/O ARROW ASIA PAC LTD - YAN</t>
  </si>
  <si>
    <t>SILERGY C/O ALPHA LOGISTICS (HK) LTD</t>
  </si>
  <si>
    <t>C/O KINTETSU WORLD EXPRESS TEXAS INSTRUMENTS ASIA LIMITED</t>
  </si>
  <si>
    <t>BRADY TECHNOLOGY SDN.BHD</t>
  </si>
  <si>
    <t>SEA LINK DIE CASTING KUNSHAN CO.,LTD</t>
  </si>
  <si>
    <t>MONOLITHIC POWER SYSTEMS (CHENGDU) CO., LTD</t>
  </si>
  <si>
    <t>ESPORE CORP PTE LTD</t>
  </si>
  <si>
    <t>COILCRAFT INC</t>
  </si>
  <si>
    <t>SIIX EMS MEXICO S DE RL DE CV</t>
  </si>
  <si>
    <t>ACE TECHNOLOGY (TAIWAN) CO., LTD.</t>
  </si>
  <si>
    <t>Avnet Chandler</t>
  </si>
  <si>
    <t>JABIL CIRCUIT DE MEXICO S DE R.L. DE C.V</t>
  </si>
  <si>
    <t>JABIL CIRCUIT DE MEXICO S DE R</t>
  </si>
  <si>
    <t>JABIL CIRCUIT DE MEXICO S DE R.</t>
  </si>
  <si>
    <t>E01060</t>
  </si>
  <si>
    <t>Rosenberger Hochfrequenztechnik GmbH &amp; Co. KG Factory gate</t>
  </si>
  <si>
    <t>UHAN-INV06747</t>
  </si>
  <si>
    <t>UHAN-INV06751</t>
  </si>
  <si>
    <t>UHAN-INV06752</t>
  </si>
  <si>
    <t>E01063</t>
  </si>
  <si>
    <t>UHAN-INV06758</t>
  </si>
  <si>
    <t>UHAN-INV06748</t>
  </si>
  <si>
    <t>UHAN-INV06749</t>
  </si>
  <si>
    <t>UHAN-INV06756</t>
  </si>
  <si>
    <t>E01064</t>
  </si>
  <si>
    <t>E01065</t>
  </si>
  <si>
    <t>Fushan Technology (Vietnam) Limited Liability</t>
  </si>
  <si>
    <t>UHAN-INV06757</t>
  </si>
  <si>
    <t>UHAN-INV06744</t>
  </si>
  <si>
    <t>UHAN-INV06761</t>
  </si>
  <si>
    <t>E01067</t>
  </si>
  <si>
    <t>UHAN-INV06763</t>
  </si>
  <si>
    <t>Lucid USA, Inc.(CasaGrande Whse</t>
  </si>
  <si>
    <t>UHAN-INV06760</t>
  </si>
  <si>
    <t>UHAN-INV06767</t>
  </si>
  <si>
    <t>UHAN-INV06762</t>
  </si>
  <si>
    <t>UHAN-INV06765</t>
  </si>
  <si>
    <t>E01069</t>
  </si>
  <si>
    <t>Microchip Technology (Thailand) Co., Ltd</t>
  </si>
  <si>
    <t>E01070</t>
  </si>
  <si>
    <t>Kioxia Corporation, Yokkaichi Plant</t>
  </si>
  <si>
    <t>UHAN-INV06770</t>
  </si>
  <si>
    <t>UHAN-INV06771</t>
  </si>
  <si>
    <t>UHAN-INV06772</t>
  </si>
  <si>
    <t>UHAN-INV06773</t>
  </si>
  <si>
    <t>UHAN-INV06779</t>
  </si>
  <si>
    <t>UHAN-INV06776</t>
  </si>
  <si>
    <t>E01072</t>
  </si>
  <si>
    <t>E01073</t>
  </si>
  <si>
    <t>UHAN-INV06777</t>
  </si>
  <si>
    <t>UHAN-INV06778</t>
  </si>
  <si>
    <t>E01075</t>
  </si>
  <si>
    <t>UHAN-INV06785</t>
  </si>
  <si>
    <t>UHAN-INV06790</t>
  </si>
  <si>
    <t>UHAN-INV06781</t>
  </si>
  <si>
    <t>FCL</t>
  </si>
  <si>
    <t>E01066</t>
  </si>
  <si>
    <t>JABIL</t>
  </si>
  <si>
    <t>Lệ phí hải quan</t>
  </si>
  <si>
    <t>TEXAS INSTRUMENTS TAIWAN LTD.</t>
  </si>
  <si>
    <t>TEXAS INSTRUMENTS PHILIPPINES</t>
  </si>
  <si>
    <t>LTD C/O ARROW ASIA PAC LTD - YAN</t>
  </si>
  <si>
    <t>J T FLEX TECHNOLOGY CO LTD</t>
  </si>
  <si>
    <t>UNIGEN VIET NAM HA NOI CO.LTD,</t>
  </si>
  <si>
    <t>UNIGEN VIETNAM HA NOI CO., LTD.</t>
  </si>
  <si>
    <t>LSHHPH2601960</t>
  </si>
  <si>
    <t>LSHHPH2602476</t>
  </si>
  <si>
    <t xml:space="preserve">MNN/HPH/01112		</t>
  </si>
  <si>
    <t>TXGHPHK26308</t>
  </si>
  <si>
    <t>UNIVERSAL GLOBAL SCIENTIFIC INDUSTRIAL CO., LTD.</t>
  </si>
  <si>
    <t>LSHHPH2602973</t>
  </si>
  <si>
    <t>LSHHPH2603593</t>
  </si>
  <si>
    <t>Victoria charge $100 to customer</t>
  </si>
  <si>
    <t>INV06753</t>
  </si>
  <si>
    <t>Apr-26 Total</t>
  </si>
  <si>
    <t>LCC USD</t>
  </si>
  <si>
    <t>Sample 741</t>
  </si>
  <si>
    <t>INV06737</t>
  </si>
  <si>
    <t>INV06752</t>
  </si>
  <si>
    <t>Sample 743</t>
  </si>
  <si>
    <t>Sample 747</t>
  </si>
  <si>
    <t>GUANGDONG BOOSTER TECHCO., LTD. BLD</t>
  </si>
  <si>
    <t>MONOLITHIC POWER SYSTEMS</t>
  </si>
  <si>
    <t>RAHI HOLDINGS B.V TAIWAN</t>
  </si>
  <si>
    <t>SIFO SMART AUTOMATION INC.</t>
  </si>
  <si>
    <t>UNIGEN VIETNAM HA NOI CO., LTD</t>
  </si>
  <si>
    <t>UNIGEN VIETNAM HA NOI CO.LTD.</t>
  </si>
  <si>
    <t>ALLIED DEVICES (S) PTE LTD</t>
  </si>
  <si>
    <t>FUTURETECH COMPONENTS LTD</t>
  </si>
  <si>
    <t>FUSION ADVANTEC CO.,LTD.</t>
  </si>
  <si>
    <t>STARS MICROELECTRONICS (THAILAND)</t>
  </si>
  <si>
    <t>FORD</t>
  </si>
  <si>
    <t>PSHPH2640077</t>
  </si>
  <si>
    <t>SHHPH26007533</t>
  </si>
  <si>
    <t>MICROCHIP TECNOLOGY(TH) CO LTD</t>
  </si>
  <si>
    <t>Micron Memory Malaysia Sdn. Bhd</t>
  </si>
  <si>
    <t>8XN5055</t>
  </si>
  <si>
    <t>8XN5064</t>
  </si>
  <si>
    <t>8XN5060</t>
  </si>
  <si>
    <t>8XN5059</t>
  </si>
  <si>
    <t>8XN5058</t>
  </si>
  <si>
    <t>8XN5057</t>
  </si>
  <si>
    <t>8XN5056</t>
  </si>
  <si>
    <t>8XN5063</t>
  </si>
  <si>
    <t>8XN5065</t>
  </si>
  <si>
    <t>8XN5054</t>
  </si>
  <si>
    <t>8XN5053</t>
  </si>
  <si>
    <t>8XN5052</t>
  </si>
  <si>
    <t>8XN5051</t>
  </si>
  <si>
    <t>8XN5050</t>
  </si>
  <si>
    <t>8XN5049</t>
  </si>
  <si>
    <t>8XN5048</t>
  </si>
  <si>
    <t>8XN5047</t>
  </si>
  <si>
    <t>8XN5046</t>
  </si>
  <si>
    <t>8XN5045</t>
  </si>
  <si>
    <t>8XN5044</t>
  </si>
  <si>
    <t>8XN5061</t>
  </si>
  <si>
    <t>8XN5062</t>
  </si>
  <si>
    <t>8XN5082</t>
  </si>
  <si>
    <t>8XN5083</t>
  </si>
  <si>
    <t>8XN5084</t>
  </si>
  <si>
    <t>8XN5111</t>
  </si>
  <si>
    <t>8XN5110</t>
  </si>
  <si>
    <t>8XN5109</t>
  </si>
  <si>
    <t>8XN5085</t>
  </si>
  <si>
    <t>8XN5108</t>
  </si>
  <si>
    <t>8XN5086</t>
  </si>
  <si>
    <t>8XN5107</t>
  </si>
  <si>
    <t>8XN5087</t>
  </si>
  <si>
    <t>8XN5106</t>
  </si>
  <si>
    <t>8XN5105</t>
  </si>
  <si>
    <t>8XN5088</t>
  </si>
  <si>
    <t>8XN5104</t>
  </si>
  <si>
    <t>8XN5099</t>
  </si>
  <si>
    <t>8XN5098</t>
  </si>
  <si>
    <t>8XN5097</t>
  </si>
  <si>
    <t>8XN5096</t>
  </si>
  <si>
    <t>8XN5095</t>
  </si>
  <si>
    <t>8XN5094</t>
  </si>
  <si>
    <t>8XN5089</t>
  </si>
  <si>
    <t>8XN5103</t>
  </si>
  <si>
    <t>8XN5090</t>
  </si>
  <si>
    <t>8XN5102</t>
  </si>
  <si>
    <t>8XN5091</t>
  </si>
  <si>
    <t>8XN5101</t>
  </si>
  <si>
    <t>8XN5092</t>
  </si>
  <si>
    <t>8XN5100</t>
  </si>
  <si>
    <t>8XN5093</t>
  </si>
  <si>
    <t>SHDY260401495</t>
  </si>
  <si>
    <t>LNBHPH262075</t>
  </si>
  <si>
    <t>Micron Memory Malaysia Sdn Bhd. Assembled in Malaysia.</t>
  </si>
  <si>
    <t>FUSION TRADE HK LTD</t>
  </si>
  <si>
    <t>MICRON SEMICONDUCTOR XIAN CO, LTD</t>
  </si>
  <si>
    <t>KR</t>
  </si>
  <si>
    <t xml:space="preserve"> Micron Memory Malaysia Sdn. Bhd</t>
  </si>
  <si>
    <t xml:space="preserve"> FUTURE ELECTRONICS FICE</t>
  </si>
  <si>
    <t>PLISGFE00304</t>
  </si>
  <si>
    <t xml:space="preserve"> FUTURE ELECTRONICS INC.(DISTRIBUTION) PTE LTD</t>
  </si>
  <si>
    <t xml:space="preserve"> ARROW COMPONENTS MEXICO SA De CV</t>
  </si>
  <si>
    <t xml:space="preserve"> AVNET TECH HK LTD (1602 - HX64)</t>
  </si>
  <si>
    <t xml:space="preserve"> AVNET INC</t>
  </si>
  <si>
    <t xml:space="preserve"> FUSION TRADE PTE LTD</t>
  </si>
  <si>
    <t xml:space="preserve"> Micron Memory Malaysia Sdn. BhD</t>
  </si>
  <si>
    <t xml:space="preserve"> WHITE HORSE LABORATORIES LTD</t>
  </si>
  <si>
    <t xml:space="preserve"> KIOXIA CORPORATION C/O KIOXIA AMERICA INC. ASSEMBLY IN TW</t>
  </si>
  <si>
    <t xml:space="preserve"> FIERY, LLC.</t>
  </si>
  <si>
    <t xml:space="preserve"> Sino Faith Technology Development</t>
  </si>
  <si>
    <t>LPGPENHPH2604019-01</t>
  </si>
  <si>
    <t xml:space="preserve"> UNIGEN TECHNOLOGY SDN BHD</t>
  </si>
  <si>
    <t>WURTH ELEKTRONIK EISOS GMBH &amp; CO. KG</t>
  </si>
  <si>
    <t>1Z75A9570473446345</t>
  </si>
  <si>
    <t>1ZB600R50419367007</t>
  </si>
  <si>
    <t>WHALE FEATHER INTERNATIONAL TRADE</t>
  </si>
  <si>
    <t>AVNET INC</t>
  </si>
  <si>
    <t>O/B ANALOG DEVICES INTERNATIONAL UC</t>
  </si>
  <si>
    <t>PLISGFE00329</t>
  </si>
  <si>
    <t>Quest Components, Inc.</t>
  </si>
  <si>
    <t>NANYA TECHNOLOGY CORP.</t>
  </si>
  <si>
    <t>VITAL SYSTEM TECHNOLOGY PTE LTD</t>
  </si>
  <si>
    <t>AVNET, INC</t>
  </si>
  <si>
    <t>Micron Memory Malaysia Sdn. Bhd.</t>
  </si>
  <si>
    <t>NL</t>
  </si>
  <si>
    <t>HU</t>
  </si>
  <si>
    <t>Micron Memory Malaysia Sdn. Bh</t>
  </si>
  <si>
    <t>PSHPH2650040</t>
  </si>
  <si>
    <t>8XN5154</t>
  </si>
  <si>
    <t>8XN5157</t>
  </si>
  <si>
    <t>8XN5156</t>
  </si>
  <si>
    <t>Sino Faith Technology DVPT LTD</t>
  </si>
  <si>
    <t>8XN5155</t>
  </si>
  <si>
    <t>8XN5171</t>
  </si>
  <si>
    <t>8XN5172</t>
  </si>
  <si>
    <t>8XN5173</t>
  </si>
  <si>
    <t>8XN5174</t>
  </si>
  <si>
    <t>8XN5175</t>
  </si>
  <si>
    <t>8XN5177</t>
  </si>
  <si>
    <t>8XN5176</t>
  </si>
  <si>
    <t>8XN5179</t>
  </si>
  <si>
    <t>8XN5178</t>
  </si>
  <si>
    <t>8XN5181</t>
  </si>
  <si>
    <t>8XN5180</t>
  </si>
  <si>
    <t>1Z75A9570473454818</t>
  </si>
  <si>
    <t>1Z75A9570473454649</t>
  </si>
  <si>
    <t>PLISGFE00364</t>
  </si>
  <si>
    <t>8XN5195</t>
  </si>
  <si>
    <t>8XN5197</t>
  </si>
  <si>
    <t>8XN5202</t>
  </si>
  <si>
    <t>8XN5196</t>
  </si>
  <si>
    <t>8XN5198</t>
  </si>
  <si>
    <t>8XN5200</t>
  </si>
  <si>
    <t>8XN5199</t>
  </si>
  <si>
    <t>8XN5201</t>
  </si>
  <si>
    <t>TEXAS INSTRUMENTS ASIA LIMITED  C/O KWE LOGISTICS (SHENZHEN)</t>
  </si>
  <si>
    <t>ASPHPHE14702212</t>
  </si>
  <si>
    <t>Texas Instruments Southeast Asia PL TI eCommerce PDC Sgp (Hub)</t>
  </si>
  <si>
    <t>LSZHPH2604065</t>
  </si>
  <si>
    <t>WT MICROELECTRONICS CO., LTD</t>
  </si>
  <si>
    <t>8XN5224</t>
  </si>
  <si>
    <t>8XN5226</t>
  </si>
  <si>
    <t>8XN5223</t>
  </si>
  <si>
    <t>8XN5225</t>
  </si>
  <si>
    <t>KIOXIA AMERICA INC C/O TLGA</t>
  </si>
  <si>
    <t>SAE26050106</t>
  </si>
  <si>
    <t>EMI STOP CORP</t>
  </si>
  <si>
    <t>Element 14 Pte Ltd</t>
  </si>
  <si>
    <t>TTI ELECTRONICS ASIA PTE LTD-TTI HK</t>
  </si>
  <si>
    <t>Shenzhen Jiechuangxin Technology Co.,Ltd.</t>
  </si>
  <si>
    <t>KYOCERA AVX COMPONENTS CORPORATION</t>
  </si>
  <si>
    <t>"O/B ANALOG DEVICES INTERNATIONAL UC DHL SUPPLY CHAIN MANAGEMENT PHILS"</t>
  </si>
  <si>
    <t>ARROW COMPONENTS (M) SDN BHD C/O ARROW COMPONENTS (M) SDN BHD</t>
  </si>
  <si>
    <t>Pure Storage, Inc</t>
  </si>
  <si>
    <t>51426</t>
  </si>
  <si>
    <t>UNIGEN SHENZHEN</t>
  </si>
  <si>
    <t>CZ</t>
  </si>
  <si>
    <t>TV-UNI-0422</t>
  </si>
  <si>
    <t>SP-UNIGEN-042126-01</t>
  </si>
  <si>
    <t>00000732</t>
  </si>
  <si>
    <t>UVH-04/26</t>
  </si>
  <si>
    <t>UNIGEN260505</t>
  </si>
  <si>
    <t xml:space="preserve"> CHI NHANH CONG TY TNHH OJITEX HAI PHONG TAI BAC NINH (MST: 0200575693 - 001)</t>
  </si>
  <si>
    <t>49</t>
  </si>
  <si>
    <t>CONG TY TNHH KONIK (VIET NAM)</t>
  </si>
  <si>
    <t>VN20260508005</t>
  </si>
  <si>
    <t>CTY TNHH W&amp;B TECHNOLOGY (VIET NAM)</t>
  </si>
  <si>
    <t>JABIL CIRCUIT DE MEXICO S. DE R.L. DE C.V</t>
  </si>
  <si>
    <t>E01076</t>
  </si>
  <si>
    <t>Kingston Technology Far East Corp.</t>
  </si>
  <si>
    <t>E01077</t>
  </si>
  <si>
    <t>u-blox AG</t>
  </si>
  <si>
    <t>UHAN-INV06784</t>
  </si>
  <si>
    <t>E01079</t>
  </si>
  <si>
    <t>UHAN-INV06787</t>
  </si>
  <si>
    <t>UHAN-INV06792</t>
  </si>
  <si>
    <t>UHAN-INV06788</t>
  </si>
  <si>
    <t>UHAN-INV06789</t>
  </si>
  <si>
    <t>UHAN-INV06798</t>
  </si>
  <si>
    <t>UHAN-INV06803</t>
  </si>
  <si>
    <t>UHAN-INV06804</t>
  </si>
  <si>
    <t>UHAN-INV06806</t>
  </si>
  <si>
    <t>UHAN-INV06811</t>
  </si>
  <si>
    <t>UHAN-INV06814</t>
  </si>
  <si>
    <t>SLC5 Data Center C/O Pure Storage</t>
  </si>
  <si>
    <t>Pure Storage India Private Limited</t>
  </si>
  <si>
    <t>Pure Storage SF04</t>
  </si>
  <si>
    <t>UHAN-INV06817</t>
  </si>
  <si>
    <t>UHAN-INV06816</t>
  </si>
  <si>
    <t>UHAN-INV06828</t>
  </si>
  <si>
    <t>E01085</t>
  </si>
  <si>
    <t>UHAN-INV06831</t>
  </si>
  <si>
    <t>UHAN-INV06830</t>
  </si>
  <si>
    <t>PENCOM LTD.</t>
  </si>
  <si>
    <t>RICHARDSON RFPD HONG KONG LIMI</t>
  </si>
  <si>
    <t>MNN/HPH/01155</t>
  </si>
  <si>
    <t>BESS21260402</t>
  </si>
  <si>
    <t>XUS260013</t>
  </si>
  <si>
    <t>BESS21260403</t>
  </si>
  <si>
    <t>CP251228</t>
  </si>
  <si>
    <t>MNN</t>
  </si>
  <si>
    <t>CIP</t>
  </si>
  <si>
    <t>DAP</t>
  </si>
  <si>
    <t>Subtotal of Ford</t>
  </si>
  <si>
    <t>E13</t>
  </si>
  <si>
    <t>Ford</t>
  </si>
  <si>
    <t>INV06809</t>
  </si>
  <si>
    <t>May-26 Total</t>
  </si>
  <si>
    <t>Dolphin(sea)</t>
  </si>
  <si>
    <t>INV06790</t>
  </si>
  <si>
    <t>INV06802</t>
  </si>
  <si>
    <t>INV06820</t>
  </si>
  <si>
    <t>INV06818</t>
  </si>
  <si>
    <t>Sample 748</t>
  </si>
  <si>
    <t>Sample 749</t>
  </si>
  <si>
    <t>INV06795</t>
  </si>
  <si>
    <t>INV06796</t>
  </si>
  <si>
    <t>INV06797</t>
  </si>
  <si>
    <t>INV06799</t>
  </si>
  <si>
    <t>INV06805</t>
  </si>
  <si>
    <t>INV06810</t>
  </si>
  <si>
    <t>INV06812</t>
  </si>
  <si>
    <t>INV06815</t>
  </si>
  <si>
    <t>INV06824</t>
  </si>
  <si>
    <t>INV06827</t>
  </si>
  <si>
    <t>INV06825</t>
  </si>
  <si>
    <t>INV06826</t>
  </si>
  <si>
    <t>INV06834</t>
  </si>
  <si>
    <t>RMA</t>
  </si>
  <si>
    <t>ACCOUNT NO.</t>
  </si>
  <si>
    <t>INVOICE NO.</t>
  </si>
  <si>
    <t>VAT INVOICE DATE.</t>
  </si>
  <si>
    <t>DISCOUNT</t>
  </si>
  <si>
    <t>FUEL SURCHARGE (AMOUNT)</t>
  </si>
  <si>
    <t>(VND)</t>
  </si>
  <si>
    <t>BERECHIAH ENTERPRISE CO.,LTD.</t>
  </si>
  <si>
    <t>Zone</t>
  </si>
  <si>
    <t>Transfer</t>
  </si>
  <si>
    <t>Transfer material</t>
  </si>
  <si>
    <t>x</t>
  </si>
  <si>
    <t>SSD</t>
  </si>
  <si>
    <t>Transfer FG</t>
  </si>
  <si>
    <t>IC</t>
  </si>
  <si>
    <t>Ship QA's sample for evaluation</t>
  </si>
  <si>
    <t>DDR4</t>
  </si>
  <si>
    <t>Ship to CTU</t>
  </si>
  <si>
    <t>1K26TFA-00029775</t>
  </si>
  <si>
    <t>872009826743</t>
  </si>
  <si>
    <t>872266860800</t>
  </si>
  <si>
    <t>PURE STORAGE, INC.</t>
  </si>
  <si>
    <t>872329335608</t>
  </si>
  <si>
    <t>872639262181</t>
  </si>
  <si>
    <t>872758765274</t>
  </si>
  <si>
    <t>COMPEQ MANUFACTURING (HUIZHOU)</t>
  </si>
  <si>
    <t>872885278038</t>
  </si>
  <si>
    <t>INGRASYS TECHNOLOGY INC.</t>
  </si>
  <si>
    <t>873056855970</t>
  </si>
  <si>
    <t>CUPCAKE</t>
  </si>
  <si>
    <t>Sample 754</t>
  </si>
  <si>
    <t>PCBA, STEEL</t>
  </si>
  <si>
    <t>E01087</t>
  </si>
  <si>
    <t>IC, RES, TRANS, DIODE, LABEL, CAP</t>
  </si>
  <si>
    <t>E01089</t>
  </si>
  <si>
    <t>PCB</t>
  </si>
  <si>
    <t>Sample 756</t>
  </si>
  <si>
    <t>INV06869</t>
  </si>
  <si>
    <t>INV06883</t>
  </si>
  <si>
    <t>PURE US</t>
  </si>
  <si>
    <t>INGRASYS</t>
  </si>
  <si>
    <t>1K26TFA-00029774</t>
  </si>
  <si>
    <t>1K26TFA-00029784</t>
  </si>
  <si>
    <t>TONG LAY DOO INDUSTRIAL CO LTD.</t>
  </si>
  <si>
    <t>UNIGEN VIETNAM HANOI CO.LTD,</t>
  </si>
  <si>
    <t>AIC INC</t>
  </si>
  <si>
    <t>UNIGEN HK LTD</t>
  </si>
  <si>
    <t>ARC ELECTRO INDUSTRY CORP</t>
  </si>
  <si>
    <t>KINGSTON TECHNOLOGY FAR EAST CORP.</t>
  </si>
  <si>
    <t>TEXAS INSTRUMENTS S.E.A. PTELTD</t>
  </si>
  <si>
    <t>UNIGEN VIETNAM HANOI CO, LTD</t>
  </si>
  <si>
    <t>SHIRLEY LIU</t>
  </si>
  <si>
    <t>UNIGEN VIET NAM HA NOI CO.LTD.</t>
  </si>
  <si>
    <t>UNIGEN (HK) LTD</t>
  </si>
  <si>
    <t>GULTECH(JIANGSU)</t>
  </si>
  <si>
    <t>LE CHAMP SEA PTE LTD</t>
  </si>
  <si>
    <t>KYOCERA AVX COMPONENTS ASIA LIMITED</t>
  </si>
  <si>
    <t>UNIGEN VIETNAM HA NOI CO.,LTD.</t>
  </si>
  <si>
    <t>AMPHENOL MOBILE CONNECTOR SOLUTIONS</t>
  </si>
  <si>
    <t>SHENZHEN JIECHUANGXIN TECHNOLOGY</t>
  </si>
  <si>
    <t>AP ELECTRONIC CO.,LTD</t>
  </si>
  <si>
    <t>PSHPH2650073</t>
  </si>
  <si>
    <t>175-2650008</t>
  </si>
  <si>
    <t>HVSZ26055635</t>
  </si>
  <si>
    <t>KRM26CI015</t>
  </si>
  <si>
    <t>SHENZHEN   KERAIMEI   PRECISION   HARDWARE   CO.,LTD.</t>
  </si>
  <si>
    <t>7729911-13</t>
  </si>
  <si>
    <t>030162972</t>
  </si>
  <si>
    <t>7595332-05</t>
  </si>
  <si>
    <t>8XN5256</t>
  </si>
  <si>
    <t>1591CPM</t>
  </si>
  <si>
    <t>8XN5262</t>
  </si>
  <si>
    <t>1591CPU</t>
  </si>
  <si>
    <t>8XN5254</t>
  </si>
  <si>
    <t>1591CPK</t>
  </si>
  <si>
    <t>8XN5259</t>
  </si>
  <si>
    <t>1591CPR</t>
  </si>
  <si>
    <t>8XN5270</t>
  </si>
  <si>
    <t>1591CR2</t>
  </si>
  <si>
    <t>8XN5255</t>
  </si>
  <si>
    <t>1591CPL</t>
  </si>
  <si>
    <t>8XN5912</t>
  </si>
  <si>
    <t>1591CT7</t>
  </si>
  <si>
    <t>8XN5273</t>
  </si>
  <si>
    <t>1591CR5</t>
  </si>
  <si>
    <t>8XN5266</t>
  </si>
  <si>
    <t>1591CPY</t>
  </si>
  <si>
    <t>8XN5252</t>
  </si>
  <si>
    <t>1591CPH</t>
  </si>
  <si>
    <t>8XN5275</t>
  </si>
  <si>
    <t>1591CR7</t>
  </si>
  <si>
    <t>8XN5253</t>
  </si>
  <si>
    <t>1591CPJ</t>
  </si>
  <si>
    <t>8XN5264</t>
  </si>
  <si>
    <t>1591CPW</t>
  </si>
  <si>
    <t>8XN5258</t>
  </si>
  <si>
    <t>1591CPP</t>
  </si>
  <si>
    <t>8XN5257</t>
  </si>
  <si>
    <t>1591CPN</t>
  </si>
  <si>
    <t>8XN5268</t>
  </si>
  <si>
    <t>1591CR0</t>
  </si>
  <si>
    <t>8XN5271</t>
  </si>
  <si>
    <t>1591CR3</t>
  </si>
  <si>
    <t>8XN5272</t>
  </si>
  <si>
    <t>1591CR4</t>
  </si>
  <si>
    <t>8XN5904</t>
  </si>
  <si>
    <t>1591CSZ</t>
  </si>
  <si>
    <t>8XN5907</t>
  </si>
  <si>
    <t>1591CT2</t>
  </si>
  <si>
    <t>8XN5906</t>
  </si>
  <si>
    <t>1591CT1</t>
  </si>
  <si>
    <t>8XN5267</t>
  </si>
  <si>
    <t>1591CPZ</t>
  </si>
  <si>
    <t>8XN5263</t>
  </si>
  <si>
    <t>1591CPV</t>
  </si>
  <si>
    <t>8XN5265</t>
  </si>
  <si>
    <t>1591CPX</t>
  </si>
  <si>
    <t>8XN5910</t>
  </si>
  <si>
    <t>1591CT5</t>
  </si>
  <si>
    <t>8XN5274</t>
  </si>
  <si>
    <t>1591CR6</t>
  </si>
  <si>
    <t>8XN5908</t>
  </si>
  <si>
    <t>1591CT3</t>
  </si>
  <si>
    <t>8XN5279</t>
  </si>
  <si>
    <t>15W1S3E</t>
  </si>
  <si>
    <t>8XN5909</t>
  </si>
  <si>
    <t>1591CT4</t>
  </si>
  <si>
    <t>8XN5900</t>
  </si>
  <si>
    <t>1591CSV</t>
  </si>
  <si>
    <t>8XN5277</t>
  </si>
  <si>
    <t>15W1S3C</t>
  </si>
  <si>
    <t>8XN5261</t>
  </si>
  <si>
    <t>1591CPT</t>
  </si>
  <si>
    <t>8XN5260</t>
  </si>
  <si>
    <t>1591CPS</t>
  </si>
  <si>
    <t>8XN5901</t>
  </si>
  <si>
    <t>1591CSW</t>
  </si>
  <si>
    <t>8XN5269</t>
  </si>
  <si>
    <t>1591CR1</t>
  </si>
  <si>
    <t>8XN5280</t>
  </si>
  <si>
    <t>15W1S3F</t>
  </si>
  <si>
    <t>8XN5282</t>
  </si>
  <si>
    <t>15W1S3H</t>
  </si>
  <si>
    <t>8XN5278</t>
  </si>
  <si>
    <t>15W1S3D</t>
  </si>
  <si>
    <t>8XN5905</t>
  </si>
  <si>
    <t>1591CT0</t>
  </si>
  <si>
    <t>8XN5276</t>
  </si>
  <si>
    <t>15W1S3B</t>
  </si>
  <si>
    <t>8XN5281</t>
  </si>
  <si>
    <t>15W1S3G</t>
  </si>
  <si>
    <t>8XN5911</t>
  </si>
  <si>
    <t>1591CT6</t>
  </si>
  <si>
    <t>8XN5902</t>
  </si>
  <si>
    <t>1591CSX</t>
  </si>
  <si>
    <t>8XN5903</t>
  </si>
  <si>
    <t>1591CSY</t>
  </si>
  <si>
    <t>21153393</t>
  </si>
  <si>
    <t>2026CYM</t>
  </si>
  <si>
    <t>030261952</t>
  </si>
  <si>
    <t>21131210</t>
  </si>
  <si>
    <t>21152780</t>
  </si>
  <si>
    <t>21181118</t>
  </si>
  <si>
    <t>126188103</t>
  </si>
  <si>
    <t>21164804</t>
  </si>
  <si>
    <t>334229</t>
  </si>
  <si>
    <t>DHL SUPPLY CHAIN MGMT PHILS INC ON BEHALF OF ANALOG DEVICES INT</t>
  </si>
  <si>
    <t>SAE26050273</t>
  </si>
  <si>
    <t>3843090</t>
  </si>
  <si>
    <t>UC-2605201</t>
  </si>
  <si>
    <t>TECHFORD INT LTD</t>
  </si>
  <si>
    <t>41990751</t>
  </si>
  <si>
    <t>21040464</t>
  </si>
  <si>
    <t>UNIGEN-20260422461</t>
  </si>
  <si>
    <t>5533895610</t>
  </si>
  <si>
    <t>202626DON</t>
  </si>
  <si>
    <t>050826</t>
  </si>
  <si>
    <t>XS26050106</t>
  </si>
  <si>
    <t>PLISGFE00379</t>
  </si>
  <si>
    <t>00189457</t>
  </si>
  <si>
    <t>INV26/058480</t>
  </si>
  <si>
    <t>BERECHIAH ENTERPRISE CO.,LTD</t>
  </si>
  <si>
    <t>3854377</t>
  </si>
  <si>
    <t>F175-052126-112</t>
  </si>
  <si>
    <t>3851801</t>
  </si>
  <si>
    <t>6094391</t>
  </si>
  <si>
    <t>F111-052526-070</t>
  </si>
  <si>
    <t>2605184015</t>
  </si>
  <si>
    <t>CB264286</t>
  </si>
  <si>
    <t>20260525-PUYA</t>
  </si>
  <si>
    <t>52226</t>
  </si>
  <si>
    <t>ASPHPHE14702318</t>
  </si>
  <si>
    <t>1182714093</t>
  </si>
  <si>
    <t>334573</t>
  </si>
  <si>
    <t>C/O DHL Supply Chain Thailand Limit Analog Devices (Thailand) Co., Ltd</t>
  </si>
  <si>
    <t>4319685</t>
  </si>
  <si>
    <t>SF1545026977131</t>
  </si>
  <si>
    <t>XI20260521</t>
  </si>
  <si>
    <t>Xing Yu Hu</t>
  </si>
  <si>
    <t>231-26N5A0390</t>
  </si>
  <si>
    <t>ASPHPHE14702308</t>
  </si>
  <si>
    <t>SN20260507-083</t>
  </si>
  <si>
    <t>5535689675</t>
  </si>
  <si>
    <t>1182734177</t>
  </si>
  <si>
    <t>PSHPH2650097</t>
  </si>
  <si>
    <t>CF115U005</t>
  </si>
  <si>
    <t>21197050&amp;21197048</t>
  </si>
  <si>
    <t>80667</t>
  </si>
  <si>
    <t>SL2605210092</t>
  </si>
  <si>
    <t>336242</t>
  </si>
  <si>
    <t>O/B ANALOG DEVICES INTERNATIONAL UC DHL SUPPLY CHAIN MANAGEMENT PHILS</t>
  </si>
  <si>
    <t>9501274640</t>
  </si>
  <si>
    <t>SAMSUNG ELECTRONICS CO LTD (ONYANG)</t>
  </si>
  <si>
    <t>9501275175</t>
  </si>
  <si>
    <t>SAMSUNG ELECTRONICS CO LTD</t>
  </si>
  <si>
    <t>SL2605210091</t>
  </si>
  <si>
    <t>SZ-26071</t>
  </si>
  <si>
    <t>65-0159</t>
  </si>
  <si>
    <t>KEL CORPORATION</t>
  </si>
  <si>
    <t>S18301958</t>
  </si>
  <si>
    <t>15698548</t>
  </si>
  <si>
    <t>F175-052526-082</t>
  </si>
  <si>
    <t>SN20260522-057</t>
  </si>
  <si>
    <t>MP20260526</t>
  </si>
  <si>
    <t>21172217</t>
  </si>
  <si>
    <t>UNIGEN-20260527468</t>
  </si>
  <si>
    <t>030301916</t>
  </si>
  <si>
    <t>PSHPH2650111</t>
  </si>
  <si>
    <t>UNI1-260514</t>
  </si>
  <si>
    <t>F175-052726-031</t>
  </si>
  <si>
    <t>HKHPG2605166</t>
  </si>
  <si>
    <t>260570342-44</t>
  </si>
  <si>
    <t>PSHPH2650109</t>
  </si>
  <si>
    <t>260510679-81-12</t>
  </si>
  <si>
    <t>7984971-01</t>
  </si>
  <si>
    <t>94472049</t>
  </si>
  <si>
    <t>12850774</t>
  </si>
  <si>
    <t>ARROW VERICAL</t>
  </si>
  <si>
    <t>030301914</t>
  </si>
  <si>
    <t>21176915</t>
  </si>
  <si>
    <t>351-260526009</t>
  </si>
  <si>
    <t>21164797</t>
  </si>
  <si>
    <t>330945</t>
  </si>
  <si>
    <t>Analog Devices (Thailand) Co., Ltd</t>
  </si>
  <si>
    <t>2602782</t>
  </si>
  <si>
    <t>UC-2605271</t>
  </si>
  <si>
    <t>4316792</t>
  </si>
  <si>
    <t>FUS20260529</t>
  </si>
  <si>
    <t>2605080911</t>
  </si>
  <si>
    <t>952111</t>
  </si>
  <si>
    <t>M90459944</t>
  </si>
  <si>
    <t>15627613</t>
  </si>
  <si>
    <t>ARROW ASIA PAC LIMITED C/O ARROW COMPONENTS (M) SDN BHD</t>
  </si>
  <si>
    <t>UHK-1066/26</t>
  </si>
  <si>
    <t>MAS260511</t>
  </si>
  <si>
    <t>41959620</t>
  </si>
  <si>
    <t>21056368</t>
  </si>
  <si>
    <t>VEN20260511</t>
  </si>
  <si>
    <t>030237688</t>
  </si>
  <si>
    <t>SL2605140078</t>
  </si>
  <si>
    <t>41932393</t>
  </si>
  <si>
    <t>030349835</t>
  </si>
  <si>
    <t>SL2605140076</t>
  </si>
  <si>
    <t>330997</t>
  </si>
  <si>
    <t>8145472-01.8185339-01</t>
  </si>
  <si>
    <t>VEN20260527</t>
  </si>
  <si>
    <t>030173302</t>
  </si>
  <si>
    <t>876102</t>
  </si>
  <si>
    <t>Randtech Asia Pte. Ltd.</t>
  </si>
  <si>
    <t>4323133</t>
  </si>
  <si>
    <t>2605220893</t>
  </si>
  <si>
    <t>21204473</t>
  </si>
  <si>
    <t>ARROW ELECTRONICS INC HAZIQ ARROW COMPONENTS (M) SDN BHD</t>
  </si>
  <si>
    <t>030293835</t>
  </si>
  <si>
    <t>2605220892</t>
  </si>
  <si>
    <t>8363052-03</t>
  </si>
  <si>
    <t>GNVZQ3</t>
  </si>
  <si>
    <t>303670</t>
  </si>
  <si>
    <t>21127894</t>
  </si>
  <si>
    <t>336953</t>
  </si>
  <si>
    <t>IX113294</t>
  </si>
  <si>
    <t>M90289084</t>
  </si>
  <si>
    <t>030216195</t>
  </si>
  <si>
    <t>260511026</t>
  </si>
  <si>
    <t>COMPEQ MANUFACTURING CO.,LTD</t>
  </si>
  <si>
    <t>26060173GL</t>
  </si>
  <si>
    <t>Fukul Murata manufacturing Co., LTd</t>
  </si>
  <si>
    <t>1Z4R29Y30466339940</t>
  </si>
  <si>
    <t>12213-030292013-02305</t>
  </si>
  <si>
    <t>479812</t>
  </si>
  <si>
    <t>5535698423-32</t>
  </si>
  <si>
    <t>TMI2605006</t>
  </si>
  <si>
    <t>S18337640</t>
  </si>
  <si>
    <t>21188459</t>
  </si>
  <si>
    <t>950010437</t>
  </si>
  <si>
    <t>IX115101</t>
  </si>
  <si>
    <t>TH-I-260528-1</t>
  </si>
  <si>
    <t>THine Electronics, Inc.</t>
  </si>
  <si>
    <t>S18334765</t>
  </si>
  <si>
    <t>21188348</t>
  </si>
  <si>
    <t>42033719</t>
  </si>
  <si>
    <t>M90573324</t>
  </si>
  <si>
    <t>600001</t>
  </si>
  <si>
    <t>S18316780</t>
  </si>
  <si>
    <t>21210380</t>
  </si>
  <si>
    <t>MP20260528</t>
  </si>
  <si>
    <t>GOCPH7</t>
  </si>
  <si>
    <t>INV26/058473.INV26/058560</t>
  </si>
  <si>
    <t>2605290572</t>
  </si>
  <si>
    <t>21175204</t>
  </si>
  <si>
    <t>030194593</t>
  </si>
  <si>
    <t>ARROW USA AEC</t>
  </si>
  <si>
    <t>21164793</t>
  </si>
  <si>
    <t>TLD260475</t>
  </si>
  <si>
    <t>2605150656</t>
  </si>
  <si>
    <t>030364918</t>
  </si>
  <si>
    <t>F175-052526-001</t>
  </si>
  <si>
    <t>030301912</t>
  </si>
  <si>
    <t>1182747784</t>
  </si>
  <si>
    <t>AVNET ASIA PTE LTD C/O AVNET TECH HONG KONG LTD</t>
  </si>
  <si>
    <t>80861</t>
  </si>
  <si>
    <t>5535847356</t>
  </si>
  <si>
    <t>C/O KINTETSU WORLD EXPRESS ( CHINA ) TEXAS INSTRUMENTS ASIA LIMITED</t>
  </si>
  <si>
    <t>F175-052326-048</t>
  </si>
  <si>
    <t>05272026</t>
  </si>
  <si>
    <t>AS26US004761</t>
  </si>
  <si>
    <t>21227640</t>
  </si>
  <si>
    <t>5535718993-9008</t>
  </si>
  <si>
    <t>21166978</t>
  </si>
  <si>
    <t>5535685741</t>
  </si>
  <si>
    <t>Texas Instruments Southeast Asia Pt</t>
  </si>
  <si>
    <t>231-26N6A0005</t>
  </si>
  <si>
    <t>AS26US004966</t>
  </si>
  <si>
    <t>26060271GM</t>
  </si>
  <si>
    <t>876121</t>
  </si>
  <si>
    <t>5535965649&amp;56-58</t>
  </si>
  <si>
    <t>Texas Instruments Southeast Asia Pte Ltd c/o DHL Supply Chain SGP P/L</t>
  </si>
  <si>
    <t>SAM20260603</t>
  </si>
  <si>
    <t>954056</t>
  </si>
  <si>
    <t>Digi-Key Electronics</t>
  </si>
  <si>
    <t>31869227 RI-228 RI</t>
  </si>
  <si>
    <t>KINGSTON TECHNOLOGY FAR EAST CORP</t>
  </si>
  <si>
    <t>AS26US005015</t>
  </si>
  <si>
    <t>42033355</t>
  </si>
  <si>
    <t>S18341010</t>
  </si>
  <si>
    <t>IV2026060102</t>
  </si>
  <si>
    <t>94494596</t>
  </si>
  <si>
    <t>R26US030797</t>
  </si>
  <si>
    <t>5536098679</t>
  </si>
  <si>
    <t>2602931</t>
  </si>
  <si>
    <t>5534066347&amp;50&amp;54&amp;73</t>
  </si>
  <si>
    <t>4319723</t>
  </si>
  <si>
    <t>2605294095</t>
  </si>
  <si>
    <t>5536100118</t>
  </si>
  <si>
    <t>5534366218</t>
  </si>
  <si>
    <t>7742246-44</t>
  </si>
  <si>
    <t>4321231</t>
  </si>
  <si>
    <t>5535714821-25</t>
  </si>
  <si>
    <t>21183389</t>
  </si>
  <si>
    <t>5536011896-99</t>
  </si>
  <si>
    <t>341188</t>
  </si>
  <si>
    <t>UHK-1071/26</t>
  </si>
  <si>
    <t>F175-042726-078</t>
  </si>
  <si>
    <t>7589881-08</t>
  </si>
  <si>
    <t>4323598</t>
  </si>
  <si>
    <t>HVSZ26061689</t>
  </si>
  <si>
    <t>KRM26CI021</t>
  </si>
  <si>
    <t>SHENZHEN KERAIMEI PRECISION HARDWARE CO.,LTD</t>
  </si>
  <si>
    <t>5535696079</t>
  </si>
  <si>
    <t>2026060401</t>
  </si>
  <si>
    <t>ACE Technology (Taiwan) Co., LTD.</t>
  </si>
  <si>
    <t>X07202606-056</t>
  </si>
  <si>
    <t>5535795467</t>
  </si>
  <si>
    <t>341228</t>
  </si>
  <si>
    <t>94516897</t>
  </si>
  <si>
    <t>5536017250</t>
  </si>
  <si>
    <t>VEN20260601</t>
  </si>
  <si>
    <t>5535952918</t>
  </si>
  <si>
    <t>UNIGEN-20260521466</t>
  </si>
  <si>
    <t>SZ-26077</t>
  </si>
  <si>
    <t>07870</t>
  </si>
  <si>
    <t>KYOCERA AVX Components (Asia) Limited</t>
  </si>
  <si>
    <t>342177</t>
  </si>
  <si>
    <t>DHL SUPPLY CHAIN MGMT PHILS INC O/B  ANALOG DEVICES INTERNATIONAL UC</t>
  </si>
  <si>
    <t>7736434</t>
  </si>
  <si>
    <t>4327426</t>
  </si>
  <si>
    <t>13261-548683</t>
  </si>
  <si>
    <t>341316</t>
  </si>
  <si>
    <t>PLISGFE00430</t>
  </si>
  <si>
    <t>00190474</t>
  </si>
  <si>
    <t>M90485688</t>
  </si>
  <si>
    <t>S18346476-77</t>
  </si>
  <si>
    <t>GOILP9.LQ0</t>
  </si>
  <si>
    <t>2606053885</t>
  </si>
  <si>
    <t>2602972</t>
  </si>
  <si>
    <t>5171889&amp;89-D01</t>
  </si>
  <si>
    <t>5535981271.90</t>
  </si>
  <si>
    <t>TEXAS INSTRUMENTS S.E.A. PTE LTD</t>
  </si>
  <si>
    <t>342576</t>
  </si>
  <si>
    <t>C/O DHL Supply Chain Mgnt Phils ANALOG DEVICES GEN. TRIAS, INC.</t>
  </si>
  <si>
    <t>5536182452</t>
  </si>
  <si>
    <t>R2R c/o DHL Supply Chain SGP P/L Texas Instruments Southeast Asia PL</t>
  </si>
  <si>
    <t>S18345106</t>
  </si>
  <si>
    <t>M90594553</t>
  </si>
  <si>
    <t>342607</t>
  </si>
  <si>
    <t>4003465965</t>
  </si>
  <si>
    <t>Sandisk Storage sdn. Bhd</t>
  </si>
  <si>
    <t>5536002342</t>
  </si>
  <si>
    <t>00190794</t>
  </si>
  <si>
    <t>GOHDO7</t>
  </si>
  <si>
    <t>CA</t>
  </si>
  <si>
    <t>HKHPG260658</t>
  </si>
  <si>
    <t>26AB000471</t>
  </si>
  <si>
    <t>3842756</t>
  </si>
  <si>
    <t>26AB000335</t>
  </si>
  <si>
    <t>F175-042326-039</t>
  </si>
  <si>
    <t>3842799</t>
  </si>
  <si>
    <t>PLISGFE00447</t>
  </si>
  <si>
    <t>2606040382</t>
  </si>
  <si>
    <t>GDJS20260605-019</t>
  </si>
  <si>
    <t>AS26DE004417</t>
  </si>
  <si>
    <t>5536175017</t>
  </si>
  <si>
    <t>13261-550061</t>
  </si>
  <si>
    <t>5536306679</t>
  </si>
  <si>
    <t>5536110833</t>
  </si>
  <si>
    <t>HWHPH2602140</t>
  </si>
  <si>
    <t>260526PUUG1</t>
  </si>
  <si>
    <t>5536359684</t>
  </si>
  <si>
    <t>5536317841</t>
  </si>
  <si>
    <t>5535981037</t>
  </si>
  <si>
    <t>2606050811</t>
  </si>
  <si>
    <t>5536271927</t>
  </si>
  <si>
    <t>5536360276&amp;5536360277</t>
  </si>
  <si>
    <t>5535799098</t>
  </si>
  <si>
    <t>F175-060926-054</t>
  </si>
  <si>
    <t>3862031</t>
  </si>
  <si>
    <t>060526</t>
  </si>
  <si>
    <t>030393877</t>
  </si>
  <si>
    <t>SN20260529-033</t>
  </si>
  <si>
    <t>INV26/058654</t>
  </si>
  <si>
    <t>Vltalsystem Technology Pte Ltd</t>
  </si>
  <si>
    <t>2026SG0408752-54</t>
  </si>
  <si>
    <t>SN20260605-047</t>
  </si>
  <si>
    <t>127115465</t>
  </si>
  <si>
    <t>VENKEL20260526</t>
  </si>
  <si>
    <t>PSHPH2660016</t>
  </si>
  <si>
    <t>175-2660004</t>
  </si>
  <si>
    <t>PSHPH2660028</t>
  </si>
  <si>
    <t>260610144-45</t>
  </si>
  <si>
    <t>20260605</t>
  </si>
  <si>
    <t>TXC2606CW008</t>
  </si>
  <si>
    <t>8XN5984</t>
  </si>
  <si>
    <t>1591CUE</t>
  </si>
  <si>
    <t>8XN5981</t>
  </si>
  <si>
    <t>1591CUB</t>
  </si>
  <si>
    <t>8XN5985</t>
  </si>
  <si>
    <t>1591CUF</t>
  </si>
  <si>
    <t>8XN5982</t>
  </si>
  <si>
    <t>1591CUC</t>
  </si>
  <si>
    <t>8XN5980</t>
  </si>
  <si>
    <t>1591CUA</t>
  </si>
  <si>
    <t>8XN5986</t>
  </si>
  <si>
    <t>1591CUG</t>
  </si>
  <si>
    <t>8XN5978</t>
  </si>
  <si>
    <t>1591CU8</t>
  </si>
  <si>
    <t>8XN5983</t>
  </si>
  <si>
    <t>1591CUD</t>
  </si>
  <si>
    <t>8XN5979</t>
  </si>
  <si>
    <t>1591CU9</t>
  </si>
  <si>
    <t>KJW055260610023&amp;26</t>
  </si>
  <si>
    <t>VEN20260608</t>
  </si>
  <si>
    <t>L9X0047912</t>
  </si>
  <si>
    <t>5536396584</t>
  </si>
  <si>
    <t>Texas Instruments Incorporated TI Santa Clara A/T</t>
  </si>
  <si>
    <t>S24368</t>
  </si>
  <si>
    <t>UNIGEN-20260609471</t>
  </si>
  <si>
    <t>7140.52000</t>
  </si>
  <si>
    <t>UNIGEN-20260603470</t>
  </si>
  <si>
    <t>15765223</t>
  </si>
  <si>
    <t>2026061106</t>
  </si>
  <si>
    <t>AMPHENOL MOBILE CONNECTOR SOLUTIONS CZ</t>
  </si>
  <si>
    <t>1182739086</t>
  </si>
  <si>
    <t>5536121509</t>
  </si>
  <si>
    <t>4323986</t>
  </si>
  <si>
    <t>8XN5993</t>
  </si>
  <si>
    <t>1591CUV</t>
  </si>
  <si>
    <t>8XN5997</t>
  </si>
  <si>
    <t>1591CUZ</t>
  </si>
  <si>
    <t>8XN6019</t>
  </si>
  <si>
    <t>1591CVM</t>
  </si>
  <si>
    <t>8XN5991</t>
  </si>
  <si>
    <t>1591CUT</t>
  </si>
  <si>
    <t>8XN6004</t>
  </si>
  <si>
    <t>1591CV6</t>
  </si>
  <si>
    <t>8XN6011</t>
  </si>
  <si>
    <t>1591CVD</t>
  </si>
  <si>
    <t>8XN5992</t>
  </si>
  <si>
    <t>1591CUU</t>
  </si>
  <si>
    <t>8XN5994</t>
  </si>
  <si>
    <t>1591CUW</t>
  </si>
  <si>
    <t>8XN5995</t>
  </si>
  <si>
    <t>1591CUX</t>
  </si>
  <si>
    <t>8XN6008</t>
  </si>
  <si>
    <t>1591CVA</t>
  </si>
  <si>
    <t>8XN5996</t>
  </si>
  <si>
    <t>1591CUY</t>
  </si>
  <si>
    <t>8XN6009</t>
  </si>
  <si>
    <t>1591CVB</t>
  </si>
  <si>
    <t>8XN5999</t>
  </si>
  <si>
    <t>1591CV1</t>
  </si>
  <si>
    <t>8XN6010</t>
  </si>
  <si>
    <t>1591CVC</t>
  </si>
  <si>
    <t>8XN6000</t>
  </si>
  <si>
    <t>1591CV2</t>
  </si>
  <si>
    <t>8XN6012</t>
  </si>
  <si>
    <t>1591CVE</t>
  </si>
  <si>
    <t>8XN6001</t>
  </si>
  <si>
    <t>1591CV3</t>
  </si>
  <si>
    <t>8XN6014</t>
  </si>
  <si>
    <t>1591CVG</t>
  </si>
  <si>
    <t>8XN6002</t>
  </si>
  <si>
    <t>1591CV4</t>
  </si>
  <si>
    <t>8XN6006</t>
  </si>
  <si>
    <t>1591CV8</t>
  </si>
  <si>
    <t>8XN6015</t>
  </si>
  <si>
    <t>1591CVH</t>
  </si>
  <si>
    <t>8XN5998</t>
  </si>
  <si>
    <t>1591CV0</t>
  </si>
  <si>
    <t>8XN6007</t>
  </si>
  <si>
    <t>1591CV9</t>
  </si>
  <si>
    <t>8XN6013</t>
  </si>
  <si>
    <t>1591CVF</t>
  </si>
  <si>
    <t>8XN6016</t>
  </si>
  <si>
    <t>1591CVJ</t>
  </si>
  <si>
    <t>8XN6017</t>
  </si>
  <si>
    <t>1591CVK</t>
  </si>
  <si>
    <t>8XN6018</t>
  </si>
  <si>
    <t>1591CVL</t>
  </si>
  <si>
    <t>8XN6051</t>
  </si>
  <si>
    <t>1591CWL</t>
  </si>
  <si>
    <t>8XN6050</t>
  </si>
  <si>
    <t>1591CWK</t>
  </si>
  <si>
    <t>8XN6003</t>
  </si>
  <si>
    <t>1591CV5</t>
  </si>
  <si>
    <t>8XN6005</t>
  </si>
  <si>
    <t>1591CV7</t>
  </si>
  <si>
    <t>8XN6054</t>
  </si>
  <si>
    <t>15W1S77</t>
  </si>
  <si>
    <t>8XN6065</t>
  </si>
  <si>
    <t>15W1S7J</t>
  </si>
  <si>
    <t>8XN6058</t>
  </si>
  <si>
    <t>15W1S7B</t>
  </si>
  <si>
    <t>8XN6062</t>
  </si>
  <si>
    <t>15W1S7F</t>
  </si>
  <si>
    <t>8XN6066</t>
  </si>
  <si>
    <t>15W1S7K</t>
  </si>
  <si>
    <t>8XN6059</t>
  </si>
  <si>
    <t>15W1S7C</t>
  </si>
  <si>
    <t>8XN6063</t>
  </si>
  <si>
    <t>15W1S7G</t>
  </si>
  <si>
    <t>8XN6067</t>
  </si>
  <si>
    <t>15W1S7L</t>
  </si>
  <si>
    <t>8XN6061</t>
  </si>
  <si>
    <t>15W1S7E</t>
  </si>
  <si>
    <t>8XN6060</t>
  </si>
  <si>
    <t>15W1S7D</t>
  </si>
  <si>
    <t>8XN6064</t>
  </si>
  <si>
    <t>15W1S7H</t>
  </si>
  <si>
    <t>8XN6053</t>
  </si>
  <si>
    <t>15W1S76</t>
  </si>
  <si>
    <t>8XN6052</t>
  </si>
  <si>
    <t>15W1S75</t>
  </si>
  <si>
    <t>8XN5990</t>
  </si>
  <si>
    <t>1591CUS</t>
  </si>
  <si>
    <t>8XN6055</t>
  </si>
  <si>
    <t>15W1S78</t>
  </si>
  <si>
    <t>8XN6056</t>
  </si>
  <si>
    <t>15W1S79</t>
  </si>
  <si>
    <t>260610390</t>
  </si>
  <si>
    <t>8XN6057</t>
  </si>
  <si>
    <t>15W1S7A</t>
  </si>
  <si>
    <t>F175-061126-067</t>
  </si>
  <si>
    <t>570795</t>
  </si>
  <si>
    <t>UV110626</t>
  </si>
  <si>
    <t>42162764</t>
  </si>
  <si>
    <t>231-26N6A0253</t>
  </si>
  <si>
    <t>LIPERS ENTERPRISE CO., LTD</t>
  </si>
  <si>
    <t>MSP SZ 20260608-01</t>
  </si>
  <si>
    <t>4330998</t>
  </si>
  <si>
    <t>PLISGFE00466</t>
  </si>
  <si>
    <t>00191162</t>
  </si>
  <si>
    <t>341924</t>
  </si>
  <si>
    <t>DHL SUPPLY CHAIN MGMT PHILS. INC O/B ANALOG DEVICES INTERNATIONAL UC</t>
  </si>
  <si>
    <t>5536465360</t>
  </si>
  <si>
    <t>21244414</t>
  </si>
  <si>
    <t>ARROW COMPONENTS MEXICO S.A. De C.V</t>
  </si>
  <si>
    <t>21279564</t>
  </si>
  <si>
    <t>21244406</t>
  </si>
  <si>
    <t>21286766</t>
  </si>
  <si>
    <t>21279566</t>
  </si>
  <si>
    <t>7851270-01</t>
  </si>
  <si>
    <t>SLS.1545889</t>
  </si>
  <si>
    <t>M90624425</t>
  </si>
  <si>
    <t>2026SG0409160-61</t>
  </si>
  <si>
    <t>21278397</t>
  </si>
  <si>
    <t>21279567</t>
  </si>
  <si>
    <t>21279592</t>
  </si>
  <si>
    <t>21279559</t>
  </si>
  <si>
    <t>21288195</t>
  </si>
  <si>
    <t>ADF-260615121</t>
  </si>
  <si>
    <t>386813907</t>
  </si>
  <si>
    <t>´TTI ELECTRONICS ASIA PTE LTD</t>
  </si>
  <si>
    <t>GOLNN0-1</t>
  </si>
  <si>
    <t>21262974</t>
  </si>
  <si>
    <t>2026061012</t>
  </si>
  <si>
    <t>5536331492</t>
  </si>
  <si>
    <t>4327966</t>
  </si>
  <si>
    <t>4327927</t>
  </si>
  <si>
    <t>4328000</t>
  </si>
  <si>
    <t>4328117</t>
  </si>
  <si>
    <t>4327699</t>
  </si>
  <si>
    <t>4328095</t>
  </si>
  <si>
    <t>4327967</t>
  </si>
  <si>
    <t>4327840</t>
  </si>
  <si>
    <t>4330432</t>
  </si>
  <si>
    <t>4328055</t>
  </si>
  <si>
    <t>4327909</t>
  </si>
  <si>
    <t>21291398</t>
  </si>
  <si>
    <t>´ARROW ELECTRONICS, INC.</t>
  </si>
  <si>
    <t>6141406-6141420-24</t>
  </si>
  <si>
    <t>260610615</t>
  </si>
  <si>
    <t>26K0113547</t>
  </si>
  <si>
    <t>1182751112</t>
  </si>
  <si>
    <t>5536563099-3107</t>
  </si>
  <si>
    <t>Texas Instruments Asia Limited c/o Kintetsu World Express (China)</t>
  </si>
  <si>
    <t>5536548090</t>
  </si>
  <si>
    <t>SHDY260601406</t>
  </si>
  <si>
    <t>BESS21260601</t>
  </si>
  <si>
    <t>957878</t>
  </si>
  <si>
    <t>4328057</t>
  </si>
  <si>
    <t>2606093940</t>
  </si>
  <si>
    <t>348699</t>
  </si>
  <si>
    <t>2026SG0409237-38</t>
  </si>
  <si>
    <t>2606120681</t>
  </si>
  <si>
    <t>030475680</t>
  </si>
  <si>
    <t>PSHPH2660068</t>
  </si>
  <si>
    <t>175-2660011</t>
  </si>
  <si>
    <t>231-26N6A0350</t>
  </si>
  <si>
    <t>81248</t>
  </si>
  <si>
    <t>5536390173-74</t>
  </si>
  <si>
    <t>5536325567-70</t>
  </si>
  <si>
    <t>VENKEL260615</t>
  </si>
  <si>
    <t>Venkel LTD</t>
  </si>
  <si>
    <t>UC-2606171</t>
  </si>
  <si>
    <t>5536483873-82</t>
  </si>
  <si>
    <t>2603209</t>
  </si>
  <si>
    <t>8XN6082</t>
  </si>
  <si>
    <t>1591CY1</t>
  </si>
  <si>
    <t>8XN6078</t>
  </si>
  <si>
    <t>1591CXX</t>
  </si>
  <si>
    <t>8XN6081</t>
  </si>
  <si>
    <t>1591CY0</t>
  </si>
  <si>
    <t>8XN6085</t>
  </si>
  <si>
    <t>1591CY4</t>
  </si>
  <si>
    <t>8XN6079</t>
  </si>
  <si>
    <t>1591CXY</t>
  </si>
  <si>
    <t>8XN6084</t>
  </si>
  <si>
    <t>1591CY3</t>
  </si>
  <si>
    <t>8XN6080</t>
  </si>
  <si>
    <t>1591CXZ</t>
  </si>
  <si>
    <t>8XN6083</t>
  </si>
  <si>
    <t>1591CY2</t>
  </si>
  <si>
    <t>SAE26060178</t>
  </si>
  <si>
    <t>3865989</t>
  </si>
  <si>
    <t>1182765395</t>
  </si>
  <si>
    <t>1630413278</t>
  </si>
  <si>
    <t>KYOCERA AVX Components ( Asia ) Limited</t>
  </si>
  <si>
    <t>7753101</t>
  </si>
  <si>
    <t>Element14 Pte Ltd</t>
  </si>
  <si>
    <t>2455602</t>
  </si>
  <si>
    <t>Rand Technology (HK) Limited</t>
  </si>
  <si>
    <t>5536710948-49</t>
  </si>
  <si>
    <t>CYM20260617</t>
  </si>
  <si>
    <t>2606115728</t>
  </si>
  <si>
    <t>5536793502-03-04</t>
  </si>
  <si>
    <t>2603238</t>
  </si>
  <si>
    <t>Steadfast Industrial Pte Ltd</t>
  </si>
  <si>
    <t>90129542</t>
  </si>
  <si>
    <t>950010630-31</t>
  </si>
  <si>
    <t>061626</t>
  </si>
  <si>
    <t>2026061806</t>
  </si>
  <si>
    <t>8244250-01</t>
  </si>
  <si>
    <t>8XN6097</t>
  </si>
  <si>
    <t>1591CZG</t>
  </si>
  <si>
    <t>8XN6094</t>
  </si>
  <si>
    <t>1591CZD</t>
  </si>
  <si>
    <t>8XN6095</t>
  </si>
  <si>
    <t>1591CZE</t>
  </si>
  <si>
    <t>8XN6096</t>
  </si>
  <si>
    <t>1591CZF</t>
  </si>
  <si>
    <t>8XN6098</t>
  </si>
  <si>
    <t>1591CZH</t>
  </si>
  <si>
    <t>8XN6099</t>
  </si>
  <si>
    <t>1591CZJ</t>
  </si>
  <si>
    <t>8XN6100</t>
  </si>
  <si>
    <t>1591CZK</t>
  </si>
  <si>
    <t>8XN6101</t>
  </si>
  <si>
    <t>1591CZL</t>
  </si>
  <si>
    <t>8XN6102</t>
  </si>
  <si>
    <t>1591CZM</t>
  </si>
  <si>
    <t>8XN6103</t>
  </si>
  <si>
    <t>1591CZN</t>
  </si>
  <si>
    <t>8XN6104</t>
  </si>
  <si>
    <t>1591CZP</t>
  </si>
  <si>
    <t>8XN6105</t>
  </si>
  <si>
    <t>1591CZR</t>
  </si>
  <si>
    <t>8XN6106</t>
  </si>
  <si>
    <t>1591CZS</t>
  </si>
  <si>
    <t>8XN6107</t>
  </si>
  <si>
    <t>1591CZT</t>
  </si>
  <si>
    <t>4327989</t>
  </si>
  <si>
    <t>IX115807</t>
  </si>
  <si>
    <t>AP20260612</t>
  </si>
  <si>
    <t>4335215</t>
  </si>
  <si>
    <t>Avnet - Chandler</t>
  </si>
  <si>
    <t>2606183652</t>
  </si>
  <si>
    <t>1Z75A9570473500062</t>
  </si>
  <si>
    <t>42224918</t>
  </si>
  <si>
    <t>350378</t>
  </si>
  <si>
    <t>030535936</t>
  </si>
  <si>
    <t>4003468456</t>
  </si>
  <si>
    <t>4003470480</t>
  </si>
  <si>
    <t>5536548061</t>
  </si>
  <si>
    <t>Texas Instruments Southeast Asia Pte Ltd</t>
  </si>
  <si>
    <t>42214475</t>
  </si>
  <si>
    <t>ARROW GERMANY C/o Arrow Central Europe</t>
  </si>
  <si>
    <t>IN26060157</t>
  </si>
  <si>
    <t>030536962</t>
  </si>
  <si>
    <t>4327899</t>
  </si>
  <si>
    <t>4327698</t>
  </si>
  <si>
    <t>6149514</t>
  </si>
  <si>
    <t>15760152</t>
  </si>
  <si>
    <t>030506336</t>
  </si>
  <si>
    <t>M90793563</t>
  </si>
  <si>
    <t>Mouser Electronics Inc</t>
  </si>
  <si>
    <t>4003470862</t>
  </si>
  <si>
    <t>21338560</t>
  </si>
  <si>
    <t>Arrow Components Mexico S.A. De C.V</t>
  </si>
  <si>
    <t>7756255</t>
  </si>
  <si>
    <t>350785</t>
  </si>
  <si>
    <t>SL2606180018</t>
  </si>
  <si>
    <t>5536784151</t>
  </si>
  <si>
    <t>c/o KWE Logistics (Shenzhen) Texas Instruments Asia Limited</t>
  </si>
  <si>
    <t>IX117156</t>
  </si>
  <si>
    <t>1182765168</t>
  </si>
  <si>
    <t>5536946045.46</t>
  </si>
  <si>
    <t>5536828985</t>
  </si>
  <si>
    <t>5536823979</t>
  </si>
  <si>
    <t>F175-061926-050</t>
  </si>
  <si>
    <t>2606190540</t>
  </si>
  <si>
    <t>15813027</t>
  </si>
  <si>
    <t>ARROW JAPAN G.K.</t>
  </si>
  <si>
    <t>21338558</t>
  </si>
  <si>
    <t>UNIGEN-20260616473</t>
  </si>
  <si>
    <t>SINO FAITH TECHNOLOGY DEVELOPMENT LTD.</t>
  </si>
  <si>
    <t>Everpure Inc Formerly Pure Storage</t>
  </si>
  <si>
    <t>15868725</t>
  </si>
  <si>
    <t>SN20260618-057</t>
  </si>
  <si>
    <t>1ZG2B4810404756811</t>
  </si>
  <si>
    <t>90896179</t>
  </si>
  <si>
    <t>PLISGFE00513</t>
  </si>
  <si>
    <t>715752</t>
  </si>
  <si>
    <t>7140/41000</t>
  </si>
  <si>
    <t>Pure Storage Inc</t>
  </si>
  <si>
    <t>END2605201435I</t>
  </si>
  <si>
    <t>202605032</t>
  </si>
  <si>
    <t>INM226060002</t>
  </si>
  <si>
    <t>PURE1089134</t>
  </si>
  <si>
    <t>SHYFT GLOBAL SERVICES</t>
  </si>
  <si>
    <t>Z100233</t>
  </si>
  <si>
    <t>AIC20260609</t>
  </si>
  <si>
    <t>5100024854</t>
  </si>
  <si>
    <t>PANASONIC FACTORY SOLUTIONS ASIA PACIFIC PTE. LTD.</t>
  </si>
  <si>
    <t>202600383</t>
  </si>
  <si>
    <t>PURE1089236</t>
  </si>
  <si>
    <t>PURE1089236-2</t>
  </si>
  <si>
    <t>SHYFT GLOBAL SERVICES.</t>
  </si>
  <si>
    <t>507</t>
  </si>
  <si>
    <t>CONG TY TNHH CHE BIEN GO NAM SON</t>
  </si>
  <si>
    <t>00000818</t>
  </si>
  <si>
    <t>CÔNG TY TNHH BẢO HỘ LAO ĐỘNG VIỆT MỸ</t>
  </si>
  <si>
    <t>51</t>
  </si>
  <si>
    <t>PERITEC</t>
  </si>
  <si>
    <t>853</t>
  </si>
  <si>
    <t>Tousei Engineering Viet Nam</t>
  </si>
  <si>
    <t>73</t>
  </si>
  <si>
    <t>CONG TY TNHH KINZO VIET NAM</t>
  </si>
  <si>
    <t>00000714</t>
  </si>
  <si>
    <t>CONG TY TNHH PHAT TRIEN THUONG MAI THANH DAT</t>
  </si>
  <si>
    <t>372</t>
  </si>
  <si>
    <t>CONG TY TNHH JHD VINA</t>
  </si>
  <si>
    <t>00000180</t>
  </si>
  <si>
    <t>CONG TY TNHH RMG TECHNOLOGIES VIETNAM</t>
  </si>
  <si>
    <t>54</t>
  </si>
  <si>
    <t>CONG TY TNHH CO KHI ZCTECH</t>
  </si>
  <si>
    <t>00000251</t>
  </si>
  <si>
    <t>CONG TY TNHH CONG NGHIEP T&amp;T VINA</t>
  </si>
  <si>
    <t>349</t>
  </si>
  <si>
    <t>THAKRAL ONE</t>
  </si>
  <si>
    <t>89</t>
  </si>
  <si>
    <t>16336</t>
  </si>
  <si>
    <t>CONG TY TNHH TOAN THINH</t>
  </si>
  <si>
    <t>389</t>
  </si>
  <si>
    <t>CONG TY TNHH THAKRAL ONE - CHI NHANH TAI HA NOI</t>
  </si>
  <si>
    <t>117</t>
  </si>
  <si>
    <t>CONG TY TNHH CONG NGHE CAO APOLLO VIET NAM</t>
  </si>
  <si>
    <t>00000779</t>
  </si>
  <si>
    <t>CONG TY TNHH CONG NGHIEP VA DICH VU VIET NAM</t>
  </si>
  <si>
    <t/>
  </si>
  <si>
    <t>362</t>
  </si>
  <si>
    <t>CôNG TY TNHH JHD VINA</t>
  </si>
  <si>
    <t>1283</t>
  </si>
  <si>
    <t>CONG TY TNHH DAU TU VA PHAT TRIEN THIET BI CONG NGHIEP HOANG HA</t>
  </si>
  <si>
    <t>0000349</t>
  </si>
  <si>
    <t>CONG TY TNHH SYNTHETIC CHEMICAL VINA</t>
  </si>
  <si>
    <t>00000893</t>
  </si>
  <si>
    <t>HAORUI VIET NAM</t>
  </si>
  <si>
    <t>YFYJ-PUR 260526 GS</t>
  </si>
  <si>
    <t>CONG TY CO PHAN IN VA BAO BI GOLDSUN</t>
  </si>
  <si>
    <t>YFYJ-PUR 250526 JS</t>
  </si>
  <si>
    <t>CONG TY TNHH JINSUNG ELECTRONIC &amp; INDUSTRIAL SUPPLY</t>
  </si>
  <si>
    <t>YFYJ-PUR 250526 TV</t>
  </si>
  <si>
    <t>CONG TY TNHH SAN XUAT VÀ KINH DOANH THINH VUONG</t>
  </si>
  <si>
    <t>YFYJ-PUR 2505 PROWAY</t>
  </si>
  <si>
    <t>CONG TY TNHH PROWAY VINA</t>
  </si>
  <si>
    <t>SP-UNIGEN-052626-01&amp;02</t>
  </si>
  <si>
    <t>CONG TY CO PHAN CONG NGHIEP KIMSEN</t>
  </si>
  <si>
    <t>UVH-05/26</t>
  </si>
  <si>
    <t>CHI NHANH CUA CONG TY TNHH EPE PACKAGING VN</t>
  </si>
  <si>
    <t>VN20260604003</t>
  </si>
  <si>
    <t>CTY TNHH W&amp;B TECHNOLOGY</t>
  </si>
  <si>
    <t>00000534</t>
  </si>
  <si>
    <t>CONG TY TNHH CONG NGHIEP DINH OC EVERGREEN (VIET NAM)</t>
  </si>
  <si>
    <t>IPTH260612-UNI</t>
  </si>
  <si>
    <t>CONG TY TNHH CONG NGHE CHINH XAC INTERPLEX (HA NOI)</t>
  </si>
  <si>
    <t>VN20260610002</t>
  </si>
  <si>
    <t>CTY TNHH W&amp;B TECHNOLOGY (VIET NA</t>
  </si>
  <si>
    <t>VN20260619008</t>
  </si>
  <si>
    <t>0000348</t>
  </si>
  <si>
    <t>UHAN-INV06835</t>
  </si>
  <si>
    <t>UHAN-INV06842</t>
  </si>
  <si>
    <t>UHAN-INV06843</t>
  </si>
  <si>
    <t>UHAN-INV06846</t>
  </si>
  <si>
    <t>UHAN-INV06841</t>
  </si>
  <si>
    <t>UHAN-INV06840</t>
  </si>
  <si>
    <t>UHAN-INV06839</t>
  </si>
  <si>
    <t>UHAN-INV06858</t>
  </si>
  <si>
    <t>AIC Inc. Qingpu HQ</t>
  </si>
  <si>
    <t>UHAN-INV06847</t>
  </si>
  <si>
    <t>UHAN-INV06844</t>
  </si>
  <si>
    <t>UHAN-INV06857</t>
  </si>
  <si>
    <t>UHAN-INV06865</t>
  </si>
  <si>
    <t>UHAN-INV06859</t>
  </si>
  <si>
    <t>UHAN-INV06868</t>
  </si>
  <si>
    <t>UHAN-INV06869</t>
  </si>
  <si>
    <t>UHAN-INV06866</t>
  </si>
  <si>
    <t>UHAN-INV06870</t>
  </si>
  <si>
    <t>E01088</t>
  </si>
  <si>
    <t>UHAN-INV06876</t>
  </si>
  <si>
    <t>REGGIANI MACCHINE S.P.A.</t>
  </si>
  <si>
    <t>IT</t>
  </si>
  <si>
    <t>UHAN-INV06878</t>
  </si>
  <si>
    <t>UHAN-INV06879</t>
  </si>
  <si>
    <t>IL</t>
  </si>
  <si>
    <t>UHAN-INV06883</t>
  </si>
  <si>
    <t>UHAN-INV06880</t>
  </si>
  <si>
    <t>E01090</t>
  </si>
  <si>
    <t>UHAN-INV06886</t>
  </si>
  <si>
    <t>Everpure Inc</t>
  </si>
  <si>
    <t>UHAN-INV06887</t>
  </si>
  <si>
    <t>UHAN-INV06871</t>
  </si>
  <si>
    <t>UHAN-INV06882</t>
  </si>
  <si>
    <t>UHAN-INV06881</t>
  </si>
  <si>
    <t>UHAN-INV06888</t>
  </si>
  <si>
    <t>UHAN-INV06884</t>
  </si>
  <si>
    <t>UHAN-INV06885</t>
  </si>
  <si>
    <t>E5T2340826
E5T2340827</t>
  </si>
  <si>
    <t>25T0348052</t>
  </si>
  <si>
    <t>E5T2341628
E5T2341629</t>
  </si>
  <si>
    <t>25T0348083</t>
  </si>
  <si>
    <t>E5T2341625
E5T2341624</t>
  </si>
  <si>
    <t>25T0348125</t>
  </si>
  <si>
    <t>E5T2341621
E5T2341623</t>
  </si>
  <si>
    <t>25T0348127</t>
  </si>
  <si>
    <t>E5T2360265
E5T2360264</t>
  </si>
  <si>
    <t>25T0349961</t>
  </si>
  <si>
    <t>E5T2362892
E5T2362891</t>
  </si>
  <si>
    <t>25T0350085</t>
  </si>
  <si>
    <t xml:space="preserve">LIPERS ENTERPRISE CO., LTD.   </t>
  </si>
  <si>
    <t xml:space="preserve">Pencom Ltd.                   </t>
  </si>
  <si>
    <t xml:space="preserve">AMPHENOL EAST ASIA LTD        </t>
  </si>
  <si>
    <t>C26TEP00115895
C26TEP00115894</t>
  </si>
  <si>
    <t>C26TEP00123471
C26TEP00123470</t>
  </si>
  <si>
    <t>C26TEP00123472
C26TEP00123473</t>
  </si>
  <si>
    <t>C26TEP00123475
C26TEP00123474</t>
  </si>
  <si>
    <t>C26TEP00135436
C26TEP00135437</t>
  </si>
  <si>
    <t>C26TEP00137423
C26TEP00137422</t>
  </si>
  <si>
    <t>MNN/HPH/01186</t>
  </si>
  <si>
    <t>RU2605-006</t>
  </si>
  <si>
    <t>LSHHPH2605036</t>
  </si>
  <si>
    <t xml:space="preserve"> FWA2605025</t>
  </si>
  <si>
    <t>LSHHPH2605617</t>
  </si>
  <si>
    <t>CP251229</t>
  </si>
  <si>
    <t>MNN/HPH/01202</t>
  </si>
  <si>
    <t>RU2605-007</t>
  </si>
  <si>
    <t>2PLT</t>
  </si>
  <si>
    <t>8PLT</t>
  </si>
  <si>
    <t>3PLT</t>
  </si>
  <si>
    <t>HANIR00185720</t>
  </si>
  <si>
    <t>HANIR00185719</t>
  </si>
  <si>
    <t>HANR000273014</t>
  </si>
  <si>
    <t>SUNLORD?ELECTRONICS?TECHNOLOGY?PTE.?LTD</t>
  </si>
  <si>
    <t>SINO FAITH TECHNOLOGY DEVELOPMENT L</t>
  </si>
  <si>
    <t>FUSION ADVANTEC CO., LTD.</t>
  </si>
  <si>
    <t>G</t>
  </si>
  <si>
    <t>Other charge</t>
  </si>
  <si>
    <t>HANIR00186862</t>
  </si>
  <si>
    <t>HANIR00188035</t>
  </si>
  <si>
    <t>PICK UP SATURDAY</t>
  </si>
  <si>
    <t>Other</t>
  </si>
  <si>
    <t>Jun-26 Total</t>
  </si>
  <si>
    <t>INV06841</t>
  </si>
  <si>
    <t>INV06840</t>
  </si>
  <si>
    <t>INV06839</t>
  </si>
  <si>
    <t>INV06844</t>
  </si>
  <si>
    <t>INV06857</t>
  </si>
  <si>
    <t>INV06859</t>
  </si>
  <si>
    <t>INV06866</t>
  </si>
  <si>
    <t>INV06870</t>
  </si>
  <si>
    <t>INV06880</t>
  </si>
  <si>
    <t>INV06871</t>
  </si>
  <si>
    <t>INV06882</t>
  </si>
  <si>
    <t>INV06881</t>
  </si>
  <si>
    <t>INV06884</t>
  </si>
  <si>
    <t>INV06885</t>
  </si>
  <si>
    <t>INV06835</t>
  </si>
  <si>
    <t>INV06843</t>
  </si>
  <si>
    <t>INV06868</t>
  </si>
  <si>
    <t>INV06876</t>
  </si>
  <si>
    <t>INV06879</t>
  </si>
  <si>
    <t>INV06888</t>
  </si>
  <si>
    <t>INV06846</t>
  </si>
  <si>
    <t>INV06847</t>
  </si>
  <si>
    <t>INV06865</t>
  </si>
  <si>
    <t>INV06878</t>
  </si>
  <si>
    <t>INV06887</t>
  </si>
  <si>
    <t>INV06886</t>
  </si>
  <si>
    <t>SF Express</t>
  </si>
  <si>
    <t>TNT</t>
  </si>
  <si>
    <t>E01086</t>
  </si>
  <si>
    <t>MRO Machine</t>
  </si>
  <si>
    <t>Evergreen</t>
  </si>
  <si>
    <t>INV06819</t>
  </si>
  <si>
    <t>Handle customs for wrong weight shipment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</si>
</sst>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 numFmtId="165" formatCode="_(* #,##0_);_(* \(#,##0\);_(* &quot;-&quot;??_);_(@_)"/>
    <numFmt numFmtId="166" formatCode="0000000"/>
    <numFmt numFmtId="167" formatCode="[$-409]d\-mmm;@"/>
    <numFmt numFmtId="168" formatCode="_(* #,##0.0_);_(* \(#,##0.0\);_(* &quot;-&quot;??_);_(@_)"/>
    <numFmt numFmtId="169" formatCode="_(* #,##0.00_);_(* \(#,##0.00\);_(* \-??_);_(@_)"/>
    <numFmt numFmtId="170" formatCode="_(* #,##0.000_);_(* \(#,##0.000\);_(* &quot;-&quot;??_);_(@_)"/>
    <numFmt numFmtId="171" formatCode="###,###,###,##0.0#####"/>
    <numFmt numFmtId="172" formatCode="_(&quot;$&quot;* #,##0_);_(&quot;$&quot;* \(#,##0\);_(&quot;$&quot;* &quot;-&quot;??_);_(@_)"/>
    <numFmt numFmtId="173" formatCode="[$-409]mmm\-yy;@"/>
    <numFmt numFmtId="174" formatCode="_(#,##0.0_*&quot;KG&quot;;_(&quot;$&quot;* \(#,##0.0\);_(&quot;$&quot;* &quot;-&quot;??_);_(@_)"/>
    <numFmt numFmtId="175" formatCode="_(#,##0.0_*&quot;KG&quot;;_(\(#,##0.0\)*;_(&quot;$&quot;* &quot;-&quot;??_);_(@_)"/>
    <numFmt numFmtId="176" formatCode="###,###,###,##0.0####"/>
    <numFmt numFmtId="177" formatCode="_(&quot;$&quot;* #,##0.000_);_(&quot;$&quot;* \(#,##0.000\);_(&quot;$&quot;* &quot;-&quot;??_);_(@_)"/>
    <numFmt numFmtId="178" formatCode="&quot;$&quot;#,##0"/>
    <numFmt numFmtId="179" formatCode="&quot;VND&quot;\ #,##0.00"/>
    <numFmt numFmtId="180" formatCode="&quot;VND&quot;\ #,##0"/>
    <numFmt numFmtId="181" formatCode="_([$VND]\ * #,##0_);_([$VND]\ * \(#,##0\);_([$VND]\ * &quot;-&quot;??_);_(@_)"/>
    <numFmt numFmtId="182" formatCode="_-* #,##0.00_-;\-* #,##0.00_-;_-* &quot;-&quot;??_-;_-@_-"/>
    <numFmt numFmtId="183" formatCode="mm\/dd\/yyyy"/>
    <numFmt numFmtId="184" formatCode="0.000%"/>
    <numFmt numFmtId="185" formatCode="0.0"/>
  </numFmts>
  <fonts count="99">
    <font>
      <sz val="11"/>
      <color theme="1"/>
      <name val="Calibri"/>
      <family val="2"/>
      <scheme val="minor"/>
    </font>
    <font>
      <sz val="11"/>
      <color theme="1"/>
      <name val="Calibri"/>
      <family val="2"/>
      <scheme val="minor"/>
    </font>
    <font>
      <b/>
      <sz val="11"/>
      <color theme="1"/>
      <name val="Calibri"/>
      <family val="2"/>
      <scheme val="minor"/>
    </font>
    <font>
      <b/>
      <sz val="13"/>
      <color rgb="FFFF0000"/>
      <name val="Calibri"/>
      <family val="2"/>
      <scheme val="minor"/>
    </font>
    <font>
      <b/>
      <sz val="11"/>
      <color rgb="FFFF0000"/>
      <name val="Calibri"/>
      <family val="2"/>
      <scheme val="minor"/>
    </font>
    <font>
      <sz val="11"/>
      <color indexed="8"/>
      <name val="Calibri"/>
      <family val="2"/>
    </font>
    <font>
      <b/>
      <sz val="9"/>
      <color indexed="81"/>
      <name val="Tahoma"/>
      <family val="2"/>
    </font>
    <font>
      <sz val="9"/>
      <color indexed="81"/>
      <name val="Tahoma"/>
      <family val="2"/>
    </font>
    <font>
      <sz val="11"/>
      <color theme="5" tint="-0.249977111117893"/>
      <name val="Calibri"/>
      <family val="2"/>
      <scheme val="minor"/>
    </font>
    <font>
      <b/>
      <sz val="11"/>
      <color theme="5" tint="-0.249977111117893"/>
      <name val="Calibri"/>
      <family val="2"/>
      <scheme val="minor"/>
    </font>
    <font>
      <b/>
      <sz val="12"/>
      <color theme="1"/>
      <name val="Times New Roman"/>
      <family val="1"/>
    </font>
    <font>
      <sz val="12"/>
      <name val="Times New Roman"/>
      <family val="1"/>
    </font>
    <font>
      <sz val="10"/>
      <name val=".VnTime"/>
      <family val="2"/>
    </font>
    <font>
      <sz val="9"/>
      <color theme="1"/>
      <name val="Tahoma"/>
      <family val="2"/>
    </font>
    <font>
      <sz val="11"/>
      <color rgb="FFC65911"/>
      <name val="Calibri"/>
      <family val="2"/>
      <scheme val="minor"/>
    </font>
    <font>
      <sz val="10"/>
      <color theme="5" tint="-0.249977111117893"/>
      <name val="Calibri"/>
      <family val="2"/>
      <scheme val="minor"/>
    </font>
    <font>
      <b/>
      <sz val="12"/>
      <color rgb="FF1E395B"/>
      <name val="Calibri"/>
      <family val="2"/>
      <scheme val="minor"/>
    </font>
    <font>
      <b/>
      <sz val="15"/>
      <color rgb="FFFF0000"/>
      <name val="Calibri"/>
      <family val="2"/>
      <scheme val="minor"/>
    </font>
    <font>
      <sz val="15"/>
      <color theme="1"/>
      <name val="Calibri"/>
      <family val="2"/>
      <scheme val="minor"/>
    </font>
    <font>
      <sz val="11"/>
      <color theme="1"/>
      <name val="Arial"/>
      <family val="2"/>
    </font>
    <font>
      <sz val="10"/>
      <name val="Arial"/>
      <family val="2"/>
    </font>
    <font>
      <sz val="10.5"/>
      <name val="Times New Roman"/>
      <family val="1"/>
    </font>
    <font>
      <sz val="11"/>
      <color rgb="FFFF0000"/>
      <name val="Calibri"/>
      <family val="2"/>
      <scheme val="minor"/>
    </font>
    <font>
      <sz val="9"/>
      <name val="Times New Roman"/>
      <family val="1"/>
    </font>
    <font>
      <sz val="10"/>
      <name val="Times New Roman"/>
      <family val="1"/>
    </font>
    <font>
      <b/>
      <sz val="25"/>
      <color rgb="FFFF0000"/>
      <name val="Calibri"/>
      <family val="2"/>
      <scheme val="minor"/>
    </font>
    <font>
      <sz val="10"/>
      <color indexed="8"/>
      <name val="Arial"/>
      <family val="2"/>
    </font>
    <font>
      <sz val="9"/>
      <name val="Arial"/>
      <family val="2"/>
    </font>
    <font>
      <b/>
      <sz val="12"/>
      <name val="Times New Roman"/>
      <family val="1"/>
    </font>
    <font>
      <sz val="11"/>
      <color indexed="81"/>
      <name val="Tahoma"/>
      <family val="2"/>
    </font>
    <font>
      <b/>
      <sz val="11"/>
      <color indexed="81"/>
      <name val="Tahoma"/>
      <family val="2"/>
    </font>
    <font>
      <b/>
      <sz val="13"/>
      <color theme="1"/>
      <name val="Calibri"/>
      <family val="2"/>
      <scheme val="minor"/>
    </font>
    <font>
      <sz val="11"/>
      <name val="Times New Roman"/>
      <family val="1"/>
    </font>
    <font>
      <sz val="9"/>
      <color rgb="FFFF0000"/>
      <name val="Times New Roman"/>
      <family val="1"/>
    </font>
    <font>
      <sz val="11"/>
      <name val="Calibri"/>
      <family val="2"/>
      <scheme val="minor"/>
    </font>
    <font>
      <sz val="11"/>
      <color rgb="FF3F3F76"/>
      <name val="Calibri"/>
      <family val="2"/>
      <scheme val="minor"/>
    </font>
    <font>
      <b/>
      <sz val="11"/>
      <color theme="0"/>
      <name val="Calibri"/>
      <family val="2"/>
      <scheme val="minor"/>
    </font>
    <font>
      <sz val="11"/>
      <name val="Arial"/>
      <family val="2"/>
    </font>
    <font>
      <sz val="11"/>
      <color theme="1"/>
      <name val="Times New Roman"/>
      <family val="1"/>
    </font>
    <font>
      <sz val="11"/>
      <color rgb="FF000000"/>
      <name val="Calibri"/>
      <family val="2"/>
      <scheme val="minor"/>
    </font>
    <font>
      <b/>
      <sz val="11"/>
      <name val="Calibri"/>
      <family val="2"/>
      <scheme val="minor"/>
    </font>
    <font>
      <b/>
      <sz val="18"/>
      <color theme="1"/>
      <name val="Calibri"/>
      <family val="2"/>
      <scheme val="minor"/>
    </font>
    <font>
      <b/>
      <sz val="12"/>
      <color theme="0"/>
      <name val="Times New Roman"/>
      <family val="1"/>
    </font>
    <font>
      <b/>
      <sz val="11"/>
      <name val="Arial"/>
      <family val="2"/>
    </font>
    <font>
      <b/>
      <sz val="9"/>
      <name val="Arial"/>
      <family val="2"/>
    </font>
    <font>
      <b/>
      <i/>
      <sz val="11"/>
      <name val="Arial"/>
      <family val="2"/>
    </font>
    <font>
      <b/>
      <sz val="8"/>
      <name val="Arial"/>
      <family val="2"/>
    </font>
    <font>
      <sz val="8"/>
      <name val="Arial"/>
      <family val="2"/>
    </font>
    <font>
      <b/>
      <sz val="10"/>
      <name val="Arial"/>
      <family val="2"/>
    </font>
    <font>
      <b/>
      <sz val="9"/>
      <name val="Times New Roman"/>
      <family val="1"/>
    </font>
    <font>
      <sz val="9"/>
      <color rgb="FFFF0000"/>
      <name val="Arial"/>
      <family val="2"/>
    </font>
    <font>
      <b/>
      <i/>
      <sz val="9"/>
      <name val="Arial"/>
      <family val="2"/>
    </font>
    <font>
      <i/>
      <sz val="10"/>
      <name val="Arial"/>
      <family val="2"/>
    </font>
    <font>
      <sz val="9"/>
      <color indexed="8"/>
      <name val="Arial"/>
      <family val="2"/>
    </font>
    <font>
      <b/>
      <sz val="9"/>
      <color indexed="8"/>
      <name val="Arial"/>
      <family val="2"/>
    </font>
    <font>
      <sz val="8"/>
      <name val="Times New Roman"/>
      <family val="1"/>
    </font>
    <font>
      <b/>
      <sz val="9"/>
      <color rgb="FFFF0000"/>
      <name val="Arial"/>
      <family val="2"/>
    </font>
    <font>
      <sz val="10"/>
      <color rgb="FFFF0000"/>
      <name val="Arial"/>
      <family val="2"/>
    </font>
    <font>
      <b/>
      <sz val="10"/>
      <color indexed="8"/>
      <name val="Arial"/>
      <family val="2"/>
    </font>
    <font>
      <b/>
      <sz val="11"/>
      <color indexed="8"/>
      <name val="Arial"/>
      <family val="2"/>
    </font>
    <font>
      <b/>
      <sz val="10"/>
      <color rgb="FF000000"/>
      <name val="Arial"/>
      <family val="2"/>
    </font>
    <font>
      <sz val="11"/>
      <color indexed="8"/>
      <name val="Arial"/>
      <family val="2"/>
    </font>
    <font>
      <b/>
      <sz val="10"/>
      <color rgb="FF333333"/>
      <name val="Arial"/>
      <family val="2"/>
    </font>
    <font>
      <b/>
      <sz val="10"/>
      <name val="Times New Roman"/>
      <family val="1"/>
    </font>
    <font>
      <b/>
      <sz val="48"/>
      <name val="Times New Roman"/>
      <family val="1"/>
    </font>
    <font>
      <b/>
      <sz val="11"/>
      <name val="Times New Roman"/>
      <family val="1"/>
    </font>
    <font>
      <b/>
      <i/>
      <sz val="10"/>
      <name val="Times New Roman"/>
      <family val="1"/>
    </font>
    <font>
      <b/>
      <i/>
      <u/>
      <sz val="10"/>
      <name val="Times New Roman"/>
      <family val="1"/>
    </font>
    <font>
      <sz val="8"/>
      <color theme="1"/>
      <name val="Times New Roman"/>
      <family val="1"/>
    </font>
    <font>
      <b/>
      <sz val="13"/>
      <color theme="1"/>
      <name val="Times New Roman"/>
      <family val="1"/>
    </font>
    <font>
      <sz val="13"/>
      <color theme="1"/>
      <name val="Times New Roman"/>
      <family val="1"/>
    </font>
    <font>
      <sz val="12"/>
      <color theme="1"/>
      <name val="Times New Roman"/>
      <family val="1"/>
    </font>
    <font>
      <b/>
      <sz val="18"/>
      <name val="Times New Roman"/>
      <family val="1"/>
    </font>
    <font>
      <b/>
      <sz val="10"/>
      <color rgb="FFC00000"/>
      <name val="Times New Roman"/>
      <family val="1"/>
    </font>
    <font>
      <sz val="10"/>
      <color theme="1"/>
      <name val="Times New Roman"/>
      <family val="1"/>
    </font>
    <font>
      <sz val="10"/>
      <color theme="3" tint="-0.499984740745262"/>
      <name val="Times New Roman"/>
      <family val="1"/>
    </font>
    <font>
      <sz val="9"/>
      <color theme="1"/>
      <name val="Times New Roman"/>
      <family val="1"/>
    </font>
    <font>
      <sz val="10"/>
      <color theme="4" tint="-0.499984740745262"/>
      <name val="Times New Roman"/>
      <family val="1"/>
    </font>
    <font>
      <sz val="9"/>
      <color theme="4" tint="-0.499984740745262"/>
      <name val="Times New Roman"/>
      <family val="1"/>
    </font>
    <font>
      <sz val="8"/>
      <color theme="4" tint="-0.499984740745262"/>
      <name val="Times New Roman"/>
      <family val="1"/>
    </font>
    <font>
      <b/>
      <sz val="12"/>
      <color rgb="FFC00000"/>
      <name val="Times New Roman"/>
      <family val="1"/>
    </font>
    <font>
      <sz val="12"/>
      <color rgb="FFC00000"/>
      <name val="Times New Roman"/>
      <family val="1"/>
    </font>
    <font>
      <b/>
      <sz val="8"/>
      <color theme="1"/>
      <name val="Times New Roman"/>
      <family val="1"/>
    </font>
    <font>
      <b/>
      <sz val="16"/>
      <color theme="1"/>
      <name val="Times New Roman"/>
      <family val="1"/>
    </font>
    <font>
      <sz val="16"/>
      <color theme="1"/>
      <name val="Times New Roman"/>
      <family val="1"/>
    </font>
    <font>
      <sz val="11"/>
      <color theme="1"/>
      <name val="Calibri"/>
      <family val="2"/>
    </font>
    <font>
      <sz val="11"/>
      <name val="Calibri"/>
      <family val="2"/>
    </font>
    <font>
      <b/>
      <sz val="10"/>
      <name val="Calibri"/>
      <family val="2"/>
    </font>
    <font>
      <sz val="11"/>
      <color rgb="FFFF0000"/>
      <name val="Times New Roman"/>
      <family val="1"/>
    </font>
    <font>
      <sz val="10.5"/>
      <color rgb="FFFF0000"/>
      <name val="Times New Roman"/>
      <family val="1"/>
    </font>
    <font>
      <b/>
      <sz val="10"/>
      <color rgb="FFFF0000"/>
      <name val="Times New Roman"/>
      <family val="1"/>
    </font>
    <font>
      <sz val="9"/>
      <color rgb="FFFF0000"/>
      <name val="Tahoma"/>
      <family val="2"/>
    </font>
    <font>
      <i/>
      <sz val="11"/>
      <color rgb="FF0066FF"/>
      <name val="Calibri"/>
      <family val="2"/>
      <scheme val="minor"/>
    </font>
    <font>
      <b/>
      <sz val="9"/>
      <color rgb="FF000000"/>
      <name val="Arial"/>
      <family val="2"/>
    </font>
    <font>
      <sz val="11"/>
      <color rgb="FF000000"/>
      <name val="Aptos Narrow"/>
      <family val="2"/>
    </font>
    <font>
      <sz val="9"/>
      <color rgb="FF000000"/>
      <name val="Arial"/>
      <family val="2"/>
    </font>
    <font>
      <sz val="9"/>
      <color theme="1"/>
      <name val="Calibri"/>
      <family val="2"/>
      <scheme val="minor"/>
    </font>
    <font>
      <b/>
      <sz val="9"/>
      <color theme="1"/>
      <name val="Calibri"/>
      <family val="2"/>
      <scheme val="minor"/>
    </font>
    <font>
      <sz val="9"/>
      <color theme="5" tint="-0.249977111117893"/>
      <name val="Calibri"/>
      <family val="2"/>
      <scheme val="minor"/>
    </font>
  </fonts>
  <fills count="23">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CC99"/>
      </patternFill>
    </fill>
    <fill>
      <patternFill patternType="solid">
        <fgColor theme="8" tint="0.59999389629810485"/>
        <bgColor indexed="64"/>
      </patternFill>
    </fill>
    <fill>
      <patternFill patternType="solid">
        <fgColor rgb="FF92D05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bgColor theme="4"/>
      </patternFill>
    </fill>
    <fill>
      <patternFill patternType="solid">
        <fgColor rgb="FF00B0F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39997558519241921"/>
        <bgColor indexed="64"/>
      </patternFill>
    </fill>
  </fills>
  <borders count="6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dashed">
        <color indexed="64"/>
      </top>
      <bottom style="dashed">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dashed">
        <color rgb="FF000000"/>
      </top>
      <bottom style="dashed">
        <color rgb="FF000000"/>
      </bottom>
      <diagonal/>
    </border>
    <border>
      <left style="thin">
        <color rgb="FF000000"/>
      </left>
      <right/>
      <top style="dashed">
        <color rgb="FF000000"/>
      </top>
      <bottom style="dashed">
        <color rgb="FF000000"/>
      </bottom>
      <diagonal/>
    </border>
    <border>
      <left style="thin">
        <color indexed="64"/>
      </left>
      <right/>
      <top style="dashed">
        <color indexed="64"/>
      </top>
      <bottom style="dashed">
        <color indexed="64"/>
      </bottom>
      <diagonal/>
    </border>
    <border>
      <left style="medium">
        <color indexed="64"/>
      </left>
      <right style="medium">
        <color indexed="64"/>
      </right>
      <top style="medium">
        <color indexed="64"/>
      </top>
      <bottom/>
      <diagonal/>
    </border>
    <border>
      <left/>
      <right/>
      <top/>
      <bottom style="thin">
        <color indexed="64"/>
      </bottom>
      <diagonal/>
    </border>
    <border>
      <left/>
      <right style="thin">
        <color indexed="64"/>
      </right>
      <top style="dashed">
        <color indexed="64"/>
      </top>
      <bottom style="dashed">
        <color indexed="64"/>
      </bottom>
      <diagonal/>
    </border>
    <border>
      <left/>
      <right/>
      <top style="dashed">
        <color rgb="FF000000"/>
      </top>
      <bottom style="dashed">
        <color rgb="FF000000"/>
      </bottom>
      <diagonal/>
    </border>
    <border>
      <left/>
      <right/>
      <top style="medium">
        <color indexed="64"/>
      </top>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dashed">
        <color indexed="64"/>
      </top>
      <bottom style="dashed">
        <color indexed="64"/>
      </bottom>
      <diagonal/>
    </border>
    <border>
      <left style="thin">
        <color rgb="FF7F7F7F"/>
      </left>
      <right style="thin">
        <color rgb="FF7F7F7F"/>
      </right>
      <top style="thin">
        <color rgb="FF7F7F7F"/>
      </top>
      <bottom/>
      <diagonal/>
    </border>
    <border>
      <left/>
      <right/>
      <top/>
      <bottom style="thick">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right style="medium">
        <color auto="1"/>
      </right>
      <top style="thin">
        <color auto="1"/>
      </top>
      <bottom/>
      <diagonal/>
    </border>
    <border>
      <left style="medium">
        <color auto="1"/>
      </left>
      <right style="medium">
        <color auto="1"/>
      </right>
      <top style="thin">
        <color auto="1"/>
      </top>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indexed="64"/>
      </left>
      <right/>
      <top style="medium">
        <color indexed="64"/>
      </top>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7">
    <xf numFmtId="0" fontId="0" fillId="0" borderId="0"/>
    <xf numFmtId="44" fontId="5" fillId="0" borderId="0" applyFont="0" applyFill="0" applyBorder="0" applyAlignment="0" applyProtection="0"/>
    <xf numFmtId="43" fontId="5" fillId="0" borderId="0" applyFont="0" applyFill="0" applyBorder="0" applyAlignment="0" applyProtection="0"/>
    <xf numFmtId="0" fontId="12" fillId="0" borderId="0"/>
    <xf numFmtId="43" fontId="1" fillId="0" borderId="0" applyFont="0" applyFill="0" applyBorder="0" applyAlignment="0" applyProtection="0"/>
    <xf numFmtId="9" fontId="1" fillId="0" borderId="0" applyFont="0" applyFill="0" applyBorder="0" applyAlignment="0" applyProtection="0"/>
    <xf numFmtId="0" fontId="19" fillId="0" borderId="0"/>
    <xf numFmtId="0" fontId="20" fillId="0" borderId="0" applyNumberFormat="0" applyFill="0" applyBorder="0" applyAlignment="0" applyProtection="0"/>
    <xf numFmtId="0" fontId="20" fillId="0" borderId="0"/>
    <xf numFmtId="169" fontId="20" fillId="0" borderId="0" applyFill="0" applyBorder="0" applyAlignment="0" applyProtection="0"/>
    <xf numFmtId="0" fontId="35" fillId="13" borderId="41" applyNumberFormat="0" applyAlignment="0" applyProtection="0"/>
    <xf numFmtId="43" fontId="1" fillId="0" borderId="0" applyFont="0" applyFill="0" applyBorder="0" applyAlignment="0" applyProtection="0"/>
    <xf numFmtId="0" fontId="20" fillId="0" borderId="0"/>
    <xf numFmtId="0" fontId="26" fillId="0" borderId="0">
      <alignment vertical="top"/>
    </xf>
    <xf numFmtId="9" fontId="26" fillId="0" borderId="0" applyFont="0" applyFill="0" applyBorder="0" applyAlignment="0" applyProtection="0"/>
    <xf numFmtId="182" fontId="26" fillId="0" borderId="0" applyFont="0" applyFill="0" applyBorder="0" applyAlignment="0" applyProtection="0"/>
    <xf numFmtId="0" fontId="20" fillId="0" borderId="0"/>
  </cellStyleXfs>
  <cellXfs count="907">
    <xf numFmtId="0" fontId="0" fillId="0" borderId="0" xfId="0"/>
    <xf numFmtId="0" fontId="0" fillId="0" borderId="4" xfId="0" applyBorder="1"/>
    <xf numFmtId="0" fontId="0" fillId="0" borderId="4" xfId="0" applyBorder="1" applyAlignment="1">
      <alignment vertical="center"/>
    </xf>
    <xf numFmtId="0" fontId="2" fillId="3" borderId="3" xfId="0" applyFont="1" applyFill="1" applyBorder="1" applyAlignment="1">
      <alignment horizontal="center" vertical="center"/>
    </xf>
    <xf numFmtId="0" fontId="2" fillId="0" borderId="0" xfId="0" applyFont="1" applyAlignment="1">
      <alignment vertical="center"/>
    </xf>
    <xf numFmtId="0" fontId="2" fillId="0" borderId="0" xfId="0" applyFont="1"/>
    <xf numFmtId="0" fontId="8" fillId="0" borderId="4" xfId="0" applyFont="1" applyBorder="1" applyAlignment="1">
      <alignment vertical="center"/>
    </xf>
    <xf numFmtId="44" fontId="0" fillId="0" borderId="4" xfId="1" applyFont="1" applyFill="1" applyBorder="1" applyAlignment="1">
      <alignment vertical="center"/>
    </xf>
    <xf numFmtId="44" fontId="8" fillId="0" borderId="4" xfId="1" applyFont="1" applyFill="1" applyBorder="1" applyAlignment="1">
      <alignment horizontal="center" vertical="center"/>
    </xf>
    <xf numFmtId="0" fontId="0" fillId="0" borderId="4" xfId="0" applyBorder="1" applyAlignment="1">
      <alignment horizontal="left"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4" borderId="6" xfId="0" applyFill="1" applyBorder="1" applyAlignment="1">
      <alignment vertical="center"/>
    </xf>
    <xf numFmtId="44" fontId="0" fillId="4" borderId="4" xfId="1" applyFont="1" applyFill="1" applyBorder="1" applyAlignment="1">
      <alignment vertical="center"/>
    </xf>
    <xf numFmtId="0" fontId="0" fillId="4" borderId="4" xfId="0" applyFill="1" applyBorder="1" applyAlignment="1">
      <alignment vertical="center"/>
    </xf>
    <xf numFmtId="0" fontId="0" fillId="4" borderId="4" xfId="0" applyFill="1" applyBorder="1" applyAlignment="1">
      <alignment horizontal="left" vertical="center"/>
    </xf>
    <xf numFmtId="17" fontId="4" fillId="0" borderId="4" xfId="0" applyNumberFormat="1" applyFont="1" applyBorder="1" applyAlignment="1">
      <alignment horizontal="center" vertical="center"/>
    </xf>
    <xf numFmtId="0" fontId="0" fillId="0" borderId="4" xfId="0" applyBorder="1" applyAlignment="1">
      <alignment horizontal="left" vertical="center" wrapText="1"/>
    </xf>
    <xf numFmtId="0" fontId="0" fillId="4" borderId="4" xfId="0" applyFill="1" applyBorder="1" applyAlignment="1">
      <alignment horizontal="left" vertical="center" wrapText="1"/>
    </xf>
    <xf numFmtId="44" fontId="0" fillId="0" borderId="4" xfId="1" applyFont="1" applyBorder="1"/>
    <xf numFmtId="44" fontId="0" fillId="0" borderId="0" xfId="0" applyNumberFormat="1"/>
    <xf numFmtId="0" fontId="0" fillId="0" borderId="0" xfId="0" applyAlignment="1">
      <alignment horizontal="center"/>
    </xf>
    <xf numFmtId="0" fontId="13" fillId="0" borderId="0" xfId="0" applyFont="1"/>
    <xf numFmtId="7" fontId="0" fillId="0" borderId="4" xfId="1" applyNumberFormat="1" applyFont="1" applyFill="1" applyBorder="1" applyAlignment="1">
      <alignment vertical="center"/>
    </xf>
    <xf numFmtId="1" fontId="8" fillId="0" borderId="4" xfId="0" applyNumberFormat="1" applyFont="1" applyBorder="1" applyAlignment="1">
      <alignment horizontal="center" vertical="center" wrapText="1"/>
    </xf>
    <xf numFmtId="2" fontId="8" fillId="0" borderId="4" xfId="0" applyNumberFormat="1" applyFont="1" applyBorder="1" applyAlignment="1">
      <alignment horizontal="right" vertical="center" wrapText="1"/>
    </xf>
    <xf numFmtId="0" fontId="0" fillId="0" borderId="0" xfId="0" applyAlignment="1">
      <alignment wrapText="1"/>
    </xf>
    <xf numFmtId="0" fontId="0" fillId="0" borderId="0" xfId="0" applyAlignment="1">
      <alignment vertical="center"/>
    </xf>
    <xf numFmtId="44" fontId="0" fillId="0" borderId="0" xfId="1" applyFont="1" applyBorder="1"/>
    <xf numFmtId="44" fontId="2" fillId="0" borderId="4" xfId="0" applyNumberFormat="1" applyFont="1" applyBorder="1" applyAlignment="1">
      <alignment vertical="center"/>
    </xf>
    <xf numFmtId="0" fontId="4" fillId="5" borderId="4" xfId="0" applyFont="1" applyFill="1" applyBorder="1" applyAlignment="1">
      <alignment horizontal="center" vertical="center"/>
    </xf>
    <xf numFmtId="0" fontId="4" fillId="0" borderId="4" xfId="0" applyFont="1" applyBorder="1" applyAlignment="1">
      <alignment horizontal="center" vertical="center"/>
    </xf>
    <xf numFmtId="44" fontId="0" fillId="0" borderId="4" xfId="1" applyFont="1" applyBorder="1" applyAlignment="1">
      <alignment vertical="center"/>
    </xf>
    <xf numFmtId="0" fontId="16" fillId="0" borderId="4" xfId="0" applyFont="1" applyBorder="1" applyAlignment="1">
      <alignment vertical="center"/>
    </xf>
    <xf numFmtId="0" fontId="17" fillId="5" borderId="4" xfId="0" applyFont="1" applyFill="1" applyBorder="1" applyAlignment="1">
      <alignment horizontal="center" vertical="center"/>
    </xf>
    <xf numFmtId="0" fontId="18" fillId="0" borderId="0" xfId="0" applyFont="1"/>
    <xf numFmtId="44" fontId="0" fillId="0" borderId="0" xfId="1" applyFont="1" applyBorder="1" applyAlignment="1">
      <alignment vertical="center"/>
    </xf>
    <xf numFmtId="44" fontId="2" fillId="0" borderId="4" xfId="1" applyFont="1" applyBorder="1" applyAlignment="1">
      <alignment vertical="center"/>
    </xf>
    <xf numFmtId="0" fontId="2" fillId="0" borderId="4" xfId="0" applyFont="1" applyBorder="1"/>
    <xf numFmtId="44" fontId="0" fillId="0" borderId="4" xfId="1" applyFont="1" applyBorder="1" applyAlignment="1">
      <alignment horizontal="center" vertical="center"/>
    </xf>
    <xf numFmtId="44" fontId="2" fillId="0" borderId="4" xfId="0" applyNumberFormat="1" applyFont="1" applyBorder="1" applyAlignment="1">
      <alignment horizontal="center" vertical="center"/>
    </xf>
    <xf numFmtId="44" fontId="0" fillId="0" borderId="4" xfId="1" applyFont="1" applyFill="1" applyBorder="1" applyAlignment="1">
      <alignment horizontal="center" vertical="center"/>
    </xf>
    <xf numFmtId="44" fontId="2" fillId="0" borderId="4" xfId="1" applyFont="1" applyBorder="1" applyAlignment="1">
      <alignment horizontal="center" vertical="center"/>
    </xf>
    <xf numFmtId="2" fontId="0" fillId="0" borderId="0" xfId="0" applyNumberFormat="1"/>
    <xf numFmtId="44" fontId="0" fillId="0" borderId="0" xfId="1" applyFont="1" applyAlignment="1">
      <alignment vertical="center"/>
    </xf>
    <xf numFmtId="0" fontId="25" fillId="0" borderId="0" xfId="0" applyFont="1" applyAlignment="1">
      <alignment vertical="center"/>
    </xf>
    <xf numFmtId="0" fontId="2" fillId="0" borderId="0" xfId="0" applyFont="1" applyAlignment="1">
      <alignment horizontal="center" vertical="center"/>
    </xf>
    <xf numFmtId="44" fontId="17" fillId="0" borderId="0" xfId="1" applyFont="1" applyFill="1" applyBorder="1" applyAlignment="1">
      <alignment horizontal="center" vertical="center"/>
    </xf>
    <xf numFmtId="164" fontId="0" fillId="0" borderId="0" xfId="0" applyNumberFormat="1"/>
    <xf numFmtId="0" fontId="8" fillId="0" borderId="4" xfId="0" applyFont="1" applyBorder="1" applyAlignment="1">
      <alignment horizontal="left" vertical="center"/>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7" xfId="0" applyFill="1" applyBorder="1" applyAlignment="1">
      <alignment horizontal="center" vertical="center" wrapText="1"/>
    </xf>
    <xf numFmtId="0" fontId="0" fillId="0" borderId="0" xfId="0" applyAlignment="1">
      <alignment vertical="center" wrapText="1"/>
    </xf>
    <xf numFmtId="171" fontId="23" fillId="0" borderId="4" xfId="0" applyNumberFormat="1" applyFont="1" applyBorder="1" applyAlignment="1">
      <alignment horizontal="center" vertical="center"/>
    </xf>
    <xf numFmtId="0" fontId="24" fillId="0" borderId="4" xfId="0" applyFont="1" applyBorder="1" applyAlignment="1">
      <alignment horizontal="center" vertical="center"/>
    </xf>
    <xf numFmtId="171" fontId="24" fillId="0" borderId="4" xfId="0" applyNumberFormat="1" applyFont="1" applyBorder="1" applyAlignment="1">
      <alignment horizontal="center" vertical="center"/>
    </xf>
    <xf numFmtId="10" fontId="0" fillId="0" borderId="0" xfId="0" applyNumberFormat="1"/>
    <xf numFmtId="44" fontId="2" fillId="7" borderId="4" xfId="1" applyFont="1" applyFill="1" applyBorder="1"/>
    <xf numFmtId="44" fontId="0" fillId="0" borderId="4" xfId="1" applyFont="1" applyFill="1" applyBorder="1"/>
    <xf numFmtId="43" fontId="27" fillId="0" borderId="0" xfId="2" applyFont="1" applyFill="1" applyBorder="1" applyAlignment="1">
      <alignment horizontal="right" vertical="center"/>
    </xf>
    <xf numFmtId="44" fontId="2" fillId="0" borderId="4" xfId="1" applyFont="1" applyFill="1" applyBorder="1" applyAlignment="1">
      <alignment vertical="center"/>
    </xf>
    <xf numFmtId="164" fontId="4" fillId="9" borderId="4" xfId="0" applyNumberFormat="1" applyFont="1" applyFill="1" applyBorder="1" applyAlignment="1">
      <alignment horizontal="center" vertical="center"/>
    </xf>
    <xf numFmtId="0" fontId="31" fillId="0" borderId="1" xfId="0" applyFont="1" applyBorder="1" applyAlignment="1">
      <alignment horizontal="right" vertical="center"/>
    </xf>
    <xf numFmtId="0" fontId="31" fillId="0" borderId="2" xfId="0" applyFont="1" applyBorder="1" applyAlignment="1">
      <alignment horizontal="right" vertical="center"/>
    </xf>
    <xf numFmtId="0" fontId="31" fillId="0" borderId="3" xfId="0" applyFont="1" applyBorder="1" applyAlignment="1">
      <alignment horizontal="right" vertical="center"/>
    </xf>
    <xf numFmtId="164" fontId="2" fillId="0" borderId="4" xfId="0" applyNumberFormat="1" applyFont="1" applyBorder="1" applyAlignment="1">
      <alignment horizontal="center" vertical="center"/>
    </xf>
    <xf numFmtId="0" fontId="3" fillId="9" borderId="1" xfId="0" applyFont="1" applyFill="1" applyBorder="1" applyAlignment="1">
      <alignment horizontal="right" vertical="center"/>
    </xf>
    <xf numFmtId="17" fontId="4" fillId="0" borderId="4" xfId="0" applyNumberFormat="1" applyFont="1" applyBorder="1" applyAlignment="1">
      <alignment horizontal="right" vertical="center"/>
    </xf>
    <xf numFmtId="7" fontId="0" fillId="0" borderId="4" xfId="1" applyNumberFormat="1" applyFont="1" applyFill="1" applyBorder="1" applyAlignment="1">
      <alignment horizontal="right" vertical="center"/>
    </xf>
    <xf numFmtId="37" fontId="14" fillId="0" borderId="4" xfId="1" quotePrefix="1" applyNumberFormat="1" applyFont="1" applyFill="1" applyBorder="1" applyAlignment="1">
      <alignment horizontal="right" vertical="center" wrapText="1"/>
    </xf>
    <xf numFmtId="37" fontId="14" fillId="0" borderId="4" xfId="1" applyNumberFormat="1" applyFont="1" applyFill="1" applyBorder="1" applyAlignment="1">
      <alignment horizontal="right" vertical="center"/>
    </xf>
    <xf numFmtId="7" fontId="2" fillId="4" borderId="4" xfId="1" applyNumberFormat="1" applyFont="1" applyFill="1" applyBorder="1" applyAlignment="1">
      <alignment horizontal="right" vertical="center"/>
    </xf>
    <xf numFmtId="0" fontId="13" fillId="0" borderId="0" xfId="0" applyFont="1" applyAlignment="1">
      <alignment horizontal="right"/>
    </xf>
    <xf numFmtId="7" fontId="13" fillId="0" borderId="0" xfId="0" applyNumberFormat="1" applyFont="1" applyAlignment="1">
      <alignment horizontal="right"/>
    </xf>
    <xf numFmtId="1" fontId="8" fillId="0" borderId="4" xfId="0" applyNumberFormat="1" applyFont="1" applyBorder="1" applyAlignment="1">
      <alignment horizontal="right" vertical="center" wrapText="1"/>
    </xf>
    <xf numFmtId="44" fontId="1" fillId="0" borderId="4" xfId="1" applyFont="1" applyFill="1" applyBorder="1" applyAlignment="1">
      <alignment horizontal="center" vertical="center"/>
    </xf>
    <xf numFmtId="7" fontId="0" fillId="0" borderId="1" xfId="0" applyNumberFormat="1" applyBorder="1" applyAlignment="1">
      <alignment horizontal="right" vertical="center"/>
    </xf>
    <xf numFmtId="43" fontId="0" fillId="0" borderId="0" xfId="4" applyFont="1"/>
    <xf numFmtId="17" fontId="4" fillId="0" borderId="0" xfId="0" applyNumberFormat="1" applyFont="1" applyAlignment="1">
      <alignment horizontal="center" vertical="center"/>
    </xf>
    <xf numFmtId="44" fontId="0" fillId="0" borderId="0" xfId="1" applyFont="1" applyFill="1" applyBorder="1" applyAlignment="1">
      <alignment vertical="center"/>
    </xf>
    <xf numFmtId="164" fontId="4" fillId="0" borderId="0" xfId="0" applyNumberFormat="1" applyFont="1" applyAlignment="1">
      <alignment horizontal="center" vertical="center"/>
    </xf>
    <xf numFmtId="44" fontId="0" fillId="0" borderId="0" xfId="1" applyFont="1" applyFill="1" applyBorder="1"/>
    <xf numFmtId="172" fontId="0" fillId="0" borderId="4" xfId="1" applyNumberFormat="1" applyFont="1" applyFill="1" applyBorder="1" applyAlignment="1">
      <alignment vertical="center"/>
    </xf>
    <xf numFmtId="44" fontId="8" fillId="0" borderId="0" xfId="1" applyFont="1" applyFill="1" applyBorder="1" applyAlignment="1">
      <alignment horizontal="center" vertical="center"/>
    </xf>
    <xf numFmtId="7" fontId="0" fillId="0" borderId="0" xfId="0" applyNumberFormat="1" applyAlignment="1">
      <alignment horizontal="right" vertical="center"/>
    </xf>
    <xf numFmtId="165" fontId="0" fillId="0" borderId="0" xfId="4" applyNumberFormat="1" applyFont="1"/>
    <xf numFmtId="1" fontId="8" fillId="0" borderId="4" xfId="1" applyNumberFormat="1" applyFont="1" applyFill="1" applyBorder="1" applyAlignment="1">
      <alignment horizontal="center" vertical="center"/>
    </xf>
    <xf numFmtId="0" fontId="0" fillId="5" borderId="4" xfId="0" applyFill="1" applyBorder="1" applyAlignment="1">
      <alignment vertical="center"/>
    </xf>
    <xf numFmtId="2" fontId="13" fillId="0" borderId="0" xfId="0" applyNumberFormat="1" applyFont="1" applyAlignment="1">
      <alignment horizontal="right"/>
    </xf>
    <xf numFmtId="2" fontId="9" fillId="5" borderId="4" xfId="0" applyNumberFormat="1" applyFont="1" applyFill="1" applyBorder="1" applyAlignment="1">
      <alignment horizontal="center" vertical="center"/>
    </xf>
    <xf numFmtId="44" fontId="1" fillId="0" borderId="4" xfId="1" applyFont="1" applyFill="1" applyBorder="1" applyAlignment="1">
      <alignment vertical="center"/>
    </xf>
    <xf numFmtId="0" fontId="0" fillId="0" borderId="0" xfId="0" applyAlignment="1">
      <alignment horizontal="left"/>
    </xf>
    <xf numFmtId="174" fontId="8" fillId="0" borderId="4" xfId="1" applyNumberFormat="1" applyFont="1" applyFill="1" applyBorder="1" applyAlignment="1">
      <alignment horizontal="center" vertical="center"/>
    </xf>
    <xf numFmtId="175" fontId="8" fillId="0" borderId="4" xfId="1" applyNumberFormat="1" applyFont="1" applyFill="1" applyBorder="1" applyAlignment="1">
      <alignment horizontal="center" vertical="center"/>
    </xf>
    <xf numFmtId="0" fontId="8" fillId="0" borderId="0" xfId="0" applyFont="1"/>
    <xf numFmtId="8" fontId="0" fillId="0" borderId="4" xfId="1" applyNumberFormat="1" applyFont="1" applyFill="1" applyBorder="1" applyAlignment="1">
      <alignment vertical="center"/>
    </xf>
    <xf numFmtId="8" fontId="0" fillId="4" borderId="4" xfId="1" applyNumberFormat="1" applyFont="1" applyFill="1" applyBorder="1" applyAlignment="1">
      <alignment vertical="center"/>
    </xf>
    <xf numFmtId="8" fontId="1" fillId="0" borderId="4" xfId="1" applyNumberFormat="1" applyFont="1" applyFill="1" applyBorder="1" applyAlignment="1">
      <alignment vertical="center"/>
    </xf>
    <xf numFmtId="175" fontId="9" fillId="0" borderId="4" xfId="1" applyNumberFormat="1" applyFont="1" applyFill="1" applyBorder="1" applyAlignment="1">
      <alignment horizontal="center" vertical="center"/>
    </xf>
    <xf numFmtId="2" fontId="9" fillId="5" borderId="4" xfId="0" applyNumberFormat="1" applyFont="1" applyFill="1" applyBorder="1" applyAlignment="1">
      <alignment vertical="center"/>
    </xf>
    <xf numFmtId="2" fontId="9" fillId="5" borderId="4" xfId="1" applyNumberFormat="1" applyFont="1" applyFill="1" applyBorder="1" applyAlignment="1">
      <alignment vertical="center"/>
    </xf>
    <xf numFmtId="164" fontId="2" fillId="0" borderId="0" xfId="0" applyNumberFormat="1" applyFont="1" applyAlignment="1">
      <alignment horizontal="center" vertical="center"/>
    </xf>
    <xf numFmtId="164" fontId="0" fillId="0" borderId="4" xfId="1" applyNumberFormat="1" applyFont="1" applyFill="1" applyBorder="1" applyAlignment="1">
      <alignment vertical="center"/>
    </xf>
    <xf numFmtId="176" fontId="24" fillId="0" borderId="4" xfId="0" applyNumberFormat="1" applyFont="1" applyBorder="1" applyAlignment="1">
      <alignment horizontal="center" vertical="center"/>
    </xf>
    <xf numFmtId="164" fontId="0" fillId="0" borderId="0" xfId="1" applyNumberFormat="1" applyFont="1" applyFill="1" applyBorder="1" applyAlignment="1">
      <alignment vertical="center"/>
    </xf>
    <xf numFmtId="175" fontId="8" fillId="0" borderId="0" xfId="1" applyNumberFormat="1" applyFont="1" applyFill="1" applyBorder="1" applyAlignment="1">
      <alignment horizontal="center" vertical="center"/>
    </xf>
    <xf numFmtId="44" fontId="1" fillId="0" borderId="0" xfId="1" applyFont="1" applyFill="1" applyBorder="1" applyAlignment="1">
      <alignment vertical="center"/>
    </xf>
    <xf numFmtId="174" fontId="8" fillId="0" borderId="0" xfId="1" applyNumberFormat="1" applyFont="1" applyFill="1" applyBorder="1" applyAlignment="1">
      <alignment horizontal="center" vertical="center"/>
    </xf>
    <xf numFmtId="164" fontId="2" fillId="0" borderId="0" xfId="0" applyNumberFormat="1" applyFont="1" applyAlignment="1">
      <alignment vertical="center"/>
    </xf>
    <xf numFmtId="44" fontId="2" fillId="0" borderId="0" xfId="1" applyFont="1" applyFill="1" applyBorder="1" applyAlignment="1">
      <alignment vertical="center"/>
    </xf>
    <xf numFmtId="2" fontId="9" fillId="5" borderId="4" xfId="1" applyNumberFormat="1" applyFont="1" applyFill="1" applyBorder="1" applyAlignment="1">
      <alignment horizontal="center" vertical="center"/>
    </xf>
    <xf numFmtId="44" fontId="22" fillId="0" borderId="0" xfId="0" applyNumberFormat="1" applyFont="1" applyAlignment="1">
      <alignment vertical="center"/>
    </xf>
    <xf numFmtId="164" fontId="4" fillId="9" borderId="0" xfId="0" applyNumberFormat="1" applyFont="1" applyFill="1" applyAlignment="1">
      <alignment horizontal="center" vertical="center"/>
    </xf>
    <xf numFmtId="2" fontId="9" fillId="5" borderId="0" xfId="1" applyNumberFormat="1" applyFont="1" applyFill="1" applyBorder="1" applyAlignment="1">
      <alignment horizontal="center" vertical="center"/>
    </xf>
    <xf numFmtId="44" fontId="0" fillId="4" borderId="0" xfId="1" applyFont="1" applyFill="1" applyBorder="1" applyAlignment="1">
      <alignment vertical="center"/>
    </xf>
    <xf numFmtId="44" fontId="2" fillId="3" borderId="0" xfId="1" applyFont="1" applyFill="1" applyBorder="1" applyAlignment="1">
      <alignment vertical="center"/>
    </xf>
    <xf numFmtId="10" fontId="33" fillId="0" borderId="4" xfId="5" applyNumberFormat="1" applyFont="1" applyBorder="1" applyAlignment="1">
      <alignment horizontal="center" vertical="center"/>
    </xf>
    <xf numFmtId="177" fontId="0" fillId="0" borderId="4" xfId="1" applyNumberFormat="1" applyFont="1" applyFill="1" applyBorder="1" applyAlignment="1">
      <alignment vertical="center"/>
    </xf>
    <xf numFmtId="164" fontId="4" fillId="0" borderId="0" xfId="0" applyNumberFormat="1" applyFont="1" applyAlignment="1">
      <alignment horizontal="right" vertical="center"/>
    </xf>
    <xf numFmtId="164" fontId="0" fillId="0" borderId="0" xfId="0" applyNumberFormat="1" applyAlignment="1">
      <alignment horizontal="right"/>
    </xf>
    <xf numFmtId="164" fontId="4" fillId="0" borderId="4" xfId="0" applyNumberFormat="1" applyFont="1" applyBorder="1" applyAlignment="1">
      <alignment horizontal="right" vertical="center"/>
    </xf>
    <xf numFmtId="164" fontId="1" fillId="0" borderId="4" xfId="1" applyNumberFormat="1" applyFont="1" applyFill="1" applyBorder="1" applyAlignment="1">
      <alignment horizontal="right" vertical="center"/>
    </xf>
    <xf numFmtId="44" fontId="0" fillId="7" borderId="0" xfId="1" applyFont="1" applyFill="1" applyBorder="1" applyAlignment="1">
      <alignment vertical="center"/>
    </xf>
    <xf numFmtId="164" fontId="0" fillId="7" borderId="0" xfId="1" applyNumberFormat="1" applyFont="1" applyFill="1" applyBorder="1" applyAlignment="1">
      <alignment vertical="center"/>
    </xf>
    <xf numFmtId="44" fontId="0" fillId="12" borderId="4" xfId="1" applyFont="1" applyFill="1" applyBorder="1" applyAlignment="1">
      <alignment vertical="center"/>
    </xf>
    <xf numFmtId="44" fontId="2" fillId="12" borderId="4" xfId="1" applyFont="1" applyFill="1" applyBorder="1" applyAlignment="1">
      <alignment vertical="center"/>
    </xf>
    <xf numFmtId="164" fontId="0" fillId="0" borderId="0" xfId="1" applyNumberFormat="1" applyFont="1" applyBorder="1" applyAlignment="1">
      <alignment horizontal="right" vertical="center"/>
    </xf>
    <xf numFmtId="164" fontId="1" fillId="0" borderId="0" xfId="1" applyNumberFormat="1" applyFont="1" applyFill="1" applyBorder="1" applyAlignment="1">
      <alignment horizontal="right" vertical="center"/>
    </xf>
    <xf numFmtId="0" fontId="2" fillId="0" borderId="4" xfId="0" applyFont="1" applyBorder="1" applyAlignment="1">
      <alignment horizontal="center" vertical="center" wrapText="1"/>
    </xf>
    <xf numFmtId="0" fontId="2" fillId="0" borderId="4" xfId="0" applyFont="1" applyBorder="1" applyAlignment="1">
      <alignment horizontal="left" vertical="center"/>
    </xf>
    <xf numFmtId="164" fontId="2" fillId="0" borderId="0" xfId="1" applyNumberFormat="1" applyFont="1" applyFill="1" applyBorder="1" applyAlignment="1">
      <alignment vertical="center"/>
    </xf>
    <xf numFmtId="0" fontId="9" fillId="0" borderId="4" xfId="0" applyFont="1" applyBorder="1" applyAlignment="1">
      <alignment vertical="center"/>
    </xf>
    <xf numFmtId="44" fontId="9" fillId="0" borderId="4" xfId="1" applyFont="1" applyFill="1" applyBorder="1" applyAlignment="1">
      <alignment horizontal="center" vertical="center"/>
    </xf>
    <xf numFmtId="175" fontId="9" fillId="0" borderId="0" xfId="1" applyNumberFormat="1" applyFont="1" applyFill="1" applyBorder="1" applyAlignment="1">
      <alignment horizontal="center" vertical="center"/>
    </xf>
    <xf numFmtId="164" fontId="2" fillId="0" borderId="4" xfId="0" applyNumberFormat="1" applyFont="1" applyBorder="1" applyAlignment="1">
      <alignment horizontal="center"/>
    </xf>
    <xf numFmtId="164" fontId="2" fillId="0" borderId="4" xfId="1" applyNumberFormat="1" applyFont="1" applyFill="1" applyBorder="1" applyAlignment="1">
      <alignment vertical="center"/>
    </xf>
    <xf numFmtId="17" fontId="0" fillId="0" borderId="4" xfId="0" applyNumberFormat="1" applyBorder="1" applyAlignment="1">
      <alignment vertical="center"/>
    </xf>
    <xf numFmtId="17" fontId="2" fillId="0" borderId="4" xfId="0" applyNumberFormat="1" applyFont="1" applyBorder="1" applyAlignment="1">
      <alignment vertical="center"/>
    </xf>
    <xf numFmtId="44" fontId="2" fillId="0" borderId="4" xfId="1" applyFont="1" applyFill="1" applyBorder="1"/>
    <xf numFmtId="44" fontId="2" fillId="0" borderId="0" xfId="1" applyFont="1" applyFill="1" applyBorder="1"/>
    <xf numFmtId="17" fontId="0" fillId="0" borderId="4" xfId="0" applyNumberFormat="1" applyBorder="1" applyAlignment="1">
      <alignment horizontal="left" vertical="center"/>
    </xf>
    <xf numFmtId="17" fontId="0" fillId="0" borderId="4" xfId="0" applyNumberFormat="1" applyBorder="1" applyAlignment="1">
      <alignment horizontal="left"/>
    </xf>
    <xf numFmtId="165" fontId="34" fillId="0" borderId="4" xfId="2" applyNumberFormat="1" applyFont="1" applyFill="1" applyBorder="1" applyAlignment="1">
      <alignment horizontal="left" vertical="center"/>
    </xf>
    <xf numFmtId="0" fontId="0" fillId="0" borderId="4" xfId="0" applyBorder="1" applyAlignment="1">
      <alignment horizontal="left"/>
    </xf>
    <xf numFmtId="0" fontId="10" fillId="9" borderId="4" xfId="0" applyFont="1" applyFill="1" applyBorder="1" applyAlignment="1">
      <alignment horizontal="center"/>
    </xf>
    <xf numFmtId="17" fontId="2" fillId="0" borderId="4" xfId="0" applyNumberFormat="1" applyFont="1" applyBorder="1" applyAlignment="1">
      <alignment horizontal="left" vertical="center"/>
    </xf>
    <xf numFmtId="17" fontId="2" fillId="0" borderId="4" xfId="0" applyNumberFormat="1" applyFont="1" applyBorder="1" applyAlignment="1">
      <alignment horizontal="left"/>
    </xf>
    <xf numFmtId="1" fontId="0" fillId="0" borderId="0" xfId="0" applyNumberFormat="1" applyAlignment="1">
      <alignment horizontal="center"/>
    </xf>
    <xf numFmtId="0" fontId="10" fillId="14" borderId="4" xfId="0" applyFont="1" applyFill="1" applyBorder="1" applyAlignment="1">
      <alignment horizontal="center"/>
    </xf>
    <xf numFmtId="0" fontId="28" fillId="14" borderId="4" xfId="0" applyFont="1" applyFill="1" applyBorder="1" applyAlignment="1">
      <alignment horizontal="center" vertical="center"/>
    </xf>
    <xf numFmtId="49" fontId="28" fillId="14" borderId="4" xfId="0" applyNumberFormat="1" applyFont="1" applyFill="1" applyBorder="1" applyAlignment="1">
      <alignment horizontal="center" vertical="center" wrapText="1"/>
    </xf>
    <xf numFmtId="0" fontId="28" fillId="14" borderId="4" xfId="0" applyFont="1" applyFill="1" applyBorder="1" applyAlignment="1">
      <alignment horizontal="center" vertical="center" wrapText="1"/>
    </xf>
    <xf numFmtId="0" fontId="0" fillId="0" borderId="10" xfId="0" applyBorder="1"/>
    <xf numFmtId="44" fontId="0" fillId="0" borderId="4" xfId="0" applyNumberFormat="1" applyBorder="1"/>
    <xf numFmtId="0" fontId="11" fillId="9" borderId="4" xfId="0" applyFont="1" applyFill="1" applyBorder="1" applyAlignment="1">
      <alignment horizontal="center" vertical="center"/>
    </xf>
    <xf numFmtId="49" fontId="11" fillId="9" borderId="4" xfId="0" applyNumberFormat="1" applyFont="1" applyFill="1" applyBorder="1" applyAlignment="1">
      <alignment horizontal="center" vertical="center" wrapText="1"/>
    </xf>
    <xf numFmtId="0" fontId="11" fillId="9" borderId="4" xfId="0" applyFont="1" applyFill="1" applyBorder="1" applyAlignment="1">
      <alignment horizontal="center" vertical="center" wrapText="1"/>
    </xf>
    <xf numFmtId="167" fontId="0" fillId="0" borderId="4" xfId="0" applyNumberFormat="1" applyBorder="1" applyAlignment="1">
      <alignment horizontal="left" vertical="center"/>
    </xf>
    <xf numFmtId="165" fontId="0" fillId="0" borderId="4" xfId="2" applyNumberFormat="1" applyFont="1" applyFill="1" applyBorder="1" applyAlignment="1">
      <alignment horizontal="right" vertical="center"/>
    </xf>
    <xf numFmtId="168" fontId="0" fillId="0" borderId="4" xfId="2" applyNumberFormat="1" applyFont="1" applyFill="1" applyBorder="1" applyAlignment="1">
      <alignment horizontal="right" vertical="center"/>
    </xf>
    <xf numFmtId="166" fontId="0" fillId="0" borderId="4" xfId="0" applyNumberFormat="1" applyBorder="1" applyAlignment="1">
      <alignment horizontal="left" vertical="center"/>
    </xf>
    <xf numFmtId="173" fontId="0" fillId="0" borderId="4" xfId="0" applyNumberFormat="1" applyBorder="1" applyAlignment="1">
      <alignment horizontal="center"/>
    </xf>
    <xf numFmtId="173" fontId="0" fillId="0" borderId="4" xfId="0" applyNumberFormat="1" applyBorder="1" applyAlignment="1">
      <alignment horizontal="center" vertical="center"/>
    </xf>
    <xf numFmtId="0" fontId="2" fillId="9" borderId="4" xfId="0" applyFont="1" applyFill="1" applyBorder="1" applyAlignment="1">
      <alignment horizontal="center" vertical="center"/>
    </xf>
    <xf numFmtId="14" fontId="40" fillId="9" borderId="4" xfId="0" applyNumberFormat="1" applyFont="1" applyFill="1" applyBorder="1" applyAlignment="1">
      <alignment horizontal="center" vertical="center" wrapText="1"/>
    </xf>
    <xf numFmtId="166" fontId="40" fillId="9" borderId="4" xfId="0" applyNumberFormat="1" applyFont="1" applyFill="1" applyBorder="1" applyAlignment="1">
      <alignment horizontal="center" vertical="center" wrapText="1"/>
    </xf>
    <xf numFmtId="0" fontId="40" fillId="9" borderId="4" xfId="0" applyFont="1" applyFill="1" applyBorder="1" applyAlignment="1">
      <alignment horizontal="left" vertical="center"/>
    </xf>
    <xf numFmtId="2" fontId="40" fillId="9" borderId="4" xfId="0" applyNumberFormat="1" applyFont="1" applyFill="1" applyBorder="1" applyAlignment="1">
      <alignment horizontal="right" vertical="center"/>
    </xf>
    <xf numFmtId="0" fontId="40" fillId="9" borderId="4" xfId="0" applyFont="1" applyFill="1" applyBorder="1" applyAlignment="1">
      <alignment horizontal="center" vertical="center"/>
    </xf>
    <xf numFmtId="0" fontId="40" fillId="9" borderId="4" xfId="0" applyFont="1" applyFill="1" applyBorder="1" applyAlignment="1">
      <alignment horizontal="center" vertical="center" wrapText="1"/>
    </xf>
    <xf numFmtId="0" fontId="40" fillId="9" borderId="4" xfId="0" applyFont="1" applyFill="1" applyBorder="1" applyAlignment="1">
      <alignment horizontal="left" vertical="center" wrapText="1"/>
    </xf>
    <xf numFmtId="173" fontId="2" fillId="0" borderId="4" xfId="0" applyNumberFormat="1" applyFont="1" applyBorder="1" applyAlignment="1">
      <alignment horizontal="center" vertical="center"/>
    </xf>
    <xf numFmtId="173" fontId="2" fillId="0" borderId="4" xfId="0" applyNumberFormat="1" applyFont="1" applyBorder="1" applyAlignment="1">
      <alignment horizontal="center"/>
    </xf>
    <xf numFmtId="0" fontId="34" fillId="0" borderId="0" xfId="0" applyFont="1"/>
    <xf numFmtId="170" fontId="34" fillId="0" borderId="0" xfId="0" applyNumberFormat="1" applyFont="1"/>
    <xf numFmtId="0" fontId="34" fillId="0" borderId="0" xfId="0" applyFont="1" applyAlignment="1">
      <alignment horizontal="left"/>
    </xf>
    <xf numFmtId="167" fontId="34" fillId="0" borderId="0" xfId="0" applyNumberFormat="1" applyFont="1"/>
    <xf numFmtId="0" fontId="48" fillId="0" borderId="4" xfId="0" applyFont="1" applyBorder="1" applyAlignment="1">
      <alignment horizontal="center" vertical="center"/>
    </xf>
    <xf numFmtId="2" fontId="48" fillId="0" borderId="4" xfId="0" applyNumberFormat="1" applyFont="1" applyBorder="1" applyAlignment="1">
      <alignment horizontal="right" vertical="center"/>
    </xf>
    <xf numFmtId="170" fontId="48" fillId="0" borderId="1" xfId="0" applyNumberFormat="1" applyFont="1" applyBorder="1" applyAlignment="1">
      <alignment horizontal="right" vertical="center"/>
    </xf>
    <xf numFmtId="0" fontId="27" fillId="0" borderId="46" xfId="0" applyFont="1" applyBorder="1" applyAlignment="1">
      <alignment horizontal="center" vertical="center"/>
    </xf>
    <xf numFmtId="1" fontId="21" fillId="0" borderId="12" xfId="0" applyNumberFormat="1" applyFont="1" applyBorder="1" applyAlignment="1">
      <alignment horizontal="left" vertical="center"/>
    </xf>
    <xf numFmtId="166" fontId="21" fillId="0" borderId="12" xfId="0" applyNumberFormat="1" applyFont="1" applyBorder="1" applyAlignment="1">
      <alignment horizontal="center" vertical="center"/>
    </xf>
    <xf numFmtId="165" fontId="27" fillId="0" borderId="9" xfId="2" applyNumberFormat="1" applyFont="1" applyFill="1" applyBorder="1" applyAlignment="1">
      <alignment vertical="center"/>
    </xf>
    <xf numFmtId="1" fontId="32" fillId="0" borderId="18" xfId="0" applyNumberFormat="1" applyFont="1" applyBorder="1" applyAlignment="1">
      <alignment horizontal="center" vertical="center" wrapText="1"/>
    </xf>
    <xf numFmtId="167" fontId="21" fillId="0" borderId="13" xfId="0" applyNumberFormat="1" applyFont="1" applyBorder="1" applyAlignment="1">
      <alignment horizontal="center" vertical="center"/>
    </xf>
    <xf numFmtId="167" fontId="27" fillId="0" borderId="9" xfId="0" applyNumberFormat="1" applyFont="1" applyBorder="1" applyAlignment="1">
      <alignment horizontal="center" vertical="center"/>
    </xf>
    <xf numFmtId="43" fontId="27" fillId="0" borderId="9" xfId="2" applyFont="1" applyFill="1" applyBorder="1" applyAlignment="1">
      <alignment horizontal="right" vertical="center"/>
    </xf>
    <xf numFmtId="165" fontId="27" fillId="0" borderId="17" xfId="2" applyNumberFormat="1" applyFont="1" applyFill="1" applyBorder="1" applyAlignment="1">
      <alignment horizontal="right" vertical="center"/>
    </xf>
    <xf numFmtId="165" fontId="27" fillId="0" borderId="9" xfId="2" applyNumberFormat="1" applyFont="1" applyFill="1" applyBorder="1" applyAlignment="1">
      <alignment horizontal="right" vertical="center"/>
    </xf>
    <xf numFmtId="165" fontId="27" fillId="0" borderId="14" xfId="2" applyNumberFormat="1" applyFont="1" applyFill="1" applyBorder="1" applyAlignment="1">
      <alignment horizontal="right" vertical="center"/>
    </xf>
    <xf numFmtId="0" fontId="34" fillId="0" borderId="0" xfId="0" applyFont="1" applyAlignment="1">
      <alignment horizontal="center"/>
    </xf>
    <xf numFmtId="165" fontId="34" fillId="0" borderId="0" xfId="0" applyNumberFormat="1" applyFont="1"/>
    <xf numFmtId="0" fontId="27" fillId="0" borderId="0" xfId="0" applyFont="1" applyAlignment="1">
      <alignment horizontal="right" vertical="center"/>
    </xf>
    <xf numFmtId="1" fontId="21" fillId="0" borderId="0" xfId="0" applyNumberFormat="1" applyFont="1" applyAlignment="1">
      <alignment horizontal="right" vertical="center"/>
    </xf>
    <xf numFmtId="1" fontId="32" fillId="0" borderId="0" xfId="0" applyNumberFormat="1" applyFont="1" applyAlignment="1">
      <alignment horizontal="right" vertical="center"/>
    </xf>
    <xf numFmtId="14" fontId="21" fillId="0" borderId="0" xfId="0" applyNumberFormat="1" applyFont="1" applyAlignment="1">
      <alignment horizontal="right" vertical="center"/>
    </xf>
    <xf numFmtId="166" fontId="21" fillId="0" borderId="0" xfId="0" applyNumberFormat="1" applyFont="1" applyAlignment="1">
      <alignment horizontal="right" vertical="center"/>
    </xf>
    <xf numFmtId="49" fontId="27" fillId="0" borderId="0" xfId="0" applyNumberFormat="1" applyFont="1" applyAlignment="1">
      <alignment horizontal="right" vertical="center"/>
    </xf>
    <xf numFmtId="167" fontId="27" fillId="0" borderId="0" xfId="0" applyNumberFormat="1" applyFont="1" applyAlignment="1">
      <alignment horizontal="right" vertical="center"/>
    </xf>
    <xf numFmtId="2" fontId="27" fillId="0" borderId="0" xfId="0" applyNumberFormat="1" applyFont="1" applyAlignment="1">
      <alignment horizontal="right" vertical="center"/>
    </xf>
    <xf numFmtId="165" fontId="27" fillId="0" borderId="0" xfId="2" applyNumberFormat="1" applyFont="1" applyFill="1" applyBorder="1" applyAlignment="1">
      <alignment horizontal="right" vertical="center"/>
    </xf>
    <xf numFmtId="165" fontId="44" fillId="0" borderId="0" xfId="2" applyNumberFormat="1" applyFont="1" applyFill="1" applyBorder="1" applyAlignment="1">
      <alignment horizontal="right" vertical="center"/>
    </xf>
    <xf numFmtId="165" fontId="50" fillId="0" borderId="9" xfId="2" applyNumberFormat="1" applyFont="1" applyFill="1" applyBorder="1" applyAlignment="1">
      <alignment horizontal="right" vertical="center"/>
    </xf>
    <xf numFmtId="167" fontId="43" fillId="0" borderId="39" xfId="0" applyNumberFormat="1" applyFont="1" applyBorder="1" applyAlignment="1">
      <alignment horizontal="left" vertical="center"/>
    </xf>
    <xf numFmtId="165" fontId="48" fillId="0" borderId="31" xfId="2" applyNumberFormat="1" applyFont="1" applyFill="1" applyBorder="1" applyAlignment="1">
      <alignment vertical="center"/>
    </xf>
    <xf numFmtId="179" fontId="43" fillId="0" borderId="40" xfId="0" applyNumberFormat="1" applyFont="1" applyBorder="1" applyAlignment="1">
      <alignment horizontal="right"/>
    </xf>
    <xf numFmtId="0" fontId="51" fillId="0" borderId="0" xfId="12" applyFont="1" applyAlignment="1">
      <alignment horizontal="right" vertical="center"/>
    </xf>
    <xf numFmtId="0" fontId="51" fillId="0" borderId="0" xfId="12" applyFont="1" applyAlignment="1">
      <alignment horizontal="left" vertical="center"/>
    </xf>
    <xf numFmtId="2" fontId="51" fillId="0" borderId="0" xfId="12" applyNumberFormat="1" applyFont="1" applyAlignment="1">
      <alignment horizontal="right" vertical="center"/>
    </xf>
    <xf numFmtId="0" fontId="37" fillId="0" borderId="0" xfId="0" applyFont="1" applyAlignment="1">
      <alignment horizontal="right"/>
    </xf>
    <xf numFmtId="165" fontId="37" fillId="0" borderId="0" xfId="2" applyNumberFormat="1" applyFont="1" applyFill="1" applyBorder="1" applyAlignment="1">
      <alignment horizontal="right"/>
    </xf>
    <xf numFmtId="0" fontId="45" fillId="0" borderId="0" xfId="0" applyFont="1" applyAlignment="1">
      <alignment horizontal="left"/>
    </xf>
    <xf numFmtId="0" fontId="45" fillId="0" borderId="0" xfId="0" applyFont="1" applyAlignment="1">
      <alignment horizontal="center"/>
    </xf>
    <xf numFmtId="49" fontId="52" fillId="0" borderId="0" xfId="0" applyNumberFormat="1" applyFont="1" applyAlignment="1">
      <alignment horizontal="center" vertical="top"/>
    </xf>
    <xf numFmtId="180" fontId="43" fillId="0" borderId="0" xfId="0" applyNumberFormat="1" applyFont="1" applyAlignment="1">
      <alignment horizontal="right"/>
    </xf>
    <xf numFmtId="43" fontId="27" fillId="0" borderId="0" xfId="2" applyFont="1" applyFill="1" applyAlignment="1">
      <alignment horizontal="right"/>
    </xf>
    <xf numFmtId="165" fontId="43" fillId="0" borderId="0" xfId="2" applyNumberFormat="1" applyFont="1" applyFill="1" applyBorder="1" applyAlignment="1">
      <alignment horizontal="right" vertical="top"/>
    </xf>
    <xf numFmtId="165" fontId="37" fillId="0" borderId="0" xfId="0" applyNumberFormat="1" applyFont="1" applyAlignment="1">
      <alignment horizontal="right" vertical="top"/>
    </xf>
    <xf numFmtId="44" fontId="37" fillId="0" borderId="0" xfId="0" applyNumberFormat="1" applyFont="1" applyAlignment="1">
      <alignment horizontal="right" vertical="top"/>
    </xf>
    <xf numFmtId="179" fontId="43" fillId="0" borderId="0" xfId="0" applyNumberFormat="1" applyFont="1" applyAlignment="1">
      <alignment horizontal="right"/>
    </xf>
    <xf numFmtId="181" fontId="37" fillId="0" borderId="0" xfId="0" applyNumberFormat="1" applyFont="1" applyAlignment="1">
      <alignment horizontal="right" vertical="top"/>
    </xf>
    <xf numFmtId="0" fontId="45" fillId="0" borderId="0" xfId="0" applyFont="1" applyAlignment="1">
      <alignment horizontal="left" vertical="center"/>
    </xf>
    <xf numFmtId="166" fontId="52" fillId="0" borderId="0" xfId="0" applyNumberFormat="1" applyFont="1" applyAlignment="1">
      <alignment horizontal="left" vertical="top"/>
    </xf>
    <xf numFmtId="0" fontId="40" fillId="0" borderId="0" xfId="0" applyFont="1"/>
    <xf numFmtId="167" fontId="20" fillId="0" borderId="0" xfId="0" applyNumberFormat="1" applyFont="1" applyAlignment="1">
      <alignment horizontal="center"/>
    </xf>
    <xf numFmtId="0" fontId="47" fillId="0" borderId="0" xfId="0" applyFont="1" applyAlignment="1">
      <alignment horizontal="right"/>
    </xf>
    <xf numFmtId="165" fontId="34" fillId="0" borderId="0" xfId="2" applyNumberFormat="1" applyFont="1" applyFill="1"/>
    <xf numFmtId="180" fontId="34" fillId="0" borderId="0" xfId="0" applyNumberFormat="1" applyFont="1"/>
    <xf numFmtId="0" fontId="36" fillId="18" borderId="4" xfId="0" applyFont="1" applyFill="1" applyBorder="1" applyAlignment="1">
      <alignment horizontal="center"/>
    </xf>
    <xf numFmtId="0" fontId="36" fillId="18" borderId="4" xfId="0" applyFont="1" applyFill="1" applyBorder="1"/>
    <xf numFmtId="0" fontId="53" fillId="0" borderId="0" xfId="13" applyFont="1" applyAlignment="1">
      <alignment horizontal="left"/>
    </xf>
    <xf numFmtId="0" fontId="27" fillId="0" borderId="0" xfId="13" applyFont="1" applyAlignment="1">
      <alignment horizontal="left"/>
    </xf>
    <xf numFmtId="1" fontId="27" fillId="0" borderId="0" xfId="13" applyNumberFormat="1" applyFont="1" applyAlignment="1">
      <alignment horizontal="left"/>
    </xf>
    <xf numFmtId="0" fontId="26" fillId="0" borderId="0" xfId="13" applyAlignment="1">
      <alignment horizontal="left"/>
    </xf>
    <xf numFmtId="0" fontId="54" fillId="0" borderId="0" xfId="13" applyFont="1" applyAlignment="1">
      <alignment horizontal="center" vertical="center" wrapText="1" readingOrder="1"/>
    </xf>
    <xf numFmtId="0" fontId="44" fillId="4" borderId="4" xfId="13" applyFont="1" applyFill="1" applyBorder="1" applyAlignment="1">
      <alignment horizontal="center" vertical="center" wrapText="1" readingOrder="1"/>
    </xf>
    <xf numFmtId="0" fontId="57" fillId="0" borderId="0" xfId="13" applyFont="1" applyAlignment="1">
      <alignment horizontal="left"/>
    </xf>
    <xf numFmtId="0" fontId="53" fillId="0" borderId="0" xfId="13" applyFont="1" applyAlignment="1">
      <alignment horizontal="left" vertical="top" wrapText="1" readingOrder="1"/>
    </xf>
    <xf numFmtId="182" fontId="50" fillId="0" borderId="0" xfId="13" applyNumberFormat="1" applyFont="1" applyAlignment="1">
      <alignment horizontal="left"/>
    </xf>
    <xf numFmtId="43" fontId="26" fillId="0" borderId="0" xfId="13" applyNumberFormat="1" applyAlignment="1">
      <alignment horizontal="left"/>
    </xf>
    <xf numFmtId="0" fontId="50" fillId="0" borderId="0" xfId="13" applyFont="1" applyAlignment="1">
      <alignment horizontal="left"/>
    </xf>
    <xf numFmtId="1" fontId="53" fillId="0" borderId="0" xfId="13" applyNumberFormat="1" applyFont="1" applyAlignment="1">
      <alignment horizontal="left"/>
    </xf>
    <xf numFmtId="0" fontId="53" fillId="0" borderId="0" xfId="13" applyFont="1">
      <alignment vertical="top"/>
    </xf>
    <xf numFmtId="0" fontId="50" fillId="0" borderId="0" xfId="13" applyFont="1">
      <alignment vertical="top"/>
    </xf>
    <xf numFmtId="1" fontId="53" fillId="0" borderId="0" xfId="13" applyNumberFormat="1" applyFont="1">
      <alignment vertical="top"/>
    </xf>
    <xf numFmtId="0" fontId="54" fillId="0" borderId="0" xfId="13" applyFont="1" applyAlignment="1">
      <alignment vertical="top" wrapText="1"/>
    </xf>
    <xf numFmtId="0" fontId="54" fillId="0" borderId="0" xfId="13" applyFont="1" applyAlignment="1">
      <alignment horizontal="center" vertical="top" wrapText="1"/>
    </xf>
    <xf numFmtId="3" fontId="54" fillId="0" borderId="0" xfId="13" applyNumberFormat="1" applyFont="1" applyAlignment="1">
      <alignment horizontal="right" vertical="top"/>
    </xf>
    <xf numFmtId="3" fontId="54" fillId="0" borderId="0" xfId="13" applyNumberFormat="1" applyFont="1" applyAlignment="1">
      <alignment horizontal="center" vertical="top" wrapText="1"/>
    </xf>
    <xf numFmtId="0" fontId="26" fillId="0" borderId="0" xfId="13">
      <alignment vertical="top"/>
    </xf>
    <xf numFmtId="1" fontId="26" fillId="0" borderId="0" xfId="13" applyNumberFormat="1">
      <alignment vertical="top"/>
    </xf>
    <xf numFmtId="0" fontId="60" fillId="0" borderId="0" xfId="13" applyFont="1" applyAlignment="1">
      <alignment vertical="center"/>
    </xf>
    <xf numFmtId="0" fontId="59" fillId="0" borderId="0" xfId="13" applyFont="1" applyAlignment="1">
      <alignment vertical="top" wrapText="1" readingOrder="1"/>
    </xf>
    <xf numFmtId="0" fontId="61" fillId="0" borderId="0" xfId="13" applyFont="1" applyAlignment="1">
      <alignment vertical="top" wrapText="1" readingOrder="1"/>
    </xf>
    <xf numFmtId="0" fontId="62" fillId="0" borderId="0" xfId="13" applyFont="1" applyAlignment="1">
      <alignment vertical="center"/>
    </xf>
    <xf numFmtId="1" fontId="26" fillId="0" borderId="0" xfId="13" applyNumberFormat="1" applyAlignment="1">
      <alignment vertical="top" wrapText="1"/>
    </xf>
    <xf numFmtId="0" fontId="26" fillId="0" borderId="0" xfId="13" applyAlignment="1">
      <alignment vertical="top" wrapText="1"/>
    </xf>
    <xf numFmtId="0" fontId="53" fillId="0" borderId="0" xfId="13" applyFont="1" applyAlignment="1">
      <alignment horizontal="center" vertical="top" wrapText="1" readingOrder="1"/>
    </xf>
    <xf numFmtId="44" fontId="27" fillId="0" borderId="9" xfId="1" applyFont="1" applyFill="1" applyBorder="1" applyAlignment="1">
      <alignment vertical="center"/>
    </xf>
    <xf numFmtId="44" fontId="2" fillId="15" borderId="0" xfId="1" applyFont="1" applyFill="1" applyBorder="1"/>
    <xf numFmtId="0" fontId="54" fillId="0" borderId="0" xfId="13" applyFont="1" applyAlignment="1">
      <alignment horizontal="center" vertical="center" wrapText="1"/>
    </xf>
    <xf numFmtId="0" fontId="60" fillId="0" borderId="0" xfId="13" applyFont="1" applyAlignment="1">
      <alignment horizontal="left" vertical="center"/>
    </xf>
    <xf numFmtId="44" fontId="53" fillId="0" borderId="0" xfId="13" applyNumberFormat="1" applyFont="1" applyAlignment="1">
      <alignment horizontal="left"/>
    </xf>
    <xf numFmtId="0" fontId="26" fillId="15" borderId="0" xfId="13" applyFill="1" applyAlignment="1">
      <alignment horizontal="left"/>
    </xf>
    <xf numFmtId="167" fontId="43" fillId="0" borderId="25" xfId="0" applyNumberFormat="1" applyFont="1" applyBorder="1" applyAlignment="1">
      <alignment vertical="center"/>
    </xf>
    <xf numFmtId="167" fontId="43" fillId="0" borderId="26" xfId="0" applyNumberFormat="1" applyFont="1" applyBorder="1" applyAlignment="1">
      <alignment vertical="center"/>
    </xf>
    <xf numFmtId="0" fontId="8" fillId="0" borderId="0" xfId="0" applyFont="1" applyAlignment="1">
      <alignment horizontal="center" vertical="center"/>
    </xf>
    <xf numFmtId="0" fontId="40" fillId="16" borderId="10" xfId="0" applyFont="1" applyFill="1" applyBorder="1" applyAlignment="1">
      <alignment horizontal="center" vertical="center"/>
    </xf>
    <xf numFmtId="49" fontId="40" fillId="16" borderId="10" xfId="0" applyNumberFormat="1" applyFont="1" applyFill="1" applyBorder="1" applyAlignment="1">
      <alignment horizontal="center" vertical="center" wrapText="1"/>
    </xf>
    <xf numFmtId="0" fontId="28" fillId="16" borderId="10" xfId="0" applyFont="1" applyFill="1" applyBorder="1" applyAlignment="1">
      <alignment horizontal="center" vertical="center"/>
    </xf>
    <xf numFmtId="0" fontId="40" fillId="16" borderId="10" xfId="0" applyFont="1" applyFill="1" applyBorder="1" applyAlignment="1">
      <alignment horizontal="center" vertical="center" wrapText="1"/>
    </xf>
    <xf numFmtId="0" fontId="36" fillId="9" borderId="5" xfId="0" applyFont="1" applyFill="1" applyBorder="1" applyAlignment="1">
      <alignment horizontal="center"/>
    </xf>
    <xf numFmtId="0" fontId="4" fillId="0" borderId="0" xfId="0" applyFont="1" applyAlignment="1">
      <alignment horizontal="center" vertical="center"/>
    </xf>
    <xf numFmtId="0" fontId="32" fillId="0" borderId="0" xfId="0" applyFont="1"/>
    <xf numFmtId="0" fontId="32" fillId="2" borderId="0" xfId="0" applyFont="1" applyFill="1"/>
    <xf numFmtId="0" fontId="28" fillId="2" borderId="0" xfId="16" applyFont="1" applyFill="1" applyAlignment="1">
      <alignment horizontal="right" vertical="center"/>
    </xf>
    <xf numFmtId="49" fontId="11" fillId="2" borderId="0" xfId="16" applyNumberFormat="1" applyFont="1" applyFill="1" applyAlignment="1">
      <alignment horizontal="center" vertical="center"/>
    </xf>
    <xf numFmtId="2" fontId="28" fillId="2" borderId="0" xfId="4" applyNumberFormat="1" applyFont="1" applyFill="1" applyBorder="1" applyAlignment="1">
      <alignment horizontal="right" vertical="center"/>
    </xf>
    <xf numFmtId="49" fontId="24" fillId="2" borderId="0" xfId="4" applyNumberFormat="1" applyFont="1" applyFill="1" applyBorder="1" applyAlignment="1">
      <alignment horizontal="left"/>
    </xf>
    <xf numFmtId="49" fontId="32" fillId="2" borderId="0" xfId="0" applyNumberFormat="1" applyFont="1" applyFill="1"/>
    <xf numFmtId="183" fontId="32" fillId="2" borderId="0" xfId="0" applyNumberFormat="1" applyFont="1" applyFill="1"/>
    <xf numFmtId="43" fontId="32" fillId="2" borderId="0" xfId="4" applyFont="1" applyFill="1"/>
    <xf numFmtId="1" fontId="28" fillId="2" borderId="0" xfId="16" applyNumberFormat="1" applyFont="1" applyFill="1" applyAlignment="1">
      <alignment horizontal="right"/>
    </xf>
    <xf numFmtId="14" fontId="11" fillId="2" borderId="0" xfId="16" applyNumberFormat="1" applyFont="1" applyFill="1" applyAlignment="1">
      <alignment horizontal="center" vertical="center"/>
    </xf>
    <xf numFmtId="49" fontId="28" fillId="2" borderId="0" xfId="16" applyNumberFormat="1" applyFont="1" applyFill="1" applyAlignment="1">
      <alignment horizontal="right" vertical="center"/>
    </xf>
    <xf numFmtId="1" fontId="28" fillId="2" borderId="0" xfId="16" applyNumberFormat="1" applyFont="1" applyFill="1" applyAlignment="1">
      <alignment horizontal="right" vertical="center"/>
    </xf>
    <xf numFmtId="17" fontId="32" fillId="2" borderId="0" xfId="10" applyNumberFormat="1" applyFont="1" applyFill="1" applyBorder="1" applyAlignment="1">
      <alignment horizontal="center" vertical="center"/>
    </xf>
    <xf numFmtId="2" fontId="32" fillId="2" borderId="0" xfId="0" applyNumberFormat="1" applyFont="1" applyFill="1"/>
    <xf numFmtId="0" fontId="34" fillId="7" borderId="47" xfId="10" applyNumberFormat="1" applyFont="1" applyFill="1" applyBorder="1" applyAlignment="1">
      <alignment horizontal="center" vertical="center"/>
    </xf>
    <xf numFmtId="0" fontId="32" fillId="2" borderId="0" xfId="0" quotePrefix="1" applyFont="1" applyFill="1"/>
    <xf numFmtId="14" fontId="11" fillId="16" borderId="0" xfId="16" applyNumberFormat="1" applyFont="1" applyFill="1" applyAlignment="1">
      <alignment horizontal="left" vertical="center"/>
    </xf>
    <xf numFmtId="0" fontId="65" fillId="2" borderId="0" xfId="0" applyFont="1" applyFill="1"/>
    <xf numFmtId="0" fontId="65" fillId="7" borderId="5" xfId="0" applyFont="1" applyFill="1" applyBorder="1" applyAlignment="1">
      <alignment horizontal="center" vertical="center" wrapText="1"/>
    </xf>
    <xf numFmtId="49" fontId="63" fillId="7" borderId="5" xfId="0" applyNumberFormat="1" applyFont="1" applyFill="1" applyBorder="1" applyAlignment="1">
      <alignment horizontal="center" vertical="center" wrapText="1"/>
    </xf>
    <xf numFmtId="0" fontId="65" fillId="7" borderId="4" xfId="0" applyFont="1" applyFill="1" applyBorder="1" applyAlignment="1">
      <alignment horizontal="center" vertical="center" wrapText="1"/>
    </xf>
    <xf numFmtId="0" fontId="65" fillId="7" borderId="1" xfId="0" applyFont="1" applyFill="1" applyBorder="1" applyAlignment="1">
      <alignment horizontal="center" vertical="center" wrapText="1"/>
    </xf>
    <xf numFmtId="0" fontId="65" fillId="7" borderId="3" xfId="0" applyFont="1" applyFill="1" applyBorder="1" applyAlignment="1">
      <alignment horizontal="center" vertical="center" wrapText="1"/>
    </xf>
    <xf numFmtId="43" fontId="65" fillId="7" borderId="42" xfId="4" applyFont="1" applyFill="1" applyBorder="1" applyAlignment="1">
      <alignment horizontal="center" vertical="center" wrapText="1"/>
    </xf>
    <xf numFmtId="0" fontId="65" fillId="7" borderId="2" xfId="0" applyFont="1" applyFill="1" applyBorder="1" applyAlignment="1">
      <alignment horizontal="center" vertical="center" wrapText="1"/>
    </xf>
    <xf numFmtId="0" fontId="65" fillId="0" borderId="0" xfId="0" applyFont="1" applyAlignment="1">
      <alignment horizontal="center" vertical="center" wrapText="1"/>
    </xf>
    <xf numFmtId="0" fontId="65" fillId="7" borderId="6" xfId="0" applyFont="1" applyFill="1" applyBorder="1" applyAlignment="1">
      <alignment horizontal="center" vertical="center" wrapText="1"/>
    </xf>
    <xf numFmtId="49" fontId="63" fillId="7" borderId="6" xfId="0" applyNumberFormat="1" applyFont="1" applyFill="1" applyBorder="1" applyAlignment="1">
      <alignment horizontal="center" vertical="center" wrapText="1"/>
    </xf>
    <xf numFmtId="183" fontId="63" fillId="7" borderId="4" xfId="0" applyNumberFormat="1" applyFont="1" applyFill="1" applyBorder="1" applyAlignment="1">
      <alignment horizontal="center" vertical="center" wrapText="1"/>
    </xf>
    <xf numFmtId="43" fontId="63" fillId="7" borderId="4" xfId="4" applyFont="1" applyFill="1" applyBorder="1" applyAlignment="1">
      <alignment horizontal="center" vertical="center" wrapText="1"/>
    </xf>
    <xf numFmtId="49" fontId="63" fillId="7" borderId="7" xfId="0" applyNumberFormat="1" applyFont="1" applyFill="1" applyBorder="1" applyAlignment="1">
      <alignment horizontal="center" vertical="center" wrapText="1"/>
    </xf>
    <xf numFmtId="49" fontId="63" fillId="7" borderId="4" xfId="0" applyNumberFormat="1" applyFont="1" applyFill="1" applyBorder="1" applyAlignment="1">
      <alignment horizontal="center" vertical="center" wrapText="1"/>
    </xf>
    <xf numFmtId="0" fontId="32" fillId="0" borderId="0" xfId="0" applyFont="1" applyAlignment="1">
      <alignment horizontal="center" vertical="center" wrapText="1"/>
    </xf>
    <xf numFmtId="165" fontId="32" fillId="7" borderId="4" xfId="4" applyNumberFormat="1" applyFont="1" applyFill="1" applyBorder="1"/>
    <xf numFmtId="43" fontId="32" fillId="0" borderId="4" xfId="0" applyNumberFormat="1" applyFont="1" applyBorder="1"/>
    <xf numFmtId="0" fontId="32" fillId="7" borderId="4" xfId="0" applyFont="1" applyFill="1" applyBorder="1"/>
    <xf numFmtId="0" fontId="32" fillId="7" borderId="4" xfId="0" applyFont="1" applyFill="1" applyBorder="1" applyAlignment="1">
      <alignment horizontal="center"/>
    </xf>
    <xf numFmtId="43" fontId="32" fillId="7" borderId="4" xfId="0" applyNumberFormat="1" applyFont="1" applyFill="1" applyBorder="1" applyAlignment="1">
      <alignment horizontal="center"/>
    </xf>
    <xf numFmtId="183" fontId="32" fillId="7" borderId="4" xfId="0" applyNumberFormat="1" applyFont="1" applyFill="1" applyBorder="1" applyAlignment="1">
      <alignment horizontal="center"/>
    </xf>
    <xf numFmtId="43" fontId="32" fillId="7" borderId="4" xfId="4" applyFont="1" applyFill="1" applyBorder="1"/>
    <xf numFmtId="183" fontId="32" fillId="0" borderId="0" xfId="0" applyNumberFormat="1" applyFont="1"/>
    <xf numFmtId="43" fontId="32" fillId="0" borderId="0" xfId="4" applyFont="1"/>
    <xf numFmtId="165" fontId="32" fillId="0" borderId="0" xfId="4" applyNumberFormat="1" applyFont="1"/>
    <xf numFmtId="0" fontId="63" fillId="0" borderId="0" xfId="16" applyFont="1" applyAlignment="1">
      <alignment vertical="center"/>
    </xf>
    <xf numFmtId="0" fontId="32" fillId="0" borderId="22" xfId="0" applyFont="1" applyBorder="1"/>
    <xf numFmtId="183" fontId="32" fillId="0" borderId="19" xfId="0" applyNumberFormat="1" applyFont="1" applyBorder="1"/>
    <xf numFmtId="165" fontId="11" fillId="0" borderId="32" xfId="0" applyNumberFormat="1" applyFont="1" applyBorder="1"/>
    <xf numFmtId="0" fontId="32" fillId="0" borderId="24" xfId="0" applyFont="1" applyBorder="1"/>
    <xf numFmtId="165" fontId="32" fillId="0" borderId="33" xfId="0" applyNumberFormat="1" applyFont="1" applyBorder="1"/>
    <xf numFmtId="0" fontId="24" fillId="0" borderId="0" xfId="12" applyFont="1"/>
    <xf numFmtId="0" fontId="28" fillId="0" borderId="0" xfId="16" applyFont="1" applyAlignment="1">
      <alignment horizontal="center" vertical="center"/>
    </xf>
    <xf numFmtId="0" fontId="65" fillId="16" borderId="23" xfId="0" applyFont="1" applyFill="1" applyBorder="1"/>
    <xf numFmtId="183" fontId="65" fillId="16" borderId="21" xfId="0" applyNumberFormat="1" applyFont="1" applyFill="1" applyBorder="1"/>
    <xf numFmtId="165" fontId="28" fillId="16" borderId="34" xfId="0" applyNumberFormat="1" applyFont="1" applyFill="1" applyBorder="1"/>
    <xf numFmtId="0" fontId="65" fillId="0" borderId="0" xfId="0" applyFont="1"/>
    <xf numFmtId="0" fontId="63" fillId="0" borderId="0" xfId="12" applyFont="1"/>
    <xf numFmtId="183" fontId="65" fillId="0" borderId="0" xfId="0" applyNumberFormat="1" applyFont="1"/>
    <xf numFmtId="43" fontId="65" fillId="0" borderId="0" xfId="4" applyFont="1"/>
    <xf numFmtId="165" fontId="65" fillId="0" borderId="0" xfId="4" applyNumberFormat="1" applyFont="1"/>
    <xf numFmtId="0" fontId="66" fillId="0" borderId="0" xfId="12" applyFont="1"/>
    <xf numFmtId="0" fontId="67" fillId="0" borderId="0" xfId="12" applyFont="1"/>
    <xf numFmtId="2" fontId="43" fillId="0" borderId="26" xfId="0" applyNumberFormat="1" applyFont="1" applyBorder="1" applyAlignment="1">
      <alignment vertical="center"/>
    </xf>
    <xf numFmtId="17" fontId="0" fillId="0" borderId="10" xfId="0" applyNumberFormat="1" applyBorder="1" applyAlignment="1">
      <alignment horizontal="left" vertical="center"/>
    </xf>
    <xf numFmtId="44" fontId="0" fillId="0" borderId="10" xfId="1" applyFont="1" applyFill="1" applyBorder="1"/>
    <xf numFmtId="44" fontId="0" fillId="0" borderId="5" xfId="1" applyFont="1" applyFill="1" applyBorder="1"/>
    <xf numFmtId="2" fontId="0" fillId="0" borderId="4" xfId="0" applyNumberFormat="1" applyBorder="1" applyAlignment="1">
      <alignment horizontal="left" vertical="center"/>
    </xf>
    <xf numFmtId="2" fontId="34" fillId="0" borderId="4" xfId="0" applyNumberFormat="1" applyFont="1" applyBorder="1" applyAlignment="1">
      <alignment horizontal="left" vertical="center"/>
    </xf>
    <xf numFmtId="1" fontId="34" fillId="0" borderId="4" xfId="0" applyNumberFormat="1" applyFont="1" applyBorder="1" applyAlignment="1">
      <alignment horizontal="center" vertical="center"/>
    </xf>
    <xf numFmtId="0" fontId="0" fillId="0" borderId="4" xfId="0" applyBorder="1" applyAlignment="1">
      <alignment horizontal="center"/>
    </xf>
    <xf numFmtId="2" fontId="0" fillId="0" borderId="4" xfId="0" applyNumberFormat="1" applyBorder="1" applyAlignment="1">
      <alignment horizontal="left"/>
    </xf>
    <xf numFmtId="1" fontId="0" fillId="0" borderId="4" xfId="0" applyNumberFormat="1" applyBorder="1" applyAlignment="1">
      <alignment horizontal="center"/>
    </xf>
    <xf numFmtId="1" fontId="39" fillId="0" borderId="4" xfId="0" applyNumberFormat="1" applyFont="1" applyBorder="1" applyAlignment="1">
      <alignment horizontal="center" vertical="top" shrinkToFit="1"/>
    </xf>
    <xf numFmtId="2" fontId="39" fillId="0" borderId="4" xfId="0" applyNumberFormat="1" applyFont="1" applyBorder="1" applyAlignment="1">
      <alignment horizontal="left" vertical="top" shrinkToFit="1"/>
    </xf>
    <xf numFmtId="2" fontId="0" fillId="0" borderId="4" xfId="0" applyNumberFormat="1" applyBorder="1" applyAlignment="1">
      <alignment horizontal="left" vertical="center" wrapText="1"/>
    </xf>
    <xf numFmtId="1" fontId="0" fillId="0" borderId="4" xfId="0" applyNumberFormat="1" applyBorder="1" applyAlignment="1">
      <alignment horizontal="center" vertical="center"/>
    </xf>
    <xf numFmtId="0" fontId="40" fillId="14" borderId="10" xfId="0" applyFont="1" applyFill="1" applyBorder="1" applyAlignment="1">
      <alignment horizontal="left" wrapText="1"/>
    </xf>
    <xf numFmtId="0" fontId="40" fillId="14" borderId="10" xfId="0" applyFont="1" applyFill="1" applyBorder="1" applyAlignment="1">
      <alignment horizontal="center" wrapText="1"/>
    </xf>
    <xf numFmtId="0" fontId="2" fillId="8" borderId="5" xfId="0" applyFont="1" applyFill="1" applyBorder="1" applyAlignment="1">
      <alignment horizontal="center"/>
    </xf>
    <xf numFmtId="2" fontId="0" fillId="0" borderId="10" xfId="0" applyNumberFormat="1" applyBorder="1" applyAlignment="1">
      <alignment horizontal="left" vertical="center"/>
    </xf>
    <xf numFmtId="43" fontId="34" fillId="0" borderId="10" xfId="4" applyFont="1" applyFill="1" applyBorder="1" applyAlignment="1">
      <alignment horizontal="left" vertical="center"/>
    </xf>
    <xf numFmtId="44" fontId="0" fillId="0" borderId="5" xfId="0" applyNumberFormat="1" applyBorder="1" applyAlignment="1">
      <alignment vertical="center"/>
    </xf>
    <xf numFmtId="165" fontId="34" fillId="0" borderId="10" xfId="2" applyNumberFormat="1" applyFont="1" applyFill="1" applyBorder="1" applyAlignment="1">
      <alignment horizontal="left" vertical="center"/>
    </xf>
    <xf numFmtId="1" fontId="34" fillId="0" borderId="10" xfId="0" applyNumberFormat="1" applyFont="1" applyBorder="1" applyAlignment="1">
      <alignment horizontal="left" vertical="center"/>
    </xf>
    <xf numFmtId="2" fontId="34" fillId="0" borderId="10" xfId="0" applyNumberFormat="1" applyFont="1" applyBorder="1" applyAlignment="1">
      <alignment horizontal="left" vertical="center"/>
    </xf>
    <xf numFmtId="1" fontId="0" fillId="0" borderId="10" xfId="0" applyNumberFormat="1" applyBorder="1" applyAlignment="1">
      <alignment horizontal="center"/>
    </xf>
    <xf numFmtId="0" fontId="28" fillId="14" borderId="4" xfId="0" applyFont="1" applyFill="1" applyBorder="1" applyAlignment="1">
      <alignment horizontal="left" vertical="center"/>
    </xf>
    <xf numFmtId="0" fontId="42" fillId="9" borderId="4" xfId="0" applyFont="1" applyFill="1" applyBorder="1" applyAlignment="1">
      <alignment horizontal="center"/>
    </xf>
    <xf numFmtId="44" fontId="1" fillId="0" borderId="4" xfId="1" applyFont="1" applyFill="1" applyBorder="1"/>
    <xf numFmtId="43" fontId="34" fillId="0" borderId="4" xfId="4" applyFont="1" applyFill="1" applyBorder="1" applyAlignment="1">
      <alignment horizontal="left" vertical="center"/>
    </xf>
    <xf numFmtId="44" fontId="0" fillId="0" borderId="4" xfId="0" applyNumberFormat="1" applyBorder="1" applyAlignment="1">
      <alignment vertical="center"/>
    </xf>
    <xf numFmtId="43" fontId="39" fillId="0" borderId="4" xfId="4" applyFont="1" applyFill="1" applyBorder="1" applyAlignment="1">
      <alignment horizontal="left" vertical="top" shrinkToFit="1"/>
    </xf>
    <xf numFmtId="43" fontId="0" fillId="0" borderId="4" xfId="4" applyFont="1" applyFill="1" applyBorder="1" applyAlignment="1">
      <alignment horizontal="left"/>
    </xf>
    <xf numFmtId="43" fontId="0" fillId="0" borderId="4" xfId="4" applyFont="1" applyFill="1" applyBorder="1" applyAlignment="1">
      <alignment horizontal="left" vertical="center" wrapText="1"/>
    </xf>
    <xf numFmtId="43" fontId="0" fillId="0" borderId="4" xfId="4" applyFont="1" applyFill="1" applyBorder="1" applyAlignment="1">
      <alignment horizontal="left" vertical="center"/>
    </xf>
    <xf numFmtId="16" fontId="0" fillId="0" borderId="4" xfId="0" applyNumberFormat="1" applyBorder="1" applyAlignment="1">
      <alignment horizontal="left"/>
    </xf>
    <xf numFmtId="16" fontId="2" fillId="0" borderId="4" xfId="0" applyNumberFormat="1" applyFont="1" applyBorder="1" applyAlignment="1">
      <alignment horizontal="left"/>
    </xf>
    <xf numFmtId="17" fontId="0" fillId="0" borderId="10" xfId="0" applyNumberFormat="1" applyBorder="1" applyAlignment="1">
      <alignment vertical="center"/>
    </xf>
    <xf numFmtId="17" fontId="2" fillId="0" borderId="10" xfId="0" applyNumberFormat="1" applyFont="1" applyBorder="1" applyAlignment="1">
      <alignment vertical="center"/>
    </xf>
    <xf numFmtId="1" fontId="40" fillId="16" borderId="10" xfId="0" applyNumberFormat="1" applyFont="1" applyFill="1" applyBorder="1" applyAlignment="1">
      <alignment horizontal="center" vertical="center"/>
    </xf>
    <xf numFmtId="1" fontId="40" fillId="16" borderId="10" xfId="0" applyNumberFormat="1" applyFont="1" applyFill="1" applyBorder="1" applyAlignment="1">
      <alignment horizontal="center" vertical="center" wrapText="1"/>
    </xf>
    <xf numFmtId="0" fontId="28" fillId="16" borderId="10" xfId="0" applyFont="1" applyFill="1" applyBorder="1" applyAlignment="1">
      <alignment horizontal="center" vertical="center" wrapText="1"/>
    </xf>
    <xf numFmtId="1" fontId="40" fillId="16" borderId="10" xfId="0" applyNumberFormat="1" applyFont="1" applyFill="1" applyBorder="1" applyAlignment="1">
      <alignment horizontal="left" vertical="center" wrapText="1"/>
    </xf>
    <xf numFmtId="0" fontId="28" fillId="16" borderId="5" xfId="0" applyFont="1" applyFill="1" applyBorder="1" applyAlignment="1">
      <alignment horizontal="center" vertical="center" wrapText="1"/>
    </xf>
    <xf numFmtId="1" fontId="0" fillId="0" borderId="4" xfId="0" applyNumberFormat="1" applyBorder="1" applyAlignment="1">
      <alignment horizontal="left"/>
    </xf>
    <xf numFmtId="4" fontId="54" fillId="0" borderId="0" xfId="13" applyNumberFormat="1" applyFont="1" applyAlignment="1">
      <alignment horizontal="center" vertical="top" wrapText="1"/>
    </xf>
    <xf numFmtId="0" fontId="25" fillId="0" borderId="0" xfId="0" applyFont="1" applyAlignment="1">
      <alignment horizontal="center" vertical="center"/>
    </xf>
    <xf numFmtId="177" fontId="0" fillId="0" borderId="4" xfId="1" applyNumberFormat="1" applyFont="1" applyFill="1" applyBorder="1" applyAlignment="1">
      <alignment horizontal="center" vertical="center"/>
    </xf>
    <xf numFmtId="44" fontId="2" fillId="0" borderId="4" xfId="1" applyFont="1" applyFill="1" applyBorder="1" applyAlignment="1">
      <alignment horizontal="center" vertical="center"/>
    </xf>
    <xf numFmtId="172" fontId="0" fillId="0" borderId="4" xfId="1" applyNumberFormat="1" applyFont="1" applyFill="1" applyBorder="1" applyAlignment="1">
      <alignment horizontal="center" vertical="center"/>
    </xf>
    <xf numFmtId="0" fontId="4" fillId="6" borderId="4" xfId="0" applyFont="1" applyFill="1" applyBorder="1" applyAlignment="1">
      <alignment horizontal="center" vertical="center"/>
    </xf>
    <xf numFmtId="17" fontId="4" fillId="6" borderId="4" xfId="0" applyNumberFormat="1" applyFont="1" applyFill="1" applyBorder="1" applyAlignment="1">
      <alignment horizontal="center" vertical="center"/>
    </xf>
    <xf numFmtId="44" fontId="0" fillId="0" borderId="0" xfId="1" applyFont="1" applyBorder="1" applyAlignment="1">
      <alignment horizontal="center" vertical="center" wrapText="1"/>
    </xf>
    <xf numFmtId="44" fontId="2" fillId="0" borderId="0" xfId="1" applyFont="1" applyBorder="1" applyAlignment="1">
      <alignment vertical="center"/>
    </xf>
    <xf numFmtId="44" fontId="2" fillId="0" borderId="0" xfId="1" applyFont="1" applyFill="1" applyBorder="1" applyAlignment="1">
      <alignment horizontal="center" vertical="center"/>
    </xf>
    <xf numFmtId="44" fontId="2" fillId="0" borderId="0" xfId="1" applyFont="1" applyBorder="1" applyAlignment="1">
      <alignment horizontal="center" vertical="center"/>
    </xf>
    <xf numFmtId="44" fontId="0" fillId="0" borderId="0" xfId="1" applyFont="1" applyBorder="1" applyAlignment="1">
      <alignment horizontal="center" vertical="center"/>
    </xf>
    <xf numFmtId="44" fontId="8" fillId="0" borderId="0" xfId="1" applyFont="1" applyBorder="1" applyAlignment="1">
      <alignment vertical="center"/>
    </xf>
    <xf numFmtId="44" fontId="8" fillId="0" borderId="0" xfId="1" applyFont="1" applyFill="1" applyBorder="1" applyAlignment="1">
      <alignment vertical="center"/>
    </xf>
    <xf numFmtId="0" fontId="2" fillId="6" borderId="4" xfId="0" applyFont="1" applyFill="1" applyBorder="1" applyAlignment="1">
      <alignment horizontal="center" vertical="center"/>
    </xf>
    <xf numFmtId="44" fontId="2" fillId="6" borderId="4" xfId="1" applyFont="1" applyFill="1" applyBorder="1" applyAlignment="1">
      <alignment horizontal="center" vertical="center" wrapText="1"/>
    </xf>
    <xf numFmtId="0" fontId="2" fillId="6" borderId="4" xfId="0" applyFont="1" applyFill="1" applyBorder="1" applyAlignment="1">
      <alignment horizontal="center" vertical="center" wrapText="1"/>
    </xf>
    <xf numFmtId="44" fontId="0" fillId="6" borderId="4" xfId="1" applyFont="1" applyFill="1" applyBorder="1" applyAlignment="1">
      <alignment horizontal="center" vertical="center" wrapText="1"/>
    </xf>
    <xf numFmtId="0" fontId="0" fillId="6" borderId="4" xfId="0" applyFill="1" applyBorder="1" applyAlignment="1">
      <alignment horizontal="center" vertical="center"/>
    </xf>
    <xf numFmtId="0" fontId="2" fillId="6" borderId="4" xfId="0" applyFont="1" applyFill="1" applyBorder="1"/>
    <xf numFmtId="0" fontId="2" fillId="6" borderId="4" xfId="0" applyFont="1" applyFill="1" applyBorder="1" applyAlignment="1">
      <alignment horizontal="center"/>
    </xf>
    <xf numFmtId="0" fontId="2" fillId="6" borderId="4" xfId="0" applyFont="1" applyFill="1" applyBorder="1" applyAlignment="1">
      <alignment horizontal="center" wrapText="1"/>
    </xf>
    <xf numFmtId="0" fontId="2" fillId="6" borderId="7" xfId="0" applyFont="1" applyFill="1" applyBorder="1" applyAlignment="1">
      <alignment vertical="center"/>
    </xf>
    <xf numFmtId="1" fontId="8" fillId="0" borderId="4" xfId="0" applyNumberFormat="1" applyFont="1" applyBorder="1" applyAlignment="1">
      <alignment horizontal="center" vertical="center"/>
    </xf>
    <xf numFmtId="1" fontId="0" fillId="0" borderId="0" xfId="0" applyNumberFormat="1"/>
    <xf numFmtId="1" fontId="8" fillId="0" borderId="4" xfId="1" applyNumberFormat="1" applyFont="1" applyBorder="1" applyAlignment="1">
      <alignment horizontal="center" vertical="center"/>
    </xf>
    <xf numFmtId="1" fontId="14" fillId="0" borderId="4" xfId="1" applyNumberFormat="1" applyFont="1" applyFill="1" applyBorder="1" applyAlignment="1">
      <alignment horizontal="center" vertical="center"/>
    </xf>
    <xf numFmtId="1" fontId="2" fillId="6" borderId="4" xfId="0" applyNumberFormat="1" applyFont="1" applyFill="1" applyBorder="1" applyAlignment="1">
      <alignment horizontal="center" vertical="center" wrapText="1"/>
    </xf>
    <xf numFmtId="1" fontId="0" fillId="0" borderId="4" xfId="1" applyNumberFormat="1" applyFont="1" applyBorder="1" applyAlignment="1">
      <alignment vertical="center"/>
    </xf>
    <xf numFmtId="1" fontId="0" fillId="0" borderId="4" xfId="1" applyNumberFormat="1" applyFont="1" applyBorder="1" applyAlignment="1">
      <alignment horizontal="center" vertical="center"/>
    </xf>
    <xf numFmtId="1" fontId="0" fillId="0" borderId="4" xfId="0" applyNumberFormat="1" applyBorder="1" applyAlignment="1">
      <alignment vertical="center"/>
    </xf>
    <xf numFmtId="1" fontId="8" fillId="0" borderId="4" xfId="1" applyNumberFormat="1" applyFont="1" applyBorder="1" applyAlignment="1">
      <alignment vertical="center"/>
    </xf>
    <xf numFmtId="1" fontId="8" fillId="0" borderId="4" xfId="1" applyNumberFormat="1" applyFont="1" applyFill="1" applyBorder="1" applyAlignment="1">
      <alignment vertical="center"/>
    </xf>
    <xf numFmtId="1" fontId="0" fillId="0" borderId="4" xfId="1" applyNumberFormat="1" applyFont="1" applyFill="1" applyBorder="1" applyAlignment="1">
      <alignment vertical="center"/>
    </xf>
    <xf numFmtId="1" fontId="2" fillId="6" borderId="4" xfId="0" applyNumberFormat="1" applyFont="1" applyFill="1" applyBorder="1" applyAlignment="1">
      <alignment horizontal="center" vertical="center"/>
    </xf>
    <xf numFmtId="1" fontId="0" fillId="6" borderId="4" xfId="0" applyNumberFormat="1" applyFill="1" applyBorder="1" applyAlignment="1">
      <alignment horizontal="center" vertical="center"/>
    </xf>
    <xf numFmtId="1" fontId="2" fillId="6" borderId="4" xfId="0" applyNumberFormat="1" applyFont="1" applyFill="1" applyBorder="1" applyAlignment="1">
      <alignment horizontal="center"/>
    </xf>
    <xf numFmtId="1" fontId="14" fillId="0" borderId="4" xfId="1" applyNumberFormat="1" applyFont="1" applyBorder="1" applyAlignment="1">
      <alignment horizontal="center" vertical="center"/>
    </xf>
    <xf numFmtId="1" fontId="14" fillId="0" borderId="4" xfId="0" applyNumberFormat="1" applyFont="1" applyBorder="1" applyAlignment="1">
      <alignment horizontal="center" vertical="center"/>
    </xf>
    <xf numFmtId="0" fontId="68" fillId="0" borderId="0" xfId="0" applyFont="1"/>
    <xf numFmtId="0" fontId="69" fillId="0" borderId="0" xfId="0" applyFont="1"/>
    <xf numFmtId="167" fontId="68" fillId="0" borderId="0" xfId="0" applyNumberFormat="1" applyFont="1"/>
    <xf numFmtId="0" fontId="38" fillId="0" borderId="0" xfId="0" applyFont="1"/>
    <xf numFmtId="0" fontId="68" fillId="0" borderId="48" xfId="0" applyFont="1" applyBorder="1"/>
    <xf numFmtId="0" fontId="38" fillId="0" borderId="48" xfId="0" applyFont="1" applyBorder="1"/>
    <xf numFmtId="167" fontId="68" fillId="0" borderId="48" xfId="0" applyNumberFormat="1" applyFont="1" applyBorder="1"/>
    <xf numFmtId="0" fontId="70" fillId="0" borderId="0" xfId="0" applyFont="1"/>
    <xf numFmtId="167" fontId="70" fillId="0" borderId="0" xfId="0" applyNumberFormat="1" applyFont="1"/>
    <xf numFmtId="0" fontId="71" fillId="0" borderId="0" xfId="0" applyFont="1"/>
    <xf numFmtId="0" fontId="38" fillId="0" borderId="0" xfId="0" applyFont="1" applyAlignment="1">
      <alignment horizontal="left"/>
    </xf>
    <xf numFmtId="15" fontId="38" fillId="0" borderId="0" xfId="0" applyNumberFormat="1" applyFont="1"/>
    <xf numFmtId="0" fontId="73" fillId="9" borderId="4" xfId="0" applyFont="1" applyFill="1" applyBorder="1" applyAlignment="1">
      <alignment horizontal="center" vertical="center" wrapText="1"/>
    </xf>
    <xf numFmtId="0" fontId="68" fillId="0" borderId="0" xfId="0" applyFont="1" applyAlignment="1">
      <alignment horizontal="center" vertical="center" wrapText="1"/>
    </xf>
    <xf numFmtId="0" fontId="73" fillId="9" borderId="51" xfId="0" applyFont="1" applyFill="1" applyBorder="1" applyAlignment="1">
      <alignment horizontal="center" vertical="center" wrapText="1"/>
    </xf>
    <xf numFmtId="0" fontId="74" fillId="0" borderId="4" xfId="0" applyFont="1" applyBorder="1" applyAlignment="1">
      <alignment vertical="center" wrapText="1"/>
    </xf>
    <xf numFmtId="0" fontId="75" fillId="0" borderId="4" xfId="0" applyFont="1" applyBorder="1" applyAlignment="1">
      <alignment vertical="center" wrapText="1"/>
    </xf>
    <xf numFmtId="0" fontId="74" fillId="0" borderId="4" xfId="0" applyFont="1" applyBorder="1" applyAlignment="1">
      <alignment horizontal="center" vertical="center" wrapText="1"/>
    </xf>
    <xf numFmtId="0" fontId="74" fillId="0" borderId="4" xfId="0" quotePrefix="1" applyFont="1" applyBorder="1" applyAlignment="1">
      <alignment vertical="center" wrapText="1"/>
    </xf>
    <xf numFmtId="167" fontId="74" fillId="0" borderId="4" xfId="0" applyNumberFormat="1" applyFont="1" applyBorder="1" applyAlignment="1">
      <alignment vertical="center" wrapText="1"/>
    </xf>
    <xf numFmtId="2" fontId="74" fillId="0" borderId="4" xfId="0" applyNumberFormat="1" applyFont="1" applyBorder="1" applyAlignment="1">
      <alignment horizontal="right" vertical="center" wrapText="1"/>
    </xf>
    <xf numFmtId="0" fontId="74" fillId="0" borderId="4" xfId="0" applyFont="1" applyBorder="1" applyAlignment="1">
      <alignment horizontal="right" vertical="center" wrapText="1"/>
    </xf>
    <xf numFmtId="165" fontId="74" fillId="0" borderId="4" xfId="4" applyNumberFormat="1" applyFont="1" applyFill="1" applyBorder="1" applyAlignment="1">
      <alignment vertical="center" wrapText="1"/>
    </xf>
    <xf numFmtId="165" fontId="74" fillId="0" borderId="38" xfId="4" applyNumberFormat="1" applyFont="1" applyFill="1" applyBorder="1" applyAlignment="1">
      <alignment vertical="center" wrapText="1"/>
    </xf>
    <xf numFmtId="165" fontId="74" fillId="0" borderId="51" xfId="4" applyNumberFormat="1" applyFont="1" applyFill="1" applyBorder="1" applyAlignment="1">
      <alignment vertical="center" wrapText="1"/>
    </xf>
    <xf numFmtId="165" fontId="74" fillId="0" borderId="51" xfId="4" applyNumberFormat="1" applyFont="1" applyFill="1" applyBorder="1" applyAlignment="1">
      <alignment horizontal="center" vertical="center" wrapText="1"/>
    </xf>
    <xf numFmtId="0" fontId="74" fillId="0" borderId="51" xfId="0" applyFont="1" applyBorder="1" applyAlignment="1">
      <alignment vertical="center" wrapText="1"/>
    </xf>
    <xf numFmtId="0" fontId="68" fillId="0" borderId="0" xfId="0" applyFont="1" applyAlignment="1">
      <alignment vertical="center" wrapText="1"/>
    </xf>
    <xf numFmtId="0" fontId="77" fillId="0" borderId="4" xfId="0" applyFont="1" applyBorder="1" applyAlignment="1">
      <alignment vertical="center" wrapText="1"/>
    </xf>
    <xf numFmtId="0" fontId="77" fillId="0" borderId="4" xfId="0" applyFont="1" applyBorder="1" applyAlignment="1">
      <alignment horizontal="center" vertical="center" wrapText="1"/>
    </xf>
    <xf numFmtId="167" fontId="77" fillId="0" borderId="4" xfId="0" applyNumberFormat="1" applyFont="1" applyBorder="1" applyAlignment="1">
      <alignment vertical="center" wrapText="1"/>
    </xf>
    <xf numFmtId="2" fontId="77" fillId="0" borderId="4" xfId="0" applyNumberFormat="1" applyFont="1" applyBorder="1" applyAlignment="1">
      <alignment horizontal="right" vertical="center" wrapText="1"/>
    </xf>
    <xf numFmtId="0" fontId="77" fillId="0" borderId="4" xfId="0" applyFont="1" applyBorder="1" applyAlignment="1">
      <alignment horizontal="right" vertical="center" wrapText="1"/>
    </xf>
    <xf numFmtId="165" fontId="77" fillId="0" borderId="4" xfId="4" applyNumberFormat="1" applyFont="1" applyFill="1" applyBorder="1" applyAlignment="1">
      <alignment vertical="center" wrapText="1"/>
    </xf>
    <xf numFmtId="165" fontId="77" fillId="0" borderId="38" xfId="4" applyNumberFormat="1" applyFont="1" applyFill="1" applyBorder="1" applyAlignment="1">
      <alignment vertical="center" wrapText="1"/>
    </xf>
    <xf numFmtId="165" fontId="77" fillId="0" borderId="51" xfId="4" applyNumberFormat="1" applyFont="1" applyFill="1" applyBorder="1" applyAlignment="1">
      <alignment vertical="center" wrapText="1"/>
    </xf>
    <xf numFmtId="165" fontId="77" fillId="0" borderId="51" xfId="4" applyNumberFormat="1" applyFont="1" applyFill="1" applyBorder="1" applyAlignment="1">
      <alignment horizontal="center" vertical="center" wrapText="1"/>
    </xf>
    <xf numFmtId="0" fontId="77" fillId="0" borderId="51" xfId="0" applyFont="1" applyBorder="1" applyAlignment="1">
      <alignment vertical="center" wrapText="1"/>
    </xf>
    <xf numFmtId="0" fontId="79" fillId="0" borderId="0" xfId="0" applyFont="1" applyAlignment="1">
      <alignment vertical="center" wrapText="1"/>
    </xf>
    <xf numFmtId="165" fontId="24" fillId="0" borderId="51" xfId="4" applyNumberFormat="1" applyFont="1" applyFill="1" applyBorder="1" applyAlignment="1">
      <alignment vertical="center" wrapText="1"/>
    </xf>
    <xf numFmtId="0" fontId="55" fillId="0" borderId="0" xfId="0" applyFont="1" applyAlignment="1">
      <alignment vertical="center" wrapText="1"/>
    </xf>
    <xf numFmtId="0" fontId="24" fillId="0" borderId="54" xfId="0" applyFont="1" applyBorder="1" applyAlignment="1">
      <alignment vertical="center" wrapText="1"/>
    </xf>
    <xf numFmtId="0" fontId="63" fillId="0" borderId="2" xfId="0" applyFont="1" applyBorder="1" applyAlignment="1">
      <alignment vertical="center" wrapText="1"/>
    </xf>
    <xf numFmtId="0" fontId="63" fillId="0" borderId="4" xfId="0" applyFont="1" applyBorder="1" applyAlignment="1">
      <alignment vertical="center" wrapText="1"/>
    </xf>
    <xf numFmtId="165" fontId="24" fillId="0" borderId="53" xfId="4" applyNumberFormat="1" applyFont="1" applyFill="1" applyBorder="1" applyAlignment="1">
      <alignment horizontal="center" vertical="center" wrapText="1"/>
    </xf>
    <xf numFmtId="165" fontId="80" fillId="9" borderId="55" xfId="0" applyNumberFormat="1" applyFont="1" applyFill="1" applyBorder="1" applyAlignment="1">
      <alignment vertical="center" wrapText="1"/>
    </xf>
    <xf numFmtId="0" fontId="80" fillId="9" borderId="57" xfId="0" applyFont="1" applyFill="1" applyBorder="1" applyAlignment="1">
      <alignment vertical="center" wrapText="1"/>
    </xf>
    <xf numFmtId="165" fontId="80" fillId="9" borderId="57" xfId="4" applyNumberFormat="1" applyFont="1" applyFill="1" applyBorder="1" applyAlignment="1">
      <alignment vertical="center" wrapText="1"/>
    </xf>
    <xf numFmtId="0" fontId="81" fillId="9" borderId="57" xfId="0" applyFont="1" applyFill="1" applyBorder="1" applyAlignment="1">
      <alignment vertical="center" wrapText="1"/>
    </xf>
    <xf numFmtId="3" fontId="68" fillId="0" borderId="0" xfId="0" applyNumberFormat="1" applyFont="1" applyAlignment="1">
      <alignment vertical="center" wrapText="1"/>
    </xf>
    <xf numFmtId="0" fontId="80" fillId="0" borderId="0" xfId="0" applyFont="1" applyAlignment="1">
      <alignment horizontal="center" vertical="center" wrapText="1"/>
    </xf>
    <xf numFmtId="165" fontId="80" fillId="0" borderId="0" xfId="4" applyNumberFormat="1" applyFont="1" applyFill="1" applyBorder="1" applyAlignment="1">
      <alignment vertical="center" wrapText="1"/>
    </xf>
    <xf numFmtId="0" fontId="81" fillId="0" borderId="0" xfId="0" applyFont="1" applyAlignment="1">
      <alignment vertical="center" wrapText="1"/>
    </xf>
    <xf numFmtId="0" fontId="80" fillId="0" borderId="0" xfId="0" applyFont="1" applyAlignment="1">
      <alignment horizontal="right" vertical="center"/>
    </xf>
    <xf numFmtId="165" fontId="80" fillId="0" borderId="0" xfId="0" applyNumberFormat="1" applyFont="1" applyAlignment="1">
      <alignment horizontal="center" vertical="center" wrapText="1"/>
    </xf>
    <xf numFmtId="167" fontId="68" fillId="0" borderId="0" xfId="0" applyNumberFormat="1" applyFont="1" applyAlignment="1">
      <alignment vertical="center" wrapText="1"/>
    </xf>
    <xf numFmtId="165" fontId="68" fillId="0" borderId="0" xfId="4" applyNumberFormat="1" applyFont="1" applyAlignment="1">
      <alignment vertical="center" wrapText="1"/>
    </xf>
    <xf numFmtId="165" fontId="68" fillId="0" borderId="0" xfId="4" applyNumberFormat="1" applyFont="1"/>
    <xf numFmtId="3" fontId="82" fillId="0" borderId="0" xfId="0" applyNumberFormat="1" applyFont="1"/>
    <xf numFmtId="0" fontId="84" fillId="0" borderId="0" xfId="0" applyFont="1"/>
    <xf numFmtId="167" fontId="84" fillId="0" borderId="0" xfId="0" applyNumberFormat="1" applyFont="1"/>
    <xf numFmtId="1" fontId="69" fillId="0" borderId="0" xfId="0" applyNumberFormat="1" applyFont="1"/>
    <xf numFmtId="1" fontId="38" fillId="0" borderId="0" xfId="0" applyNumberFormat="1" applyFont="1"/>
    <xf numFmtId="1" fontId="38" fillId="0" borderId="48" xfId="0" applyNumberFormat="1" applyFont="1" applyBorder="1"/>
    <xf numFmtId="1" fontId="68" fillId="0" borderId="0" xfId="0" applyNumberFormat="1" applyFont="1"/>
    <xf numFmtId="1" fontId="70" fillId="0" borderId="0" xfId="0" applyNumberFormat="1" applyFont="1"/>
    <xf numFmtId="1" fontId="74" fillId="0" borderId="4" xfId="0" quotePrefix="1" applyNumberFormat="1" applyFont="1" applyBorder="1" applyAlignment="1">
      <alignment vertical="center" wrapText="1"/>
    </xf>
    <xf numFmtId="1" fontId="77" fillId="0" borderId="4" xfId="0" quotePrefix="1" applyNumberFormat="1" applyFont="1" applyBorder="1" applyAlignment="1">
      <alignment vertical="center" wrapText="1"/>
    </xf>
    <xf numFmtId="1" fontId="63" fillId="0" borderId="2" xfId="0" applyNumberFormat="1" applyFont="1" applyBorder="1" applyAlignment="1">
      <alignment vertical="center" wrapText="1"/>
    </xf>
    <xf numFmtId="1" fontId="80" fillId="0" borderId="0" xfId="0" applyNumberFormat="1" applyFont="1" applyAlignment="1">
      <alignment horizontal="center" vertical="center" wrapText="1"/>
    </xf>
    <xf numFmtId="1" fontId="68" fillId="0" borderId="0" xfId="0" applyNumberFormat="1" applyFont="1" applyAlignment="1">
      <alignment vertical="center" wrapText="1"/>
    </xf>
    <xf numFmtId="1" fontId="84" fillId="0" borderId="0" xfId="0" applyNumberFormat="1" applyFont="1"/>
    <xf numFmtId="0" fontId="68" fillId="6" borderId="0" xfId="0" applyFont="1" applyFill="1"/>
    <xf numFmtId="0" fontId="68" fillId="6" borderId="48" xfId="0" applyFont="1" applyFill="1" applyBorder="1"/>
    <xf numFmtId="0" fontId="70" fillId="6" borderId="0" xfId="0" applyFont="1" applyFill="1"/>
    <xf numFmtId="0" fontId="63" fillId="6" borderId="2" xfId="0" applyFont="1" applyFill="1" applyBorder="1" applyAlignment="1">
      <alignment vertical="center" wrapText="1"/>
    </xf>
    <xf numFmtId="0" fontId="80" fillId="6" borderId="0" xfId="0" applyFont="1" applyFill="1" applyAlignment="1">
      <alignment horizontal="center" vertical="center" wrapText="1"/>
    </xf>
    <xf numFmtId="165" fontId="68" fillId="6" borderId="0" xfId="4" applyNumberFormat="1" applyFont="1" applyFill="1" applyAlignment="1">
      <alignment vertical="center" wrapText="1"/>
    </xf>
    <xf numFmtId="165" fontId="68" fillId="6" borderId="0" xfId="4" applyNumberFormat="1" applyFont="1" applyFill="1"/>
    <xf numFmtId="0" fontId="84" fillId="6" borderId="0" xfId="0" applyFont="1" applyFill="1"/>
    <xf numFmtId="0" fontId="68" fillId="14" borderId="0" xfId="0" applyFont="1" applyFill="1"/>
    <xf numFmtId="0" fontId="68" fillId="14" borderId="48" xfId="0" applyFont="1" applyFill="1" applyBorder="1"/>
    <xf numFmtId="0" fontId="70" fillId="14" borderId="0" xfId="0" applyFont="1" applyFill="1"/>
    <xf numFmtId="0" fontId="73" fillId="14" borderId="4" xfId="0" applyFont="1" applyFill="1" applyBorder="1" applyAlignment="1">
      <alignment horizontal="center" vertical="center" wrapText="1"/>
    </xf>
    <xf numFmtId="0" fontId="63" fillId="14" borderId="2" xfId="0" applyFont="1" applyFill="1" applyBorder="1" applyAlignment="1">
      <alignment vertical="center" wrapText="1"/>
    </xf>
    <xf numFmtId="0" fontId="80" fillId="14" borderId="0" xfId="0" applyFont="1" applyFill="1" applyAlignment="1">
      <alignment horizontal="center" vertical="center" wrapText="1"/>
    </xf>
    <xf numFmtId="165" fontId="68" fillId="14" borderId="0" xfId="4" applyNumberFormat="1" applyFont="1" applyFill="1" applyAlignment="1">
      <alignment vertical="center" wrapText="1"/>
    </xf>
    <xf numFmtId="165" fontId="68" fillId="14" borderId="0" xfId="4" applyNumberFormat="1" applyFont="1" applyFill="1"/>
    <xf numFmtId="0" fontId="84" fillId="14" borderId="0" xfId="0" applyFont="1" applyFill="1"/>
    <xf numFmtId="165" fontId="74" fillId="14" borderId="51" xfId="4" applyNumberFormat="1" applyFont="1" applyFill="1" applyBorder="1" applyAlignment="1">
      <alignment vertical="center" wrapText="1"/>
    </xf>
    <xf numFmtId="165" fontId="77" fillId="14" borderId="51" xfId="4" applyNumberFormat="1" applyFont="1" applyFill="1" applyBorder="1" applyAlignment="1">
      <alignment vertical="center" wrapText="1"/>
    </xf>
    <xf numFmtId="165" fontId="24" fillId="14" borderId="51" xfId="4" applyNumberFormat="1" applyFont="1" applyFill="1" applyBorder="1" applyAlignment="1">
      <alignment vertical="center" wrapText="1"/>
    </xf>
    <xf numFmtId="165" fontId="80" fillId="14" borderId="57" xfId="4" applyNumberFormat="1" applyFont="1" applyFill="1" applyBorder="1" applyAlignment="1">
      <alignment vertical="center" wrapText="1"/>
    </xf>
    <xf numFmtId="0" fontId="65" fillId="0" borderId="8" xfId="0" applyFont="1" applyBorder="1" applyAlignment="1">
      <alignment horizontal="center" vertical="center" wrapText="1"/>
    </xf>
    <xf numFmtId="0" fontId="73" fillId="8" borderId="4" xfId="0" applyFont="1" applyFill="1" applyBorder="1" applyAlignment="1">
      <alignment horizontal="center" vertical="center" wrapText="1"/>
    </xf>
    <xf numFmtId="0" fontId="53" fillId="0" borderId="0" xfId="13" applyFont="1" applyAlignment="1">
      <alignment vertical="top" wrapText="1" readingOrder="1"/>
    </xf>
    <xf numFmtId="0" fontId="63" fillId="2" borderId="0" xfId="16" applyFont="1" applyFill="1" applyAlignment="1">
      <alignment vertical="center" wrapText="1"/>
    </xf>
    <xf numFmtId="0" fontId="64" fillId="2" borderId="0" xfId="16" applyFont="1" applyFill="1" applyAlignment="1">
      <alignment vertical="center"/>
    </xf>
    <xf numFmtId="0" fontId="86" fillId="0" borderId="4" xfId="0" applyFont="1" applyBorder="1" applyAlignment="1">
      <alignment horizontal="center" vertical="center"/>
    </xf>
    <xf numFmtId="165" fontId="86" fillId="0" borderId="4" xfId="4" applyNumberFormat="1" applyFont="1" applyFill="1" applyBorder="1" applyAlignment="1">
      <alignment horizontal="center"/>
    </xf>
    <xf numFmtId="0" fontId="86" fillId="0" borderId="4" xfId="0" applyFont="1" applyBorder="1"/>
    <xf numFmtId="43" fontId="86" fillId="0" borderId="4" xfId="4" applyFont="1" applyFill="1" applyBorder="1"/>
    <xf numFmtId="165" fontId="86" fillId="0" borderId="4" xfId="0" applyNumberFormat="1" applyFont="1" applyBorder="1"/>
    <xf numFmtId="183" fontId="87" fillId="10" borderId="4" xfId="0" applyNumberFormat="1" applyFont="1" applyFill="1" applyBorder="1" applyAlignment="1">
      <alignment horizontal="center" vertical="center" wrapText="1"/>
    </xf>
    <xf numFmtId="0" fontId="34" fillId="7" borderId="0" xfId="10" applyNumberFormat="1" applyFont="1" applyFill="1" applyBorder="1" applyAlignment="1">
      <alignment horizontal="center" vertical="center"/>
    </xf>
    <xf numFmtId="49" fontId="63" fillId="7" borderId="8" xfId="0" applyNumberFormat="1" applyFont="1" applyFill="1" applyBorder="1" applyAlignment="1">
      <alignment horizontal="center" vertical="center" wrapText="1"/>
    </xf>
    <xf numFmtId="43" fontId="32" fillId="0" borderId="0" xfId="0" applyNumberFormat="1" applyFont="1"/>
    <xf numFmtId="43" fontId="86" fillId="0" borderId="0" xfId="0" applyNumberFormat="1" applyFont="1"/>
    <xf numFmtId="0" fontId="72" fillId="0" borderId="0" xfId="0" applyFont="1"/>
    <xf numFmtId="0" fontId="80" fillId="9" borderId="4" xfId="0" applyFont="1" applyFill="1" applyBorder="1" applyAlignment="1">
      <alignment vertical="center" wrapText="1"/>
    </xf>
    <xf numFmtId="0" fontId="80" fillId="9" borderId="4" xfId="0" applyFont="1" applyFill="1" applyBorder="1" applyAlignment="1">
      <alignment vertical="center"/>
    </xf>
    <xf numFmtId="0" fontId="83" fillId="0" borderId="0" xfId="0" applyFont="1"/>
    <xf numFmtId="43" fontId="80" fillId="14" borderId="0" xfId="0" applyNumberFormat="1" applyFont="1" applyFill="1" applyAlignment="1">
      <alignment horizontal="center" vertical="center" wrapText="1"/>
    </xf>
    <xf numFmtId="3" fontId="13" fillId="0" borderId="0" xfId="0" applyNumberFormat="1" applyFont="1"/>
    <xf numFmtId="44" fontId="13" fillId="9" borderId="0" xfId="1" applyFont="1" applyFill="1"/>
    <xf numFmtId="17" fontId="2" fillId="0" borderId="0" xfId="0" applyNumberFormat="1" applyFont="1" applyAlignment="1">
      <alignment horizontal="center" vertical="center"/>
    </xf>
    <xf numFmtId="17" fontId="2" fillId="0" borderId="0" xfId="0" applyNumberFormat="1" applyFont="1" applyAlignment="1">
      <alignment vertical="center"/>
    </xf>
    <xf numFmtId="44" fontId="1" fillId="0" borderId="0" xfId="1" applyFont="1" applyFill="1" applyBorder="1" applyAlignment="1">
      <alignment horizontal="left" vertical="center"/>
    </xf>
    <xf numFmtId="44" fontId="80" fillId="0" borderId="0" xfId="1" applyFont="1" applyAlignment="1">
      <alignment horizontal="center" vertical="center" wrapText="1"/>
    </xf>
    <xf numFmtId="44" fontId="53" fillId="0" borderId="0" xfId="1" applyFont="1" applyAlignment="1">
      <alignment vertical="top"/>
    </xf>
    <xf numFmtId="0" fontId="44" fillId="5" borderId="4" xfId="0" applyFont="1" applyFill="1" applyBorder="1" applyAlignment="1">
      <alignment horizontal="center" wrapText="1" readingOrder="1"/>
    </xf>
    <xf numFmtId="0" fontId="44" fillId="4" borderId="4" xfId="0" applyFont="1" applyFill="1" applyBorder="1" applyAlignment="1">
      <alignment horizontal="center" vertical="center" wrapText="1" readingOrder="1"/>
    </xf>
    <xf numFmtId="165" fontId="27" fillId="5" borderId="9" xfId="2" applyNumberFormat="1" applyFont="1" applyFill="1" applyBorder="1" applyAlignment="1">
      <alignment vertical="center"/>
    </xf>
    <xf numFmtId="165" fontId="27" fillId="0" borderId="9" xfId="2" applyNumberFormat="1" applyFont="1" applyFill="1" applyBorder="1" applyAlignment="1">
      <alignment vertical="center" wrapText="1"/>
    </xf>
    <xf numFmtId="165" fontId="50" fillId="0" borderId="9" xfId="2" applyNumberFormat="1" applyFont="1" applyFill="1" applyBorder="1" applyAlignment="1">
      <alignment vertical="center"/>
    </xf>
    <xf numFmtId="1" fontId="88" fillId="0" borderId="18" xfId="0" applyNumberFormat="1" applyFont="1" applyBorder="1" applyAlignment="1">
      <alignment horizontal="center" vertical="center" wrapText="1"/>
    </xf>
    <xf numFmtId="167" fontId="89" fillId="0" borderId="13" xfId="0" applyNumberFormat="1" applyFont="1" applyBorder="1" applyAlignment="1">
      <alignment horizontal="center" vertical="center"/>
    </xf>
    <xf numFmtId="167" fontId="50" fillId="0" borderId="9" xfId="0" applyNumberFormat="1" applyFont="1" applyBorder="1" applyAlignment="1">
      <alignment horizontal="center" vertical="center"/>
    </xf>
    <xf numFmtId="43" fontId="50" fillId="0" borderId="9" xfId="2" applyFont="1" applyFill="1" applyBorder="1" applyAlignment="1">
      <alignment horizontal="right" vertical="center"/>
    </xf>
    <xf numFmtId="165" fontId="50" fillId="0" borderId="17" xfId="2" applyNumberFormat="1" applyFont="1" applyFill="1" applyBorder="1" applyAlignment="1">
      <alignment horizontal="right" vertical="center"/>
    </xf>
    <xf numFmtId="1" fontId="43" fillId="0" borderId="26" xfId="0" applyNumberFormat="1" applyFont="1" applyBorder="1" applyAlignment="1">
      <alignment vertical="center"/>
    </xf>
    <xf numFmtId="1" fontId="51" fillId="0" borderId="0" xfId="12" applyNumberFormat="1" applyFont="1" applyAlignment="1">
      <alignment horizontal="right" vertical="center"/>
    </xf>
    <xf numFmtId="1" fontId="45" fillId="0" borderId="0" xfId="0" applyNumberFormat="1" applyFont="1" applyAlignment="1">
      <alignment horizontal="center"/>
    </xf>
    <xf numFmtId="1" fontId="51" fillId="0" borderId="43" xfId="12" applyNumberFormat="1" applyFont="1" applyBorder="1" applyAlignment="1">
      <alignment horizontal="left" vertical="center"/>
    </xf>
    <xf numFmtId="1" fontId="34" fillId="0" borderId="0" xfId="0" applyNumberFormat="1" applyFont="1"/>
    <xf numFmtId="0" fontId="85" fillId="9" borderId="4" xfId="0" applyFont="1" applyFill="1" applyBorder="1" applyAlignment="1">
      <alignment wrapText="1"/>
    </xf>
    <xf numFmtId="183" fontId="86" fillId="9" borderId="4" xfId="0" applyNumberFormat="1" applyFont="1" applyFill="1" applyBorder="1" applyAlignment="1">
      <alignment horizontal="center" vertical="center"/>
    </xf>
    <xf numFmtId="0" fontId="86" fillId="9" borderId="4" xfId="0" applyFont="1" applyFill="1" applyBorder="1" applyAlignment="1">
      <alignment horizontal="center" vertical="center"/>
    </xf>
    <xf numFmtId="0" fontId="86" fillId="9" borderId="4" xfId="0" applyFont="1" applyFill="1" applyBorder="1" applyAlignment="1">
      <alignment horizontal="left" vertical="center" wrapText="1"/>
    </xf>
    <xf numFmtId="14" fontId="86" fillId="9" borderId="4" xfId="0" applyNumberFormat="1" applyFont="1" applyFill="1" applyBorder="1" applyAlignment="1">
      <alignment horizontal="center" vertical="center"/>
    </xf>
    <xf numFmtId="43" fontId="86" fillId="9" borderId="4" xfId="4" applyFont="1" applyFill="1" applyBorder="1" applyAlignment="1">
      <alignment horizontal="center"/>
    </xf>
    <xf numFmtId="183" fontId="86" fillId="9" borderId="4" xfId="0" applyNumberFormat="1" applyFont="1" applyFill="1" applyBorder="1" applyAlignment="1">
      <alignment horizontal="center" vertical="center" wrapText="1"/>
    </xf>
    <xf numFmtId="43" fontId="86" fillId="9" borderId="4" xfId="4" applyFont="1" applyFill="1" applyBorder="1" applyAlignment="1"/>
    <xf numFmtId="165" fontId="32" fillId="9" borderId="4" xfId="4" applyNumberFormat="1" applyFont="1" applyFill="1" applyBorder="1" applyAlignment="1"/>
    <xf numFmtId="8" fontId="0" fillId="0" borderId="4" xfId="1" applyNumberFormat="1" applyFont="1" applyFill="1" applyBorder="1"/>
    <xf numFmtId="44" fontId="32" fillId="0" borderId="0" xfId="1" applyFont="1"/>
    <xf numFmtId="43" fontId="0" fillId="0" borderId="4" xfId="0" applyNumberFormat="1" applyBorder="1"/>
    <xf numFmtId="2" fontId="0" fillId="0" borderId="4" xfId="0" applyNumberFormat="1" applyBorder="1"/>
    <xf numFmtId="44" fontId="0" fillId="0" borderId="4" xfId="1" applyFont="1" applyFill="1" applyBorder="1" applyAlignment="1">
      <alignment horizontal="right" vertical="center"/>
    </xf>
    <xf numFmtId="44" fontId="2" fillId="4" borderId="4" xfId="1" applyFont="1" applyFill="1" applyBorder="1" applyAlignment="1">
      <alignment horizontal="right" vertical="center"/>
    </xf>
    <xf numFmtId="3" fontId="26" fillId="0" borderId="0" xfId="13" applyNumberFormat="1" applyAlignment="1">
      <alignment horizontal="left"/>
    </xf>
    <xf numFmtId="0" fontId="26" fillId="14" borderId="0" xfId="13" applyFill="1" applyAlignment="1">
      <alignment horizontal="left"/>
    </xf>
    <xf numFmtId="44" fontId="43" fillId="0" borderId="0" xfId="1" applyFont="1" applyAlignment="1">
      <alignment horizontal="right"/>
    </xf>
    <xf numFmtId="165" fontId="80" fillId="14" borderId="0" xfId="0" applyNumberFormat="1" applyFont="1" applyFill="1" applyAlignment="1">
      <alignment horizontal="center" vertical="center" wrapText="1"/>
    </xf>
    <xf numFmtId="0" fontId="92" fillId="0" borderId="0" xfId="0" applyFont="1" applyAlignment="1">
      <alignment horizontal="left"/>
    </xf>
    <xf numFmtId="0" fontId="28" fillId="18" borderId="4" xfId="0" applyFont="1" applyFill="1" applyBorder="1" applyAlignment="1">
      <alignment horizontal="center" vertical="center"/>
    </xf>
    <xf numFmtId="49" fontId="28" fillId="18" borderId="4" xfId="0" applyNumberFormat="1" applyFont="1" applyFill="1" applyBorder="1" applyAlignment="1">
      <alignment horizontal="center" vertical="center" wrapText="1"/>
    </xf>
    <xf numFmtId="0" fontId="28" fillId="18" borderId="4" xfId="0" applyFont="1" applyFill="1" applyBorder="1" applyAlignment="1">
      <alignment horizontal="center" vertical="center" wrapText="1"/>
    </xf>
    <xf numFmtId="178" fontId="0" fillId="0" borderId="4" xfId="0" applyNumberFormat="1" applyBorder="1" applyAlignment="1">
      <alignment horizontal="right" vertical="center"/>
    </xf>
    <xf numFmtId="0" fontId="22" fillId="0" borderId="0" xfId="0" applyFont="1"/>
    <xf numFmtId="4" fontId="22" fillId="0" borderId="0" xfId="0" applyNumberFormat="1" applyFont="1"/>
    <xf numFmtId="0" fontId="32" fillId="20" borderId="0" xfId="0" applyFont="1" applyFill="1"/>
    <xf numFmtId="0" fontId="65" fillId="20" borderId="0" xfId="0" applyFont="1" applyFill="1" applyAlignment="1">
      <alignment horizontal="center" vertical="center" wrapText="1"/>
    </xf>
    <xf numFmtId="49" fontId="63" fillId="20" borderId="0" xfId="0" applyNumberFormat="1" applyFont="1" applyFill="1" applyAlignment="1">
      <alignment horizontal="center" vertical="center" wrapText="1"/>
    </xf>
    <xf numFmtId="183" fontId="32" fillId="20" borderId="0" xfId="0" applyNumberFormat="1" applyFont="1" applyFill="1"/>
    <xf numFmtId="0" fontId="76" fillId="0" borderId="4" xfId="0" applyFont="1" applyBorder="1" applyAlignment="1">
      <alignment horizontal="left" vertical="center" wrapText="1"/>
    </xf>
    <xf numFmtId="0" fontId="78" fillId="0" borderId="4" xfId="0" applyFont="1" applyBorder="1" applyAlignment="1">
      <alignment horizontal="left" vertical="center" wrapText="1"/>
    </xf>
    <xf numFmtId="165" fontId="74" fillId="0" borderId="4" xfId="4" applyNumberFormat="1" applyFont="1" applyFill="1" applyBorder="1" applyAlignment="1">
      <alignment horizontal="center" vertical="center" wrapText="1"/>
    </xf>
    <xf numFmtId="165" fontId="77" fillId="0" borderId="4" xfId="4" applyNumberFormat="1" applyFont="1" applyFill="1" applyBorder="1" applyAlignment="1">
      <alignment horizontal="center" vertical="center" wrapText="1"/>
    </xf>
    <xf numFmtId="43" fontId="32" fillId="6" borderId="4" xfId="4" applyFont="1" applyFill="1" applyBorder="1"/>
    <xf numFmtId="165" fontId="86" fillId="9" borderId="4" xfId="4" applyNumberFormat="1" applyFont="1" applyFill="1" applyBorder="1" applyAlignment="1"/>
    <xf numFmtId="44" fontId="26" fillId="0" borderId="0" xfId="13" applyNumberFormat="1" applyAlignment="1">
      <alignment horizontal="left"/>
    </xf>
    <xf numFmtId="164" fontId="1" fillId="0" borderId="4" xfId="1" applyNumberFormat="1" applyFont="1" applyFill="1" applyBorder="1" applyAlignment="1">
      <alignment horizontal="center" vertical="center"/>
    </xf>
    <xf numFmtId="165" fontId="68" fillId="0" borderId="0" xfId="0" applyNumberFormat="1" applyFont="1" applyAlignment="1">
      <alignment vertical="center" wrapText="1"/>
    </xf>
    <xf numFmtId="0" fontId="4" fillId="5" borderId="4" xfId="0" applyFont="1" applyFill="1" applyBorder="1" applyAlignment="1">
      <alignment horizontal="center" vertical="center" wrapText="1"/>
    </xf>
    <xf numFmtId="43" fontId="68" fillId="0" borderId="0" xfId="0" applyNumberFormat="1" applyFont="1" applyAlignment="1">
      <alignment vertical="center" wrapText="1"/>
    </xf>
    <xf numFmtId="44" fontId="13" fillId="0" borderId="0" xfId="0" applyNumberFormat="1" applyFont="1"/>
    <xf numFmtId="0" fontId="0" fillId="7" borderId="4" xfId="0" applyFill="1" applyBorder="1" applyAlignment="1">
      <alignment horizontal="center"/>
    </xf>
    <xf numFmtId="164" fontId="0" fillId="0" borderId="4" xfId="0" applyNumberFormat="1" applyBorder="1"/>
    <xf numFmtId="0" fontId="21" fillId="0" borderId="12" xfId="0" applyFont="1" applyBorder="1" applyAlignment="1">
      <alignment horizontal="center" vertical="center"/>
    </xf>
    <xf numFmtId="43" fontId="86" fillId="0" borderId="4" xfId="4" applyFont="1" applyFill="1" applyBorder="1" applyAlignment="1"/>
    <xf numFmtId="165" fontId="86" fillId="9" borderId="4" xfId="4" applyNumberFormat="1" applyFont="1" applyFill="1" applyBorder="1" applyAlignment="1">
      <alignment horizontal="center"/>
    </xf>
    <xf numFmtId="165" fontId="86" fillId="9" borderId="4" xfId="4" applyNumberFormat="1" applyFont="1" applyFill="1" applyBorder="1"/>
    <xf numFmtId="0" fontId="0" fillId="17" borderId="4" xfId="0" applyFill="1" applyBorder="1" applyAlignment="1">
      <alignment horizontal="left"/>
    </xf>
    <xf numFmtId="0" fontId="34" fillId="0" borderId="4" xfId="0" applyFont="1" applyBorder="1" applyAlignment="1">
      <alignment horizontal="center" vertical="center"/>
    </xf>
    <xf numFmtId="0" fontId="34" fillId="0" borderId="4" xfId="0" applyFont="1" applyBorder="1" applyAlignment="1">
      <alignment vertical="center" wrapText="1"/>
    </xf>
    <xf numFmtId="164" fontId="34" fillId="0" borderId="4" xfId="1" applyNumberFormat="1" applyFont="1" applyFill="1" applyBorder="1" applyAlignment="1">
      <alignment vertical="center"/>
    </xf>
    <xf numFmtId="164" fontId="34" fillId="0" borderId="4" xfId="0" applyNumberFormat="1" applyFont="1" applyBorder="1" applyAlignment="1">
      <alignment horizontal="right" vertical="center"/>
    </xf>
    <xf numFmtId="164" fontId="34" fillId="0" borderId="4" xfId="1" applyNumberFormat="1" applyFont="1" applyFill="1" applyBorder="1" applyAlignment="1">
      <alignment horizontal="right" vertical="center"/>
    </xf>
    <xf numFmtId="1" fontId="53" fillId="0" borderId="0" xfId="13" applyNumberFormat="1" applyFont="1" applyAlignment="1">
      <alignment horizontal="left" wrapText="1"/>
    </xf>
    <xf numFmtId="0" fontId="53" fillId="0" borderId="0" xfId="13" applyFont="1" applyAlignment="1">
      <alignment horizontal="left" wrapText="1" readingOrder="1"/>
    </xf>
    <xf numFmtId="182" fontId="47" fillId="0" borderId="0" xfId="15" applyFont="1" applyFill="1" applyAlignment="1">
      <alignment horizontal="left"/>
    </xf>
    <xf numFmtId="0" fontId="54" fillId="0" borderId="0" xfId="13" applyFont="1" applyAlignment="1">
      <alignment horizontal="left" wrapText="1" readingOrder="1"/>
    </xf>
    <xf numFmtId="0" fontId="56" fillId="0" borderId="0" xfId="13" applyFont="1" applyAlignment="1">
      <alignment horizontal="left" wrapText="1" readingOrder="1"/>
    </xf>
    <xf numFmtId="3" fontId="53" fillId="0" borderId="0" xfId="13" applyNumberFormat="1" applyFont="1" applyAlignment="1">
      <alignment horizontal="left" wrapText="1"/>
    </xf>
    <xf numFmtId="0" fontId="54" fillId="0" borderId="4" xfId="0" applyFont="1" applyBorder="1" applyAlignment="1">
      <alignment horizontal="center" vertical="center" wrapText="1" readingOrder="1"/>
    </xf>
    <xf numFmtId="0" fontId="54" fillId="0" borderId="4" xfId="0" applyFont="1" applyBorder="1" applyAlignment="1">
      <alignment horizontal="center" vertical="center" wrapText="1"/>
    </xf>
    <xf numFmtId="0" fontId="53" fillId="0" borderId="4" xfId="0" applyFont="1" applyBorder="1" applyAlignment="1">
      <alignment horizontal="left" wrapText="1" readingOrder="1"/>
    </xf>
    <xf numFmtId="15" fontId="53" fillId="0" borderId="4" xfId="0" applyNumberFormat="1" applyFont="1" applyBorder="1" applyAlignment="1">
      <alignment horizontal="left" wrapText="1" readingOrder="1"/>
    </xf>
    <xf numFmtId="49" fontId="53" fillId="0" borderId="4" xfId="0" applyNumberFormat="1" applyFont="1" applyBorder="1" applyAlignment="1">
      <alignment horizontal="left" wrapText="1" readingOrder="1"/>
    </xf>
    <xf numFmtId="0" fontId="53" fillId="0" borderId="4" xfId="0" applyFont="1" applyBorder="1" applyAlignment="1">
      <alignment horizontal="left" wrapText="1"/>
    </xf>
    <xf numFmtId="3" fontId="53" fillId="0" borderId="4" xfId="0" applyNumberFormat="1" applyFont="1" applyBorder="1" applyAlignment="1">
      <alignment horizontal="left" wrapText="1" readingOrder="1"/>
    </xf>
    <xf numFmtId="0" fontId="20" fillId="0" borderId="4" xfId="0" applyFont="1" applyBorder="1" applyAlignment="1">
      <alignment horizontal="left"/>
    </xf>
    <xf numFmtId="183" fontId="63" fillId="6" borderId="4" xfId="0" applyNumberFormat="1" applyFont="1" applyFill="1" applyBorder="1" applyAlignment="1">
      <alignment horizontal="center" vertical="center" wrapText="1"/>
    </xf>
    <xf numFmtId="183" fontId="87" fillId="6" borderId="4" xfId="0" applyNumberFormat="1" applyFont="1" applyFill="1" applyBorder="1" applyAlignment="1">
      <alignment horizontal="center" vertical="center" wrapText="1"/>
    </xf>
    <xf numFmtId="183" fontId="90" fillId="6" borderId="4" xfId="0" applyNumberFormat="1" applyFont="1" applyFill="1" applyBorder="1" applyAlignment="1">
      <alignment horizontal="center" vertical="center" wrapText="1"/>
    </xf>
    <xf numFmtId="2" fontId="26" fillId="11" borderId="0" xfId="13" applyNumberFormat="1" applyFill="1" applyAlignment="1">
      <alignment horizontal="left"/>
    </xf>
    <xf numFmtId="49" fontId="27" fillId="0" borderId="9" xfId="2" applyNumberFormat="1" applyFont="1" applyFill="1" applyBorder="1" applyAlignment="1">
      <alignment vertical="center"/>
    </xf>
    <xf numFmtId="49" fontId="43" fillId="0" borderId="26" xfId="0" applyNumberFormat="1" applyFont="1" applyBorder="1" applyAlignment="1">
      <alignment vertical="center"/>
    </xf>
    <xf numFmtId="49" fontId="51" fillId="0" borderId="0" xfId="12" applyNumberFormat="1" applyFont="1" applyAlignment="1">
      <alignment horizontal="left" vertical="center"/>
    </xf>
    <xf numFmtId="49" fontId="45" fillId="0" borderId="0" xfId="0" applyNumberFormat="1" applyFont="1" applyAlignment="1">
      <alignment horizontal="left"/>
    </xf>
    <xf numFmtId="49" fontId="52" fillId="0" borderId="0" xfId="0" applyNumberFormat="1" applyFont="1" applyAlignment="1">
      <alignment horizontal="left" vertical="top"/>
    </xf>
    <xf numFmtId="49" fontId="34" fillId="0" borderId="0" xfId="0" applyNumberFormat="1" applyFont="1" applyAlignment="1">
      <alignment horizontal="left"/>
    </xf>
    <xf numFmtId="164" fontId="2" fillId="0" borderId="5" xfId="0" applyNumberFormat="1" applyFont="1" applyBorder="1" applyAlignment="1">
      <alignment vertical="center"/>
    </xf>
    <xf numFmtId="0" fontId="0" fillId="0" borderId="61" xfId="0" applyBorder="1" applyAlignment="1">
      <alignment vertical="center"/>
    </xf>
    <xf numFmtId="164" fontId="0" fillId="0" borderId="61" xfId="0" applyNumberFormat="1" applyBorder="1" applyAlignment="1">
      <alignment vertical="center"/>
    </xf>
    <xf numFmtId="8" fontId="0" fillId="0" borderId="61" xfId="1" applyNumberFormat="1" applyFont="1" applyFill="1" applyBorder="1" applyAlignment="1">
      <alignment vertical="center"/>
    </xf>
    <xf numFmtId="44" fontId="0" fillId="0" borderId="61" xfId="1" applyFont="1" applyFill="1" applyBorder="1" applyAlignment="1">
      <alignment vertical="center"/>
    </xf>
    <xf numFmtId="164" fontId="0" fillId="0" borderId="61" xfId="1" applyNumberFormat="1" applyFont="1" applyFill="1" applyBorder="1" applyAlignment="1">
      <alignment vertical="center"/>
    </xf>
    <xf numFmtId="164" fontId="0" fillId="7" borderId="19" xfId="1" applyNumberFormat="1" applyFont="1" applyFill="1" applyBorder="1" applyAlignment="1">
      <alignment vertical="center"/>
    </xf>
    <xf numFmtId="164" fontId="0" fillId="7" borderId="32" xfId="1" applyNumberFormat="1" applyFont="1" applyFill="1" applyBorder="1" applyAlignment="1">
      <alignment vertical="center"/>
    </xf>
    <xf numFmtId="2" fontId="9" fillId="5" borderId="0" xfId="0" applyNumberFormat="1" applyFont="1" applyFill="1" applyAlignment="1">
      <alignment horizontal="center" vertical="center"/>
    </xf>
    <xf numFmtId="2" fontId="9" fillId="5" borderId="33" xfId="0" applyNumberFormat="1" applyFont="1" applyFill="1" applyBorder="1" applyAlignment="1">
      <alignment horizontal="center" vertical="center"/>
    </xf>
    <xf numFmtId="175" fontId="8" fillId="0" borderId="33" xfId="1" applyNumberFormat="1" applyFont="1" applyFill="1" applyBorder="1" applyAlignment="1">
      <alignment horizontal="center" vertical="center"/>
    </xf>
    <xf numFmtId="44" fontId="0" fillId="0" borderId="33" xfId="1" applyFont="1" applyFill="1" applyBorder="1" applyAlignment="1">
      <alignment vertical="center"/>
    </xf>
    <xf numFmtId="2" fontId="9" fillId="5" borderId="33" xfId="1" applyNumberFormat="1" applyFont="1" applyFill="1" applyBorder="1" applyAlignment="1">
      <alignment horizontal="center" vertical="center"/>
    </xf>
    <xf numFmtId="44" fontId="0" fillId="4" borderId="33" xfId="1" applyFont="1" applyFill="1" applyBorder="1" applyAlignment="1">
      <alignment vertical="center"/>
    </xf>
    <xf numFmtId="44" fontId="1" fillId="0" borderId="33" xfId="1" applyFont="1" applyFill="1" applyBorder="1" applyAlignment="1">
      <alignment vertical="center"/>
    </xf>
    <xf numFmtId="0" fontId="2" fillId="3" borderId="20" xfId="0" applyFont="1" applyFill="1" applyBorder="1" applyAlignment="1">
      <alignment horizontal="center" vertical="center" wrapText="1"/>
    </xf>
    <xf numFmtId="0" fontId="2" fillId="3" borderId="63" xfId="0" applyFont="1" applyFill="1" applyBorder="1" applyAlignment="1">
      <alignment horizontal="center" vertical="center"/>
    </xf>
    <xf numFmtId="44" fontId="2" fillId="3" borderId="64" xfId="1" applyFont="1" applyFill="1" applyBorder="1" applyAlignment="1">
      <alignment vertical="center"/>
    </xf>
    <xf numFmtId="0" fontId="2" fillId="0" borderId="21" xfId="0" applyFont="1" applyBorder="1" applyAlignment="1">
      <alignment vertical="center"/>
    </xf>
    <xf numFmtId="0" fontId="2" fillId="0" borderId="34" xfId="0" applyFont="1" applyBorder="1" applyAlignment="1">
      <alignment vertical="center"/>
    </xf>
    <xf numFmtId="0" fontId="0" fillId="0" borderId="61" xfId="0" applyBorder="1" applyAlignment="1">
      <alignment horizontal="left" vertical="center"/>
    </xf>
    <xf numFmtId="44" fontId="2" fillId="0" borderId="61" xfId="1" applyFont="1" applyFill="1" applyBorder="1" applyAlignment="1">
      <alignment vertical="center"/>
    </xf>
    <xf numFmtId="44" fontId="0" fillId="7" borderId="19" xfId="1" applyFont="1" applyFill="1" applyBorder="1" applyAlignment="1">
      <alignment vertical="center"/>
    </xf>
    <xf numFmtId="44" fontId="0" fillId="0" borderId="19" xfId="1" applyFont="1" applyFill="1" applyBorder="1" applyAlignment="1">
      <alignment vertical="center"/>
    </xf>
    <xf numFmtId="44" fontId="0" fillId="0" borderId="32" xfId="1" applyFont="1" applyFill="1" applyBorder="1" applyAlignment="1">
      <alignment vertical="center"/>
    </xf>
    <xf numFmtId="44" fontId="2" fillId="0" borderId="33" xfId="1" applyFont="1" applyFill="1" applyBorder="1" applyAlignment="1">
      <alignment vertical="center"/>
    </xf>
    <xf numFmtId="175" fontId="9" fillId="0" borderId="33" xfId="1" applyNumberFormat="1" applyFont="1" applyFill="1" applyBorder="1" applyAlignment="1">
      <alignment horizontal="center" vertical="center"/>
    </xf>
    <xf numFmtId="174" fontId="8" fillId="0" borderId="33" xfId="1" applyNumberFormat="1" applyFont="1" applyFill="1" applyBorder="1" applyAlignment="1">
      <alignment horizontal="center" vertical="center"/>
    </xf>
    <xf numFmtId="0" fontId="2" fillId="3" borderId="63" xfId="0" applyFont="1" applyFill="1" applyBorder="1" applyAlignment="1">
      <alignment vertical="center"/>
    </xf>
    <xf numFmtId="44" fontId="2" fillId="3" borderId="21" xfId="1" applyFont="1" applyFill="1" applyBorder="1" applyAlignment="1">
      <alignment vertical="center"/>
    </xf>
    <xf numFmtId="44" fontId="2" fillId="3" borderId="34" xfId="1" applyFont="1" applyFill="1" applyBorder="1" applyAlignment="1">
      <alignment vertical="center"/>
    </xf>
    <xf numFmtId="0" fontId="0" fillId="0" borderId="39" xfId="0" applyBorder="1" applyAlignment="1">
      <alignment wrapText="1"/>
    </xf>
    <xf numFmtId="0" fontId="0" fillId="0" borderId="31" xfId="0" applyBorder="1" applyAlignment="1">
      <alignment vertical="center" wrapText="1"/>
    </xf>
    <xf numFmtId="0" fontId="0" fillId="0" borderId="31" xfId="0" applyBorder="1" applyAlignment="1">
      <alignment vertical="center"/>
    </xf>
    <xf numFmtId="44" fontId="0" fillId="0" borderId="31" xfId="1" applyFont="1" applyFill="1" applyBorder="1" applyAlignment="1">
      <alignment vertical="center"/>
    </xf>
    <xf numFmtId="44" fontId="0" fillId="0" borderId="26" xfId="1" applyFont="1" applyFill="1" applyBorder="1" applyAlignment="1">
      <alignment vertical="center"/>
    </xf>
    <xf numFmtId="44" fontId="0" fillId="7" borderId="26" xfId="1" applyFont="1" applyFill="1" applyBorder="1" applyAlignment="1">
      <alignment vertical="center"/>
    </xf>
    <xf numFmtId="44" fontId="0" fillId="0" borderId="65" xfId="1" applyFont="1" applyFill="1" applyBorder="1" applyAlignment="1">
      <alignment vertical="center"/>
    </xf>
    <xf numFmtId="0" fontId="0" fillId="0" borderId="39" xfId="0" applyBorder="1" applyAlignment="1">
      <alignment vertical="center" wrapText="1"/>
    </xf>
    <xf numFmtId="44" fontId="0" fillId="0" borderId="31" xfId="1" applyFont="1" applyBorder="1" applyAlignment="1">
      <alignment vertical="center"/>
    </xf>
    <xf numFmtId="44" fontId="0" fillId="0" borderId="26" xfId="1" applyFont="1" applyBorder="1" applyAlignment="1">
      <alignment vertical="center"/>
    </xf>
    <xf numFmtId="44" fontId="0" fillId="0" borderId="65" xfId="1" applyFont="1" applyBorder="1" applyAlignment="1">
      <alignment vertical="center"/>
    </xf>
    <xf numFmtId="10" fontId="15" fillId="0" borderId="4" xfId="5" applyNumberFormat="1" applyFont="1" applyBorder="1" applyAlignment="1">
      <alignment horizontal="center" vertical="center" wrapText="1"/>
    </xf>
    <xf numFmtId="7" fontId="0" fillId="0" borderId="4" xfId="0" applyNumberFormat="1" applyBorder="1" applyAlignment="1">
      <alignment horizontal="right" vertical="center"/>
    </xf>
    <xf numFmtId="10" fontId="15" fillId="0" borderId="4" xfId="5" applyNumberFormat="1" applyFont="1" applyFill="1" applyBorder="1" applyAlignment="1">
      <alignment horizontal="center" vertical="center" wrapText="1"/>
    </xf>
    <xf numFmtId="0" fontId="0" fillId="21" borderId="4" xfId="0" applyFill="1" applyBorder="1"/>
    <xf numFmtId="0" fontId="11" fillId="9" borderId="4" xfId="0" applyFont="1" applyFill="1" applyBorder="1" applyAlignment="1">
      <alignment horizontal="left" vertical="center"/>
    </xf>
    <xf numFmtId="166" fontId="40" fillId="9" borderId="4" xfId="0" applyNumberFormat="1" applyFont="1" applyFill="1" applyBorder="1" applyAlignment="1">
      <alignment horizontal="left" vertical="center" wrapText="1"/>
    </xf>
    <xf numFmtId="2" fontId="2" fillId="0" borderId="4" xfId="0" applyNumberFormat="1" applyFont="1" applyBorder="1" applyAlignment="1">
      <alignment vertical="center"/>
    </xf>
    <xf numFmtId="9" fontId="0" fillId="0" borderId="0" xfId="5" applyFont="1" applyAlignment="1">
      <alignment horizontal="right" vertical="center"/>
    </xf>
    <xf numFmtId="184" fontId="0" fillId="0" borderId="0" xfId="5" applyNumberFormat="1" applyFont="1" applyAlignment="1">
      <alignment horizontal="right" vertical="center"/>
    </xf>
    <xf numFmtId="0" fontId="93" fillId="0" borderId="32" xfId="0" applyFont="1" applyBorder="1" applyAlignment="1">
      <alignment horizontal="center" vertical="center" wrapText="1"/>
    </xf>
    <xf numFmtId="0" fontId="93" fillId="0" borderId="34" xfId="0" applyFont="1" applyBorder="1" applyAlignment="1">
      <alignment horizontal="center" vertical="center" wrapText="1"/>
    </xf>
    <xf numFmtId="0" fontId="94" fillId="0" borderId="66" xfId="0" applyFont="1" applyBorder="1" applyAlignment="1">
      <alignment vertical="center"/>
    </xf>
    <xf numFmtId="0" fontId="94" fillId="0" borderId="34" xfId="0" applyFont="1" applyBorder="1" applyAlignment="1">
      <alignment vertical="center"/>
    </xf>
    <xf numFmtId="0" fontId="95" fillId="0" borderId="34" xfId="0" applyFont="1" applyBorder="1" applyAlignment="1">
      <alignment horizontal="center" vertical="center" wrapText="1"/>
    </xf>
    <xf numFmtId="16" fontId="95" fillId="0" borderId="34" xfId="0" applyNumberFormat="1" applyFont="1" applyBorder="1" applyAlignment="1">
      <alignment horizontal="center" vertical="center" wrapText="1"/>
    </xf>
    <xf numFmtId="0" fontId="95" fillId="0" borderId="34" xfId="0" applyFont="1" applyBorder="1" applyAlignment="1">
      <alignment horizontal="center" vertical="center"/>
    </xf>
    <xf numFmtId="3" fontId="95" fillId="0" borderId="34" xfId="0" applyNumberFormat="1" applyFont="1" applyBorder="1" applyAlignment="1">
      <alignment horizontal="center" vertical="center" wrapText="1"/>
    </xf>
    <xf numFmtId="165" fontId="95" fillId="0" borderId="34" xfId="4" applyNumberFormat="1" applyFont="1" applyBorder="1" applyAlignment="1">
      <alignment horizontal="center" vertical="center" wrapText="1"/>
    </xf>
    <xf numFmtId="44" fontId="0" fillId="0" borderId="0" xfId="1" applyFont="1"/>
    <xf numFmtId="0" fontId="0" fillId="10" borderId="4" xfId="0" applyFill="1" applyBorder="1"/>
    <xf numFmtId="8" fontId="0" fillId="10" borderId="4" xfId="1" applyNumberFormat="1" applyFont="1" applyFill="1" applyBorder="1"/>
    <xf numFmtId="44" fontId="0" fillId="10" borderId="4" xfId="1" applyFont="1" applyFill="1" applyBorder="1"/>
    <xf numFmtId="17" fontId="2" fillId="0" borderId="5" xfId="0" applyNumberFormat="1" applyFont="1" applyBorder="1" applyAlignment="1">
      <alignment horizontal="left"/>
    </xf>
    <xf numFmtId="164" fontId="2" fillId="15" borderId="0" xfId="1" applyNumberFormat="1" applyFont="1" applyFill="1" applyBorder="1"/>
    <xf numFmtId="44" fontId="0" fillId="22" borderId="4" xfId="1" applyFont="1" applyFill="1" applyBorder="1"/>
    <xf numFmtId="44" fontId="2" fillId="3" borderId="4" xfId="1" applyFont="1" applyFill="1" applyBorder="1" applyAlignment="1">
      <alignment vertical="center"/>
    </xf>
    <xf numFmtId="44" fontId="13" fillId="0" borderId="4" xfId="1" applyFont="1" applyBorder="1"/>
    <xf numFmtId="44" fontId="13" fillId="0" borderId="4" xfId="1" applyFont="1" applyFill="1" applyBorder="1"/>
    <xf numFmtId="0" fontId="54" fillId="0" borderId="0" xfId="13" applyFont="1" applyAlignment="1">
      <alignment horizontal="center" wrapText="1" readingOrder="1"/>
    </xf>
    <xf numFmtId="0" fontId="53" fillId="0" borderId="0" xfId="13" applyFont="1" applyAlignment="1">
      <alignment horizontal="center" wrapText="1" readingOrder="1"/>
    </xf>
    <xf numFmtId="15" fontId="53" fillId="0" borderId="0" xfId="13" applyNumberFormat="1" applyFont="1" applyAlignment="1">
      <alignment horizontal="center" wrapText="1" readingOrder="1"/>
    </xf>
    <xf numFmtId="1" fontId="53" fillId="0" borderId="0" xfId="13" applyNumberFormat="1" applyFont="1" applyAlignment="1">
      <alignment horizontal="center" wrapText="1" readingOrder="1"/>
    </xf>
    <xf numFmtId="0" fontId="53" fillId="0" borderId="0" xfId="13" applyFont="1" applyAlignment="1">
      <alignment horizontal="center" wrapText="1"/>
    </xf>
    <xf numFmtId="3" fontId="53" fillId="0" borderId="0" xfId="13" applyNumberFormat="1" applyFont="1" applyAlignment="1">
      <alignment horizontal="center" wrapText="1" readingOrder="1"/>
    </xf>
    <xf numFmtId="44" fontId="53" fillId="0" borderId="0" xfId="1" applyFont="1" applyAlignment="1">
      <alignment horizontal="center" wrapText="1" readingOrder="1"/>
    </xf>
    <xf numFmtId="3" fontId="53" fillId="0" borderId="0" xfId="13" applyNumberFormat="1" applyFont="1" applyAlignment="1">
      <alignment horizontal="right" wrapText="1"/>
    </xf>
    <xf numFmtId="0" fontId="53" fillId="0" borderId="0" xfId="13" applyFont="1" applyAlignment="1"/>
    <xf numFmtId="0" fontId="50" fillId="0" borderId="0" xfId="13" applyFont="1" applyAlignment="1"/>
    <xf numFmtId="1" fontId="53" fillId="0" borderId="0" xfId="13" applyNumberFormat="1" applyFont="1" applyAlignment="1"/>
    <xf numFmtId="0" fontId="54" fillId="0" borderId="0" xfId="13" applyFont="1" applyAlignment="1">
      <alignment wrapText="1"/>
    </xf>
    <xf numFmtId="3" fontId="54" fillId="0" borderId="0" xfId="13" applyNumberFormat="1" applyFont="1" applyAlignment="1">
      <alignment horizontal="right"/>
    </xf>
    <xf numFmtId="3" fontId="54" fillId="0" borderId="0" xfId="13" applyNumberFormat="1" applyFont="1" applyAlignment="1">
      <alignment horizontal="center" wrapText="1"/>
    </xf>
    <xf numFmtId="0" fontId="26" fillId="0" borderId="0" xfId="13" applyAlignment="1"/>
    <xf numFmtId="0" fontId="58" fillId="0" borderId="0" xfId="13" applyFont="1" applyAlignment="1"/>
    <xf numFmtId="1" fontId="26" fillId="0" borderId="0" xfId="13" applyNumberFormat="1" applyAlignment="1"/>
    <xf numFmtId="0" fontId="59" fillId="0" borderId="0" xfId="13" applyFont="1" applyAlignment="1">
      <alignment horizontal="left" wrapText="1" readingOrder="1"/>
    </xf>
    <xf numFmtId="2" fontId="27" fillId="15" borderId="9" xfId="2" applyNumberFormat="1" applyFont="1" applyFill="1" applyBorder="1" applyAlignment="1">
      <alignment vertical="center" wrapText="1"/>
    </xf>
    <xf numFmtId="185" fontId="0" fillId="0" borderId="4" xfId="0" applyNumberFormat="1" applyBorder="1"/>
    <xf numFmtId="1" fontId="0" fillId="0" borderId="4" xfId="0" applyNumberFormat="1" applyBorder="1"/>
    <xf numFmtId="44" fontId="2" fillId="0" borderId="4" xfId="0" applyNumberFormat="1" applyFont="1" applyBorder="1" applyAlignment="1">
      <alignment horizontal="left" vertical="center"/>
    </xf>
    <xf numFmtId="17" fontId="2" fillId="0" borderId="0" xfId="0" applyNumberFormat="1" applyFont="1" applyAlignment="1">
      <alignment horizontal="left" vertical="center"/>
    </xf>
    <xf numFmtId="0" fontId="2" fillId="0" borderId="4" xfId="0" applyFont="1" applyBorder="1" applyAlignment="1">
      <alignment vertical="center"/>
    </xf>
    <xf numFmtId="44" fontId="2" fillId="7" borderId="0" xfId="1" applyFont="1" applyFill="1" applyBorder="1"/>
    <xf numFmtId="0" fontId="2" fillId="0" borderId="10" xfId="0" applyFont="1" applyBorder="1" applyAlignment="1">
      <alignment horizontal="left" vertical="center"/>
    </xf>
    <xf numFmtId="2" fontId="0" fillId="0" borderId="0" xfId="0" applyNumberFormat="1" applyAlignment="1">
      <alignment horizontal="left" vertical="center"/>
    </xf>
    <xf numFmtId="43" fontId="0" fillId="0" borderId="0" xfId="4" applyFont="1" applyFill="1" applyBorder="1" applyAlignment="1">
      <alignment horizontal="left"/>
    </xf>
    <xf numFmtId="2" fontId="0" fillId="0" borderId="0" xfId="0" applyNumberFormat="1" applyAlignment="1">
      <alignment horizontal="left"/>
    </xf>
    <xf numFmtId="44" fontId="0" fillId="0" borderId="0" xfId="1" applyFont="1" applyFill="1" applyBorder="1" applyAlignment="1">
      <alignment horizontal="center" vertical="center"/>
    </xf>
    <xf numFmtId="0" fontId="0" fillId="17" borderId="0" xfId="0" applyFill="1" applyAlignment="1">
      <alignment horizontal="left"/>
    </xf>
    <xf numFmtId="43" fontId="2" fillId="0" borderId="10" xfId="0" applyNumberFormat="1" applyFont="1" applyBorder="1" applyAlignment="1">
      <alignment vertical="center"/>
    </xf>
    <xf numFmtId="173" fontId="2" fillId="0" borderId="0" xfId="0" applyNumberFormat="1" applyFont="1" applyAlignment="1">
      <alignment horizontal="center" vertical="center"/>
    </xf>
    <xf numFmtId="1" fontId="0" fillId="0" borderId="0" xfId="0" applyNumberFormat="1" applyAlignment="1">
      <alignment horizontal="left"/>
    </xf>
    <xf numFmtId="2" fontId="2" fillId="0" borderId="0" xfId="0" applyNumberFormat="1" applyFont="1" applyAlignment="1">
      <alignment vertical="center"/>
    </xf>
    <xf numFmtId="44" fontId="2" fillId="0" borderId="0" xfId="0" applyNumberFormat="1" applyFont="1" applyAlignment="1">
      <alignment vertical="center"/>
    </xf>
    <xf numFmtId="0" fontId="2" fillId="0" borderId="0" xfId="0" applyFont="1" applyAlignment="1">
      <alignment horizontal="center"/>
    </xf>
    <xf numFmtId="44" fontId="2" fillId="0" borderId="0" xfId="0" applyNumberFormat="1" applyFont="1" applyAlignment="1">
      <alignment horizontal="center"/>
    </xf>
    <xf numFmtId="43" fontId="55" fillId="0" borderId="0" xfId="0" applyNumberFormat="1" applyFont="1" applyAlignment="1">
      <alignment vertical="center" wrapText="1"/>
    </xf>
    <xf numFmtId="0" fontId="0" fillId="6" borderId="4" xfId="0" applyFill="1" applyBorder="1"/>
    <xf numFmtId="2" fontId="0" fillId="6" borderId="4" xfId="0" applyNumberFormat="1" applyFill="1" applyBorder="1" applyAlignment="1">
      <alignment horizontal="left" vertical="center"/>
    </xf>
    <xf numFmtId="43" fontId="0" fillId="6" borderId="4" xfId="4" applyFont="1" applyFill="1" applyBorder="1" applyAlignment="1">
      <alignment horizontal="left"/>
    </xf>
    <xf numFmtId="2" fontId="0" fillId="6" borderId="0" xfId="0" applyNumberFormat="1" applyFill="1" applyAlignment="1">
      <alignment horizontal="left" vertical="center"/>
    </xf>
    <xf numFmtId="2" fontId="96" fillId="0" borderId="4" xfId="0" applyNumberFormat="1" applyFont="1" applyBorder="1"/>
    <xf numFmtId="2" fontId="97" fillId="0" borderId="4" xfId="0" applyNumberFormat="1" applyFont="1" applyBorder="1" applyAlignment="1">
      <alignment vertical="center"/>
    </xf>
    <xf numFmtId="2" fontId="97" fillId="0" borderId="4" xfId="0" applyNumberFormat="1" applyFont="1" applyBorder="1" applyAlignment="1">
      <alignment horizontal="center" vertical="center"/>
    </xf>
    <xf numFmtId="2" fontId="96" fillId="15" borderId="4" xfId="1" applyNumberFormat="1" applyFont="1" applyFill="1" applyBorder="1" applyAlignment="1">
      <alignment vertical="center"/>
    </xf>
    <xf numFmtId="2" fontId="96" fillId="0" borderId="4" xfId="1" applyNumberFormat="1" applyFont="1" applyFill="1" applyBorder="1" applyAlignment="1">
      <alignment vertical="center"/>
    </xf>
    <xf numFmtId="2" fontId="98" fillId="14" borderId="4" xfId="1" applyNumberFormat="1" applyFont="1" applyFill="1" applyBorder="1" applyAlignment="1">
      <alignment horizontal="center" vertical="center"/>
    </xf>
    <xf numFmtId="2" fontId="98" fillId="0" borderId="4" xfId="1" applyNumberFormat="1" applyFont="1" applyFill="1" applyBorder="1" applyAlignment="1">
      <alignment horizontal="center" vertical="center"/>
    </xf>
    <xf numFmtId="2" fontId="96" fillId="7" borderId="4" xfId="1" applyNumberFormat="1" applyFont="1" applyFill="1" applyBorder="1" applyAlignment="1">
      <alignment vertical="center"/>
    </xf>
    <xf numFmtId="2" fontId="96" fillId="5" borderId="4" xfId="1" applyNumberFormat="1" applyFont="1" applyFill="1" applyBorder="1" applyAlignment="1">
      <alignment vertical="center"/>
    </xf>
    <xf numFmtId="2" fontId="96" fillId="7" borderId="4" xfId="4" applyNumberFormat="1" applyFont="1" applyFill="1" applyBorder="1" applyAlignment="1">
      <alignment vertical="center"/>
    </xf>
    <xf numFmtId="2" fontId="96" fillId="0" borderId="4" xfId="4" applyNumberFormat="1" applyFont="1" applyFill="1" applyBorder="1" applyAlignment="1">
      <alignment vertical="center"/>
    </xf>
    <xf numFmtId="0" fontId="34" fillId="0" borderId="4" xfId="0" applyFont="1" applyBorder="1" applyAlignment="1">
      <alignment vertical="center"/>
    </xf>
    <xf numFmtId="3" fontId="4" fillId="0" borderId="4" xfId="0" applyNumberFormat="1" applyFont="1" applyBorder="1" applyAlignment="1">
      <alignment vertical="center" wrapText="1"/>
    </xf>
    <xf numFmtId="0" fontId="4" fillId="0" borderId="4" xfId="0" applyFont="1" applyBorder="1" applyAlignment="1">
      <alignment horizontal="center" vertical="center" wrapText="1"/>
    </xf>
    <xf numFmtId="164" fontId="4" fillId="0" borderId="4" xfId="0" applyNumberFormat="1" applyFont="1" applyBorder="1" applyAlignment="1">
      <alignment horizontal="center" vertical="center"/>
    </xf>
    <xf numFmtId="0" fontId="2" fillId="21" borderId="4" xfId="0" applyFont="1" applyFill="1" applyBorder="1"/>
    <xf numFmtId="44" fontId="2" fillId="6" borderId="4" xfId="0" applyNumberFormat="1" applyFont="1" applyFill="1" applyBorder="1" applyAlignment="1">
      <alignment vertical="center"/>
    </xf>
    <xf numFmtId="2" fontId="2" fillId="6" borderId="4" xfId="0" applyNumberFormat="1" applyFont="1" applyFill="1" applyBorder="1" applyAlignment="1">
      <alignment vertical="center"/>
    </xf>
    <xf numFmtId="0" fontId="0" fillId="6" borderId="4" xfId="0" applyFill="1" applyBorder="1" applyAlignment="1">
      <alignment horizontal="left"/>
    </xf>
    <xf numFmtId="43" fontId="2" fillId="6" borderId="4" xfId="4" applyFont="1" applyFill="1" applyBorder="1" applyAlignment="1">
      <alignment horizontal="left"/>
    </xf>
    <xf numFmtId="2" fontId="2" fillId="6" borderId="0" xfId="0" applyNumberFormat="1" applyFont="1" applyFill="1" applyAlignment="1">
      <alignment vertical="center"/>
    </xf>
    <xf numFmtId="0" fontId="0" fillId="0" borderId="60"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3" fillId="9" borderId="2" xfId="0" applyFont="1" applyFill="1" applyBorder="1" applyAlignment="1">
      <alignment horizontal="right" vertical="center"/>
    </xf>
    <xf numFmtId="0" fontId="3" fillId="9" borderId="3" xfId="0" applyFont="1" applyFill="1" applyBorder="1" applyAlignment="1">
      <alignment horizontal="right" vertical="center"/>
    </xf>
    <xf numFmtId="0" fontId="0" fillId="0" borderId="16" xfId="0" applyBorder="1" applyAlignment="1">
      <alignment horizontal="center" wrapText="1"/>
    </xf>
    <xf numFmtId="0" fontId="4" fillId="0" borderId="28" xfId="0" applyFont="1" applyBorder="1" applyAlignment="1">
      <alignment horizontal="center" vertical="center"/>
    </xf>
    <xf numFmtId="0" fontId="4" fillId="0" borderId="37" xfId="0" applyFont="1" applyBorder="1" applyAlignment="1">
      <alignment horizontal="center" vertical="center"/>
    </xf>
    <xf numFmtId="0" fontId="4" fillId="0" borderId="62"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1" fillId="2" borderId="10" xfId="0" applyFont="1" applyFill="1" applyBorder="1" applyAlignment="1">
      <alignment horizontal="right" vertical="center"/>
    </xf>
    <xf numFmtId="0" fontId="31" fillId="2" borderId="43" xfId="0" applyFont="1" applyFill="1" applyBorder="1" applyAlignment="1">
      <alignment horizontal="right" vertical="center"/>
    </xf>
    <xf numFmtId="0" fontId="31" fillId="2" borderId="59" xfId="0" applyFont="1" applyFill="1" applyBorder="1" applyAlignment="1">
      <alignment horizontal="right" vertical="center"/>
    </xf>
    <xf numFmtId="44" fontId="22" fillId="16" borderId="0" xfId="1" applyFont="1" applyFill="1" applyAlignment="1">
      <alignment horizontal="center" vertical="center"/>
    </xf>
    <xf numFmtId="0" fontId="96" fillId="9" borderId="4" xfId="0" applyFont="1" applyFill="1" applyBorder="1" applyAlignment="1">
      <alignment horizontal="center"/>
    </xf>
    <xf numFmtId="0" fontId="91" fillId="16" borderId="0" xfId="0" applyFont="1" applyFill="1" applyAlignment="1">
      <alignment horizontal="center"/>
    </xf>
    <xf numFmtId="0" fontId="24" fillId="19" borderId="0" xfId="13" applyFont="1" applyFill="1" applyAlignment="1">
      <alignment horizontal="center" wrapText="1"/>
    </xf>
    <xf numFmtId="0" fontId="53" fillId="0" borderId="0" xfId="13" applyFont="1" applyAlignment="1">
      <alignment horizontal="left" vertical="top" wrapText="1" readingOrder="1"/>
    </xf>
    <xf numFmtId="0" fontId="53" fillId="0" borderId="0" xfId="13" applyFont="1" applyAlignment="1">
      <alignment horizontal="center" vertical="top" wrapText="1" readingOrder="1"/>
    </xf>
    <xf numFmtId="0" fontId="54" fillId="0" borderId="0" xfId="13" applyFont="1" applyAlignment="1">
      <alignment horizontal="left" wrapText="1" readingOrder="1"/>
    </xf>
    <xf numFmtId="180" fontId="43" fillId="0" borderId="0" xfId="0" applyNumberFormat="1" applyFont="1" applyAlignment="1">
      <alignment horizontal="center"/>
    </xf>
    <xf numFmtId="0" fontId="46" fillId="6" borderId="5" xfId="0" applyFont="1" applyFill="1" applyBorder="1" applyAlignment="1">
      <alignment horizontal="center" vertical="center" wrapText="1"/>
    </xf>
    <xf numFmtId="0" fontId="46" fillId="6" borderId="6" xfId="0" applyFont="1" applyFill="1" applyBorder="1" applyAlignment="1">
      <alignment horizontal="center" vertical="center" wrapText="1"/>
    </xf>
    <xf numFmtId="0" fontId="46" fillId="6" borderId="7" xfId="0" applyFont="1" applyFill="1" applyBorder="1" applyAlignment="1">
      <alignment horizontal="center" vertical="center" wrapText="1"/>
    </xf>
    <xf numFmtId="49" fontId="46" fillId="6" borderId="5" xfId="0" applyNumberFormat="1" applyFont="1" applyFill="1" applyBorder="1" applyAlignment="1">
      <alignment horizontal="center" vertical="center" wrapText="1"/>
    </xf>
    <xf numFmtId="49" fontId="46" fillId="6" borderId="6" xfId="0" applyNumberFormat="1" applyFont="1" applyFill="1" applyBorder="1" applyAlignment="1">
      <alignment horizontal="center" vertical="center" wrapText="1"/>
    </xf>
    <xf numFmtId="49" fontId="46" fillId="6" borderId="7" xfId="0" applyNumberFormat="1" applyFont="1" applyFill="1" applyBorder="1" applyAlignment="1">
      <alignment horizontal="center" vertical="center" wrapText="1"/>
    </xf>
    <xf numFmtId="0" fontId="46" fillId="0" borderId="5" xfId="0" applyFont="1" applyBorder="1" applyAlignment="1">
      <alignment horizontal="center" vertical="center" wrapText="1"/>
    </xf>
    <xf numFmtId="0" fontId="46" fillId="0" borderId="6" xfId="0" applyFont="1" applyBorder="1" applyAlignment="1">
      <alignment horizontal="center" vertical="center" wrapText="1"/>
    </xf>
    <xf numFmtId="0" fontId="46" fillId="0" borderId="7" xfId="0" applyFont="1" applyBorder="1" applyAlignment="1">
      <alignment horizontal="center" vertical="center" wrapText="1"/>
    </xf>
    <xf numFmtId="167" fontId="46" fillId="0" borderId="5" xfId="0" applyNumberFormat="1" applyFont="1" applyBorder="1" applyAlignment="1">
      <alignment horizontal="center" vertical="center" wrapText="1"/>
    </xf>
    <xf numFmtId="167" fontId="46" fillId="0" borderId="6" xfId="0" applyNumberFormat="1" applyFont="1" applyBorder="1" applyAlignment="1">
      <alignment horizontal="center" vertical="center" wrapText="1"/>
    </xf>
    <xf numFmtId="167" fontId="46" fillId="0" borderId="7" xfId="0" applyNumberFormat="1" applyFont="1" applyBorder="1" applyAlignment="1">
      <alignment horizontal="center" vertical="center" wrapText="1"/>
    </xf>
    <xf numFmtId="0" fontId="48" fillId="0" borderId="10" xfId="0" applyFont="1" applyBorder="1" applyAlignment="1">
      <alignment horizontal="center" vertical="center"/>
    </xf>
    <xf numFmtId="0" fontId="48" fillId="0" borderId="43" xfId="0" applyFont="1" applyBorder="1" applyAlignment="1">
      <alignment horizontal="center" vertical="center"/>
    </xf>
    <xf numFmtId="0" fontId="48" fillId="0" borderId="11" xfId="0" applyFont="1" applyBorder="1" applyAlignment="1">
      <alignment horizontal="center" vertical="center"/>
    </xf>
    <xf numFmtId="0" fontId="48" fillId="0" borderId="16" xfId="0" applyFont="1" applyBorder="1" applyAlignment="1">
      <alignment horizontal="center" vertical="center"/>
    </xf>
    <xf numFmtId="0" fontId="44" fillId="0" borderId="29" xfId="0" applyFont="1" applyBorder="1" applyAlignment="1">
      <alignment horizontal="center" vertical="center" wrapText="1"/>
    </xf>
    <xf numFmtId="0" fontId="44" fillId="0" borderId="30" xfId="0" applyFont="1" applyBorder="1" applyAlignment="1">
      <alignment horizontal="center" vertical="center"/>
    </xf>
    <xf numFmtId="0" fontId="44" fillId="0" borderId="36" xfId="0" applyFont="1" applyBorder="1" applyAlignment="1">
      <alignment horizontal="center" vertical="center"/>
    </xf>
    <xf numFmtId="0" fontId="44" fillId="0" borderId="28" xfId="0" applyFont="1" applyBorder="1" applyAlignment="1">
      <alignment horizontal="center" vertical="center" wrapText="1"/>
    </xf>
    <xf numFmtId="0" fontId="44" fillId="0" borderId="37" xfId="0" applyFont="1" applyBorder="1" applyAlignment="1">
      <alignment horizontal="center" vertical="center" wrapText="1"/>
    </xf>
    <xf numFmtId="0" fontId="44" fillId="0" borderId="35" xfId="0" applyFont="1" applyBorder="1" applyAlignment="1">
      <alignment horizontal="center" vertical="center" wrapText="1"/>
    </xf>
    <xf numFmtId="0" fontId="44" fillId="0" borderId="29" xfId="0" applyFont="1" applyBorder="1" applyAlignment="1">
      <alignment horizontal="center" vertical="center"/>
    </xf>
    <xf numFmtId="0" fontId="46" fillId="0" borderId="27" xfId="0" applyFont="1" applyBorder="1" applyAlignment="1">
      <alignment horizontal="center" vertical="center" wrapText="1"/>
    </xf>
    <xf numFmtId="0" fontId="46" fillId="0" borderId="35" xfId="0" applyFont="1" applyBorder="1" applyAlignment="1">
      <alignment horizontal="center" vertical="center" wrapText="1"/>
    </xf>
    <xf numFmtId="165" fontId="49" fillId="0" borderId="27" xfId="11" applyNumberFormat="1" applyFont="1" applyFill="1" applyBorder="1" applyAlignment="1">
      <alignment horizontal="center" vertical="center" wrapText="1"/>
    </xf>
    <xf numFmtId="165" fontId="49" fillId="0" borderId="35" xfId="11" applyNumberFormat="1" applyFont="1" applyFill="1" applyBorder="1" applyAlignment="1">
      <alignment horizontal="center" vertical="center" wrapText="1"/>
    </xf>
    <xf numFmtId="0" fontId="46" fillId="0" borderId="44" xfId="0" applyFont="1" applyBorder="1" applyAlignment="1">
      <alignment horizontal="center" vertical="center" wrapText="1"/>
    </xf>
    <xf numFmtId="0" fontId="46" fillId="0" borderId="45" xfId="0" applyFont="1" applyBorder="1" applyAlignment="1">
      <alignment horizontal="center" vertical="center" wrapText="1"/>
    </xf>
    <xf numFmtId="165" fontId="49" fillId="0" borderId="5" xfId="11" applyNumberFormat="1" applyFont="1" applyFill="1" applyBorder="1" applyAlignment="1">
      <alignment horizontal="center" vertical="center" wrapText="1"/>
    </xf>
    <xf numFmtId="165" fontId="49" fillId="0" borderId="7" xfId="11" applyNumberFormat="1" applyFont="1" applyFill="1" applyBorder="1" applyAlignment="1">
      <alignment horizontal="center" vertical="center" wrapText="1"/>
    </xf>
    <xf numFmtId="43" fontId="49" fillId="0" borderId="10" xfId="11" quotePrefix="1" applyFont="1" applyFill="1" applyBorder="1" applyAlignment="1">
      <alignment horizontal="center" vertical="center" wrapText="1"/>
    </xf>
    <xf numFmtId="43" fontId="49" fillId="0" borderId="11" xfId="11" applyFont="1" applyFill="1" applyBorder="1" applyAlignment="1">
      <alignment horizontal="center" vertical="center" wrapText="1"/>
    </xf>
    <xf numFmtId="0" fontId="44" fillId="0" borderId="44" xfId="0" applyFont="1" applyBorder="1" applyAlignment="1">
      <alignment horizontal="center" vertical="center" wrapText="1"/>
    </xf>
    <xf numFmtId="0" fontId="44" fillId="0" borderId="45" xfId="0" applyFont="1" applyBorder="1" applyAlignment="1">
      <alignment horizontal="center" vertical="center" wrapText="1"/>
    </xf>
    <xf numFmtId="165" fontId="44" fillId="0" borderId="58" xfId="2" applyNumberFormat="1" applyFont="1" applyFill="1" applyBorder="1" applyAlignment="1">
      <alignment horizontal="center" vertical="center" wrapText="1"/>
    </xf>
    <xf numFmtId="165" fontId="44" fillId="0" borderId="19" xfId="2" applyNumberFormat="1" applyFont="1" applyFill="1" applyBorder="1" applyAlignment="1">
      <alignment horizontal="center" vertical="center" wrapText="1"/>
    </xf>
    <xf numFmtId="165" fontId="44" fillId="0" borderId="32" xfId="2" applyNumberFormat="1" applyFont="1" applyFill="1" applyBorder="1" applyAlignment="1">
      <alignment horizontal="center" vertical="center" wrapText="1"/>
    </xf>
    <xf numFmtId="165" fontId="44" fillId="0" borderId="4" xfId="2" applyNumberFormat="1" applyFont="1" applyFill="1" applyBorder="1" applyAlignment="1">
      <alignment horizontal="center" vertical="center" wrapText="1"/>
    </xf>
    <xf numFmtId="1" fontId="46" fillId="0" borderId="5" xfId="0" applyNumberFormat="1" applyFont="1" applyBorder="1" applyAlignment="1">
      <alignment horizontal="center" vertical="center" wrapText="1"/>
    </xf>
    <xf numFmtId="1" fontId="46" fillId="0" borderId="6" xfId="0" applyNumberFormat="1" applyFont="1" applyBorder="1" applyAlignment="1">
      <alignment horizontal="center" vertical="center" wrapText="1"/>
    </xf>
    <xf numFmtId="1" fontId="46" fillId="0" borderId="7" xfId="0" applyNumberFormat="1" applyFont="1" applyBorder="1" applyAlignment="1">
      <alignment horizontal="center" vertical="center" wrapText="1"/>
    </xf>
    <xf numFmtId="0" fontId="46" fillId="0" borderId="5" xfId="0" applyFont="1" applyBorder="1" applyAlignment="1">
      <alignment horizontal="left" vertical="center" wrapText="1"/>
    </xf>
    <xf numFmtId="0" fontId="46" fillId="0" borderId="6" xfId="0" applyFont="1" applyBorder="1" applyAlignment="1">
      <alignment horizontal="left" vertical="center" wrapText="1"/>
    </xf>
    <xf numFmtId="0" fontId="46" fillId="0" borderId="7" xfId="0" applyFont="1" applyBorder="1" applyAlignment="1">
      <alignment horizontal="left" vertical="center" wrapText="1"/>
    </xf>
    <xf numFmtId="0" fontId="47" fillId="0" borderId="5" xfId="0" applyFont="1" applyBorder="1" applyAlignment="1">
      <alignment vertical="center" wrapText="1"/>
    </xf>
    <xf numFmtId="0" fontId="47" fillId="0" borderId="6" xfId="0" applyFont="1" applyBorder="1" applyAlignment="1">
      <alignment vertical="center" wrapText="1"/>
    </xf>
    <xf numFmtId="0" fontId="47" fillId="0" borderId="7" xfId="0" applyFont="1" applyBorder="1" applyAlignment="1">
      <alignment vertical="center" wrapText="1"/>
    </xf>
    <xf numFmtId="0" fontId="65" fillId="7" borderId="4" xfId="0" applyFont="1" applyFill="1" applyBorder="1" applyAlignment="1">
      <alignment horizontal="center" vertical="center" wrapText="1"/>
    </xf>
    <xf numFmtId="0" fontId="65" fillId="7" borderId="1" xfId="0" applyFont="1" applyFill="1" applyBorder="1" applyAlignment="1">
      <alignment horizontal="center" vertical="center" wrapText="1"/>
    </xf>
    <xf numFmtId="0" fontId="65" fillId="7" borderId="3"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16" xfId="0" applyFont="1" applyFill="1" applyBorder="1" applyAlignment="1">
      <alignment horizontal="center" vertical="center" wrapText="1"/>
    </xf>
    <xf numFmtId="0" fontId="65" fillId="7" borderId="42" xfId="0" applyFont="1" applyFill="1" applyBorder="1" applyAlignment="1">
      <alignment horizontal="center" vertical="center" wrapText="1"/>
    </xf>
    <xf numFmtId="0" fontId="65" fillId="7" borderId="2" xfId="0" applyFont="1" applyFill="1" applyBorder="1" applyAlignment="1">
      <alignment horizontal="center" vertical="center" wrapText="1"/>
    </xf>
    <xf numFmtId="0" fontId="73" fillId="9" borderId="15" xfId="0" applyFont="1" applyFill="1" applyBorder="1" applyAlignment="1">
      <alignment horizontal="center" vertical="center" wrapText="1"/>
    </xf>
    <xf numFmtId="0" fontId="73" fillId="9" borderId="52" xfId="0" applyFont="1" applyFill="1" applyBorder="1" applyAlignment="1">
      <alignment horizontal="center" vertical="center" wrapText="1"/>
    </xf>
    <xf numFmtId="0" fontId="63" fillId="0" borderId="1" xfId="0" applyFont="1" applyBorder="1" applyAlignment="1">
      <alignment horizontal="center" vertical="center" wrapText="1"/>
    </xf>
    <xf numFmtId="0" fontId="63" fillId="0" borderId="2" xfId="0" applyFont="1" applyBorder="1" applyAlignment="1">
      <alignment horizontal="center" vertical="center" wrapText="1"/>
    </xf>
    <xf numFmtId="0" fontId="73" fillId="9" borderId="4" xfId="0" applyFont="1" applyFill="1" applyBorder="1" applyAlignment="1">
      <alignment horizontal="center" vertical="center" wrapText="1"/>
    </xf>
    <xf numFmtId="1" fontId="73" fillId="9" borderId="4" xfId="0" applyNumberFormat="1" applyFont="1" applyFill="1" applyBorder="1" applyAlignment="1">
      <alignment horizontal="center" vertical="center" wrapText="1"/>
    </xf>
    <xf numFmtId="167" fontId="73" fillId="9" borderId="4" xfId="0" applyNumberFormat="1" applyFont="1" applyFill="1" applyBorder="1" applyAlignment="1">
      <alignment horizontal="center" vertical="center" wrapText="1"/>
    </xf>
    <xf numFmtId="0" fontId="73" fillId="6" borderId="5" xfId="0" applyFont="1" applyFill="1" applyBorder="1" applyAlignment="1">
      <alignment horizontal="center" vertical="center" wrapText="1"/>
    </xf>
    <xf numFmtId="0" fontId="73" fillId="6" borderId="7" xfId="0" applyFont="1" applyFill="1" applyBorder="1" applyAlignment="1">
      <alignment horizontal="center" vertical="center" wrapText="1"/>
    </xf>
    <xf numFmtId="0" fontId="80" fillId="9" borderId="56" xfId="0" applyFont="1" applyFill="1" applyBorder="1" applyAlignment="1">
      <alignment horizontal="center" vertical="center" wrapText="1"/>
    </xf>
    <xf numFmtId="0" fontId="80" fillId="9" borderId="55" xfId="0" applyFont="1" applyFill="1" applyBorder="1" applyAlignment="1">
      <alignment horizontal="center" vertical="center" wrapText="1"/>
    </xf>
    <xf numFmtId="0" fontId="73" fillId="9" borderId="32" xfId="0" applyFont="1" applyFill="1" applyBorder="1" applyAlignment="1">
      <alignment horizontal="center" vertical="center" wrapText="1"/>
    </xf>
    <xf numFmtId="0" fontId="73" fillId="9" borderId="50" xfId="0" applyFont="1" applyFill="1" applyBorder="1" applyAlignment="1">
      <alignment horizontal="center" vertical="center" wrapText="1"/>
    </xf>
    <xf numFmtId="0" fontId="73" fillId="9" borderId="49" xfId="0" applyFont="1" applyFill="1" applyBorder="1" applyAlignment="1">
      <alignment horizontal="center" vertical="center" wrapText="1"/>
    </xf>
    <xf numFmtId="0" fontId="73" fillId="14" borderId="15" xfId="0" applyFont="1" applyFill="1" applyBorder="1" applyAlignment="1">
      <alignment horizontal="center" vertical="center" wrapText="1"/>
    </xf>
    <xf numFmtId="0" fontId="73" fillId="14" borderId="52" xfId="0" applyFont="1" applyFill="1" applyBorder="1" applyAlignment="1">
      <alignment horizontal="center" vertical="center" wrapText="1"/>
    </xf>
    <xf numFmtId="0" fontId="93" fillId="0" borderId="15" xfId="0" applyFont="1" applyBorder="1" applyAlignment="1">
      <alignment horizontal="center" vertical="center" wrapText="1"/>
    </xf>
    <xf numFmtId="0" fontId="93" fillId="0" borderId="66" xfId="0" applyFont="1" applyBorder="1" applyAlignment="1">
      <alignment horizontal="center" vertical="center" wrapText="1"/>
    </xf>
    <xf numFmtId="0" fontId="93" fillId="21" borderId="15" xfId="0" applyFont="1" applyFill="1" applyBorder="1" applyAlignment="1">
      <alignment horizontal="center" vertical="center" wrapText="1"/>
    </xf>
    <xf numFmtId="0" fontId="93" fillId="21" borderId="66"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4" xfId="0" applyFont="1"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43" fontId="0" fillId="0" borderId="5" xfId="4" applyFont="1" applyFill="1" applyBorder="1" applyAlignment="1">
      <alignment horizontal="left" vertical="center"/>
    </xf>
    <xf numFmtId="43" fontId="0" fillId="0" borderId="6" xfId="4" applyFont="1" applyFill="1" applyBorder="1" applyAlignment="1">
      <alignment horizontal="left" vertical="center"/>
    </xf>
    <xf numFmtId="43" fontId="0" fillId="0" borderId="7" xfId="4" applyFont="1" applyFill="1" applyBorder="1" applyAlignment="1">
      <alignment horizontal="left" vertical="center"/>
    </xf>
    <xf numFmtId="0" fontId="41" fillId="11" borderId="1" xfId="0" applyFont="1" applyFill="1" applyBorder="1" applyAlignment="1">
      <alignment horizontal="center"/>
    </xf>
    <xf numFmtId="0" fontId="41" fillId="11" borderId="2" xfId="0" applyFont="1" applyFill="1" applyBorder="1" applyAlignment="1">
      <alignment horizontal="center"/>
    </xf>
    <xf numFmtId="0" fontId="41" fillId="11" borderId="3" xfId="0" applyFont="1" applyFill="1" applyBorder="1" applyAlignment="1">
      <alignment horizontal="center"/>
    </xf>
    <xf numFmtId="0" fontId="41" fillId="15" borderId="1" xfId="0" applyFont="1" applyFill="1" applyBorder="1" applyAlignment="1">
      <alignment horizontal="center"/>
    </xf>
    <xf numFmtId="0" fontId="41" fillId="15" borderId="2" xfId="0" applyFont="1" applyFill="1" applyBorder="1" applyAlignment="1">
      <alignment horizontal="center"/>
    </xf>
    <xf numFmtId="0" fontId="41" fillId="15" borderId="3" xfId="0" applyFont="1" applyFill="1" applyBorder="1" applyAlignment="1">
      <alignment horizontal="center"/>
    </xf>
    <xf numFmtId="0" fontId="41" fillId="17" borderId="1" xfId="0" applyFont="1" applyFill="1" applyBorder="1" applyAlignment="1">
      <alignment horizontal="center"/>
    </xf>
    <xf numFmtId="0" fontId="41" fillId="17" borderId="2" xfId="0" applyFont="1" applyFill="1" applyBorder="1" applyAlignment="1">
      <alignment horizontal="center"/>
    </xf>
    <xf numFmtId="0" fontId="41" fillId="17" borderId="3" xfId="0" applyFont="1" applyFill="1" applyBorder="1" applyAlignment="1">
      <alignment horizontal="center"/>
    </xf>
    <xf numFmtId="0" fontId="41" fillId="14" borderId="1" xfId="0" applyFont="1" applyFill="1" applyBorder="1" applyAlignment="1">
      <alignment horizontal="center"/>
    </xf>
    <xf numFmtId="0" fontId="41" fillId="14" borderId="2" xfId="0" applyFont="1" applyFill="1" applyBorder="1" applyAlignment="1">
      <alignment horizontal="center"/>
    </xf>
    <xf numFmtId="0" fontId="41" fillId="14" borderId="3" xfId="0" applyFont="1" applyFill="1" applyBorder="1" applyAlignment="1">
      <alignment horizontal="center"/>
    </xf>
    <xf numFmtId="0" fontId="41" fillId="17" borderId="16" xfId="0" applyFont="1" applyFill="1" applyBorder="1" applyAlignment="1">
      <alignment horizontal="center"/>
    </xf>
    <xf numFmtId="0" fontId="2" fillId="6" borderId="4" xfId="0" applyFont="1" applyFill="1" applyBorder="1" applyAlignment="1">
      <alignment horizontal="center" vertical="center"/>
    </xf>
    <xf numFmtId="44" fontId="2" fillId="6" borderId="4" xfId="1" applyFont="1" applyFill="1" applyBorder="1" applyAlignment="1">
      <alignment horizontal="center" vertical="center" wrapText="1"/>
    </xf>
    <xf numFmtId="44" fontId="2" fillId="6" borderId="4" xfId="1" applyFont="1" applyFill="1" applyBorder="1" applyAlignment="1">
      <alignment horizontal="center" vertical="center"/>
    </xf>
    <xf numFmtId="0" fontId="2" fillId="6"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xf>
    <xf numFmtId="0" fontId="4" fillId="6" borderId="7" xfId="0" applyFont="1" applyFill="1" applyBorder="1" applyAlignment="1">
      <alignment horizontal="center" vertical="center"/>
    </xf>
    <xf numFmtId="44" fontId="17" fillId="0" borderId="4" xfId="1" applyFont="1" applyFill="1" applyBorder="1" applyAlignment="1">
      <alignment horizontal="center" vertical="center"/>
    </xf>
    <xf numFmtId="17" fontId="2" fillId="0" borderId="4" xfId="0" applyNumberFormat="1" applyFont="1" applyBorder="1" applyAlignment="1">
      <alignment horizontal="center" vertical="center"/>
    </xf>
    <xf numFmtId="7" fontId="17" fillId="0" borderId="4" xfId="1" applyNumberFormat="1" applyFont="1" applyFill="1" applyBorder="1" applyAlignment="1">
      <alignment horizontal="center" vertical="center"/>
    </xf>
    <xf numFmtId="17" fontId="2" fillId="0" borderId="1" xfId="0" applyNumberFormat="1" applyFont="1" applyBorder="1" applyAlignment="1">
      <alignment horizontal="center" vertical="center"/>
    </xf>
    <xf numFmtId="17" fontId="2" fillId="0" borderId="3" xfId="0" applyNumberFormat="1" applyFont="1" applyBorder="1" applyAlignment="1">
      <alignment horizontal="center" vertical="center"/>
    </xf>
    <xf numFmtId="44" fontId="17" fillId="0" borderId="1" xfId="1" applyFont="1" applyFill="1" applyBorder="1" applyAlignment="1">
      <alignment horizontal="center" vertical="center"/>
    </xf>
    <xf numFmtId="44" fontId="17" fillId="0" borderId="3" xfId="1" applyFont="1" applyFill="1" applyBorder="1" applyAlignment="1">
      <alignment horizontal="center" vertical="center"/>
    </xf>
  </cellXfs>
  <cellStyles count="17">
    <cellStyle name="Comma" xfId="4" builtinId="3"/>
    <cellStyle name="Comma 2" xfId="2" xr:uid="{00000000-0005-0000-0000-000001000000}"/>
    <cellStyle name="Comma 3" xfId="11" xr:uid="{A5E6BEC6-4583-47AE-ACCF-1B280CAFE11C}"/>
    <cellStyle name="Comma 4" xfId="9" xr:uid="{00000000-0005-0000-0000-000002000000}"/>
    <cellStyle name="Comma 5" xfId="15" xr:uid="{21F7B098-7311-4D19-91AB-38F66E65A489}"/>
    <cellStyle name="Currency" xfId="1" builtinId="4"/>
    <cellStyle name="Input" xfId="10" builtinId="20"/>
    <cellStyle name="Normal" xfId="0" builtinId="0"/>
    <cellStyle name="Normal 2" xfId="6" xr:uid="{00000000-0005-0000-0000-000005000000}"/>
    <cellStyle name="Normal 2 2" xfId="8" xr:uid="{00000000-0005-0000-0000-000006000000}"/>
    <cellStyle name="Normal 2 2 3" xfId="16" xr:uid="{44BD6BC2-8CA3-473F-86D1-EB4688646516}"/>
    <cellStyle name="Normal 3" xfId="3" xr:uid="{00000000-0005-0000-0000-000007000000}"/>
    <cellStyle name="Normal 3 2" xfId="12" xr:uid="{1BF87040-B6B4-4405-B719-5A08AF233EC3}"/>
    <cellStyle name="Normal 4" xfId="7" xr:uid="{00000000-0005-0000-0000-000008000000}"/>
    <cellStyle name="Normal 5" xfId="13" xr:uid="{F6E9D929-AD37-4DA0-BCB0-A56F6C8B50F5}"/>
    <cellStyle name="Percent" xfId="5" builtinId="5"/>
    <cellStyle name="Percent 2" xfId="14" xr:uid="{D367213D-342F-42DE-9803-11CFA0ED43B6}"/>
  </cellStyles>
  <dxfs count="99">
    <dxf>
      <font>
        <condense val="0"/>
        <extend val="0"/>
        <color rgb="FF9C0006"/>
      </font>
      <fill>
        <patternFill>
          <bgColor rgb="FFFFC7CE"/>
        </patternFill>
      </fill>
    </dxf>
    <dxf>
      <font>
        <b/>
        <i val="0"/>
      </font>
      <fill>
        <patternFill>
          <bgColor theme="9" tint="0.79998168889431442"/>
        </patternFill>
      </fill>
    </dxf>
    <dxf>
      <font>
        <b/>
        <i val="0"/>
        <color rgb="FFFF0000"/>
      </font>
      <fill>
        <patternFill patternType="none">
          <fgColor indexed="64"/>
          <bgColor auto="1"/>
        </patternFill>
      </fill>
    </dxf>
    <dxf>
      <font>
        <b/>
        <i val="0"/>
      </font>
      <fill>
        <patternFill>
          <bgColor theme="7" tint="0.59996337778862885"/>
        </patternFill>
      </fill>
    </dxf>
    <dxf>
      <font>
        <color rgb="FF9C0006"/>
      </font>
      <fill>
        <patternFill>
          <bgColor rgb="FFFFC7CE"/>
        </patternFill>
      </fill>
    </dxf>
    <dxf>
      <font>
        <b/>
        <i val="0"/>
      </font>
      <fill>
        <patternFill>
          <bgColor theme="7" tint="0.59996337778862885"/>
        </patternFill>
      </fill>
    </dxf>
    <dxf>
      <font>
        <b/>
        <i val="0"/>
      </font>
      <fill>
        <patternFill>
          <bgColor theme="7" tint="0.59996337778862885"/>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7" tint="0.59996337778862885"/>
        </patternFill>
      </fill>
    </dxf>
    <dxf>
      <font>
        <b/>
        <i val="0"/>
      </font>
      <fill>
        <patternFill>
          <bgColor theme="4" tint="0.79998168889431442"/>
        </patternFill>
      </fill>
    </dxf>
    <dxf>
      <font>
        <b/>
        <i val="0"/>
      </font>
      <fill>
        <patternFill>
          <bgColor theme="5" tint="0.79998168889431442"/>
        </patternFill>
      </fill>
    </dxf>
    <dxf>
      <font>
        <b/>
        <i val="0"/>
      </font>
      <fill>
        <patternFill>
          <bgColor theme="4" tint="0.79998168889431442"/>
        </patternFill>
      </fill>
    </dxf>
    <dxf>
      <font>
        <b/>
        <i val="0"/>
      </font>
      <fill>
        <patternFill>
          <bgColor theme="9" tint="0.79998168889431442"/>
        </patternFill>
      </fill>
    </dxf>
    <dxf>
      <font>
        <color rgb="FF9C0006"/>
      </font>
      <fill>
        <patternFill>
          <bgColor rgb="FFFFC7CE"/>
        </patternFill>
      </fill>
    </dxf>
    <dxf>
      <font>
        <b/>
        <i val="0"/>
      </font>
      <fill>
        <patternFill>
          <bgColor theme="7" tint="0.59996337778862885"/>
        </patternFill>
      </fill>
    </dxf>
    <dxf>
      <font>
        <b/>
        <i val="0"/>
      </font>
      <fill>
        <patternFill>
          <bgColor theme="5" tint="0.79998168889431442"/>
        </patternFill>
      </fill>
    </dxf>
    <dxf>
      <font>
        <color rgb="FF9C0006"/>
      </font>
      <fill>
        <patternFill>
          <bgColor rgb="FFFFC7CE"/>
        </patternFill>
      </fill>
    </dxf>
    <dxf>
      <font>
        <b/>
        <i val="0"/>
      </font>
      <fill>
        <patternFill>
          <bgColor theme="4" tint="0.79998168889431442"/>
        </patternFill>
      </fill>
    </dxf>
    <dxf>
      <font>
        <b/>
        <i val="0"/>
      </font>
      <fill>
        <patternFill>
          <bgColor theme="5" tint="0.79998168889431442"/>
        </patternFill>
      </fill>
    </dxf>
    <dxf>
      <font>
        <color rgb="FF9C0006"/>
      </font>
      <fill>
        <patternFill>
          <bgColor rgb="FFFFC7CE"/>
        </patternFill>
      </fill>
    </dxf>
    <dxf>
      <font>
        <b/>
        <i val="0"/>
      </font>
      <fill>
        <patternFill>
          <bgColor theme="9" tint="0.79998168889431442"/>
        </patternFill>
      </fill>
    </dxf>
    <dxf>
      <font>
        <b/>
        <i val="0"/>
      </font>
      <fill>
        <patternFill>
          <bgColor theme="5" tint="0.79998168889431442"/>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b/>
        <i val="0"/>
      </font>
      <fill>
        <patternFill>
          <bgColor theme="5" tint="0.79998168889431442"/>
        </patternFill>
      </fill>
    </dxf>
    <dxf>
      <font>
        <condense val="0"/>
        <extend val="0"/>
        <color rgb="FF9C0006"/>
      </font>
      <fill>
        <patternFill>
          <bgColor rgb="FFFFC7CE"/>
        </patternFill>
      </fill>
    </dxf>
    <dxf>
      <font>
        <b/>
        <i val="0"/>
      </font>
      <fill>
        <patternFill>
          <bgColor theme="9" tint="0.39994506668294322"/>
        </patternFill>
      </fill>
    </dxf>
    <dxf>
      <font>
        <b/>
        <i val="0"/>
      </font>
      <fill>
        <patternFill>
          <bgColor theme="4" tint="0.79998168889431442"/>
        </patternFill>
      </fill>
    </dxf>
    <dxf>
      <font>
        <b/>
        <i val="0"/>
      </font>
      <fill>
        <patternFill>
          <bgColor theme="9" tint="0.39994506668294322"/>
        </patternFill>
      </fill>
    </dxf>
    <dxf>
      <font>
        <color rgb="FF9C0006"/>
      </font>
      <fill>
        <patternFill>
          <bgColor rgb="FFFFC7CE"/>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color rgb="FF9C0006"/>
      </font>
      <fill>
        <patternFill>
          <bgColor rgb="FFFFC7CE"/>
        </patternFill>
      </fill>
    </dxf>
    <dxf>
      <font>
        <condense val="0"/>
        <extend val="0"/>
        <color rgb="FF9C0006"/>
      </font>
      <fill>
        <patternFill>
          <bgColor rgb="FFFFC7CE"/>
        </patternFill>
      </fill>
    </dxf>
    <dxf>
      <font>
        <b/>
        <i val="0"/>
      </font>
      <fill>
        <patternFill>
          <bgColor theme="9" tint="0.79998168889431442"/>
        </patternFill>
      </fill>
    </dxf>
    <dxf>
      <font>
        <color rgb="FF9C0006"/>
      </font>
      <fill>
        <patternFill>
          <bgColor rgb="FFFFC7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59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Import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54459730455042"/>
          <c:y val="7.5722587416418297E-2"/>
          <c:w val="0.85945621314515419"/>
          <c:h val="0.73989619772776871"/>
        </c:manualLayout>
      </c:layout>
      <c:barChart>
        <c:barDir val="col"/>
        <c:grouping val="stacked"/>
        <c:varyColors val="0"/>
        <c:ser>
          <c:idx val="0"/>
          <c:order val="0"/>
          <c:tx>
            <c:strRef>
              <c:f>'Logistics record '!$C$11</c:f>
              <c:strCache>
                <c:ptCount val="1"/>
                <c:pt idx="0">
                  <c:v>Subtotal of Raw materials</c:v>
                </c:pt>
              </c:strCache>
            </c:strRef>
          </c:tx>
          <c:spPr>
            <a:solidFill>
              <a:schemeClr val="accent1"/>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'!$D$11:$U$11</c:f>
              <c:numCache>
                <c:formatCode>_("$"* #,##0.00_);_("$"* \(#,##0.00\);_("$"* "-"??_);_(@_)</c:formatCode>
                <c:ptCount val="12"/>
                <c:pt idx="0">
                  <c:v>42787.193742424242</c:v>
                </c:pt>
                <c:pt idx="1">
                  <c:v>57556.839868751922</c:v>
                </c:pt>
                <c:pt idx="2">
                  <c:v>65629.280270628326</c:v>
                </c:pt>
                <c:pt idx="3">
                  <c:v>66084.052156662074</c:v>
                </c:pt>
                <c:pt idx="4">
                  <c:v>81913.019026846858</c:v>
                </c:pt>
                <c:pt idx="5">
                  <c:v>74332.992689931882</c:v>
                </c:pt>
                <c:pt idx="6">
                  <c:v>53586.968828662131</c:v>
                </c:pt>
                <c:pt idx="7">
                  <c:v>35601.899597542484</c:v>
                </c:pt>
                <c:pt idx="8">
                  <c:v>34173.437616297975</c:v>
                </c:pt>
                <c:pt idx="9">
                  <c:v>29403.63682232756</c:v>
                </c:pt>
                <c:pt idx="10">
                  <c:v>30790.441735475626</c:v>
                </c:pt>
                <c:pt idx="11">
                  <c:v>40861.480998130588</c:v>
                </c:pt>
              </c:numCache>
            </c:numRef>
          </c:val>
          <c:extLst>
            <c:ext xmlns:c16="http://schemas.microsoft.com/office/drawing/2014/chart" uri="{C3380CC4-5D6E-409C-BE32-E72D297353CC}">
              <c16:uniqueId val="{00000000-5E3F-4112-ABDB-C66D5285A835}"/>
            </c:ext>
          </c:extLst>
        </c:ser>
        <c:ser>
          <c:idx val="1"/>
          <c:order val="1"/>
          <c:tx>
            <c:strRef>
              <c:f>'Logistics record '!$C$15</c:f>
              <c:strCache>
                <c:ptCount val="1"/>
                <c:pt idx="0">
                  <c:v>Subtotal of Equipments &amp; Toolings</c:v>
                </c:pt>
              </c:strCache>
            </c:strRef>
          </c:tx>
          <c:spPr>
            <a:solidFill>
              <a:schemeClr val="accent2"/>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'!$D$15:$U$15</c:f>
              <c:numCache>
                <c:formatCode>_("$"* #,##0.00_);_("$"* \(#,##0.00\);_("$"* "-"??_);_(@_)</c:formatCode>
                <c:ptCount val="12"/>
                <c:pt idx="0">
                  <c:v>1281.7316000000001</c:v>
                </c:pt>
                <c:pt idx="1">
                  <c:v>3177.7</c:v>
                </c:pt>
                <c:pt idx="2">
                  <c:v>7608.3670890060293</c:v>
                </c:pt>
                <c:pt idx="3">
                  <c:v>2326.7026102773989</c:v>
                </c:pt>
                <c:pt idx="4">
                  <c:v>8447.653671096974</c:v>
                </c:pt>
                <c:pt idx="5">
                  <c:v>3095.073206974982</c:v>
                </c:pt>
                <c:pt idx="6">
                  <c:v>973.55319816373458</c:v>
                </c:pt>
                <c:pt idx="7">
                  <c:v>563.72795073554596</c:v>
                </c:pt>
                <c:pt idx="8">
                  <c:v>601.85141296514053</c:v>
                </c:pt>
                <c:pt idx="9">
                  <c:v>1145.3975575530021</c:v>
                </c:pt>
                <c:pt idx="10">
                  <c:v>3419.1042650862323</c:v>
                </c:pt>
                <c:pt idx="11">
                  <c:v>1277.7715073059844</c:v>
                </c:pt>
              </c:numCache>
            </c:numRef>
          </c:val>
          <c:extLst>
            <c:ext xmlns:c16="http://schemas.microsoft.com/office/drawing/2014/chart" uri="{C3380CC4-5D6E-409C-BE32-E72D297353CC}">
              <c16:uniqueId val="{00000001-5E3F-4112-ABDB-C66D5285A835}"/>
            </c:ext>
          </c:extLst>
        </c:ser>
        <c:ser>
          <c:idx val="2"/>
          <c:order val="2"/>
          <c:tx>
            <c:strRef>
              <c:f>'Logistics record '!$C$16</c:f>
              <c:strCache>
                <c:ptCount val="1"/>
                <c:pt idx="0">
                  <c:v>Other freight charges</c:v>
                </c:pt>
              </c:strCache>
            </c:strRef>
          </c:tx>
          <c:spPr>
            <a:solidFill>
              <a:schemeClr val="accent3"/>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'!$D$16:$U$16</c:f>
              <c:numCache>
                <c:formatCode>_("$"* #,##0.00_);_("$"* \(#,##0.00\);_("$"* "-"??_);_(@_)</c:formatCode>
                <c:ptCount val="12"/>
                <c:pt idx="1">
                  <c:v>565.04</c:v>
                </c:pt>
                <c:pt idx="2">
                  <c:v>1175.622890515378</c:v>
                </c:pt>
                <c:pt idx="4">
                  <c:v>965.57991593774898</c:v>
                </c:pt>
                <c:pt idx="11">
                  <c:v>831.38084800846502</c:v>
                </c:pt>
              </c:numCache>
            </c:numRef>
          </c:val>
          <c:extLst>
            <c:ext xmlns:c16="http://schemas.microsoft.com/office/drawing/2014/chart" uri="{C3380CC4-5D6E-409C-BE32-E72D297353CC}">
              <c16:uniqueId val="{00000002-5E3F-4112-ABDB-C66D5285A835}"/>
            </c:ext>
          </c:extLst>
        </c:ser>
        <c:dLbls>
          <c:showLegendKey val="0"/>
          <c:showVal val="0"/>
          <c:showCatName val="0"/>
          <c:showSerName val="0"/>
          <c:showPercent val="0"/>
          <c:showBubbleSize val="0"/>
        </c:dLbls>
        <c:gapWidth val="150"/>
        <c:overlap val="100"/>
        <c:axId val="247389088"/>
        <c:axId val="589354928"/>
      </c:barChart>
      <c:dateAx>
        <c:axId val="24738908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54928"/>
        <c:crosses val="autoZero"/>
        <c:auto val="1"/>
        <c:lblOffset val="100"/>
        <c:baseTimeUnit val="months"/>
      </c:dateAx>
      <c:valAx>
        <c:axId val="5893549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89088"/>
        <c:crosses val="autoZero"/>
        <c:crossBetween val="between"/>
      </c:valAx>
      <c:spPr>
        <a:noFill/>
        <a:ln>
          <a:noFill/>
        </a:ln>
        <a:effectLst/>
      </c:spPr>
    </c:plotArea>
    <c:legend>
      <c:legendPos val="b"/>
      <c:layout>
        <c:manualLayout>
          <c:xMode val="edge"/>
          <c:yMode val="edge"/>
          <c:x val="3.2735974062537018E-2"/>
          <c:y val="0.93105417946645563"/>
          <c:w val="0.92616823479665156"/>
          <c:h val="6.62778543382456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09626265282487"/>
          <c:y val="6.6231569155121434E-2"/>
          <c:w val="0.80326670558971391"/>
          <c:h val="0.64652271226832836"/>
        </c:manualLayout>
      </c:layout>
      <c:barChart>
        <c:barDir val="col"/>
        <c:grouping val="stacked"/>
        <c:varyColors val="0"/>
        <c:ser>
          <c:idx val="0"/>
          <c:order val="0"/>
          <c:tx>
            <c:strRef>
              <c:f>'Logistics record '!$C$21</c:f>
              <c:strCache>
                <c:ptCount val="1"/>
                <c:pt idx="0">
                  <c:v>Subtotal of Transfer Raw Materials</c:v>
                </c:pt>
              </c:strCache>
            </c:strRef>
          </c:tx>
          <c:spPr>
            <a:solidFill>
              <a:schemeClr val="accent1"/>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'!$D$21:$U$21</c:f>
              <c:numCache>
                <c:formatCode>_("$"* #,##0.00_);_("$"* \(#,##0.00\);_("$"* "-"??_);_(@_)</c:formatCode>
                <c:ptCount val="12"/>
                <c:pt idx="0">
                  <c:v>3141.8439393939393</c:v>
                </c:pt>
                <c:pt idx="1">
                  <c:v>439.17042030464506</c:v>
                </c:pt>
                <c:pt idx="2">
                  <c:v>1962.1784292161249</c:v>
                </c:pt>
                <c:pt idx="3">
                  <c:v>2556.8526603001405</c:v>
                </c:pt>
                <c:pt idx="4">
                  <c:v>1449.4691662346124</c:v>
                </c:pt>
                <c:pt idx="5">
                  <c:v>4645.1718473957535</c:v>
                </c:pt>
                <c:pt idx="6">
                  <c:v>611.48052792654937</c:v>
                </c:pt>
                <c:pt idx="7">
                  <c:v>350.88147641312196</c:v>
                </c:pt>
                <c:pt idx="8">
                  <c:v>523.74399726889965</c:v>
                </c:pt>
                <c:pt idx="9">
                  <c:v>446.64865172374562</c:v>
                </c:pt>
                <c:pt idx="10">
                  <c:v>1296.8654370549916</c:v>
                </c:pt>
                <c:pt idx="11">
                  <c:v>594.53476683546228</c:v>
                </c:pt>
              </c:numCache>
            </c:numRef>
          </c:val>
          <c:extLst>
            <c:ext xmlns:c16="http://schemas.microsoft.com/office/drawing/2014/chart" uri="{C3380CC4-5D6E-409C-BE32-E72D297353CC}">
              <c16:uniqueId val="{00000000-CCB0-4C12-ABB1-B6EB7B7C0953}"/>
            </c:ext>
          </c:extLst>
        </c:ser>
        <c:ser>
          <c:idx val="1"/>
          <c:order val="1"/>
          <c:tx>
            <c:strRef>
              <c:f>'Logistics record '!$C$25</c:f>
              <c:strCache>
                <c:ptCount val="1"/>
                <c:pt idx="0">
                  <c:v>Subtotal of FG Lucid</c:v>
                </c:pt>
              </c:strCache>
            </c:strRef>
          </c:tx>
          <c:spPr>
            <a:solidFill>
              <a:schemeClr val="accent2"/>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'!$D$25:$U$25</c:f>
              <c:numCache>
                <c:formatCode>_("$"* #,##0.00_);_("$"* \(#,##0.00\);_("$"* "-"??_);_(@_)</c:formatCode>
                <c:ptCount val="12"/>
                <c:pt idx="0">
                  <c:v>254.52254897159091</c:v>
                </c:pt>
                <c:pt idx="1">
                  <c:v>210.95</c:v>
                </c:pt>
                <c:pt idx="2">
                  <c:v>752.01941673935301</c:v>
                </c:pt>
                <c:pt idx="3">
                  <c:v>686.22100954979533</c:v>
                </c:pt>
                <c:pt idx="4">
                  <c:v>1519.2420258245299</c:v>
                </c:pt>
                <c:pt idx="5">
                  <c:v>2550.0304668385143</c:v>
                </c:pt>
                <c:pt idx="6">
                  <c:v>650.97513389441474</c:v>
                </c:pt>
                <c:pt idx="7">
                  <c:v>537.33428365073974</c:v>
                </c:pt>
                <c:pt idx="8">
                  <c:v>2503.2525888555933</c:v>
                </c:pt>
                <c:pt idx="9">
                  <c:v>405.87582963552939</c:v>
                </c:pt>
                <c:pt idx="10">
                  <c:v>285.18406302075442</c:v>
                </c:pt>
                <c:pt idx="11">
                  <c:v>211.6242158567002</c:v>
                </c:pt>
              </c:numCache>
            </c:numRef>
          </c:val>
          <c:extLst>
            <c:ext xmlns:c16="http://schemas.microsoft.com/office/drawing/2014/chart" uri="{C3380CC4-5D6E-409C-BE32-E72D297353CC}">
              <c16:uniqueId val="{00000001-CCB0-4C12-ABB1-B6EB7B7C0953}"/>
            </c:ext>
          </c:extLst>
        </c:ser>
        <c:ser>
          <c:idx val="2"/>
          <c:order val="2"/>
          <c:tx>
            <c:strRef>
              <c:f>'Logistics record '!$C$29</c:f>
              <c:strCache>
                <c:ptCount val="1"/>
                <c:pt idx="0">
                  <c:v>Subtotal of FG AGIGA</c:v>
                </c:pt>
              </c:strCache>
            </c:strRef>
          </c:tx>
          <c:spPr>
            <a:solidFill>
              <a:schemeClr val="accent3"/>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'!$D$29:$U$29</c:f>
              <c:numCache>
                <c:formatCode>_("$"* #,##0.00_);_("$"* \(#,##0.00\);_("$"* "-"??_);_(@_)</c:formatCode>
                <c:ptCount val="12"/>
                <c:pt idx="0">
                  <c:v>0</c:v>
                </c:pt>
                <c:pt idx="1">
                  <c:v>79.1848758805138</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CCB0-4C12-ABB1-B6EB7B7C0953}"/>
            </c:ext>
          </c:extLst>
        </c:ser>
        <c:ser>
          <c:idx val="3"/>
          <c:order val="3"/>
          <c:tx>
            <c:strRef>
              <c:f>'Logistics record '!$C$38</c:f>
              <c:strCache>
                <c:ptCount val="1"/>
                <c:pt idx="0">
                  <c:v>Subtotal of FG Pure</c:v>
                </c:pt>
              </c:strCache>
            </c:strRef>
          </c:tx>
          <c:spPr>
            <a:solidFill>
              <a:schemeClr val="accent4"/>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'!$D$38:$U$38</c:f>
              <c:numCache>
                <c:formatCode>_("$"* #,##0.00_);_("$"* \(#,##0.00\);_("$"* "-"??_);_(@_)</c:formatCode>
                <c:ptCount val="12"/>
                <c:pt idx="0">
                  <c:v>603.84510458522732</c:v>
                </c:pt>
                <c:pt idx="1">
                  <c:v>679.10376346524504</c:v>
                </c:pt>
                <c:pt idx="2">
                  <c:v>892.12158216087073</c:v>
                </c:pt>
                <c:pt idx="3">
                  <c:v>735.18622100954985</c:v>
                </c:pt>
                <c:pt idx="4">
                  <c:v>426.46079133250026</c:v>
                </c:pt>
                <c:pt idx="5">
                  <c:v>427.38078228961336</c:v>
                </c:pt>
                <c:pt idx="6">
                  <c:v>320.30229533282329</c:v>
                </c:pt>
                <c:pt idx="7">
                  <c:v>307.81567643592962</c:v>
                </c:pt>
                <c:pt idx="8">
                  <c:v>1167.4508591586693</c:v>
                </c:pt>
                <c:pt idx="9">
                  <c:v>539.95680206318514</c:v>
                </c:pt>
                <c:pt idx="10">
                  <c:v>930.07876230874103</c:v>
                </c:pt>
                <c:pt idx="11">
                  <c:v>292.52248507293473</c:v>
                </c:pt>
              </c:numCache>
            </c:numRef>
          </c:val>
          <c:extLst>
            <c:ext xmlns:c16="http://schemas.microsoft.com/office/drawing/2014/chart" uri="{C3380CC4-5D6E-409C-BE32-E72D297353CC}">
              <c16:uniqueId val="{00000003-CCB0-4C12-ABB1-B6EB7B7C0953}"/>
            </c:ext>
          </c:extLst>
        </c:ser>
        <c:ser>
          <c:idx val="4"/>
          <c:order val="4"/>
          <c:tx>
            <c:strRef>
              <c:f>'Logistics record '!$C$49</c:f>
              <c:strCache>
                <c:ptCount val="1"/>
                <c:pt idx="0">
                  <c:v>Subtotal of Other charges</c:v>
                </c:pt>
              </c:strCache>
            </c:strRef>
          </c:tx>
          <c:spPr>
            <a:solidFill>
              <a:schemeClr val="accent5"/>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'!$D$49:$U$49</c:f>
              <c:numCache>
                <c:formatCode>_("$"* #,##0.00_);_("$"* \(#,##0.00\);_("$"* "-"??_);_(@_)</c:formatCode>
                <c:ptCount val="12"/>
                <c:pt idx="0">
                  <c:v>151.83757575757573</c:v>
                </c:pt>
                <c:pt idx="1">
                  <c:v>486.46427183732089</c:v>
                </c:pt>
                <c:pt idx="2">
                  <c:v>477.11589366301337</c:v>
                </c:pt>
                <c:pt idx="3">
                  <c:v>1096.6396271032288</c:v>
                </c:pt>
                <c:pt idx="4">
                  <c:v>448.90849556969204</c:v>
                </c:pt>
                <c:pt idx="5">
                  <c:v>2612.5542790295676</c:v>
                </c:pt>
                <c:pt idx="6">
                  <c:v>535.95691177888295</c:v>
                </c:pt>
                <c:pt idx="7">
                  <c:v>3619.3778800814289</c:v>
                </c:pt>
                <c:pt idx="8">
                  <c:v>318.40306490156661</c:v>
                </c:pt>
                <c:pt idx="9">
                  <c:v>367.22566086395875</c:v>
                </c:pt>
                <c:pt idx="10">
                  <c:v>468.27089228904714</c:v>
                </c:pt>
                <c:pt idx="11">
                  <c:v>198.52717103771445</c:v>
                </c:pt>
              </c:numCache>
            </c:numRef>
          </c:val>
          <c:extLst>
            <c:ext xmlns:c16="http://schemas.microsoft.com/office/drawing/2014/chart" uri="{C3380CC4-5D6E-409C-BE32-E72D297353CC}">
              <c16:uniqueId val="{00000004-CCB0-4C12-ABB1-B6EB7B7C0953}"/>
            </c:ext>
          </c:extLst>
        </c:ser>
        <c:ser>
          <c:idx val="5"/>
          <c:order val="5"/>
          <c:tx>
            <c:strRef>
              <c:f>'Logistics record '!$C$34</c:f>
              <c:strCache>
                <c:ptCount val="1"/>
                <c:pt idx="0">
                  <c:v>Subtotal of EFI</c:v>
                </c:pt>
              </c:strCache>
            </c:strRef>
          </c:tx>
          <c:spPr>
            <a:solidFill>
              <a:schemeClr val="accent6"/>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'!$D$34:$U$34</c:f>
              <c:numCache>
                <c:formatCode>_("$"* #,##0.00_);_("$"* \(#,##0.00\);_("$"* "-"??_);_(@_)</c:formatCode>
                <c:ptCount val="12"/>
                <c:pt idx="0">
                  <c:v>700.31424242424237</c:v>
                </c:pt>
                <c:pt idx="1">
                  <c:v>860.69999999999993</c:v>
                </c:pt>
                <c:pt idx="2">
                  <c:v>15.169327619553263</c:v>
                </c:pt>
                <c:pt idx="3">
                  <c:v>30.316810671517356</c:v>
                </c:pt>
                <c:pt idx="4">
                  <c:v>60.585406490211668</c:v>
                </c:pt>
                <c:pt idx="5">
                  <c:v>233.51023502653521</c:v>
                </c:pt>
                <c:pt idx="6">
                  <c:v>993.65229533282331</c:v>
                </c:pt>
                <c:pt idx="7">
                  <c:v>112.33933933933935</c:v>
                </c:pt>
                <c:pt idx="8">
                  <c:v>0</c:v>
                </c:pt>
                <c:pt idx="9">
                  <c:v>58.027079303675052</c:v>
                </c:pt>
                <c:pt idx="10">
                  <c:v>15.149219815179519</c:v>
                </c:pt>
                <c:pt idx="11">
                  <c:v>90.696092510014353</c:v>
                </c:pt>
              </c:numCache>
            </c:numRef>
          </c:val>
          <c:extLst>
            <c:ext xmlns:c16="http://schemas.microsoft.com/office/drawing/2014/chart" uri="{C3380CC4-5D6E-409C-BE32-E72D297353CC}">
              <c16:uniqueId val="{00000000-4DFF-4285-8D69-3BEE1F788A0E}"/>
            </c:ext>
          </c:extLst>
        </c:ser>
        <c:ser>
          <c:idx val="6"/>
          <c:order val="6"/>
          <c:tx>
            <c:strRef>
              <c:f>'Logistics record '!$C$42</c:f>
              <c:strCache>
                <c:ptCount val="1"/>
                <c:pt idx="0">
                  <c:v>Subtotal of AIC</c:v>
                </c:pt>
              </c:strCache>
            </c:strRef>
          </c:tx>
          <c:spPr>
            <a:solidFill>
              <a:srgbClr val="FFFF00"/>
            </a:solidFill>
            <a:ln>
              <a:noFill/>
            </a:ln>
            <a:effectLst/>
          </c:spPr>
          <c:invertIfNegative val="0"/>
          <c:cat>
            <c:numRef>
              <c:f>'Logistics record '!$D$2:$U$2</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'Logistics record '!$D$42:$U$42</c:f>
              <c:numCache>
                <c:formatCode>_("$"* #,##0.00_);_("$"* \(#,##0.00\);_("$"* "-"??_);_(@_)</c:formatCode>
                <c:ptCount val="12"/>
                <c:pt idx="0">
                  <c:v>0</c:v>
                </c:pt>
                <c:pt idx="1">
                  <c:v>45.2</c:v>
                </c:pt>
                <c:pt idx="2">
                  <c:v>251.81083848458417</c:v>
                </c:pt>
                <c:pt idx="3">
                  <c:v>178.30968622100954</c:v>
                </c:pt>
                <c:pt idx="4">
                  <c:v>42.788443333711989</c:v>
                </c:pt>
                <c:pt idx="5">
                  <c:v>0</c:v>
                </c:pt>
                <c:pt idx="6">
                  <c:v>141.92807957153789</c:v>
                </c:pt>
                <c:pt idx="7">
                  <c:v>24.708252556353823</c:v>
                </c:pt>
                <c:pt idx="8">
                  <c:v>0</c:v>
                </c:pt>
                <c:pt idx="9">
                  <c:v>58.027079303675052</c:v>
                </c:pt>
                <c:pt idx="10">
                  <c:v>0</c:v>
                </c:pt>
                <c:pt idx="11">
                  <c:v>355.22636233088957</c:v>
                </c:pt>
              </c:numCache>
            </c:numRef>
          </c:val>
          <c:extLst>
            <c:ext xmlns:c16="http://schemas.microsoft.com/office/drawing/2014/chart" uri="{C3380CC4-5D6E-409C-BE32-E72D297353CC}">
              <c16:uniqueId val="{00000000-8BB6-4C1A-9F84-E89C9A9824BA}"/>
            </c:ext>
          </c:extLst>
        </c:ser>
        <c:ser>
          <c:idx val="7"/>
          <c:order val="7"/>
          <c:tx>
            <c:strRef>
              <c:f>'Logistics record '!$C$46</c:f>
              <c:strCache>
                <c:ptCount val="1"/>
                <c:pt idx="0">
                  <c:v>Subtotal of Ford</c:v>
                </c:pt>
              </c:strCache>
            </c:strRef>
          </c:tx>
          <c:spPr>
            <a:solidFill>
              <a:schemeClr val="accent2">
                <a:lumMod val="60000"/>
              </a:schemeClr>
            </a:solidFill>
            <a:ln>
              <a:noFill/>
            </a:ln>
            <a:effectLst/>
          </c:spPr>
          <c:invertIfNegative val="0"/>
          <c:val>
            <c:numRef>
              <c:f>'Logistics record '!$D$46:$U$46</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112.95749365127351</c:v>
                </c:pt>
              </c:numCache>
            </c:numRef>
          </c:val>
          <c:extLst>
            <c:ext xmlns:c16="http://schemas.microsoft.com/office/drawing/2014/chart" uri="{C3380CC4-5D6E-409C-BE32-E72D297353CC}">
              <c16:uniqueId val="{00000003-8298-4AB7-B127-8B495D649BE9}"/>
            </c:ext>
          </c:extLst>
        </c:ser>
        <c:dLbls>
          <c:showLegendKey val="0"/>
          <c:showVal val="0"/>
          <c:showCatName val="0"/>
          <c:showSerName val="0"/>
          <c:showPercent val="0"/>
          <c:showBubbleSize val="0"/>
        </c:dLbls>
        <c:gapWidth val="150"/>
        <c:overlap val="100"/>
        <c:axId val="689167624"/>
        <c:axId val="689168016"/>
      </c:barChart>
      <c:dateAx>
        <c:axId val="68916762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168016"/>
        <c:crosses val="autoZero"/>
        <c:auto val="1"/>
        <c:lblOffset val="100"/>
        <c:baseTimeUnit val="months"/>
      </c:dateAx>
      <c:valAx>
        <c:axId val="6891680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167624"/>
        <c:crosses val="autoZero"/>
        <c:crossBetween val="between"/>
      </c:valAx>
      <c:spPr>
        <a:noFill/>
        <a:ln>
          <a:noFill/>
        </a:ln>
        <a:effectLst/>
      </c:spPr>
    </c:plotArea>
    <c:legend>
      <c:legendPos val="b"/>
      <c:layout>
        <c:manualLayout>
          <c:xMode val="edge"/>
          <c:yMode val="edge"/>
          <c:x val="8.3863917655156273E-2"/>
          <c:y val="0.82705397678112669"/>
          <c:w val="0.78380395024119864"/>
          <c:h val="0.17294605944019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89647</xdr:colOff>
      <xdr:row>52</xdr:row>
      <xdr:rowOff>161364</xdr:rowOff>
    </xdr:from>
    <xdr:to>
      <xdr:col>11</xdr:col>
      <xdr:colOff>784412</xdr:colOff>
      <xdr:row>62</xdr:row>
      <xdr:rowOff>313765</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818031</xdr:colOff>
      <xdr:row>52</xdr:row>
      <xdr:rowOff>186576</xdr:rowOff>
    </xdr:from>
    <xdr:to>
      <xdr:col>20</xdr:col>
      <xdr:colOff>862853</xdr:colOff>
      <xdr:row>62</xdr:row>
      <xdr:rowOff>336177</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Y:\02_Logistics\01_Import\02_Processing%20import\01_UWHQ\00_Management%20File\Import%20control%20list%20(2026)%20MACRO.xlsm" TargetMode="External"/><Relationship Id="rId1" Type="http://schemas.openxmlformats.org/officeDocument/2006/relationships/externalLinkPath" Target="file:///Y:\02_Logistics\01_Import\02_Processing%20import\01_UWHQ\00_Management%20File\Import%20control%20list%20(2026)%20MACRO.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Y:\02_Logistics\02_Export\01_UWHQ\02_Management\Export%20management%202026%20MACRO.xlsm" TargetMode="External"/><Relationship Id="rId1" Type="http://schemas.openxmlformats.org/officeDocument/2006/relationships/externalLinkPath" Target="file:///Y:\02_Logistics\02_Export\01_UWHQ\02_Management\Export%20management%202026%20MACRO.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01.LGP\0.0%20IN%20CH&#7912;NG%20T&#7914;%20XU&#7844;T%20H&#192;NG%2002.06%20-%2015.06\Luu%20To%20Khai\BaoCaoToKhai04-07.xls" TargetMode="External"/><Relationship Id="rId1" Type="http://schemas.openxmlformats.org/officeDocument/2006/relationships/externalLinkPath" Target="file:///Z:\01.LGP\0.0%20IN%20CH&#7912;NG%20T&#7914;%20XU&#7844;T%20H&#192;NG%2002.06%20-%2015.06\Luu%20To%20Khai\BaoCaoToKhai04-07.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ha.do\Desktop\H&#224;.xlsx" TargetMode="External"/><Relationship Id="rId1" Type="http://schemas.openxmlformats.org/officeDocument/2006/relationships/externalLinkPath" Target="file:///C:\Users\ha.do\Desktop\H&#224;.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Y:\02_Logistics\10_Liquidation\31.%20Ki&#7875;m%20tra%20XNT%20n&#259;m%202025\12.Dec-25\On%20the%20way.xlsx" TargetMode="External"/><Relationship Id="rId1" Type="http://schemas.openxmlformats.org/officeDocument/2006/relationships/externalLinkPath" Target="file:///Y:\02_Logistics\10_Liquidation\31.%20Ki&#7875;m%20tra%20XNT%20n&#259;m%202025\12.Dec-25\On%20the%20way.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Y:\02_Logistics\02_Export\01_UWHQ\02_Management\Export%20management%202025%20MACRO.xlsm" TargetMode="External"/><Relationship Id="rId1" Type="http://schemas.openxmlformats.org/officeDocument/2006/relationships/externalLinkPath" Target="file:///Y:\02_Logistics\02_Export\01_UWHQ\02_Management\Export%20management%202025%20MACRO.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Y:\02_Logistics\13_Regulations\5.%20Full%20Logistics%20cost\FINAL%20-%20%20of%20Logistics%20record%20NOV%202025.xlsx" TargetMode="External"/><Relationship Id="rId1" Type="http://schemas.openxmlformats.org/officeDocument/2006/relationships/externalLinkPath" Target="file:///Y:\02_Logistics\13_Regulations\5.%20Full%20Logistics%20cost\FINAL%20-%20%20of%20Logistics%20record%20NOV%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mestic (E15)"/>
      <sheetName val="Equipment"/>
      <sheetName val="Material"/>
      <sheetName val="Thiếu thừa 2026"/>
      <sheetName val="Note"/>
    </sheetNames>
    <sheetDataSet>
      <sheetData sheetId="0"/>
      <sheetData sheetId="1">
        <row r="3">
          <cell r="D3" t="str">
            <v>Weight
(kg)</v>
          </cell>
          <cell r="F3" t="str">
            <v>BL NO.</v>
          </cell>
          <cell r="G3" t="str">
            <v>Shipper</v>
          </cell>
          <cell r="H3" t="str">
            <v>Remark situation</v>
          </cell>
          <cell r="I3" t="str">
            <v>DESCRIPTION OF GOODS</v>
          </cell>
          <cell r="J3" t="str">
            <v>CARRIER</v>
          </cell>
        </row>
        <row r="4">
          <cell r="D4">
            <v>280</v>
          </cell>
          <cell r="F4">
            <v>4711905462</v>
          </cell>
          <cell r="G4" t="str">
            <v>RMG TECHNOLOGIES PTE LTD</v>
          </cell>
          <cell r="H4" t="str">
            <v>Delivery</v>
          </cell>
          <cell r="I4" t="str">
            <v>F05_UHAN0010 #&amp; Kem hàn Alpha OM-353 SAC305 (0.5 kg/lọ). Hàng mới 100%</v>
          </cell>
          <cell r="J4" t="str">
            <v>Expeditors</v>
          </cell>
        </row>
        <row r="5">
          <cell r="D5">
            <v>2.5</v>
          </cell>
          <cell r="F5">
            <v>817307696985</v>
          </cell>
          <cell r="G5" t="str">
            <v>JT DESEN SMT AUTOMATION LIMITED</v>
          </cell>
          <cell r="H5" t="str">
            <v>Delivery</v>
          </cell>
          <cell r="I5" t="str">
            <v>Vòi phun thiếc 6/10 dùng cho máy hàn điểm, chất liệu bằng thép không gỉ, kích thước HxLxW: 47x22x22 mm,đường kính:6mm. Hàng mới 100%</v>
          </cell>
          <cell r="J5" t="str">
            <v>Fedex</v>
          </cell>
        </row>
        <row r="6">
          <cell r="D6">
            <v>4.5</v>
          </cell>
          <cell r="F6">
            <v>483570641460</v>
          </cell>
          <cell r="G6" t="str">
            <v>UNIGEN CORPORATION</v>
          </cell>
          <cell r="H6" t="str">
            <v>Delivery</v>
          </cell>
          <cell r="I6" t="str">
            <v>Bộ nạp chương trình cho sản phẩm bo mạch chủ (AIC), model: HW-USBN-2A, 5V,10W, hsx: Lattice, không có chức năng mật mã dân sự, hàng mới 100%</v>
          </cell>
          <cell r="J6" t="str">
            <v>Fedex</v>
          </cell>
        </row>
        <row r="7">
          <cell r="D7">
            <v>81</v>
          </cell>
          <cell r="F7">
            <v>580011483580</v>
          </cell>
          <cell r="G7" t="str">
            <v>PANASONIC FACTORY SOLUTIONS ASIA PACIFIC PTE. LTD.</v>
          </cell>
          <cell r="H7" t="str">
            <v>Delivery</v>
          </cell>
          <cell r="I7" t="str">
            <v>Máy chủ dùng để lưu trữ dữ liệu cho máy dán linh kiện điện tử, Model no: FCN002/ FC-E20W-GL4C57, 100-240VAC, 200W, hãng sản xuất NEC, NSX: 2025, không có chức năng mật mã dân sự hàng mới 100%</v>
          </cell>
          <cell r="J7" t="str">
            <v>KWE</v>
          </cell>
        </row>
        <row r="8">
          <cell r="D8">
            <v>0.5</v>
          </cell>
          <cell r="F8">
            <v>887922222161</v>
          </cell>
          <cell r="G8" t="str">
            <v xml:space="preserve"> LUCID USA, INC</v>
          </cell>
          <cell r="H8" t="str">
            <v>Delivery</v>
          </cell>
          <cell r="I8" t="str">
            <v>LUC-M-221 #&amp; Ổ USB dùng để nạp chương trình ứng dụng vào sản phẩm của Lucid, dung lượng: 32 GB, điện áp 5V-1A, bên trong có chứa chương trình ứng dụng điều khiển ô tô, không chứa mật mã dân sự, hàng mới 100%</v>
          </cell>
          <cell r="J8" t="str">
            <v>Fedex</v>
          </cell>
        </row>
        <row r="9">
          <cell r="D9">
            <v>3</v>
          </cell>
          <cell r="F9">
            <v>887961571360</v>
          </cell>
          <cell r="G9" t="str">
            <v>ELEMENT14 PTE LTD</v>
          </cell>
          <cell r="H9" t="str">
            <v>Delivery</v>
          </cell>
          <cell r="I9" t="str">
            <v>Chổi đầu lông 2032-1 dùng để vệ sinh bản mạch, hàng mới 100%</v>
          </cell>
          <cell r="J9" t="str">
            <v>Fedex</v>
          </cell>
        </row>
        <row r="10">
          <cell r="D10">
            <v>5.5</v>
          </cell>
          <cell r="F10">
            <v>887890808018</v>
          </cell>
          <cell r="G10" t="str">
            <v>ALPHA ASSEMBLY SOLUTIONS</v>
          </cell>
          <cell r="H10" t="str">
            <v>Delivery</v>
          </cell>
          <cell r="I10" t="str">
            <v>Chất hỗ trợ hàn thiếc Alpha Paste Flux OM-5300 (100 gram/bottle), hàng mới 100%</v>
          </cell>
          <cell r="J10" t="str">
            <v>Fedex</v>
          </cell>
        </row>
        <row r="11">
          <cell r="D11">
            <v>0.5</v>
          </cell>
          <cell r="F11">
            <v>888101434340</v>
          </cell>
          <cell r="G11" t="str">
            <v>UMG TECHNOLOGIES, INC.</v>
          </cell>
          <cell r="H11" t="str">
            <v>Delivery</v>
          </cell>
          <cell r="I11" t="str">
            <v>Đồ gá dùng cho máy lắp ráp linh kiện model PLT-901, chất liệu thép, kích thước: 45 x 19 x 15.9 (mm), hàng mới 100%</v>
          </cell>
          <cell r="J11" t="str">
            <v>Fedex</v>
          </cell>
        </row>
        <row r="12">
          <cell r="D12">
            <v>36</v>
          </cell>
          <cell r="F12">
            <v>888229199676</v>
          </cell>
          <cell r="G12" t="str">
            <v>UNIGEN MALAYSIA, CO., LTD</v>
          </cell>
          <cell r="H12" t="str">
            <v>Delivery</v>
          </cell>
          <cell r="I12" t="str">
            <v>Thiết bị kiểm tra tính năng cho sản phẩm DDR4, sp được lắp ráp tại VN. Hàng đã qua sử dụng#&amp;VN</v>
          </cell>
          <cell r="J12" t="str">
            <v>Fedex</v>
          </cell>
        </row>
        <row r="13">
          <cell r="D13">
            <v>11</v>
          </cell>
          <cell r="F13">
            <v>888296624841</v>
          </cell>
          <cell r="G13" t="str">
            <v>SHENMAO TECHNOLOGY (THAILAND) CO., LTD</v>
          </cell>
          <cell r="H13" t="str">
            <v>Delivery</v>
          </cell>
          <cell r="I13" t="str">
            <v>F05_UHAN0011 #&amp; Thiếc dây (Đường kính sợi thiếc là 1.0mm) PF606-F100 dùng trong hàn bản mạch điện tử, hàng mới 100%</v>
          </cell>
          <cell r="J13" t="str">
            <v>Fedex</v>
          </cell>
        </row>
        <row r="14">
          <cell r="D14">
            <v>0.6</v>
          </cell>
          <cell r="F14">
            <v>5163696554</v>
          </cell>
          <cell r="G14" t="str">
            <v>GOLDLAND (dhl mở tk)</v>
          </cell>
          <cell r="H14" t="str">
            <v>Delivery</v>
          </cell>
          <cell r="I14" t="str">
            <v>Bộ điều khiển động cơ</v>
          </cell>
          <cell r="J14" t="str">
            <v>DHL</v>
          </cell>
        </row>
        <row r="15">
          <cell r="D15">
            <v>128</v>
          </cell>
          <cell r="F15" t="str">
            <v>PSHPH2620040</v>
          </cell>
          <cell r="G15" t="str">
            <v>RMG TECHNOLOGIES PTE LTD</v>
          </cell>
          <cell r="H15" t="str">
            <v>Delivery</v>
          </cell>
          <cell r="I15" t="str">
            <v>F05_UHAN0114#&amp;Dung dịch NR330 dùng để làm sạch bề mặt bản mạch điện tử (20 lít/can). Hàng mới 100%</v>
          </cell>
          <cell r="J15" t="str">
            <v>VVMV(sea)</v>
          </cell>
        </row>
        <row r="16">
          <cell r="D16">
            <v>41.1</v>
          </cell>
          <cell r="F16">
            <v>2338695100</v>
          </cell>
          <cell r="G16" t="str">
            <v>PANASONIC FACTORY SOLUTIONS ASIA PACIFIC PTE. LTD.</v>
          </cell>
          <cell r="H16" t="str">
            <v>Delivery</v>
          </cell>
          <cell r="I16" t="str">
            <v>Thanh nam châm vĩnh cửu P/N:N510058079AA , Bơm chân không P/N:N510056914AB ,…</v>
          </cell>
          <cell r="J16" t="str">
            <v>DHL</v>
          </cell>
        </row>
        <row r="17">
          <cell r="D17">
            <v>2</v>
          </cell>
          <cell r="F17">
            <v>514090556277</v>
          </cell>
          <cell r="G17" t="str">
            <v>DIGI-KEY ELECTRONICS</v>
          </cell>
          <cell r="H17" t="str">
            <v>Delivery</v>
          </cell>
          <cell r="I17" t="str">
            <v>Cáp HSAutoLink USCAR USB MINI-B 0.5m, MPN:1110145001 có đầu nối,vỏ bọc bằng nhựa PVC,điện áp 5V,Đường kính lõi: 0.3 - 0.4 mm,dùng để kết nối sản phẩm được kiểm tra với thiết bị kiểm tra,hàng mới 100%</v>
          </cell>
          <cell r="J17" t="str">
            <v>Fedex</v>
          </cell>
        </row>
        <row r="18">
          <cell r="D18">
            <v>0.6</v>
          </cell>
          <cell r="F18">
            <v>5165888486</v>
          </cell>
          <cell r="G18" t="str">
            <v>GOLDLAND (dhl mở tk)</v>
          </cell>
          <cell r="H18" t="str">
            <v>Delivery</v>
          </cell>
        </row>
        <row r="19">
          <cell r="D19">
            <v>412.6</v>
          </cell>
          <cell r="F19" t="str">
            <v>PSHPH2620093</v>
          </cell>
          <cell r="G19" t="str">
            <v>RMG TECHNOLOGIES PTE LTD</v>
          </cell>
          <cell r="H19" t="str">
            <v>Delivery</v>
          </cell>
          <cell r="I19" t="str">
            <v>F05_UHAN0001#&amp;Thanh thiếc SAC305. Hàng mới 100%</v>
          </cell>
          <cell r="J19" t="str">
            <v>VVMV(sea)</v>
          </cell>
        </row>
        <row r="20">
          <cell r="D20">
            <v>1</v>
          </cell>
          <cell r="F20">
            <v>889186450170</v>
          </cell>
          <cell r="G20" t="str">
            <v>PICO ELECTRONICS (S) PTE LTD</v>
          </cell>
          <cell r="H20" t="str">
            <v>Delivery</v>
          </cell>
          <cell r="I20" t="str">
            <v>Kim test dùng để lắp vào máy kiểm tra bảng mạch để kiểm tra lỗi của bảng mạch điện tử Test Probe 100-PRP2503S-S , dòng điện 0.3-0.5A. Hàng mới 100%</v>
          </cell>
          <cell r="J20" t="str">
            <v>Fedex</v>
          </cell>
        </row>
        <row r="21">
          <cell r="D21">
            <v>843</v>
          </cell>
          <cell r="F21" t="str">
            <v>IFTZ-ZBL-260306057</v>
          </cell>
          <cell r="G21" t="str">
            <v>Sifo Smart Automation Inc.</v>
          </cell>
          <cell r="H21" t="str">
            <v>Delivery</v>
          </cell>
          <cell r="I21" t="str">
            <v>LUC-M-224#&amp;Thiết bị kiểm tra tính năng của bộ điều khiển ô tô Lucid DCM PCBA FCT. ID: Lucid DCM PCBA Tester--002, P/N: SO-67380-2581FT0255MP, AC110~220V / 15A / 3300W, HSX:SiFO,NSX:2025,hàng mới 100%</v>
          </cell>
          <cell r="J21" t="str">
            <v>TRUCK</v>
          </cell>
        </row>
        <row r="22">
          <cell r="D22">
            <v>115.6</v>
          </cell>
          <cell r="F22" t="str">
            <v>SFO0168598</v>
          </cell>
          <cell r="G22" t="str">
            <v>LUCID USA, INC</v>
          </cell>
          <cell r="H22" t="str">
            <v>Delivery</v>
          </cell>
          <cell r="I22" t="str">
            <v>LUC-M-228#&amp;Đồ gá Air LVJB-F ECU, PN: AT#16060 dùng cho thiết bị kiểm tra chức năng để cố định và dẫn các tín hiệu từ các điểm đo trên bản mạch đến thiết bị kiểm tra, 0-24VDC, hàng mới 100%</v>
          </cell>
          <cell r="J22" t="str">
            <v>DSV</v>
          </cell>
        </row>
        <row r="23">
          <cell r="D23">
            <v>2.5</v>
          </cell>
          <cell r="F23">
            <v>889493383753</v>
          </cell>
          <cell r="G23" t="str">
            <v>VITROX TECHNOLOGIES SDN.BHD</v>
          </cell>
          <cell r="H23" t="str">
            <v>Delivery</v>
          </cell>
          <cell r="I23" t="str">
            <v>Dây đai,bằng nhựa, kích thước: 3011mm*10 mm*0.5mm. Hàng mới 100%</v>
          </cell>
          <cell r="J23" t="str">
            <v>Fedex</v>
          </cell>
        </row>
        <row r="24">
          <cell r="D24">
            <v>125</v>
          </cell>
          <cell r="F24">
            <v>3855727724</v>
          </cell>
          <cell r="G24" t="str">
            <v>PANASONIC FACTORY SOLUTIONS ASIA PACIFIC PTE. LTD.</v>
          </cell>
          <cell r="H24" t="str">
            <v>Delivery</v>
          </cell>
          <cell r="I24" t="str">
            <v>Bộ cấp linh kiện dạng cuộn Model: KXFW1KS6A00 dùng cho máy gắn linh kiện, điện áp 24V, công suất 10W, hàng mới 100%</v>
          </cell>
          <cell r="J24" t="str">
            <v>DHL</v>
          </cell>
        </row>
        <row r="25">
          <cell r="D25">
            <v>280</v>
          </cell>
          <cell r="F25">
            <v>4711920214</v>
          </cell>
          <cell r="G25" t="str">
            <v>RMG TECHNOLOGIES PTE LTD</v>
          </cell>
          <cell r="H25" t="str">
            <v>Delivery</v>
          </cell>
          <cell r="I25" t="str">
            <v>F05_UHAN0010#&amp;Kem hàn Alpha OM-353 SAC305 (0.5 kg/lọ). Hàng mới 100%</v>
          </cell>
          <cell r="J25" t="str">
            <v>Expeditors</v>
          </cell>
        </row>
        <row r="26">
          <cell r="D26">
            <v>1</v>
          </cell>
          <cell r="F26">
            <v>889724031491</v>
          </cell>
          <cell r="G26" t="str">
            <v>FUSION ADVANTEC CO.,LTD.</v>
          </cell>
          <cell r="H26" t="str">
            <v>Delivery</v>
          </cell>
          <cell r="I26" t="str">
            <v>Thiếc hàn INDALLOY 256(SAC305) (15000EA/ROLL) dùng trong hàn bản mạch điện tử, hàng mới 100%</v>
          </cell>
          <cell r="J26" t="str">
            <v>Fedex</v>
          </cell>
        </row>
        <row r="27">
          <cell r="D27">
            <v>82</v>
          </cell>
          <cell r="F27" t="str">
            <v>LSZHPH2601868</v>
          </cell>
          <cell r="G27" t="str">
            <v>SHENZHEN OUBEL(RMG TECHNOLOGIES PTE LTD</v>
          </cell>
          <cell r="H27" t="str">
            <v>Delivery</v>
          </cell>
          <cell r="I27" t="str">
            <v>Máy tái chế xỉ hàn thiếc model: OB-SR800 gia nhiệt bằng điện để tách thiếc nguyên chất từ xỉ hàn, 220V, 2KW, hsx: SHENZHEN OUBEL TECHNOLOGY CO.,LTD, Nsx: 2026, hàng mới100%</v>
          </cell>
        </row>
        <row r="28">
          <cell r="D28">
            <v>56.5</v>
          </cell>
          <cell r="F28">
            <v>4138286692</v>
          </cell>
          <cell r="G28" t="str">
            <v>PANASONIC FACTORY SOLUTIONS ASIA PACIFIC PTE. LTD.</v>
          </cell>
          <cell r="H28" t="str">
            <v>Delivery</v>
          </cell>
          <cell r="I28" t="str">
            <v>Bộ cấp linh kiện dạng cuộn Model: KXFW1KS6A00 dùng cho máy gắn linh kiện, điện áp 24V, công suất 10W, hàng mới 100%</v>
          </cell>
          <cell r="J28" t="str">
            <v>DHL</v>
          </cell>
        </row>
        <row r="29">
          <cell r="D29">
            <v>2.2999999999999998</v>
          </cell>
          <cell r="F29">
            <v>889914705855</v>
          </cell>
          <cell r="G29" t="str">
            <v>DONGGUANCITYCHUANQINGCLOTHINGCO.LTD</v>
          </cell>
          <cell r="H29" t="str">
            <v>Delivery</v>
          </cell>
          <cell r="I29" t="str">
            <v>Ống gia nhiệt dùng cho máy sấy</v>
          </cell>
          <cell r="J29" t="str">
            <v>Fedex</v>
          </cell>
        </row>
        <row r="30">
          <cell r="D30">
            <v>43.5</v>
          </cell>
          <cell r="F30">
            <v>4052798086</v>
          </cell>
          <cell r="G30" t="str">
            <v>UNIGEN CORPORATION</v>
          </cell>
          <cell r="H30" t="str">
            <v>Delivery</v>
          </cell>
          <cell r="I30" t="str">
            <v>PUR - M - 303 #&amp; Đồ gá Kipper dùng cho thiết bị kiểm tra chức năng ICT để cố định và dẫn các tín hiệu từ các điểm đo trên bản mạch Kipper đến thiết bị kiểm tra, hàng mới 100%</v>
          </cell>
          <cell r="J30" t="str">
            <v>Expeditors</v>
          </cell>
        </row>
        <row r="31">
          <cell r="D31">
            <v>2.5</v>
          </cell>
          <cell r="F31">
            <v>870045226834</v>
          </cell>
          <cell r="G31" t="str">
            <v>ELEMENT14 PTE LTD</v>
          </cell>
          <cell r="H31" t="str">
            <v>Delivery</v>
          </cell>
          <cell r="I31" t="str">
            <v>Chổi đầu lông 2032-1 dùng để vệ sinh bản mạch, hàng mới 100%</v>
          </cell>
          <cell r="J31" t="str">
            <v>Fedex</v>
          </cell>
        </row>
        <row r="32">
          <cell r="D32">
            <v>115.8</v>
          </cell>
          <cell r="F32">
            <v>483570644470</v>
          </cell>
          <cell r="G32" t="str">
            <v>UNIGEN CORPORATION</v>
          </cell>
          <cell r="H32" t="str">
            <v>Delivery</v>
          </cell>
          <cell r="I32" t="str">
            <v>Máy chủ, thanh ray, ..</v>
          </cell>
          <cell r="J32" t="str">
            <v>Fedex</v>
          </cell>
        </row>
        <row r="33">
          <cell r="D33">
            <v>140</v>
          </cell>
          <cell r="F33">
            <v>4711926091</v>
          </cell>
          <cell r="G33" t="str">
            <v>RMG TECHNOLOGIES PTE LTD</v>
          </cell>
          <cell r="H33" t="str">
            <v>Delivery</v>
          </cell>
          <cell r="I33" t="str">
            <v xml:space="preserve">F05_UHAN0010#&amp;Kem hàn ALPHA OM-338PT (0.5 kg/ lọ), hàng mới 100%  </v>
          </cell>
          <cell r="J33" t="str">
            <v>Expeditors</v>
          </cell>
        </row>
        <row r="34">
          <cell r="D34">
            <v>10.6</v>
          </cell>
          <cell r="F34">
            <v>870727376577</v>
          </cell>
          <cell r="G34" t="str">
            <v>SHENMAO TECHNOLOGY (THAILAND) CO., LTD</v>
          </cell>
          <cell r="H34" t="str">
            <v>Delivery</v>
          </cell>
          <cell r="I34" t="str">
            <v>F05_UHAN0011 #&amp; Thiếc dây ( Đường kính sợi thiếc là 2.0mm) PF606-H dùng trong hàn bản mạch điện tử, hàng mới 100%</v>
          </cell>
          <cell r="J34" t="str">
            <v>Fedex</v>
          </cell>
        </row>
        <row r="35">
          <cell r="D35">
            <v>3.6789999999999998</v>
          </cell>
          <cell r="F35" t="str">
            <v>BHJSH0092816</v>
          </cell>
          <cell r="G35" t="str">
            <v>FUJI MACHINE ASIA PTE. LTD.</v>
          </cell>
          <cell r="H35" t="str">
            <v>Delivery</v>
          </cell>
          <cell r="I35" t="str">
            <v>Máy quét kem hàn lên bản mạch điên tử Model: GPX-CL , Serial No: L2299 &amp; L2303, AC200-230V, 50/60Hz, hãng sx: FUJI , năm sản xuất: 2026,hàng mới 100%</v>
          </cell>
          <cell r="J35" t="str">
            <v>Dolphin(SEA)</v>
          </cell>
        </row>
        <row r="36">
          <cell r="D36">
            <v>3.7</v>
          </cell>
          <cell r="F36">
            <v>870893284381</v>
          </cell>
          <cell r="G36" t="str">
            <v>SIFO SMART AUTOMATION INC.</v>
          </cell>
          <cell r="H36" t="str">
            <v>Delivery</v>
          </cell>
          <cell r="I36" t="str">
            <v>Kim test …</v>
          </cell>
          <cell r="J36" t="str">
            <v>Fedex</v>
          </cell>
        </row>
        <row r="37">
          <cell r="D37">
            <v>1316.99</v>
          </cell>
          <cell r="F37" t="str">
            <v>CBHKHPG16084</v>
          </cell>
          <cell r="G37" t="str">
            <v>JTU PTE LTD</v>
          </cell>
          <cell r="H37" t="str">
            <v>Delivery</v>
          </cell>
          <cell r="I37" t="str">
            <v>Máy kiểm tra khuôn in Model: SG800,SN:SH18626, công suất 1.5kW, AC220V,nhà sản xuất:SHENZHEN SINHOVO TECHNOLOGY CO., LTD, năm sản xuất 2026, hàng mới 100%</v>
          </cell>
          <cell r="J37" t="str">
            <v>INTEGRATED</v>
          </cell>
        </row>
        <row r="38">
          <cell r="D38">
            <v>41</v>
          </cell>
          <cell r="F38" t="str">
            <v>PITA00354526</v>
          </cell>
          <cell r="G38" t="str">
            <v>ELLSWORTH ADHESIVES ASIA LIMITED</v>
          </cell>
          <cell r="H38" t="str">
            <v>Delivery</v>
          </cell>
          <cell r="I38" t="str">
            <v>F05_UHAN0115#&amp;Keo Humiseal UV40 (1 UNA = 1 lít) dùng để cố định linh kiện trên bề mặt bản mạch điện tử. Hàng mới 100%</v>
          </cell>
          <cell r="J38" t="str">
            <v>EMOTRANS</v>
          </cell>
        </row>
        <row r="39">
          <cell r="D39">
            <v>8.5</v>
          </cell>
          <cell r="F39">
            <v>871350732767</v>
          </cell>
          <cell r="G39" t="str">
            <v>RMG TECHNOLOGIES PTE LTD</v>
          </cell>
          <cell r="H39" t="str">
            <v>Delivery</v>
          </cell>
          <cell r="I39" t="str">
            <v>Chất hỗ trợ hàn thiếc Alpha Paste Flux OM-5300 (100 gram/bottle), hàng mới 100%</v>
          </cell>
          <cell r="J39" t="str">
            <v>Fedex</v>
          </cell>
        </row>
        <row r="40">
          <cell r="D40">
            <v>175</v>
          </cell>
          <cell r="F40" t="str">
            <v>AE2605003401</v>
          </cell>
          <cell r="G40" t="str">
            <v>ELLSWORTH ADHESIVES ASIA LIMITED</v>
          </cell>
          <cell r="H40" t="str">
            <v>Delivery</v>
          </cell>
          <cell r="I40" t="str">
            <v>Keo dán Epoxy, Loctite Eccobond UF 3808 55 ML, IDH: 1440696 dùng để cố định linh kiện trên bề mặt bản mạch điện tử, hàng mới 100%</v>
          </cell>
          <cell r="J40" t="str">
            <v>KMG</v>
          </cell>
        </row>
        <row r="41">
          <cell r="D41">
            <v>0.8</v>
          </cell>
          <cell r="F41" t="str">
            <v>1Z9083VF0453309974</v>
          </cell>
          <cell r="G41" t="str">
            <v>ELEMENT14 PTE. LTD</v>
          </cell>
          <cell r="H41" t="str">
            <v>Delivery</v>
          </cell>
          <cell r="I41" t="str">
            <v>Bộ gia nhiệt dùng cho máy gia nhiệt PCT-1HE-21, điện áp 230V, 1 dạng điện trở đốt nóng bằng điện, hàng mới 100%</v>
          </cell>
          <cell r="J41" t="str">
            <v>UPS</v>
          </cell>
        </row>
        <row r="42">
          <cell r="D42">
            <v>2</v>
          </cell>
          <cell r="F42">
            <v>871694865688</v>
          </cell>
          <cell r="G42" t="str">
            <v>FUSION ADVANTEC CO.,LTD.</v>
          </cell>
          <cell r="H42" t="str">
            <v>Delivery</v>
          </cell>
          <cell r="I42" t="str">
            <v>Thiếc hàn INDALLOY 256(SAC305) (15000EA/ROLL) dùng trong hàn bản mạch điện tử, hàng mới 100%</v>
          </cell>
          <cell r="J42" t="str">
            <v>Fedex</v>
          </cell>
        </row>
        <row r="43">
          <cell r="D43">
            <v>1</v>
          </cell>
          <cell r="F43">
            <v>871686783285</v>
          </cell>
          <cell r="G43" t="str">
            <v>UNIGEN SHENZHEN</v>
          </cell>
          <cell r="H43" t="str">
            <v>Delivery</v>
          </cell>
          <cell r="I43" t="str">
            <v>Bản mạch chuyển đổi tín hiệu và cổng kết nối từ chuẩn E1.S sang U.2 SFF-8639, 12 VDC, không có chức năng mật mã dân sự, hàng mới 100%</v>
          </cell>
          <cell r="J43" t="str">
            <v>Fedex</v>
          </cell>
        </row>
        <row r="44">
          <cell r="D44">
            <v>0.9</v>
          </cell>
          <cell r="F44">
            <v>483570646430</v>
          </cell>
          <cell r="G44" t="str">
            <v>UNIGEN CORPORATION</v>
          </cell>
          <cell r="H44" t="str">
            <v>Delivery</v>
          </cell>
          <cell r="I44" t="str">
            <v>Bản mạch mẫu Kaytoo Heavy, là bản mạch điều khiển dùng trong ô tô, PN: V4GB-19K392-GA</v>
          </cell>
          <cell r="J44" t="str">
            <v>Fedex</v>
          </cell>
        </row>
        <row r="45">
          <cell r="D45">
            <v>1162</v>
          </cell>
          <cell r="F45" t="str">
            <v>WSHPG26043003</v>
          </cell>
          <cell r="G45" t="str">
            <v>WEISH ELECTRONICS TECHNOLOGY LIMITED</v>
          </cell>
          <cell r="H45" t="str">
            <v>Delivery</v>
          </cell>
          <cell r="I45" t="str">
            <v>Máy vệ sinh bản mạch dùng để làm sạch bụi bẩn trên bản mạch điện tử, model: WS-PCF-610</v>
          </cell>
          <cell r="J45" t="str">
            <v xml:space="preserve">CHARTER </v>
          </cell>
        </row>
        <row r="46">
          <cell r="D46">
            <v>0.9</v>
          </cell>
          <cell r="F46">
            <v>483570646289</v>
          </cell>
          <cell r="G46" t="str">
            <v>UNIGEN CORPORATION</v>
          </cell>
          <cell r="H46" t="str">
            <v>on the way</v>
          </cell>
          <cell r="I46" t="str">
            <v>Ổ cứng SSD UBP5S1103T2E1P1-PM41-UGN, không chứa dữ liệu</v>
          </cell>
          <cell r="J46" t="str">
            <v>Fedex</v>
          </cell>
        </row>
        <row r="47">
          <cell r="D47">
            <v>2.7</v>
          </cell>
          <cell r="F47">
            <v>483570646278</v>
          </cell>
          <cell r="G47" t="str">
            <v>UNIGEN CORPORATION</v>
          </cell>
          <cell r="H47" t="str">
            <v>Delivery</v>
          </cell>
          <cell r="I47" t="str">
            <v>Bản mạch mẫu Elone, là bản mạch điều khiển dùng trong ô tô, PN: V4E8-14H531-XB, 144W, 48V, hàng mới 100%</v>
          </cell>
          <cell r="J47" t="str">
            <v>Fedex</v>
          </cell>
        </row>
        <row r="48">
          <cell r="D48">
            <v>0.9</v>
          </cell>
          <cell r="F48">
            <v>483570646290</v>
          </cell>
          <cell r="G48" t="str">
            <v>UNIGEN CORPORATION</v>
          </cell>
          <cell r="H48" t="str">
            <v>Delivery</v>
          </cell>
          <cell r="I48" t="str">
            <v>Động cơ bước 1 chiều có chổi quét tích hợp biến trở dùng cho cơ cấu chấp hành thiết bị điện tử trong ô tô PN: E6205-003, công suất 150W, điện áp 16.5V, hàng mới 100%</v>
          </cell>
          <cell r="J48" t="str">
            <v>Fedex</v>
          </cell>
        </row>
        <row r="49">
          <cell r="D49" t="str">
            <v>x</v>
          </cell>
          <cell r="F49">
            <v>870512652499</v>
          </cell>
          <cell r="G49" t="str">
            <v>x</v>
          </cell>
          <cell r="H49" t="str">
            <v>on the way</v>
          </cell>
          <cell r="I49" t="str">
            <v>x</v>
          </cell>
          <cell r="J49" t="str">
            <v>Fedex</v>
          </cell>
        </row>
        <row r="50">
          <cell r="D50">
            <v>280</v>
          </cell>
          <cell r="F50">
            <v>4711935964</v>
          </cell>
          <cell r="G50" t="str">
            <v>RMG TECHNOLOGIES PTE LTD</v>
          </cell>
          <cell r="H50" t="str">
            <v>Delivery</v>
          </cell>
          <cell r="I50" t="str">
            <v>F05_UHAN0010#&amp;Kem hàn Alpha OM-353 SAC305 (0.5 kg/lọ). Hàng mới 100%</v>
          </cell>
          <cell r="J50" t="str">
            <v>Expeditors</v>
          </cell>
        </row>
        <row r="51">
          <cell r="D51">
            <v>1.4</v>
          </cell>
          <cell r="F51">
            <v>483570646337</v>
          </cell>
          <cell r="G51" t="str">
            <v>UNIGEN CORPORATION</v>
          </cell>
          <cell r="H51" t="str">
            <v>Delivery</v>
          </cell>
          <cell r="I51" t="str">
            <v>Bản mạch mẫu Elthree, là bản mạch điều khiển dùng trong ô tô, PN: V4E8-14H531-VB, 144W, 48V, hàng mới 100%</v>
          </cell>
          <cell r="J51" t="str">
            <v>Fedex</v>
          </cell>
        </row>
        <row r="52">
          <cell r="D52">
            <v>255</v>
          </cell>
          <cell r="F52">
            <v>872087824697</v>
          </cell>
          <cell r="G52" t="str">
            <v>JABIL CIRCUIT DE MEXICO S DE R.L. DE C.V.</v>
          </cell>
          <cell r="H52" t="str">
            <v>Delivery</v>
          </cell>
          <cell r="I52" t="str">
            <v>PUR - M - 305#&amp;Máy chủ PN: ENDJVASF1095708, điện áp 48V,1600W, nhà sản xuất: Jabil, nsx: 2026, không có chức năng mật mã dân sự,hàng mới 100%</v>
          </cell>
          <cell r="J52" t="str">
            <v>Fedex</v>
          </cell>
        </row>
        <row r="53">
          <cell r="D53" t="str">
            <v>6,7</v>
          </cell>
          <cell r="F53">
            <v>1943962005</v>
          </cell>
          <cell r="G53" t="str">
            <v>FUSION ADVANTEC CO.,LTD.</v>
          </cell>
          <cell r="H53" t="str">
            <v>Delivery</v>
          </cell>
          <cell r="I53" t="str">
            <v>Kem hàn INDIUM8.9HF SAC305 (T4) (0.5 kg/ lọ), hàng mới 100%</v>
          </cell>
          <cell r="J53" t="str">
            <v>DHL</v>
          </cell>
        </row>
        <row r="54">
          <cell r="D54" t="str">
            <v>2,2</v>
          </cell>
          <cell r="F54">
            <v>5972754211</v>
          </cell>
          <cell r="G54" t="str">
            <v>AIC INC</v>
          </cell>
          <cell r="H54" t="str">
            <v>Delivery</v>
          </cell>
          <cell r="I54" t="str">
            <v>Mô-đun màn hình hiển thị thông số kỹ thuật của sản phẩm AIC , điện áp 5V. Hàng mới 100%</v>
          </cell>
          <cell r="J54" t="str">
            <v>DHL</v>
          </cell>
        </row>
        <row r="55">
          <cell r="D55" t="str">
            <v>1,4</v>
          </cell>
          <cell r="F55">
            <v>515202941250</v>
          </cell>
          <cell r="G55" t="str">
            <v>KINGSTON TECHNOLOGY FAR EAST CORP.</v>
          </cell>
          <cell r="H55" t="str">
            <v>Delivery</v>
          </cell>
          <cell r="I55" t="str">
            <v>PUR - M - 308#&amp;Bản mạch điện tử đã lắp ráp có chức năng lưu trữ dữ liệu cho máy chủ (không chứa sẵn dữ liệu), S/N: PFMUH2515041B, PN: PN: 83-0638-01 A1, không có chức năng mật mã dân sự. Mới 100%</v>
          </cell>
          <cell r="J55" t="str">
            <v>Fedex</v>
          </cell>
        </row>
        <row r="56">
          <cell r="D56" t="str">
            <v>9,8</v>
          </cell>
          <cell r="F56">
            <v>5597869373</v>
          </cell>
          <cell r="G56" t="str">
            <v>SINGAPORE</v>
          </cell>
          <cell r="H56" t="str">
            <v>Delivery</v>
          </cell>
          <cell r="I56" t="str">
            <v>Thanh nam châm vĩnh cửu, chất liệu kim loại (Neodymium (Nd), Sắt (Fe), và Bo (B)), P/N:N510057949AA, sử dụng cho trục chuyển động của máy dán linh kiện điện tử panasonic. Mới 100%</v>
          </cell>
          <cell r="J56" t="str">
            <v>DHL</v>
          </cell>
        </row>
        <row r="57">
          <cell r="D57" t="str">
            <v>18,1</v>
          </cell>
          <cell r="F57">
            <v>483570647686</v>
          </cell>
          <cell r="G57" t="str">
            <v>UNIGEN CORPORATION</v>
          </cell>
          <cell r="H57" t="str">
            <v>Delivery</v>
          </cell>
          <cell r="I57" t="str">
            <v>Dây đai chịu nhiệt code: 12467, bằng nhựa chịu nhiệt, dùng để truyền chuyển động cho máy Solder pot AIR-VAC, kích thước : 10mmx250mm, hàng mới 100%</v>
          </cell>
          <cell r="J57" t="str">
            <v>fFedex</v>
          </cell>
        </row>
        <row r="58">
          <cell r="D58" t="str">
            <v>7190</v>
          </cell>
          <cell r="F58">
            <v>6721092241</v>
          </cell>
          <cell r="G58" t="str">
            <v>VITROX TECHNOLOGIES SDN.BHD</v>
          </cell>
          <cell r="H58" t="str">
            <v>Delivery</v>
          </cell>
          <cell r="I58" t="str">
            <v>Máy kiểm tra linh kiện bán dẫn (kể cả mạch tích hợp)trên bản mạch bằng quang học Model:V510i, Model: V810i,,..</v>
          </cell>
          <cell r="J58" t="str">
            <v>Expeditors</v>
          </cell>
        </row>
        <row r="59">
          <cell r="G59" t="str">
            <v>Sifo Smart Automation Inc.</v>
          </cell>
          <cell r="H59" t="str">
            <v>on the way</v>
          </cell>
        </row>
        <row r="60">
          <cell r="G60" t="str">
            <v>Sifo Smart Automation Inc.</v>
          </cell>
          <cell r="H60" t="str">
            <v>on the way</v>
          </cell>
        </row>
        <row r="61">
          <cell r="D61" t="str">
            <v>0,4</v>
          </cell>
          <cell r="F61">
            <v>7755453462</v>
          </cell>
          <cell r="G61" t="str">
            <v>AGIGA TECH (CHENGDU) LLC</v>
          </cell>
          <cell r="H61" t="str">
            <v>Delivery</v>
          </cell>
          <cell r="I61" t="str">
            <v>Bản mạch chuyển đổi từ cổng PCIe sang cổng M.2, 5V, không có thiết bị thu, dùng cho máy kiểm tra tính năng của sản phẩm ổ cứng SSD, hàng hóa không chứa mật mã dân sự. Hàng mới 100%</v>
          </cell>
          <cell r="J61" t="str">
            <v>DHL</v>
          </cell>
        </row>
        <row r="62">
          <cell r="F62">
            <v>873508697387</v>
          </cell>
          <cell r="H62" t="str">
            <v>on the way</v>
          </cell>
        </row>
        <row r="63">
          <cell r="F63" t="str">
            <v>1ZG2B4810404841719</v>
          </cell>
          <cell r="H63" t="str">
            <v>on the way</v>
          </cell>
        </row>
        <row r="64">
          <cell r="H64" t="str">
            <v>on the way</v>
          </cell>
        </row>
        <row r="65">
          <cell r="H65" t="str">
            <v>on the way</v>
          </cell>
        </row>
        <row r="66">
          <cell r="D66">
            <v>1</v>
          </cell>
          <cell r="F66">
            <v>887392875253</v>
          </cell>
          <cell r="G66" t="str">
            <v>AHI HOLDINGS B.V. TAIWAN</v>
          </cell>
          <cell r="H66" t="str">
            <v>Delivery</v>
          </cell>
          <cell r="I66" t="str">
            <v>F05_OEM0250#&amp;Ram máy tính dạng thanh DDR4 U20V700Q8DGM-IAE3-UGHC, không có chức năng mật mã dân sự, tạm nhập sửa chữa theo mục 1 của TKX 307841138200/E42 (09/10/2025). Hàng mới 100%</v>
          </cell>
          <cell r="J66" t="str">
            <v>Fedex</v>
          </cell>
        </row>
        <row r="67">
          <cell r="D67">
            <v>1.5</v>
          </cell>
          <cell r="F67">
            <v>887655067110</v>
          </cell>
          <cell r="G67" t="str">
            <v>AIC INC</v>
          </cell>
          <cell r="H67" t="str">
            <v>Delivery</v>
          </cell>
          <cell r="I67" t="str">
            <v>F05_AIC0004-2#&amp;Bản mạch điều khiển của máy chủ bản đứng thông minh NIC BRC1PE10042AE01. Hàng mới 100%#&amp;CN</v>
          </cell>
          <cell r="J67" t="str">
            <v>Fedex</v>
          </cell>
        </row>
        <row r="68">
          <cell r="D68">
            <v>2</v>
          </cell>
          <cell r="F68">
            <v>887891914480</v>
          </cell>
          <cell r="G68" t="str">
            <v>INGRASYS TECHNOLOGY INC</v>
          </cell>
          <cell r="H68" t="str">
            <v>Delivery</v>
          </cell>
          <cell r="I68" t="str">
            <v>F05_AGI0016-4#&amp;Ram máy tính dạng thanh DDR4 AGIGA8811-016BCB-NTP, không chứa mật mã dân sự, hàng mới 100%#&amp;CN</v>
          </cell>
          <cell r="J68" t="str">
            <v>Fedex</v>
          </cell>
        </row>
        <row r="69">
          <cell r="D69">
            <v>46</v>
          </cell>
          <cell r="F69">
            <v>4110333002</v>
          </cell>
          <cell r="G69" t="str">
            <v>Avnet, Inc.</v>
          </cell>
          <cell r="H69" t="str">
            <v>Delivery</v>
          </cell>
          <cell r="I69" t="str">
            <v>F05_EFI0009-9#&amp;Bảng điều khiển EFI 45192461 điện áp 5V, tạm nhập sửa chữa theo mục 2 của TKX 308039107150/E42 (09/12/2025). Hàng mới 100%</v>
          </cell>
          <cell r="J69" t="str">
            <v>Expeditors</v>
          </cell>
        </row>
        <row r="70">
          <cell r="D70">
            <v>36.5</v>
          </cell>
          <cell r="F70">
            <v>4110333003</v>
          </cell>
          <cell r="G70" t="str">
            <v>Avnet, Inc.</v>
          </cell>
          <cell r="H70" t="str">
            <v>Delivery</v>
          </cell>
          <cell r="I70" t="str">
            <v>F05_EFI0009-9#&amp;Bảng điều khiển EFI 45192461 điện áp 5V, tạm nhập sửa chữa theo mục 2 của TKX 308039107150/E42 (09/12/2025). Hàng mới 100%</v>
          </cell>
          <cell r="J70" t="str">
            <v>Expeditors</v>
          </cell>
        </row>
        <row r="71">
          <cell r="D71">
            <v>5</v>
          </cell>
          <cell r="F71">
            <v>4110333004</v>
          </cell>
          <cell r="G71" t="str">
            <v>Avnet, Inc.</v>
          </cell>
          <cell r="H71" t="str">
            <v>Delivery</v>
          </cell>
          <cell r="I71" t="str">
            <v>F05_EFI0002-9#&amp;Bảng điều khiển EFI 45105116 điện áp 5V, tạm nhập sửa chữa theo mục 1 của TKX 306294697720/E42 (26/03/2024). Hàng mới 100%</v>
          </cell>
          <cell r="J71" t="str">
            <v>Expeditors</v>
          </cell>
        </row>
        <row r="72">
          <cell r="D72">
            <v>8</v>
          </cell>
          <cell r="F72">
            <v>4110333005</v>
          </cell>
          <cell r="G72" t="str">
            <v>Avnet, Inc.</v>
          </cell>
          <cell r="H72" t="str">
            <v>Delivery</v>
          </cell>
          <cell r="I72" t="str">
            <v>F05_EFI0009-9#&amp;Bảng điều khiển EFI 45192461 điện áp 5V, tạm nhập sửa chữa theo mục 2 của TKX 308039107150/E42 (09/12/2025). Hàng mới 100%</v>
          </cell>
          <cell r="J72" t="str">
            <v>Expeditors</v>
          </cell>
        </row>
        <row r="73">
          <cell r="D73">
            <v>16.5</v>
          </cell>
          <cell r="F73">
            <v>4110333123</v>
          </cell>
          <cell r="G73" t="str">
            <v>Avnet, Inc.</v>
          </cell>
          <cell r="H73" t="str">
            <v>Delivery</v>
          </cell>
          <cell r="I73" t="str">
            <v>F05_EFI0008-8#&amp;Bảng điều khiển EFI 45192460 điện áp 5V, tạm nhập sửa chữa theo mục 1 của TKX 308039107150/E42 (09/12/2025). Hàng mới 100%</v>
          </cell>
          <cell r="J73" t="str">
            <v>Expeditors</v>
          </cell>
        </row>
        <row r="74">
          <cell r="D74">
            <v>16.5</v>
          </cell>
          <cell r="F74">
            <v>4110333124</v>
          </cell>
          <cell r="G74" t="str">
            <v>Avnet, Inc.</v>
          </cell>
          <cell r="H74" t="str">
            <v>Delivery</v>
          </cell>
          <cell r="I74" t="str">
            <v>F05_EFI0008-8#&amp;Bảng điều khiển EFI 45192460 điện áp 5V, tạm nhập sửa chữa theo mục 1 của TKX 308039107150/E42 (09/12/2025). Hàng mới 100%</v>
          </cell>
          <cell r="J74" t="str">
            <v>Expeditors</v>
          </cell>
        </row>
        <row r="75">
          <cell r="D75">
            <v>3</v>
          </cell>
          <cell r="F75">
            <v>888457976742</v>
          </cell>
          <cell r="G75" t="str">
            <v>Lucid USA, Inc</v>
          </cell>
          <cell r="H75" t="str">
            <v>Delivery</v>
          </cell>
          <cell r="I75" t="str">
            <v>Bộ điều khiển điện áp thấp phía sau ô tô P21-K34400-09, dùng cho điện áp 12VDC, hàng mới 100%</v>
          </cell>
          <cell r="J75" t="str">
            <v>Fedex</v>
          </cell>
        </row>
        <row r="76">
          <cell r="D76">
            <v>0.5</v>
          </cell>
          <cell r="F76">
            <v>888417311080</v>
          </cell>
          <cell r="G76" t="str">
            <v>Lucid USA, Inc</v>
          </cell>
          <cell r="H76" t="str">
            <v>Delivery</v>
          </cell>
          <cell r="I76" t="str">
            <v>Bộ điều khiển điện áp thấp phía sau ô tô P21-K34400-09, dùng cho điện áp 12VDC, hàng mới 100%</v>
          </cell>
          <cell r="J76" t="str">
            <v>Fedex</v>
          </cell>
        </row>
        <row r="77">
          <cell r="D77">
            <v>1</v>
          </cell>
          <cell r="F77">
            <v>5163639622</v>
          </cell>
          <cell r="G77" t="str">
            <v>Agiga Tech (Chengdu) LLC</v>
          </cell>
          <cell r="H77" t="str">
            <v>Delivery</v>
          </cell>
          <cell r="I77" t="str">
            <v>F05_OEM0291#&amp;Bộ nhớ không bay hơi NVRAM dùng cho server UCNVB0MA016-M4A-A0C, không có chức năng mật mã dân sự, hàng mới 100%#&amp;CN</v>
          </cell>
          <cell r="J77" t="str">
            <v>DHL</v>
          </cell>
        </row>
        <row r="78">
          <cell r="D78">
            <v>68.5</v>
          </cell>
          <cell r="F78">
            <v>483570642217</v>
          </cell>
          <cell r="G78" t="str">
            <v>UNIGEN CORPORATION</v>
          </cell>
          <cell r="H78" t="str">
            <v>Delivery</v>
          </cell>
          <cell r="I78" t="str">
            <v>Bộ lưu trữ dữ liệu HLOB-80-3282-00 (CPN: HLOB-83-0638-01), không có chức năng mật mã dân sự, hàng mới 100%#&amp;KXĐ</v>
          </cell>
          <cell r="J78" t="str">
            <v>Fedex</v>
          </cell>
        </row>
        <row r="79">
          <cell r="D79">
            <v>1</v>
          </cell>
          <cell r="F79">
            <v>888565783658</v>
          </cell>
          <cell r="G79" t="str">
            <v>LUCID USA, INC</v>
          </cell>
          <cell r="H79" t="str">
            <v>Delivery</v>
          </cell>
          <cell r="I79" t="str">
            <v>Cáp đồng trục có đầu nối P/N: 7-362116525-036, vỏ bọc bằng nhựa, đường kính lõi 0.5mm, điện áp 800V, hàng mới 100%</v>
          </cell>
          <cell r="J79" t="str">
            <v>Fedex</v>
          </cell>
        </row>
        <row r="80">
          <cell r="D80">
            <v>1.5</v>
          </cell>
          <cell r="F80">
            <v>888391562120</v>
          </cell>
          <cell r="G80" t="str">
            <v>HELLA</v>
          </cell>
          <cell r="H80" t="str">
            <v>Delivery</v>
          </cell>
          <cell r="I80" t="str">
            <v>F05_LUC0108#&amp;Bộ điều khiển đèn phía trước cho xe ô tô P21-L1AL01-02, tạm nhập sửa chữa theo mục 3 của TKX 308154854360/E42 (15/01/2026). Hàng mới 100%</v>
          </cell>
          <cell r="J80" t="str">
            <v>Fedex</v>
          </cell>
        </row>
        <row r="81">
          <cell r="D81">
            <v>1</v>
          </cell>
          <cell r="F81">
            <v>473675011785</v>
          </cell>
          <cell r="G81" t="str">
            <v>IXSYSTEMS</v>
          </cell>
          <cell r="H81" t="str">
            <v>Delivery</v>
          </cell>
          <cell r="I81" t="str">
            <v>F05_AGI0014-5#&amp;Ram máy tính dạng thanh DDR4 AGIGA8811-016BCA, không có chức năng mật mã dân sự, tạm nhập sửa chữa theo mục 1 của TKX 307973016800/E42 (19/11/2025). Hàng mới 100%</v>
          </cell>
          <cell r="J81" t="str">
            <v>Fedex</v>
          </cell>
        </row>
        <row r="82">
          <cell r="D82">
            <v>13.5</v>
          </cell>
          <cell r="F82">
            <v>483570642905</v>
          </cell>
          <cell r="G82" t="str">
            <v>UNIGEN CORPORATION</v>
          </cell>
          <cell r="H82" t="str">
            <v>Delivery</v>
          </cell>
          <cell r="I82" t="str">
            <v>F05_PUR0220#&amp;Bộ lưu trữ dữ liệu HLOB-80-3282-00, không có chức năng mật mã dân sự (CPN: HLOB-83-0638-01), tạm nhập sửa chữa theo mục 1 của TKX 308272261310/E42 (26/02/2026). Hàng mới 100%</v>
          </cell>
          <cell r="J82" t="str">
            <v>Fedex</v>
          </cell>
        </row>
        <row r="83">
          <cell r="D83">
            <v>1</v>
          </cell>
          <cell r="F83">
            <v>5166821645</v>
          </cell>
          <cell r="G83" t="str">
            <v>Agiga Tech (Chengdu)</v>
          </cell>
          <cell r="H83" t="str">
            <v>Delivery</v>
          </cell>
          <cell r="I83" t="str">
            <v>F05_OEM0291#&amp;Bộ nhớ không bay hơi NVRAM dùng cho server UCNVB0MA016-M4A-A0C, không có chức năng mật mã dân sự, tạm nhập sửa chữa theo mục 1 của TKX 308088710810/E42 (24/12/2025). Hàng mới 100%</v>
          </cell>
          <cell r="J83" t="str">
            <v>DHL</v>
          </cell>
        </row>
        <row r="84">
          <cell r="D84">
            <v>2.5</v>
          </cell>
          <cell r="F84">
            <v>889133951213</v>
          </cell>
          <cell r="G84" t="str">
            <v>FOXCONN</v>
          </cell>
          <cell r="H84" t="str">
            <v>Delivery</v>
          </cell>
          <cell r="I84" t="str">
            <v>F05_PUR0198-1#&amp;Bộ lưu trữ dữ liệu Grover 83-0480-06, không có chức năng mật  mã dân sự, tạm nhập sửa chữa theo mục 8 của TKX 308160408420/E42 (16/01/2026). Hàng mới 100%</v>
          </cell>
          <cell r="J84" t="str">
            <v>Fedex</v>
          </cell>
        </row>
        <row r="85">
          <cell r="D85">
            <v>2</v>
          </cell>
          <cell r="F85">
            <v>483570643100</v>
          </cell>
          <cell r="G85" t="str">
            <v>UNIGEN CORPORATION</v>
          </cell>
          <cell r="H85" t="str">
            <v>Delivery</v>
          </cell>
          <cell r="I85" t="str">
            <v>F05_AGI0016-4#&amp;Ram máy tính dạng thanh DDR4 AGIGA8811-016BCB-NTP, không chứa mật mã dân sự, tạm nhập sửa chữa theo mục 2 của TKX 307157484930/E42 (21/02/2025). Hàng mới 100%</v>
          </cell>
          <cell r="J85" t="str">
            <v>Fedex</v>
          </cell>
        </row>
        <row r="86">
          <cell r="D86">
            <v>15.5</v>
          </cell>
          <cell r="F86">
            <v>483570643496</v>
          </cell>
          <cell r="G86" t="str">
            <v>UNIGEN CORPORATION</v>
          </cell>
          <cell r="H86" t="str">
            <v>Delivery</v>
          </cell>
          <cell r="I86" t="str">
            <v>F05_PUR0220 #&amp; Bộ lưu trữ dữ liệu HLOB-80-3282-00 (CPN: HLOB-83-0638-01), không chứa mật mã dân sự tạm nhập sửa chữa theo mục 4 của TKX 308300513530/E42 (06/03/2026). Hàng mới 100%</v>
          </cell>
          <cell r="J86" t="str">
            <v>Fedex</v>
          </cell>
        </row>
        <row r="87">
          <cell r="D87">
            <v>7.5</v>
          </cell>
          <cell r="F87">
            <v>483570643691</v>
          </cell>
          <cell r="G87" t="str">
            <v>UNIGEN CORPORATION</v>
          </cell>
          <cell r="H87" t="str">
            <v>Delivery</v>
          </cell>
          <cell r="I87" t="str">
            <v>F05_PUR0220#&amp;Bộ lưu trữ dữ liệu HLOB-80-3282-00 (CPN: HLOB-83-0638-01)</v>
          </cell>
          <cell r="J87" t="str">
            <v>Fedex</v>
          </cell>
        </row>
        <row r="88">
          <cell r="D88">
            <v>10.5</v>
          </cell>
          <cell r="F88">
            <v>889551843186</v>
          </cell>
          <cell r="G88" t="str">
            <v>JABIL CIRCUIT DE MEXICO S DE R.L. DE C.V.</v>
          </cell>
          <cell r="H88" t="str">
            <v>Delivery</v>
          </cell>
          <cell r="I88" t="str">
            <v>F05_PUR0220#&amp;Bộ lưu trữ dữ liệu HLOB-80-3282-00 (CPN: HLOB-83-0638-01)</v>
          </cell>
          <cell r="J88" t="str">
            <v>Fedex</v>
          </cell>
        </row>
        <row r="89">
          <cell r="D89">
            <v>1.4</v>
          </cell>
          <cell r="F89">
            <v>889819372964</v>
          </cell>
          <cell r="G89" t="str">
            <v>JABIL CIRCUIT DE MEXICO S DE R.L. DE C.V.</v>
          </cell>
          <cell r="H89" t="str">
            <v>Delivery</v>
          </cell>
          <cell r="I89" t="str">
            <v>F05_PUR0220#&amp;Bộ lưu trữ dữ liệu HLOB-80-3282-00 (CPN: HLOB-83-0638-01)</v>
          </cell>
          <cell r="J89" t="str">
            <v>Fedex</v>
          </cell>
        </row>
        <row r="90">
          <cell r="D90">
            <v>4</v>
          </cell>
          <cell r="F90">
            <v>889928622185</v>
          </cell>
          <cell r="G90" t="str">
            <v>JABIL CIRCUIT DE MEXICO S DE R.L. DE C.V.</v>
          </cell>
          <cell r="H90" t="str">
            <v>Delivery</v>
          </cell>
          <cell r="I90" t="str">
            <v>F05_PUR0220#&amp;Bộ lưu trữ dữ liệu HLOB-80-3282-00 (CPN: HLOB-83-0638-01)</v>
          </cell>
          <cell r="J90" t="str">
            <v>Fedex</v>
          </cell>
        </row>
        <row r="91">
          <cell r="D91">
            <v>1.4</v>
          </cell>
          <cell r="F91">
            <v>870055651116</v>
          </cell>
          <cell r="G91" t="str">
            <v>JABIL CIRCUIT DE MEXICO S DE R.L. DE C.V.</v>
          </cell>
          <cell r="H91" t="str">
            <v>Delivery</v>
          </cell>
          <cell r="I91" t="str">
            <v>F05_PUR0220#&amp;Bộ lưu trữ dữ liệu HLOB-80-3282-00 (CPN: HLOB-83-0638-01)</v>
          </cell>
          <cell r="J91" t="str">
            <v>Fedex</v>
          </cell>
        </row>
        <row r="92">
          <cell r="D92">
            <v>1.4</v>
          </cell>
          <cell r="F92">
            <v>870055771599</v>
          </cell>
          <cell r="G92" t="str">
            <v>JABIL CIRCUIT DE MEXICO S DE R.L. DE C.V.</v>
          </cell>
          <cell r="H92" t="str">
            <v>Delivery</v>
          </cell>
          <cell r="I92" t="str">
            <v>F05_PUR0220#&amp;Bộ lưu trữ dữ liệu HLOB-80-3282-00 (CPN: HLOB-83-0638-01)</v>
          </cell>
          <cell r="J92" t="str">
            <v>Fedex</v>
          </cell>
        </row>
        <row r="93">
          <cell r="D93">
            <v>4</v>
          </cell>
          <cell r="F93">
            <v>870124361270</v>
          </cell>
          <cell r="G93" t="str">
            <v>JABIL CIRCUIT DE MEXICO S DE R.L. DE C.V.</v>
          </cell>
          <cell r="H93" t="str">
            <v>Delivery</v>
          </cell>
          <cell r="I93" t="str">
            <v>F05_PUR0220#&amp;Bộ lưu trữ dữ liệu HLOB-80-3282-00</v>
          </cell>
          <cell r="J93" t="str">
            <v>Fedex</v>
          </cell>
        </row>
        <row r="94">
          <cell r="D94">
            <v>18</v>
          </cell>
          <cell r="F94">
            <v>870397541768</v>
          </cell>
          <cell r="G94" t="str">
            <v>JABIL CIRCUIT DE MEXICO S DE R.L. DE C.V.</v>
          </cell>
          <cell r="H94" t="str">
            <v>Delivery</v>
          </cell>
          <cell r="I94" t="str">
            <v>F05_PUR0220#&amp;Bộ lưu trữ dữ liệu HLOB-80-3282-00</v>
          </cell>
          <cell r="J94" t="str">
            <v>Fedex</v>
          </cell>
        </row>
        <row r="95">
          <cell r="D95">
            <v>2</v>
          </cell>
          <cell r="F95">
            <v>870482677670</v>
          </cell>
          <cell r="G95" t="str">
            <v>JABIL CIRCUIT DE MEXICO S DE R.L. DE C.V.</v>
          </cell>
          <cell r="H95" t="str">
            <v>Delivery</v>
          </cell>
          <cell r="I95" t="str">
            <v>F05_PUR0220#&amp;Bộ lưu trữ dữ liệu HLOB-80-3282-00</v>
          </cell>
          <cell r="J95" t="str">
            <v>Fedex</v>
          </cell>
        </row>
        <row r="96">
          <cell r="D96">
            <v>2</v>
          </cell>
          <cell r="F96">
            <v>870598448989</v>
          </cell>
          <cell r="G96" t="str">
            <v>JABIL CIRCUIT DE MEXICO S DE R.L. DE C.V.</v>
          </cell>
          <cell r="H96" t="str">
            <v>Delivery</v>
          </cell>
          <cell r="I96" t="str">
            <v>F05_PUR0220#&amp;Bộ lưu trữ dữ liệu HLOB-80-3282-00</v>
          </cell>
          <cell r="J96" t="str">
            <v>Fedex</v>
          </cell>
        </row>
        <row r="97">
          <cell r="D97">
            <v>25</v>
          </cell>
          <cell r="F97">
            <v>870650025676</v>
          </cell>
          <cell r="G97" t="str">
            <v>JABIL CIRCUIT DE MEXICO S DE R.L. DE C.V.</v>
          </cell>
          <cell r="H97" t="str">
            <v>Delivery</v>
          </cell>
          <cell r="I97" t="str">
            <v>F05_PUR0220#&amp;Bộ lưu trữ dữ liệu HLOB-80-3282-00</v>
          </cell>
          <cell r="J97" t="str">
            <v>Fedex</v>
          </cell>
        </row>
        <row r="98">
          <cell r="D98">
            <v>18</v>
          </cell>
          <cell r="F98">
            <v>870650353490</v>
          </cell>
          <cell r="G98" t="str">
            <v>JABIL CIRCUIT DE MEXICO S DE R.L. DE C.V.</v>
          </cell>
          <cell r="H98" t="str">
            <v>Delivery</v>
          </cell>
          <cell r="I98" t="str">
            <v>F05_PUR0220#&amp;Bộ lưu trữ dữ liệu HLOB-80-3282-00 (CPN: HLOB-83-0638-01), không có chức năng mật mã dân sự, tạm nhập sửa chữa theo mục 14 của TKX 308372272300/E42 (30/03/2026). Hàng mới 100%</v>
          </cell>
          <cell r="J98" t="str">
            <v>Fedex</v>
          </cell>
        </row>
        <row r="99">
          <cell r="D99">
            <v>0.5</v>
          </cell>
          <cell r="F99">
            <v>483570645396</v>
          </cell>
          <cell r="G99" t="str">
            <v>UNIGEN CORPORATION</v>
          </cell>
          <cell r="H99" t="str">
            <v>Delivery</v>
          </cell>
          <cell r="I99" t="str">
            <v>Ổ cứng SSD UBPMS11123TE1Q1-TD11-UGN, không có chức năng mật mã dân sự, hàng mới 100%</v>
          </cell>
          <cell r="J99" t="str">
            <v>Fedex</v>
          </cell>
        </row>
        <row r="100">
          <cell r="D100">
            <v>4</v>
          </cell>
          <cell r="F100">
            <v>870856704340</v>
          </cell>
          <cell r="G100" t="str">
            <v>JABIL CIRCUIT DE MEXICO S DE R.L. DE C.V.</v>
          </cell>
          <cell r="H100" t="str">
            <v>Delivery</v>
          </cell>
          <cell r="I100" t="str">
            <v>F05_PUR0220#&amp;Bộ lưu trữ dữ liệu HLOB-80-3282-00 (CPN: HLOB-83-0638-01), không có chức năng mật mã dân sự, tạm nhập sửa chữa theo mục 14 của TKX 308372272300/E42 (30/03/2026). Hàng mới 100%</v>
          </cell>
          <cell r="J100" t="str">
            <v>Fedex</v>
          </cell>
        </row>
        <row r="101">
          <cell r="D101">
            <v>6</v>
          </cell>
          <cell r="F101">
            <v>871006164110</v>
          </cell>
          <cell r="G101" t="str">
            <v>JABIL CIRCUIT DE MEXICO S DE R.L. DE C.V.</v>
          </cell>
          <cell r="H101" t="str">
            <v>Delivery</v>
          </cell>
          <cell r="I101" t="str">
            <v>F05_PUR0220#&amp;Bộ lưu trữ dữ liệu HLOB-80-3282-00 (CPN: HLOB-83-0638-01), không có chức năng mật mã dân sự, tạm nhập sửa chữa theo mục 14 của TKX 308372272300/E42 (30/03/2026). Hàng mới 100%</v>
          </cell>
          <cell r="J101" t="str">
            <v>Fedex</v>
          </cell>
        </row>
        <row r="102">
          <cell r="D102">
            <v>0.5</v>
          </cell>
          <cell r="F102">
            <v>870984625484</v>
          </cell>
          <cell r="G102" t="str">
            <v>UNIGEN MALAYSÍA INVENTORY ORGANIZATION</v>
          </cell>
          <cell r="H102" t="str">
            <v>Delivery</v>
          </cell>
          <cell r="I102" t="str">
            <v>Ram máy tính dạng thanh U20V700Q8DGM-IAE3-UGHC, không chứa dữ liệu, không có chức năng mật mã dân sự. Hàng mới 100%</v>
          </cell>
          <cell r="J102" t="str">
            <v>Fedex</v>
          </cell>
        </row>
        <row r="103">
          <cell r="D103">
            <v>23.2</v>
          </cell>
          <cell r="F103">
            <v>870893634940</v>
          </cell>
          <cell r="G103" t="str">
            <v>AIC INC</v>
          </cell>
          <cell r="H103" t="str">
            <v>Delivery</v>
          </cell>
          <cell r="I103" t="str">
            <v>F05_AIC0017#&amp;Bo mạch chủ có chức năng điều khiển trong máy chủ BMB1UPG0002AB01, tạm nhập sửa chữa theo mục 1 của TKX 307796160510/E42 (24/09/2025). Hàng mới 100%</v>
          </cell>
          <cell r="J103" t="str">
            <v>Fedex</v>
          </cell>
        </row>
        <row r="104">
          <cell r="D104">
            <v>4</v>
          </cell>
          <cell r="F104">
            <v>871217866262</v>
          </cell>
          <cell r="G104" t="str">
            <v>JABIL CIRCUIT DE MEXICO S DE R.L. DE C.V.</v>
          </cell>
          <cell r="H104" t="str">
            <v>Delivery</v>
          </cell>
          <cell r="I104" t="str">
            <v>F05_PUR0220#&amp;Bộ lưu trữ dữ liệu HLOB-80-3282-00 (CPN: HLOB-83-0638-01), không có chức năng mật mã dân sự, tạm nhập sửa chữa theo mục 14 của TKX 308372272300/E42 (30/03/2026). Hàng mới 100%</v>
          </cell>
          <cell r="J104" t="str">
            <v>Fedex</v>
          </cell>
        </row>
        <row r="105">
          <cell r="D105">
            <v>4</v>
          </cell>
          <cell r="F105">
            <v>871355948730</v>
          </cell>
          <cell r="G105" t="str">
            <v>FOXCONN CZ S.R.O</v>
          </cell>
          <cell r="H105" t="str">
            <v>Delivery</v>
          </cell>
          <cell r="J105" t="str">
            <v>Fedex</v>
          </cell>
        </row>
        <row r="106">
          <cell r="D106">
            <v>1.8</v>
          </cell>
          <cell r="F106">
            <v>871503182022</v>
          </cell>
          <cell r="G106" t="str">
            <v>INGRASYS TECHNOLOGY INC</v>
          </cell>
          <cell r="H106" t="str">
            <v>Delivery</v>
          </cell>
          <cell r="I106" t="str">
            <v>F05_OEM0203-2#&amp;Ram máy tính dạng thanh DDR4 U40V700S5DGM-BAJ1-UGSB</v>
          </cell>
          <cell r="J106" t="str">
            <v>Fedex</v>
          </cell>
        </row>
        <row r="107">
          <cell r="D107">
            <v>1.8</v>
          </cell>
          <cell r="F107">
            <v>483570646392</v>
          </cell>
          <cell r="G107" t="str">
            <v>UNIGEN CORPORATION</v>
          </cell>
          <cell r="H107" t="str">
            <v>Delivery</v>
          </cell>
          <cell r="I107" t="str">
            <v xml:space="preserve">F05_PUR0220#&amp;Bộ lưu trữ dữ liệu HLOB-80-3282-00 </v>
          </cell>
          <cell r="J107" t="str">
            <v>Fedex</v>
          </cell>
        </row>
        <row r="108">
          <cell r="D108">
            <v>3</v>
          </cell>
          <cell r="F108">
            <v>871832897235</v>
          </cell>
          <cell r="G108" t="str">
            <v>FOXCONN CZ S.R.O.</v>
          </cell>
          <cell r="H108" t="str">
            <v>Delivery</v>
          </cell>
          <cell r="I108" t="str">
            <v>F05_PUR0209#&amp;Bộ lưu trữ dữ liệu Grover 83-0574-05</v>
          </cell>
          <cell r="J108" t="str">
            <v>Fedex</v>
          </cell>
        </row>
        <row r="109">
          <cell r="D109">
            <v>0.9</v>
          </cell>
          <cell r="F109">
            <v>872002149199</v>
          </cell>
          <cell r="G109" t="str">
            <v>PURE STORAGE INC</v>
          </cell>
          <cell r="H109" t="str">
            <v>Delivery</v>
          </cell>
          <cell r="I109" t="str">
            <v>F05_PUR0220#&amp;Bộ lưu trữ dữ liệu HLOB-80-3282-00 (CPN: HLOB-83-0638-01)</v>
          </cell>
          <cell r="J109" t="str">
            <v>Fedex</v>
          </cell>
        </row>
        <row r="110">
          <cell r="D110" t="str">
            <v>50,3</v>
          </cell>
          <cell r="F110">
            <v>483570646131</v>
          </cell>
          <cell r="G110" t="str">
            <v>UNIGEN CORPORATION</v>
          </cell>
          <cell r="H110" t="str">
            <v>Delivery</v>
          </cell>
          <cell r="I110" t="str">
            <v>F05_UHAN0077#&amp;Nắp nhựa của vỏ bộ lưu trữ dữ liệu PUR-17-0344-00. Hàng mới 100%
Máy đóng gói và hút chân không bản mạch điện tử Model: ESC2000V, điện áp: 220 VAC,công suất: 880W,HSX: Accvacs, NSX:2026, hàng mới 100%</v>
          </cell>
          <cell r="J110" t="str">
            <v>Fedex</v>
          </cell>
        </row>
        <row r="111">
          <cell r="D111" t="str">
            <v>4,1</v>
          </cell>
          <cell r="F111">
            <v>483570646749</v>
          </cell>
          <cell r="G111" t="str">
            <v>UNIGEN CORPORATION</v>
          </cell>
          <cell r="H111" t="str">
            <v>Delivery</v>
          </cell>
          <cell r="I111" t="str">
            <v>F05_PUR0220#&amp;Bộ lưu trữ dữ liệu HLOB-80-3282-00 (CPN: HLOB-83-0638-00) không chứa mật mã dân sự, tạm nhập sửa chữa theo mục 20 của TKX 308372272300/E42 (30/03/2026). Hàng mới 100%</v>
          </cell>
          <cell r="J111" t="str">
            <v>Fedex</v>
          </cell>
        </row>
        <row r="112">
          <cell r="D112" t="str">
            <v>5,5</v>
          </cell>
          <cell r="F112">
            <v>513597200500</v>
          </cell>
          <cell r="G112" t="str">
            <v>OTHER</v>
          </cell>
          <cell r="H112" t="str">
            <v>Delivery</v>
          </cell>
          <cell r="I112" t="str">
            <v>F05_PUR0208#&amp;Bộ lưu trữ dữ liệu Grover 83-0542-03, không có chức năng mật  mã dân sự, tạm nhập sửa chữa theo mục 39 của TKX 308469967060/E42 (24/04/2026 ), hàng mới 100%</v>
          </cell>
          <cell r="J112" t="str">
            <v>Fedex</v>
          </cell>
        </row>
        <row r="113">
          <cell r="D113" t="str">
            <v>1,5</v>
          </cell>
          <cell r="F113">
            <v>872528466333</v>
          </cell>
          <cell r="G113" t="str">
            <v>OTHER</v>
          </cell>
          <cell r="H113" t="str">
            <v>Delivery</v>
          </cell>
          <cell r="I113" t="str">
            <v>F05_PUR0157-3#&amp;Bộ lưu trữ dữ liệu Hopper 83-0520-03, không có chức năng mật mã dân sự, hàng mới 100%, tạm nhập sửa chữa theo mục 4 của TKX 308584507140/E42 (29/05/2026 )</v>
          </cell>
          <cell r="J113" t="str">
            <v>Fedex</v>
          </cell>
        </row>
        <row r="114">
          <cell r="D114" t="str">
            <v>0,8</v>
          </cell>
          <cell r="F114">
            <v>513597201561</v>
          </cell>
          <cell r="G114" t="str">
            <v>SHYFT GLOBAL SERVICES</v>
          </cell>
          <cell r="H114" t="str">
            <v>Delivery</v>
          </cell>
          <cell r="I114" t="str">
            <v>F05_PUR0162-3#&amp;Bộ lưu trữ dữ liệu Hopper 80-1626-00 không có chức năng mật mã dân sự, (CPN:83-0468-07), hàng mới 100%, tạm nhập sửa chữa theo mục 2 của TKX 307098641310/E42 (22/01/2025)</v>
          </cell>
          <cell r="J114" t="str">
            <v>Fedex</v>
          </cell>
        </row>
        <row r="115">
          <cell r="D115" t="str">
            <v>0,9</v>
          </cell>
          <cell r="F115">
            <v>513597202020</v>
          </cell>
          <cell r="G115" t="str">
            <v>SHYFT GLOBAL SERVICES</v>
          </cell>
          <cell r="H115" t="str">
            <v>Delivery</v>
          </cell>
          <cell r="I115" t="str">
            <v>F05_PUR0196-1#&amp;Bộ lưu trữ dữ liệu ICER 83-0579-05, không có chức năng mật  mã dân sự, hàng mới 100%, tạm nhập sửa chữa theo mục 17 của TKX 308630546030/E42 (12/06/2026)</v>
          </cell>
          <cell r="J115" t="str">
            <v>Fedex</v>
          </cell>
        </row>
        <row r="116">
          <cell r="D116" t="str">
            <v>3,6</v>
          </cell>
          <cell r="F116">
            <v>483570648134</v>
          </cell>
          <cell r="G116" t="str">
            <v>UNIGEN CORPORATION</v>
          </cell>
          <cell r="H116" t="str">
            <v>Delivery</v>
          </cell>
          <cell r="I116" t="str">
            <v>F05_PUR0220#&amp;Bộ lưu trữ dữ liệu HLOB-80-3282-00 không có chức năng mật mã dân sự, (CPN: HLOB-83-0638-01) hàng mới 100%, tạm nhập sửa chữa theo mục 1 của TKX 308341386530/E42 (19/03/2026 )</v>
          </cell>
          <cell r="J116" t="str">
            <v>Fedex</v>
          </cell>
        </row>
        <row r="117">
          <cell r="F117">
            <v>873508697387</v>
          </cell>
          <cell r="H117" t="str">
            <v>on the way</v>
          </cell>
          <cell r="J117" t="str">
            <v>Fedex</v>
          </cell>
        </row>
        <row r="118">
          <cell r="H118" t="str">
            <v>on the way</v>
          </cell>
          <cell r="J118" t="str">
            <v>Fedex</v>
          </cell>
        </row>
        <row r="1117">
          <cell r="F1117">
            <v>456478151245</v>
          </cell>
        </row>
        <row r="1119">
          <cell r="F1119">
            <v>880849374150</v>
          </cell>
        </row>
      </sheetData>
      <sheetData sheetId="2">
        <row r="1">
          <cell r="G1" t="str">
            <v>Hi My</v>
          </cell>
          <cell r="I1" t="str">
            <v>xanh đậm: đã truyền</v>
          </cell>
        </row>
        <row r="2">
          <cell r="G2" t="str">
            <v>TK OK, em check truyền nhé</v>
          </cell>
          <cell r="I2" t="str">
            <v>Cam: chưa check gì</v>
          </cell>
        </row>
        <row r="5">
          <cell r="D5" t="str">
            <v>Weight
(kg)</v>
          </cell>
          <cell r="F5" t="str">
            <v>Bill</v>
          </cell>
          <cell r="G5" t="str">
            <v>Shipper</v>
          </cell>
          <cell r="H5" t="str">
            <v>Remark situation</v>
          </cell>
          <cell r="I5" t="str">
            <v>Description</v>
          </cell>
          <cell r="J5" t="str">
            <v>Carrier</v>
          </cell>
          <cell r="K5" t="str">
            <v>FWD</v>
          </cell>
          <cell r="L5" t="str">
            <v>POL</v>
          </cell>
          <cell r="M5" t="str">
            <v>ETD</v>
          </cell>
          <cell r="N5" t="str">
            <v>Estimate delivery date</v>
          </cell>
          <cell r="O5" t="str">
            <v>Delivery date</v>
          </cell>
          <cell r="P5" t="str">
            <v>ID NO.</v>
          </cell>
          <cell r="Q5" t="str">
            <v>DATE</v>
          </cell>
          <cell r="R5" t="str">
            <v>STATUS</v>
          </cell>
          <cell r="S5" t="str">
            <v>Total Amount
USD</v>
          </cell>
          <cell r="T5" t="str">
            <v>Incoterm</v>
          </cell>
          <cell r="U5" t="str">
            <v>Note</v>
          </cell>
        </row>
        <row r="6">
          <cell r="D6">
            <v>543.39</v>
          </cell>
          <cell r="F6" t="str">
            <v>HWHPH2504155</v>
          </cell>
          <cell r="G6" t="str">
            <v>WUS INTERNATIONAL COMPANY LIMITED</v>
          </cell>
          <cell r="H6" t="str">
            <v>Delivered</v>
          </cell>
          <cell r="I6" t="str">
            <v>pcb</v>
          </cell>
          <cell r="J6" t="str">
            <v>VVMV(sea)</v>
          </cell>
          <cell r="K6" t="str">
            <v>VVMV</v>
          </cell>
          <cell r="L6" t="str">
            <v>CN</v>
          </cell>
          <cell r="M6">
            <v>46018</v>
          </cell>
          <cell r="N6">
            <v>46029</v>
          </cell>
          <cell r="O6">
            <v>46029</v>
          </cell>
          <cell r="P6">
            <v>107863030661</v>
          </cell>
          <cell r="Q6">
            <v>46027</v>
          </cell>
          <cell r="R6" t="str">
            <v>inspection</v>
          </cell>
          <cell r="S6">
            <v>64736.72</v>
          </cell>
          <cell r="T6" t="str">
            <v>EXW</v>
          </cell>
          <cell r="U6" t="str">
            <v>PUR</v>
          </cell>
        </row>
        <row r="7">
          <cell r="D7">
            <v>4311.66</v>
          </cell>
          <cell r="F7" t="str">
            <v>SHDY251201558</v>
          </cell>
          <cell r="G7" t="str">
            <v>Kunshan Eson Precision Engineering Co.,Ltd.</v>
          </cell>
          <cell r="H7" t="str">
            <v>Delivered</v>
          </cell>
          <cell r="I7" t="str">
            <v>top…</v>
          </cell>
          <cell r="J7" t="str">
            <v>NM</v>
          </cell>
          <cell r="K7" t="str">
            <v>VVMV</v>
          </cell>
          <cell r="L7" t="str">
            <v>CN</v>
          </cell>
          <cell r="M7">
            <v>46019</v>
          </cell>
          <cell r="N7">
            <v>46028</v>
          </cell>
          <cell r="O7">
            <v>46029</v>
          </cell>
          <cell r="P7">
            <v>107864149520</v>
          </cell>
          <cell r="Q7">
            <v>46027</v>
          </cell>
          <cell r="R7" t="str">
            <v>No inspection</v>
          </cell>
          <cell r="S7">
            <v>132010.42000000001</v>
          </cell>
          <cell r="T7" t="str">
            <v>DAP</v>
          </cell>
          <cell r="U7" t="str">
            <v>LUC</v>
          </cell>
        </row>
        <row r="8">
          <cell r="D8">
            <v>3101.6</v>
          </cell>
          <cell r="F8" t="str">
            <v>SEBL25120129</v>
          </cell>
          <cell r="G8" t="str">
            <v>SHENNAN CIRCUITS CO.,LTD</v>
          </cell>
          <cell r="H8" t="str">
            <v>Delivered</v>
          </cell>
          <cell r="I8" t="str">
            <v>pcb</v>
          </cell>
          <cell r="J8" t="str">
            <v>Dragon</v>
          </cell>
          <cell r="K8" t="str">
            <v>VVMV</v>
          </cell>
          <cell r="L8" t="str">
            <v>CN</v>
          </cell>
          <cell r="M8">
            <v>46018</v>
          </cell>
          <cell r="N8">
            <v>46030</v>
          </cell>
          <cell r="O8">
            <v>46030</v>
          </cell>
          <cell r="P8">
            <v>107864425320</v>
          </cell>
          <cell r="Q8">
            <v>46027</v>
          </cell>
          <cell r="R8" t="str">
            <v>No inspection</v>
          </cell>
          <cell r="S8">
            <v>143267.41</v>
          </cell>
          <cell r="T8" t="str">
            <v>DAP</v>
          </cell>
          <cell r="U8" t="str">
            <v>LUC</v>
          </cell>
        </row>
        <row r="9">
          <cell r="D9">
            <v>870.45799999999997</v>
          </cell>
          <cell r="F9" t="str">
            <v>ASPHPHE14575714</v>
          </cell>
          <cell r="G9" t="str">
            <v>HEILIND ASIA PACIFIC (SG) PTE LTD</v>
          </cell>
          <cell r="H9" t="str">
            <v>Delivered</v>
          </cell>
          <cell r="I9" t="str">
            <v>con</v>
          </cell>
          <cell r="J9" t="str">
            <v>VVMV(sea)</v>
          </cell>
          <cell r="K9" t="str">
            <v>VVMV</v>
          </cell>
          <cell r="L9" t="str">
            <v>SG</v>
          </cell>
          <cell r="M9">
            <v>46021</v>
          </cell>
          <cell r="N9">
            <v>46030</v>
          </cell>
          <cell r="O9">
            <v>46030</v>
          </cell>
          <cell r="P9">
            <v>107863106740</v>
          </cell>
          <cell r="Q9">
            <v>46027</v>
          </cell>
          <cell r="R9" t="str">
            <v>No inspection</v>
          </cell>
          <cell r="S9" t="str">
            <v>39.874,8</v>
          </cell>
          <cell r="T9" t="str">
            <v>EXW</v>
          </cell>
          <cell r="U9" t="str">
            <v>LUC</v>
          </cell>
        </row>
        <row r="10">
          <cell r="D10">
            <v>1106.4000000000001</v>
          </cell>
          <cell r="F10" t="str">
            <v>LSHHPH25030651</v>
          </cell>
          <cell r="G10" t="str">
            <v>SUZHOU CURRENT ELECTRIC LIMITED COMPANY</v>
          </cell>
          <cell r="H10" t="str">
            <v>Delivered</v>
          </cell>
          <cell r="I10" t="str">
            <v>bus..</v>
          </cell>
          <cell r="J10" t="str">
            <v>Dolphin(sea)</v>
          </cell>
          <cell r="K10" t="str">
            <v>Dolphin</v>
          </cell>
          <cell r="L10" t="str">
            <v>CN</v>
          </cell>
          <cell r="M10">
            <v>46020</v>
          </cell>
          <cell r="N10">
            <v>46030</v>
          </cell>
          <cell r="O10">
            <v>46031</v>
          </cell>
          <cell r="P10">
            <v>107864419350</v>
          </cell>
          <cell r="Q10">
            <v>46027</v>
          </cell>
          <cell r="R10" t="str">
            <v>No inspection</v>
          </cell>
          <cell r="S10">
            <v>22496</v>
          </cell>
          <cell r="T10" t="str">
            <v>EXW</v>
          </cell>
          <cell r="U10" t="str">
            <v>LUC</v>
          </cell>
        </row>
        <row r="11">
          <cell r="D11">
            <v>11.2</v>
          </cell>
          <cell r="F11">
            <v>6728627172</v>
          </cell>
          <cell r="G11" t="str">
            <v>TTI INC</v>
          </cell>
          <cell r="H11" t="str">
            <v>Delivered</v>
          </cell>
          <cell r="I11" t="str">
            <v>con..</v>
          </cell>
          <cell r="J11" t="str">
            <v>DHL</v>
          </cell>
          <cell r="K11" t="str">
            <v>VVMV</v>
          </cell>
          <cell r="L11" t="str">
            <v>US</v>
          </cell>
          <cell r="M11">
            <v>46015</v>
          </cell>
          <cell r="N11">
            <v>46028</v>
          </cell>
          <cell r="O11">
            <v>46028</v>
          </cell>
          <cell r="P11">
            <v>107863391900</v>
          </cell>
          <cell r="Q11">
            <v>46027</v>
          </cell>
          <cell r="R11" t="str">
            <v>No inspection</v>
          </cell>
          <cell r="S11">
            <v>8206.5</v>
          </cell>
          <cell r="T11" t="str">
            <v>CIF</v>
          </cell>
          <cell r="U11" t="str">
            <v>LUC</v>
          </cell>
        </row>
        <row r="12">
          <cell r="D12">
            <v>57.5</v>
          </cell>
          <cell r="F12">
            <v>5973463403</v>
          </cell>
          <cell r="G12" t="str">
            <v>FUTURE ELECTRONICS INC (DIST) PTE LTD</v>
          </cell>
          <cell r="H12" t="str">
            <v>Delivered</v>
          </cell>
          <cell r="I12" t="str">
            <v>diode</v>
          </cell>
          <cell r="J12" t="str">
            <v>DHL</v>
          </cell>
          <cell r="K12" t="str">
            <v>VVMV</v>
          </cell>
          <cell r="L12" t="str">
            <v>SG</v>
          </cell>
          <cell r="M12">
            <v>46022</v>
          </cell>
          <cell r="N12">
            <v>46028</v>
          </cell>
          <cell r="O12">
            <v>46028</v>
          </cell>
          <cell r="P12">
            <v>107864192660</v>
          </cell>
          <cell r="Q12">
            <v>46027</v>
          </cell>
          <cell r="R12" t="str">
            <v>No inspection</v>
          </cell>
          <cell r="S12">
            <v>28438.7</v>
          </cell>
          <cell r="T12" t="str">
            <v>CIF</v>
          </cell>
          <cell r="U12" t="str">
            <v>LUC</v>
          </cell>
        </row>
        <row r="13">
          <cell r="D13">
            <v>9.5</v>
          </cell>
          <cell r="F13">
            <v>497595770850</v>
          </cell>
          <cell r="G13" t="str">
            <v>DIGI-KEY ELECTRONICS</v>
          </cell>
          <cell r="H13" t="str">
            <v>Delivered</v>
          </cell>
          <cell r="I13" t="str">
            <v>cap..</v>
          </cell>
          <cell r="J13" t="str">
            <v>Fedex</v>
          </cell>
          <cell r="K13" t="str">
            <v>VVMV</v>
          </cell>
          <cell r="L13" t="str">
            <v>US</v>
          </cell>
          <cell r="M13">
            <v>46020</v>
          </cell>
          <cell r="N13">
            <v>46029</v>
          </cell>
          <cell r="O13">
            <v>46029</v>
          </cell>
          <cell r="P13">
            <v>107866490800</v>
          </cell>
          <cell r="Q13">
            <v>46028</v>
          </cell>
          <cell r="R13" t="str">
            <v>No inspection</v>
          </cell>
          <cell r="S13">
            <v>2345.85</v>
          </cell>
          <cell r="T13" t="str">
            <v>CIF</v>
          </cell>
          <cell r="U13" t="str">
            <v>LUC</v>
          </cell>
        </row>
        <row r="14">
          <cell r="D14">
            <v>7.5</v>
          </cell>
          <cell r="F14">
            <v>497339190893</v>
          </cell>
          <cell r="G14" t="str">
            <v>ARROW ELECTRONICS ASIA(S) PTE</v>
          </cell>
          <cell r="H14" t="str">
            <v>Delivered</v>
          </cell>
          <cell r="I14" t="str">
            <v>ic</v>
          </cell>
          <cell r="J14" t="str">
            <v>Fedex</v>
          </cell>
          <cell r="K14" t="str">
            <v>VVMV</v>
          </cell>
          <cell r="L14" t="str">
            <v>HK</v>
          </cell>
          <cell r="M14">
            <v>46022</v>
          </cell>
          <cell r="N14">
            <v>46028</v>
          </cell>
          <cell r="O14">
            <v>46028</v>
          </cell>
          <cell r="P14">
            <v>107863817020</v>
          </cell>
          <cell r="Q14">
            <v>46027</v>
          </cell>
          <cell r="R14" t="str">
            <v>No inspection</v>
          </cell>
          <cell r="S14">
            <v>2160</v>
          </cell>
          <cell r="T14" t="str">
            <v>EXW</v>
          </cell>
          <cell r="U14" t="str">
            <v>LUC</v>
          </cell>
        </row>
        <row r="15">
          <cell r="D15">
            <v>2</v>
          </cell>
          <cell r="F15">
            <v>119209667592</v>
          </cell>
          <cell r="G15" t="str">
            <v>FUTURE ELECTRONICS FICE</v>
          </cell>
          <cell r="H15" t="str">
            <v>Delivered</v>
          </cell>
          <cell r="I15" t="str">
            <v>ic..</v>
          </cell>
          <cell r="J15" t="str">
            <v>Fedex</v>
          </cell>
          <cell r="K15" t="str">
            <v>VVMV</v>
          </cell>
          <cell r="L15" t="str">
            <v>US</v>
          </cell>
          <cell r="M15">
            <v>46021</v>
          </cell>
          <cell r="N15">
            <v>46028</v>
          </cell>
          <cell r="O15">
            <v>46028</v>
          </cell>
          <cell r="P15">
            <v>107863575630</v>
          </cell>
          <cell r="Q15">
            <v>46027</v>
          </cell>
          <cell r="R15" t="str">
            <v>No inspection</v>
          </cell>
          <cell r="S15">
            <v>1497</v>
          </cell>
          <cell r="T15" t="str">
            <v>CIF</v>
          </cell>
          <cell r="U15" t="str">
            <v>HLO</v>
          </cell>
        </row>
        <row r="16">
          <cell r="D16">
            <v>0.5</v>
          </cell>
          <cell r="F16">
            <v>495829084380</v>
          </cell>
          <cell r="G16" t="str">
            <v>ARROW ELECTRONICS, INC.</v>
          </cell>
          <cell r="H16" t="str">
            <v>Delivered</v>
          </cell>
          <cell r="I16" t="str">
            <v>cap..</v>
          </cell>
          <cell r="J16" t="str">
            <v>Fedex</v>
          </cell>
          <cell r="K16" t="str">
            <v>VVMV</v>
          </cell>
          <cell r="L16" t="str">
            <v>US</v>
          </cell>
          <cell r="M16">
            <v>46021</v>
          </cell>
          <cell r="N16">
            <v>46029</v>
          </cell>
          <cell r="O16">
            <v>46029</v>
          </cell>
          <cell r="P16">
            <v>107866271000</v>
          </cell>
          <cell r="Q16">
            <v>46028</v>
          </cell>
          <cell r="R16" t="str">
            <v>No inspection</v>
          </cell>
          <cell r="S16">
            <v>188.8</v>
          </cell>
          <cell r="T16" t="str">
            <v>CIF</v>
          </cell>
          <cell r="U16" t="str">
            <v>LUC</v>
          </cell>
        </row>
        <row r="17">
          <cell r="D17">
            <v>27.5</v>
          </cell>
          <cell r="F17">
            <v>477592547980</v>
          </cell>
          <cell r="G17" t="str">
            <v>QUALCOMM CDMA TECHNOLOGIES ASIA-PAC</v>
          </cell>
          <cell r="H17" t="str">
            <v>Delivered</v>
          </cell>
          <cell r="I17" t="str">
            <v>ic</v>
          </cell>
          <cell r="J17" t="str">
            <v>Fedex</v>
          </cell>
          <cell r="K17" t="str">
            <v>VVMV</v>
          </cell>
          <cell r="L17" t="str">
            <v>SG</v>
          </cell>
          <cell r="M17">
            <v>46022</v>
          </cell>
          <cell r="N17">
            <v>46028</v>
          </cell>
          <cell r="O17">
            <v>46028</v>
          </cell>
          <cell r="P17">
            <v>107863880500</v>
          </cell>
          <cell r="Q17">
            <v>46027</v>
          </cell>
          <cell r="R17" t="str">
            <v>No inspection</v>
          </cell>
          <cell r="S17">
            <v>108864</v>
          </cell>
          <cell r="T17" t="str">
            <v>EXW</v>
          </cell>
          <cell r="U17" t="str">
            <v>LUC</v>
          </cell>
        </row>
        <row r="18">
          <cell r="D18">
            <v>0.5</v>
          </cell>
          <cell r="F18">
            <v>887497360480</v>
          </cell>
          <cell r="G18" t="str">
            <v>CYMMETRIK SHENZHEN PRINTING CO., LTD</v>
          </cell>
          <cell r="H18" t="str">
            <v>Delivered</v>
          </cell>
          <cell r="I18" t="str">
            <v>label</v>
          </cell>
          <cell r="J18" t="str">
            <v>Fedex</v>
          </cell>
          <cell r="K18" t="str">
            <v>VVMV</v>
          </cell>
          <cell r="L18" t="str">
            <v>CN</v>
          </cell>
          <cell r="M18">
            <v>46021</v>
          </cell>
          <cell r="N18">
            <v>46028</v>
          </cell>
          <cell r="O18">
            <v>46028</v>
          </cell>
          <cell r="P18">
            <v>107864037630</v>
          </cell>
          <cell r="Q18">
            <v>46027</v>
          </cell>
          <cell r="R18" t="str">
            <v>No inspection</v>
          </cell>
          <cell r="S18">
            <v>340</v>
          </cell>
          <cell r="T18" t="str">
            <v>EXW</v>
          </cell>
          <cell r="U18" t="str">
            <v>PUR</v>
          </cell>
        </row>
        <row r="19">
          <cell r="D19">
            <v>71</v>
          </cell>
          <cell r="F19">
            <v>471783805562</v>
          </cell>
          <cell r="G19" t="str">
            <v>SINO FAITH TECHNOLOGY  DVPT LTD</v>
          </cell>
          <cell r="H19" t="str">
            <v>Delivered</v>
          </cell>
          <cell r="I19" t="str">
            <v>cap..</v>
          </cell>
          <cell r="J19" t="str">
            <v>Fedex</v>
          </cell>
          <cell r="K19" t="str">
            <v>VVMV</v>
          </cell>
          <cell r="L19" t="str">
            <v>HK</v>
          </cell>
          <cell r="M19">
            <v>46022</v>
          </cell>
          <cell r="N19">
            <v>46028</v>
          </cell>
          <cell r="O19">
            <v>46028</v>
          </cell>
          <cell r="P19">
            <v>107864106340</v>
          </cell>
          <cell r="Q19">
            <v>46027</v>
          </cell>
          <cell r="R19" t="str">
            <v>No inspection</v>
          </cell>
          <cell r="S19">
            <v>29571.3</v>
          </cell>
          <cell r="T19" t="str">
            <v>EXW</v>
          </cell>
          <cell r="U19" t="str">
            <v>PUR</v>
          </cell>
        </row>
        <row r="20">
          <cell r="D20">
            <v>10</v>
          </cell>
          <cell r="F20">
            <v>499175576716</v>
          </cell>
          <cell r="G20" t="str">
            <v>Micron Memory Malaysia Sdn. Bh</v>
          </cell>
          <cell r="H20" t="str">
            <v>Delivered</v>
          </cell>
          <cell r="I20" t="str">
            <v>mem</v>
          </cell>
          <cell r="J20" t="str">
            <v>Fedex</v>
          </cell>
          <cell r="K20" t="str">
            <v>VVMV</v>
          </cell>
          <cell r="L20" t="str">
            <v>MY</v>
          </cell>
          <cell r="M20">
            <v>46022</v>
          </cell>
          <cell r="N20">
            <v>46028</v>
          </cell>
          <cell r="O20">
            <v>46028</v>
          </cell>
          <cell r="P20">
            <v>107863851760</v>
          </cell>
          <cell r="Q20">
            <v>46027</v>
          </cell>
          <cell r="R20" t="str">
            <v>No inspection</v>
          </cell>
          <cell r="S20">
            <v>479200</v>
          </cell>
          <cell r="T20" t="str">
            <v>CIF</v>
          </cell>
          <cell r="U20" t="str">
            <v>LUC</v>
          </cell>
        </row>
        <row r="21">
          <cell r="D21">
            <v>23.5</v>
          </cell>
          <cell r="F21">
            <v>887532790798</v>
          </cell>
          <cell r="G21" t="str">
            <v>J&amp;T FLEX TECHNOLOGY CO LTD</v>
          </cell>
          <cell r="H21" t="str">
            <v>Delivered</v>
          </cell>
          <cell r="I21" t="str">
            <v>pcb</v>
          </cell>
          <cell r="J21" t="str">
            <v>Fedex</v>
          </cell>
          <cell r="K21" t="str">
            <v>VVMV</v>
          </cell>
          <cell r="L21" t="str">
            <v>TW</v>
          </cell>
          <cell r="M21">
            <v>46022</v>
          </cell>
          <cell r="N21">
            <v>46028</v>
          </cell>
          <cell r="O21">
            <v>46029</v>
          </cell>
          <cell r="P21">
            <v>107864035200</v>
          </cell>
          <cell r="Q21">
            <v>46027</v>
          </cell>
          <cell r="R21" t="str">
            <v>No inspection</v>
          </cell>
          <cell r="S21">
            <v>15624</v>
          </cell>
          <cell r="T21" t="str">
            <v>EXW</v>
          </cell>
          <cell r="U21" t="str">
            <v>LUC</v>
          </cell>
        </row>
        <row r="22">
          <cell r="D22">
            <v>1</v>
          </cell>
          <cell r="F22">
            <v>495506185900</v>
          </cell>
          <cell r="G22" t="str">
            <v>SAMTEC ASIA PACIFIC PTE LTD</v>
          </cell>
          <cell r="H22" t="str">
            <v>Delivered</v>
          </cell>
          <cell r="I22" t="str">
            <v>con</v>
          </cell>
          <cell r="J22" t="str">
            <v>Fedex</v>
          </cell>
          <cell r="K22" t="str">
            <v>VVMV</v>
          </cell>
          <cell r="L22" t="str">
            <v>SG</v>
          </cell>
          <cell r="M22">
            <v>46021</v>
          </cell>
          <cell r="N22">
            <v>46028</v>
          </cell>
          <cell r="O22">
            <v>46028</v>
          </cell>
          <cell r="P22">
            <v>107863408700</v>
          </cell>
          <cell r="Q22">
            <v>46027</v>
          </cell>
          <cell r="R22" t="str">
            <v>No inspection</v>
          </cell>
          <cell r="S22">
            <v>66.599999999999994</v>
          </cell>
          <cell r="T22" t="str">
            <v>CIF</v>
          </cell>
          <cell r="U22" t="str">
            <v>EF-</v>
          </cell>
        </row>
        <row r="23">
          <cell r="D23">
            <v>2.5</v>
          </cell>
          <cell r="F23">
            <v>5973462504</v>
          </cell>
          <cell r="G23" t="str">
            <v>FUTURE ELECTRONICS (ADC)</v>
          </cell>
          <cell r="H23" t="str">
            <v>Delivered</v>
          </cell>
          <cell r="I23" t="str">
            <v>led</v>
          </cell>
          <cell r="J23" t="str">
            <v>DHL</v>
          </cell>
          <cell r="K23" t="str">
            <v>VVMV</v>
          </cell>
          <cell r="L23" t="str">
            <v>SG</v>
          </cell>
          <cell r="M23">
            <v>46022</v>
          </cell>
          <cell r="N23">
            <v>46028</v>
          </cell>
          <cell r="O23">
            <v>46028</v>
          </cell>
          <cell r="P23">
            <v>107864377940</v>
          </cell>
          <cell r="Q23">
            <v>46027</v>
          </cell>
          <cell r="R23" t="str">
            <v>No inspection</v>
          </cell>
          <cell r="S23">
            <v>814</v>
          </cell>
          <cell r="T23" t="str">
            <v>CIF</v>
          </cell>
          <cell r="U23" t="str">
            <v>HLO</v>
          </cell>
        </row>
        <row r="24">
          <cell r="D24">
            <v>159.6</v>
          </cell>
          <cell r="F24">
            <v>9664822403</v>
          </cell>
          <cell r="G24" t="str">
            <v>AVNET - CHANDLER</v>
          </cell>
          <cell r="H24" t="str">
            <v>Delivered</v>
          </cell>
          <cell r="I24" t="str">
            <v>res..</v>
          </cell>
          <cell r="J24" t="str">
            <v>DHL</v>
          </cell>
          <cell r="K24" t="str">
            <v>VVMV</v>
          </cell>
          <cell r="L24" t="str">
            <v>US</v>
          </cell>
          <cell r="M24">
            <v>46022</v>
          </cell>
          <cell r="N24">
            <v>46028</v>
          </cell>
          <cell r="O24">
            <v>46028</v>
          </cell>
          <cell r="P24" t="str">
            <v>107864316010 107864328130</v>
          </cell>
          <cell r="Q24">
            <v>46027</v>
          </cell>
          <cell r="R24" t="str">
            <v>No inspection</v>
          </cell>
          <cell r="S24">
            <v>343301.47600000002</v>
          </cell>
          <cell r="T24" t="str">
            <v>CIF</v>
          </cell>
          <cell r="U24" t="str">
            <v>LUC</v>
          </cell>
        </row>
        <row r="25">
          <cell r="D25">
            <v>3168</v>
          </cell>
          <cell r="F25" t="str">
            <v>SEBL25120161</v>
          </cell>
          <cell r="G25" t="str">
            <v>SHENNAN CIRCUITS CO.,LTD</v>
          </cell>
          <cell r="H25" t="str">
            <v>Delivered</v>
          </cell>
          <cell r="I25" t="str">
            <v>pcb</v>
          </cell>
          <cell r="J25" t="str">
            <v>Dragon</v>
          </cell>
          <cell r="K25" t="str">
            <v>VVMV</v>
          </cell>
          <cell r="L25" t="str">
            <v>CN</v>
          </cell>
          <cell r="M25">
            <v>46023</v>
          </cell>
          <cell r="N25">
            <v>46030</v>
          </cell>
          <cell r="O25">
            <v>46031</v>
          </cell>
          <cell r="P25">
            <v>107864356720</v>
          </cell>
          <cell r="Q25">
            <v>46027</v>
          </cell>
          <cell r="R25" t="str">
            <v>No inspection</v>
          </cell>
          <cell r="S25">
            <v>185646.06</v>
          </cell>
          <cell r="T25" t="str">
            <v>DAP</v>
          </cell>
          <cell r="U25" t="str">
            <v>LUC</v>
          </cell>
        </row>
        <row r="26">
          <cell r="D26">
            <v>4</v>
          </cell>
          <cell r="F26">
            <v>397344868371</v>
          </cell>
          <cell r="G26" t="str">
            <v>ANALOG DEVICES GEN. TRIAS, INC.</v>
          </cell>
          <cell r="H26" t="str">
            <v>Delivered</v>
          </cell>
          <cell r="I26" t="str">
            <v>ic</v>
          </cell>
          <cell r="J26" t="str">
            <v>Fedex</v>
          </cell>
          <cell r="K26" t="str">
            <v>VVMV</v>
          </cell>
          <cell r="L26" t="str">
            <v>PH</v>
          </cell>
          <cell r="M26">
            <v>46023</v>
          </cell>
          <cell r="N26">
            <v>46028</v>
          </cell>
          <cell r="O26">
            <v>46028</v>
          </cell>
          <cell r="P26">
            <v>107863646440</v>
          </cell>
          <cell r="Q26">
            <v>46027</v>
          </cell>
          <cell r="R26" t="str">
            <v>No inspection</v>
          </cell>
          <cell r="S26">
            <v>7324</v>
          </cell>
          <cell r="T26" t="str">
            <v>EXW</v>
          </cell>
          <cell r="U26" t="str">
            <v>LUC</v>
          </cell>
        </row>
        <row r="27">
          <cell r="D27">
            <v>1</v>
          </cell>
          <cell r="F27">
            <v>482267463491</v>
          </cell>
          <cell r="G27" t="str">
            <v>NEWARK</v>
          </cell>
          <cell r="H27" t="str">
            <v>Delivered</v>
          </cell>
          <cell r="I27" t="str">
            <v>cap..</v>
          </cell>
          <cell r="J27" t="str">
            <v>Fedex</v>
          </cell>
          <cell r="K27" t="str">
            <v>VVMV</v>
          </cell>
          <cell r="L27" t="str">
            <v>US</v>
          </cell>
          <cell r="M27">
            <v>46021</v>
          </cell>
          <cell r="N27">
            <v>46028</v>
          </cell>
          <cell r="O27">
            <v>46028</v>
          </cell>
          <cell r="P27">
            <v>107863598840</v>
          </cell>
          <cell r="Q27">
            <v>46027</v>
          </cell>
          <cell r="R27" t="str">
            <v>No inspection</v>
          </cell>
          <cell r="S27">
            <v>661.82</v>
          </cell>
          <cell r="T27" t="str">
            <v>CIF</v>
          </cell>
          <cell r="U27" t="str">
            <v>LUC</v>
          </cell>
        </row>
        <row r="28">
          <cell r="D28">
            <v>12</v>
          </cell>
          <cell r="F28">
            <v>440454983316</v>
          </cell>
          <cell r="G28" t="str">
            <v>SMITH &amp; ASSOCIATES L P</v>
          </cell>
          <cell r="H28" t="str">
            <v>Delivered</v>
          </cell>
          <cell r="I28" t="str">
            <v>diode</v>
          </cell>
          <cell r="J28" t="str">
            <v>Fedex</v>
          </cell>
          <cell r="K28" t="str">
            <v>VVMV</v>
          </cell>
          <cell r="L28" t="str">
            <v>US</v>
          </cell>
          <cell r="M28">
            <v>46020</v>
          </cell>
          <cell r="N28">
            <v>46030</v>
          </cell>
          <cell r="O28">
            <v>46030</v>
          </cell>
          <cell r="P28">
            <v>107872145510</v>
          </cell>
          <cell r="Q28">
            <v>46029</v>
          </cell>
          <cell r="R28" t="str">
            <v>No inspection</v>
          </cell>
          <cell r="S28">
            <v>1203.4000000000001</v>
          </cell>
          <cell r="T28" t="str">
            <v>EXW</v>
          </cell>
          <cell r="U28" t="str">
            <v>LUC</v>
          </cell>
        </row>
        <row r="29">
          <cell r="D29">
            <v>4</v>
          </cell>
          <cell r="F29">
            <v>426395892311</v>
          </cell>
          <cell r="G29" t="str">
            <v>SMITH &amp; ASSOCIATES L P</v>
          </cell>
          <cell r="H29" t="str">
            <v>Delivered</v>
          </cell>
          <cell r="I29" t="str">
            <v>cap..</v>
          </cell>
          <cell r="J29" t="str">
            <v>Fedex</v>
          </cell>
          <cell r="K29" t="str">
            <v>VVMV</v>
          </cell>
          <cell r="L29" t="str">
            <v>US</v>
          </cell>
          <cell r="M29">
            <v>46021</v>
          </cell>
          <cell r="N29">
            <v>46030</v>
          </cell>
          <cell r="O29">
            <v>46030</v>
          </cell>
          <cell r="P29">
            <v>107872165660</v>
          </cell>
          <cell r="Q29">
            <v>46029</v>
          </cell>
          <cell r="R29" t="str">
            <v>No inspection</v>
          </cell>
          <cell r="S29">
            <v>3234</v>
          </cell>
          <cell r="T29" t="str">
            <v>EXW</v>
          </cell>
          <cell r="U29" t="str">
            <v>LUC</v>
          </cell>
        </row>
        <row r="30">
          <cell r="D30">
            <v>1</v>
          </cell>
          <cell r="F30">
            <v>493206142251</v>
          </cell>
          <cell r="G30" t="str">
            <v>FUTURE ELECTRONICS</v>
          </cell>
          <cell r="H30" t="str">
            <v>Delivered</v>
          </cell>
          <cell r="I30" t="str">
            <v>ind</v>
          </cell>
          <cell r="J30" t="str">
            <v>Fedex</v>
          </cell>
          <cell r="K30" t="str">
            <v>VVMV</v>
          </cell>
          <cell r="L30" t="str">
            <v>US</v>
          </cell>
          <cell r="M30">
            <v>46020</v>
          </cell>
          <cell r="N30">
            <v>46028</v>
          </cell>
          <cell r="O30">
            <v>46029</v>
          </cell>
          <cell r="P30">
            <v>107864125240</v>
          </cell>
          <cell r="Q30">
            <v>46027</v>
          </cell>
          <cell r="R30" t="str">
            <v>No inspection</v>
          </cell>
          <cell r="S30">
            <v>1320</v>
          </cell>
          <cell r="T30" t="str">
            <v>CIF</v>
          </cell>
          <cell r="U30" t="str">
            <v>LUC</v>
          </cell>
        </row>
        <row r="31">
          <cell r="D31">
            <v>1.5</v>
          </cell>
          <cell r="F31">
            <v>440454983327</v>
          </cell>
          <cell r="G31" t="str">
            <v>SMITH &amp; ASSOCIATES</v>
          </cell>
          <cell r="H31" t="str">
            <v>Delivered</v>
          </cell>
          <cell r="I31" t="str">
            <v>ic</v>
          </cell>
          <cell r="J31" t="str">
            <v>Fedex</v>
          </cell>
          <cell r="K31" t="str">
            <v>VVMV</v>
          </cell>
          <cell r="L31" t="str">
            <v>US</v>
          </cell>
          <cell r="M31">
            <v>46021</v>
          </cell>
          <cell r="N31">
            <v>46028</v>
          </cell>
          <cell r="O31">
            <v>46029</v>
          </cell>
          <cell r="P31">
            <v>107864224200</v>
          </cell>
          <cell r="Q31">
            <v>46027</v>
          </cell>
          <cell r="R31" t="str">
            <v>No inspection</v>
          </cell>
          <cell r="S31">
            <v>5467.27</v>
          </cell>
          <cell r="T31" t="str">
            <v>CIF</v>
          </cell>
          <cell r="U31" t="str">
            <v>LUC</v>
          </cell>
        </row>
        <row r="32">
          <cell r="D32">
            <v>169.5</v>
          </cell>
          <cell r="F32">
            <v>477592547237</v>
          </cell>
          <cell r="G32" t="str">
            <v>QUALCOMM CDMA TECHNOLOGIES ASIA-PAC</v>
          </cell>
          <cell r="H32" t="str">
            <v>Delivered</v>
          </cell>
          <cell r="I32" t="str">
            <v>ic</v>
          </cell>
          <cell r="J32" t="str">
            <v>Fedex</v>
          </cell>
          <cell r="K32" t="str">
            <v>VVMV</v>
          </cell>
          <cell r="L32" t="str">
            <v>SG</v>
          </cell>
          <cell r="M32">
            <v>46024</v>
          </cell>
          <cell r="N32">
            <v>46028</v>
          </cell>
          <cell r="O32">
            <v>46029</v>
          </cell>
          <cell r="P32">
            <v>107863983620</v>
          </cell>
          <cell r="Q32">
            <v>46027</v>
          </cell>
          <cell r="R32" t="str">
            <v>No inspection</v>
          </cell>
          <cell r="S32">
            <v>500487.12</v>
          </cell>
          <cell r="T32" t="str">
            <v>EXW</v>
          </cell>
          <cell r="U32" t="str">
            <v>LUC</v>
          </cell>
        </row>
        <row r="33">
          <cell r="D33">
            <v>0.5</v>
          </cell>
          <cell r="F33">
            <v>887559731865</v>
          </cell>
          <cell r="G33" t="str">
            <v>CYMMETRIK SHENZHEN PRINTING CO., LTD</v>
          </cell>
          <cell r="H33" t="str">
            <v>Delivered</v>
          </cell>
          <cell r="I33" t="str">
            <v>label</v>
          </cell>
          <cell r="J33" t="str">
            <v>Fedex</v>
          </cell>
          <cell r="K33" t="str">
            <v>VVMV</v>
          </cell>
          <cell r="L33" t="str">
            <v>CN</v>
          </cell>
          <cell r="M33">
            <v>46024</v>
          </cell>
          <cell r="N33">
            <v>46028</v>
          </cell>
          <cell r="O33">
            <v>46028</v>
          </cell>
          <cell r="P33">
            <v>107863944530</v>
          </cell>
          <cell r="Q33">
            <v>46027</v>
          </cell>
          <cell r="R33" t="str">
            <v>No inspection</v>
          </cell>
          <cell r="S33">
            <v>250</v>
          </cell>
          <cell r="T33" t="str">
            <v>EXW</v>
          </cell>
          <cell r="U33" t="str">
            <v>PUR</v>
          </cell>
        </row>
        <row r="34">
          <cell r="D34">
            <v>4.5</v>
          </cell>
          <cell r="F34">
            <v>397343810277</v>
          </cell>
          <cell r="G34" t="str">
            <v>c/o DHL Supply Chain SGP P/L
Texas Instruments Southeast Asia Pt</v>
          </cell>
          <cell r="H34" t="str">
            <v>Delivered</v>
          </cell>
          <cell r="I34" t="str">
            <v>ic</v>
          </cell>
          <cell r="J34" t="str">
            <v>Fedex</v>
          </cell>
          <cell r="K34" t="str">
            <v>VVMV</v>
          </cell>
          <cell r="L34" t="str">
            <v>SG</v>
          </cell>
          <cell r="M34">
            <v>46024</v>
          </cell>
          <cell r="N34">
            <v>46028</v>
          </cell>
          <cell r="O34">
            <v>46028</v>
          </cell>
          <cell r="P34">
            <v>107863732650</v>
          </cell>
          <cell r="Q34">
            <v>46027</v>
          </cell>
          <cell r="R34" t="str">
            <v>No inspection</v>
          </cell>
          <cell r="S34">
            <v>1296</v>
          </cell>
          <cell r="T34" t="str">
            <v>EXW</v>
          </cell>
          <cell r="U34" t="str">
            <v>LUC</v>
          </cell>
        </row>
        <row r="35">
          <cell r="D35">
            <v>2</v>
          </cell>
          <cell r="F35">
            <v>397309250717</v>
          </cell>
          <cell r="G35" t="str">
            <v>TEXAS INSTRUMENTS ASIA LIMITED
C/O KWE LOGISTICS (SHENZHEN)</v>
          </cell>
          <cell r="H35" t="str">
            <v>Delivered</v>
          </cell>
          <cell r="I35" t="str">
            <v>ic</v>
          </cell>
          <cell r="J35" t="str">
            <v>Fedex</v>
          </cell>
          <cell r="K35" t="str">
            <v>VVMV</v>
          </cell>
          <cell r="L35" t="str">
            <v>CN</v>
          </cell>
          <cell r="M35">
            <v>46022</v>
          </cell>
          <cell r="N35">
            <v>46028</v>
          </cell>
          <cell r="O35">
            <v>46028</v>
          </cell>
          <cell r="P35">
            <v>107863804860</v>
          </cell>
          <cell r="Q35">
            <v>46027</v>
          </cell>
          <cell r="R35" t="str">
            <v>No inspection</v>
          </cell>
          <cell r="S35">
            <v>6552</v>
          </cell>
          <cell r="T35" t="str">
            <v>EXW</v>
          </cell>
          <cell r="U35" t="str">
            <v>LUC</v>
          </cell>
        </row>
        <row r="36">
          <cell r="D36">
            <v>1.5</v>
          </cell>
          <cell r="F36">
            <v>397349811000</v>
          </cell>
          <cell r="G36" t="str">
            <v>TEXAS INSTRUMENTS ASIA LIMITED
C/O KWE LOGISTICS (SHENZHEN)</v>
          </cell>
          <cell r="H36" t="str">
            <v>Delivered</v>
          </cell>
          <cell r="I36" t="str">
            <v>ic</v>
          </cell>
          <cell r="J36" t="str">
            <v>Fedex</v>
          </cell>
          <cell r="K36" t="str">
            <v>VVMV</v>
          </cell>
          <cell r="L36" t="str">
            <v>CN</v>
          </cell>
          <cell r="M36">
            <v>46024</v>
          </cell>
          <cell r="N36">
            <v>46028</v>
          </cell>
          <cell r="O36">
            <v>46029</v>
          </cell>
          <cell r="P36">
            <v>107864179140</v>
          </cell>
          <cell r="Q36">
            <v>46027</v>
          </cell>
          <cell r="R36" t="str">
            <v>No inspection</v>
          </cell>
          <cell r="S36">
            <v>1350</v>
          </cell>
          <cell r="T36" t="str">
            <v>EXW</v>
          </cell>
          <cell r="U36" t="str">
            <v>HLO</v>
          </cell>
        </row>
        <row r="37">
          <cell r="D37">
            <v>2</v>
          </cell>
          <cell r="F37">
            <v>499175577193</v>
          </cell>
          <cell r="G37" t="str">
            <v>MICRON SEMICONDUCTOR XIAN CO, LTD</v>
          </cell>
          <cell r="H37" t="str">
            <v>Delivered</v>
          </cell>
          <cell r="I37" t="str">
            <v>mem</v>
          </cell>
          <cell r="J37" t="str">
            <v>Fedex</v>
          </cell>
          <cell r="K37" t="str">
            <v>VVMV</v>
          </cell>
          <cell r="L37" t="str">
            <v>CN</v>
          </cell>
          <cell r="M37">
            <v>46027</v>
          </cell>
          <cell r="N37">
            <v>46028</v>
          </cell>
          <cell r="O37">
            <v>46029</v>
          </cell>
          <cell r="P37">
            <v>107864256030</v>
          </cell>
          <cell r="Q37">
            <v>46027</v>
          </cell>
          <cell r="R37" t="str">
            <v>No inspection</v>
          </cell>
          <cell r="S37">
            <v>3600</v>
          </cell>
          <cell r="T37" t="str">
            <v>EXW</v>
          </cell>
          <cell r="U37" t="str">
            <v>PUR</v>
          </cell>
        </row>
        <row r="38">
          <cell r="D38">
            <v>37.5</v>
          </cell>
          <cell r="F38">
            <v>4711904766</v>
          </cell>
          <cell r="G38" t="str">
            <v>AVNET ASIA PTE LTD</v>
          </cell>
          <cell r="H38" t="str">
            <v>Delivered</v>
          </cell>
          <cell r="I38" t="str">
            <v>ind..</v>
          </cell>
          <cell r="J38" t="str">
            <v>Expeditors</v>
          </cell>
          <cell r="K38" t="str">
            <v>VVMV</v>
          </cell>
          <cell r="L38" t="str">
            <v>SG</v>
          </cell>
          <cell r="M38">
            <v>46024</v>
          </cell>
          <cell r="N38">
            <v>46028</v>
          </cell>
          <cell r="O38">
            <v>46028</v>
          </cell>
          <cell r="P38">
            <v>107864403950</v>
          </cell>
          <cell r="Q38">
            <v>46027</v>
          </cell>
          <cell r="R38" t="str">
            <v>No inspection</v>
          </cell>
          <cell r="S38">
            <v>7308.85</v>
          </cell>
          <cell r="T38" t="str">
            <v>FCA</v>
          </cell>
          <cell r="U38" t="str">
            <v>LUC</v>
          </cell>
        </row>
        <row r="39">
          <cell r="D39">
            <v>197</v>
          </cell>
          <cell r="F39">
            <v>4711903841</v>
          </cell>
          <cell r="G39" t="str">
            <v>COILCRAFT SINGAPORE PTE LTD</v>
          </cell>
          <cell r="H39" t="str">
            <v>Delivered</v>
          </cell>
          <cell r="I39" t="str">
            <v>ind..</v>
          </cell>
          <cell r="J39" t="str">
            <v>Expeditors</v>
          </cell>
          <cell r="K39" t="str">
            <v>VVMV</v>
          </cell>
          <cell r="L39" t="str">
            <v>SG</v>
          </cell>
          <cell r="M39">
            <v>46024</v>
          </cell>
          <cell r="N39">
            <v>46028</v>
          </cell>
          <cell r="O39">
            <v>46028</v>
          </cell>
          <cell r="P39">
            <v>107864303520</v>
          </cell>
          <cell r="Q39">
            <v>46027</v>
          </cell>
          <cell r="R39" t="str">
            <v>No inspection</v>
          </cell>
          <cell r="S39">
            <v>32725.75</v>
          </cell>
          <cell r="T39" t="str">
            <v>EXW</v>
          </cell>
          <cell r="U39" t="str">
            <v>LUC</v>
          </cell>
        </row>
        <row r="40">
          <cell r="D40">
            <v>106</v>
          </cell>
          <cell r="F40">
            <v>4915028612</v>
          </cell>
          <cell r="G40" t="str">
            <v>RICHARDSON RFPD HONG KONG LIMITED</v>
          </cell>
          <cell r="H40" t="str">
            <v>Delivered</v>
          </cell>
          <cell r="I40" t="str">
            <v>cap..</v>
          </cell>
          <cell r="J40" t="str">
            <v>Expeditors</v>
          </cell>
          <cell r="K40" t="str">
            <v>VVMV</v>
          </cell>
          <cell r="L40" t="str">
            <v>HK</v>
          </cell>
          <cell r="M40">
            <v>46026</v>
          </cell>
          <cell r="N40">
            <v>46028</v>
          </cell>
          <cell r="O40">
            <v>46028</v>
          </cell>
          <cell r="P40">
            <v>107864275630</v>
          </cell>
          <cell r="Q40">
            <v>46027</v>
          </cell>
          <cell r="R40" t="str">
            <v>No inspection</v>
          </cell>
          <cell r="S40">
            <v>15120</v>
          </cell>
          <cell r="T40" t="str">
            <v>EXW</v>
          </cell>
          <cell r="U40" t="str">
            <v>PUR</v>
          </cell>
        </row>
        <row r="41">
          <cell r="D41">
            <v>1550</v>
          </cell>
          <cell r="F41" t="str">
            <v>LSHHPH2512889</v>
          </cell>
          <cell r="G41" t="str">
            <v>YANCHENG CHARLES POWER TECHNOLOGY GROUP CO., LTD</v>
          </cell>
          <cell r="H41" t="str">
            <v>Delivered</v>
          </cell>
          <cell r="I41" t="str">
            <v>top..</v>
          </cell>
          <cell r="J41" t="str">
            <v>Dolphin(sea)</v>
          </cell>
          <cell r="K41" t="str">
            <v>Dolphin</v>
          </cell>
          <cell r="L41" t="str">
            <v>CN</v>
          </cell>
          <cell r="M41">
            <v>46023</v>
          </cell>
          <cell r="N41">
            <v>46030</v>
          </cell>
          <cell r="O41">
            <v>46031</v>
          </cell>
          <cell r="P41">
            <v>107861937260</v>
          </cell>
          <cell r="Q41">
            <v>46028</v>
          </cell>
          <cell r="R41" t="str">
            <v>No inspection</v>
          </cell>
          <cell r="S41">
            <v>30276</v>
          </cell>
          <cell r="T41" t="str">
            <v>FOB</v>
          </cell>
          <cell r="U41" t="str">
            <v>LUC</v>
          </cell>
        </row>
        <row r="42">
          <cell r="D42">
            <v>2</v>
          </cell>
          <cell r="F42">
            <v>4110332539</v>
          </cell>
          <cell r="G42" t="str">
            <v>Avnet, Inc.</v>
          </cell>
          <cell r="H42" t="str">
            <v>Delivered</v>
          </cell>
          <cell r="I42" t="str">
            <v>con</v>
          </cell>
          <cell r="J42" t="str">
            <v>Expeditors</v>
          </cell>
          <cell r="K42" t="str">
            <v>VVMV</v>
          </cell>
          <cell r="L42" t="str">
            <v>US</v>
          </cell>
          <cell r="M42">
            <v>46020</v>
          </cell>
          <cell r="N42">
            <v>46028</v>
          </cell>
          <cell r="O42">
            <v>46028</v>
          </cell>
          <cell r="P42">
            <v>107864249620</v>
          </cell>
          <cell r="Q42">
            <v>46027</v>
          </cell>
          <cell r="R42" t="str">
            <v>No inspection</v>
          </cell>
          <cell r="S42">
            <v>37.799999999999997</v>
          </cell>
          <cell r="T42" t="str">
            <v>DAP</v>
          </cell>
          <cell r="U42" t="str">
            <v>LUC</v>
          </cell>
        </row>
        <row r="43">
          <cell r="D43">
            <v>6</v>
          </cell>
          <cell r="F43">
            <v>4110332540</v>
          </cell>
          <cell r="G43" t="str">
            <v>Avnet, Inc.</v>
          </cell>
          <cell r="H43" t="str">
            <v>Delivered</v>
          </cell>
          <cell r="I43" t="str">
            <v>con</v>
          </cell>
          <cell r="J43" t="str">
            <v>Expeditors</v>
          </cell>
          <cell r="K43" t="str">
            <v>VVMV</v>
          </cell>
          <cell r="L43" t="str">
            <v>US</v>
          </cell>
          <cell r="M43">
            <v>46020</v>
          </cell>
          <cell r="N43">
            <v>46028</v>
          </cell>
          <cell r="O43">
            <v>46028</v>
          </cell>
          <cell r="P43">
            <v>107864325550</v>
          </cell>
          <cell r="Q43">
            <v>46027</v>
          </cell>
          <cell r="R43" t="str">
            <v>No inspection</v>
          </cell>
          <cell r="S43">
            <v>151.19999999999999</v>
          </cell>
          <cell r="T43" t="str">
            <v>DAP</v>
          </cell>
          <cell r="U43" t="str">
            <v>LUC</v>
          </cell>
        </row>
        <row r="44">
          <cell r="D44">
            <v>74.7</v>
          </cell>
          <cell r="F44">
            <v>5973470860</v>
          </cell>
          <cell r="G44" t="str">
            <v>Future Electronics Inc( Dis) Pte Ltd</v>
          </cell>
          <cell r="H44" t="str">
            <v>Delivered</v>
          </cell>
          <cell r="I44" t="str">
            <v>ind..</v>
          </cell>
          <cell r="J44" t="str">
            <v>DHL</v>
          </cell>
          <cell r="K44" t="str">
            <v>VVMV</v>
          </cell>
          <cell r="L44" t="str">
            <v>SG</v>
          </cell>
          <cell r="M44">
            <v>46024</v>
          </cell>
          <cell r="N44">
            <v>46029</v>
          </cell>
          <cell r="O44">
            <v>46029</v>
          </cell>
          <cell r="P44">
            <v>107867264410</v>
          </cell>
          <cell r="Q44">
            <v>46028</v>
          </cell>
          <cell r="R44" t="str">
            <v>No inspection</v>
          </cell>
          <cell r="S44">
            <v>25548.6</v>
          </cell>
          <cell r="T44" t="str">
            <v>CIF</v>
          </cell>
          <cell r="U44" t="str">
            <v>HLO</v>
          </cell>
        </row>
        <row r="45">
          <cell r="D45">
            <v>3525.94</v>
          </cell>
          <cell r="F45" t="str">
            <v>S00426638</v>
          </cell>
          <cell r="G45" t="str">
            <v>Kunshan Eson Precision Engineering Co.,Ltd.</v>
          </cell>
          <cell r="H45" t="str">
            <v>Delivered</v>
          </cell>
          <cell r="I45" t="str">
            <v>top..</v>
          </cell>
          <cell r="J45" t="str">
            <v>Dolphin(sea)</v>
          </cell>
          <cell r="K45" t="str">
            <v>Dolphin</v>
          </cell>
          <cell r="L45" t="str">
            <v>CN</v>
          </cell>
          <cell r="M45">
            <v>46021</v>
          </cell>
          <cell r="N45">
            <v>46030</v>
          </cell>
          <cell r="O45">
            <v>46030</v>
          </cell>
          <cell r="P45">
            <v>107865575530</v>
          </cell>
          <cell r="Q45">
            <v>46028</v>
          </cell>
          <cell r="R45" t="str">
            <v>No inspection</v>
          </cell>
          <cell r="S45">
            <v>55253.279999999999</v>
          </cell>
          <cell r="T45" t="str">
            <v>EXW</v>
          </cell>
          <cell r="U45" t="str">
            <v>LUC</v>
          </cell>
        </row>
        <row r="46">
          <cell r="D46">
            <v>5</v>
          </cell>
          <cell r="F46">
            <v>488289354096</v>
          </cell>
          <cell r="G46" t="str">
            <v>ARROW VERICAL</v>
          </cell>
          <cell r="H46" t="str">
            <v>Delivered</v>
          </cell>
          <cell r="I46" t="str">
            <v>con</v>
          </cell>
          <cell r="J46" t="str">
            <v>Fedex</v>
          </cell>
          <cell r="K46" t="str">
            <v>VVMV</v>
          </cell>
          <cell r="L46" t="str">
            <v>US</v>
          </cell>
          <cell r="M46">
            <v>46021</v>
          </cell>
          <cell r="N46">
            <v>46030</v>
          </cell>
          <cell r="O46">
            <v>46030</v>
          </cell>
          <cell r="P46">
            <v>107868146301</v>
          </cell>
          <cell r="Q46">
            <v>46028</v>
          </cell>
          <cell r="R46" t="str">
            <v>inspection</v>
          </cell>
          <cell r="S46">
            <v>837.2</v>
          </cell>
          <cell r="T46" t="str">
            <v>CIF</v>
          </cell>
          <cell r="U46" t="str">
            <v>LUC</v>
          </cell>
        </row>
        <row r="47">
          <cell r="D47">
            <v>2321</v>
          </cell>
          <cell r="F47" t="str">
            <v>LNBHPH257750</v>
          </cell>
          <cell r="G47" t="str">
            <v>NINGBO XUSHENG GROUP CO.,LTD</v>
          </cell>
          <cell r="H47" t="str">
            <v>Delivered</v>
          </cell>
          <cell r="I47" t="str">
            <v>top..</v>
          </cell>
          <cell r="J47" t="str">
            <v>Dolphin(sea)</v>
          </cell>
          <cell r="K47" t="str">
            <v>Dolphin</v>
          </cell>
          <cell r="L47" t="str">
            <v>CN</v>
          </cell>
          <cell r="M47">
            <v>46022</v>
          </cell>
          <cell r="N47">
            <v>46030</v>
          </cell>
          <cell r="O47">
            <v>46030</v>
          </cell>
          <cell r="P47">
            <v>107868035440</v>
          </cell>
          <cell r="Q47">
            <v>46028</v>
          </cell>
          <cell r="R47" t="str">
            <v>No inspection</v>
          </cell>
          <cell r="S47">
            <v>32001.599999999999</v>
          </cell>
          <cell r="T47" t="str">
            <v>EXW</v>
          </cell>
          <cell r="U47" t="str">
            <v>LUC</v>
          </cell>
        </row>
        <row r="48">
          <cell r="D48">
            <v>41</v>
          </cell>
          <cell r="F48">
            <v>4110332582</v>
          </cell>
          <cell r="G48" t="str">
            <v>Avnet, Inc.</v>
          </cell>
          <cell r="H48" t="str">
            <v>Delivered</v>
          </cell>
          <cell r="I48" t="str">
            <v>con</v>
          </cell>
          <cell r="J48" t="str">
            <v>Expeditors</v>
          </cell>
          <cell r="K48" t="str">
            <v>VVMV</v>
          </cell>
          <cell r="L48" t="str">
            <v>US</v>
          </cell>
          <cell r="M48">
            <v>46022</v>
          </cell>
          <cell r="N48">
            <v>46029</v>
          </cell>
          <cell r="O48">
            <v>46029</v>
          </cell>
          <cell r="P48">
            <v>107866782700</v>
          </cell>
          <cell r="Q48">
            <v>46028</v>
          </cell>
          <cell r="R48" t="str">
            <v>No inspection</v>
          </cell>
          <cell r="S48">
            <v>8120</v>
          </cell>
          <cell r="T48" t="str">
            <v>DAP</v>
          </cell>
          <cell r="U48" t="str">
            <v>LUC</v>
          </cell>
        </row>
        <row r="49">
          <cell r="D49">
            <v>100</v>
          </cell>
          <cell r="F49">
            <v>494500255136</v>
          </cell>
          <cell r="G49" t="str">
            <v>TE CONNECTIVITY</v>
          </cell>
          <cell r="H49" t="str">
            <v>Delivered</v>
          </cell>
          <cell r="I49" t="str">
            <v>con</v>
          </cell>
          <cell r="J49" t="str">
            <v>Fedex</v>
          </cell>
          <cell r="K49" t="str">
            <v>VVMV</v>
          </cell>
          <cell r="L49" t="str">
            <v>US</v>
          </cell>
          <cell r="M49">
            <v>46014</v>
          </cell>
          <cell r="N49">
            <v>46029</v>
          </cell>
          <cell r="O49">
            <v>46029</v>
          </cell>
          <cell r="P49">
            <v>107867671110</v>
          </cell>
          <cell r="Q49">
            <v>46028</v>
          </cell>
          <cell r="R49" t="str">
            <v>No inspection</v>
          </cell>
          <cell r="S49">
            <v>4935</v>
          </cell>
          <cell r="T49" t="str">
            <v>CIF</v>
          </cell>
          <cell r="U49" t="str">
            <v>LUC</v>
          </cell>
        </row>
        <row r="50">
          <cell r="D50">
            <v>2.5</v>
          </cell>
          <cell r="F50">
            <v>397409702891</v>
          </cell>
          <cell r="G50" t="str">
            <v>VELOCITY ELECTRONICS ASIA PTE LTD</v>
          </cell>
          <cell r="H50" t="str">
            <v>Delivered</v>
          </cell>
          <cell r="I50" t="str">
            <v>ic</v>
          </cell>
          <cell r="J50" t="str">
            <v>Fedex</v>
          </cell>
          <cell r="K50" t="str">
            <v>VVMV</v>
          </cell>
          <cell r="L50" t="str">
            <v>SG</v>
          </cell>
          <cell r="M50">
            <v>46027</v>
          </cell>
          <cell r="N50">
            <v>46029</v>
          </cell>
          <cell r="O50">
            <v>46029</v>
          </cell>
          <cell r="P50">
            <v>107867525510</v>
          </cell>
          <cell r="Q50">
            <v>46028</v>
          </cell>
          <cell r="R50" t="str">
            <v>No inspection</v>
          </cell>
          <cell r="S50">
            <v>1834.53</v>
          </cell>
          <cell r="T50" t="str">
            <v>CIF</v>
          </cell>
          <cell r="U50" t="str">
            <v>LUC</v>
          </cell>
        </row>
        <row r="51">
          <cell r="D51">
            <v>1.5</v>
          </cell>
          <cell r="F51">
            <v>397384769699</v>
          </cell>
          <cell r="G51" t="str">
            <v>O/B ANALOG DEVICES INTERNATIONAL UC
DHL SUPPLY CHAIN MANAGEMENT PHILS</v>
          </cell>
          <cell r="H51" t="str">
            <v>Delivered</v>
          </cell>
          <cell r="I51" t="str">
            <v>ic</v>
          </cell>
          <cell r="J51" t="str">
            <v>Fedex</v>
          </cell>
          <cell r="K51" t="str">
            <v>VVMV</v>
          </cell>
          <cell r="L51" t="str">
            <v>PH</v>
          </cell>
          <cell r="M51">
            <v>46024</v>
          </cell>
          <cell r="N51">
            <v>46029</v>
          </cell>
          <cell r="O51">
            <v>46029</v>
          </cell>
          <cell r="P51">
            <v>107866992550</v>
          </cell>
          <cell r="Q51">
            <v>46028</v>
          </cell>
          <cell r="R51" t="str">
            <v>No inspection</v>
          </cell>
          <cell r="S51">
            <v>6420</v>
          </cell>
          <cell r="T51" t="str">
            <v>EXW</v>
          </cell>
          <cell r="U51" t="str">
            <v>LUC</v>
          </cell>
        </row>
        <row r="52">
          <cell r="D52">
            <v>5</v>
          </cell>
          <cell r="F52">
            <v>397409552055</v>
          </cell>
          <cell r="G52" t="str">
            <v>VELOCITY ELECTRONICS ASIA PTE LTD</v>
          </cell>
          <cell r="H52" t="str">
            <v>Delivered</v>
          </cell>
          <cell r="I52" t="str">
            <v>diode</v>
          </cell>
          <cell r="J52" t="str">
            <v>Fedex</v>
          </cell>
          <cell r="K52" t="str">
            <v>VVMV</v>
          </cell>
          <cell r="L52" t="str">
            <v>SG</v>
          </cell>
          <cell r="M52">
            <v>46027</v>
          </cell>
          <cell r="N52">
            <v>46029</v>
          </cell>
          <cell r="O52">
            <v>46029</v>
          </cell>
          <cell r="P52">
            <v>107866860250</v>
          </cell>
          <cell r="Q52">
            <v>46028</v>
          </cell>
          <cell r="R52" t="str">
            <v>No inspection</v>
          </cell>
          <cell r="S52">
            <v>965.92</v>
          </cell>
          <cell r="T52" t="str">
            <v>CIF</v>
          </cell>
          <cell r="U52" t="str">
            <v>LUC</v>
          </cell>
        </row>
        <row r="53">
          <cell r="D53">
            <v>5.5</v>
          </cell>
          <cell r="F53">
            <v>887560284571</v>
          </cell>
          <cell r="G53" t="str">
            <v>WPG SOUTH ASIA PTE LTD.</v>
          </cell>
          <cell r="H53" t="str">
            <v>Delivered</v>
          </cell>
          <cell r="I53" t="str">
            <v>ic</v>
          </cell>
          <cell r="J53" t="str">
            <v>Fedex</v>
          </cell>
          <cell r="K53" t="str">
            <v>VVMV</v>
          </cell>
          <cell r="L53" t="str">
            <v>HK</v>
          </cell>
          <cell r="M53">
            <v>46024</v>
          </cell>
          <cell r="N53">
            <v>46029</v>
          </cell>
          <cell r="O53">
            <v>46029</v>
          </cell>
          <cell r="P53">
            <v>107867773200</v>
          </cell>
          <cell r="Q53">
            <v>46028</v>
          </cell>
          <cell r="R53" t="str">
            <v>No inspection</v>
          </cell>
          <cell r="S53">
            <v>56925</v>
          </cell>
          <cell r="T53" t="str">
            <v>EXW</v>
          </cell>
          <cell r="U53" t="str">
            <v>LUC</v>
          </cell>
        </row>
        <row r="54">
          <cell r="D54">
            <v>1</v>
          </cell>
          <cell r="F54">
            <v>493206166123</v>
          </cell>
          <cell r="G54" t="str">
            <v>FUTURE ELECTRONICS</v>
          </cell>
          <cell r="H54" t="str">
            <v>Delivered</v>
          </cell>
          <cell r="I54" t="str">
            <v>ind..</v>
          </cell>
          <cell r="J54" t="str">
            <v>Fedex</v>
          </cell>
          <cell r="K54" t="str">
            <v>VVMV</v>
          </cell>
          <cell r="L54" t="str">
            <v>US</v>
          </cell>
          <cell r="M54">
            <v>46024</v>
          </cell>
          <cell r="N54">
            <v>46029</v>
          </cell>
          <cell r="O54">
            <v>46029</v>
          </cell>
          <cell r="P54">
            <v>107867617210</v>
          </cell>
          <cell r="Q54">
            <v>46028</v>
          </cell>
          <cell r="R54" t="str">
            <v>No inspection</v>
          </cell>
          <cell r="S54">
            <v>238.4</v>
          </cell>
          <cell r="T54" t="str">
            <v>CIF</v>
          </cell>
          <cell r="U54" t="str">
            <v>LUC</v>
          </cell>
        </row>
        <row r="55">
          <cell r="D55">
            <v>1.5</v>
          </cell>
          <cell r="F55">
            <v>119209668577</v>
          </cell>
          <cell r="G55" t="str">
            <v>FUTURE ELECTRONICS FICE</v>
          </cell>
          <cell r="H55" t="str">
            <v>Delivered</v>
          </cell>
          <cell r="I55" t="str">
            <v>diode</v>
          </cell>
          <cell r="J55" t="str">
            <v>Fedex</v>
          </cell>
          <cell r="K55" t="str">
            <v>VVMV</v>
          </cell>
          <cell r="L55" t="str">
            <v>US</v>
          </cell>
          <cell r="M55">
            <v>46024</v>
          </cell>
          <cell r="N55">
            <v>46029</v>
          </cell>
          <cell r="O55">
            <v>46029</v>
          </cell>
          <cell r="P55">
            <v>107867400760</v>
          </cell>
          <cell r="Q55">
            <v>46028</v>
          </cell>
          <cell r="R55" t="str">
            <v>No inspection</v>
          </cell>
          <cell r="S55">
            <v>1116.2</v>
          </cell>
          <cell r="T55" t="str">
            <v>CIF</v>
          </cell>
          <cell r="U55" t="str">
            <v>LUC</v>
          </cell>
        </row>
        <row r="56">
          <cell r="D56">
            <v>45.5</v>
          </cell>
          <cell r="F56">
            <v>492501367445</v>
          </cell>
          <cell r="G56" t="str">
            <v>MICROCHIP TECHNOLOGY OPS PHIL CORP</v>
          </cell>
          <cell r="H56" t="str">
            <v>Delivered</v>
          </cell>
          <cell r="I56" t="str">
            <v>ic</v>
          </cell>
          <cell r="J56" t="str">
            <v>Fedex</v>
          </cell>
          <cell r="K56" t="str">
            <v>VVMV</v>
          </cell>
          <cell r="L56" t="str">
            <v>PH</v>
          </cell>
          <cell r="M56">
            <v>46027</v>
          </cell>
          <cell r="N56">
            <v>46029</v>
          </cell>
          <cell r="O56">
            <v>46029</v>
          </cell>
          <cell r="P56">
            <v>107867253650</v>
          </cell>
          <cell r="Q56">
            <v>46028</v>
          </cell>
          <cell r="R56" t="str">
            <v>No inspection</v>
          </cell>
          <cell r="S56">
            <v>325710</v>
          </cell>
          <cell r="T56" t="str">
            <v>EXW</v>
          </cell>
          <cell r="U56" t="str">
            <v>PUR</v>
          </cell>
        </row>
        <row r="57">
          <cell r="D57">
            <v>5.5</v>
          </cell>
          <cell r="F57">
            <v>397197954711</v>
          </cell>
          <cell r="G57" t="str">
            <v>c/o DHL Supply Chain SGP P/L
Texas Instruments Southeast Asia Pt</v>
          </cell>
          <cell r="H57" t="str">
            <v>Delivered</v>
          </cell>
          <cell r="I57" t="str">
            <v>ic</v>
          </cell>
          <cell r="J57" t="str">
            <v>Fedex</v>
          </cell>
          <cell r="K57" t="str">
            <v>VVMV</v>
          </cell>
          <cell r="L57" t="str">
            <v>SG</v>
          </cell>
          <cell r="M57">
            <v>46020</v>
          </cell>
          <cell r="N57">
            <v>46029</v>
          </cell>
          <cell r="O57">
            <v>46029</v>
          </cell>
          <cell r="P57">
            <v>107867916550</v>
          </cell>
          <cell r="Q57">
            <v>46028</v>
          </cell>
          <cell r="R57" t="str">
            <v>No inspection</v>
          </cell>
          <cell r="S57">
            <v>9010</v>
          </cell>
          <cell r="T57" t="str">
            <v>EXW</v>
          </cell>
          <cell r="U57" t="str">
            <v>LUC</v>
          </cell>
        </row>
        <row r="58">
          <cell r="D58">
            <v>2</v>
          </cell>
          <cell r="F58">
            <v>397267242855</v>
          </cell>
          <cell r="G58" t="str">
            <v>c/o DHL Supply Chain SGP P/L
Texas Instruments Southeast Asia Pt</v>
          </cell>
          <cell r="H58" t="str">
            <v>Delivered</v>
          </cell>
          <cell r="I58" t="str">
            <v>ic</v>
          </cell>
          <cell r="J58" t="str">
            <v>Fedex</v>
          </cell>
          <cell r="K58" t="str">
            <v>VVMV</v>
          </cell>
          <cell r="L58" t="str">
            <v>SG</v>
          </cell>
          <cell r="M58">
            <v>46021</v>
          </cell>
          <cell r="N58">
            <v>46029</v>
          </cell>
          <cell r="O58">
            <v>46029</v>
          </cell>
          <cell r="P58">
            <v>107867723130</v>
          </cell>
          <cell r="Q58">
            <v>46028</v>
          </cell>
          <cell r="R58" t="str">
            <v>No inspection</v>
          </cell>
          <cell r="S58">
            <v>412</v>
          </cell>
          <cell r="T58" t="str">
            <v>EXW</v>
          </cell>
          <cell r="U58" t="str">
            <v>LUC</v>
          </cell>
        </row>
        <row r="59">
          <cell r="D59">
            <v>58</v>
          </cell>
          <cell r="F59">
            <v>679865593272</v>
          </cell>
          <cell r="G59" t="str">
            <v>AVNET TECH HK LTD (1602 - HX64)</v>
          </cell>
          <cell r="H59" t="str">
            <v>Delivered</v>
          </cell>
          <cell r="I59" t="str">
            <v>ic</v>
          </cell>
          <cell r="J59" t="str">
            <v>Fedex</v>
          </cell>
          <cell r="K59" t="str">
            <v>VVMV</v>
          </cell>
          <cell r="L59" t="str">
            <v>HK</v>
          </cell>
          <cell r="M59">
            <v>46024</v>
          </cell>
          <cell r="N59">
            <v>46029</v>
          </cell>
          <cell r="O59">
            <v>46029</v>
          </cell>
          <cell r="P59">
            <v>107867180040</v>
          </cell>
          <cell r="Q59">
            <v>46028</v>
          </cell>
          <cell r="R59" t="str">
            <v>No inspection</v>
          </cell>
          <cell r="S59">
            <v>203148</v>
          </cell>
          <cell r="T59" t="str">
            <v>EXW</v>
          </cell>
          <cell r="U59" t="str">
            <v>LUC</v>
          </cell>
        </row>
        <row r="60">
          <cell r="D60">
            <v>1</v>
          </cell>
          <cell r="F60">
            <v>397304122013</v>
          </cell>
          <cell r="G60" t="str">
            <v>c/o DHL Supply Chain SGP P/L
Texas Instruments Southeast Asia Pt</v>
          </cell>
          <cell r="H60" t="str">
            <v>Delivered</v>
          </cell>
          <cell r="I60" t="str">
            <v>diode</v>
          </cell>
          <cell r="J60" t="str">
            <v>Fedex</v>
          </cell>
          <cell r="K60" t="str">
            <v>VVMV</v>
          </cell>
          <cell r="L60" t="str">
            <v>SG</v>
          </cell>
          <cell r="M60">
            <v>46022</v>
          </cell>
          <cell r="N60">
            <v>46029</v>
          </cell>
          <cell r="O60">
            <v>46029</v>
          </cell>
          <cell r="P60">
            <v>107868033600</v>
          </cell>
          <cell r="Q60">
            <v>46028</v>
          </cell>
          <cell r="R60" t="str">
            <v>No inspection</v>
          </cell>
          <cell r="S60">
            <v>720</v>
          </cell>
          <cell r="T60" t="str">
            <v>EXW</v>
          </cell>
          <cell r="U60" t="str">
            <v>EF-</v>
          </cell>
        </row>
        <row r="61">
          <cell r="D61">
            <v>3</v>
          </cell>
          <cell r="F61">
            <v>397306901190</v>
          </cell>
          <cell r="G61" t="str">
            <v>C/O KINTETSU WORLD EXPRESS (CHINA)
TEXAS INSTRUMENTS ASIA LIMITED</v>
          </cell>
          <cell r="H61" t="str">
            <v>Delivered</v>
          </cell>
          <cell r="I61" t="str">
            <v>ic</v>
          </cell>
          <cell r="J61" t="str">
            <v>Fedex</v>
          </cell>
          <cell r="K61" t="str">
            <v>VVMV</v>
          </cell>
          <cell r="L61" t="str">
            <v>CN</v>
          </cell>
          <cell r="M61">
            <v>46022</v>
          </cell>
          <cell r="N61">
            <v>46029</v>
          </cell>
          <cell r="O61">
            <v>46029</v>
          </cell>
          <cell r="P61">
            <v>107867795930</v>
          </cell>
          <cell r="Q61">
            <v>46028</v>
          </cell>
          <cell r="R61" t="str">
            <v>No inspection</v>
          </cell>
          <cell r="S61">
            <v>4263</v>
          </cell>
          <cell r="T61" t="str">
            <v>EXW</v>
          </cell>
          <cell r="U61" t="str">
            <v>LUC</v>
          </cell>
        </row>
        <row r="62">
          <cell r="D62">
            <v>1.5</v>
          </cell>
          <cell r="F62">
            <v>397346259384</v>
          </cell>
          <cell r="G62" t="str">
            <v>c/o DHL Supply Chain SGP P/L
Texas Instruments Southeast Asia Pt</v>
          </cell>
          <cell r="H62" t="str">
            <v>Delivered</v>
          </cell>
          <cell r="I62" t="str">
            <v>ic</v>
          </cell>
          <cell r="J62" t="str">
            <v>Fedex</v>
          </cell>
          <cell r="K62" t="str">
            <v>VVMV</v>
          </cell>
          <cell r="L62" t="str">
            <v>SG</v>
          </cell>
          <cell r="M62">
            <v>46024</v>
          </cell>
          <cell r="N62">
            <v>46029</v>
          </cell>
          <cell r="O62">
            <v>46029</v>
          </cell>
          <cell r="P62">
            <v>107867630030</v>
          </cell>
          <cell r="Q62">
            <v>46028</v>
          </cell>
          <cell r="R62" t="str">
            <v>No inspection</v>
          </cell>
          <cell r="S62">
            <v>540</v>
          </cell>
          <cell r="T62" t="str">
            <v>EXW</v>
          </cell>
          <cell r="U62" t="str">
            <v>HLO</v>
          </cell>
        </row>
        <row r="63">
          <cell r="D63">
            <v>115</v>
          </cell>
          <cell r="F63">
            <v>493641380022</v>
          </cell>
          <cell r="G63" t="str">
            <v>LITTELFUSE FAR EAST PTE</v>
          </cell>
          <cell r="H63" t="str">
            <v>Delivered</v>
          </cell>
          <cell r="I63" t="str">
            <v>fuse</v>
          </cell>
          <cell r="J63" t="str">
            <v>Fedex</v>
          </cell>
          <cell r="K63" t="str">
            <v>VVMV</v>
          </cell>
          <cell r="L63" t="str">
            <v>HK</v>
          </cell>
          <cell r="M63">
            <v>46027</v>
          </cell>
          <cell r="N63">
            <v>46029</v>
          </cell>
          <cell r="O63">
            <v>46029</v>
          </cell>
          <cell r="P63">
            <v>107867952840</v>
          </cell>
          <cell r="Q63">
            <v>46028</v>
          </cell>
          <cell r="R63" t="str">
            <v>No inspection</v>
          </cell>
          <cell r="S63">
            <v>11346.55</v>
          </cell>
          <cell r="T63" t="str">
            <v>EXW</v>
          </cell>
          <cell r="U63" t="str">
            <v>LUC</v>
          </cell>
        </row>
        <row r="64">
          <cell r="D64">
            <v>1</v>
          </cell>
          <cell r="F64">
            <v>887649374593</v>
          </cell>
          <cell r="G64" t="str">
            <v>TING CHEN</v>
          </cell>
          <cell r="H64" t="str">
            <v>Delivered</v>
          </cell>
          <cell r="I64" t="str">
            <v>con..</v>
          </cell>
          <cell r="J64" t="str">
            <v>Fedex</v>
          </cell>
          <cell r="K64" t="str">
            <v>VVMV</v>
          </cell>
          <cell r="L64" t="str">
            <v>TW</v>
          </cell>
          <cell r="M64">
            <v>46028</v>
          </cell>
          <cell r="N64">
            <v>46030</v>
          </cell>
          <cell r="O64">
            <v>46030</v>
          </cell>
          <cell r="P64">
            <v>107871614540</v>
          </cell>
          <cell r="Q64">
            <v>46029</v>
          </cell>
          <cell r="R64" t="str">
            <v>No inspection</v>
          </cell>
          <cell r="S64">
            <v>1</v>
          </cell>
          <cell r="T64" t="str">
            <v>EXW</v>
          </cell>
          <cell r="U64" t="str">
            <v>AIC</v>
          </cell>
        </row>
        <row r="65">
          <cell r="D65">
            <v>40.1</v>
          </cell>
          <cell r="F65">
            <v>8700412744</v>
          </cell>
          <cell r="G65" t="str">
            <v>SHENNAN CIRCUITS CO.,LTD</v>
          </cell>
          <cell r="H65" t="str">
            <v>Delivered</v>
          </cell>
          <cell r="I65" t="str">
            <v>pcb</v>
          </cell>
          <cell r="J65" t="str">
            <v>DHL</v>
          </cell>
          <cell r="K65" t="str">
            <v>VVMV</v>
          </cell>
          <cell r="L65" t="str">
            <v>CN</v>
          </cell>
          <cell r="M65">
            <v>46027</v>
          </cell>
          <cell r="N65">
            <v>46030</v>
          </cell>
          <cell r="O65">
            <v>46030</v>
          </cell>
          <cell r="P65">
            <v>107871745220</v>
          </cell>
          <cell r="Q65">
            <v>46029</v>
          </cell>
          <cell r="R65" t="str">
            <v>No inspection</v>
          </cell>
          <cell r="S65">
            <v>7119.5</v>
          </cell>
          <cell r="T65" t="str">
            <v>CIF</v>
          </cell>
          <cell r="U65" t="str">
            <v>AIC</v>
          </cell>
        </row>
        <row r="66">
          <cell r="D66">
            <v>86</v>
          </cell>
          <cell r="F66">
            <v>396782160377</v>
          </cell>
          <cell r="G66" t="str">
            <v>ROSENBERGER HOCHFREQUENZTECHNIK</v>
          </cell>
          <cell r="H66" t="str">
            <v>Delivered</v>
          </cell>
          <cell r="I66" t="str">
            <v>con..</v>
          </cell>
          <cell r="J66" t="str">
            <v>Fedex</v>
          </cell>
          <cell r="K66" t="str">
            <v>VVMV</v>
          </cell>
          <cell r="L66" t="str">
            <v>DE</v>
          </cell>
          <cell r="M66">
            <v>46007</v>
          </cell>
          <cell r="N66">
            <v>46029</v>
          </cell>
          <cell r="O66">
            <v>46029</v>
          </cell>
          <cell r="P66">
            <v>107866424960</v>
          </cell>
          <cell r="Q66">
            <v>46028</v>
          </cell>
          <cell r="R66" t="str">
            <v>No inspection</v>
          </cell>
          <cell r="S66">
            <v>8204.49</v>
          </cell>
          <cell r="T66" t="str">
            <v>CIF</v>
          </cell>
          <cell r="U66" t="str">
            <v>LUC</v>
          </cell>
        </row>
        <row r="67">
          <cell r="D67">
            <v>4140</v>
          </cell>
          <cell r="F67" t="str">
            <v>S00429483</v>
          </cell>
          <cell r="G67" t="str">
            <v>ENNOVI ADVANCED MOBILITY SOLUTIONS HANGZHOU CO., LTD.</v>
          </cell>
          <cell r="H67" t="str">
            <v>Delivered</v>
          </cell>
          <cell r="I67" t="str">
            <v>con holder</v>
          </cell>
          <cell r="J67" t="str">
            <v>Dolphin(sea)</v>
          </cell>
          <cell r="K67" t="str">
            <v>Dolphin</v>
          </cell>
          <cell r="L67" t="str">
            <v>CN</v>
          </cell>
          <cell r="M67">
            <v>46024</v>
          </cell>
          <cell r="N67">
            <v>46030</v>
          </cell>
          <cell r="O67">
            <v>46031</v>
          </cell>
          <cell r="P67">
            <v>107869992750</v>
          </cell>
          <cell r="Q67">
            <v>46029</v>
          </cell>
          <cell r="R67" t="str">
            <v>No inspection</v>
          </cell>
          <cell r="S67">
            <v>113027.93399999999</v>
          </cell>
          <cell r="T67" t="str">
            <v>EXW</v>
          </cell>
          <cell r="U67" t="str">
            <v>LUC</v>
          </cell>
        </row>
        <row r="68">
          <cell r="D68">
            <v>4.5</v>
          </cell>
          <cell r="F68">
            <v>470186561078</v>
          </cell>
          <cell r="G68" t="str">
            <v>SILICON MOTION INC</v>
          </cell>
          <cell r="H68" t="str">
            <v>Delivered</v>
          </cell>
          <cell r="I68" t="str">
            <v>ic..</v>
          </cell>
          <cell r="J68" t="str">
            <v>Fedex</v>
          </cell>
          <cell r="K68" t="str">
            <v>VVMV</v>
          </cell>
          <cell r="L68" t="str">
            <v>TW</v>
          </cell>
          <cell r="M68">
            <v>46028</v>
          </cell>
          <cell r="N68">
            <v>46030</v>
          </cell>
          <cell r="O68">
            <v>46030</v>
          </cell>
          <cell r="P68">
            <v>107871709040</v>
          </cell>
          <cell r="Q68">
            <v>46029</v>
          </cell>
          <cell r="R68" t="str">
            <v>No inspection</v>
          </cell>
          <cell r="S68">
            <v>20280</v>
          </cell>
          <cell r="T68" t="str">
            <v>EXW</v>
          </cell>
          <cell r="U68" t="str">
            <v>PUR</v>
          </cell>
        </row>
        <row r="69">
          <cell r="D69">
            <v>3.5</v>
          </cell>
          <cell r="F69">
            <v>679865593331</v>
          </cell>
          <cell r="G69" t="str">
            <v>AVNET TECH HK LTD (1602 - HX64)</v>
          </cell>
          <cell r="H69" t="str">
            <v>Delivered</v>
          </cell>
          <cell r="I69" t="str">
            <v>ic..</v>
          </cell>
          <cell r="J69" t="str">
            <v>Fedex</v>
          </cell>
          <cell r="K69" t="str">
            <v>VVMV</v>
          </cell>
          <cell r="L69" t="str">
            <v>HK</v>
          </cell>
          <cell r="M69">
            <v>46027</v>
          </cell>
          <cell r="N69">
            <v>46030</v>
          </cell>
          <cell r="O69">
            <v>46030</v>
          </cell>
          <cell r="P69">
            <v>107870333100</v>
          </cell>
          <cell r="Q69">
            <v>46029</v>
          </cell>
          <cell r="R69" t="str">
            <v>No inspection</v>
          </cell>
          <cell r="S69">
            <v>10692</v>
          </cell>
          <cell r="T69" t="str">
            <v>EXW</v>
          </cell>
          <cell r="U69" t="str">
            <v>LUC</v>
          </cell>
        </row>
        <row r="70">
          <cell r="D70">
            <v>1</v>
          </cell>
          <cell r="F70">
            <v>479730267572</v>
          </cell>
          <cell r="G70" t="str">
            <v>ARROW COMPONENTS MEXICO SA De CV</v>
          </cell>
          <cell r="H70" t="str">
            <v>Delivered</v>
          </cell>
          <cell r="I70" t="str">
            <v>res..</v>
          </cell>
          <cell r="J70" t="str">
            <v>Fedex</v>
          </cell>
          <cell r="K70" t="str">
            <v>VVMV</v>
          </cell>
          <cell r="L70" t="str">
            <v>MX</v>
          </cell>
          <cell r="M70">
            <v>46022</v>
          </cell>
          <cell r="N70">
            <v>46030</v>
          </cell>
          <cell r="O70">
            <v>46030</v>
          </cell>
          <cell r="P70">
            <v>107871522840</v>
          </cell>
          <cell r="Q70">
            <v>46029</v>
          </cell>
          <cell r="R70" t="str">
            <v>No inspection</v>
          </cell>
          <cell r="S70">
            <v>46</v>
          </cell>
          <cell r="T70" t="str">
            <v>CIF</v>
          </cell>
          <cell r="U70" t="str">
            <v>LUC</v>
          </cell>
        </row>
        <row r="71">
          <cell r="D71">
            <v>34</v>
          </cell>
          <cell r="F71">
            <v>409298903198</v>
          </cell>
          <cell r="G71" t="str">
            <v>TTI ELECTRONICS ASIA PTE LTD</v>
          </cell>
          <cell r="H71" t="str">
            <v>Delivered</v>
          </cell>
          <cell r="I71" t="str">
            <v>ind..</v>
          </cell>
          <cell r="J71" t="str">
            <v>Fedex</v>
          </cell>
          <cell r="K71" t="str">
            <v>VVMV</v>
          </cell>
          <cell r="L71" t="str">
            <v>SG</v>
          </cell>
          <cell r="M71">
            <v>46027</v>
          </cell>
          <cell r="N71">
            <v>46030</v>
          </cell>
          <cell r="O71">
            <v>46030</v>
          </cell>
          <cell r="P71">
            <v>107870413600</v>
          </cell>
          <cell r="Q71">
            <v>46029</v>
          </cell>
          <cell r="R71" t="str">
            <v>No inspection</v>
          </cell>
          <cell r="S71">
            <v>7605.1</v>
          </cell>
          <cell r="T71" t="str">
            <v>EXW</v>
          </cell>
          <cell r="U71" t="str">
            <v>LUC</v>
          </cell>
        </row>
        <row r="72">
          <cell r="D72">
            <v>3</v>
          </cell>
          <cell r="F72">
            <v>887611481561</v>
          </cell>
          <cell r="G72" t="str">
            <v>KINJI ELECTRONICS LTD</v>
          </cell>
          <cell r="H72" t="str">
            <v>Delivered</v>
          </cell>
          <cell r="I72" t="str">
            <v>pcb</v>
          </cell>
          <cell r="J72" t="str">
            <v>Fedex</v>
          </cell>
          <cell r="K72" t="str">
            <v>VVMV</v>
          </cell>
          <cell r="L72" t="str">
            <v>HK</v>
          </cell>
          <cell r="M72">
            <v>46027</v>
          </cell>
          <cell r="N72">
            <v>46030</v>
          </cell>
          <cell r="O72">
            <v>46030</v>
          </cell>
          <cell r="P72">
            <v>107871882900</v>
          </cell>
          <cell r="Q72">
            <v>46029</v>
          </cell>
          <cell r="R72" t="str">
            <v>No inspection</v>
          </cell>
          <cell r="S72">
            <v>2000</v>
          </cell>
          <cell r="T72" t="str">
            <v>EXW</v>
          </cell>
          <cell r="U72">
            <v>141</v>
          </cell>
        </row>
        <row r="73">
          <cell r="D73">
            <v>82</v>
          </cell>
          <cell r="F73">
            <v>4711905340</v>
          </cell>
          <cell r="G73" t="str">
            <v>WT MICROELECTRONICS SPORE P/L</v>
          </cell>
          <cell r="H73" t="str">
            <v>Delivered</v>
          </cell>
          <cell r="I73" t="str">
            <v>ic..</v>
          </cell>
          <cell r="J73" t="str">
            <v>Expeditors</v>
          </cell>
          <cell r="K73" t="str">
            <v>VVMV</v>
          </cell>
          <cell r="L73" t="str">
            <v>SG</v>
          </cell>
          <cell r="M73">
            <v>46030</v>
          </cell>
          <cell r="N73">
            <v>46031</v>
          </cell>
          <cell r="O73">
            <v>46034</v>
          </cell>
          <cell r="P73">
            <v>107880283120</v>
          </cell>
          <cell r="Q73">
            <v>46032</v>
          </cell>
          <cell r="R73" t="str">
            <v>No inspection</v>
          </cell>
          <cell r="S73">
            <v>273060</v>
          </cell>
          <cell r="T73" t="str">
            <v>FCA</v>
          </cell>
          <cell r="U73" t="str">
            <v>LUC</v>
          </cell>
        </row>
        <row r="74">
          <cell r="D74">
            <v>1363.3</v>
          </cell>
          <cell r="F74" t="str">
            <v>HWHPH2504293</v>
          </cell>
          <cell r="G74" t="str">
            <v>SUZHOU PIN SHINE TECHNOLOGY CO</v>
          </cell>
          <cell r="H74" t="str">
            <v>Delivered</v>
          </cell>
          <cell r="I74" t="str">
            <v>con</v>
          </cell>
          <cell r="J74" t="str">
            <v>VVMV(sea)</v>
          </cell>
          <cell r="K74" t="str">
            <v>VVMV</v>
          </cell>
          <cell r="L74" t="str">
            <v>CN</v>
          </cell>
          <cell r="M74">
            <v>46028</v>
          </cell>
          <cell r="N74">
            <v>46035</v>
          </cell>
          <cell r="O74">
            <v>46035</v>
          </cell>
          <cell r="P74">
            <v>107879280240</v>
          </cell>
          <cell r="Q74">
            <v>46031</v>
          </cell>
          <cell r="R74" t="str">
            <v>No inspection</v>
          </cell>
          <cell r="S74">
            <v>52015.360000000001</v>
          </cell>
          <cell r="T74" t="str">
            <v>FCA</v>
          </cell>
          <cell r="U74" t="str">
            <v>LUC</v>
          </cell>
        </row>
        <row r="75">
          <cell r="D75">
            <v>0.5</v>
          </cell>
          <cell r="F75">
            <v>397430841647</v>
          </cell>
          <cell r="G75" t="str">
            <v>WURTH ELECTRONICS MIDCOM</v>
          </cell>
          <cell r="H75" t="str">
            <v>Delivered</v>
          </cell>
          <cell r="I75" t="str">
            <v>con..</v>
          </cell>
          <cell r="J75" t="str">
            <v>Fedex</v>
          </cell>
          <cell r="K75" t="str">
            <v>VVMV</v>
          </cell>
          <cell r="L75" t="str">
            <v>US</v>
          </cell>
          <cell r="M75">
            <v>46027</v>
          </cell>
          <cell r="N75">
            <v>46031</v>
          </cell>
          <cell r="O75">
            <v>46031</v>
          </cell>
          <cell r="P75">
            <v>107875545960</v>
          </cell>
          <cell r="Q75">
            <v>46030</v>
          </cell>
          <cell r="R75" t="str">
            <v>No inspection</v>
          </cell>
          <cell r="S75">
            <v>6.2</v>
          </cell>
          <cell r="T75" t="str">
            <v>CIF</v>
          </cell>
          <cell r="U75" t="str">
            <v>LUC</v>
          </cell>
        </row>
        <row r="76">
          <cell r="D76">
            <v>16</v>
          </cell>
          <cell r="F76">
            <v>887655783057</v>
          </cell>
          <cell r="G76" t="str">
            <v>MING CHIANG PRECISION CO., LTD</v>
          </cell>
          <cell r="H76" t="str">
            <v>Delivered</v>
          </cell>
          <cell r="I76" t="str">
            <v>long</v>
          </cell>
          <cell r="J76" t="str">
            <v>Fedex</v>
          </cell>
          <cell r="K76" t="str">
            <v>VVMV</v>
          </cell>
          <cell r="L76" t="str">
            <v>TW</v>
          </cell>
          <cell r="M76">
            <v>46028</v>
          </cell>
          <cell r="N76">
            <v>46031</v>
          </cell>
          <cell r="O76">
            <v>46031</v>
          </cell>
          <cell r="P76">
            <v>107874895330</v>
          </cell>
          <cell r="Q76">
            <v>46030</v>
          </cell>
          <cell r="R76" t="str">
            <v>No inspection</v>
          </cell>
          <cell r="S76">
            <v>835</v>
          </cell>
          <cell r="T76" t="str">
            <v>EXW</v>
          </cell>
          <cell r="U76" t="str">
            <v>LUC</v>
          </cell>
        </row>
        <row r="77">
          <cell r="D77">
            <v>30</v>
          </cell>
          <cell r="F77">
            <v>679865593375</v>
          </cell>
          <cell r="G77" t="str">
            <v>AVNET TECH HK LTD (1602 - HX64)</v>
          </cell>
          <cell r="H77" t="str">
            <v>Delivered</v>
          </cell>
          <cell r="I77" t="str">
            <v>ic..</v>
          </cell>
          <cell r="J77" t="str">
            <v>Fedex</v>
          </cell>
          <cell r="K77" t="str">
            <v>VVMV</v>
          </cell>
          <cell r="L77" t="str">
            <v>HK</v>
          </cell>
          <cell r="M77">
            <v>46028</v>
          </cell>
          <cell r="N77">
            <v>46031</v>
          </cell>
          <cell r="O77">
            <v>46031</v>
          </cell>
          <cell r="P77">
            <v>107874742510</v>
          </cell>
          <cell r="Q77">
            <v>46030</v>
          </cell>
          <cell r="R77" t="str">
            <v>No inspection</v>
          </cell>
          <cell r="S77">
            <v>106920</v>
          </cell>
          <cell r="T77" t="str">
            <v>EXW</v>
          </cell>
          <cell r="U77" t="str">
            <v>LUC</v>
          </cell>
        </row>
        <row r="78">
          <cell r="D78">
            <v>42.5</v>
          </cell>
          <cell r="F78">
            <v>887614077085</v>
          </cell>
          <cell r="G78" t="str">
            <v>DONGGUAN WEIMING EXPORT TRADE</v>
          </cell>
          <cell r="H78" t="str">
            <v>Delivered</v>
          </cell>
          <cell r="I78" t="str">
            <v>heatsink</v>
          </cell>
          <cell r="J78" t="str">
            <v>Fedex</v>
          </cell>
          <cell r="K78" t="str">
            <v>VVMV</v>
          </cell>
          <cell r="L78" t="str">
            <v>CN</v>
          </cell>
          <cell r="M78">
            <v>46027</v>
          </cell>
          <cell r="N78">
            <v>46031</v>
          </cell>
          <cell r="O78">
            <v>46034</v>
          </cell>
          <cell r="P78">
            <v>107875826000</v>
          </cell>
          <cell r="Q78">
            <v>46030</v>
          </cell>
          <cell r="R78" t="str">
            <v>No inspection</v>
          </cell>
          <cell r="S78">
            <v>10892.4</v>
          </cell>
          <cell r="T78" t="str">
            <v>EXW</v>
          </cell>
          <cell r="U78" t="str">
            <v>PUR</v>
          </cell>
        </row>
        <row r="79">
          <cell r="D79">
            <v>19</v>
          </cell>
          <cell r="F79">
            <v>397345462688</v>
          </cell>
          <cell r="G79" t="str">
            <v>C/O KINTETSU WORLD EXPRESS
TEXAS INSTRUMENTS ASIA LIMITED</v>
          </cell>
          <cell r="H79" t="str">
            <v>Delivered</v>
          </cell>
          <cell r="I79" t="str">
            <v>ic..</v>
          </cell>
          <cell r="J79" t="str">
            <v>Fedex</v>
          </cell>
          <cell r="K79" t="str">
            <v>VVMV</v>
          </cell>
          <cell r="L79" t="str">
            <v>CN</v>
          </cell>
          <cell r="M79">
            <v>46024</v>
          </cell>
          <cell r="N79">
            <v>46031</v>
          </cell>
          <cell r="O79">
            <v>46031</v>
          </cell>
          <cell r="P79">
            <v>107874630840</v>
          </cell>
          <cell r="Q79">
            <v>46030</v>
          </cell>
          <cell r="R79" t="str">
            <v>No inspection</v>
          </cell>
          <cell r="S79">
            <v>26040</v>
          </cell>
          <cell r="T79" t="str">
            <v>EXW</v>
          </cell>
          <cell r="U79" t="str">
            <v>LUC</v>
          </cell>
        </row>
        <row r="80">
          <cell r="D80">
            <v>2.5</v>
          </cell>
          <cell r="F80">
            <v>397385156265</v>
          </cell>
          <cell r="G80" t="str">
            <v>c/o DHL Supply Chain SGP P/L
Texas Instruments Southeast Asia Pt</v>
          </cell>
          <cell r="H80" t="str">
            <v>Delivered</v>
          </cell>
          <cell r="I80" t="str">
            <v>ic..</v>
          </cell>
          <cell r="J80" t="str">
            <v>Fedex</v>
          </cell>
          <cell r="K80" t="str">
            <v>VVMV</v>
          </cell>
          <cell r="L80" t="str">
            <v>SG</v>
          </cell>
          <cell r="M80">
            <v>46025</v>
          </cell>
          <cell r="N80">
            <v>46031</v>
          </cell>
          <cell r="O80">
            <v>46031</v>
          </cell>
          <cell r="P80">
            <v>107874735840</v>
          </cell>
          <cell r="Q80">
            <v>46030</v>
          </cell>
          <cell r="R80" t="str">
            <v>No inspection</v>
          </cell>
          <cell r="S80">
            <v>1995</v>
          </cell>
          <cell r="T80" t="str">
            <v>EXW</v>
          </cell>
          <cell r="U80" t="str">
            <v>LUC</v>
          </cell>
        </row>
        <row r="81">
          <cell r="D81">
            <v>2</v>
          </cell>
          <cell r="F81">
            <v>397388821269</v>
          </cell>
          <cell r="G81" t="str">
            <v>c/o DHL Supply Chain SGP P/L
Texas Instruments Southeast Asia Pt</v>
          </cell>
          <cell r="H81" t="str">
            <v>Delivered</v>
          </cell>
          <cell r="I81" t="str">
            <v>ic..</v>
          </cell>
          <cell r="J81" t="str">
            <v>Fedex</v>
          </cell>
          <cell r="K81" t="str">
            <v>VVMV</v>
          </cell>
          <cell r="L81" t="str">
            <v>SG</v>
          </cell>
          <cell r="M81">
            <v>46025</v>
          </cell>
          <cell r="N81">
            <v>46031</v>
          </cell>
          <cell r="O81">
            <v>46031</v>
          </cell>
          <cell r="P81">
            <v>107873961310</v>
          </cell>
          <cell r="Q81">
            <v>46030</v>
          </cell>
          <cell r="R81" t="str">
            <v>No inspection</v>
          </cell>
          <cell r="S81">
            <v>2044</v>
          </cell>
          <cell r="T81" t="str">
            <v>EXW</v>
          </cell>
          <cell r="U81" t="str">
            <v>LUC</v>
          </cell>
        </row>
        <row r="82">
          <cell r="D82">
            <v>2.5</v>
          </cell>
          <cell r="F82">
            <v>397398581793</v>
          </cell>
          <cell r="G82" t="str">
            <v>c/o DHL Supply Chain SGP P/L
Texas Instruments Southeast Asia Pt</v>
          </cell>
          <cell r="H82" t="str">
            <v>Delivered</v>
          </cell>
          <cell r="I82" t="str">
            <v>ic..</v>
          </cell>
          <cell r="J82" t="str">
            <v>Fedex</v>
          </cell>
          <cell r="K82" t="str">
            <v>VVMV</v>
          </cell>
          <cell r="L82" t="str">
            <v>SG</v>
          </cell>
          <cell r="M82">
            <v>46027</v>
          </cell>
          <cell r="N82">
            <v>46031</v>
          </cell>
          <cell r="O82">
            <v>46031</v>
          </cell>
          <cell r="P82">
            <v>107875094020</v>
          </cell>
          <cell r="Q82">
            <v>46030</v>
          </cell>
          <cell r="R82" t="str">
            <v>No inspection</v>
          </cell>
          <cell r="S82">
            <v>2376</v>
          </cell>
          <cell r="T82" t="str">
            <v>EXW</v>
          </cell>
          <cell r="U82" t="str">
            <v>LUC</v>
          </cell>
        </row>
        <row r="83">
          <cell r="D83">
            <v>21</v>
          </cell>
          <cell r="F83">
            <v>438775118327</v>
          </cell>
          <cell r="G83" t="str">
            <v>PANDA LOGISTICS LTD O/B ITG</v>
          </cell>
          <cell r="H83" t="str">
            <v>Delivered</v>
          </cell>
          <cell r="I83" t="str">
            <v>ind..</v>
          </cell>
          <cell r="J83" t="str">
            <v>Fedex</v>
          </cell>
          <cell r="K83" t="str">
            <v>VVMV</v>
          </cell>
          <cell r="L83" t="str">
            <v>HK</v>
          </cell>
          <cell r="M83">
            <v>46028</v>
          </cell>
          <cell r="N83">
            <v>46031</v>
          </cell>
          <cell r="O83">
            <v>46031</v>
          </cell>
          <cell r="P83">
            <v>107875474710</v>
          </cell>
          <cell r="Q83">
            <v>46030</v>
          </cell>
          <cell r="R83" t="str">
            <v>No inspection</v>
          </cell>
          <cell r="S83">
            <v>2520</v>
          </cell>
          <cell r="T83" t="str">
            <v>CIF</v>
          </cell>
          <cell r="U83" t="str">
            <v>AIC</v>
          </cell>
        </row>
        <row r="84">
          <cell r="D84">
            <v>3</v>
          </cell>
          <cell r="F84">
            <v>495270005038</v>
          </cell>
          <cell r="G84" t="str">
            <v>DIGI-KEY ELECTRONICS</v>
          </cell>
          <cell r="H84" t="str">
            <v>Delivered</v>
          </cell>
          <cell r="I84" t="str">
            <v>cap..</v>
          </cell>
          <cell r="J84" t="str">
            <v>Fedex</v>
          </cell>
          <cell r="K84" t="str">
            <v>VVMV</v>
          </cell>
          <cell r="L84" t="str">
            <v>US</v>
          </cell>
          <cell r="M84">
            <v>46027</v>
          </cell>
          <cell r="N84">
            <v>46031</v>
          </cell>
          <cell r="O84">
            <v>46031</v>
          </cell>
          <cell r="P84">
            <v>107874538000</v>
          </cell>
          <cell r="Q84">
            <v>46030</v>
          </cell>
          <cell r="R84" t="str">
            <v>No inspection</v>
          </cell>
          <cell r="S84">
            <v>436.86</v>
          </cell>
          <cell r="T84" t="str">
            <v>CIF</v>
          </cell>
          <cell r="U84">
            <v>174</v>
          </cell>
        </row>
        <row r="85">
          <cell r="D85">
            <v>1906</v>
          </cell>
          <cell r="F85">
            <v>1517348</v>
          </cell>
          <cell r="G85" t="str">
            <v>SHENNAN CIRCUITS CO.,LTD</v>
          </cell>
          <cell r="H85" t="str">
            <v>Delivered</v>
          </cell>
          <cell r="I85" t="str">
            <v>pcb</v>
          </cell>
          <cell r="J85" t="str">
            <v>Dragon</v>
          </cell>
          <cell r="K85" t="str">
            <v>VVMV</v>
          </cell>
          <cell r="L85" t="str">
            <v>CN</v>
          </cell>
          <cell r="M85">
            <v>46027</v>
          </cell>
          <cell r="N85">
            <v>46031</v>
          </cell>
          <cell r="O85">
            <v>46031</v>
          </cell>
          <cell r="P85">
            <v>107875377520</v>
          </cell>
          <cell r="Q85">
            <v>46030</v>
          </cell>
          <cell r="R85" t="str">
            <v>No inspection</v>
          </cell>
          <cell r="S85">
            <v>98949.7</v>
          </cell>
          <cell r="T85" t="str">
            <v>DAP</v>
          </cell>
          <cell r="U85" t="str">
            <v>LUC</v>
          </cell>
        </row>
        <row r="86">
          <cell r="D86">
            <v>221.8</v>
          </cell>
          <cell r="F86">
            <v>3540942753</v>
          </cell>
          <cell r="G86" t="str">
            <v>AVNET- CHANDLER</v>
          </cell>
          <cell r="H86" t="str">
            <v>Delivered</v>
          </cell>
          <cell r="I86" t="str">
            <v>res..</v>
          </cell>
          <cell r="J86" t="str">
            <v>DHL</v>
          </cell>
          <cell r="K86" t="str">
            <v>VVMV</v>
          </cell>
          <cell r="L86" t="str">
            <v>US</v>
          </cell>
          <cell r="N86">
            <v>46035</v>
          </cell>
          <cell r="O86">
            <v>46035</v>
          </cell>
          <cell r="P86" t="str">
            <v>107885434750  107885441050</v>
          </cell>
          <cell r="Q86">
            <v>46034</v>
          </cell>
          <cell r="R86" t="str">
            <v>No inspection</v>
          </cell>
          <cell r="S86">
            <v>131028.89</v>
          </cell>
          <cell r="T86" t="str">
            <v>CIF</v>
          </cell>
          <cell r="U86" t="str">
            <v>LUC</v>
          </cell>
        </row>
        <row r="87">
          <cell r="D87">
            <v>1553.87</v>
          </cell>
          <cell r="F87" t="str">
            <v>PSHPH2610007</v>
          </cell>
          <cell r="G87" t="str">
            <v>GOLD CIRCUIT ELECTRONICS CO., LTD</v>
          </cell>
          <cell r="H87" t="str">
            <v>Delivered</v>
          </cell>
          <cell r="I87" t="str">
            <v>pcb</v>
          </cell>
          <cell r="J87" t="str">
            <v>VVMV(sea)</v>
          </cell>
          <cell r="K87" t="str">
            <v>VVMV</v>
          </cell>
          <cell r="L87" t="str">
            <v>TW</v>
          </cell>
          <cell r="M87">
            <v>46029</v>
          </cell>
          <cell r="N87">
            <v>46036</v>
          </cell>
          <cell r="O87">
            <v>46036</v>
          </cell>
          <cell r="P87">
            <v>107881372100</v>
          </cell>
          <cell r="Q87">
            <v>46032</v>
          </cell>
          <cell r="R87" t="str">
            <v>No inspection</v>
          </cell>
          <cell r="S87">
            <v>256694.61</v>
          </cell>
          <cell r="T87" t="str">
            <v>FOB</v>
          </cell>
          <cell r="U87" t="str">
            <v>HLO</v>
          </cell>
        </row>
        <row r="88">
          <cell r="D88">
            <v>1106.4000000000001</v>
          </cell>
          <cell r="F88" t="str">
            <v>LSHHPH25034631</v>
          </cell>
          <cell r="G88" t="str">
            <v>SUZHOU CURRENT ELECTRIC LIMITED COMPANY</v>
          </cell>
          <cell r="H88" t="str">
            <v>Delivered</v>
          </cell>
          <cell r="I88" t="str">
            <v>top..</v>
          </cell>
          <cell r="J88" t="str">
            <v>Dolphin(sea)</v>
          </cell>
          <cell r="K88" t="str">
            <v>Dolphin</v>
          </cell>
          <cell r="L88" t="str">
            <v>CN</v>
          </cell>
          <cell r="M88">
            <v>46028</v>
          </cell>
          <cell r="N88">
            <v>46035</v>
          </cell>
          <cell r="O88">
            <v>46035</v>
          </cell>
          <cell r="P88">
            <v>107879405430</v>
          </cell>
          <cell r="Q88">
            <v>46031</v>
          </cell>
          <cell r="R88" t="str">
            <v>No inspection</v>
          </cell>
          <cell r="S88">
            <v>22496</v>
          </cell>
          <cell r="T88" t="str">
            <v>EXW</v>
          </cell>
          <cell r="U88" t="str">
            <v>LUC</v>
          </cell>
        </row>
        <row r="89">
          <cell r="D89">
            <v>47.3</v>
          </cell>
          <cell r="F89">
            <v>5973491580</v>
          </cell>
          <cell r="G89" t="str">
            <v>FUTURE ELECTRONICS INC (DIST) PTE LTD</v>
          </cell>
          <cell r="H89" t="str">
            <v>Delivered</v>
          </cell>
          <cell r="I89" t="str">
            <v>res..</v>
          </cell>
          <cell r="J89" t="str">
            <v>DHL</v>
          </cell>
          <cell r="K89" t="str">
            <v>VVMV</v>
          </cell>
          <cell r="L89" t="str">
            <v>SG</v>
          </cell>
          <cell r="M89">
            <v>46029</v>
          </cell>
          <cell r="N89">
            <v>46034</v>
          </cell>
          <cell r="O89">
            <v>46034</v>
          </cell>
          <cell r="P89">
            <v>107878695520</v>
          </cell>
          <cell r="Q89">
            <v>46031</v>
          </cell>
          <cell r="R89" t="str">
            <v>No inspection</v>
          </cell>
          <cell r="S89">
            <v>8436.7800000000007</v>
          </cell>
          <cell r="T89" t="str">
            <v>CIF</v>
          </cell>
          <cell r="U89" t="str">
            <v>LUC</v>
          </cell>
        </row>
        <row r="90">
          <cell r="D90">
            <v>76.5</v>
          </cell>
          <cell r="F90">
            <v>472187343175</v>
          </cell>
          <cell r="G90" t="str">
            <v>HEILIND ASIA PACIFIC (SG) PTE LTD</v>
          </cell>
          <cell r="H90" t="str">
            <v>Delivered</v>
          </cell>
          <cell r="I90" t="str">
            <v>thermal</v>
          </cell>
          <cell r="J90" t="str">
            <v>Fedex</v>
          </cell>
          <cell r="K90" t="str">
            <v>VVMV</v>
          </cell>
          <cell r="L90" t="str">
            <v>SG</v>
          </cell>
          <cell r="M90">
            <v>46029</v>
          </cell>
          <cell r="N90">
            <v>46036</v>
          </cell>
          <cell r="O90">
            <v>46037</v>
          </cell>
          <cell r="P90">
            <v>107889097960</v>
          </cell>
          <cell r="Q90">
            <v>46035</v>
          </cell>
          <cell r="R90" t="str">
            <v>No inspection</v>
          </cell>
          <cell r="S90">
            <v>14118.12</v>
          </cell>
          <cell r="T90" t="str">
            <v>CIF</v>
          </cell>
          <cell r="U90" t="str">
            <v>LUC</v>
          </cell>
        </row>
        <row r="91">
          <cell r="D91">
            <v>1.5</v>
          </cell>
          <cell r="F91">
            <v>397462554942</v>
          </cell>
          <cell r="G91" t="str">
            <v>c/o DHL Supply Chain SGP P/L
Texas Instruments Southeast Asia Pt</v>
          </cell>
          <cell r="H91" t="str">
            <v>Delivered</v>
          </cell>
          <cell r="I91" t="str">
            <v>ic..</v>
          </cell>
          <cell r="J91" t="str">
            <v>Fedex</v>
          </cell>
          <cell r="K91" t="str">
            <v>VVMV</v>
          </cell>
          <cell r="L91" t="str">
            <v>SG</v>
          </cell>
          <cell r="M91">
            <v>46028</v>
          </cell>
          <cell r="N91">
            <v>46034</v>
          </cell>
          <cell r="O91">
            <v>46034</v>
          </cell>
          <cell r="P91">
            <v>107879012510</v>
          </cell>
          <cell r="Q91">
            <v>46031</v>
          </cell>
          <cell r="R91" t="str">
            <v>No inspection</v>
          </cell>
          <cell r="S91">
            <v>2130</v>
          </cell>
          <cell r="T91" t="str">
            <v>EXW</v>
          </cell>
          <cell r="U91" t="str">
            <v>LUC</v>
          </cell>
        </row>
        <row r="92">
          <cell r="D92">
            <v>28</v>
          </cell>
          <cell r="F92">
            <v>397410511210</v>
          </cell>
          <cell r="G92" t="str">
            <v>c/o DHL Supply Chain SGP P/L
Texas Instruments Southeast Asia Pt</v>
          </cell>
          <cell r="H92" t="str">
            <v>Delivered</v>
          </cell>
          <cell r="I92" t="str">
            <v>ic..</v>
          </cell>
          <cell r="J92" t="str">
            <v>Fedex</v>
          </cell>
          <cell r="K92" t="str">
            <v>VVMV</v>
          </cell>
          <cell r="L92" t="str">
            <v>SG</v>
          </cell>
          <cell r="M92">
            <v>46027</v>
          </cell>
          <cell r="N92">
            <v>46034</v>
          </cell>
          <cell r="O92">
            <v>46035</v>
          </cell>
          <cell r="P92">
            <v>107879488030</v>
          </cell>
          <cell r="Q92">
            <v>46031</v>
          </cell>
          <cell r="R92" t="str">
            <v>No inspection</v>
          </cell>
          <cell r="S92">
            <v>14152</v>
          </cell>
          <cell r="T92" t="str">
            <v>EXW</v>
          </cell>
          <cell r="U92" t="str">
            <v>LUC</v>
          </cell>
        </row>
        <row r="93">
          <cell r="D93">
            <v>9.5</v>
          </cell>
          <cell r="F93">
            <v>496268232695</v>
          </cell>
          <cell r="G93" t="str">
            <v>ARROW ELECTRONICS INC
C/O ARROW COMPONENTS (M) SDN BHD</v>
          </cell>
          <cell r="H93" t="str">
            <v>Delivered</v>
          </cell>
          <cell r="I93" t="str">
            <v>cap..</v>
          </cell>
          <cell r="J93" t="str">
            <v>Fedex</v>
          </cell>
          <cell r="K93" t="str">
            <v>VVMV</v>
          </cell>
          <cell r="L93" t="str">
            <v>MY</v>
          </cell>
          <cell r="M93">
            <v>46029</v>
          </cell>
          <cell r="N93">
            <v>46034</v>
          </cell>
          <cell r="O93">
            <v>46034</v>
          </cell>
          <cell r="P93">
            <v>107878889860</v>
          </cell>
          <cell r="Q93">
            <v>46031</v>
          </cell>
          <cell r="R93" t="str">
            <v>No inspection</v>
          </cell>
          <cell r="S93">
            <v>13075.04</v>
          </cell>
          <cell r="T93" t="str">
            <v>CIF</v>
          </cell>
          <cell r="U93" t="str">
            <v>HLO</v>
          </cell>
        </row>
        <row r="94">
          <cell r="D94">
            <v>1</v>
          </cell>
          <cell r="F94">
            <v>397411536449</v>
          </cell>
          <cell r="G94" t="str">
            <v>C/O KINTETSU WORLD EXPRESS
TEXAS INSTRUMENTS ASIA LIMITED</v>
          </cell>
          <cell r="H94" t="str">
            <v>Delivered</v>
          </cell>
          <cell r="I94" t="str">
            <v>ic..</v>
          </cell>
          <cell r="J94" t="str">
            <v>Fedex</v>
          </cell>
          <cell r="K94" t="str">
            <v>VVMV</v>
          </cell>
          <cell r="L94" t="str">
            <v>CN</v>
          </cell>
          <cell r="M94">
            <v>46027</v>
          </cell>
          <cell r="N94">
            <v>46034</v>
          </cell>
          <cell r="O94">
            <v>46035</v>
          </cell>
          <cell r="P94">
            <v>107878978800</v>
          </cell>
          <cell r="Q94">
            <v>46031</v>
          </cell>
          <cell r="R94" t="str">
            <v>No inspection</v>
          </cell>
          <cell r="S94">
            <v>2898</v>
          </cell>
          <cell r="T94" t="str">
            <v>EXW</v>
          </cell>
          <cell r="U94" t="str">
            <v>LUC</v>
          </cell>
        </row>
        <row r="95">
          <cell r="D95">
            <v>8.5</v>
          </cell>
          <cell r="F95">
            <v>887658309137</v>
          </cell>
          <cell r="G95" t="str">
            <v>Element 14 Pte Ltd</v>
          </cell>
          <cell r="H95" t="str">
            <v>Delivered</v>
          </cell>
          <cell r="I95" t="str">
            <v>cap..</v>
          </cell>
          <cell r="J95" t="str">
            <v>Fedex</v>
          </cell>
          <cell r="K95" t="str">
            <v>VVMV</v>
          </cell>
          <cell r="L95" t="str">
            <v>SG</v>
          </cell>
          <cell r="M95">
            <v>46028</v>
          </cell>
          <cell r="N95">
            <v>46034</v>
          </cell>
          <cell r="O95">
            <v>46035</v>
          </cell>
          <cell r="P95">
            <v>107879202060</v>
          </cell>
          <cell r="Q95">
            <v>46031</v>
          </cell>
          <cell r="R95" t="str">
            <v>No inspection</v>
          </cell>
          <cell r="S95">
            <v>18424.45</v>
          </cell>
          <cell r="T95" t="str">
            <v>EXW</v>
          </cell>
          <cell r="U95" t="str">
            <v>LUC</v>
          </cell>
        </row>
        <row r="96">
          <cell r="D96">
            <v>34</v>
          </cell>
          <cell r="F96">
            <v>489801034182</v>
          </cell>
          <cell r="G96" t="str">
            <v>MICROCHIP TECNOLOGY(TH) CO LTD</v>
          </cell>
          <cell r="H96" t="str">
            <v>Delivered</v>
          </cell>
          <cell r="I96" t="str">
            <v>ic..</v>
          </cell>
          <cell r="J96" t="str">
            <v>Fedex</v>
          </cell>
          <cell r="K96" t="str">
            <v>VVMV</v>
          </cell>
          <cell r="L96" t="str">
            <v>TH</v>
          </cell>
          <cell r="M96">
            <v>46029</v>
          </cell>
          <cell r="N96">
            <v>46034</v>
          </cell>
          <cell r="O96">
            <v>46034</v>
          </cell>
          <cell r="P96">
            <v>107879119350</v>
          </cell>
          <cell r="Q96">
            <v>46031</v>
          </cell>
          <cell r="R96" t="str">
            <v>No inspection</v>
          </cell>
          <cell r="S96">
            <v>359572.8</v>
          </cell>
          <cell r="T96" t="str">
            <v>EXW</v>
          </cell>
          <cell r="U96" t="str">
            <v>HLO</v>
          </cell>
        </row>
        <row r="97">
          <cell r="D97">
            <v>1.5</v>
          </cell>
          <cell r="F97">
            <v>397464599973</v>
          </cell>
          <cell r="G97" t="str">
            <v>c/o DHL Supply Chain SGP P/L
Texas Instruments Southeast Asia Pt</v>
          </cell>
          <cell r="H97" t="str">
            <v>Delivered</v>
          </cell>
          <cell r="I97" t="str">
            <v>ic..</v>
          </cell>
          <cell r="J97" t="str">
            <v>Fedex</v>
          </cell>
          <cell r="K97" t="str">
            <v>VVMV</v>
          </cell>
          <cell r="L97" t="str">
            <v>SG</v>
          </cell>
          <cell r="M97">
            <v>46028</v>
          </cell>
          <cell r="N97">
            <v>46034</v>
          </cell>
          <cell r="O97">
            <v>46034</v>
          </cell>
          <cell r="P97">
            <v>107879547530</v>
          </cell>
          <cell r="Q97">
            <v>46031</v>
          </cell>
          <cell r="R97" t="str">
            <v>No inspection</v>
          </cell>
          <cell r="S97">
            <v>13760</v>
          </cell>
          <cell r="T97" t="str">
            <v>EXW</v>
          </cell>
          <cell r="U97" t="str">
            <v>LUC</v>
          </cell>
        </row>
        <row r="98">
          <cell r="D98">
            <v>1</v>
          </cell>
          <cell r="F98">
            <v>397411831456</v>
          </cell>
          <cell r="G98" t="str">
            <v>c/o DHL Supply Chain SGP P/L
Texas Instruments Southeast Asia Pt</v>
          </cell>
          <cell r="H98" t="str">
            <v>Delivered</v>
          </cell>
          <cell r="I98" t="str">
            <v>ic..</v>
          </cell>
          <cell r="J98" t="str">
            <v>Fedex</v>
          </cell>
          <cell r="K98" t="str">
            <v>VVMV</v>
          </cell>
          <cell r="L98" t="str">
            <v>SG</v>
          </cell>
          <cell r="M98">
            <v>46027</v>
          </cell>
          <cell r="N98">
            <v>46034</v>
          </cell>
          <cell r="O98">
            <v>46035</v>
          </cell>
          <cell r="P98">
            <v>107879179810</v>
          </cell>
          <cell r="Q98">
            <v>46031</v>
          </cell>
          <cell r="R98" t="str">
            <v>No inspection</v>
          </cell>
          <cell r="S98">
            <v>3210</v>
          </cell>
          <cell r="T98" t="str">
            <v>EXW</v>
          </cell>
          <cell r="U98" t="str">
            <v>LUC</v>
          </cell>
        </row>
        <row r="99">
          <cell r="D99">
            <v>1.5</v>
          </cell>
          <cell r="F99">
            <v>491637013330</v>
          </cell>
          <cell r="G99" t="str">
            <v>AVNET ASIA PTE LTD TAIWAN BRANCH
C/O AVNET TECHNOLOGY HK LTD</v>
          </cell>
          <cell r="H99" t="str">
            <v>Delivered</v>
          </cell>
          <cell r="I99" t="str">
            <v>ic..</v>
          </cell>
          <cell r="J99" t="str">
            <v>Fedex</v>
          </cell>
          <cell r="K99" t="str">
            <v>VVMV</v>
          </cell>
          <cell r="L99" t="str">
            <v>HK</v>
          </cell>
          <cell r="M99">
            <v>46029</v>
          </cell>
          <cell r="N99">
            <v>46034</v>
          </cell>
          <cell r="O99">
            <v>46034</v>
          </cell>
          <cell r="P99">
            <v>107879298920</v>
          </cell>
          <cell r="Q99">
            <v>46031</v>
          </cell>
          <cell r="R99" t="str">
            <v>No inspection</v>
          </cell>
          <cell r="S99">
            <v>4086.4</v>
          </cell>
          <cell r="T99" t="str">
            <v>EXW</v>
          </cell>
          <cell r="U99" t="str">
            <v>LUC</v>
          </cell>
        </row>
        <row r="100">
          <cell r="D100">
            <v>102.5</v>
          </cell>
          <cell r="F100">
            <v>4110332609</v>
          </cell>
          <cell r="G100" t="str">
            <v>Avnet, Inc.</v>
          </cell>
          <cell r="H100" t="str">
            <v>Delivered</v>
          </cell>
          <cell r="I100" t="str">
            <v>con</v>
          </cell>
          <cell r="J100" t="str">
            <v>Expeditors</v>
          </cell>
          <cell r="K100" t="str">
            <v>VVMV</v>
          </cell>
          <cell r="L100" t="str">
            <v>US</v>
          </cell>
          <cell r="M100">
            <v>46028</v>
          </cell>
          <cell r="N100">
            <v>46035</v>
          </cell>
          <cell r="O100">
            <v>46035</v>
          </cell>
          <cell r="P100">
            <v>107885612440</v>
          </cell>
          <cell r="Q100">
            <v>46034</v>
          </cell>
          <cell r="R100" t="str">
            <v>No inspection</v>
          </cell>
          <cell r="S100">
            <v>16240</v>
          </cell>
          <cell r="T100" t="str">
            <v>DAP</v>
          </cell>
          <cell r="U100" t="str">
            <v>LUC</v>
          </cell>
        </row>
        <row r="101">
          <cell r="D101">
            <v>21</v>
          </cell>
          <cell r="F101">
            <v>4110332644</v>
          </cell>
          <cell r="G101" t="str">
            <v>Avnet, Inc.</v>
          </cell>
          <cell r="H101" t="str">
            <v>Delivered</v>
          </cell>
          <cell r="I101" t="str">
            <v>con</v>
          </cell>
          <cell r="J101" t="str">
            <v>Expeditors</v>
          </cell>
          <cell r="K101" t="str">
            <v>VVMV</v>
          </cell>
          <cell r="L101" t="str">
            <v>US</v>
          </cell>
          <cell r="M101">
            <v>46029</v>
          </cell>
          <cell r="N101">
            <v>46035</v>
          </cell>
          <cell r="O101">
            <v>46035</v>
          </cell>
          <cell r="P101">
            <v>107883896040</v>
          </cell>
          <cell r="Q101">
            <v>46034</v>
          </cell>
          <cell r="R101" t="str">
            <v>No inspection</v>
          </cell>
          <cell r="S101">
            <v>2680.47</v>
          </cell>
          <cell r="T101" t="str">
            <v>DAP</v>
          </cell>
          <cell r="U101" t="str">
            <v>LUC</v>
          </cell>
        </row>
        <row r="102">
          <cell r="D102">
            <v>29</v>
          </cell>
          <cell r="F102">
            <v>4110332645</v>
          </cell>
          <cell r="G102" t="str">
            <v>Avnet, Inc.</v>
          </cell>
          <cell r="H102" t="str">
            <v>Delivered</v>
          </cell>
          <cell r="I102" t="str">
            <v>con</v>
          </cell>
          <cell r="J102" t="str">
            <v>Expeditors</v>
          </cell>
          <cell r="K102" t="str">
            <v>VVMV</v>
          </cell>
          <cell r="L102" t="str">
            <v>US</v>
          </cell>
          <cell r="M102">
            <v>46029</v>
          </cell>
          <cell r="N102">
            <v>46035</v>
          </cell>
          <cell r="O102">
            <v>46035</v>
          </cell>
          <cell r="P102">
            <v>107884396060</v>
          </cell>
          <cell r="Q102">
            <v>46034</v>
          </cell>
          <cell r="R102" t="str">
            <v>No inspection</v>
          </cell>
          <cell r="S102">
            <v>4406.3999999999996</v>
          </cell>
          <cell r="T102" t="str">
            <v>DAP</v>
          </cell>
          <cell r="U102" t="str">
            <v>LUC</v>
          </cell>
        </row>
        <row r="103">
          <cell r="D103">
            <v>1.5</v>
          </cell>
          <cell r="F103">
            <v>4110332646</v>
          </cell>
          <cell r="G103" t="str">
            <v>Avnet, Inc.</v>
          </cell>
          <cell r="H103" t="str">
            <v>Delivered</v>
          </cell>
          <cell r="I103" t="str">
            <v>con</v>
          </cell>
          <cell r="J103" t="str">
            <v>Expeditors</v>
          </cell>
          <cell r="K103" t="str">
            <v>VVMV</v>
          </cell>
          <cell r="L103" t="str">
            <v>US</v>
          </cell>
          <cell r="M103">
            <v>46028</v>
          </cell>
          <cell r="N103">
            <v>46035</v>
          </cell>
          <cell r="O103">
            <v>46035</v>
          </cell>
          <cell r="P103">
            <v>107884409360</v>
          </cell>
          <cell r="Q103">
            <v>46034</v>
          </cell>
          <cell r="R103" t="str">
            <v>No inspection</v>
          </cell>
          <cell r="S103">
            <v>137.55000000000001</v>
          </cell>
          <cell r="T103" t="str">
            <v>DAP</v>
          </cell>
          <cell r="U103" t="str">
            <v>LUC</v>
          </cell>
        </row>
        <row r="104">
          <cell r="D104">
            <v>3.5</v>
          </cell>
          <cell r="F104">
            <v>4110332647</v>
          </cell>
          <cell r="G104" t="str">
            <v>Avnet, Inc.</v>
          </cell>
          <cell r="H104" t="str">
            <v>Delivered</v>
          </cell>
          <cell r="I104" t="str">
            <v>con</v>
          </cell>
          <cell r="J104" t="str">
            <v>Expeditors</v>
          </cell>
          <cell r="K104" t="str">
            <v>VVMV</v>
          </cell>
          <cell r="L104" t="str">
            <v>US</v>
          </cell>
          <cell r="M104">
            <v>46028</v>
          </cell>
          <cell r="N104">
            <v>46035</v>
          </cell>
          <cell r="O104">
            <v>46035</v>
          </cell>
          <cell r="P104">
            <v>107884984910</v>
          </cell>
          <cell r="Q104">
            <v>46034</v>
          </cell>
          <cell r="R104" t="str">
            <v>No inspection</v>
          </cell>
          <cell r="S104">
            <v>331.58</v>
          </cell>
          <cell r="T104" t="str">
            <v>DAP</v>
          </cell>
          <cell r="U104" t="str">
            <v>LUC</v>
          </cell>
        </row>
        <row r="105">
          <cell r="D105">
            <v>3.5</v>
          </cell>
          <cell r="F105">
            <v>4110332648</v>
          </cell>
          <cell r="G105" t="str">
            <v>Avnet, Inc.</v>
          </cell>
          <cell r="H105" t="str">
            <v>Delivered</v>
          </cell>
          <cell r="I105" t="str">
            <v>con</v>
          </cell>
          <cell r="J105" t="str">
            <v>Expeditors</v>
          </cell>
          <cell r="K105" t="str">
            <v>VVMV</v>
          </cell>
          <cell r="L105" t="str">
            <v>US</v>
          </cell>
          <cell r="M105">
            <v>46028</v>
          </cell>
          <cell r="N105">
            <v>46035</v>
          </cell>
          <cell r="O105">
            <v>46035</v>
          </cell>
          <cell r="P105">
            <v>107884892360</v>
          </cell>
          <cell r="Q105">
            <v>46034</v>
          </cell>
          <cell r="R105" t="str">
            <v>No inspection</v>
          </cell>
          <cell r="S105">
            <v>1611.6</v>
          </cell>
          <cell r="T105" t="str">
            <v>DAP</v>
          </cell>
          <cell r="U105" t="str">
            <v>LUC</v>
          </cell>
        </row>
        <row r="106">
          <cell r="D106">
            <v>41</v>
          </cell>
          <cell r="F106">
            <v>4110332655</v>
          </cell>
          <cell r="G106" t="str">
            <v>Avnet, Inc.</v>
          </cell>
          <cell r="H106" t="str">
            <v>Delivered</v>
          </cell>
          <cell r="I106" t="str">
            <v>con</v>
          </cell>
          <cell r="J106" t="str">
            <v>Expeditors</v>
          </cell>
          <cell r="K106" t="str">
            <v>VVMV</v>
          </cell>
          <cell r="L106" t="str">
            <v>US</v>
          </cell>
          <cell r="M106">
            <v>46028</v>
          </cell>
          <cell r="N106">
            <v>46035</v>
          </cell>
          <cell r="O106">
            <v>46035</v>
          </cell>
          <cell r="P106">
            <v>107885763310</v>
          </cell>
          <cell r="Q106">
            <v>46034</v>
          </cell>
          <cell r="R106" t="str">
            <v>No inspection</v>
          </cell>
          <cell r="S106">
            <v>1122.6600000000001</v>
          </cell>
          <cell r="T106" t="str">
            <v>DAP</v>
          </cell>
          <cell r="U106" t="str">
            <v>LUC</v>
          </cell>
        </row>
        <row r="107">
          <cell r="D107">
            <v>257</v>
          </cell>
          <cell r="F107">
            <v>4110332678</v>
          </cell>
          <cell r="G107" t="str">
            <v>Avnet, Inc.</v>
          </cell>
          <cell r="H107" t="str">
            <v>Delivered</v>
          </cell>
          <cell r="I107" t="str">
            <v>con</v>
          </cell>
          <cell r="J107" t="str">
            <v>Expeditors</v>
          </cell>
          <cell r="K107" t="str">
            <v>VVMV</v>
          </cell>
          <cell r="L107" t="str">
            <v>US</v>
          </cell>
          <cell r="M107">
            <v>46029</v>
          </cell>
          <cell r="N107">
            <v>46035</v>
          </cell>
          <cell r="O107">
            <v>46035</v>
          </cell>
          <cell r="P107">
            <v>107884487650</v>
          </cell>
          <cell r="Q107">
            <v>46034</v>
          </cell>
          <cell r="R107" t="str">
            <v>No inspection</v>
          </cell>
          <cell r="S107">
            <v>6751.08</v>
          </cell>
          <cell r="T107" t="str">
            <v>DAP</v>
          </cell>
          <cell r="U107" t="str">
            <v>LUC</v>
          </cell>
        </row>
        <row r="108">
          <cell r="D108">
            <v>23</v>
          </cell>
          <cell r="F108">
            <v>4110332679</v>
          </cell>
          <cell r="G108" t="str">
            <v>Avnet, Inc.</v>
          </cell>
          <cell r="H108" t="str">
            <v>Delivered</v>
          </cell>
          <cell r="I108" t="str">
            <v>con</v>
          </cell>
          <cell r="J108" t="str">
            <v>Expeditors</v>
          </cell>
          <cell r="K108" t="str">
            <v>VVMV</v>
          </cell>
          <cell r="L108" t="str">
            <v>US</v>
          </cell>
          <cell r="M108">
            <v>46029</v>
          </cell>
          <cell r="N108">
            <v>46035</v>
          </cell>
          <cell r="O108">
            <v>46035</v>
          </cell>
          <cell r="P108">
            <v>107885302820</v>
          </cell>
          <cell r="Q108">
            <v>46034</v>
          </cell>
          <cell r="R108" t="str">
            <v>No inspection</v>
          </cell>
          <cell r="S108">
            <v>3767.4</v>
          </cell>
          <cell r="T108" t="str">
            <v>DAP</v>
          </cell>
          <cell r="U108" t="str">
            <v>LUC</v>
          </cell>
        </row>
        <row r="109">
          <cell r="D109">
            <v>7.5</v>
          </cell>
          <cell r="F109">
            <v>4110332680</v>
          </cell>
          <cell r="G109" t="str">
            <v>Avnet, Inc.</v>
          </cell>
          <cell r="H109" t="str">
            <v>Delivered</v>
          </cell>
          <cell r="I109" t="str">
            <v>con</v>
          </cell>
          <cell r="J109" t="str">
            <v>Expeditors</v>
          </cell>
          <cell r="K109" t="str">
            <v>VVMV</v>
          </cell>
          <cell r="L109" t="str">
            <v>US</v>
          </cell>
          <cell r="M109">
            <v>46029</v>
          </cell>
          <cell r="N109">
            <v>46035</v>
          </cell>
          <cell r="O109">
            <v>46035</v>
          </cell>
          <cell r="P109">
            <v>107885321500</v>
          </cell>
          <cell r="Q109">
            <v>46034</v>
          </cell>
          <cell r="R109" t="str">
            <v>No inspection</v>
          </cell>
          <cell r="S109">
            <v>876.79</v>
          </cell>
          <cell r="T109" t="str">
            <v>DAP</v>
          </cell>
          <cell r="U109" t="str">
            <v>LUC</v>
          </cell>
        </row>
        <row r="110">
          <cell r="D110">
            <v>29</v>
          </cell>
          <cell r="F110">
            <v>5539448456</v>
          </cell>
          <cell r="G110" t="str">
            <v>TTI INC</v>
          </cell>
          <cell r="H110" t="str">
            <v>Delivered</v>
          </cell>
          <cell r="I110" t="str">
            <v>res..</v>
          </cell>
          <cell r="J110" t="str">
            <v>DHL</v>
          </cell>
          <cell r="K110" t="str">
            <v>VVMV</v>
          </cell>
          <cell r="L110" t="str">
            <v>US</v>
          </cell>
          <cell r="M110">
            <v>46029</v>
          </cell>
          <cell r="N110">
            <v>46035</v>
          </cell>
          <cell r="O110">
            <v>46035</v>
          </cell>
          <cell r="P110">
            <v>107883737950</v>
          </cell>
          <cell r="Q110">
            <v>46034</v>
          </cell>
          <cell r="R110" t="str">
            <v>No inspection</v>
          </cell>
          <cell r="S110">
            <v>6611.82</v>
          </cell>
          <cell r="T110" t="str">
            <v>CIF</v>
          </cell>
          <cell r="U110" t="str">
            <v>LUC</v>
          </cell>
        </row>
        <row r="111">
          <cell r="D111">
            <v>115.5</v>
          </cell>
          <cell r="F111">
            <v>615498831607</v>
          </cell>
          <cell r="G111" t="str">
            <v>FUTURE ELECTRONICS LTD.</v>
          </cell>
          <cell r="H111" t="str">
            <v>Delivered</v>
          </cell>
          <cell r="I111" t="str">
            <v>con..</v>
          </cell>
          <cell r="J111" t="str">
            <v>Fedex</v>
          </cell>
          <cell r="K111" t="str">
            <v>VVMV</v>
          </cell>
          <cell r="L111" t="str">
            <v>DE</v>
          </cell>
          <cell r="M111">
            <v>46031</v>
          </cell>
          <cell r="N111">
            <v>46036</v>
          </cell>
          <cell r="O111">
            <v>46036</v>
          </cell>
          <cell r="P111">
            <v>107888701430</v>
          </cell>
          <cell r="Q111">
            <v>46035</v>
          </cell>
          <cell r="R111" t="str">
            <v>No inspection</v>
          </cell>
          <cell r="S111">
            <v>15612.8</v>
          </cell>
          <cell r="T111" t="str">
            <v>CIF</v>
          </cell>
          <cell r="U111" t="str">
            <v>LUC</v>
          </cell>
        </row>
        <row r="112">
          <cell r="D112">
            <v>0.5</v>
          </cell>
          <cell r="F112">
            <v>499549039516</v>
          </cell>
          <cell r="G112" t="str">
            <v>SMITH &amp; ASSOCIATES FAR EAST LTD</v>
          </cell>
          <cell r="H112" t="str">
            <v>Delivered</v>
          </cell>
          <cell r="I112" t="str">
            <v>diode</v>
          </cell>
          <cell r="J112" t="str">
            <v>Fedex</v>
          </cell>
          <cell r="K112" t="str">
            <v>VVMV</v>
          </cell>
          <cell r="L112" t="str">
            <v>HK</v>
          </cell>
          <cell r="M112">
            <v>46031</v>
          </cell>
          <cell r="N112">
            <v>46035</v>
          </cell>
          <cell r="O112">
            <v>46035</v>
          </cell>
          <cell r="P112">
            <v>107885490050</v>
          </cell>
          <cell r="Q112">
            <v>46034</v>
          </cell>
          <cell r="R112" t="str">
            <v>No inspection</v>
          </cell>
          <cell r="S112">
            <v>125.27</v>
          </cell>
          <cell r="T112" t="str">
            <v>EXW</v>
          </cell>
          <cell r="U112" t="str">
            <v>LUC</v>
          </cell>
        </row>
        <row r="113">
          <cell r="D113">
            <v>5.5</v>
          </cell>
          <cell r="F113">
            <v>499317319029</v>
          </cell>
          <cell r="G113" t="str">
            <v>ARROW ELECTRONICS, INC.</v>
          </cell>
          <cell r="H113" t="str">
            <v>Delivered</v>
          </cell>
          <cell r="I113" t="str">
            <v>diode..</v>
          </cell>
          <cell r="J113" t="str">
            <v>Fedex</v>
          </cell>
          <cell r="K113" t="str">
            <v>VVMV</v>
          </cell>
          <cell r="L113" t="str">
            <v>US</v>
          </cell>
          <cell r="M113">
            <v>46029</v>
          </cell>
          <cell r="N113">
            <v>46035</v>
          </cell>
          <cell r="O113">
            <v>46035</v>
          </cell>
          <cell r="P113">
            <v>107885959310</v>
          </cell>
          <cell r="Q113">
            <v>46034</v>
          </cell>
          <cell r="R113" t="str">
            <v>No inspection</v>
          </cell>
          <cell r="S113">
            <v>1277.5</v>
          </cell>
          <cell r="T113" t="str">
            <v>CIF</v>
          </cell>
          <cell r="U113" t="str">
            <v>LUC</v>
          </cell>
        </row>
        <row r="114">
          <cell r="D114">
            <v>7</v>
          </cell>
          <cell r="F114">
            <v>887635439554</v>
          </cell>
          <cell r="G114" t="str">
            <v>WURTH ELECTRONICS MIDCOM</v>
          </cell>
          <cell r="H114" t="str">
            <v>Delivered</v>
          </cell>
          <cell r="I114" t="str">
            <v>ind</v>
          </cell>
          <cell r="J114" t="str">
            <v>Fedex</v>
          </cell>
          <cell r="K114" t="str">
            <v>VVMV</v>
          </cell>
          <cell r="L114" t="str">
            <v>US</v>
          </cell>
          <cell r="M114">
            <v>46027</v>
          </cell>
          <cell r="N114">
            <v>46035</v>
          </cell>
          <cell r="O114">
            <v>46035</v>
          </cell>
          <cell r="P114">
            <v>107884683650</v>
          </cell>
          <cell r="Q114">
            <v>46034</v>
          </cell>
          <cell r="R114" t="str">
            <v>No inspection</v>
          </cell>
          <cell r="S114">
            <v>13860</v>
          </cell>
          <cell r="T114" t="str">
            <v>CIF</v>
          </cell>
          <cell r="U114" t="str">
            <v>LUC</v>
          </cell>
        </row>
        <row r="115">
          <cell r="D115">
            <v>1546</v>
          </cell>
          <cell r="F115" t="str">
            <v>SEBL26010025</v>
          </cell>
          <cell r="G115" t="str">
            <v>SHENNAN CIRCUITS CO.,LTD</v>
          </cell>
          <cell r="H115" t="str">
            <v>Delivered</v>
          </cell>
          <cell r="I115" t="str">
            <v>pcb</v>
          </cell>
          <cell r="J115" t="str">
            <v>Dragon</v>
          </cell>
          <cell r="K115" t="str">
            <v>VVMV</v>
          </cell>
          <cell r="L115" t="str">
            <v>CN</v>
          </cell>
          <cell r="M115">
            <v>46030</v>
          </cell>
          <cell r="N115">
            <v>46038</v>
          </cell>
          <cell r="O115">
            <v>46038</v>
          </cell>
          <cell r="P115">
            <v>107890355050</v>
          </cell>
          <cell r="Q115">
            <v>46036</v>
          </cell>
          <cell r="R115" t="str">
            <v>No inspection</v>
          </cell>
          <cell r="S115">
            <v>77669.47</v>
          </cell>
          <cell r="T115" t="str">
            <v>DAP</v>
          </cell>
          <cell r="U115" t="str">
            <v>LUC</v>
          </cell>
        </row>
        <row r="116">
          <cell r="D116">
            <v>336</v>
          </cell>
          <cell r="F116">
            <v>1517403</v>
          </cell>
          <cell r="G116" t="str">
            <v>SHENNAN CIRCUITS CO.,LTD</v>
          </cell>
          <cell r="H116" t="str">
            <v>Delivered</v>
          </cell>
          <cell r="I116" t="str">
            <v>pcb</v>
          </cell>
          <cell r="J116" t="str">
            <v>Dragon</v>
          </cell>
          <cell r="K116" t="str">
            <v>VVMV</v>
          </cell>
          <cell r="L116" t="str">
            <v>CN</v>
          </cell>
          <cell r="M116">
            <v>46033</v>
          </cell>
          <cell r="N116">
            <v>46035</v>
          </cell>
          <cell r="O116">
            <v>46035</v>
          </cell>
          <cell r="P116">
            <v>107885871810</v>
          </cell>
          <cell r="Q116">
            <v>46034</v>
          </cell>
          <cell r="R116" t="str">
            <v>No inspection</v>
          </cell>
          <cell r="S116">
            <v>18375.98</v>
          </cell>
          <cell r="T116" t="str">
            <v>DAP</v>
          </cell>
          <cell r="U116" t="str">
            <v>LUC</v>
          </cell>
        </row>
        <row r="117">
          <cell r="D117">
            <v>25.5</v>
          </cell>
          <cell r="F117">
            <v>497501914726</v>
          </cell>
          <cell r="G117" t="str">
            <v>MOUSER ELECTRONICS INC</v>
          </cell>
          <cell r="H117" t="str">
            <v>Delivered</v>
          </cell>
          <cell r="I117" t="str">
            <v>cap..</v>
          </cell>
          <cell r="J117" t="str">
            <v>Fedex</v>
          </cell>
          <cell r="K117" t="str">
            <v>VVMV</v>
          </cell>
          <cell r="L117" t="str">
            <v>US</v>
          </cell>
          <cell r="M117">
            <v>46030</v>
          </cell>
          <cell r="N117">
            <v>46036</v>
          </cell>
          <cell r="O117">
            <v>46037</v>
          </cell>
          <cell r="P117">
            <v>107889378220</v>
          </cell>
          <cell r="Q117">
            <v>46035</v>
          </cell>
          <cell r="R117" t="str">
            <v>No inspection</v>
          </cell>
          <cell r="S117">
            <v>2741.61</v>
          </cell>
          <cell r="T117" t="str">
            <v>CIF</v>
          </cell>
          <cell r="U117" t="str">
            <v>LUC</v>
          </cell>
        </row>
        <row r="118">
          <cell r="D118">
            <v>1.5</v>
          </cell>
          <cell r="F118">
            <v>397553910195</v>
          </cell>
          <cell r="G118" t="str">
            <v>O/B ANALOG DEVICES INTERNATIONAL UC
DHL SUPPLY CHAIN MANAGEMENT PHILS INC</v>
          </cell>
          <cell r="H118" t="str">
            <v>Delivered</v>
          </cell>
          <cell r="I118" t="str">
            <v>ic..</v>
          </cell>
          <cell r="J118" t="str">
            <v>Fedex</v>
          </cell>
          <cell r="K118" t="str">
            <v>VVMV</v>
          </cell>
          <cell r="L118" t="str">
            <v>PH</v>
          </cell>
          <cell r="M118">
            <v>46030</v>
          </cell>
          <cell r="N118">
            <v>46036</v>
          </cell>
          <cell r="O118">
            <v>46037</v>
          </cell>
          <cell r="P118">
            <v>107888909660</v>
          </cell>
          <cell r="Q118">
            <v>46035</v>
          </cell>
          <cell r="R118" t="str">
            <v>No inspection</v>
          </cell>
          <cell r="S118">
            <v>9000</v>
          </cell>
          <cell r="T118" t="str">
            <v>EXW</v>
          </cell>
          <cell r="U118" t="str">
            <v>LUC</v>
          </cell>
        </row>
        <row r="119">
          <cell r="D119">
            <v>4</v>
          </cell>
          <cell r="F119">
            <v>397590121287</v>
          </cell>
          <cell r="G119" t="str">
            <v>O/B ANALOG DEVICES INTERNATIONAL UC
DHL SUPPLY CHAIN MANAGEMENT PHILS</v>
          </cell>
          <cell r="H119" t="str">
            <v>Delivered</v>
          </cell>
          <cell r="I119" t="str">
            <v>ic..</v>
          </cell>
          <cell r="J119" t="str">
            <v>Fedex</v>
          </cell>
          <cell r="K119" t="str">
            <v>VVMV</v>
          </cell>
          <cell r="L119" t="str">
            <v>PH</v>
          </cell>
          <cell r="M119">
            <v>46030</v>
          </cell>
          <cell r="N119">
            <v>46036</v>
          </cell>
          <cell r="O119">
            <v>46037</v>
          </cell>
          <cell r="P119">
            <v>107888990750</v>
          </cell>
          <cell r="Q119">
            <v>46035</v>
          </cell>
          <cell r="R119" t="str">
            <v>No inspection</v>
          </cell>
          <cell r="S119">
            <v>51150</v>
          </cell>
          <cell r="T119" t="str">
            <v>EXW</v>
          </cell>
          <cell r="U119" t="str">
            <v>HLO</v>
          </cell>
        </row>
        <row r="120">
          <cell r="D120">
            <v>3.5</v>
          </cell>
          <cell r="F120">
            <v>499317340907</v>
          </cell>
          <cell r="G120" t="str">
            <v>ARROW ELECTRONICS, INC.</v>
          </cell>
          <cell r="H120" t="str">
            <v>Delivered</v>
          </cell>
          <cell r="I120" t="str">
            <v>con..</v>
          </cell>
          <cell r="J120" t="str">
            <v>Fedex</v>
          </cell>
          <cell r="K120" t="str">
            <v>VVMV</v>
          </cell>
          <cell r="L120" t="str">
            <v>US</v>
          </cell>
          <cell r="M120">
            <v>46029</v>
          </cell>
          <cell r="N120">
            <v>46036</v>
          </cell>
          <cell r="O120">
            <v>46037</v>
          </cell>
          <cell r="P120">
            <v>107889252550</v>
          </cell>
          <cell r="Q120">
            <v>46035</v>
          </cell>
          <cell r="R120" t="str">
            <v>No inspection</v>
          </cell>
          <cell r="S120">
            <v>416.5</v>
          </cell>
          <cell r="T120" t="str">
            <v>CIF</v>
          </cell>
          <cell r="U120" t="str">
            <v>LUC</v>
          </cell>
        </row>
        <row r="121">
          <cell r="D121">
            <v>0.5</v>
          </cell>
          <cell r="F121">
            <v>419341607178</v>
          </cell>
          <cell r="G121" t="str">
            <v>VENKEL LTD</v>
          </cell>
          <cell r="H121" t="str">
            <v>Delivered</v>
          </cell>
          <cell r="I121" t="str">
            <v>cap..</v>
          </cell>
          <cell r="J121" t="str">
            <v>Fedex</v>
          </cell>
          <cell r="K121" t="str">
            <v>VVMV</v>
          </cell>
          <cell r="L121" t="str">
            <v>US</v>
          </cell>
          <cell r="M121">
            <v>46027</v>
          </cell>
          <cell r="N121">
            <v>46036</v>
          </cell>
          <cell r="O121">
            <v>46037</v>
          </cell>
          <cell r="P121">
            <v>107889410750</v>
          </cell>
          <cell r="Q121">
            <v>46035</v>
          </cell>
          <cell r="R121" t="str">
            <v>No inspection</v>
          </cell>
          <cell r="S121">
            <v>110.6</v>
          </cell>
          <cell r="T121" t="str">
            <v>CIF</v>
          </cell>
          <cell r="U121" t="str">
            <v>EF-</v>
          </cell>
        </row>
        <row r="122">
          <cell r="D122">
            <v>2</v>
          </cell>
          <cell r="F122">
            <v>887789107391</v>
          </cell>
          <cell r="G122" t="str">
            <v>ARROW COMPONENTS (M) SDN BHD
C/O ARROW COMPONENTS (M) SDN BHD</v>
          </cell>
          <cell r="H122" t="str">
            <v>Delivered</v>
          </cell>
          <cell r="I122" t="str">
            <v>tran..</v>
          </cell>
          <cell r="J122" t="str">
            <v>Fedex</v>
          </cell>
          <cell r="K122" t="str">
            <v>VVMV</v>
          </cell>
          <cell r="L122" t="str">
            <v>MY</v>
          </cell>
          <cell r="M122">
            <v>46032</v>
          </cell>
          <cell r="N122">
            <v>46036</v>
          </cell>
          <cell r="O122">
            <v>46037</v>
          </cell>
          <cell r="P122">
            <v>107889235640</v>
          </cell>
          <cell r="Q122">
            <v>46035</v>
          </cell>
          <cell r="R122" t="str">
            <v>No inspection</v>
          </cell>
          <cell r="S122">
            <v>1045</v>
          </cell>
          <cell r="T122" t="str">
            <v>EXW</v>
          </cell>
          <cell r="U122" t="str">
            <v>AIC</v>
          </cell>
        </row>
        <row r="123">
          <cell r="D123">
            <v>0.5</v>
          </cell>
          <cell r="F123">
            <v>887758544538</v>
          </cell>
          <cell r="G123" t="str">
            <v>UNIGEN SHENZHEN</v>
          </cell>
          <cell r="H123" t="str">
            <v>Delivered</v>
          </cell>
          <cell r="I123" t="str">
            <v>con..</v>
          </cell>
          <cell r="J123" t="str">
            <v>Fedex</v>
          </cell>
          <cell r="K123" t="str">
            <v>VVMV</v>
          </cell>
          <cell r="L123" t="str">
            <v>CN</v>
          </cell>
          <cell r="M123">
            <v>46031</v>
          </cell>
          <cell r="N123">
            <v>46036</v>
          </cell>
          <cell r="O123">
            <v>46037</v>
          </cell>
          <cell r="P123">
            <v>107889782930</v>
          </cell>
          <cell r="Q123">
            <v>46035</v>
          </cell>
          <cell r="R123" t="str">
            <v>No inspection</v>
          </cell>
          <cell r="S123">
            <v>2</v>
          </cell>
          <cell r="T123" t="str">
            <v>EXW</v>
          </cell>
          <cell r="U123">
            <v>120</v>
          </cell>
        </row>
        <row r="124">
          <cell r="D124">
            <v>10.5</v>
          </cell>
          <cell r="F124">
            <v>119209671551</v>
          </cell>
          <cell r="G124" t="str">
            <v>FUTURE ELECTRONICS FICE</v>
          </cell>
          <cell r="H124" t="str">
            <v>Delivered</v>
          </cell>
          <cell r="I124" t="str">
            <v>cap..</v>
          </cell>
          <cell r="J124" t="str">
            <v>Fedex</v>
          </cell>
          <cell r="K124" t="str">
            <v>VVMV</v>
          </cell>
          <cell r="L124" t="str">
            <v>US</v>
          </cell>
          <cell r="M124">
            <v>46031</v>
          </cell>
          <cell r="N124">
            <v>46036</v>
          </cell>
          <cell r="O124">
            <v>46037</v>
          </cell>
          <cell r="P124">
            <v>107889074900</v>
          </cell>
          <cell r="Q124">
            <v>46035</v>
          </cell>
          <cell r="R124" t="str">
            <v>No inspection</v>
          </cell>
          <cell r="S124">
            <v>5580</v>
          </cell>
          <cell r="T124" t="str">
            <v>CIF</v>
          </cell>
          <cell r="U124" t="str">
            <v>PUR</v>
          </cell>
        </row>
        <row r="125">
          <cell r="D125">
            <v>1</v>
          </cell>
          <cell r="F125">
            <v>479730277724</v>
          </cell>
          <cell r="G125" t="str">
            <v>ARROW COMPONENTS MEXICO SA De CV</v>
          </cell>
          <cell r="H125" t="str">
            <v>Delivered</v>
          </cell>
          <cell r="I125" t="str">
            <v>ic..</v>
          </cell>
          <cell r="J125" t="str">
            <v>Fedex</v>
          </cell>
          <cell r="K125" t="str">
            <v>VVMV</v>
          </cell>
          <cell r="L125" t="str">
            <v>MX</v>
          </cell>
          <cell r="M125">
            <v>46027</v>
          </cell>
          <cell r="N125">
            <v>46036</v>
          </cell>
          <cell r="O125">
            <v>46037</v>
          </cell>
          <cell r="P125">
            <v>107889486830</v>
          </cell>
          <cell r="Q125">
            <v>46035</v>
          </cell>
          <cell r="R125" t="str">
            <v>No inspection</v>
          </cell>
          <cell r="S125">
            <v>495.03</v>
          </cell>
          <cell r="T125" t="str">
            <v>CIF</v>
          </cell>
          <cell r="U125" t="str">
            <v>PUR</v>
          </cell>
        </row>
        <row r="126">
          <cell r="D126">
            <v>1</v>
          </cell>
          <cell r="F126">
            <v>479730277562</v>
          </cell>
          <cell r="G126" t="str">
            <v>ARROW COMPONENTS MEXICO SA De CV</v>
          </cell>
          <cell r="H126" t="str">
            <v>Delivered</v>
          </cell>
          <cell r="I126" t="str">
            <v>res..</v>
          </cell>
          <cell r="J126" t="str">
            <v>Fedex</v>
          </cell>
          <cell r="K126" t="str">
            <v>VVMV</v>
          </cell>
          <cell r="L126" t="str">
            <v>MX</v>
          </cell>
          <cell r="M126">
            <v>46027</v>
          </cell>
          <cell r="N126">
            <v>46036</v>
          </cell>
          <cell r="O126">
            <v>46037</v>
          </cell>
          <cell r="P126">
            <v>107889352540</v>
          </cell>
          <cell r="Q126">
            <v>46035</v>
          </cell>
          <cell r="R126" t="str">
            <v>No inspection</v>
          </cell>
          <cell r="S126">
            <v>18</v>
          </cell>
          <cell r="T126" t="str">
            <v>CIF</v>
          </cell>
          <cell r="U126" t="str">
            <v>LUC</v>
          </cell>
        </row>
        <row r="127">
          <cell r="D127">
            <v>184</v>
          </cell>
          <cell r="F127">
            <v>397553197324</v>
          </cell>
          <cell r="G127" t="str">
            <v>ROSENBERGER HOCHFREQUENZTECHNIK</v>
          </cell>
          <cell r="H127" t="str">
            <v>Delivered</v>
          </cell>
          <cell r="I127" t="str">
            <v>con..</v>
          </cell>
          <cell r="J127" t="str">
            <v>Fedex</v>
          </cell>
          <cell r="K127" t="str">
            <v>VVMV</v>
          </cell>
          <cell r="L127" t="str">
            <v>HU</v>
          </cell>
          <cell r="M127">
            <v>46029</v>
          </cell>
          <cell r="N127">
            <v>46036</v>
          </cell>
          <cell r="O127">
            <v>46036</v>
          </cell>
          <cell r="P127">
            <v>107889094720</v>
          </cell>
          <cell r="Q127">
            <v>46035</v>
          </cell>
          <cell r="R127" t="str">
            <v>No inspection</v>
          </cell>
          <cell r="S127">
            <v>14585.76</v>
          </cell>
          <cell r="T127" t="str">
            <v>CIF</v>
          </cell>
          <cell r="U127" t="str">
            <v>LUC</v>
          </cell>
        </row>
        <row r="128">
          <cell r="D128">
            <v>2.5</v>
          </cell>
          <cell r="F128">
            <v>479730278113</v>
          </cell>
          <cell r="G128" t="str">
            <v>ARROW COMPONENTS MEXICO SA De CV</v>
          </cell>
          <cell r="H128" t="str">
            <v>Delivered</v>
          </cell>
          <cell r="I128" t="str">
            <v>res..</v>
          </cell>
          <cell r="J128" t="str">
            <v>Fedex</v>
          </cell>
          <cell r="K128" t="str">
            <v>VVMV</v>
          </cell>
          <cell r="L128" t="str">
            <v>MX</v>
          </cell>
          <cell r="M128">
            <v>46027</v>
          </cell>
          <cell r="N128">
            <v>46036</v>
          </cell>
          <cell r="O128">
            <v>46037</v>
          </cell>
          <cell r="P128">
            <v>107889198430</v>
          </cell>
          <cell r="Q128">
            <v>46035</v>
          </cell>
          <cell r="R128" t="str">
            <v>No inspection</v>
          </cell>
          <cell r="S128">
            <v>437</v>
          </cell>
          <cell r="T128" t="str">
            <v>CIF</v>
          </cell>
          <cell r="U128" t="str">
            <v>LUC</v>
          </cell>
        </row>
        <row r="129">
          <cell r="D129">
            <v>0.5</v>
          </cell>
          <cell r="F129">
            <v>479730282951</v>
          </cell>
          <cell r="G129" t="str">
            <v>ARROW COMPONENTS MEXICO SA De CV</v>
          </cell>
          <cell r="H129" t="str">
            <v>Delivered</v>
          </cell>
          <cell r="I129" t="str">
            <v>cap..</v>
          </cell>
          <cell r="J129" t="str">
            <v>Fedex</v>
          </cell>
          <cell r="K129" t="str">
            <v>VVMV</v>
          </cell>
          <cell r="L129" t="str">
            <v>MX</v>
          </cell>
          <cell r="M129">
            <v>46029</v>
          </cell>
          <cell r="N129">
            <v>46036</v>
          </cell>
          <cell r="O129">
            <v>46037</v>
          </cell>
          <cell r="P129">
            <v>107889509820</v>
          </cell>
          <cell r="Q129">
            <v>46035</v>
          </cell>
          <cell r="R129" t="str">
            <v>No inspection</v>
          </cell>
          <cell r="S129">
            <v>14.8</v>
          </cell>
          <cell r="T129" t="str">
            <v>CIF</v>
          </cell>
          <cell r="U129" t="str">
            <v>LUC</v>
          </cell>
        </row>
        <row r="130">
          <cell r="D130">
            <v>1</v>
          </cell>
          <cell r="F130">
            <v>479730277920</v>
          </cell>
          <cell r="G130" t="str">
            <v>ARROW COMPONENTS MEXICO SA De CV</v>
          </cell>
          <cell r="H130" t="str">
            <v>Delivered</v>
          </cell>
          <cell r="I130" t="str">
            <v>res..</v>
          </cell>
          <cell r="J130" t="str">
            <v>Fedex</v>
          </cell>
          <cell r="K130" t="str">
            <v>VVMV</v>
          </cell>
          <cell r="L130" t="str">
            <v>MX</v>
          </cell>
          <cell r="M130">
            <v>46027</v>
          </cell>
          <cell r="N130">
            <v>46036</v>
          </cell>
          <cell r="O130">
            <v>46037</v>
          </cell>
          <cell r="P130">
            <v>107889497550</v>
          </cell>
          <cell r="Q130">
            <v>46035</v>
          </cell>
          <cell r="R130" t="str">
            <v>No inspection</v>
          </cell>
          <cell r="S130">
            <v>54</v>
          </cell>
          <cell r="T130" t="str">
            <v>CIF</v>
          </cell>
          <cell r="U130" t="str">
            <v>LUC</v>
          </cell>
        </row>
        <row r="131">
          <cell r="D131">
            <v>1</v>
          </cell>
          <cell r="F131">
            <v>479730280319</v>
          </cell>
          <cell r="G131" t="str">
            <v>ARROW COMPONENTS MEXICO SA De CV</v>
          </cell>
          <cell r="H131" t="str">
            <v>Delivered</v>
          </cell>
          <cell r="I131" t="str">
            <v>ic..</v>
          </cell>
          <cell r="J131" t="str">
            <v>Fedex</v>
          </cell>
          <cell r="K131" t="str">
            <v>VVMV</v>
          </cell>
          <cell r="L131" t="str">
            <v>MX</v>
          </cell>
          <cell r="M131">
            <v>46028</v>
          </cell>
          <cell r="N131">
            <v>46036</v>
          </cell>
          <cell r="O131">
            <v>46037</v>
          </cell>
          <cell r="P131">
            <v>107889411340</v>
          </cell>
          <cell r="Q131">
            <v>46035</v>
          </cell>
          <cell r="R131" t="str">
            <v>No inspection</v>
          </cell>
          <cell r="S131">
            <v>575</v>
          </cell>
          <cell r="T131" t="str">
            <v>CIF</v>
          </cell>
          <cell r="U131" t="str">
            <v>HLO</v>
          </cell>
        </row>
        <row r="132">
          <cell r="D132">
            <v>1</v>
          </cell>
          <cell r="F132">
            <v>479730283009</v>
          </cell>
          <cell r="G132" t="str">
            <v>ARROW COMPONENTS MEXICO SA De CV</v>
          </cell>
          <cell r="H132" t="str">
            <v>Delivered</v>
          </cell>
          <cell r="I132" t="str">
            <v>res..</v>
          </cell>
          <cell r="J132" t="str">
            <v>Fedex</v>
          </cell>
          <cell r="K132" t="str">
            <v>VVMV</v>
          </cell>
          <cell r="L132" t="str">
            <v>MX</v>
          </cell>
          <cell r="M132">
            <v>46029</v>
          </cell>
          <cell r="N132">
            <v>46036</v>
          </cell>
          <cell r="O132">
            <v>46037</v>
          </cell>
          <cell r="P132">
            <v>107889251300</v>
          </cell>
          <cell r="Q132">
            <v>46035</v>
          </cell>
          <cell r="R132" t="str">
            <v>No inspection</v>
          </cell>
          <cell r="S132">
            <v>143</v>
          </cell>
          <cell r="T132" t="str">
            <v>CIF</v>
          </cell>
          <cell r="U132" t="str">
            <v>LUC</v>
          </cell>
        </row>
        <row r="133">
          <cell r="D133">
            <v>2</v>
          </cell>
          <cell r="F133">
            <v>479730287324</v>
          </cell>
          <cell r="G133" t="str">
            <v>ARROW COMPONENTS MEXICO SA De CV</v>
          </cell>
          <cell r="H133" t="str">
            <v>Delivered</v>
          </cell>
          <cell r="I133" t="str">
            <v>res..</v>
          </cell>
          <cell r="J133" t="str">
            <v>Fedex</v>
          </cell>
          <cell r="K133" t="str">
            <v>VVMV</v>
          </cell>
          <cell r="L133" t="str">
            <v>MX</v>
          </cell>
          <cell r="M133">
            <v>46031</v>
          </cell>
          <cell r="N133">
            <v>46036</v>
          </cell>
          <cell r="O133">
            <v>46037</v>
          </cell>
          <cell r="P133">
            <v>107889543310</v>
          </cell>
          <cell r="Q133">
            <v>46035</v>
          </cell>
          <cell r="R133" t="str">
            <v>No inspection</v>
          </cell>
          <cell r="S133">
            <v>253</v>
          </cell>
          <cell r="T133" t="str">
            <v>CIF</v>
          </cell>
          <cell r="U133" t="str">
            <v>LUC</v>
          </cell>
        </row>
        <row r="134">
          <cell r="D134">
            <v>2</v>
          </cell>
          <cell r="F134">
            <v>479730285435</v>
          </cell>
          <cell r="G134" t="str">
            <v>ARROW COMPONENTS MEXICO SA De CV</v>
          </cell>
          <cell r="H134" t="str">
            <v>Delivered</v>
          </cell>
          <cell r="I134" t="str">
            <v>res..</v>
          </cell>
          <cell r="J134" t="str">
            <v>Fedex</v>
          </cell>
          <cell r="K134" t="str">
            <v>VVMV</v>
          </cell>
          <cell r="L134" t="str">
            <v>MX</v>
          </cell>
          <cell r="M134">
            <v>46030</v>
          </cell>
          <cell r="N134">
            <v>46036</v>
          </cell>
          <cell r="O134">
            <v>46037</v>
          </cell>
          <cell r="P134">
            <v>107889556130</v>
          </cell>
          <cell r="Q134">
            <v>46035</v>
          </cell>
          <cell r="R134" t="str">
            <v>No inspection</v>
          </cell>
          <cell r="S134">
            <v>299</v>
          </cell>
          <cell r="T134" t="str">
            <v>CIF</v>
          </cell>
          <cell r="U134" t="str">
            <v>LUC</v>
          </cell>
        </row>
        <row r="135">
          <cell r="D135">
            <v>1</v>
          </cell>
          <cell r="F135">
            <v>479730284921</v>
          </cell>
          <cell r="G135" t="str">
            <v>ARROW COMPONENTS MEXICO SA De CV</v>
          </cell>
          <cell r="H135" t="str">
            <v>Delivered</v>
          </cell>
          <cell r="I135" t="str">
            <v>ic..</v>
          </cell>
          <cell r="J135" t="str">
            <v>Fedex</v>
          </cell>
          <cell r="K135" t="str">
            <v>VVMV</v>
          </cell>
          <cell r="L135" t="str">
            <v>MX</v>
          </cell>
          <cell r="M135">
            <v>46030</v>
          </cell>
          <cell r="N135">
            <v>46036</v>
          </cell>
          <cell r="O135">
            <v>46037</v>
          </cell>
          <cell r="P135">
            <v>107889544930</v>
          </cell>
          <cell r="Q135">
            <v>46035</v>
          </cell>
          <cell r="R135" t="str">
            <v>No inspection</v>
          </cell>
          <cell r="S135">
            <v>575</v>
          </cell>
          <cell r="T135" t="str">
            <v>CIF</v>
          </cell>
          <cell r="U135" t="str">
            <v>PUR</v>
          </cell>
        </row>
        <row r="136">
          <cell r="D136">
            <v>45.5</v>
          </cell>
          <cell r="F136">
            <v>499553409745</v>
          </cell>
          <cell r="G136" t="str">
            <v>PENCOM LTD</v>
          </cell>
          <cell r="H136" t="str">
            <v>Delivered</v>
          </cell>
          <cell r="I136" t="str">
            <v>mech</v>
          </cell>
          <cell r="J136" t="str">
            <v>Fedex</v>
          </cell>
          <cell r="K136" t="str">
            <v>VVMV</v>
          </cell>
          <cell r="L136" t="str">
            <v>HK</v>
          </cell>
          <cell r="M136">
            <v>46031</v>
          </cell>
          <cell r="N136">
            <v>46036</v>
          </cell>
          <cell r="O136">
            <v>46037</v>
          </cell>
          <cell r="P136">
            <v>107889352910</v>
          </cell>
          <cell r="Q136">
            <v>46035</v>
          </cell>
          <cell r="R136" t="str">
            <v>No inspection</v>
          </cell>
          <cell r="S136">
            <v>2205.9</v>
          </cell>
          <cell r="T136" t="str">
            <v>EXW</v>
          </cell>
          <cell r="U136" t="str">
            <v>HLO</v>
          </cell>
        </row>
        <row r="137">
          <cell r="D137">
            <v>6</v>
          </cell>
          <cell r="F137">
            <v>887726596286</v>
          </cell>
          <cell r="G137" t="str">
            <v>FUTURETECH COMPONENTS LTD</v>
          </cell>
          <cell r="H137" t="str">
            <v>Delivered</v>
          </cell>
          <cell r="I137" t="str">
            <v>tran..</v>
          </cell>
          <cell r="J137" t="str">
            <v>Fedex</v>
          </cell>
          <cell r="K137" t="str">
            <v>VVMV</v>
          </cell>
          <cell r="L137" t="str">
            <v>HK</v>
          </cell>
          <cell r="M137">
            <v>46030</v>
          </cell>
          <cell r="N137">
            <v>46036</v>
          </cell>
          <cell r="O137">
            <v>46037</v>
          </cell>
          <cell r="P137">
            <v>107889625210</v>
          </cell>
          <cell r="Q137">
            <v>46035</v>
          </cell>
          <cell r="R137" t="str">
            <v>No inspection</v>
          </cell>
          <cell r="S137">
            <v>15534.8</v>
          </cell>
          <cell r="T137" t="str">
            <v>EXW</v>
          </cell>
          <cell r="U137" t="str">
            <v>LUC</v>
          </cell>
        </row>
        <row r="138">
          <cell r="D138">
            <v>24</v>
          </cell>
          <cell r="F138">
            <v>887759552988</v>
          </cell>
          <cell r="G138" t="str">
            <v>FLEXTRONICS INTERNATIONAL GMBH</v>
          </cell>
          <cell r="H138" t="str">
            <v>Delivered</v>
          </cell>
          <cell r="I138" t="str">
            <v>ic..</v>
          </cell>
          <cell r="J138" t="str">
            <v>Fedex</v>
          </cell>
          <cell r="K138" t="str">
            <v>VVMV</v>
          </cell>
          <cell r="L138" t="str">
            <v>AT</v>
          </cell>
          <cell r="M138">
            <v>46031</v>
          </cell>
          <cell r="N138">
            <v>46036</v>
          </cell>
          <cell r="O138">
            <v>46037</v>
          </cell>
          <cell r="P138">
            <v>107889654610</v>
          </cell>
          <cell r="Q138">
            <v>46035</v>
          </cell>
          <cell r="R138" t="str">
            <v>No inspection</v>
          </cell>
          <cell r="S138">
            <v>124125</v>
          </cell>
          <cell r="T138" t="str">
            <v>CIF</v>
          </cell>
          <cell r="U138" t="str">
            <v>LUC</v>
          </cell>
        </row>
        <row r="139">
          <cell r="D139">
            <v>6</v>
          </cell>
          <cell r="F139">
            <v>409298903820</v>
          </cell>
          <cell r="G139" t="str">
            <v>TTI ELECTRONICS ASIA PTE LTD</v>
          </cell>
          <cell r="H139" t="str">
            <v>Delivered</v>
          </cell>
          <cell r="I139" t="str">
            <v>cap..</v>
          </cell>
          <cell r="J139" t="str">
            <v>Fedex</v>
          </cell>
          <cell r="K139" t="str">
            <v>VVMV</v>
          </cell>
          <cell r="L139" t="str">
            <v>SG</v>
          </cell>
          <cell r="M139">
            <v>46031</v>
          </cell>
          <cell r="N139">
            <v>46036</v>
          </cell>
          <cell r="O139">
            <v>46037</v>
          </cell>
          <cell r="P139">
            <v>107889650410</v>
          </cell>
          <cell r="Q139">
            <v>46035</v>
          </cell>
          <cell r="R139" t="str">
            <v>No inspection</v>
          </cell>
          <cell r="S139">
            <v>1607.95</v>
          </cell>
          <cell r="T139" t="str">
            <v>EXW</v>
          </cell>
          <cell r="U139" t="str">
            <v>LUC</v>
          </cell>
        </row>
        <row r="140">
          <cell r="D140">
            <v>9</v>
          </cell>
          <cell r="F140">
            <v>887760189793</v>
          </cell>
          <cell r="G140" t="str">
            <v>VITAL SYSTEM TECHNOLOGY PTE LTD</v>
          </cell>
          <cell r="H140" t="str">
            <v>Delivered</v>
          </cell>
          <cell r="I140" t="str">
            <v>res..</v>
          </cell>
          <cell r="J140" t="str">
            <v>Fedex</v>
          </cell>
          <cell r="K140" t="str">
            <v>VVMV</v>
          </cell>
          <cell r="L140" t="str">
            <v>SG</v>
          </cell>
          <cell r="M140">
            <v>46031</v>
          </cell>
          <cell r="N140">
            <v>46036</v>
          </cell>
          <cell r="O140">
            <v>46037</v>
          </cell>
          <cell r="P140">
            <v>107889429910</v>
          </cell>
          <cell r="Q140">
            <v>46035</v>
          </cell>
          <cell r="R140" t="str">
            <v>No inspection</v>
          </cell>
          <cell r="S140">
            <v>1405.26</v>
          </cell>
          <cell r="T140" t="str">
            <v>EXW</v>
          </cell>
          <cell r="U140">
            <v>121</v>
          </cell>
        </row>
        <row r="141">
          <cell r="D141">
            <v>2.5</v>
          </cell>
          <cell r="F141">
            <v>493891683615</v>
          </cell>
          <cell r="G141" t="str">
            <v>FIERY, LLC.</v>
          </cell>
          <cell r="H141" t="str">
            <v>Delivered</v>
          </cell>
          <cell r="I141" t="str">
            <v>ic..</v>
          </cell>
          <cell r="J141" t="str">
            <v>Fedex</v>
          </cell>
          <cell r="K141" t="str">
            <v>VVMV</v>
          </cell>
          <cell r="L141" t="str">
            <v>US</v>
          </cell>
          <cell r="M141">
            <v>46028</v>
          </cell>
          <cell r="N141">
            <v>46036</v>
          </cell>
          <cell r="O141">
            <v>46037</v>
          </cell>
          <cell r="P141">
            <v>107889751210</v>
          </cell>
          <cell r="Q141">
            <v>46035</v>
          </cell>
          <cell r="R141" t="str">
            <v>No inspection</v>
          </cell>
          <cell r="S141">
            <v>9445</v>
          </cell>
          <cell r="T141" t="str">
            <v>CIF</v>
          </cell>
          <cell r="U141" t="str">
            <v>EF-</v>
          </cell>
        </row>
        <row r="142">
          <cell r="D142">
            <v>13.5</v>
          </cell>
          <cell r="F142">
            <v>679865593570</v>
          </cell>
          <cell r="G142" t="str">
            <v>AVNET TECH HK LTD (1602 - HX64)</v>
          </cell>
          <cell r="H142" t="str">
            <v>Delivered</v>
          </cell>
          <cell r="I142" t="str">
            <v>ic..</v>
          </cell>
          <cell r="J142" t="str">
            <v>Fedex</v>
          </cell>
          <cell r="K142" t="str">
            <v>VVMV</v>
          </cell>
          <cell r="L142" t="str">
            <v>HK</v>
          </cell>
          <cell r="M142">
            <v>46031</v>
          </cell>
          <cell r="N142">
            <v>46036</v>
          </cell>
          <cell r="O142">
            <v>46037</v>
          </cell>
          <cell r="P142">
            <v>107889656600</v>
          </cell>
          <cell r="Q142">
            <v>46035</v>
          </cell>
          <cell r="R142" t="str">
            <v>No inspection</v>
          </cell>
          <cell r="S142">
            <v>42768</v>
          </cell>
          <cell r="T142" t="str">
            <v>EXW</v>
          </cell>
          <cell r="U142" t="str">
            <v>LUC</v>
          </cell>
        </row>
        <row r="143">
          <cell r="D143">
            <v>2.5</v>
          </cell>
          <cell r="F143">
            <v>430998650844</v>
          </cell>
          <cell r="G143" t="str">
            <v>MICROCHIP TECNOLOGY(TH) CO LTD</v>
          </cell>
          <cell r="H143" t="str">
            <v>Delivered</v>
          </cell>
          <cell r="I143" t="str">
            <v>cry..</v>
          </cell>
          <cell r="J143" t="str">
            <v>Fedex</v>
          </cell>
          <cell r="K143" t="str">
            <v>VVMV</v>
          </cell>
          <cell r="L143" t="str">
            <v>TH</v>
          </cell>
          <cell r="M143">
            <v>46031</v>
          </cell>
          <cell r="N143">
            <v>46036</v>
          </cell>
          <cell r="O143">
            <v>46037</v>
          </cell>
          <cell r="P143">
            <v>107889704420</v>
          </cell>
          <cell r="Q143">
            <v>46035</v>
          </cell>
          <cell r="R143" t="str">
            <v>No inspection</v>
          </cell>
          <cell r="S143">
            <v>4527.6000000000004</v>
          </cell>
          <cell r="T143" t="str">
            <v>EXW</v>
          </cell>
          <cell r="U143" t="str">
            <v>HLO</v>
          </cell>
        </row>
        <row r="144">
          <cell r="D144">
            <v>5</v>
          </cell>
          <cell r="F144">
            <v>397552809788</v>
          </cell>
          <cell r="G144" t="str">
            <v>c/o DHL Supply Chain SGP P/L
Texas Instruments Southeast Asia Pt</v>
          </cell>
          <cell r="H144" t="str">
            <v>Delivered</v>
          </cell>
          <cell r="I144" t="str">
            <v>ic..</v>
          </cell>
          <cell r="J144" t="str">
            <v>Fedex</v>
          </cell>
          <cell r="K144" t="str">
            <v>VVMV</v>
          </cell>
          <cell r="L144" t="str">
            <v>SG</v>
          </cell>
          <cell r="M144">
            <v>46030</v>
          </cell>
          <cell r="N144">
            <v>46036</v>
          </cell>
          <cell r="O144">
            <v>46037</v>
          </cell>
          <cell r="P144">
            <v>107889715030</v>
          </cell>
          <cell r="Q144">
            <v>46035</v>
          </cell>
          <cell r="R144" t="str">
            <v>No inspection</v>
          </cell>
          <cell r="S144">
            <v>55040</v>
          </cell>
          <cell r="T144" t="str">
            <v>EXW</v>
          </cell>
          <cell r="U144" t="str">
            <v>LUC</v>
          </cell>
        </row>
        <row r="145">
          <cell r="D145">
            <v>48</v>
          </cell>
          <cell r="F145">
            <v>489801039151</v>
          </cell>
          <cell r="G145" t="str">
            <v>MICROCHIP TECNOLOGY(TH) CO LTD</v>
          </cell>
          <cell r="H145" t="str">
            <v>Delivered</v>
          </cell>
          <cell r="I145" t="str">
            <v>ic..</v>
          </cell>
          <cell r="J145" t="str">
            <v>Fedex</v>
          </cell>
          <cell r="K145" t="str">
            <v>VVMV</v>
          </cell>
          <cell r="L145" t="str">
            <v>TH</v>
          </cell>
          <cell r="M145">
            <v>46030</v>
          </cell>
          <cell r="N145">
            <v>46036</v>
          </cell>
          <cell r="O145">
            <v>46037</v>
          </cell>
          <cell r="P145">
            <v>107889614230</v>
          </cell>
          <cell r="Q145">
            <v>46035</v>
          </cell>
          <cell r="R145" t="str">
            <v>No inspection</v>
          </cell>
          <cell r="S145">
            <v>513200</v>
          </cell>
          <cell r="T145" t="str">
            <v>EXW</v>
          </cell>
          <cell r="U145" t="str">
            <v>HLO</v>
          </cell>
        </row>
        <row r="146">
          <cell r="D146">
            <v>3.5</v>
          </cell>
          <cell r="F146">
            <v>397467245301</v>
          </cell>
          <cell r="G146" t="str">
            <v>C/O KINTETSU WORLD EXPRESS
TEXAS INSTRUMENTS ASIA LIMITED</v>
          </cell>
          <cell r="H146" t="str">
            <v>Delivered</v>
          </cell>
          <cell r="I146" t="str">
            <v>ic..</v>
          </cell>
          <cell r="J146" t="str">
            <v>Fedex</v>
          </cell>
          <cell r="K146" t="str">
            <v>VVMV</v>
          </cell>
          <cell r="L146" t="str">
            <v>CN</v>
          </cell>
          <cell r="M146">
            <v>46028</v>
          </cell>
          <cell r="N146">
            <v>46036</v>
          </cell>
          <cell r="O146">
            <v>46037</v>
          </cell>
          <cell r="P146">
            <v>107889689130</v>
          </cell>
          <cell r="Q146">
            <v>46035</v>
          </cell>
          <cell r="R146" t="str">
            <v>No inspection</v>
          </cell>
          <cell r="S146">
            <v>3134</v>
          </cell>
          <cell r="T146" t="str">
            <v>EXW</v>
          </cell>
          <cell r="U146" t="str">
            <v>EF-</v>
          </cell>
        </row>
        <row r="147">
          <cell r="D147">
            <v>140</v>
          </cell>
          <cell r="F147">
            <v>500070671021</v>
          </cell>
          <cell r="G147" t="str">
            <v>TE CONNECTIVITY</v>
          </cell>
          <cell r="H147" t="str">
            <v>Delivered</v>
          </cell>
          <cell r="I147" t="str">
            <v>con..</v>
          </cell>
          <cell r="J147" t="str">
            <v>Fedex</v>
          </cell>
          <cell r="K147" t="str">
            <v>VVMV</v>
          </cell>
          <cell r="L147" t="str">
            <v>US</v>
          </cell>
          <cell r="M147">
            <v>46028</v>
          </cell>
          <cell r="N147">
            <v>46037</v>
          </cell>
          <cell r="O147">
            <v>46037</v>
          </cell>
          <cell r="P147">
            <v>107893028940</v>
          </cell>
          <cell r="Q147">
            <v>46036</v>
          </cell>
          <cell r="R147" t="str">
            <v>No inspection</v>
          </cell>
          <cell r="S147">
            <v>6909</v>
          </cell>
          <cell r="T147" t="str">
            <v>CIF</v>
          </cell>
          <cell r="U147" t="str">
            <v>LUC</v>
          </cell>
        </row>
        <row r="148">
          <cell r="D148">
            <v>23</v>
          </cell>
          <cell r="F148">
            <v>397562001890</v>
          </cell>
          <cell r="G148" t="str">
            <v>ROSENBERGER HOCHFREQUENZTECHNIK</v>
          </cell>
          <cell r="H148" t="str">
            <v>Delivered</v>
          </cell>
          <cell r="I148" t="str">
            <v>con..</v>
          </cell>
          <cell r="J148" t="str">
            <v>Fedex</v>
          </cell>
          <cell r="K148" t="str">
            <v>VVMV</v>
          </cell>
          <cell r="L148" t="str">
            <v>DE</v>
          </cell>
          <cell r="M148">
            <v>46031</v>
          </cell>
          <cell r="N148">
            <v>46041</v>
          </cell>
          <cell r="O148">
            <v>46041</v>
          </cell>
          <cell r="P148">
            <v>107899220920</v>
          </cell>
          <cell r="Q148">
            <v>46038</v>
          </cell>
          <cell r="R148" t="str">
            <v>No inspection</v>
          </cell>
          <cell r="S148">
            <v>2963.01</v>
          </cell>
          <cell r="T148" t="str">
            <v>CIF</v>
          </cell>
          <cell r="U148" t="str">
            <v>LUC</v>
          </cell>
        </row>
        <row r="149">
          <cell r="F149">
            <v>491335777785</v>
          </cell>
          <cell r="H149" t="str">
            <v>Delivered</v>
          </cell>
          <cell r="J149" t="str">
            <v>Fedex</v>
          </cell>
          <cell r="K149" t="str">
            <v>VVMV</v>
          </cell>
          <cell r="O149" t="str">
            <v>reject</v>
          </cell>
          <cell r="P149" t="str">
            <v>reject</v>
          </cell>
          <cell r="R149" t="str">
            <v>No inspection</v>
          </cell>
        </row>
        <row r="150">
          <cell r="D150">
            <v>7</v>
          </cell>
          <cell r="F150">
            <v>887812823675</v>
          </cell>
          <cell r="G150" t="str">
            <v>SUNLORD ELECTRONICS TECHNOLOGY PTE</v>
          </cell>
          <cell r="H150" t="str">
            <v>Delivered</v>
          </cell>
          <cell r="I150" t="str">
            <v>res..</v>
          </cell>
          <cell r="J150" t="str">
            <v>Fedex</v>
          </cell>
          <cell r="K150" t="str">
            <v>VVMV</v>
          </cell>
          <cell r="L150" t="str">
            <v>SG</v>
          </cell>
          <cell r="M150">
            <v>46034</v>
          </cell>
          <cell r="N150">
            <v>46037</v>
          </cell>
          <cell r="O150">
            <v>46037</v>
          </cell>
          <cell r="P150">
            <v>107893299510</v>
          </cell>
          <cell r="Q150">
            <v>46036</v>
          </cell>
          <cell r="R150" t="str">
            <v>No inspection</v>
          </cell>
          <cell r="S150">
            <v>2250.9499999999998</v>
          </cell>
          <cell r="T150" t="str">
            <v>EXW</v>
          </cell>
          <cell r="U150" t="str">
            <v>PUR</v>
          </cell>
        </row>
        <row r="151">
          <cell r="D151">
            <v>428</v>
          </cell>
          <cell r="F151">
            <v>4915038718</v>
          </cell>
          <cell r="G151" t="str">
            <v>RICHARDSON RFPD HONG KONG LIMITED</v>
          </cell>
          <cell r="H151" t="str">
            <v>Delivered</v>
          </cell>
          <cell r="I151" t="str">
            <v>cap..</v>
          </cell>
          <cell r="J151" t="str">
            <v>Expeditors</v>
          </cell>
          <cell r="K151" t="str">
            <v>VVMV</v>
          </cell>
          <cell r="L151" t="str">
            <v>HK</v>
          </cell>
          <cell r="M151">
            <v>46035</v>
          </cell>
          <cell r="N151">
            <v>46037</v>
          </cell>
          <cell r="O151">
            <v>46037</v>
          </cell>
          <cell r="P151">
            <v>107893199630</v>
          </cell>
          <cell r="Q151">
            <v>46036</v>
          </cell>
          <cell r="R151" t="str">
            <v>No inspection</v>
          </cell>
          <cell r="S151">
            <v>60480</v>
          </cell>
          <cell r="T151" t="str">
            <v>EXW</v>
          </cell>
          <cell r="U151" t="str">
            <v>PUR</v>
          </cell>
        </row>
        <row r="152">
          <cell r="D152">
            <v>270.5</v>
          </cell>
          <cell r="F152">
            <v>4711906599</v>
          </cell>
          <cell r="G152" t="str">
            <v>COILCRAFT SINGAPORE PTE LTD</v>
          </cell>
          <cell r="H152" t="str">
            <v>Delivered</v>
          </cell>
          <cell r="I152" t="str">
            <v>ind..</v>
          </cell>
          <cell r="J152" t="str">
            <v>Expeditors</v>
          </cell>
          <cell r="K152" t="str">
            <v>VVMV</v>
          </cell>
          <cell r="L152" t="str">
            <v>SG</v>
          </cell>
          <cell r="M152">
            <v>46036</v>
          </cell>
          <cell r="N152">
            <v>46037</v>
          </cell>
          <cell r="O152">
            <v>46037</v>
          </cell>
          <cell r="P152">
            <v>107894203910</v>
          </cell>
          <cell r="Q152">
            <v>46037</v>
          </cell>
          <cell r="R152" t="str">
            <v>No inspection</v>
          </cell>
          <cell r="S152">
            <v>52702.5</v>
          </cell>
          <cell r="T152" t="str">
            <v>EXW</v>
          </cell>
          <cell r="U152" t="str">
            <v>LUC</v>
          </cell>
        </row>
        <row r="153">
          <cell r="D153">
            <v>147</v>
          </cell>
          <cell r="F153">
            <v>4711906758</v>
          </cell>
          <cell r="G153" t="str">
            <v>AVNET ASIA PTE LTD</v>
          </cell>
          <cell r="H153" t="str">
            <v>Delivered</v>
          </cell>
          <cell r="I153" t="str">
            <v>ic..</v>
          </cell>
          <cell r="J153" t="str">
            <v>Expeditors</v>
          </cell>
          <cell r="K153" t="str">
            <v>VVMV</v>
          </cell>
          <cell r="L153" t="str">
            <v>SG</v>
          </cell>
          <cell r="M153">
            <v>46036</v>
          </cell>
          <cell r="N153">
            <v>46037</v>
          </cell>
          <cell r="O153">
            <v>46037</v>
          </cell>
          <cell r="P153" t="str">
            <v>107894069950  107894059120</v>
          </cell>
          <cell r="Q153">
            <v>46037</v>
          </cell>
          <cell r="R153" t="str">
            <v>No inspection</v>
          </cell>
          <cell r="S153">
            <v>45369</v>
          </cell>
          <cell r="T153" t="str">
            <v>FCA</v>
          </cell>
          <cell r="U153" t="str">
            <v>LUC</v>
          </cell>
        </row>
        <row r="154">
          <cell r="D154">
            <v>0.3</v>
          </cell>
          <cell r="F154">
            <v>7820034504</v>
          </cell>
          <cell r="G154" t="str">
            <v>TEXAS INSTRUMENTS ASIA LIMITED
C/O KWE LOGISTICS (SHENZHEN)</v>
          </cell>
          <cell r="H154" t="str">
            <v>Delivered</v>
          </cell>
          <cell r="I154" t="str">
            <v>ic..</v>
          </cell>
          <cell r="J154" t="str">
            <v>DHL</v>
          </cell>
          <cell r="K154" t="str">
            <v>VVMV</v>
          </cell>
          <cell r="L154" t="str">
            <v>CN</v>
          </cell>
          <cell r="M154">
            <v>46032</v>
          </cell>
          <cell r="N154">
            <v>46037</v>
          </cell>
          <cell r="O154">
            <v>46037</v>
          </cell>
          <cell r="P154">
            <v>107893094850</v>
          </cell>
          <cell r="Q154">
            <v>46036</v>
          </cell>
          <cell r="R154" t="str">
            <v>No inspection</v>
          </cell>
          <cell r="S154">
            <v>36.799999999999997</v>
          </cell>
          <cell r="T154" t="str">
            <v>CIF</v>
          </cell>
          <cell r="U154" t="str">
            <v>LUC</v>
          </cell>
        </row>
        <row r="155">
          <cell r="D155">
            <v>792.60900000000004</v>
          </cell>
          <cell r="F155" t="str">
            <v>PSHPH2610036</v>
          </cell>
          <cell r="G155" t="str">
            <v>COMPEQ MANUFACTURING CO., LTD</v>
          </cell>
          <cell r="H155" t="str">
            <v>Delivered</v>
          </cell>
          <cell r="I155" t="str">
            <v>pcb</v>
          </cell>
          <cell r="J155" t="str">
            <v>VVMV(sea)</v>
          </cell>
          <cell r="K155" t="str">
            <v>VVMV</v>
          </cell>
          <cell r="L155" t="str">
            <v>TW</v>
          </cell>
          <cell r="M155">
            <v>46035</v>
          </cell>
          <cell r="N155">
            <v>46042</v>
          </cell>
          <cell r="O155">
            <v>46042</v>
          </cell>
          <cell r="P155">
            <v>107900492821</v>
          </cell>
          <cell r="Q155">
            <v>46038</v>
          </cell>
          <cell r="R155" t="str">
            <v>inspection</v>
          </cell>
          <cell r="S155">
            <v>119986.95</v>
          </cell>
          <cell r="T155" t="str">
            <v>FOB</v>
          </cell>
          <cell r="U155" t="str">
            <v>PUR</v>
          </cell>
        </row>
        <row r="156">
          <cell r="D156">
            <v>388.1</v>
          </cell>
          <cell r="F156" t="str">
            <v>PSHPH2610035</v>
          </cell>
          <cell r="G156" t="str">
            <v>MIN AIK TECHNOLOGY CO., LTD</v>
          </cell>
          <cell r="H156" t="str">
            <v>Delivered</v>
          </cell>
          <cell r="I156" t="str">
            <v>moulding</v>
          </cell>
          <cell r="J156" t="str">
            <v>VVMV(sea)</v>
          </cell>
          <cell r="K156" t="str">
            <v>VVMV</v>
          </cell>
          <cell r="L156" t="str">
            <v>TW</v>
          </cell>
          <cell r="M156">
            <v>46035</v>
          </cell>
          <cell r="N156">
            <v>46041</v>
          </cell>
          <cell r="O156">
            <v>46041</v>
          </cell>
          <cell r="P156">
            <v>107900690220</v>
          </cell>
          <cell r="Q156">
            <v>46038</v>
          </cell>
          <cell r="R156" t="str">
            <v>No inspection</v>
          </cell>
          <cell r="S156">
            <v>25978.3</v>
          </cell>
          <cell r="T156" t="str">
            <v>EXW</v>
          </cell>
          <cell r="U156" t="str">
            <v>PUR</v>
          </cell>
        </row>
        <row r="157">
          <cell r="D157">
            <v>62</v>
          </cell>
          <cell r="F157">
            <v>887887766467</v>
          </cell>
          <cell r="G157" t="str">
            <v>BOSSARD (M) SDN BHD</v>
          </cell>
          <cell r="H157" t="str">
            <v>Delivered</v>
          </cell>
          <cell r="I157" t="str">
            <v>screww</v>
          </cell>
          <cell r="J157" t="str">
            <v>Fedex</v>
          </cell>
          <cell r="K157" t="str">
            <v>VVMV</v>
          </cell>
          <cell r="L157" t="str">
            <v>MY</v>
          </cell>
          <cell r="M157">
            <v>46036</v>
          </cell>
          <cell r="N157">
            <v>46038</v>
          </cell>
          <cell r="O157">
            <v>46038</v>
          </cell>
          <cell r="P157">
            <v>107896956200</v>
          </cell>
          <cell r="Q157">
            <v>46037</v>
          </cell>
          <cell r="R157" t="str">
            <v>No inspection</v>
          </cell>
          <cell r="S157">
            <v>18000</v>
          </cell>
          <cell r="T157" t="str">
            <v>EXW</v>
          </cell>
          <cell r="U157" t="str">
            <v>LUC</v>
          </cell>
        </row>
        <row r="158">
          <cell r="D158">
            <v>50.5</v>
          </cell>
          <cell r="F158">
            <v>481663281759</v>
          </cell>
          <cell r="G158" t="str">
            <v>AMPHENOL EAST ASIA LTD</v>
          </cell>
          <cell r="H158" t="str">
            <v>Delivered</v>
          </cell>
          <cell r="I158" t="str">
            <v>con..</v>
          </cell>
          <cell r="J158" t="str">
            <v>Fedex</v>
          </cell>
          <cell r="K158" t="str">
            <v>VVMV</v>
          </cell>
          <cell r="L158" t="str">
            <v>HK</v>
          </cell>
          <cell r="M158">
            <v>46035</v>
          </cell>
          <cell r="N158">
            <v>46041</v>
          </cell>
          <cell r="O158">
            <v>46041</v>
          </cell>
          <cell r="P158">
            <v>107896950710</v>
          </cell>
          <cell r="Q158">
            <v>46037</v>
          </cell>
          <cell r="R158" t="str">
            <v>No inspection</v>
          </cell>
          <cell r="S158">
            <v>23984.1</v>
          </cell>
          <cell r="T158" t="str">
            <v>EXW</v>
          </cell>
          <cell r="U158" t="str">
            <v>PUR</v>
          </cell>
        </row>
        <row r="159">
          <cell r="D159">
            <v>4280.47</v>
          </cell>
          <cell r="F159" t="str">
            <v>SHDY260101225</v>
          </cell>
          <cell r="G159" t="str">
            <v>Kunshan Eson Precision Engineering Co.,Ltd.</v>
          </cell>
          <cell r="H159" t="str">
            <v>Delivered</v>
          </cell>
          <cell r="I159" t="str">
            <v>bot..</v>
          </cell>
          <cell r="J159" t="str">
            <v>NM</v>
          </cell>
          <cell r="K159" t="str">
            <v>VVMV</v>
          </cell>
          <cell r="L159" t="str">
            <v>CN</v>
          </cell>
          <cell r="M159">
            <v>46033</v>
          </cell>
          <cell r="N159">
            <v>46041</v>
          </cell>
          <cell r="O159">
            <v>46043</v>
          </cell>
          <cell r="P159">
            <v>107898691500</v>
          </cell>
          <cell r="Q159">
            <v>46038</v>
          </cell>
          <cell r="R159" t="str">
            <v>No inspection</v>
          </cell>
          <cell r="S159">
            <v>130875.36</v>
          </cell>
          <cell r="T159" t="str">
            <v>DAP</v>
          </cell>
          <cell r="U159" t="str">
            <v>LUC</v>
          </cell>
        </row>
        <row r="160">
          <cell r="D160">
            <v>96</v>
          </cell>
          <cell r="F160">
            <v>4915038720</v>
          </cell>
          <cell r="G160" t="str">
            <v>Shenzhen Sunlord Electronics Co.Ltd</v>
          </cell>
          <cell r="H160" t="str">
            <v>Delivered</v>
          </cell>
          <cell r="I160" t="str">
            <v>cap..</v>
          </cell>
          <cell r="J160" t="str">
            <v>Expeditors</v>
          </cell>
          <cell r="K160" t="str">
            <v>VVMV</v>
          </cell>
          <cell r="L160" t="str">
            <v>HK</v>
          </cell>
          <cell r="M160">
            <v>46036</v>
          </cell>
          <cell r="N160">
            <v>46038</v>
          </cell>
          <cell r="O160">
            <v>46038</v>
          </cell>
          <cell r="P160">
            <v>107898193540</v>
          </cell>
          <cell r="Q160">
            <v>46038</v>
          </cell>
          <cell r="R160" t="str">
            <v>No inspection</v>
          </cell>
          <cell r="S160">
            <v>10846.39</v>
          </cell>
          <cell r="T160" t="str">
            <v>EXW</v>
          </cell>
          <cell r="U160" t="str">
            <v>PUR</v>
          </cell>
        </row>
        <row r="161">
          <cell r="D161">
            <v>1106.4000000000001</v>
          </cell>
          <cell r="F161" t="str">
            <v>LSHHPH2600125</v>
          </cell>
          <cell r="G161" t="str">
            <v>SUZHOU CURRENT ELECTRIC LIMITED COMPANY</v>
          </cell>
          <cell r="H161" t="str">
            <v>Delivered</v>
          </cell>
          <cell r="I161" t="str">
            <v>bus..</v>
          </cell>
          <cell r="J161" t="str">
            <v>Dolphin(sea)</v>
          </cell>
          <cell r="K161" t="str">
            <v>Dolphin</v>
          </cell>
          <cell r="L161" t="str">
            <v>CN</v>
          </cell>
          <cell r="M161">
            <v>46036</v>
          </cell>
          <cell r="N161">
            <v>46043</v>
          </cell>
          <cell r="O161">
            <v>46043</v>
          </cell>
          <cell r="P161">
            <v>107904132930</v>
          </cell>
          <cell r="Q161">
            <v>46041</v>
          </cell>
          <cell r="R161" t="str">
            <v>No inspection</v>
          </cell>
          <cell r="S161">
            <v>22496</v>
          </cell>
          <cell r="T161" t="str">
            <v>EXW</v>
          </cell>
          <cell r="U161" t="str">
            <v>LUC</v>
          </cell>
        </row>
        <row r="162">
          <cell r="D162">
            <v>9.5</v>
          </cell>
          <cell r="F162">
            <v>887812104913</v>
          </cell>
          <cell r="G162" t="str">
            <v>FUSION TRADE PTE LTD</v>
          </cell>
          <cell r="H162" t="str">
            <v>Delivered</v>
          </cell>
          <cell r="I162" t="str">
            <v>tran..</v>
          </cell>
          <cell r="J162" t="str">
            <v>Fedex</v>
          </cell>
          <cell r="K162" t="str">
            <v>VVMV</v>
          </cell>
          <cell r="L162" t="str">
            <v>SG</v>
          </cell>
          <cell r="M162">
            <v>46034</v>
          </cell>
          <cell r="N162">
            <v>46038</v>
          </cell>
          <cell r="O162">
            <v>46038</v>
          </cell>
          <cell r="P162">
            <v>107896979410</v>
          </cell>
          <cell r="Q162">
            <v>46037</v>
          </cell>
          <cell r="R162" t="str">
            <v>No inspection</v>
          </cell>
          <cell r="S162">
            <v>29719.11</v>
          </cell>
          <cell r="T162" t="str">
            <v>EXW</v>
          </cell>
          <cell r="U162" t="str">
            <v>LUC</v>
          </cell>
        </row>
        <row r="163">
          <cell r="D163">
            <v>10</v>
          </cell>
          <cell r="F163">
            <v>493448965885</v>
          </cell>
          <cell r="G163" t="str">
            <v>NIHON DEMPA KOGYO CO. LTD</v>
          </cell>
          <cell r="H163" t="str">
            <v>Delivered</v>
          </cell>
          <cell r="I163" t="str">
            <v>cry..</v>
          </cell>
          <cell r="J163" t="str">
            <v>Fedex</v>
          </cell>
          <cell r="K163" t="str">
            <v>VVMV</v>
          </cell>
          <cell r="L163" t="str">
            <v>JP</v>
          </cell>
          <cell r="M163">
            <v>46036</v>
          </cell>
          <cell r="N163">
            <v>46041</v>
          </cell>
          <cell r="O163">
            <v>46041</v>
          </cell>
          <cell r="P163">
            <v>107897090930</v>
          </cell>
          <cell r="Q163">
            <v>46037</v>
          </cell>
          <cell r="R163" t="str">
            <v>No inspection</v>
          </cell>
          <cell r="S163">
            <v>5700</v>
          </cell>
          <cell r="T163" t="str">
            <v>EXW</v>
          </cell>
          <cell r="U163" t="str">
            <v>LUC</v>
          </cell>
        </row>
        <row r="164">
          <cell r="D164">
            <v>0.5</v>
          </cell>
          <cell r="F164">
            <v>887853652025</v>
          </cell>
          <cell r="G164" t="str">
            <v>CYMMETRIK SHENZHEN PRINTING CO., LTD</v>
          </cell>
          <cell r="H164" t="str">
            <v>Delivered</v>
          </cell>
          <cell r="I164" t="str">
            <v>label</v>
          </cell>
          <cell r="J164" t="str">
            <v>Fedex</v>
          </cell>
          <cell r="K164" t="str">
            <v>VVMV</v>
          </cell>
          <cell r="L164" t="str">
            <v>CN</v>
          </cell>
          <cell r="M164">
            <v>46035</v>
          </cell>
          <cell r="N164">
            <v>46038</v>
          </cell>
          <cell r="O164">
            <v>46038</v>
          </cell>
          <cell r="P164">
            <v>107896911840</v>
          </cell>
          <cell r="Q164">
            <v>46037</v>
          </cell>
          <cell r="R164" t="str">
            <v>No inspection</v>
          </cell>
          <cell r="S164">
            <v>107</v>
          </cell>
          <cell r="T164" t="str">
            <v>EXW</v>
          </cell>
          <cell r="U164" t="str">
            <v>PUR</v>
          </cell>
        </row>
        <row r="165">
          <cell r="D165">
            <v>2.5</v>
          </cell>
          <cell r="F165">
            <v>397657978260</v>
          </cell>
          <cell r="G165" t="str">
            <v>C/O KINTETSU WORLD EXPRESS
TEXAS INSTRUMENTS ASIA LIMITED</v>
          </cell>
          <cell r="H165" t="str">
            <v>Delivered</v>
          </cell>
          <cell r="I165" t="str">
            <v>ic..</v>
          </cell>
          <cell r="J165" t="str">
            <v>Fedex</v>
          </cell>
          <cell r="K165" t="str">
            <v>VVMV</v>
          </cell>
          <cell r="L165" t="str">
            <v>CN</v>
          </cell>
          <cell r="M165">
            <v>46034</v>
          </cell>
          <cell r="N165">
            <v>46038</v>
          </cell>
          <cell r="O165">
            <v>46038</v>
          </cell>
          <cell r="P165">
            <v>107896927020</v>
          </cell>
          <cell r="Q165">
            <v>46037</v>
          </cell>
          <cell r="R165" t="str">
            <v>No inspection</v>
          </cell>
          <cell r="S165">
            <v>6195</v>
          </cell>
          <cell r="T165" t="str">
            <v>EXW</v>
          </cell>
          <cell r="U165" t="str">
            <v>LUC</v>
          </cell>
        </row>
        <row r="166">
          <cell r="D166">
            <v>1</v>
          </cell>
          <cell r="F166">
            <v>397664641932</v>
          </cell>
          <cell r="G166" t="str">
            <v>TEXAS INSTRUMENTS ASIA LIMITED
C/O KWE LOGISTICS (SHENZHEN)</v>
          </cell>
          <cell r="H166" t="str">
            <v>Delivered</v>
          </cell>
          <cell r="I166" t="str">
            <v>ic..</v>
          </cell>
          <cell r="J166" t="str">
            <v>Fedex</v>
          </cell>
          <cell r="K166" t="str">
            <v>VVMV</v>
          </cell>
          <cell r="L166" t="str">
            <v>CN</v>
          </cell>
          <cell r="M166">
            <v>46034</v>
          </cell>
          <cell r="N166">
            <v>46038</v>
          </cell>
          <cell r="O166">
            <v>46038</v>
          </cell>
          <cell r="P166">
            <v>107897015550</v>
          </cell>
          <cell r="Q166">
            <v>46037</v>
          </cell>
          <cell r="R166" t="str">
            <v>No inspection</v>
          </cell>
          <cell r="S166">
            <v>804</v>
          </cell>
          <cell r="T166" t="str">
            <v>EXW</v>
          </cell>
          <cell r="U166" t="str">
            <v>AIC</v>
          </cell>
        </row>
        <row r="167">
          <cell r="D167">
            <v>1030.9000000000001</v>
          </cell>
          <cell r="F167" t="str">
            <v>LSHHPH2600124</v>
          </cell>
          <cell r="G167" t="str">
            <v>ZHENJIANG FINEWORLD AUTOMOTIVE TECHNOLOGY CO.,LTD</v>
          </cell>
          <cell r="H167" t="str">
            <v>Delivered</v>
          </cell>
          <cell r="I167" t="str">
            <v>bot..</v>
          </cell>
          <cell r="J167" t="str">
            <v>Dolphin(sea)</v>
          </cell>
          <cell r="K167" t="str">
            <v>Dolphin</v>
          </cell>
          <cell r="L167" t="str">
            <v>CN</v>
          </cell>
          <cell r="M167">
            <v>46036</v>
          </cell>
          <cell r="N167">
            <v>46043</v>
          </cell>
          <cell r="O167">
            <v>46043</v>
          </cell>
          <cell r="P167">
            <v>107904238410</v>
          </cell>
          <cell r="Q167">
            <v>46041</v>
          </cell>
          <cell r="R167" t="str">
            <v>No inspection</v>
          </cell>
          <cell r="S167">
            <v>7979.65</v>
          </cell>
          <cell r="T167" t="str">
            <v>EXW</v>
          </cell>
          <cell r="U167" t="str">
            <v>LUC</v>
          </cell>
        </row>
        <row r="168">
          <cell r="D168">
            <v>10.5</v>
          </cell>
          <cell r="F168">
            <v>887855920281</v>
          </cell>
          <cell r="G168" t="str">
            <v>WT MICROELECTRONICS SG PTE.LTD</v>
          </cell>
          <cell r="H168" t="str">
            <v>Delivered</v>
          </cell>
          <cell r="I168" t="str">
            <v>cap..</v>
          </cell>
          <cell r="J168" t="str">
            <v>Fedex</v>
          </cell>
          <cell r="K168" t="str">
            <v>VVMV</v>
          </cell>
          <cell r="L168" t="str">
            <v>SG</v>
          </cell>
          <cell r="M168">
            <v>46035</v>
          </cell>
          <cell r="N168">
            <v>46042</v>
          </cell>
          <cell r="O168">
            <v>46042</v>
          </cell>
          <cell r="P168">
            <v>107903218140</v>
          </cell>
          <cell r="Q168">
            <v>46041</v>
          </cell>
          <cell r="R168" t="str">
            <v>No inspection</v>
          </cell>
          <cell r="S168">
            <v>1809.67</v>
          </cell>
          <cell r="T168" t="str">
            <v>EXW</v>
          </cell>
          <cell r="U168" t="str">
            <v>LUC</v>
          </cell>
        </row>
        <row r="169">
          <cell r="D169">
            <v>3.5</v>
          </cell>
          <cell r="F169">
            <v>499317428184</v>
          </cell>
          <cell r="G169" t="str">
            <v>ARROW ELECTRONICS, INC.</v>
          </cell>
          <cell r="H169" t="str">
            <v>Delivered</v>
          </cell>
          <cell r="I169" t="str">
            <v>res..</v>
          </cell>
          <cell r="J169" t="str">
            <v>Fedex</v>
          </cell>
          <cell r="K169" t="str">
            <v>VVMV</v>
          </cell>
          <cell r="L169" t="str">
            <v>US</v>
          </cell>
          <cell r="M169">
            <v>46035</v>
          </cell>
          <cell r="N169">
            <v>46041</v>
          </cell>
          <cell r="O169">
            <v>46041</v>
          </cell>
          <cell r="P169">
            <v>107899366960</v>
          </cell>
          <cell r="Q169">
            <v>46038</v>
          </cell>
          <cell r="R169" t="str">
            <v>No inspection</v>
          </cell>
          <cell r="S169">
            <v>1916.6</v>
          </cell>
          <cell r="T169" t="str">
            <v>CIF</v>
          </cell>
          <cell r="U169" t="str">
            <v>LUC</v>
          </cell>
        </row>
        <row r="170">
          <cell r="D170">
            <v>5</v>
          </cell>
          <cell r="F170">
            <v>887853101145</v>
          </cell>
          <cell r="G170" t="str">
            <v>DIGIPRO TECHNOLOGY CO LTD</v>
          </cell>
          <cell r="H170" t="str">
            <v>Delivered</v>
          </cell>
          <cell r="I170" t="str">
            <v>ic..</v>
          </cell>
          <cell r="J170" t="str">
            <v>Fedex</v>
          </cell>
          <cell r="K170" t="str">
            <v>VVMV</v>
          </cell>
          <cell r="L170" t="str">
            <v>TW</v>
          </cell>
          <cell r="M170">
            <v>46036</v>
          </cell>
          <cell r="N170">
            <v>46041</v>
          </cell>
          <cell r="O170">
            <v>46041</v>
          </cell>
          <cell r="P170">
            <v>107899751740</v>
          </cell>
          <cell r="Q170">
            <v>46038</v>
          </cell>
          <cell r="R170" t="str">
            <v>No inspection</v>
          </cell>
          <cell r="S170">
            <v>28296</v>
          </cell>
          <cell r="T170" t="str">
            <v>EXW</v>
          </cell>
          <cell r="U170" t="str">
            <v>AIC</v>
          </cell>
        </row>
        <row r="171">
          <cell r="D171">
            <v>13</v>
          </cell>
          <cell r="F171">
            <v>499317432463</v>
          </cell>
          <cell r="G171" t="str">
            <v>ARROW ELECTRONICS, INC.</v>
          </cell>
          <cell r="H171" t="str">
            <v>Delivered</v>
          </cell>
          <cell r="I171" t="str">
            <v>cap..</v>
          </cell>
          <cell r="J171" t="str">
            <v>Fedex</v>
          </cell>
          <cell r="K171" t="str">
            <v>VVMV</v>
          </cell>
          <cell r="L171" t="str">
            <v>US</v>
          </cell>
          <cell r="M171">
            <v>46035</v>
          </cell>
          <cell r="N171">
            <v>46041</v>
          </cell>
          <cell r="O171">
            <v>46041</v>
          </cell>
          <cell r="P171">
            <v>107899540600</v>
          </cell>
          <cell r="Q171">
            <v>46038</v>
          </cell>
          <cell r="R171" t="str">
            <v>No inspection</v>
          </cell>
          <cell r="S171">
            <v>2106</v>
          </cell>
          <cell r="T171" t="str">
            <v>CIF</v>
          </cell>
          <cell r="U171" t="str">
            <v>LUC</v>
          </cell>
        </row>
        <row r="172">
          <cell r="D172">
            <v>1</v>
          </cell>
          <cell r="F172">
            <v>397637581940</v>
          </cell>
          <cell r="G172" t="str">
            <v>c/o DHL Supply Chain SGP P/L
Texas Instruments Southeast Asia Pt</v>
          </cell>
          <cell r="H172" t="str">
            <v>Delivered</v>
          </cell>
          <cell r="I172" t="str">
            <v>ic..</v>
          </cell>
          <cell r="J172" t="str">
            <v>Fedex</v>
          </cell>
          <cell r="K172" t="str">
            <v>VVMV</v>
          </cell>
          <cell r="L172" t="str">
            <v>SG</v>
          </cell>
          <cell r="M172">
            <v>46034</v>
          </cell>
          <cell r="N172">
            <v>46041</v>
          </cell>
          <cell r="O172">
            <v>46041</v>
          </cell>
          <cell r="P172">
            <v>107900059040</v>
          </cell>
          <cell r="Q172">
            <v>46038</v>
          </cell>
          <cell r="R172" t="str">
            <v>No inspection</v>
          </cell>
          <cell r="S172">
            <v>176</v>
          </cell>
          <cell r="T172" t="str">
            <v>EXW</v>
          </cell>
          <cell r="U172" t="str">
            <v>LUC</v>
          </cell>
        </row>
        <row r="173">
          <cell r="D173">
            <v>0.5</v>
          </cell>
          <cell r="F173">
            <v>887890257189</v>
          </cell>
          <cell r="G173" t="str">
            <v>SHENZHEN QIANHAI JUYUAN JINHUI</v>
          </cell>
          <cell r="H173" t="str">
            <v>Delivered</v>
          </cell>
          <cell r="I173" t="str">
            <v>diode</v>
          </cell>
          <cell r="J173" t="str">
            <v>Fedex</v>
          </cell>
          <cell r="K173" t="str">
            <v>VVMV</v>
          </cell>
          <cell r="L173" t="str">
            <v>CN</v>
          </cell>
          <cell r="M173">
            <v>46036</v>
          </cell>
          <cell r="N173">
            <v>46041</v>
          </cell>
          <cell r="O173">
            <v>46041</v>
          </cell>
          <cell r="P173">
            <v>107899930350</v>
          </cell>
          <cell r="Q173">
            <v>46038</v>
          </cell>
          <cell r="R173" t="str">
            <v>No inspection</v>
          </cell>
          <cell r="S173">
            <v>915.18</v>
          </cell>
          <cell r="T173" t="str">
            <v>EXW</v>
          </cell>
          <cell r="U173" t="str">
            <v>LUC</v>
          </cell>
        </row>
        <row r="174">
          <cell r="D174">
            <v>2</v>
          </cell>
          <cell r="F174">
            <v>397650129048</v>
          </cell>
          <cell r="G174" t="str">
            <v>c/o DHL Supply Chain SGP P/L
Texas Instruments Southeast Asia Pt</v>
          </cell>
          <cell r="H174" t="str">
            <v>Delivered</v>
          </cell>
          <cell r="I174" t="str">
            <v>ic..</v>
          </cell>
          <cell r="J174" t="str">
            <v>Fedex</v>
          </cell>
          <cell r="K174" t="str">
            <v>VVMV</v>
          </cell>
          <cell r="L174" t="str">
            <v>SG</v>
          </cell>
          <cell r="M174">
            <v>46034</v>
          </cell>
          <cell r="N174">
            <v>46041</v>
          </cell>
          <cell r="O174">
            <v>46041</v>
          </cell>
          <cell r="P174">
            <v>107899717440</v>
          </cell>
          <cell r="Q174">
            <v>46038</v>
          </cell>
          <cell r="R174" t="str">
            <v>No inspection</v>
          </cell>
          <cell r="S174">
            <v>520</v>
          </cell>
          <cell r="T174" t="str">
            <v>EXW</v>
          </cell>
          <cell r="U174" t="str">
            <v>LUC</v>
          </cell>
        </row>
        <row r="175">
          <cell r="D175">
            <v>18</v>
          </cell>
          <cell r="F175">
            <v>458627131939</v>
          </cell>
          <cell r="G175" t="str">
            <v>Micron Memory Malaysia Sdn. Bh</v>
          </cell>
          <cell r="H175" t="str">
            <v>Delivered</v>
          </cell>
          <cell r="I175" t="str">
            <v>mem</v>
          </cell>
          <cell r="J175" t="str">
            <v>Fedex</v>
          </cell>
          <cell r="K175" t="str">
            <v>VVMV</v>
          </cell>
          <cell r="L175" t="str">
            <v>MY</v>
          </cell>
          <cell r="M175">
            <v>46037</v>
          </cell>
          <cell r="N175">
            <v>46041</v>
          </cell>
          <cell r="O175">
            <v>46041</v>
          </cell>
          <cell r="P175">
            <v>107900192960</v>
          </cell>
          <cell r="Q175">
            <v>46038</v>
          </cell>
          <cell r="R175" t="str">
            <v>No inspection</v>
          </cell>
          <cell r="S175">
            <v>1266818.07</v>
          </cell>
          <cell r="T175" t="str">
            <v>CIF</v>
          </cell>
          <cell r="U175" t="str">
            <v>PUR</v>
          </cell>
        </row>
        <row r="176">
          <cell r="D176">
            <v>3.5</v>
          </cell>
          <cell r="F176">
            <v>887849334827</v>
          </cell>
          <cell r="G176" t="str">
            <v>TONG LAY DOO INDUSTRIAL CO., LTD</v>
          </cell>
          <cell r="H176" t="str">
            <v>Delivered</v>
          </cell>
          <cell r="I176" t="str">
            <v>shield</v>
          </cell>
          <cell r="J176" t="str">
            <v>Fedex</v>
          </cell>
          <cell r="K176" t="str">
            <v>VVMV</v>
          </cell>
          <cell r="L176" t="str">
            <v>TW</v>
          </cell>
          <cell r="M176">
            <v>46035</v>
          </cell>
          <cell r="N176">
            <v>46041</v>
          </cell>
          <cell r="O176">
            <v>46041</v>
          </cell>
          <cell r="P176">
            <v>107900519640</v>
          </cell>
          <cell r="Q176">
            <v>46038</v>
          </cell>
          <cell r="R176" t="str">
            <v>No inspection</v>
          </cell>
          <cell r="S176">
            <v>325</v>
          </cell>
          <cell r="T176" t="str">
            <v>CIF</v>
          </cell>
          <cell r="U176" t="str">
            <v>EF-</v>
          </cell>
        </row>
        <row r="177">
          <cell r="D177">
            <v>31.5</v>
          </cell>
          <cell r="F177">
            <v>458627132497</v>
          </cell>
          <cell r="G177" t="str">
            <v>Micron Memory Malaysia Sdn. Bh</v>
          </cell>
          <cell r="H177" t="str">
            <v>Delivered</v>
          </cell>
          <cell r="I177" t="str">
            <v>mem</v>
          </cell>
          <cell r="J177" t="str">
            <v>Fedex</v>
          </cell>
          <cell r="K177" t="str">
            <v>VVMV</v>
          </cell>
          <cell r="L177" t="str">
            <v>MY</v>
          </cell>
          <cell r="M177">
            <v>46037</v>
          </cell>
          <cell r="N177">
            <v>46041</v>
          </cell>
          <cell r="O177">
            <v>46041</v>
          </cell>
          <cell r="P177">
            <v>107900343020</v>
          </cell>
          <cell r="Q177">
            <v>46038</v>
          </cell>
          <cell r="R177" t="str">
            <v>No inspection</v>
          </cell>
          <cell r="S177">
            <v>2396100</v>
          </cell>
          <cell r="T177" t="str">
            <v>CIF</v>
          </cell>
          <cell r="U177" t="str">
            <v>PUR</v>
          </cell>
        </row>
        <row r="178">
          <cell r="D178">
            <v>1.4</v>
          </cell>
          <cell r="F178">
            <v>8702180465</v>
          </cell>
          <cell r="G178" t="str">
            <v>CYMMETRIK SHENZHEN PRINTING CO., LTD</v>
          </cell>
          <cell r="H178" t="str">
            <v>Delivered</v>
          </cell>
          <cell r="I178" t="str">
            <v>label</v>
          </cell>
          <cell r="J178" t="str">
            <v>DHL</v>
          </cell>
          <cell r="K178" t="str">
            <v>VVMV</v>
          </cell>
          <cell r="L178" t="str">
            <v>CN</v>
          </cell>
          <cell r="M178">
            <v>46037</v>
          </cell>
          <cell r="N178">
            <v>46041</v>
          </cell>
          <cell r="O178">
            <v>46041</v>
          </cell>
          <cell r="P178">
            <v>107903443100</v>
          </cell>
          <cell r="Q178">
            <v>46041</v>
          </cell>
          <cell r="R178" t="str">
            <v>No inspection</v>
          </cell>
          <cell r="S178">
            <v>5</v>
          </cell>
          <cell r="T178" t="str">
            <v>CIF</v>
          </cell>
          <cell r="U178" t="str">
            <v>HLO</v>
          </cell>
        </row>
        <row r="179">
          <cell r="D179">
            <v>1512</v>
          </cell>
          <cell r="F179" t="str">
            <v>SEBL26010065</v>
          </cell>
          <cell r="G179" t="str">
            <v>SHENNAN CIRCUITS CO.,LTD</v>
          </cell>
          <cell r="H179" t="str">
            <v>Delivered</v>
          </cell>
          <cell r="I179" t="str">
            <v>pcb</v>
          </cell>
          <cell r="J179" t="str">
            <v>Dragon</v>
          </cell>
          <cell r="K179" t="str">
            <v>VVMV</v>
          </cell>
          <cell r="L179" t="str">
            <v>CN</v>
          </cell>
          <cell r="M179">
            <v>46037</v>
          </cell>
          <cell r="N179">
            <v>46043</v>
          </cell>
          <cell r="O179">
            <v>46043</v>
          </cell>
          <cell r="P179">
            <v>107906525530</v>
          </cell>
          <cell r="Q179">
            <v>46041</v>
          </cell>
          <cell r="R179" t="str">
            <v>No inspection</v>
          </cell>
          <cell r="S179">
            <v>63978.6</v>
          </cell>
          <cell r="T179" t="str">
            <v>DAP</v>
          </cell>
          <cell r="U179" t="str">
            <v>LUC</v>
          </cell>
        </row>
        <row r="180">
          <cell r="D180">
            <v>26.1</v>
          </cell>
          <cell r="F180">
            <v>3314517404</v>
          </cell>
          <cell r="G180" t="str">
            <v>TTI INC</v>
          </cell>
          <cell r="H180" t="str">
            <v>Delivered</v>
          </cell>
          <cell r="I180" t="str">
            <v>res..</v>
          </cell>
          <cell r="J180" t="str">
            <v>DHL</v>
          </cell>
          <cell r="K180" t="str">
            <v>VVMV</v>
          </cell>
          <cell r="L180" t="str">
            <v>US</v>
          </cell>
          <cell r="M180">
            <v>46037</v>
          </cell>
          <cell r="N180">
            <v>46042</v>
          </cell>
          <cell r="O180">
            <v>46042</v>
          </cell>
          <cell r="P180">
            <v>107905793110</v>
          </cell>
          <cell r="Q180">
            <v>46041</v>
          </cell>
          <cell r="R180" t="str">
            <v>No inspection</v>
          </cell>
          <cell r="S180">
            <v>11395.8</v>
          </cell>
          <cell r="T180" t="str">
            <v>CIF</v>
          </cell>
          <cell r="U180" t="str">
            <v>LUC</v>
          </cell>
        </row>
        <row r="181">
          <cell r="D181">
            <v>270.7</v>
          </cell>
          <cell r="F181">
            <v>1791612944</v>
          </cell>
          <cell r="G181" t="str">
            <v>AVNET - CHANDLER</v>
          </cell>
          <cell r="H181" t="str">
            <v>Delivered</v>
          </cell>
          <cell r="I181" t="str">
            <v>diode</v>
          </cell>
          <cell r="J181" t="str">
            <v>DHL</v>
          </cell>
          <cell r="K181" t="str">
            <v>VVMV</v>
          </cell>
          <cell r="L181" t="str">
            <v>US</v>
          </cell>
          <cell r="M181">
            <v>46036</v>
          </cell>
          <cell r="N181">
            <v>46042</v>
          </cell>
          <cell r="O181">
            <v>46043</v>
          </cell>
          <cell r="P181" t="str">
            <v>107909334520  107909327260  107909318201</v>
          </cell>
          <cell r="Q181">
            <v>46042</v>
          </cell>
          <cell r="R181" t="str">
            <v>inspection</v>
          </cell>
          <cell r="S181">
            <v>107776.2</v>
          </cell>
          <cell r="T181" t="str">
            <v>CIF</v>
          </cell>
          <cell r="U181" t="str">
            <v>LUC</v>
          </cell>
        </row>
        <row r="182">
          <cell r="D182">
            <v>0.5</v>
          </cell>
          <cell r="F182">
            <v>482267572238</v>
          </cell>
          <cell r="G182" t="str">
            <v>NEWARK</v>
          </cell>
          <cell r="H182" t="str">
            <v>Delivered</v>
          </cell>
          <cell r="I182" t="str">
            <v>cap..</v>
          </cell>
          <cell r="J182" t="str">
            <v>Fedex</v>
          </cell>
          <cell r="K182" t="str">
            <v>VVMV</v>
          </cell>
          <cell r="L182" t="str">
            <v>US</v>
          </cell>
          <cell r="M182">
            <v>46034</v>
          </cell>
          <cell r="N182">
            <v>46041</v>
          </cell>
          <cell r="O182">
            <v>46041</v>
          </cell>
          <cell r="P182">
            <v>107900725660</v>
          </cell>
          <cell r="Q182">
            <v>46038</v>
          </cell>
          <cell r="R182" t="str">
            <v>No inspection</v>
          </cell>
          <cell r="S182">
            <v>0.3</v>
          </cell>
          <cell r="T182" t="str">
            <v>CIF</v>
          </cell>
          <cell r="U182" t="str">
            <v>LUC</v>
          </cell>
        </row>
        <row r="183">
          <cell r="D183">
            <v>2.9</v>
          </cell>
          <cell r="F183">
            <v>489801064082</v>
          </cell>
          <cell r="G183" t="str">
            <v>MICROCHIP TECNOLOGY(TH) CO LTD</v>
          </cell>
          <cell r="H183" t="str">
            <v>Delivered</v>
          </cell>
          <cell r="I183" t="str">
            <v>ic..</v>
          </cell>
          <cell r="J183" t="str">
            <v>Fedex</v>
          </cell>
          <cell r="K183" t="str">
            <v>VVMV</v>
          </cell>
          <cell r="L183" t="str">
            <v>TH</v>
          </cell>
          <cell r="M183">
            <v>46036</v>
          </cell>
          <cell r="N183">
            <v>46041</v>
          </cell>
          <cell r="O183">
            <v>46041</v>
          </cell>
          <cell r="P183">
            <v>107900798610</v>
          </cell>
          <cell r="Q183">
            <v>46038</v>
          </cell>
          <cell r="R183" t="str">
            <v>No inspection</v>
          </cell>
          <cell r="S183">
            <v>29574.16</v>
          </cell>
          <cell r="T183" t="str">
            <v>EXW</v>
          </cell>
          <cell r="U183" t="str">
            <v>HLO</v>
          </cell>
        </row>
        <row r="184">
          <cell r="D184">
            <v>96.5</v>
          </cell>
          <cell r="F184">
            <v>5973537500</v>
          </cell>
          <cell r="G184" t="str">
            <v>FUTURE ELECTRONICS INC (DIST) PTE LTD</v>
          </cell>
          <cell r="H184" t="str">
            <v>Delivered</v>
          </cell>
          <cell r="I184" t="str">
            <v>ind..</v>
          </cell>
          <cell r="J184" t="str">
            <v>DHL</v>
          </cell>
          <cell r="K184" t="str">
            <v>VVMV</v>
          </cell>
          <cell r="L184" t="str">
            <v>SG</v>
          </cell>
          <cell r="M184">
            <v>46038</v>
          </cell>
          <cell r="N184">
            <v>46042</v>
          </cell>
          <cell r="O184">
            <v>46042</v>
          </cell>
          <cell r="P184">
            <v>107906817650</v>
          </cell>
          <cell r="Q184">
            <v>46041</v>
          </cell>
          <cell r="R184" t="str">
            <v>No inspection</v>
          </cell>
          <cell r="S184">
            <v>10794.99</v>
          </cell>
          <cell r="T184" t="str">
            <v>CIF</v>
          </cell>
          <cell r="U184" t="str">
            <v>PUR</v>
          </cell>
        </row>
        <row r="185">
          <cell r="D185">
            <v>12.7</v>
          </cell>
          <cell r="F185">
            <v>3314517861</v>
          </cell>
          <cell r="G185" t="str">
            <v>TTI INC</v>
          </cell>
          <cell r="H185" t="str">
            <v>Delivered</v>
          </cell>
          <cell r="I185" t="str">
            <v>cap..</v>
          </cell>
          <cell r="J185" t="str">
            <v>DHL</v>
          </cell>
          <cell r="K185" t="str">
            <v>VVMV</v>
          </cell>
          <cell r="L185" t="str">
            <v>US</v>
          </cell>
          <cell r="M185">
            <v>46038</v>
          </cell>
          <cell r="N185">
            <v>46042</v>
          </cell>
          <cell r="O185">
            <v>46042</v>
          </cell>
          <cell r="P185">
            <v>107904338620</v>
          </cell>
          <cell r="Q185">
            <v>46041</v>
          </cell>
          <cell r="R185" t="str">
            <v>No inspection</v>
          </cell>
          <cell r="S185">
            <v>27231.599999999999</v>
          </cell>
          <cell r="T185" t="str">
            <v>CIF</v>
          </cell>
          <cell r="U185" t="str">
            <v>LUC</v>
          </cell>
        </row>
        <row r="186">
          <cell r="D186">
            <v>0.3</v>
          </cell>
          <cell r="F186">
            <v>8702334896</v>
          </cell>
          <cell r="G186" t="str">
            <v>MONTAGE TECHNOLOGY (KUNSHAN) CO., LTD</v>
          </cell>
          <cell r="H186" t="str">
            <v>Delivered</v>
          </cell>
          <cell r="I186" t="str">
            <v>ic..</v>
          </cell>
          <cell r="J186" t="str">
            <v>DHL</v>
          </cell>
          <cell r="K186" t="str">
            <v>VVMV</v>
          </cell>
          <cell r="L186" t="str">
            <v>CN</v>
          </cell>
          <cell r="M186">
            <v>46038</v>
          </cell>
          <cell r="N186">
            <v>46044</v>
          </cell>
          <cell r="O186">
            <v>46044</v>
          </cell>
          <cell r="P186">
            <v>107914633630</v>
          </cell>
          <cell r="Q186">
            <v>46043</v>
          </cell>
          <cell r="R186" t="str">
            <v>No inspection</v>
          </cell>
          <cell r="S186">
            <v>50</v>
          </cell>
          <cell r="T186" t="str">
            <v>CIF</v>
          </cell>
          <cell r="U186">
            <v>110</v>
          </cell>
        </row>
        <row r="187">
          <cell r="D187">
            <v>33.5</v>
          </cell>
          <cell r="F187">
            <v>471783808892</v>
          </cell>
          <cell r="G187" t="str">
            <v>SINO FAITH TECHNOLOGY  DVPT LTD</v>
          </cell>
          <cell r="H187" t="str">
            <v>Delivered</v>
          </cell>
          <cell r="I187" t="str">
            <v>cap..</v>
          </cell>
          <cell r="J187" t="str">
            <v>Fedex</v>
          </cell>
          <cell r="K187" t="str">
            <v>VVMV</v>
          </cell>
          <cell r="L187" t="str">
            <v>HK</v>
          </cell>
          <cell r="M187">
            <v>46031</v>
          </cell>
          <cell r="N187">
            <v>46042</v>
          </cell>
          <cell r="O187">
            <v>46042</v>
          </cell>
          <cell r="P187">
            <v>107906111720</v>
          </cell>
          <cell r="Q187">
            <v>46041</v>
          </cell>
          <cell r="R187" t="str">
            <v>No inspection</v>
          </cell>
          <cell r="S187">
            <v>3075.1</v>
          </cell>
          <cell r="T187" t="str">
            <v>EXW</v>
          </cell>
          <cell r="U187" t="str">
            <v>PUR</v>
          </cell>
        </row>
        <row r="188">
          <cell r="D188">
            <v>31.5</v>
          </cell>
          <cell r="F188">
            <v>887756413213</v>
          </cell>
          <cell r="G188" t="str">
            <v>TECHFORD INT LTD</v>
          </cell>
          <cell r="H188" t="str">
            <v>Delivered</v>
          </cell>
          <cell r="I188" t="str">
            <v>standoff</v>
          </cell>
          <cell r="J188" t="str">
            <v>Fedex</v>
          </cell>
          <cell r="K188" t="str">
            <v>VVMV</v>
          </cell>
          <cell r="L188" t="str">
            <v>HK</v>
          </cell>
          <cell r="M188">
            <v>46031</v>
          </cell>
          <cell r="N188">
            <v>46042</v>
          </cell>
          <cell r="O188">
            <v>46042</v>
          </cell>
          <cell r="P188">
            <v>107905825530</v>
          </cell>
          <cell r="Q188">
            <v>46041</v>
          </cell>
          <cell r="R188" t="str">
            <v>No inspection</v>
          </cell>
          <cell r="S188">
            <v>2774.04</v>
          </cell>
          <cell r="T188" t="str">
            <v>EXW</v>
          </cell>
          <cell r="U188" t="str">
            <v>HLO</v>
          </cell>
        </row>
        <row r="189">
          <cell r="D189">
            <v>10.5</v>
          </cell>
          <cell r="F189">
            <v>397590288154</v>
          </cell>
          <cell r="G189" t="str">
            <v>c/o DHL Supply Chain SGP P/L
Texas Instruments Southeast Asia Pt</v>
          </cell>
          <cell r="H189" t="str">
            <v>Delivered</v>
          </cell>
          <cell r="I189" t="str">
            <v>ic..</v>
          </cell>
          <cell r="J189" t="str">
            <v>Fedex</v>
          </cell>
          <cell r="K189" t="str">
            <v>VVMV</v>
          </cell>
          <cell r="L189" t="str">
            <v>SG</v>
          </cell>
          <cell r="M189">
            <v>46031</v>
          </cell>
          <cell r="N189">
            <v>46042</v>
          </cell>
          <cell r="O189">
            <v>46042</v>
          </cell>
          <cell r="P189">
            <v>107906063530</v>
          </cell>
          <cell r="Q189">
            <v>46041</v>
          </cell>
          <cell r="R189" t="str">
            <v>No inspection</v>
          </cell>
          <cell r="S189">
            <v>7727.5</v>
          </cell>
          <cell r="T189" t="str">
            <v>EXW</v>
          </cell>
          <cell r="U189" t="str">
            <v>LUC</v>
          </cell>
        </row>
        <row r="190">
          <cell r="D190">
            <v>3</v>
          </cell>
          <cell r="F190">
            <v>887816287285</v>
          </cell>
          <cell r="G190" t="str">
            <v>WT MICROELECTRONICS SPORE P/L</v>
          </cell>
          <cell r="H190" t="str">
            <v>Delivered</v>
          </cell>
          <cell r="I190" t="str">
            <v>ic..</v>
          </cell>
          <cell r="J190" t="str">
            <v>Fedex</v>
          </cell>
          <cell r="K190" t="str">
            <v>VVMV</v>
          </cell>
          <cell r="L190" t="str">
            <v>SG</v>
          </cell>
          <cell r="M190">
            <v>46034</v>
          </cell>
          <cell r="N190">
            <v>46042</v>
          </cell>
          <cell r="O190">
            <v>46042</v>
          </cell>
          <cell r="P190">
            <v>107906070160</v>
          </cell>
          <cell r="Q190">
            <v>46041</v>
          </cell>
          <cell r="R190" t="str">
            <v>No inspection</v>
          </cell>
          <cell r="S190">
            <v>1003.2</v>
          </cell>
          <cell r="T190" t="str">
            <v>EXW</v>
          </cell>
          <cell r="U190" t="str">
            <v>AIC</v>
          </cell>
        </row>
        <row r="191">
          <cell r="D191">
            <v>3</v>
          </cell>
          <cell r="F191">
            <v>887920493340</v>
          </cell>
          <cell r="G191" t="str">
            <v>SUNLORD ELECTRONICS TECHNOLOGY PTE</v>
          </cell>
          <cell r="H191" t="str">
            <v>Delivered</v>
          </cell>
          <cell r="I191" t="str">
            <v>cap..</v>
          </cell>
          <cell r="J191" t="str">
            <v>Fedex</v>
          </cell>
          <cell r="K191" t="str">
            <v>VVMV</v>
          </cell>
          <cell r="L191" t="str">
            <v>HK</v>
          </cell>
          <cell r="M191">
            <v>46037</v>
          </cell>
          <cell r="N191">
            <v>46043</v>
          </cell>
          <cell r="O191">
            <v>46043</v>
          </cell>
          <cell r="P191">
            <v>107911141000</v>
          </cell>
          <cell r="Q191">
            <v>46042</v>
          </cell>
          <cell r="R191" t="str">
            <v>No inspection</v>
          </cell>
          <cell r="S191">
            <v>203.1</v>
          </cell>
          <cell r="T191" t="str">
            <v>EXW</v>
          </cell>
          <cell r="U191" t="str">
            <v>HLO</v>
          </cell>
        </row>
        <row r="192">
          <cell r="D192">
            <v>75</v>
          </cell>
          <cell r="F192">
            <v>397795450289</v>
          </cell>
          <cell r="G192" t="str">
            <v>WURTH ELECTRONICS MIDCOM</v>
          </cell>
          <cell r="H192" t="str">
            <v>Delivered</v>
          </cell>
          <cell r="I192" t="str">
            <v>ind..</v>
          </cell>
          <cell r="J192" t="str">
            <v>Fedex</v>
          </cell>
          <cell r="K192" t="str">
            <v>VVMV</v>
          </cell>
          <cell r="L192" t="str">
            <v>US</v>
          </cell>
          <cell r="M192">
            <v>46037</v>
          </cell>
          <cell r="N192">
            <v>46045</v>
          </cell>
          <cell r="O192">
            <v>46045</v>
          </cell>
          <cell r="P192">
            <v>107917547400</v>
          </cell>
          <cell r="Q192">
            <v>46044</v>
          </cell>
          <cell r="R192" t="str">
            <v>No inspection</v>
          </cell>
          <cell r="S192">
            <v>9440</v>
          </cell>
          <cell r="T192" t="str">
            <v>CIF</v>
          </cell>
          <cell r="U192" t="str">
            <v>LUC</v>
          </cell>
        </row>
        <row r="193">
          <cell r="D193">
            <v>0.5</v>
          </cell>
          <cell r="F193">
            <v>887959877426</v>
          </cell>
          <cell r="G193" t="str">
            <v>FUTURETECH COMPONENTS LTD</v>
          </cell>
          <cell r="H193" t="str">
            <v>Delivered</v>
          </cell>
          <cell r="I193" t="str">
            <v>diode</v>
          </cell>
          <cell r="J193" t="str">
            <v>Fedex</v>
          </cell>
          <cell r="K193" t="str">
            <v>VVMV</v>
          </cell>
          <cell r="L193" t="str">
            <v>CN</v>
          </cell>
          <cell r="M193">
            <v>46038</v>
          </cell>
          <cell r="N193">
            <v>46042</v>
          </cell>
          <cell r="O193">
            <v>46043</v>
          </cell>
          <cell r="P193">
            <v>107906886140</v>
          </cell>
          <cell r="Q193">
            <v>46041</v>
          </cell>
          <cell r="R193" t="str">
            <v>No inspection</v>
          </cell>
          <cell r="S193">
            <v>10</v>
          </cell>
          <cell r="T193" t="str">
            <v>EXW</v>
          </cell>
          <cell r="U193" t="str">
            <v>LUC</v>
          </cell>
        </row>
        <row r="194">
          <cell r="D194">
            <v>1</v>
          </cell>
          <cell r="F194">
            <v>479730287861</v>
          </cell>
          <cell r="G194" t="str">
            <v>ARROW COMPONENTS MEXICO SA De CV</v>
          </cell>
          <cell r="H194" t="str">
            <v>Delivered</v>
          </cell>
          <cell r="I194" t="str">
            <v>diode</v>
          </cell>
          <cell r="J194" t="str">
            <v>Fedex</v>
          </cell>
          <cell r="K194" t="str">
            <v>VVMV</v>
          </cell>
          <cell r="L194" t="str">
            <v>MX</v>
          </cell>
          <cell r="M194">
            <v>46034</v>
          </cell>
          <cell r="N194">
            <v>46042</v>
          </cell>
          <cell r="O194">
            <v>46042</v>
          </cell>
          <cell r="P194">
            <v>107906244720</v>
          </cell>
          <cell r="Q194">
            <v>46041</v>
          </cell>
          <cell r="R194" t="str">
            <v>No inspection</v>
          </cell>
          <cell r="S194">
            <v>291</v>
          </cell>
          <cell r="T194" t="str">
            <v>CIF</v>
          </cell>
          <cell r="U194" t="str">
            <v>HLO</v>
          </cell>
        </row>
        <row r="195">
          <cell r="D195">
            <v>0.5</v>
          </cell>
          <cell r="F195">
            <v>501117752299</v>
          </cell>
          <cell r="G195" t="str">
            <v>DIODE TAIWAN S A R L TAIWAN BRANC</v>
          </cell>
          <cell r="H195" t="str">
            <v>Delivered</v>
          </cell>
          <cell r="I195" t="str">
            <v>diode</v>
          </cell>
          <cell r="J195" t="str">
            <v>Fedex</v>
          </cell>
          <cell r="K195" t="str">
            <v>VVMV</v>
          </cell>
          <cell r="L195" t="str">
            <v>TW</v>
          </cell>
          <cell r="M195">
            <v>46038</v>
          </cell>
          <cell r="N195">
            <v>46042</v>
          </cell>
          <cell r="O195">
            <v>46043</v>
          </cell>
          <cell r="P195">
            <v>107906435600</v>
          </cell>
          <cell r="Q195">
            <v>46041</v>
          </cell>
          <cell r="R195" t="str">
            <v>No inspection</v>
          </cell>
          <cell r="S195">
            <v>1.2</v>
          </cell>
          <cell r="T195" t="str">
            <v>CIF</v>
          </cell>
          <cell r="U195" t="str">
            <v>LUC</v>
          </cell>
        </row>
        <row r="196">
          <cell r="D196">
            <v>7.5</v>
          </cell>
          <cell r="F196">
            <v>4110332995</v>
          </cell>
          <cell r="G196" t="str">
            <v>AVNET, INC</v>
          </cell>
          <cell r="H196" t="str">
            <v>Delivered</v>
          </cell>
          <cell r="I196" t="str">
            <v>con..</v>
          </cell>
          <cell r="J196" t="str">
            <v>Expeditors</v>
          </cell>
          <cell r="K196" t="str">
            <v>VVMV</v>
          </cell>
          <cell r="L196" t="str">
            <v>US</v>
          </cell>
          <cell r="M196">
            <v>46035</v>
          </cell>
          <cell r="N196">
            <v>46042</v>
          </cell>
          <cell r="O196">
            <v>46042</v>
          </cell>
          <cell r="P196">
            <v>107906430110</v>
          </cell>
          <cell r="Q196">
            <v>46041</v>
          </cell>
          <cell r="R196" t="str">
            <v>No inspection</v>
          </cell>
          <cell r="S196">
            <v>876.79</v>
          </cell>
          <cell r="T196" t="str">
            <v>DAP</v>
          </cell>
          <cell r="U196" t="str">
            <v>LUC</v>
          </cell>
        </row>
        <row r="197">
          <cell r="D197">
            <v>52.5</v>
          </cell>
          <cell r="F197" t="str">
            <v>8XN2309</v>
          </cell>
          <cell r="G197" t="str">
            <v>KIOXIA CORPORATION C/O KIOXIA AMERICA INC</v>
          </cell>
          <cell r="H197" t="str">
            <v>Delivered</v>
          </cell>
          <cell r="I197" t="str">
            <v>mem</v>
          </cell>
          <cell r="J197" t="str">
            <v>DHL( global)</v>
          </cell>
          <cell r="K197" t="str">
            <v>VVMV</v>
          </cell>
          <cell r="L197" t="str">
            <v>JP</v>
          </cell>
          <cell r="M197">
            <v>46037</v>
          </cell>
          <cell r="N197">
            <v>46042</v>
          </cell>
          <cell r="O197">
            <v>46042</v>
          </cell>
          <cell r="P197">
            <v>107906752550</v>
          </cell>
          <cell r="Q197">
            <v>46041</v>
          </cell>
          <cell r="R197" t="str">
            <v>No inspection</v>
          </cell>
          <cell r="S197">
            <v>1760648.4</v>
          </cell>
          <cell r="T197" t="str">
            <v>DAP</v>
          </cell>
          <cell r="U197" t="str">
            <v>HLO</v>
          </cell>
        </row>
        <row r="198">
          <cell r="D198">
            <v>52.5</v>
          </cell>
          <cell r="F198" t="str">
            <v>8XN2310</v>
          </cell>
          <cell r="G198" t="str">
            <v>KIOXIA CORPORATION C/O KIOXIA AMERICA INC</v>
          </cell>
          <cell r="H198" t="str">
            <v>Delivered</v>
          </cell>
          <cell r="I198" t="str">
            <v>mem</v>
          </cell>
          <cell r="J198" t="str">
            <v>DHL( global)</v>
          </cell>
          <cell r="K198" t="str">
            <v>VVMV</v>
          </cell>
          <cell r="L198" t="str">
            <v>JP</v>
          </cell>
          <cell r="M198">
            <v>46037</v>
          </cell>
          <cell r="N198">
            <v>46042</v>
          </cell>
          <cell r="O198">
            <v>46042</v>
          </cell>
          <cell r="P198">
            <v>107907050200</v>
          </cell>
          <cell r="Q198">
            <v>46041</v>
          </cell>
          <cell r="R198" t="str">
            <v>No inspection</v>
          </cell>
          <cell r="S198">
            <v>1760648.4</v>
          </cell>
          <cell r="T198" t="str">
            <v>DAP</v>
          </cell>
          <cell r="U198" t="str">
            <v>HLO</v>
          </cell>
        </row>
        <row r="199">
          <cell r="D199">
            <v>45</v>
          </cell>
          <cell r="F199" t="str">
            <v>8XN2311</v>
          </cell>
          <cell r="G199" t="str">
            <v>KIOXIA CORPORATION C/O KIOXIA AMERICA INC</v>
          </cell>
          <cell r="H199" t="str">
            <v>Delivered</v>
          </cell>
          <cell r="I199" t="str">
            <v>mem</v>
          </cell>
          <cell r="J199" t="str">
            <v>DHL( global)</v>
          </cell>
          <cell r="K199" t="str">
            <v>VVMV</v>
          </cell>
          <cell r="L199" t="str">
            <v>JP</v>
          </cell>
          <cell r="M199">
            <v>46037</v>
          </cell>
          <cell r="N199">
            <v>46042</v>
          </cell>
          <cell r="O199">
            <v>46042</v>
          </cell>
          <cell r="P199">
            <v>107907002600</v>
          </cell>
          <cell r="Q199">
            <v>46041</v>
          </cell>
          <cell r="R199" t="str">
            <v>No inspection</v>
          </cell>
          <cell r="S199">
            <v>1509127.2</v>
          </cell>
          <cell r="T199" t="str">
            <v>DAP</v>
          </cell>
          <cell r="U199" t="str">
            <v>HLO</v>
          </cell>
        </row>
        <row r="200">
          <cell r="D200">
            <v>47</v>
          </cell>
          <cell r="F200" t="str">
            <v>8XN2307</v>
          </cell>
          <cell r="G200" t="str">
            <v>KIOXIA CORPORATION C/O KIOXIA AMERICA INC</v>
          </cell>
          <cell r="H200" t="str">
            <v>Delivered</v>
          </cell>
          <cell r="I200" t="str">
            <v>mem</v>
          </cell>
          <cell r="J200" t="str">
            <v>DHL( global)</v>
          </cell>
          <cell r="K200" t="str">
            <v>VVMV</v>
          </cell>
          <cell r="L200" t="str">
            <v>JP</v>
          </cell>
          <cell r="M200">
            <v>46037</v>
          </cell>
          <cell r="N200">
            <v>46042</v>
          </cell>
          <cell r="O200">
            <v>46043</v>
          </cell>
          <cell r="P200">
            <v>107906630201</v>
          </cell>
          <cell r="Q200">
            <v>46041</v>
          </cell>
          <cell r="R200" t="str">
            <v xml:space="preserve"> inspection</v>
          </cell>
          <cell r="S200">
            <v>1508927.58</v>
          </cell>
          <cell r="T200" t="str">
            <v>DAP</v>
          </cell>
          <cell r="U200" t="str">
            <v>HLO</v>
          </cell>
        </row>
        <row r="201">
          <cell r="D201">
            <v>52.5</v>
          </cell>
          <cell r="F201" t="str">
            <v>8XN2308</v>
          </cell>
          <cell r="G201" t="str">
            <v>KIOXIA CORPORATION C/O KIOXIA AMERICA INC</v>
          </cell>
          <cell r="H201" t="str">
            <v>Delivered</v>
          </cell>
          <cell r="I201" t="str">
            <v>mem</v>
          </cell>
          <cell r="J201" t="str">
            <v>DHL( global)</v>
          </cell>
          <cell r="K201" t="str">
            <v>VVMV</v>
          </cell>
          <cell r="L201" t="str">
            <v>JP</v>
          </cell>
          <cell r="M201">
            <v>46037</v>
          </cell>
          <cell r="N201">
            <v>46042</v>
          </cell>
          <cell r="O201">
            <v>46042</v>
          </cell>
          <cell r="P201">
            <v>107906866100</v>
          </cell>
          <cell r="Q201">
            <v>46041</v>
          </cell>
          <cell r="R201" t="str">
            <v>No inspection</v>
          </cell>
          <cell r="S201">
            <v>1760648.4</v>
          </cell>
          <cell r="T201" t="str">
            <v>DAP</v>
          </cell>
          <cell r="U201" t="str">
            <v>HLO</v>
          </cell>
        </row>
        <row r="202">
          <cell r="D202">
            <v>40.799999999999997</v>
          </cell>
          <cell r="F202" t="str">
            <v>8XN2333</v>
          </cell>
          <cell r="G202" t="str">
            <v>KIOXIA CORPORATION C/O KIOXIA AMERICA INC</v>
          </cell>
          <cell r="H202" t="str">
            <v>Delivered</v>
          </cell>
          <cell r="I202" t="str">
            <v>mem</v>
          </cell>
          <cell r="J202" t="str">
            <v>DHL( global)</v>
          </cell>
          <cell r="K202" t="str">
            <v>VVMV</v>
          </cell>
          <cell r="L202" t="str">
            <v>JP</v>
          </cell>
          <cell r="M202">
            <v>46039</v>
          </cell>
          <cell r="N202">
            <v>46042</v>
          </cell>
          <cell r="O202">
            <v>46042</v>
          </cell>
          <cell r="P202">
            <v>107907018920</v>
          </cell>
          <cell r="Q202">
            <v>46041</v>
          </cell>
          <cell r="R202" t="str">
            <v>No inspection</v>
          </cell>
          <cell r="S202">
            <v>1310106.06</v>
          </cell>
          <cell r="T202" t="str">
            <v>DAP</v>
          </cell>
          <cell r="U202" t="str">
            <v>HLO</v>
          </cell>
        </row>
        <row r="203">
          <cell r="D203">
            <v>53.2</v>
          </cell>
          <cell r="F203" t="str">
            <v>8XN2331</v>
          </cell>
          <cell r="G203" t="str">
            <v>KIOXIA CORPORATION C/O KIOXIA AMERICA INC</v>
          </cell>
          <cell r="H203" t="str">
            <v>Delivered</v>
          </cell>
          <cell r="I203" t="str">
            <v>mem</v>
          </cell>
          <cell r="J203" t="str">
            <v>DHL( global)</v>
          </cell>
          <cell r="K203" t="str">
            <v>VVMV</v>
          </cell>
          <cell r="L203" t="str">
            <v>JP</v>
          </cell>
          <cell r="M203">
            <v>46039</v>
          </cell>
          <cell r="N203">
            <v>46042</v>
          </cell>
          <cell r="O203">
            <v>46042</v>
          </cell>
          <cell r="P203">
            <v>107906639260</v>
          </cell>
          <cell r="Q203">
            <v>46041</v>
          </cell>
          <cell r="R203" t="str">
            <v>No inspection</v>
          </cell>
          <cell r="S203">
            <v>1760648.4</v>
          </cell>
          <cell r="T203" t="str">
            <v>DAP</v>
          </cell>
          <cell r="U203" t="str">
            <v>HLO</v>
          </cell>
        </row>
        <row r="204">
          <cell r="D204">
            <v>53.2</v>
          </cell>
          <cell r="F204" t="str">
            <v>8XN2332</v>
          </cell>
          <cell r="G204" t="str">
            <v>KIOXIA CORPORATION C/O KIOXIA AMERICA INC</v>
          </cell>
          <cell r="H204" t="str">
            <v>Delivered</v>
          </cell>
          <cell r="I204" t="str">
            <v>mem</v>
          </cell>
          <cell r="J204" t="str">
            <v>DHL( global)</v>
          </cell>
          <cell r="K204" t="str">
            <v>VVMV</v>
          </cell>
          <cell r="L204" t="str">
            <v>JP</v>
          </cell>
          <cell r="M204">
            <v>46039</v>
          </cell>
          <cell r="N204">
            <v>46042</v>
          </cell>
          <cell r="O204">
            <v>46042</v>
          </cell>
          <cell r="P204">
            <v>107906983700</v>
          </cell>
          <cell r="Q204">
            <v>46041</v>
          </cell>
          <cell r="R204" t="str">
            <v>No inspection</v>
          </cell>
          <cell r="S204">
            <v>1760648.4</v>
          </cell>
          <cell r="T204" t="str">
            <v>DAP</v>
          </cell>
          <cell r="U204" t="str">
            <v>HLO</v>
          </cell>
        </row>
        <row r="205">
          <cell r="D205">
            <v>124</v>
          </cell>
          <cell r="F205">
            <v>4812882070</v>
          </cell>
          <cell r="G205" t="str">
            <v>LIPERS ENTERPRISE CO LTD</v>
          </cell>
          <cell r="H205" t="str">
            <v>Delivered</v>
          </cell>
          <cell r="I205" t="str">
            <v>cap..</v>
          </cell>
          <cell r="J205" t="str">
            <v>Expeditors</v>
          </cell>
          <cell r="K205" t="str">
            <v>VVMV</v>
          </cell>
          <cell r="L205" t="str">
            <v>TW</v>
          </cell>
          <cell r="M205">
            <v>46038</v>
          </cell>
          <cell r="N205">
            <v>46042</v>
          </cell>
          <cell r="O205">
            <v>46042</v>
          </cell>
          <cell r="P205">
            <v>107906711840</v>
          </cell>
          <cell r="Q205">
            <v>46041</v>
          </cell>
          <cell r="R205" t="str">
            <v>No inspection</v>
          </cell>
          <cell r="S205">
            <v>9801.2000000000007</v>
          </cell>
          <cell r="T205" t="str">
            <v>FOB</v>
          </cell>
          <cell r="U205" t="str">
            <v>LUC</v>
          </cell>
        </row>
        <row r="206">
          <cell r="D206">
            <v>2</v>
          </cell>
          <cell r="F206">
            <v>500628175324</v>
          </cell>
          <cell r="G206" t="str">
            <v>DIGI-KEY ELECTRONICS</v>
          </cell>
          <cell r="H206" t="str">
            <v>Delivered</v>
          </cell>
          <cell r="I206" t="str">
            <v>tran..</v>
          </cell>
          <cell r="J206" t="str">
            <v>Fedex</v>
          </cell>
          <cell r="K206" t="str">
            <v>VVMV</v>
          </cell>
          <cell r="L206" t="str">
            <v>US</v>
          </cell>
          <cell r="M206">
            <v>46034</v>
          </cell>
          <cell r="N206">
            <v>46042</v>
          </cell>
          <cell r="O206">
            <v>46043</v>
          </cell>
          <cell r="P206">
            <v>107906466510</v>
          </cell>
          <cell r="Q206">
            <v>46041</v>
          </cell>
          <cell r="R206" t="str">
            <v>No inspection</v>
          </cell>
          <cell r="S206">
            <v>3827</v>
          </cell>
          <cell r="T206" t="str">
            <v>CIF</v>
          </cell>
          <cell r="U206" t="str">
            <v>LUC</v>
          </cell>
        </row>
        <row r="207">
          <cell r="D207">
            <v>107.5</v>
          </cell>
          <cell r="F207">
            <v>397840958463</v>
          </cell>
          <cell r="G207" t="str">
            <v>WURTH ELECTRONICS MIDCOM</v>
          </cell>
          <cell r="H207" t="str">
            <v>Delivered</v>
          </cell>
          <cell r="I207" t="str">
            <v>ind..</v>
          </cell>
          <cell r="J207" t="str">
            <v>Fedex</v>
          </cell>
          <cell r="K207" t="str">
            <v>VVMV</v>
          </cell>
          <cell r="L207" t="str">
            <v>US</v>
          </cell>
          <cell r="M207">
            <v>46038</v>
          </cell>
          <cell r="N207">
            <v>46045</v>
          </cell>
          <cell r="O207">
            <v>46048</v>
          </cell>
          <cell r="P207">
            <v>107918468230</v>
          </cell>
          <cell r="Q207">
            <v>46044</v>
          </cell>
          <cell r="R207" t="str">
            <v>No inspection</v>
          </cell>
          <cell r="S207">
            <v>10684.5</v>
          </cell>
          <cell r="T207" t="str">
            <v>CIF</v>
          </cell>
          <cell r="U207" t="str">
            <v>LUC</v>
          </cell>
        </row>
        <row r="208">
          <cell r="D208">
            <v>3.5</v>
          </cell>
          <cell r="F208">
            <v>397818185419</v>
          </cell>
          <cell r="G208" t="str">
            <v>c/o DHL Supply Chain SGP P/L
Texas Instruments Southeast Asia Pt</v>
          </cell>
          <cell r="H208" t="str">
            <v>Delivered</v>
          </cell>
          <cell r="I208" t="str">
            <v>ic..</v>
          </cell>
          <cell r="J208" t="str">
            <v>Fedex</v>
          </cell>
          <cell r="K208" t="str">
            <v>VVMV</v>
          </cell>
          <cell r="L208" t="str">
            <v>SG</v>
          </cell>
          <cell r="M208">
            <v>46038</v>
          </cell>
          <cell r="N208">
            <v>46048</v>
          </cell>
          <cell r="O208">
            <v>46048</v>
          </cell>
          <cell r="P208">
            <v>107922321510</v>
          </cell>
          <cell r="Q208">
            <v>46045</v>
          </cell>
          <cell r="R208" t="str">
            <v>No inspection</v>
          </cell>
          <cell r="S208">
            <v>15646</v>
          </cell>
          <cell r="T208" t="str">
            <v>EXW</v>
          </cell>
          <cell r="U208" t="str">
            <v>LUC</v>
          </cell>
        </row>
        <row r="209">
          <cell r="D209">
            <v>2</v>
          </cell>
          <cell r="F209">
            <v>887923585756</v>
          </cell>
          <cell r="G209" t="str">
            <v>SUNLORD ELECTRONICS TECHNOLOGY PTE</v>
          </cell>
          <cell r="H209" t="str">
            <v>Delivered</v>
          </cell>
          <cell r="I209" t="str">
            <v>res..</v>
          </cell>
          <cell r="J209" t="str">
            <v>Fedex</v>
          </cell>
          <cell r="K209" t="str">
            <v>VVMV</v>
          </cell>
          <cell r="L209" t="str">
            <v>SG</v>
          </cell>
          <cell r="M209">
            <v>46037</v>
          </cell>
          <cell r="N209">
            <v>46043</v>
          </cell>
          <cell r="O209">
            <v>46044</v>
          </cell>
          <cell r="P209">
            <v>107911299160</v>
          </cell>
          <cell r="Q209">
            <v>46042</v>
          </cell>
          <cell r="R209" t="str">
            <v>No inspection</v>
          </cell>
          <cell r="S209">
            <v>341.6</v>
          </cell>
          <cell r="T209" t="str">
            <v>EXW</v>
          </cell>
          <cell r="U209" t="str">
            <v>HLO</v>
          </cell>
        </row>
        <row r="210">
          <cell r="D210">
            <v>1</v>
          </cell>
          <cell r="F210">
            <v>887923030517</v>
          </cell>
          <cell r="G210" t="str">
            <v>ACE Technology (Taiwan) Co., LTD.</v>
          </cell>
          <cell r="H210" t="str">
            <v>Delivered</v>
          </cell>
          <cell r="I210" t="str">
            <v>tran..</v>
          </cell>
          <cell r="J210" t="str">
            <v>Fedex</v>
          </cell>
          <cell r="K210" t="str">
            <v>VVMV</v>
          </cell>
          <cell r="L210" t="str">
            <v>TW</v>
          </cell>
          <cell r="M210">
            <v>46037</v>
          </cell>
          <cell r="N210">
            <v>46043</v>
          </cell>
          <cell r="O210">
            <v>46044</v>
          </cell>
          <cell r="P210">
            <v>107911173050</v>
          </cell>
          <cell r="Q210">
            <v>46042</v>
          </cell>
          <cell r="R210" t="str">
            <v>No inspection</v>
          </cell>
          <cell r="S210">
            <v>138.75</v>
          </cell>
          <cell r="T210" t="str">
            <v>EXW</v>
          </cell>
          <cell r="U210">
            <v>109</v>
          </cell>
        </row>
        <row r="211">
          <cell r="D211">
            <v>0.5</v>
          </cell>
          <cell r="F211">
            <v>479730274828</v>
          </cell>
          <cell r="G211" t="str">
            <v>ARROW COMPONENTS MEXICO SA De CV</v>
          </cell>
          <cell r="H211" t="str">
            <v>Delivered</v>
          </cell>
          <cell r="I211" t="str">
            <v>res..</v>
          </cell>
          <cell r="J211" t="str">
            <v>Fedex</v>
          </cell>
          <cell r="K211" t="str">
            <v>VVMV</v>
          </cell>
          <cell r="L211" t="str">
            <v>MX</v>
          </cell>
          <cell r="M211">
            <v>46027</v>
          </cell>
          <cell r="N211">
            <v>46043</v>
          </cell>
          <cell r="O211">
            <v>46044</v>
          </cell>
          <cell r="P211">
            <v>107909928450</v>
          </cell>
          <cell r="Q211">
            <v>46042</v>
          </cell>
          <cell r="R211" t="str">
            <v>No inspection</v>
          </cell>
          <cell r="S211">
            <v>16.399999999999999</v>
          </cell>
          <cell r="T211" t="str">
            <v>CIF</v>
          </cell>
          <cell r="U211" t="str">
            <v>LUC</v>
          </cell>
        </row>
        <row r="212">
          <cell r="D212">
            <v>80.5</v>
          </cell>
          <cell r="F212">
            <v>451257564571</v>
          </cell>
          <cell r="G212" t="str">
            <v>COILCRAFT SINGAPORE PTE LTD</v>
          </cell>
          <cell r="H212" t="str">
            <v>Delivered</v>
          </cell>
          <cell r="I212" t="str">
            <v>ind..</v>
          </cell>
          <cell r="J212" t="str">
            <v>Fedex</v>
          </cell>
          <cell r="K212" t="str">
            <v>VVMV</v>
          </cell>
          <cell r="L212" t="str">
            <v>SG</v>
          </cell>
          <cell r="M212">
            <v>46038</v>
          </cell>
          <cell r="N212">
            <v>46043</v>
          </cell>
          <cell r="O212">
            <v>46044</v>
          </cell>
          <cell r="P212">
            <v>107910523230</v>
          </cell>
          <cell r="Q212">
            <v>46042</v>
          </cell>
          <cell r="R212" t="str">
            <v>No inspection</v>
          </cell>
          <cell r="S212">
            <v>14806.5</v>
          </cell>
          <cell r="T212" t="str">
            <v>EXW</v>
          </cell>
          <cell r="U212" t="str">
            <v>LUC</v>
          </cell>
        </row>
        <row r="213">
          <cell r="D213">
            <v>0.5</v>
          </cell>
          <cell r="F213">
            <v>419341609571</v>
          </cell>
          <cell r="G213" t="str">
            <v>VENKEL LTD</v>
          </cell>
          <cell r="H213" t="str">
            <v>Delivered</v>
          </cell>
          <cell r="I213" t="str">
            <v>cap..</v>
          </cell>
          <cell r="J213" t="str">
            <v>Fedex</v>
          </cell>
          <cell r="K213" t="str">
            <v>VVMV</v>
          </cell>
          <cell r="L213" t="str">
            <v>US</v>
          </cell>
          <cell r="M213">
            <v>46034</v>
          </cell>
          <cell r="N213">
            <v>46043</v>
          </cell>
          <cell r="O213">
            <v>46043</v>
          </cell>
          <cell r="P213">
            <v>107910496040</v>
          </cell>
          <cell r="Q213">
            <v>46042</v>
          </cell>
          <cell r="R213" t="str">
            <v>No inspection</v>
          </cell>
          <cell r="S213">
            <v>113.8</v>
          </cell>
          <cell r="T213" t="str">
            <v>CIF</v>
          </cell>
          <cell r="U213" t="str">
            <v>EF-</v>
          </cell>
        </row>
        <row r="214">
          <cell r="D214">
            <v>1</v>
          </cell>
          <cell r="F214">
            <v>479730294944</v>
          </cell>
          <cell r="G214" t="str">
            <v>ARROW COMPONENTS MEXICO SA De CV</v>
          </cell>
          <cell r="H214" t="str">
            <v>Delivered</v>
          </cell>
          <cell r="I214" t="str">
            <v>ic..</v>
          </cell>
          <cell r="J214" t="str">
            <v>Fedex</v>
          </cell>
          <cell r="K214" t="str">
            <v>VVMV</v>
          </cell>
          <cell r="L214" t="str">
            <v>MX</v>
          </cell>
          <cell r="M214">
            <v>46036</v>
          </cell>
          <cell r="N214">
            <v>46043</v>
          </cell>
          <cell r="O214">
            <v>46044</v>
          </cell>
          <cell r="P214">
            <v>107910583800</v>
          </cell>
          <cell r="Q214">
            <v>46042</v>
          </cell>
          <cell r="R214" t="str">
            <v>No inspection</v>
          </cell>
          <cell r="S214">
            <v>575</v>
          </cell>
          <cell r="T214" t="str">
            <v>CIF</v>
          </cell>
          <cell r="U214" t="str">
            <v>PUR</v>
          </cell>
        </row>
        <row r="215">
          <cell r="D215">
            <v>1.5</v>
          </cell>
          <cell r="F215">
            <v>479730290570</v>
          </cell>
          <cell r="G215" t="str">
            <v>ARROW COMPONENTS MEXICO SA De CV</v>
          </cell>
          <cell r="H215" t="str">
            <v>Delivered</v>
          </cell>
          <cell r="I215" t="str">
            <v>ic..</v>
          </cell>
          <cell r="J215" t="str">
            <v>Fedex</v>
          </cell>
          <cell r="K215" t="str">
            <v>VVMV</v>
          </cell>
          <cell r="L215" t="str">
            <v>MX</v>
          </cell>
          <cell r="M215">
            <v>46034</v>
          </cell>
          <cell r="N215">
            <v>46043</v>
          </cell>
          <cell r="O215">
            <v>46044</v>
          </cell>
          <cell r="P215">
            <v>107910822130</v>
          </cell>
          <cell r="Q215">
            <v>46042</v>
          </cell>
          <cell r="R215" t="str">
            <v>No inspection</v>
          </cell>
          <cell r="S215">
            <v>4429.6000000000004</v>
          </cell>
          <cell r="T215" t="str">
            <v>CIF</v>
          </cell>
          <cell r="U215" t="str">
            <v>EF-</v>
          </cell>
        </row>
        <row r="216">
          <cell r="D216">
            <v>5</v>
          </cell>
          <cell r="F216">
            <v>397828677698</v>
          </cell>
          <cell r="G216" t="str">
            <v>WURTH ELECTRONICS MIDCOM</v>
          </cell>
          <cell r="H216" t="str">
            <v>Delivered</v>
          </cell>
          <cell r="I216" t="str">
            <v>ind..</v>
          </cell>
          <cell r="J216" t="str">
            <v>Fedex</v>
          </cell>
          <cell r="K216" t="str">
            <v>VVMV</v>
          </cell>
          <cell r="L216" t="str">
            <v>US</v>
          </cell>
          <cell r="M216">
            <v>46038</v>
          </cell>
          <cell r="N216">
            <v>46045</v>
          </cell>
          <cell r="O216">
            <v>46045</v>
          </cell>
          <cell r="P216">
            <v>107917074420</v>
          </cell>
          <cell r="Q216">
            <v>46044</v>
          </cell>
          <cell r="R216" t="str">
            <v>No inspection</v>
          </cell>
          <cell r="S216">
            <v>8820</v>
          </cell>
          <cell r="T216" t="str">
            <v>CIF</v>
          </cell>
          <cell r="U216" t="str">
            <v>LUC</v>
          </cell>
        </row>
        <row r="217">
          <cell r="D217">
            <v>58.5</v>
          </cell>
          <cell r="F217">
            <v>409298904920</v>
          </cell>
          <cell r="G217" t="str">
            <v>TTI ELECTRONICS ASIA PTE LTD</v>
          </cell>
          <cell r="H217" t="str">
            <v>Delivered</v>
          </cell>
          <cell r="I217" t="str">
            <v>cap..</v>
          </cell>
          <cell r="J217" t="str">
            <v>Fedex</v>
          </cell>
          <cell r="K217" t="str">
            <v>VVMV</v>
          </cell>
          <cell r="L217" t="str">
            <v>SG</v>
          </cell>
          <cell r="M217">
            <v>46038</v>
          </cell>
          <cell r="N217">
            <v>46043</v>
          </cell>
          <cell r="O217">
            <v>46044</v>
          </cell>
          <cell r="P217">
            <v>107910755260</v>
          </cell>
          <cell r="Q217">
            <v>46042</v>
          </cell>
          <cell r="R217" t="str">
            <v>No inspection</v>
          </cell>
          <cell r="S217">
            <v>19773.95</v>
          </cell>
          <cell r="T217" t="str">
            <v>EXW</v>
          </cell>
          <cell r="U217" t="str">
            <v>LUC</v>
          </cell>
        </row>
        <row r="218">
          <cell r="D218">
            <v>1.5</v>
          </cell>
          <cell r="F218">
            <v>397705624510</v>
          </cell>
          <cell r="G218" t="str">
            <v>TEXAS INSTRUMENTS ASIA LIMITED
C/O KWE LOGISTICS (SHENZHEN)</v>
          </cell>
          <cell r="H218" t="str">
            <v>Delivered</v>
          </cell>
          <cell r="I218" t="str">
            <v>ic..</v>
          </cell>
          <cell r="J218" t="str">
            <v>Fedex</v>
          </cell>
          <cell r="K218" t="str">
            <v>VVMV</v>
          </cell>
          <cell r="L218" t="str">
            <v>CN</v>
          </cell>
          <cell r="M218">
            <v>46035</v>
          </cell>
          <cell r="N218">
            <v>46043</v>
          </cell>
          <cell r="O218">
            <v>46043</v>
          </cell>
          <cell r="P218">
            <v>107911106700</v>
          </cell>
          <cell r="Q218">
            <v>46042</v>
          </cell>
          <cell r="R218" t="str">
            <v>No inspection</v>
          </cell>
          <cell r="S218">
            <v>4488</v>
          </cell>
          <cell r="T218" t="str">
            <v>EXW</v>
          </cell>
          <cell r="U218" t="str">
            <v>LUC</v>
          </cell>
        </row>
        <row r="219">
          <cell r="D219">
            <v>3</v>
          </cell>
          <cell r="F219">
            <v>397781001310</v>
          </cell>
          <cell r="G219" t="str">
            <v>c/o DHL Supply Chain SGP P/L
Texas Instruments Southeast Asia Pt</v>
          </cell>
          <cell r="H219" t="str">
            <v>Delivered</v>
          </cell>
          <cell r="I219" t="str">
            <v>ic..</v>
          </cell>
          <cell r="J219" t="str">
            <v>Fedex</v>
          </cell>
          <cell r="K219" t="str">
            <v>VVMV</v>
          </cell>
          <cell r="L219" t="str">
            <v>SG</v>
          </cell>
          <cell r="M219">
            <v>46037</v>
          </cell>
          <cell r="N219">
            <v>46043</v>
          </cell>
          <cell r="O219">
            <v>46044</v>
          </cell>
          <cell r="P219">
            <v>107910716800</v>
          </cell>
          <cell r="Q219">
            <v>46042</v>
          </cell>
          <cell r="R219" t="str">
            <v>No inspection</v>
          </cell>
          <cell r="S219">
            <v>780</v>
          </cell>
          <cell r="T219" t="str">
            <v>EXW</v>
          </cell>
          <cell r="U219" t="str">
            <v>LUC</v>
          </cell>
        </row>
        <row r="220">
          <cell r="D220">
            <v>46</v>
          </cell>
          <cell r="F220">
            <v>887923726330</v>
          </cell>
          <cell r="G220" t="str">
            <v>STEADFAST INDUSTRIAL PTE LTD</v>
          </cell>
          <cell r="H220" t="str">
            <v>Delivered</v>
          </cell>
          <cell r="I220" t="str">
            <v>standoff</v>
          </cell>
          <cell r="J220" t="str">
            <v>Fedex</v>
          </cell>
          <cell r="K220" t="str">
            <v>VVMV</v>
          </cell>
          <cell r="L220" t="str">
            <v>SG</v>
          </cell>
          <cell r="M220">
            <v>46037</v>
          </cell>
          <cell r="N220">
            <v>46043</v>
          </cell>
          <cell r="O220">
            <v>46044</v>
          </cell>
          <cell r="P220">
            <v>107910964450</v>
          </cell>
          <cell r="Q220">
            <v>46042</v>
          </cell>
          <cell r="R220" t="str">
            <v>No inspection</v>
          </cell>
          <cell r="S220">
            <v>1746.4</v>
          </cell>
          <cell r="T220" t="str">
            <v>EXW</v>
          </cell>
          <cell r="U220" t="str">
            <v>PUR</v>
          </cell>
        </row>
        <row r="221">
          <cell r="D221">
            <v>2</v>
          </cell>
          <cell r="F221">
            <v>397816965861</v>
          </cell>
          <cell r="G221" t="str">
            <v>c/o DHL Supply Chain SGP P/L
Texas Instruments Southeast Asia Pt</v>
          </cell>
          <cell r="H221" t="str">
            <v>Delivered</v>
          </cell>
          <cell r="I221" t="str">
            <v>ic..</v>
          </cell>
          <cell r="J221" t="str">
            <v>Fedex</v>
          </cell>
          <cell r="K221" t="str">
            <v>VVMV</v>
          </cell>
          <cell r="L221" t="str">
            <v>SG</v>
          </cell>
          <cell r="M221">
            <v>46038</v>
          </cell>
          <cell r="N221">
            <v>46043</v>
          </cell>
          <cell r="O221">
            <v>46043</v>
          </cell>
          <cell r="P221">
            <v>107911016400</v>
          </cell>
          <cell r="Q221">
            <v>46042</v>
          </cell>
          <cell r="R221" t="str">
            <v>No inspection</v>
          </cell>
          <cell r="S221">
            <v>3017.5</v>
          </cell>
          <cell r="T221" t="str">
            <v>EXW</v>
          </cell>
          <cell r="U221" t="str">
            <v>LUC</v>
          </cell>
        </row>
        <row r="222">
          <cell r="D222">
            <v>1</v>
          </cell>
          <cell r="F222">
            <v>472187344561</v>
          </cell>
          <cell r="G222" t="str">
            <v>HEILIND ASIA PACIFIC (SG) PTE LTD</v>
          </cell>
          <cell r="H222" t="str">
            <v>Delivered</v>
          </cell>
          <cell r="I222" t="str">
            <v>thermal</v>
          </cell>
          <cell r="J222" t="str">
            <v>Fedex</v>
          </cell>
          <cell r="K222" t="str">
            <v>VVMV</v>
          </cell>
          <cell r="L222" t="str">
            <v>SG</v>
          </cell>
          <cell r="M222">
            <v>46036</v>
          </cell>
          <cell r="N222">
            <v>46043</v>
          </cell>
          <cell r="O222">
            <v>46043</v>
          </cell>
          <cell r="P222">
            <v>107910687250</v>
          </cell>
          <cell r="Q222">
            <v>46042</v>
          </cell>
          <cell r="R222" t="str">
            <v>No inspection</v>
          </cell>
          <cell r="S222">
            <v>1012</v>
          </cell>
          <cell r="T222" t="str">
            <v>EXW</v>
          </cell>
          <cell r="U222" t="str">
            <v>LUC</v>
          </cell>
        </row>
        <row r="223">
          <cell r="D223">
            <v>121.5</v>
          </cell>
          <cell r="F223">
            <v>477592550440</v>
          </cell>
          <cell r="G223" t="str">
            <v>QUALCOMM CDMA TECHNOLOGIES ASIA-PAC</v>
          </cell>
          <cell r="H223" t="str">
            <v>Delivered</v>
          </cell>
          <cell r="I223" t="str">
            <v>ic..</v>
          </cell>
          <cell r="J223" t="str">
            <v>Fedex</v>
          </cell>
          <cell r="K223" t="str">
            <v>VVMV</v>
          </cell>
          <cell r="L223" t="str">
            <v>SG</v>
          </cell>
          <cell r="M223">
            <v>46038</v>
          </cell>
          <cell r="N223">
            <v>46043</v>
          </cell>
          <cell r="O223">
            <v>46044</v>
          </cell>
          <cell r="P223">
            <v>107911080910</v>
          </cell>
          <cell r="Q223">
            <v>46042</v>
          </cell>
          <cell r="R223" t="str">
            <v>No inspection</v>
          </cell>
          <cell r="S223">
            <v>436929.12</v>
          </cell>
          <cell r="T223" t="str">
            <v>EXW</v>
          </cell>
          <cell r="U223" t="str">
            <v>LUC</v>
          </cell>
        </row>
        <row r="224">
          <cell r="D224">
            <v>13</v>
          </cell>
          <cell r="F224">
            <v>483570641324</v>
          </cell>
          <cell r="G224" t="str">
            <v>UNIGEN CORPORATION</v>
          </cell>
          <cell r="H224" t="str">
            <v>Delivered</v>
          </cell>
          <cell r="I224" t="str">
            <v>cap..</v>
          </cell>
          <cell r="J224" t="str">
            <v>Fedex</v>
          </cell>
          <cell r="K224" t="str">
            <v>VVMV</v>
          </cell>
          <cell r="L224" t="str">
            <v>US</v>
          </cell>
          <cell r="M224">
            <v>46034</v>
          </cell>
          <cell r="N224">
            <v>46043</v>
          </cell>
          <cell r="O224">
            <v>46043</v>
          </cell>
          <cell r="P224" t="str">
            <v>107911080800  107911129800</v>
          </cell>
          <cell r="Q224">
            <v>46042</v>
          </cell>
          <cell r="R224" t="str">
            <v>No inspection</v>
          </cell>
          <cell r="S224">
            <v>31792.21</v>
          </cell>
          <cell r="T224" t="str">
            <v>CIF</v>
          </cell>
          <cell r="U224">
            <v>121</v>
          </cell>
        </row>
        <row r="225">
          <cell r="D225">
            <v>0.5</v>
          </cell>
          <cell r="F225">
            <v>887924843125</v>
          </cell>
          <cell r="G225" t="str">
            <v>Element 14 Pte Ltd</v>
          </cell>
          <cell r="H225" t="str">
            <v>Delivered</v>
          </cell>
          <cell r="I225" t="str">
            <v>ic..</v>
          </cell>
          <cell r="J225" t="str">
            <v>Fedex</v>
          </cell>
          <cell r="K225" t="str">
            <v>VVMV</v>
          </cell>
          <cell r="L225" t="str">
            <v>SG</v>
          </cell>
          <cell r="M225">
            <v>46037</v>
          </cell>
          <cell r="N225">
            <v>46044</v>
          </cell>
          <cell r="O225">
            <v>46045</v>
          </cell>
          <cell r="P225">
            <v>107914059260</v>
          </cell>
          <cell r="Q225">
            <v>46043</v>
          </cell>
          <cell r="R225" t="str">
            <v>No inspection</v>
          </cell>
          <cell r="S225">
            <v>1740</v>
          </cell>
          <cell r="T225" t="str">
            <v>EXW</v>
          </cell>
          <cell r="U225" t="str">
            <v>EF-</v>
          </cell>
        </row>
        <row r="226">
          <cell r="D226">
            <v>4</v>
          </cell>
          <cell r="F226">
            <v>887926182251</v>
          </cell>
          <cell r="G226" t="str">
            <v>AMPHENOL FCI ASIA PTE LTD</v>
          </cell>
          <cell r="H226" t="str">
            <v>Delivered</v>
          </cell>
          <cell r="I226" t="str">
            <v>con..</v>
          </cell>
          <cell r="J226" t="str">
            <v>Fedex</v>
          </cell>
          <cell r="K226" t="str">
            <v>VVMV</v>
          </cell>
          <cell r="L226" t="str">
            <v>SG</v>
          </cell>
          <cell r="M226">
            <v>46038</v>
          </cell>
          <cell r="N226">
            <v>46043</v>
          </cell>
          <cell r="O226">
            <v>46043</v>
          </cell>
          <cell r="P226">
            <v>107910936230</v>
          </cell>
          <cell r="Q226">
            <v>46042</v>
          </cell>
          <cell r="R226" t="str">
            <v>No inspection</v>
          </cell>
          <cell r="S226">
            <v>1566</v>
          </cell>
          <cell r="T226" t="str">
            <v>EXW</v>
          </cell>
          <cell r="U226" t="str">
            <v>HLO</v>
          </cell>
        </row>
        <row r="227">
          <cell r="D227">
            <v>109</v>
          </cell>
          <cell r="F227">
            <v>887924190187</v>
          </cell>
          <cell r="G227" t="str">
            <v>ACTON TECHNOLOGY PTE LTD</v>
          </cell>
          <cell r="H227" t="str">
            <v>Delivered</v>
          </cell>
          <cell r="I227" t="str">
            <v>thermal</v>
          </cell>
          <cell r="J227" t="str">
            <v>Fedex</v>
          </cell>
          <cell r="K227" t="str">
            <v>VVMV</v>
          </cell>
          <cell r="L227" t="str">
            <v>SG</v>
          </cell>
          <cell r="M227">
            <v>46038</v>
          </cell>
          <cell r="N227">
            <v>46043</v>
          </cell>
          <cell r="O227">
            <v>46044</v>
          </cell>
          <cell r="P227">
            <v>107911224630</v>
          </cell>
          <cell r="Q227">
            <v>46042</v>
          </cell>
          <cell r="R227" t="str">
            <v>No inspection</v>
          </cell>
          <cell r="S227">
            <v>15365</v>
          </cell>
          <cell r="T227" t="str">
            <v>EXW</v>
          </cell>
          <cell r="U227" t="str">
            <v>LUC</v>
          </cell>
        </row>
        <row r="228">
          <cell r="D228">
            <v>167</v>
          </cell>
          <cell r="F228">
            <v>4110333028</v>
          </cell>
          <cell r="G228" t="str">
            <v>Avnet, Inc.</v>
          </cell>
          <cell r="H228" t="str">
            <v>Delivered</v>
          </cell>
          <cell r="I228" t="str">
            <v>con..</v>
          </cell>
          <cell r="J228" t="str">
            <v>Expeditors</v>
          </cell>
          <cell r="K228" t="str">
            <v>VVMV</v>
          </cell>
          <cell r="L228" t="str">
            <v>US</v>
          </cell>
          <cell r="M228">
            <v>46037</v>
          </cell>
          <cell r="N228">
            <v>46043</v>
          </cell>
          <cell r="O228">
            <v>46043</v>
          </cell>
          <cell r="P228">
            <v>107910733010</v>
          </cell>
          <cell r="Q228">
            <v>46042</v>
          </cell>
          <cell r="R228" t="str">
            <v>No inspection</v>
          </cell>
          <cell r="S228">
            <v>32480</v>
          </cell>
          <cell r="T228" t="str">
            <v>DAP</v>
          </cell>
          <cell r="U228" t="str">
            <v>LUC</v>
          </cell>
        </row>
        <row r="229">
          <cell r="D229">
            <v>8.5</v>
          </cell>
          <cell r="F229">
            <v>458627167079</v>
          </cell>
          <cell r="G229" t="str">
            <v>Micron Memory Malaysia Sdn. Bh</v>
          </cell>
          <cell r="H229" t="str">
            <v>Delivered</v>
          </cell>
          <cell r="I229" t="str">
            <v>mem</v>
          </cell>
          <cell r="J229" t="str">
            <v>Fedex</v>
          </cell>
          <cell r="K229" t="str">
            <v>VVMV</v>
          </cell>
          <cell r="L229" t="str">
            <v>MY</v>
          </cell>
          <cell r="M229">
            <v>46041</v>
          </cell>
          <cell r="N229">
            <v>46043</v>
          </cell>
          <cell r="O229">
            <v>46044</v>
          </cell>
          <cell r="P229">
            <v>107910827730</v>
          </cell>
          <cell r="Q229">
            <v>46042</v>
          </cell>
          <cell r="R229" t="str">
            <v>No inspection</v>
          </cell>
          <cell r="S229">
            <v>467220</v>
          </cell>
          <cell r="T229" t="str">
            <v>CIF</v>
          </cell>
          <cell r="U229" t="str">
            <v>PUR</v>
          </cell>
        </row>
        <row r="230">
          <cell r="D230">
            <v>4</v>
          </cell>
          <cell r="F230">
            <v>499317406801</v>
          </cell>
          <cell r="G230" t="str">
            <v>ARROW ELECTRONICS, INC.</v>
          </cell>
          <cell r="H230" t="str">
            <v>Delivered</v>
          </cell>
          <cell r="I230" t="str">
            <v>con..</v>
          </cell>
          <cell r="J230" t="str">
            <v>Fedex</v>
          </cell>
          <cell r="K230" t="str">
            <v>VVMV</v>
          </cell>
          <cell r="L230" t="str">
            <v>US</v>
          </cell>
          <cell r="M230">
            <v>46034</v>
          </cell>
          <cell r="N230">
            <v>46043</v>
          </cell>
          <cell r="O230">
            <v>46044</v>
          </cell>
          <cell r="P230">
            <v>107910857830</v>
          </cell>
          <cell r="Q230">
            <v>46042</v>
          </cell>
          <cell r="R230" t="str">
            <v>No inspection</v>
          </cell>
          <cell r="S230">
            <v>945</v>
          </cell>
          <cell r="T230" t="str">
            <v>CIF</v>
          </cell>
          <cell r="U230" t="str">
            <v>LUC</v>
          </cell>
        </row>
        <row r="231">
          <cell r="D231">
            <v>3100</v>
          </cell>
          <cell r="F231" t="str">
            <v>LSHHPH2600083</v>
          </cell>
          <cell r="G231" t="str">
            <v>YANCHENG CHARLES POWER TECHNOLOGY GROUP CO., LTD</v>
          </cell>
          <cell r="H231" t="str">
            <v>Delivered</v>
          </cell>
          <cell r="I231" t="str">
            <v>top..</v>
          </cell>
          <cell r="J231" t="str">
            <v>Dolphin(sea)</v>
          </cell>
          <cell r="K231" t="str">
            <v>Dolphin</v>
          </cell>
          <cell r="L231" t="str">
            <v>CN</v>
          </cell>
          <cell r="M231">
            <v>46039</v>
          </cell>
          <cell r="N231">
            <v>46045</v>
          </cell>
          <cell r="O231">
            <v>46045</v>
          </cell>
          <cell r="P231">
            <v>107916728730</v>
          </cell>
          <cell r="Q231">
            <v>46044</v>
          </cell>
          <cell r="R231" t="str">
            <v>No inspection</v>
          </cell>
          <cell r="S231">
            <v>60552</v>
          </cell>
          <cell r="T231" t="str">
            <v>FOB</v>
          </cell>
          <cell r="U231" t="str">
            <v>LUC</v>
          </cell>
        </row>
        <row r="232">
          <cell r="D232">
            <v>0.5</v>
          </cell>
          <cell r="F232">
            <v>500605336652</v>
          </cell>
          <cell r="G232" t="str">
            <v>MOUSER ELECTRONICS INC</v>
          </cell>
          <cell r="H232" t="str">
            <v>Delivered</v>
          </cell>
          <cell r="I232" t="str">
            <v>ic..</v>
          </cell>
          <cell r="J232" t="str">
            <v>Fedex</v>
          </cell>
          <cell r="K232" t="str">
            <v>VVMV</v>
          </cell>
          <cell r="L232" t="str">
            <v>US</v>
          </cell>
          <cell r="M232">
            <v>46037</v>
          </cell>
          <cell r="N232">
            <v>46043</v>
          </cell>
          <cell r="O232">
            <v>46043</v>
          </cell>
          <cell r="P232">
            <v>107910886160</v>
          </cell>
          <cell r="Q232">
            <v>46042</v>
          </cell>
          <cell r="R232" t="str">
            <v>No inspection</v>
          </cell>
          <cell r="S232">
            <v>1227.8</v>
          </cell>
          <cell r="T232" t="str">
            <v>CIF</v>
          </cell>
          <cell r="U232" t="str">
            <v>LUC</v>
          </cell>
        </row>
        <row r="233">
          <cell r="D233">
            <v>1</v>
          </cell>
          <cell r="F233">
            <v>501416812462</v>
          </cell>
          <cell r="G233" t="str">
            <v>ARROW ELECTRONICS, INC.</v>
          </cell>
          <cell r="H233" t="str">
            <v>Delivered</v>
          </cell>
          <cell r="I233" t="str">
            <v>res..</v>
          </cell>
          <cell r="J233" t="str">
            <v>Fedex</v>
          </cell>
          <cell r="K233" t="str">
            <v>VVMV</v>
          </cell>
          <cell r="L233" t="str">
            <v>US</v>
          </cell>
          <cell r="M233">
            <v>46036</v>
          </cell>
          <cell r="N233">
            <v>46044</v>
          </cell>
          <cell r="O233">
            <v>46044</v>
          </cell>
          <cell r="P233">
            <v>107914847130</v>
          </cell>
          <cell r="Q233">
            <v>46043</v>
          </cell>
          <cell r="R233" t="str">
            <v>No inspection</v>
          </cell>
          <cell r="S233">
            <v>109</v>
          </cell>
          <cell r="T233" t="str">
            <v>CIF</v>
          </cell>
          <cell r="U233" t="str">
            <v>LUC</v>
          </cell>
        </row>
        <row r="234">
          <cell r="D234">
            <v>24</v>
          </cell>
          <cell r="F234">
            <v>472174994194</v>
          </cell>
          <cell r="G234" t="str">
            <v>HEILIND ELECTRONICS</v>
          </cell>
          <cell r="H234" t="str">
            <v>Delivered</v>
          </cell>
          <cell r="I234" t="str">
            <v>con..</v>
          </cell>
          <cell r="J234" t="str">
            <v>Fedex</v>
          </cell>
          <cell r="K234" t="str">
            <v>VVMV</v>
          </cell>
          <cell r="L234" t="str">
            <v>US</v>
          </cell>
          <cell r="M234">
            <v>46036</v>
          </cell>
          <cell r="N234">
            <v>46044</v>
          </cell>
          <cell r="O234">
            <v>46045</v>
          </cell>
          <cell r="P234">
            <v>107914501810</v>
          </cell>
          <cell r="Q234">
            <v>46043</v>
          </cell>
          <cell r="R234" t="str">
            <v>No inspection</v>
          </cell>
          <cell r="S234">
            <v>1900.64</v>
          </cell>
          <cell r="T234" t="str">
            <v>CIF</v>
          </cell>
          <cell r="U234" t="str">
            <v>LUC</v>
          </cell>
        </row>
        <row r="235">
          <cell r="D235">
            <v>43.5</v>
          </cell>
          <cell r="F235">
            <v>458627177323</v>
          </cell>
          <cell r="G235" t="str">
            <v>Micron Memory Malaysia Sdn. Bh</v>
          </cell>
          <cell r="H235" t="str">
            <v>Delivered</v>
          </cell>
          <cell r="I235" t="str">
            <v>mem</v>
          </cell>
          <cell r="J235" t="str">
            <v>Fedex</v>
          </cell>
          <cell r="K235" t="str">
            <v>VVMV</v>
          </cell>
          <cell r="L235" t="str">
            <v>MY</v>
          </cell>
          <cell r="M235">
            <v>46041</v>
          </cell>
          <cell r="N235">
            <v>46044</v>
          </cell>
          <cell r="O235">
            <v>46045</v>
          </cell>
          <cell r="P235">
            <v>107915020030</v>
          </cell>
          <cell r="Q235">
            <v>46043</v>
          </cell>
          <cell r="R235" t="str">
            <v>No inspection</v>
          </cell>
          <cell r="S235">
            <v>2491396</v>
          </cell>
          <cell r="T235" t="str">
            <v>CIF</v>
          </cell>
          <cell r="U235" t="str">
            <v>PUR</v>
          </cell>
        </row>
        <row r="236">
          <cell r="D236">
            <v>13.5</v>
          </cell>
          <cell r="F236">
            <v>494063733868</v>
          </cell>
          <cell r="G236" t="str">
            <v>WPG SOUTH ASIA PTE LTD</v>
          </cell>
          <cell r="H236" t="str">
            <v>Delivered</v>
          </cell>
          <cell r="I236" t="str">
            <v>ic..</v>
          </cell>
          <cell r="J236" t="str">
            <v>Fedex</v>
          </cell>
          <cell r="K236" t="str">
            <v>VVMV</v>
          </cell>
          <cell r="L236" t="str">
            <v>SG</v>
          </cell>
          <cell r="M236">
            <v>46039</v>
          </cell>
          <cell r="N236">
            <v>46044</v>
          </cell>
          <cell r="O236">
            <v>46045</v>
          </cell>
          <cell r="P236">
            <v>107914542150</v>
          </cell>
          <cell r="Q236">
            <v>46043</v>
          </cell>
          <cell r="R236" t="str">
            <v>No inspection</v>
          </cell>
          <cell r="S236">
            <v>16185.6</v>
          </cell>
          <cell r="T236" t="str">
            <v>EXW</v>
          </cell>
          <cell r="U236" t="str">
            <v>LUC</v>
          </cell>
        </row>
        <row r="237">
          <cell r="D237">
            <v>1818</v>
          </cell>
          <cell r="F237" t="str">
            <v>01PEN0376894</v>
          </cell>
          <cell r="G237" t="str">
            <v>CORAZA SYSTEMS MALAYSIA SDNBHD</v>
          </cell>
          <cell r="H237" t="str">
            <v>Delivered</v>
          </cell>
          <cell r="I237" t="str">
            <v>holder</v>
          </cell>
          <cell r="J237" t="str">
            <v>VVMV(sea)</v>
          </cell>
          <cell r="K237" t="str">
            <v>VVMV</v>
          </cell>
          <cell r="L237" t="str">
            <v>MY</v>
          </cell>
          <cell r="M237">
            <v>46025</v>
          </cell>
          <cell r="N237">
            <v>46049</v>
          </cell>
          <cell r="O237">
            <v>46049</v>
          </cell>
          <cell r="P237">
            <v>107923803740</v>
          </cell>
          <cell r="Q237">
            <v>46046</v>
          </cell>
          <cell r="R237" t="str">
            <v>No inspection</v>
          </cell>
          <cell r="S237">
            <v>18489.599999999999</v>
          </cell>
          <cell r="T237" t="str">
            <v>EXW</v>
          </cell>
          <cell r="U237" t="str">
            <v>PUR</v>
          </cell>
        </row>
        <row r="238">
          <cell r="D238">
            <v>392.47</v>
          </cell>
          <cell r="F238" t="str">
            <v>MNN/HPH/01044</v>
          </cell>
          <cell r="G238" t="str">
            <v>Readore MFG Phils Corp</v>
          </cell>
          <cell r="H238" t="str">
            <v>Delivered</v>
          </cell>
          <cell r="I238" t="str">
            <v>heatsink</v>
          </cell>
          <cell r="J238" t="str">
            <v>Dolphin(sea)</v>
          </cell>
          <cell r="K238" t="str">
            <v>Dolphin</v>
          </cell>
          <cell r="L238" t="str">
            <v>PH</v>
          </cell>
          <cell r="M238">
            <v>46037</v>
          </cell>
          <cell r="N238">
            <v>46045</v>
          </cell>
          <cell r="O238">
            <v>46045</v>
          </cell>
          <cell r="P238">
            <v>107916933720</v>
          </cell>
          <cell r="Q238">
            <v>46044</v>
          </cell>
          <cell r="R238" t="str">
            <v>No inspection</v>
          </cell>
          <cell r="S238">
            <v>31227.4</v>
          </cell>
          <cell r="T238" t="str">
            <v>FOB</v>
          </cell>
          <cell r="U238" t="str">
            <v>PUR</v>
          </cell>
        </row>
        <row r="239">
          <cell r="D239">
            <v>1106.4000000000001</v>
          </cell>
          <cell r="F239" t="str">
            <v>LSHHPH2600477</v>
          </cell>
          <cell r="G239" t="str">
            <v>SUZHOU CURRENT ELECTRIC LIMITED COMPANY</v>
          </cell>
          <cell r="H239" t="str">
            <v>Delivered</v>
          </cell>
          <cell r="I239" t="str">
            <v>bus..</v>
          </cell>
          <cell r="J239" t="str">
            <v>Dolphin(sea)</v>
          </cell>
          <cell r="K239" t="str">
            <v>Dolphin</v>
          </cell>
          <cell r="L239" t="str">
            <v>CN</v>
          </cell>
          <cell r="M239">
            <v>46040</v>
          </cell>
          <cell r="N239">
            <v>46048</v>
          </cell>
          <cell r="O239">
            <v>46046</v>
          </cell>
          <cell r="P239">
            <v>107918345250</v>
          </cell>
          <cell r="Q239">
            <v>46044</v>
          </cell>
          <cell r="R239" t="str">
            <v>No inspection</v>
          </cell>
          <cell r="S239">
            <v>22496</v>
          </cell>
          <cell r="T239" t="str">
            <v>EXW</v>
          </cell>
          <cell r="U239" t="str">
            <v>LUC</v>
          </cell>
        </row>
        <row r="240">
          <cell r="D240">
            <v>46</v>
          </cell>
          <cell r="F240">
            <v>397788287429</v>
          </cell>
          <cell r="G240" t="str">
            <v>ROSENBERGER HOCHFREQUENZTECHNIK</v>
          </cell>
          <cell r="H240" t="str">
            <v>Delivered</v>
          </cell>
          <cell r="I240" t="str">
            <v>con..</v>
          </cell>
          <cell r="J240" t="str">
            <v>Fedex</v>
          </cell>
          <cell r="K240" t="str">
            <v>VVMV</v>
          </cell>
          <cell r="L240" t="str">
            <v>DE</v>
          </cell>
          <cell r="M240">
            <v>46038</v>
          </cell>
          <cell r="N240">
            <v>46048</v>
          </cell>
          <cell r="O240">
            <v>46048</v>
          </cell>
          <cell r="P240">
            <v>107921925200</v>
          </cell>
          <cell r="Q240">
            <v>46045</v>
          </cell>
          <cell r="R240" t="str">
            <v>No inspection</v>
          </cell>
          <cell r="S240">
            <v>6065.04</v>
          </cell>
          <cell r="T240" t="str">
            <v>CIF</v>
          </cell>
          <cell r="U240" t="str">
            <v>LUC</v>
          </cell>
        </row>
        <row r="241">
          <cell r="D241">
            <v>1401.1</v>
          </cell>
          <cell r="F241" t="str">
            <v>HWHPH2600636</v>
          </cell>
          <cell r="G241" t="str">
            <v>SUZHOU PIN SHINE TECHNOLOGY CO</v>
          </cell>
          <cell r="H241" t="str">
            <v>Delivered</v>
          </cell>
          <cell r="I241" t="str">
            <v>con..</v>
          </cell>
          <cell r="J241" t="str">
            <v>VVMV(sea)</v>
          </cell>
          <cell r="K241" t="str">
            <v>VVMV</v>
          </cell>
          <cell r="L241" t="str">
            <v>CN</v>
          </cell>
          <cell r="M241">
            <v>46040</v>
          </cell>
          <cell r="N241">
            <v>46048</v>
          </cell>
          <cell r="O241">
            <v>46048</v>
          </cell>
          <cell r="P241">
            <v>107919950350</v>
          </cell>
          <cell r="Q241">
            <v>46045</v>
          </cell>
          <cell r="R241" t="str">
            <v>No inspection</v>
          </cell>
          <cell r="S241">
            <v>55140.6</v>
          </cell>
          <cell r="T241" t="str">
            <v>FCA</v>
          </cell>
          <cell r="U241" t="str">
            <v>LUC</v>
          </cell>
        </row>
        <row r="242">
          <cell r="D242">
            <v>198.5</v>
          </cell>
          <cell r="F242">
            <v>477592550667</v>
          </cell>
          <cell r="G242" t="str">
            <v>QUALCOMM CDMA TECHNOLOGIES ASIA-PAC</v>
          </cell>
          <cell r="H242" t="str">
            <v>Delivered</v>
          </cell>
          <cell r="I242" t="str">
            <v>ic..</v>
          </cell>
          <cell r="J242" t="str">
            <v>Fedex</v>
          </cell>
          <cell r="K242" t="str">
            <v>VVMV</v>
          </cell>
          <cell r="L242" t="str">
            <v>SG</v>
          </cell>
          <cell r="M242">
            <v>46041</v>
          </cell>
          <cell r="N242">
            <v>46044</v>
          </cell>
          <cell r="O242">
            <v>46045</v>
          </cell>
          <cell r="P242">
            <v>107914436120</v>
          </cell>
          <cell r="Q242">
            <v>46043</v>
          </cell>
          <cell r="R242" t="str">
            <v>No inspection</v>
          </cell>
          <cell r="S242">
            <v>587873.76</v>
          </cell>
          <cell r="T242" t="str">
            <v>EXW</v>
          </cell>
          <cell r="U242" t="str">
            <v>LUC</v>
          </cell>
        </row>
        <row r="243">
          <cell r="D243">
            <v>10</v>
          </cell>
          <cell r="F243">
            <v>888005436302</v>
          </cell>
          <cell r="G243" t="str">
            <v>HIROSE ELECTRONIC CO., LTD</v>
          </cell>
          <cell r="H243" t="str">
            <v>Delivered</v>
          </cell>
          <cell r="I243" t="str">
            <v>con..</v>
          </cell>
          <cell r="J243" t="str">
            <v>Fedex</v>
          </cell>
          <cell r="K243" t="str">
            <v>VVMV</v>
          </cell>
          <cell r="L243" t="str">
            <v>JP</v>
          </cell>
          <cell r="M243">
            <v>46041</v>
          </cell>
          <cell r="N243">
            <v>46044</v>
          </cell>
          <cell r="O243">
            <v>46045</v>
          </cell>
          <cell r="P243">
            <v>107915003600</v>
          </cell>
          <cell r="Q243">
            <v>46043</v>
          </cell>
          <cell r="R243" t="str">
            <v>No inspection</v>
          </cell>
          <cell r="S243">
            <v>2835</v>
          </cell>
          <cell r="T243" t="str">
            <v>CIF</v>
          </cell>
          <cell r="U243" t="str">
            <v>LUC</v>
          </cell>
        </row>
        <row r="244">
          <cell r="D244">
            <v>3</v>
          </cell>
          <cell r="F244">
            <v>489801086812</v>
          </cell>
          <cell r="G244" t="str">
            <v>MICROCHIP TECNOLOGY(TH) CO LTD</v>
          </cell>
          <cell r="H244" t="str">
            <v>Delivered</v>
          </cell>
          <cell r="I244" t="str">
            <v>ic..</v>
          </cell>
          <cell r="J244" t="str">
            <v>Fedex</v>
          </cell>
          <cell r="K244" t="str">
            <v>VVMV</v>
          </cell>
          <cell r="L244" t="str">
            <v>TH</v>
          </cell>
          <cell r="M244">
            <v>46042</v>
          </cell>
          <cell r="N244">
            <v>46044</v>
          </cell>
          <cell r="O244">
            <v>46044</v>
          </cell>
          <cell r="P244">
            <v>107915049540</v>
          </cell>
          <cell r="Q244">
            <v>46043</v>
          </cell>
          <cell r="R244" t="str">
            <v>No inspection</v>
          </cell>
          <cell r="S244">
            <v>13425</v>
          </cell>
          <cell r="T244" t="str">
            <v>EXW</v>
          </cell>
          <cell r="U244" t="str">
            <v>LUC</v>
          </cell>
        </row>
        <row r="245">
          <cell r="D245">
            <v>132</v>
          </cell>
          <cell r="F245">
            <v>4812882494</v>
          </cell>
          <cell r="G245" t="str">
            <v>LIPERS ENTERPRISE CO LTD</v>
          </cell>
          <cell r="H245" t="str">
            <v>Delivered</v>
          </cell>
          <cell r="I245" t="str">
            <v>cap..</v>
          </cell>
          <cell r="J245" t="str">
            <v>Expeditors</v>
          </cell>
          <cell r="K245" t="str">
            <v>VVMV</v>
          </cell>
          <cell r="L245" t="str">
            <v>TW</v>
          </cell>
          <cell r="M245">
            <v>46042</v>
          </cell>
          <cell r="N245">
            <v>46044</v>
          </cell>
          <cell r="O245">
            <v>46044</v>
          </cell>
          <cell r="P245">
            <v>107915679210</v>
          </cell>
          <cell r="Q245">
            <v>46044</v>
          </cell>
          <cell r="R245" t="str">
            <v>No inspection</v>
          </cell>
          <cell r="S245">
            <v>7564.9</v>
          </cell>
          <cell r="T245" t="str">
            <v>FOB</v>
          </cell>
          <cell r="U245" t="str">
            <v>LUC</v>
          </cell>
        </row>
        <row r="246">
          <cell r="D246">
            <v>163</v>
          </cell>
          <cell r="F246">
            <v>4711907878</v>
          </cell>
          <cell r="G246" t="str">
            <v>AVNET ASIA PTE LTD</v>
          </cell>
          <cell r="H246" t="str">
            <v>Delivered</v>
          </cell>
          <cell r="I246" t="str">
            <v>ind..</v>
          </cell>
          <cell r="J246" t="str">
            <v>Expeditors</v>
          </cell>
          <cell r="K246" t="str">
            <v>VVMV</v>
          </cell>
          <cell r="L246" t="str">
            <v>SG</v>
          </cell>
          <cell r="M246">
            <v>46043</v>
          </cell>
          <cell r="N246">
            <v>46044</v>
          </cell>
          <cell r="O246">
            <v>46044</v>
          </cell>
          <cell r="P246">
            <v>107915863860</v>
          </cell>
          <cell r="Q246">
            <v>46044</v>
          </cell>
          <cell r="R246" t="str">
            <v>No inspection</v>
          </cell>
          <cell r="S246">
            <v>54686.11</v>
          </cell>
          <cell r="T246" t="str">
            <v>FCA</v>
          </cell>
          <cell r="U246" t="str">
            <v>LUC</v>
          </cell>
        </row>
        <row r="247">
          <cell r="D247">
            <v>7</v>
          </cell>
          <cell r="F247">
            <v>497339224520</v>
          </cell>
          <cell r="G247" t="str">
            <v>ARROW ELECTRONICS, INC.</v>
          </cell>
          <cell r="H247" t="str">
            <v>Delivered</v>
          </cell>
          <cell r="I247" t="str">
            <v>tran..</v>
          </cell>
          <cell r="J247" t="str">
            <v>Fedex</v>
          </cell>
          <cell r="K247" t="str">
            <v>VVMV</v>
          </cell>
          <cell r="L247" t="str">
            <v>HK</v>
          </cell>
          <cell r="M247">
            <v>46042</v>
          </cell>
          <cell r="N247">
            <v>46045</v>
          </cell>
          <cell r="O247">
            <v>46045</v>
          </cell>
          <cell r="P247">
            <v>107917774640</v>
          </cell>
          <cell r="Q247">
            <v>46044</v>
          </cell>
          <cell r="R247" t="str">
            <v>No inspection</v>
          </cell>
          <cell r="S247">
            <v>19135</v>
          </cell>
          <cell r="T247" t="str">
            <v>EXW</v>
          </cell>
          <cell r="U247" t="str">
            <v>LUC</v>
          </cell>
        </row>
        <row r="248">
          <cell r="D248">
            <v>1113.95</v>
          </cell>
          <cell r="F248" t="str">
            <v>HKHPG260181</v>
          </cell>
          <cell r="G248" t="str">
            <v>BIZLINK SPEEDY PTE. LTD.</v>
          </cell>
          <cell r="H248" t="str">
            <v>Delivered</v>
          </cell>
          <cell r="I248" t="str">
            <v>assy</v>
          </cell>
          <cell r="J248" t="str">
            <v>VVMV(sea)</v>
          </cell>
          <cell r="K248" t="str">
            <v>VVMV</v>
          </cell>
          <cell r="L248" t="str">
            <v>HK</v>
          </cell>
          <cell r="M248">
            <v>46042</v>
          </cell>
          <cell r="N248">
            <v>46048</v>
          </cell>
          <cell r="O248">
            <v>46046</v>
          </cell>
          <cell r="P248">
            <v>107918597620</v>
          </cell>
          <cell r="Q248">
            <v>46044</v>
          </cell>
          <cell r="R248" t="str">
            <v>No inspection</v>
          </cell>
          <cell r="S248">
            <v>81424</v>
          </cell>
          <cell r="T248" t="str">
            <v>FCA</v>
          </cell>
          <cell r="U248" t="str">
            <v>LUC</v>
          </cell>
        </row>
        <row r="249">
          <cell r="D249">
            <v>4.5</v>
          </cell>
          <cell r="F249">
            <v>397918949334</v>
          </cell>
          <cell r="G249" t="str">
            <v>O/B ANALOG DEVICES INTERNATIONAL UC
DHL SUPPLY CHAIN MANAGEMENT PHILS</v>
          </cell>
          <cell r="H249" t="str">
            <v>Delivered</v>
          </cell>
          <cell r="I249" t="str">
            <v>ic..</v>
          </cell>
          <cell r="J249" t="str">
            <v>Fedex</v>
          </cell>
          <cell r="K249" t="str">
            <v>VVMV</v>
          </cell>
          <cell r="L249" t="str">
            <v>PH</v>
          </cell>
          <cell r="M249">
            <v>46041</v>
          </cell>
          <cell r="N249">
            <v>46045</v>
          </cell>
          <cell r="O249">
            <v>46045</v>
          </cell>
          <cell r="P249">
            <v>107917718420</v>
          </cell>
          <cell r="Q249">
            <v>46044</v>
          </cell>
          <cell r="R249" t="str">
            <v>No inspection</v>
          </cell>
          <cell r="S249">
            <v>24750</v>
          </cell>
          <cell r="T249" t="str">
            <v>EXW</v>
          </cell>
          <cell r="U249" t="str">
            <v>LUC</v>
          </cell>
        </row>
        <row r="250">
          <cell r="D250">
            <v>1.5</v>
          </cell>
          <cell r="F250">
            <v>419341611192</v>
          </cell>
          <cell r="G250" t="str">
            <v>VENKEL LTD</v>
          </cell>
          <cell r="H250" t="str">
            <v>Delivered</v>
          </cell>
          <cell r="I250" t="str">
            <v>cap..</v>
          </cell>
          <cell r="J250" t="str">
            <v>Fedex</v>
          </cell>
          <cell r="K250" t="str">
            <v>VVMV</v>
          </cell>
          <cell r="L250" t="str">
            <v>US</v>
          </cell>
          <cell r="M250">
            <v>46041</v>
          </cell>
          <cell r="N250">
            <v>46045</v>
          </cell>
          <cell r="O250">
            <v>46045</v>
          </cell>
          <cell r="P250">
            <v>107917212210</v>
          </cell>
          <cell r="Q250">
            <v>46044</v>
          </cell>
          <cell r="R250" t="str">
            <v>No inspection</v>
          </cell>
          <cell r="S250">
            <v>693</v>
          </cell>
          <cell r="T250" t="str">
            <v>CIF</v>
          </cell>
          <cell r="U250" t="str">
            <v>EF-</v>
          </cell>
        </row>
        <row r="251">
          <cell r="D251">
            <v>2.5</v>
          </cell>
          <cell r="F251">
            <v>888011659430</v>
          </cell>
          <cell r="G251" t="str">
            <v>WHITE HORSE LABORATORIES LTD</v>
          </cell>
          <cell r="H251" t="str">
            <v>Delivered</v>
          </cell>
          <cell r="I251" t="str">
            <v>ind..</v>
          </cell>
          <cell r="J251" t="str">
            <v>Fedex</v>
          </cell>
          <cell r="K251" t="str">
            <v>VVMV</v>
          </cell>
          <cell r="L251" t="str">
            <v>HK</v>
          </cell>
          <cell r="M251">
            <v>46041</v>
          </cell>
          <cell r="N251">
            <v>46045</v>
          </cell>
          <cell r="O251">
            <v>46048</v>
          </cell>
          <cell r="P251">
            <v>107918205510</v>
          </cell>
          <cell r="Q251">
            <v>46044</v>
          </cell>
          <cell r="R251" t="str">
            <v>No inspection</v>
          </cell>
          <cell r="S251">
            <v>3178.41</v>
          </cell>
          <cell r="T251" t="str">
            <v>EXW</v>
          </cell>
          <cell r="U251" t="str">
            <v>LUC</v>
          </cell>
        </row>
        <row r="252">
          <cell r="D252">
            <v>28</v>
          </cell>
          <cell r="F252">
            <v>586385861044</v>
          </cell>
          <cell r="G252" t="str">
            <v>DELTAMAX FREIGHT SERVICS HK LTD</v>
          </cell>
          <cell r="H252" t="str">
            <v>Delivered</v>
          </cell>
          <cell r="I252" t="str">
            <v>pcb</v>
          </cell>
          <cell r="J252" t="str">
            <v>Fedex</v>
          </cell>
          <cell r="K252" t="str">
            <v>VVMV</v>
          </cell>
          <cell r="L252" t="str">
            <v>HK</v>
          </cell>
          <cell r="M252">
            <v>46042</v>
          </cell>
          <cell r="N252">
            <v>46045</v>
          </cell>
          <cell r="O252">
            <v>46045</v>
          </cell>
          <cell r="P252">
            <v>107917812550</v>
          </cell>
          <cell r="Q252">
            <v>46044</v>
          </cell>
          <cell r="R252" t="str">
            <v>No inspection</v>
          </cell>
          <cell r="S252">
            <v>16308</v>
          </cell>
          <cell r="T252" t="str">
            <v>EXW</v>
          </cell>
          <cell r="U252" t="str">
            <v>PUR</v>
          </cell>
        </row>
        <row r="253">
          <cell r="D253">
            <v>0.5</v>
          </cell>
          <cell r="F253">
            <v>495270078743</v>
          </cell>
          <cell r="G253" t="str">
            <v>DIGI-KEY ELECTRONICS</v>
          </cell>
          <cell r="H253" t="str">
            <v>Delivered</v>
          </cell>
          <cell r="I253" t="str">
            <v>ic..</v>
          </cell>
          <cell r="J253" t="str">
            <v>Fedex</v>
          </cell>
          <cell r="K253" t="str">
            <v>VVMV</v>
          </cell>
          <cell r="L253" t="str">
            <v>US</v>
          </cell>
          <cell r="M253">
            <v>46041</v>
          </cell>
          <cell r="N253">
            <v>46045</v>
          </cell>
          <cell r="O253">
            <v>46048</v>
          </cell>
          <cell r="P253">
            <v>107918545450</v>
          </cell>
          <cell r="Q253">
            <v>46044</v>
          </cell>
          <cell r="R253" t="str">
            <v>No inspection</v>
          </cell>
          <cell r="S253">
            <v>136.4</v>
          </cell>
          <cell r="T253" t="str">
            <v>CIF</v>
          </cell>
          <cell r="U253" t="str">
            <v>LUC</v>
          </cell>
        </row>
        <row r="254">
          <cell r="D254">
            <v>6</v>
          </cell>
          <cell r="F254">
            <v>888044309185</v>
          </cell>
          <cell r="G254" t="str">
            <v>WORLD PEACE INDUSTRIAL CO., LTD</v>
          </cell>
          <cell r="H254" t="str">
            <v>Delivered</v>
          </cell>
          <cell r="I254" t="str">
            <v>ic..</v>
          </cell>
          <cell r="J254" t="str">
            <v>Fedex</v>
          </cell>
          <cell r="K254" t="str">
            <v>VVMV</v>
          </cell>
          <cell r="L254" t="str">
            <v>HK</v>
          </cell>
          <cell r="M254">
            <v>46042</v>
          </cell>
          <cell r="N254">
            <v>46045</v>
          </cell>
          <cell r="O254">
            <v>46045</v>
          </cell>
          <cell r="P254">
            <v>107917980220</v>
          </cell>
          <cell r="Q254">
            <v>46044</v>
          </cell>
          <cell r="R254" t="str">
            <v>No inspection</v>
          </cell>
          <cell r="S254">
            <v>2304</v>
          </cell>
          <cell r="T254" t="str">
            <v>EXW</v>
          </cell>
          <cell r="U254" t="str">
            <v>AIC</v>
          </cell>
        </row>
        <row r="255">
          <cell r="D255">
            <v>85</v>
          </cell>
          <cell r="F255">
            <v>477592550748</v>
          </cell>
          <cell r="G255" t="str">
            <v>QUALCOMM CDMA TECHNOLOGIES ASIA-PAC</v>
          </cell>
          <cell r="H255" t="str">
            <v>Delivered</v>
          </cell>
          <cell r="I255" t="str">
            <v>ic..</v>
          </cell>
          <cell r="J255" t="str">
            <v>Fedex</v>
          </cell>
          <cell r="K255" t="str">
            <v>VVMV</v>
          </cell>
          <cell r="L255" t="str">
            <v>SG</v>
          </cell>
          <cell r="M255">
            <v>46042</v>
          </cell>
          <cell r="N255">
            <v>46045</v>
          </cell>
          <cell r="O255">
            <v>46048</v>
          </cell>
          <cell r="P255">
            <v>107918263460</v>
          </cell>
          <cell r="Q255">
            <v>46044</v>
          </cell>
          <cell r="R255" t="str">
            <v>No inspection</v>
          </cell>
          <cell r="S255">
            <v>337478.40000000002</v>
          </cell>
          <cell r="T255" t="str">
            <v>EXW</v>
          </cell>
          <cell r="U255" t="str">
            <v>LUC</v>
          </cell>
        </row>
        <row r="256">
          <cell r="D256">
            <v>0.5</v>
          </cell>
          <cell r="F256">
            <v>499549044022</v>
          </cell>
          <cell r="G256" t="str">
            <v>SMITH &amp; ASSOCIATES FAR EAST LTD</v>
          </cell>
          <cell r="H256" t="str">
            <v>Delivered</v>
          </cell>
          <cell r="I256" t="str">
            <v>diode</v>
          </cell>
          <cell r="J256" t="str">
            <v>Fedex</v>
          </cell>
          <cell r="K256" t="str">
            <v>VVMV</v>
          </cell>
          <cell r="L256" t="str">
            <v>HK</v>
          </cell>
          <cell r="M256">
            <v>46043</v>
          </cell>
          <cell r="N256">
            <v>46045</v>
          </cell>
          <cell r="O256">
            <v>46048</v>
          </cell>
          <cell r="P256">
            <v>107918071110</v>
          </cell>
          <cell r="Q256">
            <v>46044</v>
          </cell>
          <cell r="R256" t="str">
            <v>No inspection</v>
          </cell>
          <cell r="S256">
            <v>62.64</v>
          </cell>
          <cell r="T256" t="str">
            <v>EXW</v>
          </cell>
          <cell r="U256" t="str">
            <v>LUC</v>
          </cell>
        </row>
        <row r="257">
          <cell r="D257">
            <v>1</v>
          </cell>
          <cell r="F257">
            <v>888003967747</v>
          </cell>
          <cell r="G257" t="str">
            <v>MAX ECHO TECHNOLOGY CORP.</v>
          </cell>
          <cell r="H257" t="str">
            <v>Delivered</v>
          </cell>
          <cell r="I257" t="str">
            <v>ind..</v>
          </cell>
          <cell r="J257" t="str">
            <v>Fedex</v>
          </cell>
          <cell r="K257" t="str">
            <v>VVMV</v>
          </cell>
          <cell r="L257" t="str">
            <v>TW</v>
          </cell>
          <cell r="M257">
            <v>46041</v>
          </cell>
          <cell r="N257">
            <v>46045</v>
          </cell>
          <cell r="O257">
            <v>46045</v>
          </cell>
          <cell r="P257">
            <v>107918180310</v>
          </cell>
          <cell r="Q257">
            <v>46044</v>
          </cell>
          <cell r="R257" t="str">
            <v>No inspection</v>
          </cell>
          <cell r="S257">
            <v>22.4</v>
          </cell>
          <cell r="T257" t="str">
            <v>EXW</v>
          </cell>
          <cell r="U257" t="str">
            <v>AIC</v>
          </cell>
        </row>
        <row r="258">
          <cell r="D258">
            <v>1</v>
          </cell>
          <cell r="F258">
            <v>416886370138</v>
          </cell>
          <cell r="G258" t="str">
            <v>AVNET ASIA PTE LTD</v>
          </cell>
          <cell r="H258" t="str">
            <v>Delivered</v>
          </cell>
          <cell r="I258" t="str">
            <v>cap..</v>
          </cell>
          <cell r="J258" t="str">
            <v>Fedex</v>
          </cell>
          <cell r="K258" t="str">
            <v>VVMV</v>
          </cell>
          <cell r="L258" t="str">
            <v>SG</v>
          </cell>
          <cell r="M258">
            <v>46043</v>
          </cell>
          <cell r="N258">
            <v>46050</v>
          </cell>
          <cell r="O258">
            <v>46049</v>
          </cell>
          <cell r="P258">
            <v>107931613750</v>
          </cell>
          <cell r="Q258">
            <v>46049</v>
          </cell>
          <cell r="R258" t="str">
            <v>No inspection</v>
          </cell>
          <cell r="S258">
            <v>42.6</v>
          </cell>
          <cell r="T258" t="str">
            <v>EXW</v>
          </cell>
          <cell r="U258" t="str">
            <v>PUR</v>
          </cell>
        </row>
        <row r="259">
          <cell r="D259">
            <v>24.5</v>
          </cell>
          <cell r="F259">
            <v>888071553695</v>
          </cell>
          <cell r="G259" t="str">
            <v>GREG LEWIS</v>
          </cell>
          <cell r="H259" t="str">
            <v>Delivered</v>
          </cell>
          <cell r="I259" t="str">
            <v>fuse</v>
          </cell>
          <cell r="J259" t="str">
            <v>Fedex</v>
          </cell>
          <cell r="K259" t="str">
            <v>VVMV</v>
          </cell>
          <cell r="L259" t="str">
            <v>US</v>
          </cell>
          <cell r="M259">
            <v>46043</v>
          </cell>
          <cell r="N259">
            <v>46050</v>
          </cell>
          <cell r="O259">
            <v>46049</v>
          </cell>
          <cell r="P259">
            <v>107931139150</v>
          </cell>
          <cell r="Q259">
            <v>46049</v>
          </cell>
          <cell r="R259" t="str">
            <v>No inspection</v>
          </cell>
          <cell r="S259">
            <v>2826.68</v>
          </cell>
          <cell r="T259" t="str">
            <v>CIF</v>
          </cell>
          <cell r="U259" t="str">
            <v>LUC</v>
          </cell>
        </row>
        <row r="260">
          <cell r="D260">
            <v>12</v>
          </cell>
          <cell r="F260">
            <v>472187346038</v>
          </cell>
          <cell r="G260" t="str">
            <v>HEILIND ASIA PACIFIC (SG) PTE LTD</v>
          </cell>
          <cell r="H260" t="str">
            <v>Delivered</v>
          </cell>
          <cell r="I260" t="str">
            <v>thermal</v>
          </cell>
          <cell r="J260" t="str">
            <v>Fedex</v>
          </cell>
          <cell r="K260" t="str">
            <v>VVMV</v>
          </cell>
          <cell r="L260" t="str">
            <v>SG</v>
          </cell>
          <cell r="M260">
            <v>46043</v>
          </cell>
          <cell r="N260">
            <v>46049</v>
          </cell>
          <cell r="O260">
            <v>46049</v>
          </cell>
          <cell r="P260">
            <v>107928776760</v>
          </cell>
          <cell r="Q260">
            <v>46048</v>
          </cell>
          <cell r="R260" t="str">
            <v>No inspection</v>
          </cell>
          <cell r="S260">
            <v>4980</v>
          </cell>
          <cell r="T260" t="str">
            <v>EXW</v>
          </cell>
          <cell r="U260" t="str">
            <v>HLO</v>
          </cell>
        </row>
        <row r="261">
          <cell r="D261">
            <v>3.5</v>
          </cell>
          <cell r="F261">
            <v>501416915225</v>
          </cell>
          <cell r="G261" t="str">
            <v>ARROW ELECTRONICS, INC.</v>
          </cell>
          <cell r="H261" t="str">
            <v>Delivered</v>
          </cell>
          <cell r="I261" t="str">
            <v>cap..</v>
          </cell>
          <cell r="J261" t="str">
            <v>Fedex</v>
          </cell>
          <cell r="K261" t="str">
            <v>VVMV</v>
          </cell>
          <cell r="L261" t="str">
            <v>US</v>
          </cell>
          <cell r="M261">
            <v>46042</v>
          </cell>
          <cell r="N261">
            <v>46048</v>
          </cell>
          <cell r="O261">
            <v>46048</v>
          </cell>
          <cell r="P261">
            <v>107921865000</v>
          </cell>
          <cell r="Q261">
            <v>46045</v>
          </cell>
          <cell r="R261" t="str">
            <v>No inspection</v>
          </cell>
          <cell r="S261">
            <v>5267.6</v>
          </cell>
          <cell r="T261" t="str">
            <v>CIF</v>
          </cell>
          <cell r="U261" t="str">
            <v>LUC</v>
          </cell>
        </row>
        <row r="262">
          <cell r="D262">
            <v>1.5</v>
          </cell>
          <cell r="F262">
            <v>888080523870</v>
          </cell>
          <cell r="G262" t="str">
            <v>TRIO TECHNOLOGY (SU ZHOU) CO.,</v>
          </cell>
          <cell r="H262" t="str">
            <v>Delivered</v>
          </cell>
          <cell r="I262" t="str">
            <v>ind..</v>
          </cell>
          <cell r="J262" t="str">
            <v>Fedex</v>
          </cell>
          <cell r="K262" t="str">
            <v>VVMV</v>
          </cell>
          <cell r="L262" t="str">
            <v>CN</v>
          </cell>
          <cell r="M262">
            <v>46043</v>
          </cell>
          <cell r="N262">
            <v>46048</v>
          </cell>
          <cell r="O262">
            <v>46048</v>
          </cell>
          <cell r="P262">
            <v>107922315650</v>
          </cell>
          <cell r="Q262">
            <v>46045</v>
          </cell>
          <cell r="R262" t="str">
            <v>No inspection</v>
          </cell>
          <cell r="S262">
            <v>49.98</v>
          </cell>
          <cell r="T262" t="str">
            <v>CIF</v>
          </cell>
          <cell r="U262" t="str">
            <v>AIC</v>
          </cell>
        </row>
        <row r="263">
          <cell r="D263">
            <v>3.5</v>
          </cell>
          <cell r="F263">
            <v>510251823450</v>
          </cell>
          <cell r="G263" t="str">
            <v>DIGI-KEY ELECTRONICS</v>
          </cell>
          <cell r="H263" t="str">
            <v>Delivered</v>
          </cell>
          <cell r="I263" t="str">
            <v>cap..</v>
          </cell>
          <cell r="J263" t="str">
            <v>Fedex</v>
          </cell>
          <cell r="K263" t="str">
            <v>VVMV</v>
          </cell>
          <cell r="L263" t="str">
            <v>US</v>
          </cell>
          <cell r="M263">
            <v>46042</v>
          </cell>
          <cell r="N263">
            <v>46048</v>
          </cell>
          <cell r="O263">
            <v>46048</v>
          </cell>
          <cell r="P263">
            <v>107922171450</v>
          </cell>
          <cell r="Q263">
            <v>46045</v>
          </cell>
          <cell r="R263" t="str">
            <v>No inspection</v>
          </cell>
          <cell r="S263">
            <v>7980</v>
          </cell>
          <cell r="T263" t="str">
            <v>CIF</v>
          </cell>
          <cell r="U263" t="str">
            <v>LUC</v>
          </cell>
        </row>
        <row r="264">
          <cell r="D264">
            <v>1</v>
          </cell>
          <cell r="F264">
            <v>469369306012</v>
          </cell>
          <cell r="G264" t="str">
            <v>TXC CORPORATION</v>
          </cell>
          <cell r="H264" t="str">
            <v>Delivered</v>
          </cell>
          <cell r="I264" t="str">
            <v>cry..</v>
          </cell>
          <cell r="J264" t="str">
            <v>Fedex</v>
          </cell>
          <cell r="K264" t="str">
            <v>VVMV</v>
          </cell>
          <cell r="L264" t="str">
            <v>TW</v>
          </cell>
          <cell r="M264">
            <v>46042</v>
          </cell>
          <cell r="N264">
            <v>46048</v>
          </cell>
          <cell r="O264">
            <v>46048</v>
          </cell>
          <cell r="P264">
            <v>107922195510</v>
          </cell>
          <cell r="Q264">
            <v>46045</v>
          </cell>
          <cell r="R264" t="str">
            <v>No inspection</v>
          </cell>
          <cell r="S264">
            <v>285</v>
          </cell>
          <cell r="T264" t="str">
            <v>EXW</v>
          </cell>
          <cell r="U264" t="str">
            <v>PUR</v>
          </cell>
        </row>
        <row r="265">
          <cell r="D265">
            <v>0.5</v>
          </cell>
          <cell r="F265">
            <v>397879513640</v>
          </cell>
          <cell r="G265" t="str">
            <v>c/o DHL Supply Chain SGP P/L
Texas Instruments Southeast Asia Pt</v>
          </cell>
          <cell r="H265" t="str">
            <v>Delivered</v>
          </cell>
          <cell r="I265" t="str">
            <v>ic..</v>
          </cell>
          <cell r="J265" t="str">
            <v>Fedex</v>
          </cell>
          <cell r="K265" t="str">
            <v>VVMV</v>
          </cell>
          <cell r="L265" t="str">
            <v>SG</v>
          </cell>
          <cell r="M265">
            <v>46041</v>
          </cell>
          <cell r="N265">
            <v>46048</v>
          </cell>
          <cell r="O265">
            <v>46048</v>
          </cell>
          <cell r="P265">
            <v>107921833020</v>
          </cell>
          <cell r="Q265">
            <v>46045</v>
          </cell>
          <cell r="R265" t="str">
            <v>No inspection</v>
          </cell>
          <cell r="S265">
            <v>882</v>
          </cell>
          <cell r="T265" t="str">
            <v>EXW</v>
          </cell>
          <cell r="U265" t="str">
            <v>HLO</v>
          </cell>
        </row>
        <row r="266">
          <cell r="D266">
            <v>3</v>
          </cell>
          <cell r="F266">
            <v>397698059020</v>
          </cell>
          <cell r="G266" t="str">
            <v>c/o DHL Supply Chain SGP P/L
Texas Instruments Southeast Asia Pt</v>
          </cell>
          <cell r="H266" t="str">
            <v>Delivered</v>
          </cell>
          <cell r="I266" t="str">
            <v>ic..</v>
          </cell>
          <cell r="J266" t="str">
            <v>Fedex</v>
          </cell>
          <cell r="K266" t="str">
            <v>VVMV</v>
          </cell>
          <cell r="L266" t="str">
            <v>SG</v>
          </cell>
          <cell r="M266">
            <v>46035</v>
          </cell>
          <cell r="N266">
            <v>46048</v>
          </cell>
          <cell r="O266">
            <v>46048</v>
          </cell>
          <cell r="P266">
            <v>107921973940</v>
          </cell>
          <cell r="Q266">
            <v>46045</v>
          </cell>
          <cell r="R266" t="str">
            <v>No inspection</v>
          </cell>
          <cell r="S266">
            <v>2651</v>
          </cell>
          <cell r="T266" t="str">
            <v>EXW</v>
          </cell>
          <cell r="U266" t="str">
            <v>LUC</v>
          </cell>
        </row>
        <row r="267">
          <cell r="D267">
            <v>333.8</v>
          </cell>
          <cell r="F267">
            <v>1376872442</v>
          </cell>
          <cell r="G267" t="str">
            <v>AVNET- CHANDLER</v>
          </cell>
          <cell r="H267" t="str">
            <v>Delivered</v>
          </cell>
          <cell r="I267" t="str">
            <v>tran..</v>
          </cell>
          <cell r="J267" t="str">
            <v>DHL</v>
          </cell>
          <cell r="K267" t="str">
            <v>VVMV</v>
          </cell>
          <cell r="L267" t="str">
            <v>US</v>
          </cell>
          <cell r="M267">
            <v>46043</v>
          </cell>
          <cell r="N267">
            <v>46051</v>
          </cell>
          <cell r="O267">
            <v>46051</v>
          </cell>
          <cell r="P267" t="str">
            <v>107936378320  107936337610  107936383330</v>
          </cell>
          <cell r="Q267">
            <v>46050</v>
          </cell>
          <cell r="R267" t="str">
            <v>No inspection</v>
          </cell>
          <cell r="S267">
            <v>295914.64</v>
          </cell>
          <cell r="T267" t="str">
            <v>CIF</v>
          </cell>
          <cell r="U267" t="str">
            <v>LUC</v>
          </cell>
        </row>
        <row r="268">
          <cell r="D268">
            <v>2.1</v>
          </cell>
          <cell r="F268">
            <v>888079044687</v>
          </cell>
          <cell r="G268" t="str">
            <v>STEADFAST INDUSTRIAL PTE LTD</v>
          </cell>
          <cell r="H268" t="str">
            <v>Delivered</v>
          </cell>
          <cell r="I268" t="str">
            <v>standoff</v>
          </cell>
          <cell r="J268" t="str">
            <v>Fedex</v>
          </cell>
          <cell r="K268" t="str">
            <v>VVMV</v>
          </cell>
          <cell r="L268" t="str">
            <v>SG</v>
          </cell>
          <cell r="M268">
            <v>46043</v>
          </cell>
          <cell r="N268">
            <v>46048</v>
          </cell>
          <cell r="O268">
            <v>46048</v>
          </cell>
          <cell r="P268">
            <v>107922122230</v>
          </cell>
          <cell r="Q268">
            <v>46045</v>
          </cell>
          <cell r="R268" t="str">
            <v>No inspection</v>
          </cell>
          <cell r="S268">
            <v>120</v>
          </cell>
          <cell r="T268" t="str">
            <v>EXW</v>
          </cell>
          <cell r="U268" t="str">
            <v>EF-</v>
          </cell>
        </row>
        <row r="269">
          <cell r="D269">
            <v>34</v>
          </cell>
          <cell r="F269">
            <v>510007293712</v>
          </cell>
          <cell r="G269" t="str">
            <v>Sino Faith Technology Development</v>
          </cell>
          <cell r="H269" t="str">
            <v>Delivered</v>
          </cell>
          <cell r="I269" t="str">
            <v>cap..</v>
          </cell>
          <cell r="J269" t="str">
            <v>Fedex</v>
          </cell>
          <cell r="K269" t="str">
            <v>VVMV</v>
          </cell>
          <cell r="L269" t="str">
            <v>HK</v>
          </cell>
          <cell r="M269">
            <v>46043</v>
          </cell>
          <cell r="N269">
            <v>46048</v>
          </cell>
          <cell r="O269">
            <v>46048</v>
          </cell>
          <cell r="P269">
            <v>107922553540</v>
          </cell>
          <cell r="Q269">
            <v>46045</v>
          </cell>
          <cell r="R269" t="str">
            <v>No inspection</v>
          </cell>
          <cell r="S269">
            <v>3416.5</v>
          </cell>
          <cell r="T269" t="str">
            <v>EXW</v>
          </cell>
          <cell r="U269" t="str">
            <v>PUR</v>
          </cell>
        </row>
        <row r="270">
          <cell r="D270">
            <v>10</v>
          </cell>
          <cell r="F270">
            <v>472187596370</v>
          </cell>
          <cell r="G270" t="str">
            <v>HEILIND ASIA PACIFIC</v>
          </cell>
          <cell r="H270" t="str">
            <v>Delivered</v>
          </cell>
          <cell r="I270" t="str">
            <v>con..</v>
          </cell>
          <cell r="J270" t="str">
            <v>Fedex</v>
          </cell>
          <cell r="K270" t="str">
            <v>VVMV</v>
          </cell>
          <cell r="L270" t="str">
            <v>HK</v>
          </cell>
          <cell r="M270">
            <v>46042</v>
          </cell>
          <cell r="N270">
            <v>46048</v>
          </cell>
          <cell r="O270">
            <v>46048</v>
          </cell>
          <cell r="P270">
            <v>107922462210</v>
          </cell>
          <cell r="Q270">
            <v>46045</v>
          </cell>
          <cell r="R270" t="str">
            <v>No inspection</v>
          </cell>
          <cell r="S270">
            <v>1279.25</v>
          </cell>
          <cell r="T270" t="str">
            <v>EXW</v>
          </cell>
          <cell r="U270" t="str">
            <v>EF-</v>
          </cell>
        </row>
        <row r="271">
          <cell r="D271">
            <v>0.9</v>
          </cell>
          <cell r="F271">
            <v>495506262176</v>
          </cell>
          <cell r="G271" t="str">
            <v>SAMTEC ASIA PACIFIC PTE LTD</v>
          </cell>
          <cell r="H271" t="str">
            <v>Delivered</v>
          </cell>
          <cell r="I271" t="str">
            <v>con..</v>
          </cell>
          <cell r="J271" t="str">
            <v>Fedex</v>
          </cell>
          <cell r="K271" t="str">
            <v>VVMV</v>
          </cell>
          <cell r="L271" t="str">
            <v>SG</v>
          </cell>
          <cell r="M271">
            <v>46043</v>
          </cell>
          <cell r="N271">
            <v>46048</v>
          </cell>
          <cell r="O271">
            <v>46048</v>
          </cell>
          <cell r="P271">
            <v>107922421500</v>
          </cell>
          <cell r="Q271">
            <v>46045</v>
          </cell>
          <cell r="R271" t="str">
            <v>No inspection</v>
          </cell>
          <cell r="S271">
            <v>66.599999999999994</v>
          </cell>
          <cell r="T271" t="str">
            <v>CIF</v>
          </cell>
          <cell r="U271" t="str">
            <v>EF-</v>
          </cell>
        </row>
        <row r="272">
          <cell r="D272">
            <v>19</v>
          </cell>
          <cell r="F272">
            <v>4110333207</v>
          </cell>
          <cell r="G272" t="str">
            <v>Avnet, Inc.</v>
          </cell>
          <cell r="H272" t="str">
            <v>Delivered</v>
          </cell>
          <cell r="I272" t="str">
            <v>con..</v>
          </cell>
          <cell r="J272" t="str">
            <v>Expeditors</v>
          </cell>
          <cell r="K272" t="str">
            <v>VVMV</v>
          </cell>
          <cell r="L272" t="str">
            <v>US</v>
          </cell>
          <cell r="M272">
            <v>46043</v>
          </cell>
          <cell r="N272">
            <v>46049</v>
          </cell>
          <cell r="O272">
            <v>46049</v>
          </cell>
          <cell r="P272">
            <v>107928372200</v>
          </cell>
          <cell r="Q272">
            <v>46048</v>
          </cell>
          <cell r="R272" t="str">
            <v>No inspection</v>
          </cell>
          <cell r="S272">
            <v>604.79999999999995</v>
          </cell>
          <cell r="T272" t="str">
            <v>DAP</v>
          </cell>
          <cell r="U272" t="str">
            <v>LUC</v>
          </cell>
        </row>
        <row r="273">
          <cell r="D273">
            <v>2</v>
          </cell>
          <cell r="F273">
            <v>4110333205</v>
          </cell>
          <cell r="G273" t="str">
            <v>Avnet, Inc.</v>
          </cell>
          <cell r="H273" t="str">
            <v>Delivered</v>
          </cell>
          <cell r="I273" t="str">
            <v>con..</v>
          </cell>
          <cell r="J273" t="str">
            <v>Expeditors</v>
          </cell>
          <cell r="K273" t="str">
            <v>VVMV</v>
          </cell>
          <cell r="L273" t="str">
            <v>US</v>
          </cell>
          <cell r="M273">
            <v>46043</v>
          </cell>
          <cell r="N273">
            <v>46049</v>
          </cell>
          <cell r="O273">
            <v>46049</v>
          </cell>
          <cell r="P273">
            <v>107928229950</v>
          </cell>
          <cell r="Q273">
            <v>46048</v>
          </cell>
          <cell r="R273" t="str">
            <v>No inspection</v>
          </cell>
          <cell r="S273">
            <v>212.34</v>
          </cell>
          <cell r="T273" t="str">
            <v>DAP</v>
          </cell>
          <cell r="U273" t="str">
            <v>LUC</v>
          </cell>
        </row>
        <row r="274">
          <cell r="D274">
            <v>92</v>
          </cell>
          <cell r="F274">
            <v>5973567401</v>
          </cell>
          <cell r="G274" t="str">
            <v>FUTURE ELECTRONICS INC (DIST) PTE LTD</v>
          </cell>
          <cell r="H274" t="str">
            <v>Delivered</v>
          </cell>
          <cell r="I274" t="str">
            <v>cry..</v>
          </cell>
          <cell r="J274" t="str">
            <v>DHL</v>
          </cell>
          <cell r="K274" t="str">
            <v>VVMV</v>
          </cell>
          <cell r="L274" t="str">
            <v>SG</v>
          </cell>
          <cell r="M274">
            <v>46044</v>
          </cell>
          <cell r="N274">
            <v>46049</v>
          </cell>
          <cell r="O274">
            <v>46049</v>
          </cell>
          <cell r="P274" t="str">
            <v>107929211940  107929228150</v>
          </cell>
          <cell r="Q274">
            <v>46048</v>
          </cell>
          <cell r="R274" t="str">
            <v>No inspection</v>
          </cell>
          <cell r="S274">
            <v>46293.71</v>
          </cell>
          <cell r="T274" t="str">
            <v>CIF</v>
          </cell>
          <cell r="U274" t="str">
            <v>LUC</v>
          </cell>
        </row>
        <row r="275">
          <cell r="D275">
            <v>0.3</v>
          </cell>
          <cell r="F275">
            <v>5973566152</v>
          </cell>
          <cell r="G275" t="str">
            <v>FUTURE ELECTRONICS (ADC)</v>
          </cell>
          <cell r="H275" t="str">
            <v>Delivered</v>
          </cell>
          <cell r="I275" t="str">
            <v>led</v>
          </cell>
          <cell r="J275" t="str">
            <v>DHL</v>
          </cell>
          <cell r="K275" t="str">
            <v>VVMV</v>
          </cell>
          <cell r="L275" t="str">
            <v>SG</v>
          </cell>
          <cell r="M275">
            <v>46044</v>
          </cell>
          <cell r="N275">
            <v>46049</v>
          </cell>
          <cell r="O275">
            <v>46049</v>
          </cell>
          <cell r="P275">
            <v>107928740140</v>
          </cell>
          <cell r="Q275">
            <v>46048</v>
          </cell>
          <cell r="R275" t="str">
            <v>No inspection</v>
          </cell>
          <cell r="S275">
            <v>67</v>
          </cell>
          <cell r="T275" t="str">
            <v>CIF</v>
          </cell>
          <cell r="U275" t="str">
            <v>PUR</v>
          </cell>
        </row>
        <row r="276">
          <cell r="D276">
            <v>15</v>
          </cell>
          <cell r="F276">
            <v>499549044515</v>
          </cell>
          <cell r="G276" t="str">
            <v>SMITH &amp; ASSOCIATES FAR EAST LTD</v>
          </cell>
          <cell r="H276" t="str">
            <v>Delivered</v>
          </cell>
          <cell r="I276" t="str">
            <v>diode</v>
          </cell>
          <cell r="J276" t="str">
            <v>Fedex</v>
          </cell>
          <cell r="K276" t="str">
            <v>VVMV</v>
          </cell>
          <cell r="L276" t="str">
            <v>HK</v>
          </cell>
          <cell r="M276">
            <v>46044</v>
          </cell>
          <cell r="N276">
            <v>46049</v>
          </cell>
          <cell r="O276">
            <v>46049</v>
          </cell>
          <cell r="P276">
            <v>107928262150</v>
          </cell>
          <cell r="Q276">
            <v>46048</v>
          </cell>
          <cell r="R276" t="str">
            <v>No inspection</v>
          </cell>
          <cell r="S276">
            <v>54.32</v>
          </cell>
          <cell r="T276" t="str">
            <v>EXW</v>
          </cell>
          <cell r="U276" t="str">
            <v>LUC</v>
          </cell>
        </row>
        <row r="277">
          <cell r="D277">
            <v>2</v>
          </cell>
          <cell r="F277">
            <v>888149096890</v>
          </cell>
          <cell r="G277" t="str">
            <v>WUS PRINTED CIRCUIT (KUNSHAN) LTD</v>
          </cell>
          <cell r="H277" t="str">
            <v>Delivered</v>
          </cell>
          <cell r="I277" t="str">
            <v>pcb</v>
          </cell>
          <cell r="J277" t="str">
            <v>Fedex</v>
          </cell>
          <cell r="K277" t="str">
            <v>VVMV</v>
          </cell>
          <cell r="L277" t="str">
            <v>CN</v>
          </cell>
          <cell r="M277">
            <v>46045</v>
          </cell>
          <cell r="N277">
            <v>46049</v>
          </cell>
          <cell r="O277">
            <v>46049</v>
          </cell>
          <cell r="P277">
            <v>107929135530</v>
          </cell>
          <cell r="Q277">
            <v>46048</v>
          </cell>
          <cell r="R277" t="str">
            <v>No inspection</v>
          </cell>
          <cell r="S277">
            <v>55.92</v>
          </cell>
          <cell r="T277" t="str">
            <v>DAP</v>
          </cell>
          <cell r="U277" t="str">
            <v>PUR</v>
          </cell>
        </row>
        <row r="278">
          <cell r="D278">
            <v>17.5</v>
          </cell>
          <cell r="F278">
            <v>888117525212</v>
          </cell>
          <cell r="G278" t="str">
            <v>VELOCITY ELECTRONICS ASIA PTE LTD</v>
          </cell>
          <cell r="H278" t="str">
            <v>Delivered</v>
          </cell>
          <cell r="I278" t="str">
            <v>diode</v>
          </cell>
          <cell r="J278" t="str">
            <v>Fedex</v>
          </cell>
          <cell r="K278" t="str">
            <v>VVMV</v>
          </cell>
          <cell r="L278" t="str">
            <v>SG</v>
          </cell>
          <cell r="M278">
            <v>46044</v>
          </cell>
          <cell r="N278">
            <v>46049</v>
          </cell>
          <cell r="O278">
            <v>46049</v>
          </cell>
          <cell r="P278">
            <v>107928927740</v>
          </cell>
          <cell r="Q278">
            <v>46048</v>
          </cell>
          <cell r="R278" t="str">
            <v>No inspection</v>
          </cell>
          <cell r="S278">
            <v>6177.87</v>
          </cell>
          <cell r="T278" t="str">
            <v>CIF</v>
          </cell>
          <cell r="U278" t="str">
            <v>LUC</v>
          </cell>
        </row>
        <row r="279">
          <cell r="D279">
            <v>4</v>
          </cell>
          <cell r="F279">
            <v>715729489142</v>
          </cell>
          <cell r="G279" t="str">
            <v>ARROW ELECTRONICS DLC</v>
          </cell>
          <cell r="H279" t="str">
            <v>Delivered</v>
          </cell>
          <cell r="I279" t="str">
            <v>con..</v>
          </cell>
          <cell r="J279" t="str">
            <v>Fedex</v>
          </cell>
          <cell r="K279" t="str">
            <v>VVMV</v>
          </cell>
          <cell r="L279" t="str">
            <v>NL</v>
          </cell>
          <cell r="M279">
            <v>46044</v>
          </cell>
          <cell r="N279">
            <v>46049</v>
          </cell>
          <cell r="O279">
            <v>46049</v>
          </cell>
          <cell r="P279">
            <v>107928751560</v>
          </cell>
          <cell r="Q279">
            <v>46048</v>
          </cell>
          <cell r="R279" t="str">
            <v>No inspection</v>
          </cell>
          <cell r="S279">
            <v>297.5</v>
          </cell>
          <cell r="T279" t="str">
            <v>CIF</v>
          </cell>
          <cell r="U279" t="str">
            <v>LUC</v>
          </cell>
        </row>
        <row r="280">
          <cell r="D280">
            <v>4</v>
          </cell>
          <cell r="F280">
            <v>715729489153</v>
          </cell>
          <cell r="G280" t="str">
            <v>ARROW ELECTRONICS DLC</v>
          </cell>
          <cell r="H280" t="str">
            <v>Delivered</v>
          </cell>
          <cell r="I280" t="str">
            <v>con..</v>
          </cell>
          <cell r="J280" t="str">
            <v>Fedex</v>
          </cell>
          <cell r="K280" t="str">
            <v>VVMV</v>
          </cell>
          <cell r="L280" t="str">
            <v>NL</v>
          </cell>
          <cell r="M280">
            <v>46044</v>
          </cell>
          <cell r="N280">
            <v>46049</v>
          </cell>
          <cell r="O280">
            <v>46049</v>
          </cell>
          <cell r="P280">
            <v>107928824510</v>
          </cell>
          <cell r="Q280">
            <v>46048</v>
          </cell>
          <cell r="R280" t="str">
            <v>No inspection</v>
          </cell>
          <cell r="S280">
            <v>297.5</v>
          </cell>
          <cell r="T280" t="str">
            <v>CIF</v>
          </cell>
          <cell r="U280" t="str">
            <v>LUC</v>
          </cell>
        </row>
        <row r="281">
          <cell r="D281">
            <v>7.7</v>
          </cell>
          <cell r="F281" t="str">
            <v>8XN2369</v>
          </cell>
          <cell r="G281" t="str">
            <v>KIOXIA CORPORATION C/O KIOXIA AMERICA INC</v>
          </cell>
          <cell r="H281" t="str">
            <v>Delivered</v>
          </cell>
          <cell r="I281" t="str">
            <v>mem</v>
          </cell>
          <cell r="J281" t="str">
            <v>DHL( global)</v>
          </cell>
          <cell r="K281" t="str">
            <v>VVMV</v>
          </cell>
          <cell r="L281" t="str">
            <v>JP</v>
          </cell>
          <cell r="M281">
            <v>46046</v>
          </cell>
          <cell r="N281">
            <v>46049</v>
          </cell>
          <cell r="O281">
            <v>46049</v>
          </cell>
          <cell r="P281">
            <v>107928488840</v>
          </cell>
          <cell r="Q281">
            <v>46048</v>
          </cell>
          <cell r="R281" t="str">
            <v>No inspection</v>
          </cell>
          <cell r="S281">
            <v>975844.8</v>
          </cell>
          <cell r="T281" t="str">
            <v>DAP</v>
          </cell>
          <cell r="U281" t="str">
            <v>PUR</v>
          </cell>
        </row>
        <row r="282">
          <cell r="D282">
            <v>7.7</v>
          </cell>
          <cell r="F282" t="str">
            <v>8XN2368</v>
          </cell>
          <cell r="G282" t="str">
            <v>KIOXIA CORPORATION C/O KIOXIA AMERICA INC</v>
          </cell>
          <cell r="H282" t="str">
            <v>Delivered</v>
          </cell>
          <cell r="I282" t="str">
            <v>mem</v>
          </cell>
          <cell r="J282" t="str">
            <v>DHL( global)</v>
          </cell>
          <cell r="K282" t="str">
            <v>VVMV</v>
          </cell>
          <cell r="L282" t="str">
            <v>JP</v>
          </cell>
          <cell r="M282">
            <v>46046</v>
          </cell>
          <cell r="N282">
            <v>46049</v>
          </cell>
          <cell r="O282">
            <v>46049</v>
          </cell>
          <cell r="P282">
            <v>107928492340</v>
          </cell>
          <cell r="Q282">
            <v>46048</v>
          </cell>
          <cell r="R282" t="str">
            <v>No inspection</v>
          </cell>
          <cell r="S282">
            <v>975844.8</v>
          </cell>
          <cell r="T282" t="str">
            <v>DAP</v>
          </cell>
          <cell r="U282" t="str">
            <v>PUR</v>
          </cell>
        </row>
        <row r="283">
          <cell r="D283">
            <v>61.9</v>
          </cell>
          <cell r="F283" t="str">
            <v>8XN2372</v>
          </cell>
          <cell r="G283" t="str">
            <v>KIOXIA CORPORATION C/O KIOXIA AMERICA INC</v>
          </cell>
          <cell r="H283" t="str">
            <v>Delivered</v>
          </cell>
          <cell r="I283" t="str">
            <v>mem</v>
          </cell>
          <cell r="J283" t="str">
            <v>DHL( global)</v>
          </cell>
          <cell r="K283" t="str">
            <v>VVMV</v>
          </cell>
          <cell r="L283" t="str">
            <v>JP</v>
          </cell>
          <cell r="M283">
            <v>46046</v>
          </cell>
          <cell r="N283">
            <v>46049</v>
          </cell>
          <cell r="O283">
            <v>46049</v>
          </cell>
          <cell r="P283">
            <v>107928372050</v>
          </cell>
          <cell r="Q283">
            <v>46048</v>
          </cell>
          <cell r="R283" t="str">
            <v>No inspection</v>
          </cell>
          <cell r="S283">
            <v>989992.95999999996</v>
          </cell>
          <cell r="T283" t="str">
            <v>DAP</v>
          </cell>
          <cell r="U283" t="str">
            <v>PUR</v>
          </cell>
        </row>
        <row r="284">
          <cell r="D284">
            <v>7.7</v>
          </cell>
          <cell r="F284" t="str">
            <v>8XN2367</v>
          </cell>
          <cell r="G284" t="str">
            <v>KIOXIA CORPORATION C/O KIOXIA AMERICA INC</v>
          </cell>
          <cell r="H284" t="str">
            <v>Delivered</v>
          </cell>
          <cell r="I284" t="str">
            <v>mem</v>
          </cell>
          <cell r="J284" t="str">
            <v>DHL( global)</v>
          </cell>
          <cell r="K284" t="str">
            <v>VVMV</v>
          </cell>
          <cell r="L284" t="str">
            <v>JP</v>
          </cell>
          <cell r="M284">
            <v>46046</v>
          </cell>
          <cell r="N284">
            <v>46049</v>
          </cell>
          <cell r="O284">
            <v>46049</v>
          </cell>
          <cell r="P284">
            <v>107928489100</v>
          </cell>
          <cell r="Q284">
            <v>46048</v>
          </cell>
          <cell r="R284" t="str">
            <v>No inspection</v>
          </cell>
          <cell r="S284">
            <v>975844.8</v>
          </cell>
          <cell r="T284" t="str">
            <v>DAP</v>
          </cell>
          <cell r="U284" t="str">
            <v>PUR</v>
          </cell>
        </row>
        <row r="285">
          <cell r="D285">
            <v>7.7</v>
          </cell>
          <cell r="F285" t="str">
            <v>8XN2366</v>
          </cell>
          <cell r="G285" t="str">
            <v>KIOXIA CORPORATION C/O KIOXIA AMERICA INC</v>
          </cell>
          <cell r="H285" t="str">
            <v>Delivered</v>
          </cell>
          <cell r="I285" t="str">
            <v>mem</v>
          </cell>
          <cell r="J285" t="str">
            <v>DHL( global)</v>
          </cell>
          <cell r="K285" t="str">
            <v>VVMV</v>
          </cell>
          <cell r="L285" t="str">
            <v>JP</v>
          </cell>
          <cell r="M285">
            <v>46046</v>
          </cell>
          <cell r="N285">
            <v>46049</v>
          </cell>
          <cell r="O285">
            <v>46049</v>
          </cell>
          <cell r="P285">
            <v>107929007210</v>
          </cell>
          <cell r="Q285">
            <v>46048</v>
          </cell>
          <cell r="R285" t="str">
            <v>No inspection</v>
          </cell>
          <cell r="S285">
            <v>975844.8</v>
          </cell>
          <cell r="T285" t="str">
            <v>DAP</v>
          </cell>
          <cell r="U285" t="str">
            <v>PUR</v>
          </cell>
        </row>
        <row r="286">
          <cell r="D286">
            <v>21.9</v>
          </cell>
          <cell r="F286" t="str">
            <v>8XN2374</v>
          </cell>
          <cell r="G286" t="str">
            <v>KIOXIA CORPORATION C/O KIOXIA AMERICA INC</v>
          </cell>
          <cell r="H286" t="str">
            <v>Delivered</v>
          </cell>
          <cell r="I286" t="str">
            <v>mem</v>
          </cell>
          <cell r="J286" t="str">
            <v>DHL( global)</v>
          </cell>
          <cell r="K286" t="str">
            <v>VVMV</v>
          </cell>
          <cell r="L286" t="str">
            <v>JP</v>
          </cell>
          <cell r="M286">
            <v>46046</v>
          </cell>
          <cell r="N286">
            <v>46049</v>
          </cell>
          <cell r="O286">
            <v>46049</v>
          </cell>
          <cell r="P286">
            <v>107928585550</v>
          </cell>
          <cell r="Q286">
            <v>46048</v>
          </cell>
          <cell r="R286" t="str">
            <v>No inspection</v>
          </cell>
          <cell r="S286">
            <v>801576</v>
          </cell>
          <cell r="T286" t="str">
            <v>DAP</v>
          </cell>
          <cell r="U286" t="str">
            <v>PUR</v>
          </cell>
        </row>
        <row r="287">
          <cell r="D287">
            <v>7.7</v>
          </cell>
          <cell r="F287" t="str">
            <v>8XN2370</v>
          </cell>
          <cell r="G287" t="str">
            <v>KIOXIA CORPORATION C/O KIOXIA AMERICA INC</v>
          </cell>
          <cell r="H287" t="str">
            <v>Delivered</v>
          </cell>
          <cell r="I287" t="str">
            <v>mem</v>
          </cell>
          <cell r="J287" t="str">
            <v>DHL( global)</v>
          </cell>
          <cell r="K287" t="str">
            <v>VVMV</v>
          </cell>
          <cell r="L287" t="str">
            <v>JP</v>
          </cell>
          <cell r="M287">
            <v>46046</v>
          </cell>
          <cell r="N287">
            <v>46049</v>
          </cell>
          <cell r="O287">
            <v>46049</v>
          </cell>
          <cell r="P287">
            <v>107928607250</v>
          </cell>
          <cell r="Q287">
            <v>46048</v>
          </cell>
          <cell r="R287" t="str">
            <v>No inspection</v>
          </cell>
          <cell r="S287">
            <v>975844.8</v>
          </cell>
          <cell r="T287" t="str">
            <v>DAP</v>
          </cell>
          <cell r="U287" t="str">
            <v>PUR</v>
          </cell>
        </row>
        <row r="288">
          <cell r="D288">
            <v>7.7</v>
          </cell>
          <cell r="F288" t="str">
            <v>8XN2371</v>
          </cell>
          <cell r="G288" t="str">
            <v>KIOXIA CORPORATION C/O KIOXIA AMERICA INC</v>
          </cell>
          <cell r="H288" t="str">
            <v>Delivered</v>
          </cell>
          <cell r="I288" t="str">
            <v>mem</v>
          </cell>
          <cell r="J288" t="str">
            <v>DHL( global)</v>
          </cell>
          <cell r="K288" t="str">
            <v>VVMV</v>
          </cell>
          <cell r="L288" t="str">
            <v>JP</v>
          </cell>
          <cell r="M288">
            <v>46046</v>
          </cell>
          <cell r="N288">
            <v>46049</v>
          </cell>
          <cell r="O288">
            <v>46049</v>
          </cell>
          <cell r="P288">
            <v>107928604230</v>
          </cell>
          <cell r="Q288">
            <v>46048</v>
          </cell>
          <cell r="R288" t="str">
            <v>No inspection</v>
          </cell>
          <cell r="S288">
            <v>957999.49</v>
          </cell>
          <cell r="T288" t="str">
            <v>DAP</v>
          </cell>
          <cell r="U288" t="str">
            <v>PUR</v>
          </cell>
        </row>
        <row r="289">
          <cell r="D289">
            <v>21.9</v>
          </cell>
          <cell r="F289" t="str">
            <v>8XN2373</v>
          </cell>
          <cell r="G289" t="str">
            <v>KIOXIA CORPORATION C/O KIOXIA AMERICA INC</v>
          </cell>
          <cell r="H289" t="str">
            <v>Delivered</v>
          </cell>
          <cell r="I289" t="str">
            <v>mem</v>
          </cell>
          <cell r="J289" t="str">
            <v>DHL( global)</v>
          </cell>
          <cell r="K289" t="str">
            <v>VVMV</v>
          </cell>
          <cell r="L289" t="str">
            <v>JP</v>
          </cell>
          <cell r="M289">
            <v>46046</v>
          </cell>
          <cell r="N289">
            <v>46049</v>
          </cell>
          <cell r="O289">
            <v>46049</v>
          </cell>
          <cell r="P289">
            <v>107929078130</v>
          </cell>
          <cell r="Q289">
            <v>46048</v>
          </cell>
          <cell r="R289" t="str">
            <v>No inspection</v>
          </cell>
          <cell r="S289">
            <v>801576</v>
          </cell>
          <cell r="T289" t="str">
            <v>DAP</v>
          </cell>
          <cell r="U289" t="str">
            <v>PUR</v>
          </cell>
        </row>
        <row r="290">
          <cell r="D290">
            <v>26.1</v>
          </cell>
          <cell r="F290" t="str">
            <v>8XN2375</v>
          </cell>
          <cell r="G290" t="str">
            <v>KIOXIA CORPORATION C/O KIOXIA AMERICA INC</v>
          </cell>
          <cell r="H290" t="str">
            <v>Delivered</v>
          </cell>
          <cell r="I290" t="str">
            <v>mem</v>
          </cell>
          <cell r="J290" t="str">
            <v>DHL( global)</v>
          </cell>
          <cell r="K290" t="str">
            <v>VVMV</v>
          </cell>
          <cell r="L290" t="str">
            <v>JP</v>
          </cell>
          <cell r="M290">
            <v>46046</v>
          </cell>
          <cell r="N290">
            <v>46049</v>
          </cell>
          <cell r="O290">
            <v>46049</v>
          </cell>
          <cell r="P290">
            <v>107928644610</v>
          </cell>
          <cell r="Q290">
            <v>46048</v>
          </cell>
          <cell r="R290" t="str">
            <v>No inspection</v>
          </cell>
          <cell r="S290">
            <v>933687.6</v>
          </cell>
          <cell r="T290" t="str">
            <v>DAP</v>
          </cell>
          <cell r="U290" t="str">
            <v>PUR</v>
          </cell>
        </row>
        <row r="291">
          <cell r="D291">
            <v>188</v>
          </cell>
          <cell r="F291">
            <v>4915049792</v>
          </cell>
          <cell r="G291" t="str">
            <v>RICHARDSON RFPD HONG KONG LIMITED</v>
          </cell>
          <cell r="H291" t="str">
            <v>Delivered</v>
          </cell>
          <cell r="I291" t="str">
            <v>cap..</v>
          </cell>
          <cell r="J291" t="str">
            <v>Expeditors</v>
          </cell>
          <cell r="K291" t="str">
            <v>VVMV</v>
          </cell>
          <cell r="L291" t="str">
            <v>HK</v>
          </cell>
          <cell r="M291">
            <v>46047</v>
          </cell>
          <cell r="N291">
            <v>46049</v>
          </cell>
          <cell r="O291">
            <v>46049</v>
          </cell>
          <cell r="P291">
            <v>107928673160</v>
          </cell>
          <cell r="Q291">
            <v>46048</v>
          </cell>
          <cell r="R291" t="str">
            <v>No inspection</v>
          </cell>
          <cell r="S291">
            <v>27720</v>
          </cell>
          <cell r="T291" t="str">
            <v>EXW</v>
          </cell>
          <cell r="U291" t="str">
            <v>PUR</v>
          </cell>
        </row>
        <row r="292">
          <cell r="D292">
            <v>1430</v>
          </cell>
          <cell r="F292" t="str">
            <v>KEHPH2610704</v>
          </cell>
          <cell r="G292" t="str">
            <v>CHENG FWA INDUSTRIAL CO., LTD</v>
          </cell>
          <cell r="H292" t="str">
            <v>Delivered</v>
          </cell>
          <cell r="I292" t="str">
            <v>top..</v>
          </cell>
          <cell r="J292" t="str">
            <v>Dolphin(sea)</v>
          </cell>
          <cell r="K292" t="str">
            <v>Dolphin</v>
          </cell>
          <cell r="L292" t="str">
            <v>TW</v>
          </cell>
          <cell r="M292">
            <v>46045</v>
          </cell>
          <cell r="N292">
            <v>46051</v>
          </cell>
          <cell r="O292">
            <v>46050</v>
          </cell>
          <cell r="P292">
            <v>107928989560</v>
          </cell>
          <cell r="Q292">
            <v>46049</v>
          </cell>
          <cell r="R292" t="str">
            <v>No inspection</v>
          </cell>
          <cell r="S292">
            <v>29274</v>
          </cell>
          <cell r="T292" t="str">
            <v>FOB</v>
          </cell>
          <cell r="U292" t="str">
            <v>LUC</v>
          </cell>
        </row>
        <row r="293">
          <cell r="D293">
            <v>69</v>
          </cell>
          <cell r="F293">
            <v>397849829829</v>
          </cell>
          <cell r="G293" t="str">
            <v>WURTH ELECTRONICS MIDCOM</v>
          </cell>
          <cell r="H293" t="str">
            <v>Delivered</v>
          </cell>
          <cell r="I293" t="str">
            <v>ind..</v>
          </cell>
          <cell r="J293" t="str">
            <v>Fedex</v>
          </cell>
          <cell r="K293" t="str">
            <v>VVMV</v>
          </cell>
          <cell r="L293" t="str">
            <v>US</v>
          </cell>
          <cell r="M293">
            <v>46038</v>
          </cell>
          <cell r="N293">
            <v>46051</v>
          </cell>
          <cell r="O293">
            <v>46052</v>
          </cell>
          <cell r="P293">
            <v>107937543340</v>
          </cell>
          <cell r="Q293">
            <v>46050</v>
          </cell>
          <cell r="R293" t="str">
            <v>No inspection</v>
          </cell>
          <cell r="S293">
            <v>4410</v>
          </cell>
          <cell r="T293" t="str">
            <v>CIF</v>
          </cell>
          <cell r="U293" t="str">
            <v>LUC</v>
          </cell>
        </row>
        <row r="294">
          <cell r="D294">
            <v>3</v>
          </cell>
          <cell r="F294">
            <v>888199998013</v>
          </cell>
          <cell r="G294" t="str">
            <v>CYMMETRIK SHENZHEN PRINTING CO., LTD</v>
          </cell>
          <cell r="H294" t="str">
            <v>Delivered</v>
          </cell>
          <cell r="I294" t="str">
            <v>label</v>
          </cell>
          <cell r="J294" t="str">
            <v>Fedex</v>
          </cell>
          <cell r="K294" t="str">
            <v>VVMV</v>
          </cell>
          <cell r="L294" t="str">
            <v>CN</v>
          </cell>
          <cell r="M294">
            <v>46048</v>
          </cell>
          <cell r="N294">
            <v>46051</v>
          </cell>
          <cell r="O294">
            <v>46050</v>
          </cell>
          <cell r="P294">
            <v>107936102260</v>
          </cell>
          <cell r="Q294">
            <v>46050</v>
          </cell>
          <cell r="R294" t="str">
            <v>No inspection</v>
          </cell>
          <cell r="S294">
            <v>705</v>
          </cell>
          <cell r="T294" t="str">
            <v>EXW</v>
          </cell>
          <cell r="U294" t="str">
            <v>PUR</v>
          </cell>
        </row>
        <row r="295">
          <cell r="D295">
            <v>11.5</v>
          </cell>
          <cell r="F295">
            <v>888015575440</v>
          </cell>
          <cell r="G295" t="str">
            <v>ARROW ELECTRONICS ASIA (S) PTE LTD
C/O ARROW COMPONENTS (M) SDN BHD</v>
          </cell>
          <cell r="H295" t="str">
            <v>Delivered</v>
          </cell>
          <cell r="I295" t="str">
            <v>cap..</v>
          </cell>
          <cell r="J295" t="str">
            <v>Fedex</v>
          </cell>
          <cell r="K295" t="str">
            <v>VVMV</v>
          </cell>
          <cell r="L295" t="str">
            <v>MY</v>
          </cell>
          <cell r="M295">
            <v>46042</v>
          </cell>
          <cell r="N295">
            <v>46050</v>
          </cell>
          <cell r="O295">
            <v>46049</v>
          </cell>
          <cell r="P295">
            <v>107931197250</v>
          </cell>
          <cell r="Q295">
            <v>46049</v>
          </cell>
          <cell r="R295" t="str">
            <v>No inspection</v>
          </cell>
          <cell r="S295">
            <v>3505.96</v>
          </cell>
          <cell r="T295" t="str">
            <v>EXW</v>
          </cell>
          <cell r="U295" t="str">
            <v>LUC</v>
          </cell>
        </row>
        <row r="296">
          <cell r="D296">
            <v>116.2</v>
          </cell>
          <cell r="F296" t="str">
            <v>LSZHPH2600536</v>
          </cell>
          <cell r="G296" t="str">
            <v>ISU PETASYS INTERNATIONAL (HONGKONG) LIMITED</v>
          </cell>
          <cell r="H296" t="str">
            <v>Delivered</v>
          </cell>
          <cell r="I296" t="str">
            <v>pcb</v>
          </cell>
          <cell r="J296" t="str">
            <v>VVMV(sea)</v>
          </cell>
          <cell r="K296" t="str">
            <v>VVMV</v>
          </cell>
          <cell r="L296" t="str">
            <v>CN</v>
          </cell>
          <cell r="M296">
            <v>46046</v>
          </cell>
          <cell r="N296">
            <v>46051</v>
          </cell>
          <cell r="O296">
            <v>46051</v>
          </cell>
          <cell r="P296">
            <v>107935461910</v>
          </cell>
          <cell r="Q296">
            <v>46050</v>
          </cell>
          <cell r="R296" t="str">
            <v>No inspection</v>
          </cell>
          <cell r="S296">
            <v>13881.78</v>
          </cell>
          <cell r="T296" t="str">
            <v>EXW</v>
          </cell>
          <cell r="U296" t="str">
            <v>PUR</v>
          </cell>
        </row>
        <row r="297">
          <cell r="D297">
            <v>5.5</v>
          </cell>
          <cell r="F297">
            <v>4110333136</v>
          </cell>
          <cell r="G297" t="str">
            <v>Avnet, Inc.</v>
          </cell>
          <cell r="H297" t="str">
            <v>Delivered</v>
          </cell>
          <cell r="I297" t="str">
            <v>con..</v>
          </cell>
          <cell r="J297" t="str">
            <v>Expeditors</v>
          </cell>
          <cell r="K297" t="str">
            <v>VVMV</v>
          </cell>
          <cell r="L297" t="str">
            <v>US</v>
          </cell>
          <cell r="M297">
            <v>46044</v>
          </cell>
          <cell r="N297">
            <v>46050</v>
          </cell>
          <cell r="O297">
            <v>46049</v>
          </cell>
          <cell r="P297">
            <v>107933248950</v>
          </cell>
          <cell r="Q297">
            <v>46049</v>
          </cell>
          <cell r="R297" t="str">
            <v>No inspection</v>
          </cell>
          <cell r="S297">
            <v>2500.02</v>
          </cell>
          <cell r="T297" t="str">
            <v>DAP</v>
          </cell>
          <cell r="U297" t="str">
            <v>LUC</v>
          </cell>
        </row>
        <row r="298">
          <cell r="D298">
            <v>73.5</v>
          </cell>
          <cell r="F298">
            <v>4110333284</v>
          </cell>
          <cell r="G298" t="str">
            <v>Avnet, Inc.</v>
          </cell>
          <cell r="H298" t="str">
            <v>Delivered</v>
          </cell>
          <cell r="I298" t="str">
            <v>con..</v>
          </cell>
          <cell r="J298" t="str">
            <v>Expeditors</v>
          </cell>
          <cell r="K298" t="str">
            <v>VVMV</v>
          </cell>
          <cell r="L298" t="str">
            <v>US</v>
          </cell>
          <cell r="M298">
            <v>46045</v>
          </cell>
          <cell r="N298">
            <v>46050</v>
          </cell>
          <cell r="O298">
            <v>46049</v>
          </cell>
          <cell r="P298">
            <v>107932463700</v>
          </cell>
          <cell r="Q298">
            <v>46049</v>
          </cell>
          <cell r="R298" t="str">
            <v>No inspection</v>
          </cell>
          <cell r="S298">
            <v>2419.1999999999998</v>
          </cell>
          <cell r="T298" t="str">
            <v>DAP</v>
          </cell>
          <cell r="U298" t="str">
            <v>LUC</v>
          </cell>
        </row>
        <row r="299">
          <cell r="D299">
            <v>34</v>
          </cell>
          <cell r="F299">
            <v>397875717852</v>
          </cell>
          <cell r="G299" t="str">
            <v>ROSENBERGER HOCHFREQUENZTECHNIK</v>
          </cell>
          <cell r="H299" t="str">
            <v>Delivered</v>
          </cell>
          <cell r="I299" t="str">
            <v>con..</v>
          </cell>
          <cell r="J299" t="str">
            <v>Fedex</v>
          </cell>
          <cell r="K299" t="str">
            <v>VVMV</v>
          </cell>
          <cell r="L299" t="str">
            <v>DE</v>
          </cell>
          <cell r="M299">
            <v>46041</v>
          </cell>
          <cell r="N299">
            <v>46051</v>
          </cell>
          <cell r="O299">
            <v>46050</v>
          </cell>
          <cell r="P299">
            <v>107936888140</v>
          </cell>
          <cell r="Q299">
            <v>46050</v>
          </cell>
          <cell r="R299" t="str">
            <v>No inspection</v>
          </cell>
          <cell r="S299">
            <v>4548.78</v>
          </cell>
          <cell r="T299" t="str">
            <v>CIF</v>
          </cell>
          <cell r="U299" t="str">
            <v>LUC</v>
          </cell>
        </row>
        <row r="300">
          <cell r="D300">
            <v>15</v>
          </cell>
          <cell r="F300">
            <v>398005395188</v>
          </cell>
          <cell r="G300" t="str">
            <v>O/B ANALOG DEVICES INTERNATIONAL UC
DHL SUPPLY CHAIN MGMT PHILS INC</v>
          </cell>
          <cell r="H300" t="str">
            <v>Delivered</v>
          </cell>
          <cell r="I300" t="str">
            <v>ic..</v>
          </cell>
          <cell r="J300" t="str">
            <v>Fedex</v>
          </cell>
          <cell r="K300" t="str">
            <v>VVMV</v>
          </cell>
          <cell r="L300" t="str">
            <v>PH</v>
          </cell>
          <cell r="M300">
            <v>46044</v>
          </cell>
          <cell r="N300">
            <v>46050</v>
          </cell>
          <cell r="O300">
            <v>46049</v>
          </cell>
          <cell r="P300">
            <v>107932074610</v>
          </cell>
          <cell r="Q300">
            <v>46049</v>
          </cell>
          <cell r="R300" t="str">
            <v>No inspection</v>
          </cell>
          <cell r="S300">
            <v>86040</v>
          </cell>
          <cell r="T300" t="str">
            <v>EXW</v>
          </cell>
          <cell r="U300" t="str">
            <v>LUC</v>
          </cell>
        </row>
        <row r="301">
          <cell r="D301">
            <v>0.5</v>
          </cell>
          <cell r="F301">
            <v>479730301652</v>
          </cell>
          <cell r="G301" t="str">
            <v>ARROW COMPONENTS MEXICO SA De CV</v>
          </cell>
          <cell r="H301" t="str">
            <v>Delivered</v>
          </cell>
          <cell r="I301" t="str">
            <v>diode</v>
          </cell>
          <cell r="J301" t="str">
            <v>Fedex</v>
          </cell>
          <cell r="K301" t="str">
            <v>VVMV</v>
          </cell>
          <cell r="L301" t="str">
            <v>MX</v>
          </cell>
          <cell r="M301">
            <v>46041</v>
          </cell>
          <cell r="N301">
            <v>46050</v>
          </cell>
          <cell r="O301">
            <v>46049</v>
          </cell>
          <cell r="P301">
            <v>107932082640</v>
          </cell>
          <cell r="Q301">
            <v>46049</v>
          </cell>
          <cell r="R301" t="str">
            <v>No inspection</v>
          </cell>
          <cell r="S301">
            <v>145.5</v>
          </cell>
          <cell r="T301" t="str">
            <v>CIF</v>
          </cell>
          <cell r="U301" t="str">
            <v>HLO</v>
          </cell>
        </row>
        <row r="302">
          <cell r="D302">
            <v>11.5</v>
          </cell>
          <cell r="F302">
            <v>397964113113</v>
          </cell>
          <cell r="G302" t="str">
            <v>ROSENBERGER HOCHFREQUENZTECHNIK</v>
          </cell>
          <cell r="H302" t="str">
            <v>Delivered</v>
          </cell>
          <cell r="I302" t="str">
            <v>con..</v>
          </cell>
          <cell r="J302" t="str">
            <v>Fedex</v>
          </cell>
          <cell r="K302" t="str">
            <v>VVMV</v>
          </cell>
          <cell r="L302" t="str">
            <v>DE</v>
          </cell>
          <cell r="M302">
            <v>46043</v>
          </cell>
          <cell r="N302">
            <v>46051</v>
          </cell>
          <cell r="O302">
            <v>46050</v>
          </cell>
          <cell r="P302">
            <v>107935617420</v>
          </cell>
          <cell r="Q302">
            <v>46050</v>
          </cell>
          <cell r="R302" t="str">
            <v>No inspection</v>
          </cell>
          <cell r="S302">
            <v>1516.26</v>
          </cell>
          <cell r="T302" t="str">
            <v>CIF</v>
          </cell>
          <cell r="U302" t="str">
            <v>LUC</v>
          </cell>
        </row>
        <row r="303">
          <cell r="D303">
            <v>169</v>
          </cell>
          <cell r="F303">
            <v>397921707497</v>
          </cell>
          <cell r="G303" t="str">
            <v>ROSENBERGER HOCHFREQUENZTECHNIK</v>
          </cell>
          <cell r="H303" t="str">
            <v>Delivered</v>
          </cell>
          <cell r="I303" t="str">
            <v>con..</v>
          </cell>
          <cell r="J303" t="str">
            <v>Fedex</v>
          </cell>
          <cell r="K303" t="str">
            <v>VVMV</v>
          </cell>
          <cell r="L303" t="str">
            <v>HU</v>
          </cell>
          <cell r="M303">
            <v>46041</v>
          </cell>
          <cell r="N303">
            <v>46051</v>
          </cell>
          <cell r="O303">
            <v>46052</v>
          </cell>
          <cell r="P303">
            <v>107937908300</v>
          </cell>
          <cell r="Q303">
            <v>46050</v>
          </cell>
          <cell r="R303" t="str">
            <v>No inspection</v>
          </cell>
          <cell r="S303">
            <v>15951.15</v>
          </cell>
          <cell r="T303" t="str">
            <v>CIF</v>
          </cell>
          <cell r="U303" t="str">
            <v>LUC</v>
          </cell>
        </row>
        <row r="304">
          <cell r="D304">
            <v>32</v>
          </cell>
          <cell r="F304">
            <v>481663282262</v>
          </cell>
          <cell r="G304" t="str">
            <v>AMPHENOL EAST ASIA LTD</v>
          </cell>
          <cell r="H304" t="str">
            <v>Delivered</v>
          </cell>
          <cell r="I304" t="str">
            <v>con..</v>
          </cell>
          <cell r="J304" t="str">
            <v>Fedex</v>
          </cell>
          <cell r="K304" t="str">
            <v>VVMV</v>
          </cell>
          <cell r="L304" t="str">
            <v>HK</v>
          </cell>
          <cell r="M304">
            <v>46044</v>
          </cell>
          <cell r="N304">
            <v>46051</v>
          </cell>
          <cell r="O304">
            <v>46050</v>
          </cell>
          <cell r="P304">
            <v>107935185630</v>
          </cell>
          <cell r="Q304">
            <v>46050</v>
          </cell>
          <cell r="R304" t="str">
            <v>No inspection</v>
          </cell>
          <cell r="S304">
            <v>16128</v>
          </cell>
          <cell r="T304" t="str">
            <v>EXW</v>
          </cell>
          <cell r="U304" t="str">
            <v>HLO</v>
          </cell>
        </row>
        <row r="305">
          <cell r="D305">
            <v>3</v>
          </cell>
          <cell r="F305">
            <v>479730304478</v>
          </cell>
          <cell r="G305" t="str">
            <v>ARROW COMPONENTS MEXICO SA De CV</v>
          </cell>
          <cell r="H305" t="str">
            <v>Delivered</v>
          </cell>
          <cell r="I305" t="str">
            <v>res..</v>
          </cell>
          <cell r="J305" t="str">
            <v>Fedex</v>
          </cell>
          <cell r="K305" t="str">
            <v>VVMV</v>
          </cell>
          <cell r="L305" t="str">
            <v>MX</v>
          </cell>
          <cell r="M305">
            <v>46041</v>
          </cell>
          <cell r="N305">
            <v>46050</v>
          </cell>
          <cell r="O305">
            <v>46049</v>
          </cell>
          <cell r="P305">
            <v>107932152420</v>
          </cell>
          <cell r="Q305">
            <v>46049</v>
          </cell>
          <cell r="R305" t="str">
            <v>No inspection</v>
          </cell>
          <cell r="S305">
            <v>529</v>
          </cell>
          <cell r="T305" t="str">
            <v>CIF</v>
          </cell>
          <cell r="U305" t="str">
            <v>LUC</v>
          </cell>
        </row>
        <row r="306">
          <cell r="D306">
            <v>160</v>
          </cell>
          <cell r="F306">
            <v>484361652431</v>
          </cell>
          <cell r="G306" t="str">
            <v>COILCRAFT SINGAPORE PTE LTD</v>
          </cell>
          <cell r="H306" t="str">
            <v>Delivered</v>
          </cell>
          <cell r="I306" t="str">
            <v>ind..</v>
          </cell>
          <cell r="J306" t="str">
            <v>Fedex</v>
          </cell>
          <cell r="K306" t="str">
            <v>VVMV</v>
          </cell>
          <cell r="L306" t="str">
            <v>SG</v>
          </cell>
          <cell r="M306">
            <v>46045</v>
          </cell>
          <cell r="N306">
            <v>46050</v>
          </cell>
          <cell r="O306">
            <v>46050</v>
          </cell>
          <cell r="P306">
            <v>107933335200</v>
          </cell>
          <cell r="Q306">
            <v>46049</v>
          </cell>
          <cell r="R306" t="str">
            <v>No inspection</v>
          </cell>
          <cell r="S306">
            <v>20482.75</v>
          </cell>
          <cell r="T306" t="str">
            <v>EXW</v>
          </cell>
          <cell r="U306" t="str">
            <v>LUC</v>
          </cell>
        </row>
        <row r="307">
          <cell r="D307">
            <v>0.5</v>
          </cell>
          <cell r="F307">
            <v>499549045875</v>
          </cell>
          <cell r="G307" t="str">
            <v>SMITH &amp; ASSOCIATES FAR EAST LTD</v>
          </cell>
          <cell r="H307" t="str">
            <v>Delivered</v>
          </cell>
          <cell r="I307" t="str">
            <v>diode</v>
          </cell>
          <cell r="J307" t="str">
            <v>Fedex</v>
          </cell>
          <cell r="K307" t="str">
            <v>VVMV</v>
          </cell>
          <cell r="L307" t="str">
            <v>HK</v>
          </cell>
          <cell r="M307">
            <v>46048</v>
          </cell>
          <cell r="N307">
            <v>46050</v>
          </cell>
          <cell r="O307">
            <v>46049</v>
          </cell>
          <cell r="P307">
            <v>107932703210</v>
          </cell>
          <cell r="Q307">
            <v>46049</v>
          </cell>
          <cell r="R307" t="str">
            <v>No inspection</v>
          </cell>
          <cell r="S307">
            <v>125.32</v>
          </cell>
          <cell r="T307" t="str">
            <v>EXW</v>
          </cell>
          <cell r="U307" t="str">
            <v>LUC</v>
          </cell>
        </row>
        <row r="308">
          <cell r="D308">
            <v>2</v>
          </cell>
          <cell r="F308">
            <v>488209951913</v>
          </cell>
          <cell r="G308" t="str">
            <v>ARROW ELECTRONICS INC
C/O ARROW COMPONENTS (M) SDN BHD</v>
          </cell>
          <cell r="H308" t="str">
            <v>Delivered</v>
          </cell>
          <cell r="I308" t="str">
            <v>ind..</v>
          </cell>
          <cell r="J308" t="str">
            <v>Fedex</v>
          </cell>
          <cell r="K308" t="str">
            <v>VVMV</v>
          </cell>
          <cell r="L308" t="str">
            <v>MY</v>
          </cell>
          <cell r="M308">
            <v>46046</v>
          </cell>
          <cell r="N308">
            <v>46050</v>
          </cell>
          <cell r="O308">
            <v>46050</v>
          </cell>
          <cell r="P308">
            <v>107933312650</v>
          </cell>
          <cell r="Q308">
            <v>46049</v>
          </cell>
          <cell r="R308" t="str">
            <v>No inspection</v>
          </cell>
          <cell r="S308">
            <v>438</v>
          </cell>
          <cell r="T308" t="str">
            <v>CIF</v>
          </cell>
          <cell r="U308" t="str">
            <v>PUR</v>
          </cell>
        </row>
        <row r="309">
          <cell r="D309">
            <v>3.1</v>
          </cell>
          <cell r="F309">
            <v>707296272099</v>
          </cell>
          <cell r="G309" t="str">
            <v>ARROW COMPONENTS MEXICO SA De CV</v>
          </cell>
          <cell r="H309" t="str">
            <v>Delivered</v>
          </cell>
          <cell r="I309" t="str">
            <v>diode</v>
          </cell>
          <cell r="J309" t="str">
            <v>Fedex</v>
          </cell>
          <cell r="K309" t="str">
            <v>VVMV</v>
          </cell>
          <cell r="L309" t="str">
            <v>MX</v>
          </cell>
          <cell r="M309">
            <v>46041</v>
          </cell>
          <cell r="N309">
            <v>46050</v>
          </cell>
          <cell r="O309">
            <v>46049</v>
          </cell>
          <cell r="P309">
            <v>107932535540</v>
          </cell>
          <cell r="Q309">
            <v>46049</v>
          </cell>
          <cell r="R309" t="str">
            <v>No inspection</v>
          </cell>
          <cell r="S309">
            <v>1254</v>
          </cell>
          <cell r="T309" t="str">
            <v>CIF</v>
          </cell>
          <cell r="U309" t="str">
            <v>LUC</v>
          </cell>
        </row>
        <row r="310">
          <cell r="D310">
            <v>21</v>
          </cell>
          <cell r="F310">
            <v>477592550840</v>
          </cell>
          <cell r="G310" t="str">
            <v>QUALCOMM CDMA TECHNOLOGIES ASIA-PAC</v>
          </cell>
          <cell r="H310" t="str">
            <v>Delivered</v>
          </cell>
          <cell r="I310" t="str">
            <v>ic..</v>
          </cell>
          <cell r="J310" t="str">
            <v>Fedex</v>
          </cell>
          <cell r="K310" t="str">
            <v>VVMV</v>
          </cell>
          <cell r="L310" t="str">
            <v>SG</v>
          </cell>
          <cell r="M310">
            <v>46048</v>
          </cell>
          <cell r="N310">
            <v>46050</v>
          </cell>
          <cell r="O310">
            <v>46049</v>
          </cell>
          <cell r="P310">
            <v>107932476150</v>
          </cell>
          <cell r="Q310">
            <v>46049</v>
          </cell>
          <cell r="R310" t="str">
            <v>No inspection</v>
          </cell>
          <cell r="S310">
            <v>76204.800000000003</v>
          </cell>
          <cell r="T310" t="str">
            <v>EXW</v>
          </cell>
          <cell r="U310" t="str">
            <v>LUC</v>
          </cell>
        </row>
        <row r="311">
          <cell r="D311">
            <v>1.5</v>
          </cell>
          <cell r="F311">
            <v>888111997269</v>
          </cell>
          <cell r="G311" t="str">
            <v>RACER TECHNOLOGY PTE, LTD</v>
          </cell>
          <cell r="H311" t="str">
            <v>Delivered</v>
          </cell>
          <cell r="I311" t="str">
            <v>button</v>
          </cell>
          <cell r="J311" t="str">
            <v>Fedex</v>
          </cell>
          <cell r="K311" t="str">
            <v>VVMV</v>
          </cell>
          <cell r="L311" t="str">
            <v>SG</v>
          </cell>
          <cell r="M311">
            <v>46044</v>
          </cell>
          <cell r="N311">
            <v>46050</v>
          </cell>
          <cell r="O311">
            <v>46050</v>
          </cell>
          <cell r="P311">
            <v>107932870030</v>
          </cell>
          <cell r="Q311">
            <v>46049</v>
          </cell>
          <cell r="R311" t="str">
            <v>No inspection</v>
          </cell>
          <cell r="S311">
            <v>90</v>
          </cell>
          <cell r="T311" t="str">
            <v>EXW</v>
          </cell>
          <cell r="U311" t="str">
            <v>EF-</v>
          </cell>
        </row>
        <row r="312">
          <cell r="D312">
            <v>26</v>
          </cell>
          <cell r="F312">
            <v>397913433822</v>
          </cell>
          <cell r="G312" t="str">
            <v>WURTH ELECTRONICS MIDCOM</v>
          </cell>
          <cell r="H312" t="str">
            <v>Delivered</v>
          </cell>
          <cell r="I312" t="str">
            <v>con</v>
          </cell>
          <cell r="J312" t="str">
            <v>Fedex</v>
          </cell>
          <cell r="K312" t="str">
            <v>VVMV</v>
          </cell>
          <cell r="L312" t="str">
            <v>US</v>
          </cell>
          <cell r="M312">
            <v>46041</v>
          </cell>
          <cell r="N312">
            <v>46052</v>
          </cell>
          <cell r="O312">
            <v>46052</v>
          </cell>
          <cell r="P312">
            <v>107941418800</v>
          </cell>
          <cell r="Q312">
            <v>46051</v>
          </cell>
          <cell r="R312" t="str">
            <v>No inspection</v>
          </cell>
          <cell r="S312">
            <v>3276</v>
          </cell>
          <cell r="T312" t="str">
            <v>CIF</v>
          </cell>
          <cell r="U312" t="str">
            <v>LUC</v>
          </cell>
        </row>
        <row r="313">
          <cell r="D313">
            <v>11.5</v>
          </cell>
          <cell r="F313">
            <v>493641393695</v>
          </cell>
          <cell r="G313" t="str">
            <v>LITTELFUSE FAR EAST PTE</v>
          </cell>
          <cell r="H313" t="str">
            <v>Delivered</v>
          </cell>
          <cell r="I313" t="str">
            <v>fuse</v>
          </cell>
          <cell r="J313" t="str">
            <v>Fedex</v>
          </cell>
          <cell r="K313" t="str">
            <v>VVMV</v>
          </cell>
          <cell r="L313" t="str">
            <v>HK</v>
          </cell>
          <cell r="M313">
            <v>46048</v>
          </cell>
          <cell r="N313">
            <v>46050</v>
          </cell>
          <cell r="O313">
            <v>46049</v>
          </cell>
          <cell r="P313">
            <v>107932592940</v>
          </cell>
          <cell r="Q313">
            <v>46049</v>
          </cell>
          <cell r="R313" t="str">
            <v>No inspection</v>
          </cell>
          <cell r="S313">
            <v>1166</v>
          </cell>
          <cell r="T313" t="str">
            <v>EXW</v>
          </cell>
          <cell r="U313" t="str">
            <v>LUC</v>
          </cell>
        </row>
        <row r="314">
          <cell r="D314">
            <v>0.5</v>
          </cell>
          <cell r="F314">
            <v>888117685747</v>
          </cell>
          <cell r="G314" t="str">
            <v>PAN JIT INTERNATIONAL</v>
          </cell>
          <cell r="H314" t="str">
            <v>Delivered</v>
          </cell>
          <cell r="I314" t="str">
            <v>diode</v>
          </cell>
          <cell r="J314" t="str">
            <v>Fedex</v>
          </cell>
          <cell r="K314" t="str">
            <v>VVMV</v>
          </cell>
          <cell r="L314" t="str">
            <v>TW</v>
          </cell>
          <cell r="M314">
            <v>46044</v>
          </cell>
          <cell r="N314">
            <v>46050</v>
          </cell>
          <cell r="O314">
            <v>46050</v>
          </cell>
          <cell r="P314">
            <v>107933400960</v>
          </cell>
          <cell r="Q314">
            <v>46049</v>
          </cell>
          <cell r="R314" t="str">
            <v>No inspection</v>
          </cell>
          <cell r="S314">
            <v>1</v>
          </cell>
          <cell r="T314" t="str">
            <v>EXW</v>
          </cell>
          <cell r="U314" t="str">
            <v>LUC</v>
          </cell>
        </row>
        <row r="315">
          <cell r="D315">
            <v>50</v>
          </cell>
          <cell r="F315">
            <v>409298905661</v>
          </cell>
          <cell r="G315" t="str">
            <v>TTI ELECTRONICS ASIA PTE LTD</v>
          </cell>
          <cell r="H315" t="str">
            <v>Delivered</v>
          </cell>
          <cell r="I315" t="str">
            <v>cap..</v>
          </cell>
          <cell r="J315" t="str">
            <v>Fedex</v>
          </cell>
          <cell r="K315" t="str">
            <v>VVMV</v>
          </cell>
          <cell r="L315" t="str">
            <v>SG</v>
          </cell>
          <cell r="M315">
            <v>46045</v>
          </cell>
          <cell r="N315">
            <v>46050</v>
          </cell>
          <cell r="O315">
            <v>46050</v>
          </cell>
          <cell r="P315">
            <v>107933232300</v>
          </cell>
          <cell r="Q315">
            <v>46049</v>
          </cell>
          <cell r="R315" t="str">
            <v>No inspection</v>
          </cell>
          <cell r="S315">
            <v>30517.67</v>
          </cell>
          <cell r="T315" t="str">
            <v>EXW</v>
          </cell>
          <cell r="U315" t="str">
            <v>LUC</v>
          </cell>
        </row>
        <row r="316">
          <cell r="D316">
            <v>19</v>
          </cell>
          <cell r="F316">
            <v>485149793868</v>
          </cell>
          <cell r="G316" t="str">
            <v>NANYA TECHNOLOGY CORP.</v>
          </cell>
          <cell r="H316" t="str">
            <v>Delivered</v>
          </cell>
          <cell r="I316" t="str">
            <v>ic..</v>
          </cell>
          <cell r="J316" t="str">
            <v>Fedex</v>
          </cell>
          <cell r="K316" t="str">
            <v>VVMV</v>
          </cell>
          <cell r="L316" t="str">
            <v>TW</v>
          </cell>
          <cell r="M316">
            <v>46043</v>
          </cell>
          <cell r="N316">
            <v>46050</v>
          </cell>
          <cell r="O316">
            <v>46050</v>
          </cell>
          <cell r="P316">
            <v>107933356420</v>
          </cell>
          <cell r="Q316">
            <v>46049</v>
          </cell>
          <cell r="R316" t="str">
            <v>No inspection</v>
          </cell>
          <cell r="S316">
            <v>36000</v>
          </cell>
          <cell r="T316" t="str">
            <v>EXW</v>
          </cell>
          <cell r="U316" t="str">
            <v>PUR</v>
          </cell>
        </row>
        <row r="317">
          <cell r="D317">
            <v>63.5</v>
          </cell>
          <cell r="F317">
            <v>451399164731</v>
          </cell>
          <cell r="G317" t="str">
            <v>MIN AIK TECHNOLOGY CO., LTD</v>
          </cell>
          <cell r="H317" t="str">
            <v>Delivered</v>
          </cell>
          <cell r="I317" t="str">
            <v>cover</v>
          </cell>
          <cell r="J317" t="str">
            <v>Fedex</v>
          </cell>
          <cell r="K317" t="str">
            <v>VVMV</v>
          </cell>
          <cell r="L317" t="str">
            <v>TW</v>
          </cell>
          <cell r="M317">
            <v>46044</v>
          </cell>
          <cell r="N317">
            <v>46050</v>
          </cell>
          <cell r="O317">
            <v>46049</v>
          </cell>
          <cell r="P317">
            <v>107932670530</v>
          </cell>
          <cell r="Q317">
            <v>46049</v>
          </cell>
          <cell r="R317" t="str">
            <v>No inspection</v>
          </cell>
          <cell r="S317">
            <v>1627.36</v>
          </cell>
          <cell r="T317" t="str">
            <v>EXW</v>
          </cell>
          <cell r="U317" t="str">
            <v>PUR</v>
          </cell>
        </row>
        <row r="318">
          <cell r="D318">
            <v>1.5</v>
          </cell>
          <cell r="F318">
            <v>715729489131</v>
          </cell>
          <cell r="G318" t="str">
            <v>ARROW ELECTRONICS DLC</v>
          </cell>
          <cell r="H318" t="str">
            <v>Delivered</v>
          </cell>
          <cell r="I318" t="str">
            <v>con..</v>
          </cell>
          <cell r="J318" t="str">
            <v>Fedex</v>
          </cell>
          <cell r="K318" t="str">
            <v>VVMV</v>
          </cell>
          <cell r="L318" t="str">
            <v>NL</v>
          </cell>
          <cell r="M318">
            <v>46044</v>
          </cell>
          <cell r="N318">
            <v>46051</v>
          </cell>
          <cell r="O318">
            <v>46050</v>
          </cell>
          <cell r="P318">
            <v>107933534700</v>
          </cell>
          <cell r="Q318">
            <v>46049</v>
          </cell>
          <cell r="R318" t="str">
            <v>No inspection</v>
          </cell>
          <cell r="S318">
            <v>59.5</v>
          </cell>
          <cell r="T318" t="str">
            <v>EXW</v>
          </cell>
          <cell r="U318" t="str">
            <v>LUC</v>
          </cell>
        </row>
        <row r="319">
          <cell r="D319">
            <v>4</v>
          </cell>
          <cell r="F319">
            <v>715729489164</v>
          </cell>
          <cell r="G319" t="str">
            <v>ARROW ELECTRONICS DLC</v>
          </cell>
          <cell r="H319" t="str">
            <v>Delivered</v>
          </cell>
          <cell r="I319" t="str">
            <v>con..</v>
          </cell>
          <cell r="J319" t="str">
            <v>Fedex</v>
          </cell>
          <cell r="K319" t="str">
            <v>VVMV</v>
          </cell>
          <cell r="L319" t="str">
            <v>NL</v>
          </cell>
          <cell r="M319">
            <v>46044</v>
          </cell>
          <cell r="N319">
            <v>46050</v>
          </cell>
          <cell r="O319">
            <v>46049</v>
          </cell>
          <cell r="P319">
            <v>107932734930</v>
          </cell>
          <cell r="Q319">
            <v>46049</v>
          </cell>
          <cell r="R319" t="str">
            <v>No inspection</v>
          </cell>
          <cell r="S319">
            <v>297.5</v>
          </cell>
          <cell r="T319" t="str">
            <v>CIF</v>
          </cell>
          <cell r="U319" t="str">
            <v>LUC</v>
          </cell>
        </row>
        <row r="320">
          <cell r="D320">
            <v>0.5</v>
          </cell>
          <cell r="F320">
            <v>715729489094</v>
          </cell>
          <cell r="G320" t="str">
            <v>ARROW ELECTRONICS DLC</v>
          </cell>
          <cell r="H320" t="str">
            <v>Delivered</v>
          </cell>
          <cell r="I320" t="str">
            <v>con..</v>
          </cell>
          <cell r="J320" t="str">
            <v>Fedex</v>
          </cell>
          <cell r="K320" t="str">
            <v>VVMV</v>
          </cell>
          <cell r="L320" t="str">
            <v>NL</v>
          </cell>
          <cell r="M320">
            <v>46043</v>
          </cell>
          <cell r="N320">
            <v>46050</v>
          </cell>
          <cell r="O320">
            <v>46049</v>
          </cell>
          <cell r="P320">
            <v>107932762560</v>
          </cell>
          <cell r="Q320">
            <v>46049</v>
          </cell>
          <cell r="R320" t="str">
            <v>No inspection</v>
          </cell>
          <cell r="S320">
            <v>11.9</v>
          </cell>
          <cell r="T320" t="str">
            <v>CIF</v>
          </cell>
          <cell r="U320" t="str">
            <v>LUC</v>
          </cell>
        </row>
        <row r="321">
          <cell r="D321">
            <v>0.7</v>
          </cell>
          <cell r="F321">
            <v>5973583361</v>
          </cell>
          <cell r="G321" t="str">
            <v>FUTURE ELECTRONICS (ADC)</v>
          </cell>
          <cell r="H321" t="str">
            <v>Delivered</v>
          </cell>
          <cell r="I321" t="str">
            <v>led</v>
          </cell>
          <cell r="J321" t="str">
            <v>DHL</v>
          </cell>
          <cell r="K321" t="str">
            <v>VVMV</v>
          </cell>
          <cell r="L321" t="str">
            <v>SG</v>
          </cell>
          <cell r="M321">
            <v>46048</v>
          </cell>
          <cell r="N321">
            <v>46051</v>
          </cell>
          <cell r="O321">
            <v>46051</v>
          </cell>
          <cell r="P321">
            <v>107936830150</v>
          </cell>
          <cell r="Q321">
            <v>46050</v>
          </cell>
          <cell r="R321" t="str">
            <v>No inspection</v>
          </cell>
          <cell r="S321">
            <v>69</v>
          </cell>
          <cell r="T321" t="str">
            <v>CIF</v>
          </cell>
          <cell r="U321" t="str">
            <v>PUR</v>
          </cell>
        </row>
        <row r="322">
          <cell r="D322">
            <v>1</v>
          </cell>
          <cell r="F322">
            <v>888197292583</v>
          </cell>
          <cell r="G322" t="str">
            <v>VITAL SYSTEM TECHNOLOGY PTE LTD</v>
          </cell>
          <cell r="H322" t="str">
            <v>Delivered</v>
          </cell>
          <cell r="I322" t="str">
            <v>cap..</v>
          </cell>
          <cell r="J322" t="str">
            <v>Fedex</v>
          </cell>
          <cell r="K322" t="str">
            <v>VVMV</v>
          </cell>
          <cell r="L322" t="str">
            <v>SG</v>
          </cell>
          <cell r="M322">
            <v>46048</v>
          </cell>
          <cell r="N322">
            <v>46051</v>
          </cell>
          <cell r="O322">
            <v>46050</v>
          </cell>
          <cell r="P322">
            <v>107936960940</v>
          </cell>
          <cell r="Q322">
            <v>46050</v>
          </cell>
          <cell r="R322" t="str">
            <v>No inspection</v>
          </cell>
          <cell r="S322">
            <v>344.8</v>
          </cell>
          <cell r="T322" t="str">
            <v>EXW</v>
          </cell>
          <cell r="U322" t="str">
            <v>EF-</v>
          </cell>
        </row>
        <row r="323">
          <cell r="D323">
            <v>9.5</v>
          </cell>
          <cell r="F323">
            <v>477592551652</v>
          </cell>
          <cell r="G323" t="str">
            <v>QUALCOMM CDMA TECHNOLOGIES ASIA-PAC</v>
          </cell>
          <cell r="H323" t="str">
            <v>Delivered</v>
          </cell>
          <cell r="I323" t="str">
            <v>ic..</v>
          </cell>
          <cell r="J323" t="str">
            <v>Fedex</v>
          </cell>
          <cell r="K323" t="str">
            <v>VVMV</v>
          </cell>
          <cell r="L323" t="str">
            <v>SG</v>
          </cell>
          <cell r="M323">
            <v>46048</v>
          </cell>
          <cell r="N323">
            <v>46051</v>
          </cell>
          <cell r="O323">
            <v>46050</v>
          </cell>
          <cell r="P323">
            <v>107936932240</v>
          </cell>
          <cell r="Q323">
            <v>46050</v>
          </cell>
          <cell r="R323" t="str">
            <v>No inspection</v>
          </cell>
          <cell r="S323">
            <v>32659.200000000001</v>
          </cell>
          <cell r="T323" t="str">
            <v>EXW</v>
          </cell>
          <cell r="U323" t="str">
            <v>LUC</v>
          </cell>
        </row>
        <row r="324">
          <cell r="D324">
            <v>33</v>
          </cell>
          <cell r="F324">
            <v>4711909378</v>
          </cell>
          <cell r="G324" t="str">
            <v>WT MICROELECTRONICS SPORE P/L</v>
          </cell>
          <cell r="H324" t="str">
            <v>Delivered</v>
          </cell>
          <cell r="I324" t="str">
            <v>ic..</v>
          </cell>
          <cell r="J324" t="str">
            <v>Expeditors</v>
          </cell>
          <cell r="K324" t="str">
            <v>VVMV</v>
          </cell>
          <cell r="L324" t="str">
            <v>SG</v>
          </cell>
          <cell r="M324">
            <v>46049</v>
          </cell>
          <cell r="N324">
            <v>46051</v>
          </cell>
          <cell r="O324">
            <v>46051</v>
          </cell>
          <cell r="P324">
            <v>107937021250</v>
          </cell>
          <cell r="Q324">
            <v>46050</v>
          </cell>
          <cell r="R324" t="str">
            <v>No inspection</v>
          </cell>
          <cell r="S324">
            <v>12562.8</v>
          </cell>
          <cell r="T324" t="str">
            <v>FCA</v>
          </cell>
          <cell r="U324" t="str">
            <v>LUC</v>
          </cell>
        </row>
        <row r="325">
          <cell r="D325">
            <v>18</v>
          </cell>
          <cell r="F325">
            <v>480410528360</v>
          </cell>
          <cell r="G325" t="str">
            <v>Micron Memory Malaysia Sdn. Bh</v>
          </cell>
          <cell r="H325" t="str">
            <v>Delivered</v>
          </cell>
          <cell r="I325" t="str">
            <v>mem</v>
          </cell>
          <cell r="J325" t="str">
            <v>Fedex</v>
          </cell>
          <cell r="K325" t="str">
            <v>VVMV</v>
          </cell>
          <cell r="L325" t="str">
            <v>MY</v>
          </cell>
          <cell r="M325">
            <v>46049</v>
          </cell>
          <cell r="N325">
            <v>46052</v>
          </cell>
          <cell r="O325">
            <v>46052</v>
          </cell>
          <cell r="P325">
            <v>107940627760</v>
          </cell>
          <cell r="Q325">
            <v>46051</v>
          </cell>
          <cell r="R325" t="str">
            <v>No inspection</v>
          </cell>
          <cell r="S325">
            <v>1437660</v>
          </cell>
          <cell r="T325" t="str">
            <v>CIF</v>
          </cell>
          <cell r="U325" t="str">
            <v>PUR</v>
          </cell>
        </row>
        <row r="326">
          <cell r="D326">
            <v>5</v>
          </cell>
          <cell r="F326">
            <v>8704177646</v>
          </cell>
          <cell r="G326" t="str">
            <v>CYMMETRIK SHENZHEN PRINTING CO., LTD</v>
          </cell>
          <cell r="H326" t="str">
            <v>Delivered</v>
          </cell>
          <cell r="I326" t="str">
            <v>label</v>
          </cell>
          <cell r="J326" t="str">
            <v>DHL</v>
          </cell>
          <cell r="K326" t="str">
            <v>VVMV</v>
          </cell>
          <cell r="L326" t="str">
            <v>CN</v>
          </cell>
          <cell r="M326">
            <v>46050</v>
          </cell>
          <cell r="N326">
            <v>46055</v>
          </cell>
          <cell r="O326">
            <v>46055</v>
          </cell>
          <cell r="P326">
            <v>107945833700</v>
          </cell>
          <cell r="Q326">
            <v>46052</v>
          </cell>
          <cell r="R326" t="str">
            <v>No inspection</v>
          </cell>
          <cell r="S326">
            <v>4.9400000000000004</v>
          </cell>
          <cell r="T326" t="str">
            <v>CIF</v>
          </cell>
          <cell r="U326" t="str">
            <v>HLO</v>
          </cell>
        </row>
        <row r="327">
          <cell r="D327">
            <v>1.5</v>
          </cell>
          <cell r="F327">
            <v>398130688111</v>
          </cell>
          <cell r="G327" t="str">
            <v>C/O DHL Supply Chain Mgnt Phils                                                                                            Analog Devices Gen. Trias, Inc.</v>
          </cell>
          <cell r="H327" t="str">
            <v>Delivered</v>
          </cell>
          <cell r="I327" t="str">
            <v>ic..</v>
          </cell>
          <cell r="J327" t="str">
            <v>Fedex</v>
          </cell>
          <cell r="K327" t="str">
            <v>VVMV</v>
          </cell>
          <cell r="L327" t="str">
            <v>PH</v>
          </cell>
          <cell r="M327">
            <v>46048</v>
          </cell>
          <cell r="N327">
            <v>46052</v>
          </cell>
          <cell r="O327">
            <v>46052</v>
          </cell>
          <cell r="P327">
            <v>107941516800</v>
          </cell>
          <cell r="Q327">
            <v>46051</v>
          </cell>
          <cell r="R327" t="str">
            <v>No inspection</v>
          </cell>
          <cell r="S327">
            <v>16700</v>
          </cell>
          <cell r="T327" t="str">
            <v>EXW</v>
          </cell>
          <cell r="U327" t="str">
            <v>LUC</v>
          </cell>
        </row>
        <row r="328">
          <cell r="D328">
            <v>18</v>
          </cell>
          <cell r="F328">
            <v>493448986438</v>
          </cell>
          <cell r="G328" t="str">
            <v>NIHON DEMPA KOGYO CO. LTD</v>
          </cell>
          <cell r="H328" t="str">
            <v>Delivered</v>
          </cell>
          <cell r="I328" t="str">
            <v>cry..</v>
          </cell>
          <cell r="J328" t="str">
            <v>Fedex</v>
          </cell>
          <cell r="K328" t="str">
            <v>VVMV</v>
          </cell>
          <cell r="L328" t="str">
            <v>JP</v>
          </cell>
          <cell r="M328">
            <v>46049</v>
          </cell>
          <cell r="N328">
            <v>46056</v>
          </cell>
          <cell r="O328">
            <v>46056</v>
          </cell>
          <cell r="P328">
            <v>107940333541</v>
          </cell>
          <cell r="Q328">
            <v>46051</v>
          </cell>
          <cell r="R328" t="str">
            <v>inspection</v>
          </cell>
          <cell r="S328">
            <v>8520</v>
          </cell>
          <cell r="T328" t="str">
            <v>EXW</v>
          </cell>
          <cell r="U328" t="str">
            <v>LUC</v>
          </cell>
        </row>
        <row r="329">
          <cell r="D329">
            <v>2.5</v>
          </cell>
          <cell r="F329">
            <v>888200873070</v>
          </cell>
          <cell r="G329" t="str">
            <v>TRIO TECHNOLOGY CO.,LTD.</v>
          </cell>
          <cell r="H329" t="str">
            <v>Delivered</v>
          </cell>
          <cell r="I329" t="str">
            <v>ind..</v>
          </cell>
          <cell r="J329" t="str">
            <v>Fedex</v>
          </cell>
          <cell r="K329" t="str">
            <v>VVMV</v>
          </cell>
          <cell r="L329" t="str">
            <v>CN</v>
          </cell>
          <cell r="M329">
            <v>46048</v>
          </cell>
          <cell r="N329">
            <v>46052</v>
          </cell>
          <cell r="O329">
            <v>46052</v>
          </cell>
          <cell r="P329">
            <v>107941195020</v>
          </cell>
          <cell r="Q329">
            <v>46051</v>
          </cell>
          <cell r="R329" t="str">
            <v>No inspection</v>
          </cell>
          <cell r="S329">
            <v>201.18</v>
          </cell>
          <cell r="T329" t="str">
            <v>CIF</v>
          </cell>
          <cell r="U329" t="str">
            <v>AIC</v>
          </cell>
        </row>
        <row r="330">
          <cell r="D330">
            <v>10</v>
          </cell>
          <cell r="F330">
            <v>888228745963</v>
          </cell>
          <cell r="G330" t="str">
            <v>SUNLORD ELECTRONICS TECHNOLOGY PTE</v>
          </cell>
          <cell r="H330" t="str">
            <v>Delivered</v>
          </cell>
          <cell r="I330" t="str">
            <v>res..</v>
          </cell>
          <cell r="J330" t="str">
            <v>Fedex</v>
          </cell>
          <cell r="K330" t="str">
            <v>VVMV</v>
          </cell>
          <cell r="L330" t="str">
            <v>SG</v>
          </cell>
          <cell r="M330">
            <v>46049</v>
          </cell>
          <cell r="N330">
            <v>46052</v>
          </cell>
          <cell r="O330">
            <v>46052</v>
          </cell>
          <cell r="P330">
            <v>107941526930</v>
          </cell>
          <cell r="Q330">
            <v>46051</v>
          </cell>
          <cell r="R330" t="str">
            <v>No inspection</v>
          </cell>
          <cell r="S330">
            <v>1830.35</v>
          </cell>
          <cell r="T330" t="str">
            <v>EXW</v>
          </cell>
          <cell r="U330" t="str">
            <v>PUR</v>
          </cell>
        </row>
        <row r="331">
          <cell r="D331">
            <v>6.5</v>
          </cell>
          <cell r="F331" t="str">
            <v>8XN2389</v>
          </cell>
          <cell r="G331" t="str">
            <v>KIOXIA CORPORATION C/O KIOXIA AMERICA INC</v>
          </cell>
          <cell r="H331" t="str">
            <v>Delivered</v>
          </cell>
          <cell r="I331" t="str">
            <v>mem</v>
          </cell>
          <cell r="J331" t="str">
            <v>DHL( global)</v>
          </cell>
          <cell r="K331" t="str">
            <v>VVMV</v>
          </cell>
          <cell r="L331" t="str">
            <v>JP</v>
          </cell>
          <cell r="M331">
            <v>46049</v>
          </cell>
          <cell r="N331">
            <v>46052</v>
          </cell>
          <cell r="O331">
            <v>46052</v>
          </cell>
          <cell r="P331">
            <v>107940589410</v>
          </cell>
          <cell r="Q331">
            <v>46051</v>
          </cell>
          <cell r="R331" t="str">
            <v>No inspection</v>
          </cell>
          <cell r="S331">
            <v>780675.84</v>
          </cell>
          <cell r="T331" t="str">
            <v>DAP</v>
          </cell>
          <cell r="U331" t="str">
            <v>PUR</v>
          </cell>
        </row>
        <row r="332">
          <cell r="D332">
            <v>229</v>
          </cell>
          <cell r="F332">
            <v>4812884991</v>
          </cell>
          <cell r="G332" t="str">
            <v>Kingston Technology Company, Inc.</v>
          </cell>
          <cell r="H332" t="str">
            <v>Delivered</v>
          </cell>
          <cell r="I332" t="str">
            <v>mem</v>
          </cell>
          <cell r="J332" t="str">
            <v>Expeditors</v>
          </cell>
          <cell r="K332" t="str">
            <v>VVMV</v>
          </cell>
          <cell r="L332" t="str">
            <v>TW</v>
          </cell>
          <cell r="M332">
            <v>46045</v>
          </cell>
          <cell r="N332">
            <v>46052</v>
          </cell>
          <cell r="O332">
            <v>46052</v>
          </cell>
          <cell r="P332">
            <v>107940547150</v>
          </cell>
          <cell r="Q332">
            <v>46051</v>
          </cell>
          <cell r="R332" t="str">
            <v>No inspection</v>
          </cell>
          <cell r="S332">
            <v>9327130</v>
          </cell>
          <cell r="T332" t="str">
            <v>CIP</v>
          </cell>
          <cell r="U332" t="str">
            <v>PUR</v>
          </cell>
        </row>
        <row r="333">
          <cell r="D333">
            <v>222</v>
          </cell>
          <cell r="F333">
            <v>4915052914</v>
          </cell>
          <cell r="G333" t="str">
            <v>Shenzhen Sunlord Electronics Co.Ltd</v>
          </cell>
          <cell r="H333" t="str">
            <v>Delivered</v>
          </cell>
          <cell r="J333" t="str">
            <v>Expeditors</v>
          </cell>
          <cell r="K333" t="str">
            <v>VVMV</v>
          </cell>
          <cell r="L333" t="str">
            <v>HK</v>
          </cell>
          <cell r="M333">
            <v>46051</v>
          </cell>
          <cell r="N333">
            <v>46052</v>
          </cell>
          <cell r="O333">
            <v>46052</v>
          </cell>
          <cell r="P333">
            <v>107942422450</v>
          </cell>
          <cell r="Q333">
            <v>46052</v>
          </cell>
          <cell r="R333" t="str">
            <v>No inspection</v>
          </cell>
          <cell r="S333">
            <v>25939.65</v>
          </cell>
          <cell r="T333" t="str">
            <v>EXW</v>
          </cell>
          <cell r="U333" t="str">
            <v>PUR</v>
          </cell>
        </row>
        <row r="334">
          <cell r="D334">
            <v>3056</v>
          </cell>
          <cell r="F334" t="str">
            <v>S00433171</v>
          </cell>
          <cell r="G334" t="str">
            <v>TAITECH PRECISION ELECTRONIC(KUNSHAN) CO.,LTD.</v>
          </cell>
          <cell r="H334" t="str">
            <v>Delivered</v>
          </cell>
          <cell r="J334" t="str">
            <v>Dolphin(sea)</v>
          </cell>
          <cell r="K334" t="str">
            <v>Dolphin</v>
          </cell>
          <cell r="L334" t="str">
            <v>CN</v>
          </cell>
          <cell r="M334">
            <v>46046</v>
          </cell>
          <cell r="N334">
            <v>46055</v>
          </cell>
          <cell r="O334">
            <v>46055</v>
          </cell>
          <cell r="P334">
            <v>107942861720</v>
          </cell>
          <cell r="Q334">
            <v>46052</v>
          </cell>
          <cell r="R334" t="str">
            <v>No inspection</v>
          </cell>
          <cell r="S334">
            <v>43369.2</v>
          </cell>
          <cell r="T334" t="str">
            <v>FOB</v>
          </cell>
          <cell r="U334" t="str">
            <v>LUC</v>
          </cell>
        </row>
        <row r="335">
          <cell r="D335">
            <v>5.5</v>
          </cell>
          <cell r="F335">
            <v>510414783270</v>
          </cell>
          <cell r="G335" t="str">
            <v>WPG SOUTH ASIA PTE LTD</v>
          </cell>
          <cell r="H335" t="str">
            <v>Delivered</v>
          </cell>
          <cell r="J335" t="str">
            <v>Fedex</v>
          </cell>
          <cell r="K335" t="str">
            <v>VVMV</v>
          </cell>
          <cell r="L335" t="str">
            <v>SG</v>
          </cell>
          <cell r="M335">
            <v>46048</v>
          </cell>
          <cell r="N335">
            <v>46055</v>
          </cell>
          <cell r="O335">
            <v>46055</v>
          </cell>
          <cell r="P335">
            <v>107944974910</v>
          </cell>
          <cell r="Q335">
            <v>46052</v>
          </cell>
          <cell r="R335" t="str">
            <v>No inspection</v>
          </cell>
          <cell r="S335">
            <v>5911.8</v>
          </cell>
          <cell r="T335" t="str">
            <v>EXW</v>
          </cell>
          <cell r="U335" t="str">
            <v>LUC</v>
          </cell>
        </row>
        <row r="336">
          <cell r="D336">
            <v>3.5</v>
          </cell>
          <cell r="F336">
            <v>888233917556</v>
          </cell>
          <cell r="G336" t="str">
            <v>WHITE HORSE LABORATORIES LTD</v>
          </cell>
          <cell r="H336" t="str">
            <v>Delivered</v>
          </cell>
          <cell r="J336" t="str">
            <v>Fedex</v>
          </cell>
          <cell r="K336" t="str">
            <v>VVMV</v>
          </cell>
          <cell r="L336" t="str">
            <v>HK</v>
          </cell>
          <cell r="M336">
            <v>46049</v>
          </cell>
          <cell r="N336">
            <v>46055</v>
          </cell>
          <cell r="O336">
            <v>46055</v>
          </cell>
          <cell r="P336">
            <v>107945053750</v>
          </cell>
          <cell r="Q336">
            <v>46052</v>
          </cell>
          <cell r="R336" t="str">
            <v>No inspection</v>
          </cell>
          <cell r="S336">
            <v>5250</v>
          </cell>
          <cell r="T336" t="str">
            <v>CIF</v>
          </cell>
          <cell r="U336" t="str">
            <v>EF-</v>
          </cell>
        </row>
        <row r="337">
          <cell r="D337">
            <v>21</v>
          </cell>
          <cell r="F337">
            <v>481663282560</v>
          </cell>
          <cell r="G337" t="str">
            <v>AMPHENOL EAST ASIA LTD</v>
          </cell>
          <cell r="H337" t="str">
            <v>Delivered</v>
          </cell>
          <cell r="I337" t="str">
            <v>CON</v>
          </cell>
          <cell r="J337" t="str">
            <v>Fedex</v>
          </cell>
          <cell r="K337" t="str">
            <v>VVMV</v>
          </cell>
          <cell r="L337" t="str">
            <v>HK</v>
          </cell>
          <cell r="M337">
            <v>46050</v>
          </cell>
          <cell r="N337">
            <v>46055</v>
          </cell>
          <cell r="O337">
            <v>46055</v>
          </cell>
          <cell r="P337">
            <v>107945069630</v>
          </cell>
          <cell r="Q337">
            <v>46052</v>
          </cell>
          <cell r="R337" t="str">
            <v>No inspection</v>
          </cell>
          <cell r="S337">
            <v>10752</v>
          </cell>
          <cell r="T337" t="str">
            <v>EXW</v>
          </cell>
          <cell r="U337" t="str">
            <v>PUR</v>
          </cell>
        </row>
        <row r="338">
          <cell r="D338">
            <v>2.5</v>
          </cell>
          <cell r="F338">
            <v>511560752636</v>
          </cell>
          <cell r="G338" t="str">
            <v>ARROW ELECTRONICS, INC.</v>
          </cell>
          <cell r="H338" t="str">
            <v>Delivered</v>
          </cell>
          <cell r="J338" t="str">
            <v>Fedex</v>
          </cell>
          <cell r="K338" t="str">
            <v>VVMV</v>
          </cell>
          <cell r="L338" t="str">
            <v>US</v>
          </cell>
          <cell r="M338">
            <v>46049</v>
          </cell>
          <cell r="N338">
            <v>46055</v>
          </cell>
          <cell r="O338">
            <v>46055</v>
          </cell>
          <cell r="P338">
            <v>107943741360</v>
          </cell>
          <cell r="Q338">
            <v>46052</v>
          </cell>
          <cell r="R338" t="str">
            <v>No inspection</v>
          </cell>
          <cell r="S338">
            <v>734</v>
          </cell>
          <cell r="T338" t="str">
            <v>CIF</v>
          </cell>
          <cell r="U338" t="str">
            <v>EF-</v>
          </cell>
        </row>
        <row r="339">
          <cell r="D339">
            <v>0.5</v>
          </cell>
          <cell r="F339">
            <v>888260004496</v>
          </cell>
          <cell r="G339" t="str">
            <v>CYMMETRIK SHENZHEN PRINTING CO., LTD</v>
          </cell>
          <cell r="H339" t="str">
            <v>Delivered</v>
          </cell>
          <cell r="I339" t="str">
            <v>label</v>
          </cell>
          <cell r="J339" t="str">
            <v>Fedex</v>
          </cell>
          <cell r="K339" t="str">
            <v>VVMV</v>
          </cell>
          <cell r="L339" t="str">
            <v>CN</v>
          </cell>
          <cell r="M339">
            <v>46050</v>
          </cell>
          <cell r="N339">
            <v>46055</v>
          </cell>
          <cell r="O339">
            <v>46055</v>
          </cell>
          <cell r="P339">
            <v>107945516230</v>
          </cell>
          <cell r="Q339">
            <v>46052</v>
          </cell>
          <cell r="R339" t="str">
            <v>No inspection</v>
          </cell>
          <cell r="S339">
            <v>250</v>
          </cell>
          <cell r="T339" t="str">
            <v>EXW</v>
          </cell>
          <cell r="U339" t="str">
            <v>PUR</v>
          </cell>
        </row>
        <row r="340">
          <cell r="D340">
            <v>33</v>
          </cell>
          <cell r="F340">
            <v>510007296516</v>
          </cell>
          <cell r="G340" t="str">
            <v>Sino Faith Technology Development</v>
          </cell>
          <cell r="H340" t="str">
            <v>Delivered</v>
          </cell>
          <cell r="I340" t="str">
            <v>res..</v>
          </cell>
          <cell r="J340" t="str">
            <v>Fedex</v>
          </cell>
          <cell r="K340" t="str">
            <v>VVMV</v>
          </cell>
          <cell r="L340" t="str">
            <v>HK</v>
          </cell>
          <cell r="M340">
            <v>46050</v>
          </cell>
          <cell r="N340">
            <v>46055</v>
          </cell>
          <cell r="O340">
            <v>46055</v>
          </cell>
          <cell r="P340">
            <v>107945243010</v>
          </cell>
          <cell r="Q340">
            <v>46052</v>
          </cell>
          <cell r="R340" t="str">
            <v>No inspection</v>
          </cell>
          <cell r="S340">
            <v>3877.95</v>
          </cell>
          <cell r="T340" t="str">
            <v>EXW</v>
          </cell>
          <cell r="U340" t="str">
            <v>PUR</v>
          </cell>
        </row>
        <row r="341">
          <cell r="D341">
            <v>1</v>
          </cell>
          <cell r="F341">
            <v>495506290084</v>
          </cell>
          <cell r="G341" t="str">
            <v>SAMTEC ASIA PACIFIC PTE LTD</v>
          </cell>
          <cell r="H341" t="str">
            <v>Delivered</v>
          </cell>
          <cell r="J341" t="str">
            <v>Fedex</v>
          </cell>
          <cell r="K341" t="str">
            <v>VVMV</v>
          </cell>
          <cell r="L341" t="str">
            <v>SG</v>
          </cell>
          <cell r="M341">
            <v>46050</v>
          </cell>
          <cell r="N341">
            <v>46055</v>
          </cell>
          <cell r="O341">
            <v>46055</v>
          </cell>
          <cell r="P341">
            <v>107944571230</v>
          </cell>
          <cell r="Q341">
            <v>46052</v>
          </cell>
          <cell r="R341" t="str">
            <v>No inspection</v>
          </cell>
          <cell r="S341">
            <v>245</v>
          </cell>
          <cell r="T341" t="str">
            <v>CIF</v>
          </cell>
          <cell r="U341" t="str">
            <v>EF-</v>
          </cell>
        </row>
        <row r="342">
          <cell r="D342">
            <v>19</v>
          </cell>
          <cell r="F342">
            <v>4110333401</v>
          </cell>
          <cell r="G342" t="str">
            <v>Avnet, Inc.</v>
          </cell>
          <cell r="H342" t="str">
            <v>Delivered</v>
          </cell>
          <cell r="J342" t="str">
            <v>Expeditors</v>
          </cell>
          <cell r="K342" t="str">
            <v>VVMV</v>
          </cell>
          <cell r="L342" t="str">
            <v>US</v>
          </cell>
          <cell r="M342">
            <v>46051</v>
          </cell>
          <cell r="N342">
            <v>46056</v>
          </cell>
          <cell r="O342">
            <v>46056</v>
          </cell>
          <cell r="P342">
            <v>107952149430</v>
          </cell>
          <cell r="Q342">
            <v>46055</v>
          </cell>
          <cell r="R342" t="str">
            <v>No inspection</v>
          </cell>
          <cell r="S342">
            <v>3139.5</v>
          </cell>
          <cell r="T342" t="str">
            <v>DAP</v>
          </cell>
          <cell r="U342" t="str">
            <v>LUC</v>
          </cell>
        </row>
        <row r="343">
          <cell r="D343">
            <v>7</v>
          </cell>
          <cell r="F343">
            <v>4110333411</v>
          </cell>
          <cell r="G343" t="str">
            <v>Avnet, Inc.</v>
          </cell>
          <cell r="H343" t="str">
            <v>Delivered</v>
          </cell>
          <cell r="J343" t="str">
            <v>Expeditors</v>
          </cell>
          <cell r="K343" t="str">
            <v>VVMV</v>
          </cell>
          <cell r="L343" t="str">
            <v>US</v>
          </cell>
          <cell r="M343">
            <v>46050</v>
          </cell>
          <cell r="N343">
            <v>46056</v>
          </cell>
          <cell r="O343">
            <v>46056</v>
          </cell>
          <cell r="P343">
            <v>107951282610</v>
          </cell>
          <cell r="Q343">
            <v>46055</v>
          </cell>
          <cell r="R343" t="str">
            <v>No inspection</v>
          </cell>
          <cell r="S343">
            <v>829.63</v>
          </cell>
          <cell r="T343" t="str">
            <v>DAP</v>
          </cell>
          <cell r="U343" t="str">
            <v>LUC</v>
          </cell>
        </row>
        <row r="344">
          <cell r="D344">
            <v>10</v>
          </cell>
          <cell r="F344">
            <v>4110333400</v>
          </cell>
          <cell r="G344" t="str">
            <v>Avnet, Inc.</v>
          </cell>
          <cell r="H344" t="str">
            <v>Delivered</v>
          </cell>
          <cell r="J344" t="str">
            <v>Expeditors</v>
          </cell>
          <cell r="K344" t="str">
            <v>VVMV</v>
          </cell>
          <cell r="L344" t="str">
            <v>US</v>
          </cell>
          <cell r="M344">
            <v>46051</v>
          </cell>
          <cell r="N344">
            <v>46056</v>
          </cell>
          <cell r="O344">
            <v>46056</v>
          </cell>
          <cell r="P344">
            <v>107951984450</v>
          </cell>
          <cell r="Q344">
            <v>46055</v>
          </cell>
          <cell r="R344" t="str">
            <v>No inspection</v>
          </cell>
          <cell r="S344">
            <v>1085.76</v>
          </cell>
          <cell r="T344" t="str">
            <v>DAP</v>
          </cell>
          <cell r="U344" t="str">
            <v>LUC</v>
          </cell>
        </row>
        <row r="345">
          <cell r="D345">
            <v>4</v>
          </cell>
          <cell r="F345">
            <v>4110333398</v>
          </cell>
          <cell r="G345" t="str">
            <v>Avnet, Inc.</v>
          </cell>
          <cell r="H345" t="str">
            <v>Delivered</v>
          </cell>
          <cell r="J345" t="str">
            <v>Expeditors</v>
          </cell>
          <cell r="K345" t="str">
            <v>VVMV</v>
          </cell>
          <cell r="L345" t="str">
            <v>US</v>
          </cell>
          <cell r="M345">
            <v>46051</v>
          </cell>
          <cell r="N345">
            <v>46056</v>
          </cell>
          <cell r="O345">
            <v>46056</v>
          </cell>
          <cell r="P345">
            <v>107951644030</v>
          </cell>
          <cell r="Q345">
            <v>46055</v>
          </cell>
          <cell r="R345" t="str">
            <v>No inspection</v>
          </cell>
          <cell r="S345">
            <v>627.9</v>
          </cell>
          <cell r="T345" t="str">
            <v>DAP</v>
          </cell>
          <cell r="U345" t="str">
            <v>LUC</v>
          </cell>
        </row>
        <row r="346">
          <cell r="D346">
            <v>956</v>
          </cell>
          <cell r="F346" t="str">
            <v>SEBL26010129</v>
          </cell>
          <cell r="G346" t="str">
            <v>SHENNAN CIRCUITS CO.,LTD</v>
          </cell>
          <cell r="H346" t="str">
            <v>Delivered</v>
          </cell>
          <cell r="I346" t="str">
            <v>PCB</v>
          </cell>
          <cell r="J346" t="str">
            <v>Dragon</v>
          </cell>
          <cell r="K346" t="str">
            <v>VVMV</v>
          </cell>
          <cell r="L346" t="str">
            <v>CN</v>
          </cell>
          <cell r="M346">
            <v>46051</v>
          </cell>
          <cell r="N346">
            <v>46058</v>
          </cell>
          <cell r="O346">
            <v>46058</v>
          </cell>
          <cell r="P346">
            <v>107955626550</v>
          </cell>
          <cell r="Q346">
            <v>46056</v>
          </cell>
          <cell r="R346" t="str">
            <v>No inspection</v>
          </cell>
          <cell r="S346">
            <v>44712.14</v>
          </cell>
          <cell r="T346" t="str">
            <v>DAP</v>
          </cell>
          <cell r="U346" t="str">
            <v>LUC</v>
          </cell>
        </row>
        <row r="347">
          <cell r="D347">
            <v>30</v>
          </cell>
          <cell r="F347">
            <v>480410588712</v>
          </cell>
          <cell r="G347" t="str">
            <v>Micron Memory Malaysia Sdn. Bh</v>
          </cell>
          <cell r="H347" t="str">
            <v>Delivered</v>
          </cell>
          <cell r="I347" t="str">
            <v>mem</v>
          </cell>
          <cell r="J347" t="str">
            <v>Fedex</v>
          </cell>
          <cell r="K347" t="str">
            <v>VVMV</v>
          </cell>
          <cell r="L347" t="str">
            <v>MY</v>
          </cell>
          <cell r="M347">
            <v>46052</v>
          </cell>
          <cell r="N347">
            <v>46056</v>
          </cell>
          <cell r="O347">
            <v>46057</v>
          </cell>
          <cell r="P347">
            <v>107952589730</v>
          </cell>
          <cell r="Q347">
            <v>46055</v>
          </cell>
          <cell r="R347" t="str">
            <v>No inspection</v>
          </cell>
          <cell r="S347">
            <v>2396100</v>
          </cell>
          <cell r="T347" t="str">
            <v>CIF</v>
          </cell>
          <cell r="U347" t="str">
            <v>PUR</v>
          </cell>
        </row>
        <row r="348">
          <cell r="D348">
            <v>28</v>
          </cell>
          <cell r="F348">
            <v>494686560050</v>
          </cell>
          <cell r="G348" t="str">
            <v>DONGGUANG COFAN ELECTRONIC TECHNOLO</v>
          </cell>
          <cell r="H348" t="str">
            <v>Delivered</v>
          </cell>
          <cell r="J348" t="str">
            <v>Fedex</v>
          </cell>
          <cell r="K348" t="str">
            <v>VVMV</v>
          </cell>
          <cell r="L348" t="str">
            <v>CN</v>
          </cell>
          <cell r="M348">
            <v>46051</v>
          </cell>
          <cell r="N348">
            <v>46057</v>
          </cell>
          <cell r="O348">
            <v>46057</v>
          </cell>
          <cell r="P348">
            <v>107955911710</v>
          </cell>
          <cell r="Q348">
            <v>46056</v>
          </cell>
          <cell r="R348" t="str">
            <v>No inspection</v>
          </cell>
          <cell r="S348">
            <v>6792.5</v>
          </cell>
          <cell r="T348" t="str">
            <v>EXW</v>
          </cell>
          <cell r="U348" t="str">
            <v>EF-</v>
          </cell>
        </row>
        <row r="349">
          <cell r="D349">
            <v>3</v>
          </cell>
          <cell r="F349">
            <v>479730318393</v>
          </cell>
          <cell r="G349" t="str">
            <v>ARROW COMPONENTS MEXICO SA De CV</v>
          </cell>
          <cell r="H349" t="str">
            <v>Delivered</v>
          </cell>
          <cell r="J349" t="str">
            <v>Fedex</v>
          </cell>
          <cell r="K349" t="str">
            <v>VVMV</v>
          </cell>
          <cell r="L349" t="str">
            <v>MX</v>
          </cell>
          <cell r="M349">
            <v>46048</v>
          </cell>
          <cell r="N349">
            <v>46056</v>
          </cell>
          <cell r="O349">
            <v>46056</v>
          </cell>
          <cell r="P349">
            <v>107952195630</v>
          </cell>
          <cell r="Q349">
            <v>46055</v>
          </cell>
          <cell r="R349" t="str">
            <v>No inspection</v>
          </cell>
          <cell r="S349">
            <v>16186</v>
          </cell>
          <cell r="T349" t="str">
            <v>CIF</v>
          </cell>
          <cell r="U349" t="str">
            <v>LUC</v>
          </cell>
        </row>
        <row r="350">
          <cell r="D350">
            <v>10.5</v>
          </cell>
          <cell r="F350">
            <v>4110333353</v>
          </cell>
          <cell r="G350" t="str">
            <v>Avnet, Inc.</v>
          </cell>
          <cell r="H350" t="str">
            <v>Delivered</v>
          </cell>
          <cell r="J350" t="str">
            <v>Expeditors</v>
          </cell>
          <cell r="K350" t="str">
            <v>VVMV</v>
          </cell>
          <cell r="L350" t="str">
            <v>US</v>
          </cell>
          <cell r="M350">
            <v>46049</v>
          </cell>
          <cell r="N350">
            <v>46056</v>
          </cell>
          <cell r="O350">
            <v>46056</v>
          </cell>
          <cell r="P350">
            <v>107952121060</v>
          </cell>
          <cell r="Q350">
            <v>46055</v>
          </cell>
          <cell r="R350" t="str">
            <v>No inspection</v>
          </cell>
          <cell r="S350">
            <v>302.39999999999998</v>
          </cell>
          <cell r="T350" t="str">
            <v>DAP</v>
          </cell>
          <cell r="U350" t="str">
            <v>LUC</v>
          </cell>
        </row>
        <row r="351">
          <cell r="D351">
            <v>246.5</v>
          </cell>
          <cell r="F351">
            <v>4110333338</v>
          </cell>
          <cell r="G351" t="str">
            <v>Avnet, Inc.</v>
          </cell>
          <cell r="H351" t="str">
            <v>Delivered</v>
          </cell>
          <cell r="J351" t="str">
            <v>Expeditors</v>
          </cell>
          <cell r="K351" t="str">
            <v>VVMV</v>
          </cell>
          <cell r="L351" t="str">
            <v>US</v>
          </cell>
          <cell r="M351">
            <v>46049</v>
          </cell>
          <cell r="N351">
            <v>46056</v>
          </cell>
          <cell r="O351">
            <v>46056</v>
          </cell>
          <cell r="P351">
            <v>107952307630</v>
          </cell>
          <cell r="Q351">
            <v>46055</v>
          </cell>
          <cell r="R351" t="str">
            <v>No inspection</v>
          </cell>
          <cell r="S351">
            <v>7257.6</v>
          </cell>
          <cell r="T351" t="str">
            <v>DAP</v>
          </cell>
          <cell r="U351" t="str">
            <v>LUC</v>
          </cell>
        </row>
        <row r="352">
          <cell r="D352">
            <v>230.5</v>
          </cell>
          <cell r="F352">
            <v>4110333337</v>
          </cell>
          <cell r="G352" t="str">
            <v>Avnet, Inc.</v>
          </cell>
          <cell r="H352" t="str">
            <v>Delivered</v>
          </cell>
          <cell r="J352" t="str">
            <v>Expeditors</v>
          </cell>
          <cell r="K352" t="str">
            <v>VVMV</v>
          </cell>
          <cell r="L352" t="str">
            <v>US</v>
          </cell>
          <cell r="M352">
            <v>46049</v>
          </cell>
          <cell r="N352">
            <v>46056</v>
          </cell>
          <cell r="O352">
            <v>46056</v>
          </cell>
          <cell r="P352">
            <v>107952648310</v>
          </cell>
          <cell r="Q352">
            <v>46055</v>
          </cell>
          <cell r="R352" t="str">
            <v>No inspection</v>
          </cell>
          <cell r="S352">
            <v>4940.46</v>
          </cell>
          <cell r="T352" t="str">
            <v>DAP</v>
          </cell>
          <cell r="U352" t="str">
            <v>LUC</v>
          </cell>
        </row>
        <row r="353">
          <cell r="D353">
            <v>5</v>
          </cell>
          <cell r="F353">
            <v>4110333317</v>
          </cell>
          <cell r="G353" t="str">
            <v>Avnet, Inc.</v>
          </cell>
          <cell r="H353" t="str">
            <v>Delivered</v>
          </cell>
          <cell r="J353" t="str">
            <v>Expeditors</v>
          </cell>
          <cell r="K353" t="str">
            <v>VVMV</v>
          </cell>
          <cell r="L353" t="str">
            <v>US</v>
          </cell>
          <cell r="M353">
            <v>46048</v>
          </cell>
          <cell r="N353">
            <v>46056</v>
          </cell>
          <cell r="O353">
            <v>46056</v>
          </cell>
          <cell r="P353">
            <v>107951909000</v>
          </cell>
          <cell r="Q353">
            <v>46055</v>
          </cell>
          <cell r="R353" t="str">
            <v>No inspection</v>
          </cell>
          <cell r="S353">
            <v>485.87</v>
          </cell>
          <cell r="T353" t="str">
            <v>DAP</v>
          </cell>
          <cell r="U353" t="str">
            <v>LUC</v>
          </cell>
        </row>
        <row r="354">
          <cell r="D354">
            <v>12.9</v>
          </cell>
          <cell r="F354">
            <v>4104760962</v>
          </cell>
          <cell r="G354" t="str">
            <v>TTI INC</v>
          </cell>
          <cell r="H354" t="str">
            <v>Delivered</v>
          </cell>
          <cell r="J354" t="str">
            <v>DHL</v>
          </cell>
          <cell r="K354" t="str">
            <v>VVMV</v>
          </cell>
          <cell r="L354" t="str">
            <v>US</v>
          </cell>
          <cell r="M354">
            <v>46052</v>
          </cell>
          <cell r="N354">
            <v>46057</v>
          </cell>
          <cell r="O354">
            <v>46057</v>
          </cell>
          <cell r="P354">
            <v>107952282210</v>
          </cell>
          <cell r="Q354">
            <v>46056</v>
          </cell>
          <cell r="R354" t="str">
            <v>No inspection</v>
          </cell>
          <cell r="S354">
            <v>1729</v>
          </cell>
          <cell r="T354" t="str">
            <v>CIF</v>
          </cell>
          <cell r="U354" t="str">
            <v>LUC</v>
          </cell>
        </row>
        <row r="355">
          <cell r="D355">
            <v>1224.5999999999999</v>
          </cell>
          <cell r="F355" t="str">
            <v>LSHHPH2600661</v>
          </cell>
          <cell r="G355" t="str">
            <v>SUZHOU CURRENT ELECTRIC LIMITED COMPANY</v>
          </cell>
          <cell r="H355" t="str">
            <v>Delivered</v>
          </cell>
          <cell r="J355" t="str">
            <v>Dolphin(sea)</v>
          </cell>
          <cell r="K355" t="str">
            <v>Dolphin</v>
          </cell>
          <cell r="L355" t="str">
            <v>CN</v>
          </cell>
          <cell r="M355">
            <v>46049</v>
          </cell>
          <cell r="N355">
            <v>46057</v>
          </cell>
          <cell r="O355">
            <v>46057</v>
          </cell>
          <cell r="P355">
            <v>107950556120</v>
          </cell>
          <cell r="Q355">
            <v>46055</v>
          </cell>
          <cell r="R355" t="str">
            <v>No inspection</v>
          </cell>
          <cell r="U355" t="str">
            <v>LUC</v>
          </cell>
        </row>
        <row r="356">
          <cell r="D356">
            <v>1030.9000000000001</v>
          </cell>
          <cell r="F356" t="str">
            <v>LSHHPH2600607</v>
          </cell>
          <cell r="G356" t="str">
            <v>ZHENJIANG FINEWORLD AUTO TECH CO</v>
          </cell>
          <cell r="H356" t="str">
            <v>Delivered</v>
          </cell>
          <cell r="J356" t="str">
            <v>Dolphin(sea)</v>
          </cell>
          <cell r="K356" t="str">
            <v>Dolphin</v>
          </cell>
          <cell r="L356" t="str">
            <v>CN</v>
          </cell>
          <cell r="M356">
            <v>46049</v>
          </cell>
          <cell r="N356">
            <v>46057</v>
          </cell>
          <cell r="O356">
            <v>46057</v>
          </cell>
          <cell r="P356">
            <v>107951344650</v>
          </cell>
          <cell r="Q356">
            <v>46055</v>
          </cell>
          <cell r="R356" t="str">
            <v>No inspection</v>
          </cell>
          <cell r="S356">
            <v>7979.65</v>
          </cell>
          <cell r="T356" t="str">
            <v>EXW</v>
          </cell>
          <cell r="U356" t="str">
            <v>LUC</v>
          </cell>
        </row>
        <row r="357">
          <cell r="D357">
            <v>762.2</v>
          </cell>
          <cell r="F357" t="str">
            <v>LSHHPH2600913</v>
          </cell>
          <cell r="G357" t="str">
            <v>SUZHOU CURRENT ELECTRIC LIMITED COMPANY</v>
          </cell>
          <cell r="H357" t="str">
            <v>Delivered</v>
          </cell>
          <cell r="J357" t="str">
            <v>Dolphin(sea)</v>
          </cell>
          <cell r="K357" t="str">
            <v>Dolphin</v>
          </cell>
          <cell r="L357" t="str">
            <v>CN</v>
          </cell>
          <cell r="M357">
            <v>46051</v>
          </cell>
          <cell r="N357">
            <v>46058</v>
          </cell>
          <cell r="O357">
            <v>46058</v>
          </cell>
          <cell r="P357">
            <v>107956714940</v>
          </cell>
          <cell r="Q357">
            <v>46056</v>
          </cell>
          <cell r="R357" t="str">
            <v>No inspection</v>
          </cell>
          <cell r="S357">
            <v>22163.200000000001</v>
          </cell>
          <cell r="T357" t="str">
            <v>EXW</v>
          </cell>
          <cell r="U357" t="str">
            <v>LUC</v>
          </cell>
        </row>
        <row r="358">
          <cell r="D358">
            <v>297.5</v>
          </cell>
          <cell r="F358">
            <v>6271256821</v>
          </cell>
          <cell r="G358" t="str">
            <v>AVNET - CHANDLER</v>
          </cell>
          <cell r="H358" t="str">
            <v>Delivered</v>
          </cell>
          <cell r="J358" t="str">
            <v>DHL</v>
          </cell>
          <cell r="K358" t="str">
            <v>VVMV</v>
          </cell>
          <cell r="L358" t="str">
            <v>US</v>
          </cell>
          <cell r="M358">
            <v>46050</v>
          </cell>
          <cell r="N358">
            <v>46056</v>
          </cell>
          <cell r="O358">
            <v>46056</v>
          </cell>
          <cell r="P358" t="str">
            <v>107952756110 107952775820</v>
          </cell>
          <cell r="Q358">
            <v>46055</v>
          </cell>
          <cell r="R358" t="str">
            <v>No inspection</v>
          </cell>
          <cell r="S358">
            <v>240728.27</v>
          </cell>
          <cell r="T358" t="str">
            <v>CIF</v>
          </cell>
          <cell r="U358" t="str">
            <v>LUC</v>
          </cell>
        </row>
        <row r="359">
          <cell r="D359">
            <v>485</v>
          </cell>
          <cell r="F359" t="str">
            <v>LPGPENHPH2601024-01</v>
          </cell>
          <cell r="G359" t="str">
            <v>BOSSARD (M) SDN BHD</v>
          </cell>
          <cell r="H359" t="str">
            <v>Delivered</v>
          </cell>
          <cell r="J359" t="str">
            <v>VVMV(sea)</v>
          </cell>
          <cell r="K359" t="str">
            <v>VVMV</v>
          </cell>
          <cell r="L359" t="str">
            <v>MY</v>
          </cell>
          <cell r="M359">
            <v>46045</v>
          </cell>
          <cell r="N359">
            <v>46057</v>
          </cell>
          <cell r="O359">
            <v>46057</v>
          </cell>
          <cell r="P359">
            <v>107956290520</v>
          </cell>
          <cell r="Q359">
            <v>46056</v>
          </cell>
          <cell r="R359" t="str">
            <v>No inspection</v>
          </cell>
          <cell r="S359" t="str">
            <v>52.664,03</v>
          </cell>
          <cell r="T359" t="str">
            <v>EXW</v>
          </cell>
          <cell r="U359" t="str">
            <v>LUC</v>
          </cell>
        </row>
        <row r="360">
          <cell r="D360">
            <v>0.5</v>
          </cell>
          <cell r="F360">
            <v>4104760586</v>
          </cell>
          <cell r="G360" t="str">
            <v>TTI INC</v>
          </cell>
          <cell r="H360" t="str">
            <v>Delivered</v>
          </cell>
          <cell r="J360" t="str">
            <v>DHL</v>
          </cell>
          <cell r="K360" t="str">
            <v>VVMV</v>
          </cell>
          <cell r="L360" t="str">
            <v>US</v>
          </cell>
          <cell r="M360">
            <v>46052</v>
          </cell>
          <cell r="N360">
            <v>46056</v>
          </cell>
          <cell r="O360">
            <v>46056</v>
          </cell>
          <cell r="P360">
            <v>107952263860</v>
          </cell>
          <cell r="Q360">
            <v>46055</v>
          </cell>
          <cell r="R360" t="str">
            <v>No inspection</v>
          </cell>
          <cell r="S360">
            <v>91.5</v>
          </cell>
          <cell r="T360" t="str">
            <v>CIF</v>
          </cell>
          <cell r="U360" t="str">
            <v>EF-</v>
          </cell>
        </row>
        <row r="361">
          <cell r="D361">
            <v>224.18</v>
          </cell>
          <cell r="F361" t="str">
            <v>PSHPH2610104</v>
          </cell>
          <cell r="G361" t="str">
            <v>SUPERCON TECHNOLOGY LTD</v>
          </cell>
          <cell r="H361" t="str">
            <v>Delivered</v>
          </cell>
          <cell r="J361" t="str">
            <v>VVMV(sea)</v>
          </cell>
          <cell r="K361" t="str">
            <v>VVMV</v>
          </cell>
          <cell r="L361" t="str">
            <v>TW</v>
          </cell>
          <cell r="M361">
            <v>46051</v>
          </cell>
          <cell r="N361">
            <v>46057</v>
          </cell>
          <cell r="O361">
            <v>46057</v>
          </cell>
          <cell r="P361">
            <v>107952429210</v>
          </cell>
          <cell r="Q361">
            <v>46055</v>
          </cell>
          <cell r="R361" t="str">
            <v>No inspection</v>
          </cell>
          <cell r="S361">
            <v>24658.82</v>
          </cell>
          <cell r="T361" t="str">
            <v>EXW</v>
          </cell>
          <cell r="U361" t="str">
            <v>AIC</v>
          </cell>
        </row>
        <row r="362">
          <cell r="D362">
            <v>1237.6890000000001</v>
          </cell>
          <cell r="F362" t="str">
            <v>PSHPH2610094</v>
          </cell>
          <cell r="G362" t="str">
            <v>COMPEQ MANUFACTURING CO., LTD</v>
          </cell>
          <cell r="H362" t="str">
            <v>Delivered</v>
          </cell>
          <cell r="J362" t="str">
            <v>VVMV(sea)</v>
          </cell>
          <cell r="K362" t="str">
            <v>VVMV</v>
          </cell>
          <cell r="L362" t="str">
            <v>TW</v>
          </cell>
          <cell r="M362">
            <v>46051</v>
          </cell>
          <cell r="N362">
            <v>46057</v>
          </cell>
          <cell r="O362">
            <v>46057</v>
          </cell>
          <cell r="P362">
            <v>107956285620</v>
          </cell>
          <cell r="Q362">
            <v>46056</v>
          </cell>
          <cell r="R362" t="str">
            <v>No inspection</v>
          </cell>
          <cell r="S362">
            <v>149426.01999999999</v>
          </cell>
          <cell r="T362" t="str">
            <v>FOB</v>
          </cell>
          <cell r="U362" t="str">
            <v>PUR</v>
          </cell>
        </row>
        <row r="363">
          <cell r="D363">
            <v>56.5</v>
          </cell>
          <cell r="F363">
            <v>888116830463</v>
          </cell>
          <cell r="G363" t="str">
            <v>LITTELFUSE FAR EAST PTE LTD</v>
          </cell>
          <cell r="H363" t="str">
            <v>Delivered</v>
          </cell>
          <cell r="J363" t="str">
            <v>Fedex</v>
          </cell>
          <cell r="K363" t="str">
            <v>VVMV</v>
          </cell>
          <cell r="L363" t="str">
            <v>MX</v>
          </cell>
          <cell r="M363">
            <v>46044</v>
          </cell>
          <cell r="N363">
            <v>46057</v>
          </cell>
          <cell r="O363">
            <v>46058</v>
          </cell>
          <cell r="P363">
            <v>107956074700</v>
          </cell>
          <cell r="Q363">
            <v>46056</v>
          </cell>
          <cell r="R363" t="str">
            <v>No inspection</v>
          </cell>
          <cell r="S363">
            <v>14847.9</v>
          </cell>
          <cell r="T363" t="str">
            <v>EXW</v>
          </cell>
          <cell r="U363" t="str">
            <v>LUC</v>
          </cell>
        </row>
        <row r="364">
          <cell r="D364">
            <v>35</v>
          </cell>
          <cell r="F364">
            <v>888264555408</v>
          </cell>
          <cell r="G364" t="str">
            <v>WT MICROELECTRONICS SPORE P/L</v>
          </cell>
          <cell r="H364" t="str">
            <v>Delivered</v>
          </cell>
          <cell r="J364" t="str">
            <v>Fedex</v>
          </cell>
          <cell r="K364" t="str">
            <v>VVMV</v>
          </cell>
          <cell r="L364" t="str">
            <v>SG</v>
          </cell>
          <cell r="M364">
            <v>46050</v>
          </cell>
          <cell r="N364">
            <v>46057</v>
          </cell>
          <cell r="O364">
            <v>46058</v>
          </cell>
          <cell r="P364">
            <v>107956299030</v>
          </cell>
          <cell r="Q364">
            <v>46056</v>
          </cell>
          <cell r="R364" t="str">
            <v>No inspection</v>
          </cell>
          <cell r="S364">
            <v>10107.299999999999</v>
          </cell>
          <cell r="T364" t="str">
            <v>EXW</v>
          </cell>
          <cell r="U364" t="str">
            <v>LUC</v>
          </cell>
        </row>
        <row r="365">
          <cell r="D365">
            <v>184</v>
          </cell>
          <cell r="F365">
            <v>4711909799</v>
          </cell>
          <cell r="G365" t="str">
            <v>AVNET ASIA PTE LTD</v>
          </cell>
          <cell r="H365" t="str">
            <v>Delivered</v>
          </cell>
          <cell r="J365" t="str">
            <v>Expeditors</v>
          </cell>
          <cell r="K365" t="str">
            <v>VVMV</v>
          </cell>
          <cell r="L365" t="str">
            <v>SG</v>
          </cell>
          <cell r="M365">
            <v>46052</v>
          </cell>
          <cell r="N365">
            <v>46057</v>
          </cell>
          <cell r="O365">
            <v>46057</v>
          </cell>
          <cell r="P365">
            <v>107956693610</v>
          </cell>
          <cell r="Q365">
            <v>46057</v>
          </cell>
          <cell r="R365" t="str">
            <v>No inspection</v>
          </cell>
          <cell r="S365">
            <v>42116.25</v>
          </cell>
          <cell r="T365" t="str">
            <v>FCA</v>
          </cell>
          <cell r="U365" t="str">
            <v>LUC</v>
          </cell>
        </row>
        <row r="366">
          <cell r="D366">
            <v>29.5</v>
          </cell>
          <cell r="F366">
            <v>471797722960</v>
          </cell>
          <cell r="G366" t="str">
            <v>LIPERS ENTERPRISE CO., LTD.</v>
          </cell>
          <cell r="H366" t="str">
            <v>Delivered</v>
          </cell>
          <cell r="J366" t="str">
            <v>Fedex</v>
          </cell>
          <cell r="K366" t="str">
            <v>VVMV</v>
          </cell>
          <cell r="L366" t="str">
            <v>TW</v>
          </cell>
          <cell r="M366">
            <v>46050</v>
          </cell>
          <cell r="N366">
            <v>46057</v>
          </cell>
          <cell r="O366">
            <v>46058</v>
          </cell>
          <cell r="P366">
            <v>107956382440</v>
          </cell>
          <cell r="Q366">
            <v>46056</v>
          </cell>
          <cell r="R366" t="str">
            <v>No inspection</v>
          </cell>
          <cell r="S366">
            <v>4157.1000000000004</v>
          </cell>
          <cell r="T366" t="str">
            <v>EXW</v>
          </cell>
          <cell r="U366" t="str">
            <v>PUR</v>
          </cell>
        </row>
        <row r="367">
          <cell r="D367">
            <v>3</v>
          </cell>
          <cell r="F367">
            <v>480410621704</v>
          </cell>
          <cell r="G367" t="str">
            <v>Micron Memory Malaysia Sdn. Bhd</v>
          </cell>
          <cell r="H367" t="str">
            <v>Delivered</v>
          </cell>
          <cell r="J367" t="str">
            <v>Fedex</v>
          </cell>
          <cell r="K367" t="str">
            <v>VVMV</v>
          </cell>
          <cell r="L367" t="str">
            <v>MY</v>
          </cell>
          <cell r="M367">
            <v>46055</v>
          </cell>
          <cell r="N367">
            <v>46057</v>
          </cell>
          <cell r="O367">
            <v>46058</v>
          </cell>
          <cell r="P367">
            <v>107956030560</v>
          </cell>
          <cell r="Q367">
            <v>46056</v>
          </cell>
          <cell r="R367" t="str">
            <v>No inspection</v>
          </cell>
          <cell r="S367">
            <v>26840</v>
          </cell>
          <cell r="T367" t="str">
            <v>EXW</v>
          </cell>
          <cell r="U367" t="str">
            <v>PUR</v>
          </cell>
        </row>
        <row r="368">
          <cell r="D368">
            <v>1.5</v>
          </cell>
          <cell r="F368">
            <v>480410558812</v>
          </cell>
          <cell r="G368" t="str">
            <v>MICRON SEMICONDUCTOR XIAN CO, LTD</v>
          </cell>
          <cell r="H368" t="str">
            <v>Delivered</v>
          </cell>
          <cell r="J368" t="str">
            <v>Fedex</v>
          </cell>
          <cell r="K368" t="str">
            <v>VVMV</v>
          </cell>
          <cell r="L368" t="str">
            <v>CN</v>
          </cell>
          <cell r="M368">
            <v>46052</v>
          </cell>
          <cell r="N368">
            <v>46057</v>
          </cell>
          <cell r="O368">
            <v>46058</v>
          </cell>
          <cell r="P368">
            <v>107956144810</v>
          </cell>
          <cell r="Q368">
            <v>46056</v>
          </cell>
          <cell r="R368" t="str">
            <v>No inspection</v>
          </cell>
          <cell r="S368">
            <v>1800</v>
          </cell>
          <cell r="T368" t="str">
            <v>EXW</v>
          </cell>
          <cell r="U368" t="str">
            <v>PUR</v>
          </cell>
        </row>
        <row r="369">
          <cell r="D369">
            <v>4</v>
          </cell>
          <cell r="F369">
            <v>398214200645</v>
          </cell>
          <cell r="G369" t="str">
            <v>O/B ANALOG DEVICES INTERNATIONAL UC
DHL SUPPLY CHAIN MGMT PHILS INC</v>
          </cell>
          <cell r="H369" t="str">
            <v>Delivered</v>
          </cell>
          <cell r="J369" t="str">
            <v>Fedex</v>
          </cell>
          <cell r="K369" t="str">
            <v>VVMV</v>
          </cell>
          <cell r="L369" t="str">
            <v>PH</v>
          </cell>
          <cell r="M369">
            <v>46051</v>
          </cell>
          <cell r="N369">
            <v>46057</v>
          </cell>
          <cell r="O369">
            <v>46058</v>
          </cell>
          <cell r="P369">
            <v>107956510210</v>
          </cell>
          <cell r="Q369">
            <v>46056</v>
          </cell>
          <cell r="R369" t="str">
            <v>No inspection</v>
          </cell>
          <cell r="S369">
            <v>43050</v>
          </cell>
          <cell r="T369" t="str">
            <v>EXW</v>
          </cell>
          <cell r="U369" t="str">
            <v>PUR</v>
          </cell>
        </row>
        <row r="370">
          <cell r="D370">
            <v>44</v>
          </cell>
          <cell r="F370">
            <v>888229793803</v>
          </cell>
          <cell r="G370" t="str">
            <v>AMPHENOL FCI ASIA PTE LTD</v>
          </cell>
          <cell r="H370" t="str">
            <v>Delivered</v>
          </cell>
          <cell r="I370" t="str">
            <v>CON</v>
          </cell>
          <cell r="J370" t="str">
            <v>Fedex</v>
          </cell>
          <cell r="K370" t="str">
            <v>VVMV</v>
          </cell>
          <cell r="L370" t="str">
            <v>SG</v>
          </cell>
          <cell r="M370">
            <v>46050</v>
          </cell>
          <cell r="N370">
            <v>46058</v>
          </cell>
          <cell r="O370">
            <v>46059</v>
          </cell>
          <cell r="P370">
            <v>107959862250</v>
          </cell>
          <cell r="Q370">
            <v>46057</v>
          </cell>
          <cell r="R370" t="str">
            <v>No inspection</v>
          </cell>
          <cell r="S370">
            <v>13767.49</v>
          </cell>
          <cell r="T370" t="str">
            <v>EXW</v>
          </cell>
          <cell r="U370" t="str">
            <v>LUC</v>
          </cell>
        </row>
        <row r="371">
          <cell r="D371">
            <v>1.5</v>
          </cell>
          <cell r="F371">
            <v>398278563903</v>
          </cell>
          <cell r="G371" t="str">
            <v>DHL SUPPLY CHAIN MGMT PHILS INC
ON BEHALF OF ANALOG DEVICES INT</v>
          </cell>
          <cell r="H371" t="str">
            <v>Delivered</v>
          </cell>
          <cell r="J371" t="str">
            <v>Fedex</v>
          </cell>
          <cell r="K371" t="str">
            <v>VVMV</v>
          </cell>
          <cell r="L371" t="str">
            <v>PH</v>
          </cell>
          <cell r="M371">
            <v>46052</v>
          </cell>
          <cell r="N371">
            <v>46057</v>
          </cell>
          <cell r="O371">
            <v>46058</v>
          </cell>
          <cell r="P371">
            <v>107956405320</v>
          </cell>
          <cell r="Q371">
            <v>46056</v>
          </cell>
          <cell r="R371" t="str">
            <v>No inspection</v>
          </cell>
          <cell r="S371">
            <v>14350</v>
          </cell>
          <cell r="T371" t="str">
            <v>EXW</v>
          </cell>
          <cell r="U371" t="str">
            <v>PUR</v>
          </cell>
        </row>
        <row r="372">
          <cell r="D372">
            <v>4.5</v>
          </cell>
          <cell r="F372">
            <v>398192329513</v>
          </cell>
          <cell r="G372" t="str">
            <v>O/B ANALOG DEVICES INTERNATIONAL UC
DHL SUPPLY CHAIN MGMT PHILS INC</v>
          </cell>
          <cell r="H372" t="str">
            <v>Delivered</v>
          </cell>
          <cell r="J372" t="str">
            <v>Fedex</v>
          </cell>
          <cell r="K372" t="str">
            <v>VVMV</v>
          </cell>
          <cell r="L372" t="str">
            <v>PH</v>
          </cell>
          <cell r="M372">
            <v>46050</v>
          </cell>
          <cell r="N372">
            <v>46057</v>
          </cell>
          <cell r="O372">
            <v>46058</v>
          </cell>
          <cell r="P372">
            <v>107956402150</v>
          </cell>
          <cell r="Q372">
            <v>46056</v>
          </cell>
          <cell r="R372" t="str">
            <v>No inspection</v>
          </cell>
          <cell r="S372">
            <v>45750</v>
          </cell>
          <cell r="T372" t="str">
            <v>EXW</v>
          </cell>
          <cell r="U372" t="str">
            <v>PUR</v>
          </cell>
        </row>
        <row r="373">
          <cell r="D373">
            <v>27</v>
          </cell>
          <cell r="F373">
            <v>497354637793</v>
          </cell>
          <cell r="G373" t="str">
            <v>A&amp;E RISING TECHNOLOGIES LTD</v>
          </cell>
          <cell r="H373" t="str">
            <v>Delivered</v>
          </cell>
          <cell r="J373" t="str">
            <v>Fedex</v>
          </cell>
          <cell r="K373" t="str">
            <v>VVMV</v>
          </cell>
          <cell r="L373" t="str">
            <v>HK</v>
          </cell>
          <cell r="M373">
            <v>46053</v>
          </cell>
          <cell r="N373">
            <v>46057</v>
          </cell>
          <cell r="O373">
            <v>46058</v>
          </cell>
          <cell r="P373">
            <v>107956516140</v>
          </cell>
          <cell r="Q373">
            <v>46056</v>
          </cell>
          <cell r="R373" t="str">
            <v>No inspection</v>
          </cell>
          <cell r="S373">
            <v>3132.5</v>
          </cell>
          <cell r="T373" t="str">
            <v>EXW</v>
          </cell>
          <cell r="U373" t="str">
            <v>EF-</v>
          </cell>
        </row>
        <row r="374">
          <cell r="D374">
            <v>0.5</v>
          </cell>
          <cell r="F374">
            <v>888330374192</v>
          </cell>
          <cell r="G374" t="str">
            <v>SUNLORD ELECTRONICS TECHNOLOGY PTE</v>
          </cell>
          <cell r="H374" t="str">
            <v>Delivered</v>
          </cell>
          <cell r="J374" t="str">
            <v>Fedex</v>
          </cell>
          <cell r="K374" t="str">
            <v>VVMV</v>
          </cell>
          <cell r="L374" t="str">
            <v>HK</v>
          </cell>
          <cell r="M374">
            <v>46052</v>
          </cell>
          <cell r="N374">
            <v>46057</v>
          </cell>
          <cell r="O374">
            <v>46058</v>
          </cell>
          <cell r="P374">
            <v>107956561900</v>
          </cell>
          <cell r="Q374">
            <v>46056</v>
          </cell>
          <cell r="R374" t="str">
            <v>No inspection</v>
          </cell>
          <cell r="S374">
            <v>12</v>
          </cell>
          <cell r="T374" t="str">
            <v>EXW</v>
          </cell>
          <cell r="U374" t="str">
            <v>PUR</v>
          </cell>
        </row>
        <row r="375">
          <cell r="D375">
            <v>3</v>
          </cell>
          <cell r="F375">
            <v>419341613200</v>
          </cell>
          <cell r="G375" t="str">
            <v>VENKEL LTD</v>
          </cell>
          <cell r="H375" t="str">
            <v>Delivered</v>
          </cell>
          <cell r="J375" t="str">
            <v>Fedex</v>
          </cell>
          <cell r="K375" t="str">
            <v>VVMV</v>
          </cell>
          <cell r="L375" t="str">
            <v>US</v>
          </cell>
          <cell r="M375">
            <v>46049</v>
          </cell>
          <cell r="N375">
            <v>46057</v>
          </cell>
          <cell r="O375">
            <v>46058</v>
          </cell>
          <cell r="P375">
            <v>107955860130</v>
          </cell>
          <cell r="Q375">
            <v>46056</v>
          </cell>
          <cell r="R375" t="str">
            <v>No inspection</v>
          </cell>
          <cell r="S375">
            <v>942.72</v>
          </cell>
          <cell r="T375" t="str">
            <v>CIF</v>
          </cell>
          <cell r="U375" t="str">
            <v>EF-</v>
          </cell>
        </row>
        <row r="376">
          <cell r="D376">
            <v>9.5</v>
          </cell>
          <cell r="F376">
            <v>398177211964</v>
          </cell>
          <cell r="G376" t="str">
            <v>ROSENBERGER HOCHFREQUENZTECHNIK</v>
          </cell>
          <cell r="H376" t="str">
            <v>Delivered</v>
          </cell>
          <cell r="I376" t="str">
            <v>CON</v>
          </cell>
          <cell r="J376" t="str">
            <v>Fedex</v>
          </cell>
          <cell r="K376" t="str">
            <v>VVMV</v>
          </cell>
          <cell r="L376" t="str">
            <v>HU</v>
          </cell>
          <cell r="M376">
            <v>46051</v>
          </cell>
          <cell r="N376">
            <v>46058</v>
          </cell>
          <cell r="O376">
            <v>46059</v>
          </cell>
          <cell r="P376">
            <v>107960434260</v>
          </cell>
          <cell r="Q376">
            <v>46057</v>
          </cell>
          <cell r="R376" t="str">
            <v>No inspection</v>
          </cell>
          <cell r="S376">
            <v>911.61</v>
          </cell>
          <cell r="T376" t="str">
            <v>CIF</v>
          </cell>
          <cell r="U376" t="str">
            <v>LUC</v>
          </cell>
        </row>
        <row r="377">
          <cell r="D377">
            <v>1</v>
          </cell>
          <cell r="F377">
            <v>479730316302</v>
          </cell>
          <cell r="G377" t="str">
            <v>ARROW COMPONENTS MEXICO SA De CV</v>
          </cell>
          <cell r="H377" t="str">
            <v>Delivered</v>
          </cell>
          <cell r="J377" t="str">
            <v>Fedex</v>
          </cell>
          <cell r="K377" t="str">
            <v>VVMV</v>
          </cell>
          <cell r="L377" t="str">
            <v>MX</v>
          </cell>
          <cell r="M377">
            <v>46048</v>
          </cell>
          <cell r="N377">
            <v>46057</v>
          </cell>
          <cell r="O377">
            <v>46058</v>
          </cell>
          <cell r="P377">
            <v>107956471340</v>
          </cell>
          <cell r="Q377">
            <v>46056</v>
          </cell>
          <cell r="R377" t="str">
            <v>No inspection</v>
          </cell>
          <cell r="S377">
            <v>138</v>
          </cell>
          <cell r="T377" t="str">
            <v>CIF</v>
          </cell>
          <cell r="U377" t="str">
            <v>LUC</v>
          </cell>
        </row>
        <row r="378">
          <cell r="D378">
            <v>0.5</v>
          </cell>
          <cell r="F378">
            <v>479730311035</v>
          </cell>
          <cell r="G378" t="str">
            <v>ARROW COMPONENTS MEXICO SA De CV</v>
          </cell>
          <cell r="H378" t="str">
            <v>Delivered</v>
          </cell>
          <cell r="J378" t="str">
            <v>Fedex</v>
          </cell>
          <cell r="K378" t="str">
            <v>VVMV</v>
          </cell>
          <cell r="L378" t="str">
            <v>MX</v>
          </cell>
          <cell r="M378">
            <v>46044</v>
          </cell>
          <cell r="N378">
            <v>46057</v>
          </cell>
          <cell r="O378">
            <v>46058</v>
          </cell>
          <cell r="P378">
            <v>107956602610</v>
          </cell>
          <cell r="Q378">
            <v>46056</v>
          </cell>
          <cell r="R378" t="str">
            <v>No inspection</v>
          </cell>
          <cell r="S378">
            <v>17.5</v>
          </cell>
          <cell r="T378" t="str">
            <v>CIF</v>
          </cell>
          <cell r="U378" t="str">
            <v>LUC</v>
          </cell>
        </row>
        <row r="379">
          <cell r="D379">
            <v>0.5</v>
          </cell>
          <cell r="F379">
            <v>479730310680</v>
          </cell>
          <cell r="G379" t="str">
            <v>ARROW COMPONENTS MEXICO SA De CV</v>
          </cell>
          <cell r="H379" t="str">
            <v>Delivered</v>
          </cell>
          <cell r="J379" t="str">
            <v>Fedex</v>
          </cell>
          <cell r="K379" t="str">
            <v>VVMV</v>
          </cell>
          <cell r="L379" t="str">
            <v>MX</v>
          </cell>
          <cell r="M379">
            <v>46043</v>
          </cell>
          <cell r="N379">
            <v>46057</v>
          </cell>
          <cell r="O379">
            <v>46058</v>
          </cell>
          <cell r="P379">
            <v>107955957540</v>
          </cell>
          <cell r="Q379">
            <v>46056</v>
          </cell>
          <cell r="R379" t="str">
            <v>No inspection</v>
          </cell>
          <cell r="S379">
            <v>15</v>
          </cell>
          <cell r="T379" t="str">
            <v>CIF</v>
          </cell>
          <cell r="U379" t="str">
            <v>LUC</v>
          </cell>
        </row>
        <row r="380">
          <cell r="D380">
            <v>3.5</v>
          </cell>
          <cell r="F380">
            <v>479730318350</v>
          </cell>
          <cell r="G380" t="str">
            <v>ARROW COMPONENTS MEXICO SA De CV</v>
          </cell>
          <cell r="H380" t="str">
            <v>Delivered</v>
          </cell>
          <cell r="J380" t="str">
            <v>Fedex</v>
          </cell>
          <cell r="K380" t="str">
            <v>VVMV</v>
          </cell>
          <cell r="L380" t="str">
            <v>MX</v>
          </cell>
          <cell r="M380">
            <v>46050</v>
          </cell>
          <cell r="N380">
            <v>46057</v>
          </cell>
          <cell r="O380">
            <v>46058</v>
          </cell>
          <cell r="P380">
            <v>107956455610</v>
          </cell>
          <cell r="Q380">
            <v>46056</v>
          </cell>
          <cell r="R380" t="str">
            <v>No inspection</v>
          </cell>
          <cell r="S380">
            <v>18209.25</v>
          </cell>
          <cell r="T380" t="str">
            <v>CIF</v>
          </cell>
          <cell r="U380" t="str">
            <v>LUC</v>
          </cell>
        </row>
        <row r="381">
          <cell r="D381">
            <v>1</v>
          </cell>
          <cell r="F381">
            <v>479730318280</v>
          </cell>
          <cell r="G381" t="str">
            <v>ARROW COMPONENTS MEXICO SA De CV</v>
          </cell>
          <cell r="H381" t="str">
            <v>Delivered</v>
          </cell>
          <cell r="J381" t="str">
            <v>Fedex</v>
          </cell>
          <cell r="K381" t="str">
            <v>VVMV</v>
          </cell>
          <cell r="L381" t="str">
            <v>MX</v>
          </cell>
          <cell r="M381">
            <v>46048</v>
          </cell>
          <cell r="N381">
            <v>46057</v>
          </cell>
          <cell r="O381">
            <v>46058</v>
          </cell>
          <cell r="P381">
            <v>107956612630</v>
          </cell>
          <cell r="Q381">
            <v>46056</v>
          </cell>
          <cell r="R381" t="str">
            <v>No inspection</v>
          </cell>
          <cell r="S381">
            <v>2023.25</v>
          </cell>
          <cell r="T381" t="str">
            <v>CIF</v>
          </cell>
          <cell r="U381" t="str">
            <v>LUC</v>
          </cell>
        </row>
        <row r="382">
          <cell r="D382">
            <v>1.5</v>
          </cell>
          <cell r="F382">
            <v>479730318143</v>
          </cell>
          <cell r="G382" t="str">
            <v>ARROW COMPONENTS MEXICO SA De CV</v>
          </cell>
          <cell r="H382" t="str">
            <v>Delivered</v>
          </cell>
          <cell r="J382" t="str">
            <v>Fedex</v>
          </cell>
          <cell r="K382" t="str">
            <v>VVMV</v>
          </cell>
          <cell r="L382" t="str">
            <v>MX</v>
          </cell>
          <cell r="M382">
            <v>46048</v>
          </cell>
          <cell r="N382">
            <v>46057</v>
          </cell>
          <cell r="O382">
            <v>46058</v>
          </cell>
          <cell r="P382">
            <v>107956534120</v>
          </cell>
          <cell r="Q382">
            <v>46056</v>
          </cell>
          <cell r="R382" t="str">
            <v>No inspection</v>
          </cell>
          <cell r="S382">
            <v>6069.75</v>
          </cell>
          <cell r="T382" t="str">
            <v>CIF</v>
          </cell>
          <cell r="U382" t="str">
            <v>LUC</v>
          </cell>
        </row>
        <row r="383">
          <cell r="D383">
            <v>1.5</v>
          </cell>
          <cell r="F383">
            <v>479730318110</v>
          </cell>
          <cell r="G383" t="str">
            <v>ARROW COMPONENTS MEXICO SA De CV</v>
          </cell>
          <cell r="H383" t="str">
            <v>Delivered</v>
          </cell>
          <cell r="J383" t="str">
            <v>Fedex</v>
          </cell>
          <cell r="K383" t="str">
            <v>VVMV</v>
          </cell>
          <cell r="L383" t="str">
            <v>MX</v>
          </cell>
          <cell r="M383">
            <v>46048</v>
          </cell>
          <cell r="N383">
            <v>46057</v>
          </cell>
          <cell r="O383">
            <v>46058</v>
          </cell>
          <cell r="P383">
            <v>107956653560</v>
          </cell>
          <cell r="Q383">
            <v>46056</v>
          </cell>
          <cell r="R383" t="str">
            <v>No inspection</v>
          </cell>
          <cell r="S383">
            <v>8093</v>
          </cell>
          <cell r="T383" t="str">
            <v>CIF</v>
          </cell>
          <cell r="U383" t="str">
            <v>LUC</v>
          </cell>
        </row>
        <row r="384">
          <cell r="D384">
            <v>1.5</v>
          </cell>
          <cell r="F384">
            <v>479730318371</v>
          </cell>
          <cell r="G384" t="str">
            <v>ARROW COMPONENTS MEXICO SA De CV</v>
          </cell>
          <cell r="H384" t="str">
            <v>Delivered</v>
          </cell>
          <cell r="J384" t="str">
            <v>Fedex</v>
          </cell>
          <cell r="K384" t="str">
            <v>VVMV</v>
          </cell>
          <cell r="L384" t="str">
            <v>MX</v>
          </cell>
          <cell r="M384">
            <v>46048</v>
          </cell>
          <cell r="N384">
            <v>46057</v>
          </cell>
          <cell r="O384">
            <v>46058</v>
          </cell>
          <cell r="P384">
            <v>107956082510</v>
          </cell>
          <cell r="Q384">
            <v>46056</v>
          </cell>
          <cell r="R384" t="str">
            <v>No inspection</v>
          </cell>
          <cell r="S384">
            <v>8093</v>
          </cell>
          <cell r="T384" t="str">
            <v>CIF</v>
          </cell>
          <cell r="U384" t="str">
            <v>LUC</v>
          </cell>
        </row>
        <row r="385">
          <cell r="D385">
            <v>0.5</v>
          </cell>
          <cell r="F385">
            <v>479730319470</v>
          </cell>
          <cell r="G385" t="str">
            <v>ARROW COMPONENTS MEXICO SA De CV</v>
          </cell>
          <cell r="H385" t="str">
            <v>Delivered</v>
          </cell>
          <cell r="J385" t="str">
            <v>Fedex</v>
          </cell>
          <cell r="K385" t="str">
            <v>VVMV</v>
          </cell>
          <cell r="L385" t="str">
            <v>MX</v>
          </cell>
          <cell r="M385">
            <v>46049</v>
          </cell>
          <cell r="N385">
            <v>46057</v>
          </cell>
          <cell r="O385">
            <v>46058</v>
          </cell>
          <cell r="P385">
            <v>107956585810</v>
          </cell>
          <cell r="Q385">
            <v>46056</v>
          </cell>
          <cell r="R385" t="str">
            <v>No inspection</v>
          </cell>
          <cell r="S385">
            <v>744</v>
          </cell>
          <cell r="T385" t="str">
            <v>CIF</v>
          </cell>
          <cell r="U385" t="str">
            <v>PUR</v>
          </cell>
        </row>
        <row r="386">
          <cell r="D386">
            <v>0.5</v>
          </cell>
          <cell r="F386">
            <v>479730320691</v>
          </cell>
          <cell r="G386" t="str">
            <v>ARROW COMPONENTS MEXICO SA De CV</v>
          </cell>
          <cell r="H386" t="str">
            <v>Delivered</v>
          </cell>
          <cell r="J386" t="str">
            <v>Fedex</v>
          </cell>
          <cell r="K386" t="str">
            <v>VVMV</v>
          </cell>
          <cell r="L386" t="str">
            <v>MX</v>
          </cell>
          <cell r="M386">
            <v>46049</v>
          </cell>
          <cell r="N386">
            <v>46057</v>
          </cell>
          <cell r="O386">
            <v>46058</v>
          </cell>
          <cell r="P386">
            <v>107956576450</v>
          </cell>
          <cell r="Q386">
            <v>46056</v>
          </cell>
          <cell r="R386" t="str">
            <v>No inspection</v>
          </cell>
          <cell r="S386">
            <v>984</v>
          </cell>
          <cell r="T386" t="str">
            <v>CIF</v>
          </cell>
          <cell r="U386" t="str">
            <v>PUR</v>
          </cell>
        </row>
        <row r="387">
          <cell r="D387">
            <v>1</v>
          </cell>
          <cell r="F387">
            <v>479730321080</v>
          </cell>
          <cell r="G387" t="str">
            <v>ARROW COMPONENTS MEXICO SA De CV</v>
          </cell>
          <cell r="H387" t="str">
            <v>Delivered</v>
          </cell>
          <cell r="I387" t="str">
            <v>RES</v>
          </cell>
          <cell r="J387" t="str">
            <v>Fedex</v>
          </cell>
          <cell r="K387" t="str">
            <v>VVMV</v>
          </cell>
          <cell r="L387" t="str">
            <v>MX</v>
          </cell>
          <cell r="M387">
            <v>46049</v>
          </cell>
          <cell r="N387">
            <v>46062</v>
          </cell>
          <cell r="O387">
            <v>46062</v>
          </cell>
          <cell r="P387">
            <v>107968477260</v>
          </cell>
          <cell r="Q387">
            <v>46059</v>
          </cell>
          <cell r="R387" t="str">
            <v>No inspection</v>
          </cell>
          <cell r="S387">
            <v>38.5</v>
          </cell>
          <cell r="T387" t="str">
            <v>CIF</v>
          </cell>
          <cell r="U387" t="str">
            <v>LUC</v>
          </cell>
        </row>
        <row r="388">
          <cell r="D388">
            <v>10</v>
          </cell>
          <cell r="F388">
            <v>479730320810</v>
          </cell>
          <cell r="G388" t="str">
            <v>ARROW COMPONENTS MEXICO SA De CV</v>
          </cell>
          <cell r="H388" t="str">
            <v>Delivered</v>
          </cell>
          <cell r="J388" t="str">
            <v>Fedex</v>
          </cell>
          <cell r="K388" t="str">
            <v>VVMV</v>
          </cell>
          <cell r="L388" t="str">
            <v>MX</v>
          </cell>
          <cell r="M388">
            <v>46049</v>
          </cell>
          <cell r="N388">
            <v>46057</v>
          </cell>
          <cell r="O388">
            <v>46058</v>
          </cell>
          <cell r="P388">
            <v>107956358420</v>
          </cell>
          <cell r="Q388">
            <v>46056</v>
          </cell>
          <cell r="R388" t="str">
            <v>No inspection</v>
          </cell>
          <cell r="S388">
            <v>1280</v>
          </cell>
          <cell r="T388" t="str">
            <v>CIF</v>
          </cell>
          <cell r="U388" t="str">
            <v>LUC</v>
          </cell>
        </row>
        <row r="389">
          <cell r="D389">
            <v>3</v>
          </cell>
          <cell r="F389">
            <v>479730324918</v>
          </cell>
          <cell r="G389" t="str">
            <v>ARROW COMPONENTS MEXICO SA De CV</v>
          </cell>
          <cell r="H389" t="str">
            <v>Delivered</v>
          </cell>
          <cell r="J389" t="str">
            <v>Fedex</v>
          </cell>
          <cell r="K389" t="str">
            <v>VVMV</v>
          </cell>
          <cell r="L389" t="str">
            <v>MX</v>
          </cell>
          <cell r="M389">
            <v>46050</v>
          </cell>
          <cell r="N389">
            <v>46057</v>
          </cell>
          <cell r="O389">
            <v>46058</v>
          </cell>
          <cell r="P389">
            <v>107956633300</v>
          </cell>
          <cell r="Q389">
            <v>46056</v>
          </cell>
          <cell r="R389" t="str">
            <v>No inspection</v>
          </cell>
          <cell r="S389">
            <v>18209.25</v>
          </cell>
          <cell r="T389" t="str">
            <v>CIF</v>
          </cell>
          <cell r="U389" t="str">
            <v>LUC</v>
          </cell>
        </row>
        <row r="390">
          <cell r="D390">
            <v>1.5</v>
          </cell>
          <cell r="F390">
            <v>479730322021</v>
          </cell>
          <cell r="G390" t="str">
            <v>ARROW COMPONENTS MEXICO SA De CV</v>
          </cell>
          <cell r="H390" t="str">
            <v>Delivered</v>
          </cell>
          <cell r="J390" t="str">
            <v>Fedex</v>
          </cell>
          <cell r="K390" t="str">
            <v>VVMV</v>
          </cell>
          <cell r="L390" t="str">
            <v>MX</v>
          </cell>
          <cell r="M390">
            <v>46050</v>
          </cell>
          <cell r="N390">
            <v>46057</v>
          </cell>
          <cell r="O390">
            <v>46058</v>
          </cell>
          <cell r="P390">
            <v>107956620810</v>
          </cell>
          <cell r="Q390">
            <v>46056</v>
          </cell>
          <cell r="R390" t="str">
            <v>No inspection</v>
          </cell>
          <cell r="S390">
            <v>1532.5</v>
          </cell>
          <cell r="T390" t="str">
            <v>CIF</v>
          </cell>
          <cell r="U390" t="str">
            <v>LUC</v>
          </cell>
        </row>
        <row r="391">
          <cell r="D391">
            <v>30.6</v>
          </cell>
          <cell r="F391">
            <v>484361653107</v>
          </cell>
          <cell r="G391" t="str">
            <v>COILCRAFT SINGAPORE PTE LTD</v>
          </cell>
          <cell r="H391" t="str">
            <v>Delivered</v>
          </cell>
          <cell r="J391" t="str">
            <v>Fedex</v>
          </cell>
          <cell r="K391" t="str">
            <v>VVMV</v>
          </cell>
          <cell r="L391" t="str">
            <v>SG</v>
          </cell>
          <cell r="M391">
            <v>46052</v>
          </cell>
          <cell r="N391">
            <v>46057</v>
          </cell>
          <cell r="O391">
            <v>46058</v>
          </cell>
          <cell r="P391">
            <v>107956550000</v>
          </cell>
          <cell r="Q391">
            <v>46056</v>
          </cell>
          <cell r="R391" t="str">
            <v>No inspection</v>
          </cell>
          <cell r="S391">
            <v>13074.5</v>
          </cell>
          <cell r="T391" t="str">
            <v>EXW</v>
          </cell>
          <cell r="U391" t="str">
            <v>LUC</v>
          </cell>
        </row>
        <row r="392">
          <cell r="D392">
            <v>8.5</v>
          </cell>
          <cell r="F392">
            <v>501791592524</v>
          </cell>
          <cell r="G392" t="str">
            <v>MOUSER ELECTRONICS INC</v>
          </cell>
          <cell r="H392" t="str">
            <v>Delivered</v>
          </cell>
          <cell r="J392" t="str">
            <v>Fedex</v>
          </cell>
          <cell r="K392" t="str">
            <v>VVMV</v>
          </cell>
          <cell r="L392" t="str">
            <v>US</v>
          </cell>
          <cell r="M392">
            <v>46045</v>
          </cell>
          <cell r="N392">
            <v>46058</v>
          </cell>
          <cell r="O392">
            <v>46059</v>
          </cell>
          <cell r="P392">
            <v>107959859600</v>
          </cell>
          <cell r="Q392">
            <v>46057</v>
          </cell>
          <cell r="R392" t="str">
            <v>No inspection</v>
          </cell>
          <cell r="S392">
            <v>3069.21</v>
          </cell>
          <cell r="T392" t="str">
            <v>CIF</v>
          </cell>
          <cell r="U392" t="str">
            <v>LUC</v>
          </cell>
        </row>
        <row r="393">
          <cell r="D393">
            <v>9.5</v>
          </cell>
          <cell r="F393">
            <v>679865595757</v>
          </cell>
          <cell r="G393" t="str">
            <v>AVNET TECH HK LTD (1602 - HX64)</v>
          </cell>
          <cell r="H393" t="str">
            <v>Delivered</v>
          </cell>
          <cell r="J393" t="str">
            <v>Fedex</v>
          </cell>
          <cell r="K393" t="str">
            <v>VVMV</v>
          </cell>
          <cell r="L393" t="str">
            <v>HK</v>
          </cell>
          <cell r="M393">
            <v>46051</v>
          </cell>
          <cell r="N393">
            <v>46057</v>
          </cell>
          <cell r="O393">
            <v>46058</v>
          </cell>
          <cell r="P393">
            <v>107956202100</v>
          </cell>
          <cell r="Q393">
            <v>46056</v>
          </cell>
          <cell r="R393" t="str">
            <v>No inspection</v>
          </cell>
          <cell r="S393">
            <v>32076</v>
          </cell>
          <cell r="T393" t="str">
            <v>EXW</v>
          </cell>
          <cell r="U393" t="str">
            <v>LUC</v>
          </cell>
        </row>
        <row r="394">
          <cell r="D394">
            <v>0.6</v>
          </cell>
          <cell r="F394">
            <v>888261788314</v>
          </cell>
          <cell r="G394" t="str">
            <v>GOTREND TECHNOLOGY CO.,LTD.</v>
          </cell>
          <cell r="H394" t="str">
            <v>Delivered</v>
          </cell>
          <cell r="J394" t="str">
            <v>Fedex</v>
          </cell>
          <cell r="K394" t="str">
            <v>VVMV</v>
          </cell>
          <cell r="L394" t="str">
            <v>TW</v>
          </cell>
          <cell r="M394">
            <v>46050</v>
          </cell>
          <cell r="N394">
            <v>46057</v>
          </cell>
          <cell r="O394">
            <v>46058</v>
          </cell>
          <cell r="P394">
            <v>107956656250</v>
          </cell>
          <cell r="Q394">
            <v>46056</v>
          </cell>
          <cell r="R394" t="str">
            <v>No inspection</v>
          </cell>
          <cell r="S394">
            <v>329.5</v>
          </cell>
          <cell r="T394" t="str">
            <v>EXW</v>
          </cell>
          <cell r="U394" t="str">
            <v>123-</v>
          </cell>
        </row>
        <row r="395">
          <cell r="D395">
            <v>3.5</v>
          </cell>
          <cell r="F395">
            <v>888321125415</v>
          </cell>
          <cell r="G395" t="str">
            <v>Alliance Memory, Inc</v>
          </cell>
          <cell r="H395" t="str">
            <v>Delivered</v>
          </cell>
          <cell r="J395" t="str">
            <v>Fedex</v>
          </cell>
          <cell r="K395" t="str">
            <v>VVMV</v>
          </cell>
          <cell r="L395" t="str">
            <v>US</v>
          </cell>
          <cell r="M395">
            <v>46051</v>
          </cell>
          <cell r="N395">
            <v>46057</v>
          </cell>
          <cell r="O395">
            <v>46058</v>
          </cell>
          <cell r="P395">
            <v>107956319550</v>
          </cell>
          <cell r="Q395">
            <v>46056</v>
          </cell>
          <cell r="R395" t="str">
            <v>No inspection</v>
          </cell>
          <cell r="S395">
            <v>6425</v>
          </cell>
          <cell r="T395" t="str">
            <v>CIF</v>
          </cell>
          <cell r="U395" t="str">
            <v>EF-</v>
          </cell>
        </row>
        <row r="396">
          <cell r="D396">
            <v>2.5</v>
          </cell>
          <cell r="F396">
            <v>888332592010</v>
          </cell>
          <cell r="G396" t="str">
            <v>Kim Kee Transportation Company</v>
          </cell>
          <cell r="H396" t="str">
            <v>Delivered</v>
          </cell>
          <cell r="J396" t="str">
            <v>Fedex</v>
          </cell>
          <cell r="K396" t="str">
            <v>VVMV</v>
          </cell>
          <cell r="L396" t="str">
            <v>HK</v>
          </cell>
          <cell r="M396">
            <v>46052</v>
          </cell>
          <cell r="N396">
            <v>46057</v>
          </cell>
          <cell r="O396">
            <v>46058</v>
          </cell>
          <cell r="P396">
            <v>107956586950</v>
          </cell>
          <cell r="Q396">
            <v>46056</v>
          </cell>
          <cell r="R396" t="str">
            <v>No inspection</v>
          </cell>
          <cell r="S396">
            <v>541.5</v>
          </cell>
          <cell r="T396" t="str">
            <v>EXW</v>
          </cell>
          <cell r="U396" t="str">
            <v>LUC</v>
          </cell>
        </row>
        <row r="397">
          <cell r="D397">
            <v>17.5</v>
          </cell>
          <cell r="F397">
            <v>4104762896</v>
          </cell>
          <cell r="G397" t="str">
            <v>TTI INC</v>
          </cell>
          <cell r="H397" t="str">
            <v>Delivered</v>
          </cell>
          <cell r="I397" t="str">
            <v>CON, CAP, RES</v>
          </cell>
          <cell r="J397" t="str">
            <v>DHL</v>
          </cell>
          <cell r="K397" t="str">
            <v>VVMV</v>
          </cell>
          <cell r="L397" t="str">
            <v>US</v>
          </cell>
          <cell r="M397">
            <v>46054</v>
          </cell>
          <cell r="N397">
            <v>46059</v>
          </cell>
          <cell r="O397">
            <v>46059</v>
          </cell>
          <cell r="P397">
            <v>107964612560</v>
          </cell>
          <cell r="Q397">
            <v>46058</v>
          </cell>
          <cell r="R397" t="str">
            <v>No inspection</v>
          </cell>
          <cell r="S397">
            <v>4176.1000000000004</v>
          </cell>
          <cell r="T397" t="str">
            <v>CIF</v>
          </cell>
          <cell r="U397" t="str">
            <v>LUC</v>
          </cell>
        </row>
        <row r="398">
          <cell r="D398">
            <v>3.6</v>
          </cell>
          <cell r="F398">
            <v>4104764171</v>
          </cell>
          <cell r="G398" t="str">
            <v>TTI INC</v>
          </cell>
          <cell r="H398" t="str">
            <v>Delivered</v>
          </cell>
          <cell r="I398" t="str">
            <v>RES</v>
          </cell>
          <cell r="J398" t="str">
            <v>DHL</v>
          </cell>
          <cell r="K398" t="str">
            <v>VVMV</v>
          </cell>
          <cell r="L398" t="str">
            <v>US</v>
          </cell>
          <cell r="M398">
            <v>46055</v>
          </cell>
          <cell r="N398">
            <v>46062</v>
          </cell>
          <cell r="O398">
            <v>46062</v>
          </cell>
          <cell r="P398">
            <v>107966976350</v>
          </cell>
          <cell r="Q398">
            <v>46059</v>
          </cell>
          <cell r="R398" t="str">
            <v>No inspection</v>
          </cell>
          <cell r="S398">
            <v>3268.6</v>
          </cell>
          <cell r="T398" t="str">
            <v>CIF</v>
          </cell>
          <cell r="U398" t="str">
            <v>LUC</v>
          </cell>
        </row>
        <row r="399">
          <cell r="D399">
            <v>305</v>
          </cell>
          <cell r="F399" t="str">
            <v>LNBHPH260503</v>
          </cell>
          <cell r="G399" t="str">
            <v>ENNOVI ADVANCED MOBILITY SOLUTIONS HANGZHOU CO., LTD.</v>
          </cell>
          <cell r="H399" t="str">
            <v>Delivered</v>
          </cell>
          <cell r="I399" t="str">
            <v>CON</v>
          </cell>
          <cell r="J399" t="str">
            <v>VVMV(sea)</v>
          </cell>
          <cell r="K399" t="str">
            <v>VVMV</v>
          </cell>
          <cell r="L399" t="str">
            <v>CN</v>
          </cell>
          <cell r="M399">
            <v>46053</v>
          </cell>
          <cell r="N399">
            <v>46059</v>
          </cell>
          <cell r="O399">
            <v>46059</v>
          </cell>
          <cell r="P399">
            <v>107959605500</v>
          </cell>
          <cell r="Q399">
            <v>46057</v>
          </cell>
          <cell r="R399" t="str">
            <v>No inspection</v>
          </cell>
          <cell r="S399">
            <v>12989.9</v>
          </cell>
          <cell r="T399" t="str">
            <v>EXW</v>
          </cell>
          <cell r="U399" t="str">
            <v>LUC</v>
          </cell>
        </row>
        <row r="400">
          <cell r="D400">
            <v>417.90899999999999</v>
          </cell>
          <cell r="F400" t="str">
            <v>PSHPH2610164</v>
          </cell>
          <cell r="G400" t="str">
            <v>COMPEQ MANUFACTURING CO., LTD</v>
          </cell>
          <cell r="H400" t="str">
            <v>Delivered</v>
          </cell>
          <cell r="I400" t="str">
            <v>PCB</v>
          </cell>
          <cell r="J400" t="str">
            <v>VVMV(sea)</v>
          </cell>
          <cell r="K400" t="str">
            <v>VVMV</v>
          </cell>
          <cell r="L400" t="str">
            <v>TW</v>
          </cell>
          <cell r="M400">
            <v>46055</v>
          </cell>
          <cell r="N400">
            <v>46062</v>
          </cell>
          <cell r="O400">
            <v>46062</v>
          </cell>
          <cell r="P400">
            <v>107964643620</v>
          </cell>
          <cell r="Q400">
            <v>46058</v>
          </cell>
          <cell r="R400" t="str">
            <v>No inspection</v>
          </cell>
          <cell r="S400">
            <v>70291.649999999994</v>
          </cell>
          <cell r="T400" t="str">
            <v>FOB</v>
          </cell>
          <cell r="U400" t="str">
            <v>HLO</v>
          </cell>
        </row>
        <row r="401">
          <cell r="D401">
            <v>240</v>
          </cell>
          <cell r="F401">
            <v>500070679375</v>
          </cell>
          <cell r="G401" t="str">
            <v>TE CONNECTIVITY</v>
          </cell>
          <cell r="H401" t="str">
            <v>Delivered</v>
          </cell>
          <cell r="J401" t="str">
            <v>Fedex</v>
          </cell>
          <cell r="K401" t="str">
            <v>VVMV</v>
          </cell>
          <cell r="L401" t="str">
            <v>US</v>
          </cell>
          <cell r="M401">
            <v>46049</v>
          </cell>
          <cell r="N401">
            <v>46058</v>
          </cell>
          <cell r="O401">
            <v>46058</v>
          </cell>
          <cell r="P401">
            <v>107959184910</v>
          </cell>
          <cell r="Q401">
            <v>46057</v>
          </cell>
          <cell r="R401" t="str">
            <v>No inspection</v>
          </cell>
          <cell r="S401">
            <v>11844</v>
          </cell>
          <cell r="T401" t="str">
            <v>CIF</v>
          </cell>
          <cell r="U401" t="str">
            <v>LUC</v>
          </cell>
        </row>
        <row r="402">
          <cell r="D402">
            <v>29.5</v>
          </cell>
          <cell r="F402">
            <v>477592552339</v>
          </cell>
          <cell r="G402" t="str">
            <v>QUALCOMM CDMA TECHNOLOGIES ASIA-PAC</v>
          </cell>
          <cell r="H402" t="str">
            <v>Delivered</v>
          </cell>
          <cell r="J402" t="str">
            <v>Fedex</v>
          </cell>
          <cell r="K402" t="str">
            <v>VVMV</v>
          </cell>
          <cell r="L402" t="str">
            <v>SG</v>
          </cell>
          <cell r="M402">
            <v>46055</v>
          </cell>
          <cell r="N402">
            <v>46058</v>
          </cell>
          <cell r="O402">
            <v>46058</v>
          </cell>
          <cell r="P402">
            <v>107959863210</v>
          </cell>
          <cell r="Q402">
            <v>46057</v>
          </cell>
          <cell r="R402" t="str">
            <v>No inspection</v>
          </cell>
          <cell r="S402">
            <v>119750.39999999999</v>
          </cell>
          <cell r="T402" t="str">
            <v>EXW</v>
          </cell>
          <cell r="U402" t="str">
            <v>LUC</v>
          </cell>
        </row>
        <row r="403">
          <cell r="D403">
            <v>2.5</v>
          </cell>
          <cell r="F403">
            <v>398311095996</v>
          </cell>
          <cell r="G403" t="str">
            <v>O/B ANALOG DEVICES INTERNATIONAL UC
DHL SUPPLY CHAIN MGMT PHILS INC</v>
          </cell>
          <cell r="H403" t="str">
            <v>Delivered</v>
          </cell>
          <cell r="J403" t="str">
            <v>Fedex</v>
          </cell>
          <cell r="K403" t="str">
            <v>VVMV</v>
          </cell>
          <cell r="L403" t="str">
            <v>PH</v>
          </cell>
          <cell r="M403">
            <v>46055</v>
          </cell>
          <cell r="N403">
            <v>46058</v>
          </cell>
          <cell r="O403">
            <v>46058</v>
          </cell>
          <cell r="P403">
            <v>107959531520</v>
          </cell>
          <cell r="Q403">
            <v>46057</v>
          </cell>
          <cell r="R403" t="str">
            <v>No inspection</v>
          </cell>
          <cell r="S403">
            <v>28700</v>
          </cell>
          <cell r="T403" t="str">
            <v>EXW</v>
          </cell>
          <cell r="U403" t="str">
            <v>PUR</v>
          </cell>
        </row>
        <row r="404">
          <cell r="D404">
            <v>0.5</v>
          </cell>
          <cell r="F404">
            <v>888390164033</v>
          </cell>
          <cell r="G404" t="str">
            <v>SEMTECH SEMICON TECH (HK) CO.,LTD</v>
          </cell>
          <cell r="H404" t="str">
            <v>Delivered</v>
          </cell>
          <cell r="I404" t="str">
            <v>DIO</v>
          </cell>
          <cell r="J404" t="str">
            <v>Fedex</v>
          </cell>
          <cell r="K404" t="str">
            <v>VVMV</v>
          </cell>
          <cell r="L404" t="str">
            <v>HK</v>
          </cell>
          <cell r="M404">
            <v>46055</v>
          </cell>
          <cell r="N404">
            <v>46059</v>
          </cell>
          <cell r="O404">
            <v>46062</v>
          </cell>
          <cell r="P404">
            <v>107963756460</v>
          </cell>
          <cell r="Q404">
            <v>46058</v>
          </cell>
          <cell r="R404" t="str">
            <v>No inspection</v>
          </cell>
          <cell r="S404">
            <v>12</v>
          </cell>
          <cell r="T404" t="str">
            <v>EXW</v>
          </cell>
          <cell r="U404" t="str">
            <v>LUC</v>
          </cell>
        </row>
        <row r="405">
          <cell r="D405">
            <v>4</v>
          </cell>
          <cell r="F405">
            <v>479730328177</v>
          </cell>
          <cell r="G405" t="str">
            <v>ARROW COMPONENTS MEXICO SA De CV</v>
          </cell>
          <cell r="H405" t="str">
            <v>Delivered</v>
          </cell>
          <cell r="J405" t="str">
            <v>Fedex</v>
          </cell>
          <cell r="K405" t="str">
            <v>VVMV</v>
          </cell>
          <cell r="L405" t="str">
            <v>MX</v>
          </cell>
          <cell r="M405">
            <v>46052</v>
          </cell>
          <cell r="N405">
            <v>46058</v>
          </cell>
          <cell r="O405">
            <v>46059</v>
          </cell>
          <cell r="P405">
            <v>107959808130</v>
          </cell>
          <cell r="Q405">
            <v>46057</v>
          </cell>
          <cell r="R405" t="str">
            <v>No inspection</v>
          </cell>
          <cell r="S405">
            <v>552</v>
          </cell>
          <cell r="T405" t="str">
            <v>CIF</v>
          </cell>
          <cell r="U405" t="str">
            <v>LUC</v>
          </cell>
        </row>
        <row r="406">
          <cell r="D406">
            <v>21</v>
          </cell>
          <cell r="F406">
            <v>119209677229</v>
          </cell>
          <cell r="G406" t="str">
            <v>FUTURE ELECTRONICS FICE</v>
          </cell>
          <cell r="H406" t="str">
            <v>Delivered</v>
          </cell>
          <cell r="I406" t="str">
            <v>FUS, IC , IC,, DIO</v>
          </cell>
          <cell r="J406" t="str">
            <v>Fedex</v>
          </cell>
          <cell r="K406" t="str">
            <v>VVMV</v>
          </cell>
          <cell r="L406" t="str">
            <v>US</v>
          </cell>
          <cell r="M406">
            <v>46045</v>
          </cell>
          <cell r="N406">
            <v>46058</v>
          </cell>
          <cell r="O406">
            <v>46058</v>
          </cell>
          <cell r="P406">
            <v>107959401760</v>
          </cell>
          <cell r="Q406">
            <v>46057</v>
          </cell>
          <cell r="R406" t="str">
            <v>No inspection</v>
          </cell>
          <cell r="S406">
            <v>10388.799999999999</v>
          </cell>
          <cell r="T406" t="str">
            <v>CIF</v>
          </cell>
          <cell r="U406" t="str">
            <v>PUR</v>
          </cell>
        </row>
        <row r="407">
          <cell r="D407">
            <v>0.5</v>
          </cell>
          <cell r="F407">
            <v>888381889579</v>
          </cell>
          <cell r="G407" t="str">
            <v>M&amp;Partners CO ., LTD (Suntsu Agent)</v>
          </cell>
          <cell r="H407" t="str">
            <v>Delivered</v>
          </cell>
          <cell r="I407" t="str">
            <v>OSC</v>
          </cell>
          <cell r="J407" t="str">
            <v>Fedex</v>
          </cell>
          <cell r="K407" t="str">
            <v>VVMV</v>
          </cell>
          <cell r="L407" t="str">
            <v>KR</v>
          </cell>
          <cell r="M407">
            <v>46055</v>
          </cell>
          <cell r="N407">
            <v>46058</v>
          </cell>
          <cell r="O407">
            <v>46059</v>
          </cell>
          <cell r="P407">
            <v>107959683530</v>
          </cell>
          <cell r="Q407">
            <v>46057</v>
          </cell>
          <cell r="R407" t="str">
            <v>No inspection</v>
          </cell>
          <cell r="S407">
            <v>1296</v>
          </cell>
          <cell r="T407" t="str">
            <v>CIF</v>
          </cell>
          <cell r="U407" t="str">
            <v>EF-</v>
          </cell>
        </row>
        <row r="408">
          <cell r="D408">
            <v>38</v>
          </cell>
          <cell r="F408">
            <v>483570642055</v>
          </cell>
          <cell r="G408" t="str">
            <v>UNIGEN CORPORATION</v>
          </cell>
          <cell r="H408" t="str">
            <v>Delivered</v>
          </cell>
          <cell r="I408" t="str">
            <v>IC , CAP, CON, RES, THE, IND</v>
          </cell>
          <cell r="J408" t="str">
            <v>Fedex</v>
          </cell>
          <cell r="K408" t="str">
            <v>VVMV</v>
          </cell>
          <cell r="L408" t="str">
            <v>US</v>
          </cell>
          <cell r="M408">
            <v>46052</v>
          </cell>
          <cell r="N408">
            <v>46058</v>
          </cell>
          <cell r="O408">
            <v>46058</v>
          </cell>
          <cell r="P408">
            <v>107958728950</v>
          </cell>
          <cell r="Q408">
            <v>46057</v>
          </cell>
          <cell r="R408" t="str">
            <v>No inspection</v>
          </cell>
          <cell r="S408">
            <v>79392.33</v>
          </cell>
          <cell r="T408" t="str">
            <v>CIF</v>
          </cell>
          <cell r="U408" t="str">
            <v>LUC</v>
          </cell>
        </row>
        <row r="409">
          <cell r="D409">
            <v>1.5</v>
          </cell>
          <cell r="F409">
            <v>409298906955</v>
          </cell>
          <cell r="G409" t="str">
            <v>TTI ELECTRONICS ASIA PTE LTD</v>
          </cell>
          <cell r="H409" t="str">
            <v>Delivered</v>
          </cell>
          <cell r="I409" t="str">
            <v>CAP,CA, FER</v>
          </cell>
          <cell r="J409" t="str">
            <v>Fedex</v>
          </cell>
          <cell r="K409" t="str">
            <v>VVMV</v>
          </cell>
          <cell r="L409" t="str">
            <v>SG</v>
          </cell>
          <cell r="M409">
            <v>46055</v>
          </cell>
          <cell r="N409">
            <v>46058</v>
          </cell>
          <cell r="O409">
            <v>46059</v>
          </cell>
          <cell r="P409">
            <v>107960043660</v>
          </cell>
          <cell r="Q409">
            <v>46057</v>
          </cell>
          <cell r="R409" t="str">
            <v>No inspection</v>
          </cell>
          <cell r="S409">
            <v>852.96</v>
          </cell>
          <cell r="T409" t="str">
            <v>EXW</v>
          </cell>
          <cell r="U409" t="str">
            <v>LUC</v>
          </cell>
        </row>
        <row r="410">
          <cell r="D410">
            <v>9</v>
          </cell>
          <cell r="F410">
            <v>480410613279</v>
          </cell>
          <cell r="G410" t="str">
            <v>MICRON SEMICONDUCTOR XIAN CO, LTD</v>
          </cell>
          <cell r="H410" t="str">
            <v>Delivered</v>
          </cell>
          <cell r="I410" t="str">
            <v>MEM</v>
          </cell>
          <cell r="J410" t="str">
            <v>Fedex</v>
          </cell>
          <cell r="K410" t="str">
            <v>VVMV</v>
          </cell>
          <cell r="L410" t="str">
            <v>CN</v>
          </cell>
          <cell r="M410">
            <v>46055</v>
          </cell>
          <cell r="N410">
            <v>46058</v>
          </cell>
          <cell r="O410">
            <v>46058</v>
          </cell>
          <cell r="P410">
            <v>107959198210</v>
          </cell>
          <cell r="Q410">
            <v>46057</v>
          </cell>
          <cell r="R410" t="str">
            <v>No inspection</v>
          </cell>
          <cell r="S410">
            <v>31420</v>
          </cell>
          <cell r="T410" t="str">
            <v>EXW</v>
          </cell>
          <cell r="U410" t="str">
            <v>PUR</v>
          </cell>
        </row>
        <row r="411">
          <cell r="D411">
            <v>43.5</v>
          </cell>
          <cell r="F411">
            <v>4110333412</v>
          </cell>
          <cell r="G411" t="str">
            <v>Avnet, Inc.</v>
          </cell>
          <cell r="H411" t="str">
            <v>Delivered</v>
          </cell>
          <cell r="I411" t="str">
            <v>CON</v>
          </cell>
          <cell r="J411" t="str">
            <v>Expeditors</v>
          </cell>
          <cell r="K411" t="str">
            <v>VVMV</v>
          </cell>
          <cell r="L411" t="str">
            <v>US</v>
          </cell>
          <cell r="M411">
            <v>46052</v>
          </cell>
          <cell r="N411">
            <v>46058</v>
          </cell>
          <cell r="O411">
            <v>46058</v>
          </cell>
          <cell r="P411">
            <v>107959999560</v>
          </cell>
          <cell r="Q411">
            <v>46057</v>
          </cell>
          <cell r="R411" t="str">
            <v>No inspection</v>
          </cell>
          <cell r="S411">
            <v>5185.2</v>
          </cell>
          <cell r="T411" t="str">
            <v>DAP</v>
          </cell>
          <cell r="U411" t="str">
            <v>LUC</v>
          </cell>
        </row>
        <row r="412">
          <cell r="D412">
            <v>35</v>
          </cell>
          <cell r="F412">
            <v>4110333414</v>
          </cell>
          <cell r="G412" t="str">
            <v>Avnet, Inc.</v>
          </cell>
          <cell r="H412" t="str">
            <v>Delivered</v>
          </cell>
          <cell r="I412" t="str">
            <v>CON</v>
          </cell>
          <cell r="J412" t="str">
            <v>Expeditors</v>
          </cell>
          <cell r="K412" t="str">
            <v>VVMV</v>
          </cell>
          <cell r="L412" t="str">
            <v>US</v>
          </cell>
          <cell r="M412">
            <v>46052</v>
          </cell>
          <cell r="N412">
            <v>46058</v>
          </cell>
          <cell r="O412">
            <v>46058</v>
          </cell>
          <cell r="P412">
            <v>107959763000</v>
          </cell>
          <cell r="Q412">
            <v>46057</v>
          </cell>
          <cell r="R412" t="str">
            <v>No inspection</v>
          </cell>
          <cell r="S412">
            <v>4251</v>
          </cell>
          <cell r="T412" t="str">
            <v>DAP</v>
          </cell>
          <cell r="U412" t="str">
            <v>LUC</v>
          </cell>
        </row>
        <row r="413">
          <cell r="D413">
            <v>20.5</v>
          </cell>
          <cell r="F413">
            <v>4110333467</v>
          </cell>
          <cell r="G413" t="str">
            <v>Avnet, Inc.</v>
          </cell>
          <cell r="H413" t="str">
            <v>Delivered</v>
          </cell>
          <cell r="I413" t="str">
            <v>CON</v>
          </cell>
          <cell r="J413" t="str">
            <v>Expeditors</v>
          </cell>
          <cell r="K413" t="str">
            <v>VVMV</v>
          </cell>
          <cell r="L413" t="str">
            <v>US</v>
          </cell>
          <cell r="M413">
            <v>46052</v>
          </cell>
          <cell r="N413">
            <v>46058</v>
          </cell>
          <cell r="O413">
            <v>46058</v>
          </cell>
          <cell r="P413">
            <v>107960184840</v>
          </cell>
          <cell r="Q413">
            <v>46057</v>
          </cell>
          <cell r="R413" t="str">
            <v>No inspection</v>
          </cell>
          <cell r="S413">
            <v>2476.89</v>
          </cell>
          <cell r="T413" t="str">
            <v>DAP</v>
          </cell>
          <cell r="U413" t="str">
            <v>LUC</v>
          </cell>
        </row>
        <row r="414">
          <cell r="D414">
            <v>292.39999999999998</v>
          </cell>
          <cell r="F414" t="str">
            <v>MNN/HPH/01052</v>
          </cell>
          <cell r="G414" t="str">
            <v>Readore MFG Phils Corp</v>
          </cell>
          <cell r="H414" t="str">
            <v>Delivered</v>
          </cell>
          <cell r="I414" t="str">
            <v>HEA</v>
          </cell>
          <cell r="J414" t="str">
            <v>Dolphin(sea)</v>
          </cell>
          <cell r="K414" t="str">
            <v>Dolphin</v>
          </cell>
          <cell r="L414" t="str">
            <v>PH</v>
          </cell>
          <cell r="M414">
            <v>46054</v>
          </cell>
          <cell r="N414">
            <v>46063</v>
          </cell>
          <cell r="O414">
            <v>46064</v>
          </cell>
          <cell r="P414">
            <v>107967215750</v>
          </cell>
          <cell r="Q414">
            <v>46062</v>
          </cell>
          <cell r="R414" t="str">
            <v>No inspection</v>
          </cell>
          <cell r="S414">
            <v>27908.57</v>
          </cell>
          <cell r="T414" t="str">
            <v>FOB</v>
          </cell>
          <cell r="U414" t="str">
            <v>PUR</v>
          </cell>
        </row>
        <row r="415">
          <cell r="D415">
            <v>2589.81</v>
          </cell>
          <cell r="F415" t="str">
            <v>HKHPG260206</v>
          </cell>
          <cell r="G415" t="str">
            <v>BIZLINK SPEEDY PTE. LTD.</v>
          </cell>
          <cell r="H415" t="str">
            <v>Delivered</v>
          </cell>
          <cell r="I415" t="str">
            <v>ASS, CAB</v>
          </cell>
          <cell r="J415" t="str">
            <v>VVMV(sea)</v>
          </cell>
          <cell r="K415" t="str">
            <v>VVMV</v>
          </cell>
          <cell r="L415" t="str">
            <v>HK</v>
          </cell>
          <cell r="M415">
            <v>46056</v>
          </cell>
          <cell r="N415">
            <v>46059</v>
          </cell>
          <cell r="O415">
            <v>46059</v>
          </cell>
          <cell r="P415">
            <v>107960286930</v>
          </cell>
          <cell r="Q415">
            <v>46057</v>
          </cell>
          <cell r="R415" t="str">
            <v>No inspection</v>
          </cell>
          <cell r="S415">
            <v>182808</v>
          </cell>
          <cell r="T415" t="str">
            <v>FCA</v>
          </cell>
          <cell r="U415" t="str">
            <v>LUC</v>
          </cell>
        </row>
        <row r="416">
          <cell r="D416">
            <v>250.06</v>
          </cell>
          <cell r="F416" t="str">
            <v>TXGHPHK26201</v>
          </cell>
          <cell r="G416" t="str">
            <v>UNIVERSAL GLOBAL SCIENTIFIC INDUST</v>
          </cell>
          <cell r="H416" t="str">
            <v>Delivered</v>
          </cell>
          <cell r="I416" t="str">
            <v>RES, CAP, IND, DIO, IC , TRA, LED</v>
          </cell>
          <cell r="J416" t="str">
            <v>Dolphin(sea)</v>
          </cell>
          <cell r="K416" t="str">
            <v>Dolphin</v>
          </cell>
          <cell r="L416" t="str">
            <v>TW</v>
          </cell>
          <cell r="M416">
            <v>46053</v>
          </cell>
          <cell r="N416">
            <v>46062</v>
          </cell>
          <cell r="O416">
            <v>46062</v>
          </cell>
          <cell r="P416">
            <v>107962952900</v>
          </cell>
          <cell r="Q416">
            <v>46058</v>
          </cell>
          <cell r="R416" t="str">
            <v>No inspection</v>
          </cell>
          <cell r="S416">
            <v>129681.37</v>
          </cell>
          <cell r="T416" t="str">
            <v>EXW</v>
          </cell>
          <cell r="U416" t="str">
            <v>LUC</v>
          </cell>
        </row>
        <row r="417">
          <cell r="D417">
            <v>6.2</v>
          </cell>
          <cell r="F417" t="str">
            <v>8XN2412</v>
          </cell>
          <cell r="G417" t="str">
            <v>KIOXIA CORPORATION C/O KIOXIA AMERICA INC</v>
          </cell>
          <cell r="H417" t="str">
            <v>Delivered</v>
          </cell>
          <cell r="I417" t="str">
            <v>MEM</v>
          </cell>
          <cell r="J417" t="str">
            <v>DHL( global)</v>
          </cell>
          <cell r="K417" t="str">
            <v>VVMV</v>
          </cell>
          <cell r="L417" t="str">
            <v>JP</v>
          </cell>
          <cell r="M417">
            <v>46057</v>
          </cell>
          <cell r="N417">
            <v>46062</v>
          </cell>
          <cell r="O417">
            <v>46062</v>
          </cell>
          <cell r="P417">
            <v>107967820000</v>
          </cell>
          <cell r="Q417">
            <v>46059</v>
          </cell>
          <cell r="R417" t="str">
            <v>No inspection</v>
          </cell>
          <cell r="S417">
            <v>187043.94</v>
          </cell>
          <cell r="T417" t="str">
            <v>DAP</v>
          </cell>
          <cell r="U417" t="str">
            <v>HLO</v>
          </cell>
        </row>
        <row r="418">
          <cell r="D418">
            <v>16.7</v>
          </cell>
          <cell r="F418" t="str">
            <v>8XN2413</v>
          </cell>
          <cell r="G418" t="str">
            <v>KIOXIA CORPORATION C/O KIOXIA AMERICA INC</v>
          </cell>
          <cell r="H418" t="str">
            <v>Delivered</v>
          </cell>
          <cell r="I418" t="str">
            <v>MEM</v>
          </cell>
          <cell r="J418" t="str">
            <v>DHL( global)</v>
          </cell>
          <cell r="K418" t="str">
            <v>VVMV</v>
          </cell>
          <cell r="L418" t="str">
            <v>JP</v>
          </cell>
          <cell r="M418">
            <v>46057</v>
          </cell>
          <cell r="N418">
            <v>46062</v>
          </cell>
          <cell r="O418">
            <v>46062</v>
          </cell>
          <cell r="P418">
            <v>107967831860</v>
          </cell>
          <cell r="Q418">
            <v>46059</v>
          </cell>
          <cell r="R418" t="str">
            <v>No inspection</v>
          </cell>
          <cell r="S418">
            <v>567783</v>
          </cell>
          <cell r="T418" t="str">
            <v>DAP</v>
          </cell>
          <cell r="U418" t="str">
            <v>PUR</v>
          </cell>
        </row>
        <row r="419">
          <cell r="D419">
            <v>37.799999999999997</v>
          </cell>
          <cell r="F419" t="str">
            <v>8XN2418</v>
          </cell>
          <cell r="G419" t="str">
            <v>KIOXIA CORPORATION C/O KIOXIA AMERICA INC</v>
          </cell>
          <cell r="H419" t="str">
            <v>Delivered</v>
          </cell>
          <cell r="I419" t="str">
            <v>MEM</v>
          </cell>
          <cell r="J419" t="str">
            <v>DHL( global)</v>
          </cell>
          <cell r="K419" t="str">
            <v>VVMV</v>
          </cell>
          <cell r="L419" t="str">
            <v>JP</v>
          </cell>
          <cell r="M419">
            <v>46058</v>
          </cell>
          <cell r="N419">
            <v>46063</v>
          </cell>
          <cell r="O419">
            <v>46063</v>
          </cell>
          <cell r="P419">
            <v>107974932110</v>
          </cell>
          <cell r="Q419">
            <v>46062</v>
          </cell>
          <cell r="R419" t="str">
            <v>No inspection</v>
          </cell>
          <cell r="S419">
            <v>1420895.16</v>
          </cell>
          <cell r="T419" t="str">
            <v>DAP</v>
          </cell>
          <cell r="U419" t="str">
            <v>HLO</v>
          </cell>
        </row>
        <row r="420">
          <cell r="D420">
            <v>52.5</v>
          </cell>
          <cell r="F420" t="str">
            <v>8XN2419</v>
          </cell>
          <cell r="G420" t="str">
            <v>KIOXIA CORPORATION C/O KIOXIA AMERICA INC</v>
          </cell>
          <cell r="H420" t="str">
            <v>Delivered</v>
          </cell>
          <cell r="I420" t="str">
            <v>MEM</v>
          </cell>
          <cell r="J420" t="str">
            <v>DHL( global)</v>
          </cell>
          <cell r="K420" t="str">
            <v>VVMV</v>
          </cell>
          <cell r="L420" t="str">
            <v>JP</v>
          </cell>
          <cell r="M420">
            <v>46058</v>
          </cell>
          <cell r="N420">
            <v>46063</v>
          </cell>
          <cell r="O420">
            <v>46063</v>
          </cell>
          <cell r="P420">
            <v>107975671860</v>
          </cell>
          <cell r="Q420">
            <v>46062</v>
          </cell>
          <cell r="R420" t="str">
            <v>No inspection</v>
          </cell>
          <cell r="S420">
            <v>1760648.4</v>
          </cell>
          <cell r="T420" t="str">
            <v>DAP</v>
          </cell>
          <cell r="U420" t="str">
            <v>HLO</v>
          </cell>
        </row>
        <row r="421">
          <cell r="D421">
            <v>18.2</v>
          </cell>
          <cell r="F421" t="str">
            <v>8XN2420</v>
          </cell>
          <cell r="G421" t="str">
            <v>KIOXIA CORPORATION C/O KIOXIA AMERICA INC</v>
          </cell>
          <cell r="H421" t="str">
            <v>Delivered</v>
          </cell>
          <cell r="I421" t="str">
            <v>MEM</v>
          </cell>
          <cell r="J421" t="str">
            <v>DHL( global)</v>
          </cell>
          <cell r="K421" t="str">
            <v>VVMV</v>
          </cell>
          <cell r="L421" t="str">
            <v>JP</v>
          </cell>
          <cell r="M421">
            <v>46058</v>
          </cell>
          <cell r="N421">
            <v>46063</v>
          </cell>
          <cell r="O421">
            <v>46063</v>
          </cell>
          <cell r="P421">
            <v>107975947550</v>
          </cell>
          <cell r="Q421">
            <v>46062</v>
          </cell>
          <cell r="R421" t="str">
            <v>No inspection</v>
          </cell>
          <cell r="S421">
            <v>285739.52000000002</v>
          </cell>
          <cell r="T421" t="str">
            <v>DAP</v>
          </cell>
          <cell r="U421" t="str">
            <v>PUR</v>
          </cell>
        </row>
        <row r="422">
          <cell r="D422">
            <v>14.6</v>
          </cell>
          <cell r="F422" t="str">
            <v>8XN2421</v>
          </cell>
          <cell r="G422" t="str">
            <v>KIOXIA CORPORATION C/O KIOXIA AMERICA INC</v>
          </cell>
          <cell r="H422" t="str">
            <v>Delivered</v>
          </cell>
          <cell r="I422" t="str">
            <v>MEM</v>
          </cell>
          <cell r="J422" t="str">
            <v>DHL( global)</v>
          </cell>
          <cell r="K422" t="str">
            <v>VVMV</v>
          </cell>
          <cell r="L422" t="str">
            <v>JP</v>
          </cell>
          <cell r="M422">
            <v>46058</v>
          </cell>
          <cell r="N422">
            <v>46063</v>
          </cell>
          <cell r="O422">
            <v>46063</v>
          </cell>
          <cell r="P422">
            <v>107975410650</v>
          </cell>
          <cell r="Q422">
            <v>46062</v>
          </cell>
          <cell r="R422" t="str">
            <v>No inspection</v>
          </cell>
          <cell r="S422">
            <v>533270.69999999995</v>
          </cell>
          <cell r="T422" t="str">
            <v>DAP</v>
          </cell>
          <cell r="U422" t="str">
            <v>PUR</v>
          </cell>
        </row>
        <row r="423">
          <cell r="D423">
            <v>21.9</v>
          </cell>
          <cell r="F423" t="str">
            <v>8XN2422</v>
          </cell>
          <cell r="G423" t="str">
            <v>KIOXIA CORPORATION C/O KIOXIA AMERICA INC</v>
          </cell>
          <cell r="H423" t="str">
            <v>Delivered</v>
          </cell>
          <cell r="I423" t="str">
            <v>MEM</v>
          </cell>
          <cell r="J423" t="str">
            <v>DHL( global)</v>
          </cell>
          <cell r="K423" t="str">
            <v>VVMV</v>
          </cell>
          <cell r="L423" t="str">
            <v>JP</v>
          </cell>
          <cell r="M423">
            <v>46058</v>
          </cell>
          <cell r="N423">
            <v>46063</v>
          </cell>
          <cell r="O423">
            <v>46063</v>
          </cell>
          <cell r="P423">
            <v>107975826600</v>
          </cell>
          <cell r="Q423">
            <v>46062</v>
          </cell>
          <cell r="R423" t="str">
            <v>No inspection</v>
          </cell>
          <cell r="S423">
            <v>801576</v>
          </cell>
          <cell r="T423" t="str">
            <v>DAP</v>
          </cell>
          <cell r="U423" t="str">
            <v>PUR</v>
          </cell>
        </row>
        <row r="424">
          <cell r="D424">
            <v>7.7</v>
          </cell>
          <cell r="F424" t="str">
            <v>8XN2423</v>
          </cell>
          <cell r="G424" t="str">
            <v>KIOXIA CORPORATION C/O KIOXIA AMERICA INC</v>
          </cell>
          <cell r="H424" t="str">
            <v>Delivered</v>
          </cell>
          <cell r="I424" t="str">
            <v>MEM</v>
          </cell>
          <cell r="J424" t="str">
            <v>DHL( global)</v>
          </cell>
          <cell r="K424" t="str">
            <v>VVMV</v>
          </cell>
          <cell r="L424" t="str">
            <v>JP</v>
          </cell>
          <cell r="M424">
            <v>46058</v>
          </cell>
          <cell r="N424">
            <v>46063</v>
          </cell>
          <cell r="O424">
            <v>46063</v>
          </cell>
          <cell r="P424">
            <v>107975945560</v>
          </cell>
          <cell r="Q424">
            <v>46062</v>
          </cell>
          <cell r="R424" t="str">
            <v>No inspection</v>
          </cell>
          <cell r="S424">
            <v>975844.8</v>
          </cell>
          <cell r="T424" t="str">
            <v>DAP</v>
          </cell>
          <cell r="U424" t="str">
            <v>PUR</v>
          </cell>
        </row>
        <row r="425">
          <cell r="D425">
            <v>7.7</v>
          </cell>
          <cell r="F425" t="str">
            <v>8XN2424</v>
          </cell>
          <cell r="G425" t="str">
            <v>KIOXIA CORPORATION C/O KIOXIA AMERICA INC</v>
          </cell>
          <cell r="H425" t="str">
            <v>Delivered</v>
          </cell>
          <cell r="I425" t="str">
            <v>MEM</v>
          </cell>
          <cell r="J425" t="str">
            <v>DHL( global)</v>
          </cell>
          <cell r="K425" t="str">
            <v>VVMV</v>
          </cell>
          <cell r="L425" t="str">
            <v>JP</v>
          </cell>
          <cell r="M425">
            <v>46058</v>
          </cell>
          <cell r="N425">
            <v>46063</v>
          </cell>
          <cell r="O425">
            <v>46063</v>
          </cell>
          <cell r="P425">
            <v>107975037810</v>
          </cell>
          <cell r="Q425">
            <v>46062</v>
          </cell>
          <cell r="R425" t="str">
            <v>No inspection</v>
          </cell>
          <cell r="S425">
            <v>975844.8</v>
          </cell>
          <cell r="T425" t="str">
            <v>DAP</v>
          </cell>
          <cell r="U425" t="str">
            <v>PUR</v>
          </cell>
        </row>
        <row r="426">
          <cell r="D426">
            <v>7.7</v>
          </cell>
          <cell r="F426" t="str">
            <v>8XN2425</v>
          </cell>
          <cell r="G426" t="str">
            <v>KIOXIA CORPORATION C/O KIOXIA AMERICA INC</v>
          </cell>
          <cell r="H426" t="str">
            <v>Delivered</v>
          </cell>
          <cell r="I426" t="str">
            <v>MEM</v>
          </cell>
          <cell r="J426" t="str">
            <v>DHL( global)</v>
          </cell>
          <cell r="K426" t="str">
            <v>VVMV</v>
          </cell>
          <cell r="L426" t="str">
            <v>JP</v>
          </cell>
          <cell r="M426">
            <v>46058</v>
          </cell>
          <cell r="N426">
            <v>46063</v>
          </cell>
          <cell r="O426">
            <v>46063</v>
          </cell>
          <cell r="P426">
            <v>107975031030</v>
          </cell>
          <cell r="Q426">
            <v>46062</v>
          </cell>
          <cell r="R426" t="str">
            <v>No inspection</v>
          </cell>
          <cell r="S426">
            <v>975844.8</v>
          </cell>
          <cell r="T426" t="str">
            <v>DAP</v>
          </cell>
          <cell r="U426" t="str">
            <v>PUR</v>
          </cell>
        </row>
        <row r="427">
          <cell r="D427">
            <v>7.7</v>
          </cell>
          <cell r="F427" t="str">
            <v>8XN2426</v>
          </cell>
          <cell r="G427" t="str">
            <v>KIOXIA CORPORATION C/O KIOXIA AMERICA INC</v>
          </cell>
          <cell r="H427" t="str">
            <v>Delivered</v>
          </cell>
          <cell r="I427" t="str">
            <v>MEM</v>
          </cell>
          <cell r="J427" t="str">
            <v>DHL( global)</v>
          </cell>
          <cell r="K427" t="str">
            <v>VVMV</v>
          </cell>
          <cell r="L427" t="str">
            <v>JP</v>
          </cell>
          <cell r="M427">
            <v>46058</v>
          </cell>
          <cell r="N427">
            <v>46063</v>
          </cell>
          <cell r="O427">
            <v>46063</v>
          </cell>
          <cell r="P427">
            <v>107976025730</v>
          </cell>
          <cell r="Q427">
            <v>46062</v>
          </cell>
          <cell r="R427" t="str">
            <v>No inspection</v>
          </cell>
          <cell r="S427">
            <v>975844.8</v>
          </cell>
          <cell r="T427" t="str">
            <v>DAP</v>
          </cell>
          <cell r="U427" t="str">
            <v>PUR</v>
          </cell>
        </row>
        <row r="428">
          <cell r="D428">
            <v>7.8</v>
          </cell>
          <cell r="F428" t="str">
            <v>8XN2427</v>
          </cell>
          <cell r="G428" t="str">
            <v>KIOXIA CORPORATION C/O KIOXIA AMERICA INC</v>
          </cell>
          <cell r="H428" t="str">
            <v>Delivered</v>
          </cell>
          <cell r="I428" t="str">
            <v>MEM</v>
          </cell>
          <cell r="J428" t="str">
            <v>DHL( global)</v>
          </cell>
          <cell r="K428" t="str">
            <v>VVMV</v>
          </cell>
          <cell r="L428" t="str">
            <v>JP</v>
          </cell>
          <cell r="M428">
            <v>46058</v>
          </cell>
          <cell r="N428">
            <v>46063</v>
          </cell>
          <cell r="O428">
            <v>46063</v>
          </cell>
          <cell r="P428">
            <v>107975912700</v>
          </cell>
          <cell r="Q428">
            <v>46062</v>
          </cell>
          <cell r="R428" t="str">
            <v>No inspection</v>
          </cell>
          <cell r="S428">
            <v>975844.8</v>
          </cell>
          <cell r="T428" t="str">
            <v>DAP</v>
          </cell>
          <cell r="U428" t="str">
            <v>PUR</v>
          </cell>
        </row>
        <row r="429">
          <cell r="D429">
            <v>1.8</v>
          </cell>
          <cell r="F429" t="str">
            <v>8XN2428</v>
          </cell>
          <cell r="G429" t="str">
            <v>KIOXIA CORPORATION C/O KIOXIA AMERICA INC</v>
          </cell>
          <cell r="H429" t="str">
            <v>Delivered</v>
          </cell>
          <cell r="I429" t="str">
            <v>MEM</v>
          </cell>
          <cell r="J429" t="str">
            <v>DHL( global)</v>
          </cell>
          <cell r="K429" t="str">
            <v>VVMV</v>
          </cell>
          <cell r="L429" t="str">
            <v>JP</v>
          </cell>
          <cell r="M429">
            <v>46058</v>
          </cell>
          <cell r="N429">
            <v>46063</v>
          </cell>
          <cell r="O429">
            <v>46063</v>
          </cell>
          <cell r="P429">
            <v>107975823100</v>
          </cell>
          <cell r="Q429">
            <v>46062</v>
          </cell>
          <cell r="R429" t="str">
            <v>No inspection</v>
          </cell>
          <cell r="S429">
            <v>84256.97</v>
          </cell>
          <cell r="T429" t="str">
            <v>DAP</v>
          </cell>
          <cell r="U429" t="str">
            <v>PUR</v>
          </cell>
        </row>
        <row r="430">
          <cell r="D430">
            <v>170.5</v>
          </cell>
          <cell r="F430">
            <v>500070678059</v>
          </cell>
          <cell r="G430" t="str">
            <v>TE CONNECTIVITY</v>
          </cell>
          <cell r="H430" t="str">
            <v>Delivered</v>
          </cell>
          <cell r="I430" t="str">
            <v>CON</v>
          </cell>
          <cell r="J430" t="str">
            <v>Fedex</v>
          </cell>
          <cell r="K430" t="str">
            <v>VVMV</v>
          </cell>
          <cell r="L430" t="str">
            <v>US</v>
          </cell>
          <cell r="M430">
            <v>46045</v>
          </cell>
          <cell r="N430">
            <v>46059</v>
          </cell>
          <cell r="O430">
            <v>46059</v>
          </cell>
          <cell r="P430">
            <v>107963798020</v>
          </cell>
          <cell r="Q430">
            <v>46058</v>
          </cell>
          <cell r="R430" t="str">
            <v>No inspection</v>
          </cell>
          <cell r="S430">
            <v>8883</v>
          </cell>
          <cell r="T430" t="str">
            <v>CIF</v>
          </cell>
          <cell r="U430" t="str">
            <v>LUC</v>
          </cell>
        </row>
        <row r="431">
          <cell r="D431">
            <v>116.5</v>
          </cell>
          <cell r="F431">
            <v>461596508990</v>
          </cell>
          <cell r="G431" t="str">
            <v>A&amp;E RISING TECHNOLOGIES LTD</v>
          </cell>
          <cell r="H431" t="str">
            <v>Delivered</v>
          </cell>
          <cell r="I431" t="str">
            <v>PCB</v>
          </cell>
          <cell r="J431" t="str">
            <v>Fedex</v>
          </cell>
          <cell r="K431" t="str">
            <v>VVMV</v>
          </cell>
          <cell r="L431" t="str">
            <v>HK</v>
          </cell>
          <cell r="M431">
            <v>46056</v>
          </cell>
          <cell r="N431">
            <v>46059</v>
          </cell>
          <cell r="O431">
            <v>46062</v>
          </cell>
          <cell r="P431">
            <v>107964285920</v>
          </cell>
          <cell r="Q431">
            <v>46058</v>
          </cell>
          <cell r="R431" t="str">
            <v>No inspection</v>
          </cell>
          <cell r="S431">
            <v>11752.6</v>
          </cell>
          <cell r="T431" t="str">
            <v>EXW</v>
          </cell>
          <cell r="U431" t="str">
            <v>EF-</v>
          </cell>
        </row>
        <row r="432">
          <cell r="D432">
            <v>10.5</v>
          </cell>
          <cell r="F432">
            <v>499553445787</v>
          </cell>
          <cell r="G432" t="str">
            <v>PENCOM LTD</v>
          </cell>
          <cell r="H432" t="str">
            <v>Delivered</v>
          </cell>
          <cell r="I432" t="str">
            <v>SCR</v>
          </cell>
          <cell r="J432" t="str">
            <v>Fedex</v>
          </cell>
          <cell r="K432" t="str">
            <v>VVMV</v>
          </cell>
          <cell r="L432" t="str">
            <v>HK</v>
          </cell>
          <cell r="M432">
            <v>46056</v>
          </cell>
          <cell r="N432">
            <v>46059</v>
          </cell>
          <cell r="O432">
            <v>46062</v>
          </cell>
          <cell r="P432">
            <v>107964189910</v>
          </cell>
          <cell r="Q432">
            <v>46058</v>
          </cell>
          <cell r="R432" t="str">
            <v>No inspection</v>
          </cell>
          <cell r="S432">
            <v>340</v>
          </cell>
          <cell r="T432" t="str">
            <v>EXW</v>
          </cell>
          <cell r="U432" t="str">
            <v>PUR</v>
          </cell>
        </row>
        <row r="433">
          <cell r="D433">
            <v>2</v>
          </cell>
          <cell r="F433">
            <v>417969485655</v>
          </cell>
          <cell r="G433" t="str">
            <v>ASE ELECTRONICS (M) SDN BHD</v>
          </cell>
          <cell r="H433" t="str">
            <v>Delivered</v>
          </cell>
          <cell r="I433" t="str">
            <v>PCI</v>
          </cell>
          <cell r="J433" t="str">
            <v>Fedex</v>
          </cell>
          <cell r="K433" t="str">
            <v>VVMV</v>
          </cell>
          <cell r="L433" t="str">
            <v>MY</v>
          </cell>
          <cell r="M433">
            <v>46056</v>
          </cell>
          <cell r="N433">
            <v>46059</v>
          </cell>
          <cell r="O433">
            <v>46059</v>
          </cell>
          <cell r="P433">
            <v>107962697400</v>
          </cell>
          <cell r="Q433">
            <v>46058</v>
          </cell>
          <cell r="R433" t="str">
            <v>No inspection</v>
          </cell>
          <cell r="S433">
            <v>3684.8</v>
          </cell>
          <cell r="T433" t="str">
            <v>CIF</v>
          </cell>
          <cell r="U433" t="str">
            <v>EF-</v>
          </cell>
        </row>
        <row r="434">
          <cell r="D434">
            <v>4.5</v>
          </cell>
          <cell r="F434">
            <v>511560874677</v>
          </cell>
          <cell r="G434" t="str">
            <v>ARROW ELECTRONICS, INC.</v>
          </cell>
          <cell r="H434" t="str">
            <v>Delivered</v>
          </cell>
          <cell r="I434" t="str">
            <v>IC , CAP</v>
          </cell>
          <cell r="J434" t="str">
            <v>Fedex</v>
          </cell>
          <cell r="K434" t="str">
            <v>VVMV</v>
          </cell>
          <cell r="L434" t="str">
            <v>US</v>
          </cell>
          <cell r="M434">
            <v>46055</v>
          </cell>
          <cell r="N434">
            <v>46059</v>
          </cell>
          <cell r="O434">
            <v>46059</v>
          </cell>
          <cell r="P434">
            <v>107963119020</v>
          </cell>
          <cell r="Q434">
            <v>46058</v>
          </cell>
          <cell r="R434" t="str">
            <v>No inspection</v>
          </cell>
          <cell r="S434">
            <v>7027.28</v>
          </cell>
          <cell r="T434" t="str">
            <v>CIF</v>
          </cell>
          <cell r="U434" t="str">
            <v>LUC</v>
          </cell>
        </row>
        <row r="435">
          <cell r="D435">
            <v>2</v>
          </cell>
          <cell r="F435">
            <v>888464048544</v>
          </cell>
          <cell r="G435" t="str">
            <v>WHITE HORSE LABORATORIES LTD</v>
          </cell>
          <cell r="H435" t="str">
            <v>Delivered</v>
          </cell>
          <cell r="I435" t="str">
            <v xml:space="preserve">IC </v>
          </cell>
          <cell r="J435" t="str">
            <v>Fedex</v>
          </cell>
          <cell r="K435" t="str">
            <v>VVMV</v>
          </cell>
          <cell r="L435" t="str">
            <v>HK</v>
          </cell>
          <cell r="M435">
            <v>46057</v>
          </cell>
          <cell r="N435">
            <v>46064</v>
          </cell>
          <cell r="O435">
            <v>46064</v>
          </cell>
          <cell r="P435">
            <v>107977030010</v>
          </cell>
          <cell r="Q435">
            <v>46063</v>
          </cell>
          <cell r="R435" t="str">
            <v>No inspection</v>
          </cell>
          <cell r="S435">
            <v>20664</v>
          </cell>
          <cell r="T435" t="str">
            <v>CIF</v>
          </cell>
          <cell r="U435" t="str">
            <v>EF-</v>
          </cell>
        </row>
        <row r="436">
          <cell r="D436">
            <v>1</v>
          </cell>
          <cell r="F436">
            <v>888430498688</v>
          </cell>
          <cell r="G436" t="str">
            <v>VITAL SYSTEM TECHNOLOGY PTE LTD</v>
          </cell>
          <cell r="H436" t="str">
            <v>Delivered</v>
          </cell>
          <cell r="I436" t="str">
            <v>RES, CAP</v>
          </cell>
          <cell r="J436" t="str">
            <v>Fedex</v>
          </cell>
          <cell r="K436" t="str">
            <v>VVMV</v>
          </cell>
          <cell r="L436" t="str">
            <v>SG</v>
          </cell>
          <cell r="M436">
            <v>46056</v>
          </cell>
          <cell r="N436">
            <v>46059</v>
          </cell>
          <cell r="O436">
            <v>46062</v>
          </cell>
          <cell r="P436">
            <v>107963915400</v>
          </cell>
          <cell r="Q436">
            <v>46058</v>
          </cell>
          <cell r="R436" t="str">
            <v>No inspection</v>
          </cell>
          <cell r="S436">
            <v>234</v>
          </cell>
          <cell r="T436" t="str">
            <v>EXW</v>
          </cell>
          <cell r="U436" t="str">
            <v>PUR</v>
          </cell>
        </row>
        <row r="437">
          <cell r="D437">
            <v>0.5</v>
          </cell>
          <cell r="F437">
            <v>511907353355</v>
          </cell>
          <cell r="G437" t="str">
            <v>DIGI-KEY ELECTRONICS</v>
          </cell>
          <cell r="H437" t="str">
            <v>Delivered</v>
          </cell>
          <cell r="I437" t="str">
            <v>CAP</v>
          </cell>
          <cell r="J437" t="str">
            <v>Fedex</v>
          </cell>
          <cell r="K437" t="str">
            <v>VVMV</v>
          </cell>
          <cell r="L437" t="str">
            <v>US</v>
          </cell>
          <cell r="M437">
            <v>46055</v>
          </cell>
          <cell r="N437">
            <v>46059</v>
          </cell>
          <cell r="O437">
            <v>46062</v>
          </cell>
          <cell r="P437">
            <v>107964098650</v>
          </cell>
          <cell r="Q437">
            <v>46058</v>
          </cell>
          <cell r="R437" t="str">
            <v>No inspection</v>
          </cell>
          <cell r="S437">
            <v>4.5999999999999996</v>
          </cell>
          <cell r="T437" t="str">
            <v>CIF</v>
          </cell>
          <cell r="U437" t="str">
            <v>PUR</v>
          </cell>
        </row>
        <row r="438">
          <cell r="D438">
            <v>0.5</v>
          </cell>
          <cell r="F438">
            <v>511907356766</v>
          </cell>
          <cell r="G438" t="str">
            <v>DIGI-KEY ELECTRONICS</v>
          </cell>
          <cell r="H438" t="str">
            <v>Delivered</v>
          </cell>
          <cell r="I438" t="str">
            <v>DIO, 	TR</v>
          </cell>
          <cell r="J438" t="str">
            <v>Fedex</v>
          </cell>
          <cell r="K438" t="str">
            <v>VVMV</v>
          </cell>
          <cell r="L438" t="str">
            <v>US</v>
          </cell>
          <cell r="M438">
            <v>46055</v>
          </cell>
          <cell r="N438">
            <v>46059</v>
          </cell>
          <cell r="O438">
            <v>46059</v>
          </cell>
          <cell r="P438">
            <v>107964124920</v>
          </cell>
          <cell r="Q438">
            <v>46058</v>
          </cell>
          <cell r="R438" t="str">
            <v>No inspection</v>
          </cell>
          <cell r="S438">
            <v>152.38</v>
          </cell>
          <cell r="T438" t="str">
            <v>CIF</v>
          </cell>
          <cell r="U438" t="str">
            <v>LUC</v>
          </cell>
        </row>
        <row r="439">
          <cell r="D439">
            <v>6</v>
          </cell>
          <cell r="F439">
            <v>888389416150</v>
          </cell>
          <cell r="G439" t="str">
            <v>RACER TECHNOLOGY PTE, LTD</v>
          </cell>
          <cell r="H439" t="str">
            <v>Delivered</v>
          </cell>
          <cell r="I439" t="str">
            <v>ASM</v>
          </cell>
          <cell r="J439" t="str">
            <v>Fedex</v>
          </cell>
          <cell r="K439" t="str">
            <v>VVMV</v>
          </cell>
          <cell r="L439" t="str">
            <v>SG</v>
          </cell>
          <cell r="M439">
            <v>46056</v>
          </cell>
          <cell r="N439">
            <v>46059</v>
          </cell>
          <cell r="O439">
            <v>46062</v>
          </cell>
          <cell r="P439">
            <v>107963947710</v>
          </cell>
          <cell r="Q439">
            <v>46058</v>
          </cell>
          <cell r="R439" t="str">
            <v>No inspection</v>
          </cell>
          <cell r="S439">
            <v>2923</v>
          </cell>
          <cell r="T439" t="str">
            <v>EXW</v>
          </cell>
          <cell r="U439" t="str">
            <v>EF-</v>
          </cell>
        </row>
        <row r="440">
          <cell r="D440">
            <v>1</v>
          </cell>
          <cell r="F440">
            <v>888388874950</v>
          </cell>
          <cell r="G440" t="str">
            <v>EVER-STAR DATA ENTERPRISES CO</v>
          </cell>
          <cell r="H440" t="str">
            <v>Delivered</v>
          </cell>
          <cell r="I440" t="str">
            <v>TRA</v>
          </cell>
          <cell r="J440" t="str">
            <v>Fedex</v>
          </cell>
          <cell r="K440" t="str">
            <v>VVMV</v>
          </cell>
          <cell r="L440" t="str">
            <v>TW</v>
          </cell>
          <cell r="M440">
            <v>46055</v>
          </cell>
          <cell r="N440">
            <v>46059</v>
          </cell>
          <cell r="O440">
            <v>46059</v>
          </cell>
          <cell r="P440">
            <v>107963454320</v>
          </cell>
          <cell r="Q440">
            <v>46058</v>
          </cell>
          <cell r="R440" t="str">
            <v>No inspection</v>
          </cell>
          <cell r="S440">
            <v>105</v>
          </cell>
          <cell r="T440" t="str">
            <v>EXW</v>
          </cell>
          <cell r="U440" t="str">
            <v>AIC</v>
          </cell>
        </row>
        <row r="441">
          <cell r="D441">
            <v>23.5</v>
          </cell>
          <cell r="F441">
            <v>510007298677</v>
          </cell>
          <cell r="G441" t="str">
            <v>SINO FAITH TECHNOLOGY  DVPT LTD</v>
          </cell>
          <cell r="H441" t="str">
            <v>Delivered</v>
          </cell>
          <cell r="I441" t="str">
            <v>RES, CAP</v>
          </cell>
          <cell r="J441" t="str">
            <v>Fedex</v>
          </cell>
          <cell r="K441" t="str">
            <v>VVMV</v>
          </cell>
          <cell r="L441" t="str">
            <v>HK</v>
          </cell>
          <cell r="M441">
            <v>46056</v>
          </cell>
          <cell r="N441">
            <v>46059</v>
          </cell>
          <cell r="O441">
            <v>46062</v>
          </cell>
          <cell r="P441">
            <v>107963807340</v>
          </cell>
          <cell r="Q441">
            <v>46058</v>
          </cell>
          <cell r="R441" t="str">
            <v>No inspection</v>
          </cell>
          <cell r="S441">
            <v>3322.2</v>
          </cell>
          <cell r="T441" t="str">
            <v>EXW</v>
          </cell>
          <cell r="U441" t="str">
            <v>EF-</v>
          </cell>
        </row>
        <row r="442">
          <cell r="D442">
            <v>7</v>
          </cell>
          <cell r="F442">
            <v>471797723267</v>
          </cell>
          <cell r="G442" t="str">
            <v>LIPERS ENTERPRISE CO., LTD.</v>
          </cell>
          <cell r="H442" t="str">
            <v>Delivered</v>
          </cell>
          <cell r="I442" t="str">
            <v>CAP, RES</v>
          </cell>
          <cell r="J442" t="str">
            <v>Fedex</v>
          </cell>
          <cell r="K442" t="str">
            <v>VVMV</v>
          </cell>
          <cell r="L442" t="str">
            <v>TW</v>
          </cell>
          <cell r="M442">
            <v>46055</v>
          </cell>
          <cell r="N442">
            <v>46059</v>
          </cell>
          <cell r="O442">
            <v>46062</v>
          </cell>
          <cell r="P442">
            <v>107963526640</v>
          </cell>
          <cell r="Q442">
            <v>46058</v>
          </cell>
          <cell r="R442" t="str">
            <v>No inspection</v>
          </cell>
          <cell r="S442">
            <v>1454.42</v>
          </cell>
          <cell r="T442" t="str">
            <v>EXW</v>
          </cell>
          <cell r="U442" t="str">
            <v>PUR</v>
          </cell>
        </row>
        <row r="443">
          <cell r="D443">
            <v>1</v>
          </cell>
          <cell r="F443">
            <v>469369309982</v>
          </cell>
          <cell r="G443" t="str">
            <v>TXC CORPORATION</v>
          </cell>
          <cell r="H443" t="str">
            <v>Delivered</v>
          </cell>
          <cell r="I443" t="str">
            <v>CRY</v>
          </cell>
          <cell r="J443" t="str">
            <v>Fedex</v>
          </cell>
          <cell r="K443" t="str">
            <v>VVMV</v>
          </cell>
          <cell r="L443" t="str">
            <v>TW</v>
          </cell>
          <cell r="M443">
            <v>46055</v>
          </cell>
          <cell r="N443">
            <v>46059</v>
          </cell>
          <cell r="O443">
            <v>46062</v>
          </cell>
          <cell r="P443">
            <v>107963970220</v>
          </cell>
          <cell r="Q443">
            <v>46058</v>
          </cell>
          <cell r="R443" t="str">
            <v>No inspection</v>
          </cell>
          <cell r="S443">
            <v>270</v>
          </cell>
          <cell r="T443" t="str">
            <v>EXW</v>
          </cell>
          <cell r="U443" t="str">
            <v>EF-</v>
          </cell>
        </row>
        <row r="444">
          <cell r="D444">
            <v>52.5</v>
          </cell>
          <cell r="F444" t="str">
            <v>8XN2459</v>
          </cell>
          <cell r="G444" t="str">
            <v>KIOXIA CORPORATION C/O KIOXIA AMERICA INC</v>
          </cell>
          <cell r="H444" t="str">
            <v>Delivered</v>
          </cell>
          <cell r="I444" t="str">
            <v>MEM</v>
          </cell>
          <cell r="J444" t="str">
            <v>DHL( global)</v>
          </cell>
          <cell r="K444" t="str">
            <v>VVMV</v>
          </cell>
          <cell r="L444" t="str">
            <v>JP</v>
          </cell>
          <cell r="M444">
            <v>46060</v>
          </cell>
          <cell r="N444">
            <v>46063</v>
          </cell>
          <cell r="O444">
            <v>46063</v>
          </cell>
          <cell r="P444">
            <v>107975225040</v>
          </cell>
          <cell r="Q444">
            <v>46062</v>
          </cell>
          <cell r="R444" t="str">
            <v>No inspection</v>
          </cell>
          <cell r="S444">
            <v>1760648.4</v>
          </cell>
          <cell r="T444" t="str">
            <v>DAP</v>
          </cell>
          <cell r="U444" t="str">
            <v>HLO</v>
          </cell>
        </row>
        <row r="445">
          <cell r="D445">
            <v>52.5</v>
          </cell>
          <cell r="F445" t="str">
            <v>8XN2460</v>
          </cell>
          <cell r="G445" t="str">
            <v>KIOXIA CORPORATION C/O KIOXIA AMERICA INC</v>
          </cell>
          <cell r="H445" t="str">
            <v>Delivered</v>
          </cell>
          <cell r="I445" t="str">
            <v>MEM</v>
          </cell>
          <cell r="J445" t="str">
            <v>DHL( global)</v>
          </cell>
          <cell r="K445" t="str">
            <v>VVMV</v>
          </cell>
          <cell r="L445" t="str">
            <v>JP</v>
          </cell>
          <cell r="M445">
            <v>46060</v>
          </cell>
          <cell r="N445">
            <v>46063</v>
          </cell>
          <cell r="O445">
            <v>46063</v>
          </cell>
          <cell r="P445">
            <v>107975864730</v>
          </cell>
          <cell r="Q445">
            <v>46062</v>
          </cell>
          <cell r="R445" t="str">
            <v>No inspection</v>
          </cell>
          <cell r="S445">
            <v>1760648.4</v>
          </cell>
          <cell r="T445" t="str">
            <v>DAP</v>
          </cell>
          <cell r="U445" t="str">
            <v>HLO</v>
          </cell>
        </row>
        <row r="446">
          <cell r="D446">
            <v>52.5</v>
          </cell>
          <cell r="F446" t="str">
            <v>8XN2461</v>
          </cell>
          <cell r="G446" t="str">
            <v>KIOXIA CORPORATION C/O KIOXIA AMERICA INC</v>
          </cell>
          <cell r="H446" t="str">
            <v>Delivered</v>
          </cell>
          <cell r="I446" t="str">
            <v>MEM</v>
          </cell>
          <cell r="J446" t="str">
            <v>DHL( global)</v>
          </cell>
          <cell r="K446" t="str">
            <v>VVMV</v>
          </cell>
          <cell r="L446" t="str">
            <v>JP</v>
          </cell>
          <cell r="M446">
            <v>46060</v>
          </cell>
          <cell r="N446">
            <v>46063</v>
          </cell>
          <cell r="O446">
            <v>46063</v>
          </cell>
          <cell r="P446">
            <v>107975169410</v>
          </cell>
          <cell r="Q446">
            <v>46062</v>
          </cell>
          <cell r="R446" t="str">
            <v>No inspection</v>
          </cell>
          <cell r="S446">
            <v>1760648.4</v>
          </cell>
          <cell r="T446" t="str">
            <v>DAP</v>
          </cell>
          <cell r="U446" t="str">
            <v>HLO</v>
          </cell>
        </row>
        <row r="447">
          <cell r="D447">
            <v>32.200000000000003</v>
          </cell>
          <cell r="F447" t="str">
            <v>8XN2462</v>
          </cell>
          <cell r="G447" t="str">
            <v>KIOXIA CORPORATION C/O KIOXIA AMERICA INC</v>
          </cell>
          <cell r="H447" t="str">
            <v>Delivered</v>
          </cell>
          <cell r="I447" t="str">
            <v>MEM</v>
          </cell>
          <cell r="J447" t="str">
            <v>DHL( global)</v>
          </cell>
          <cell r="K447" t="str">
            <v>VVMV</v>
          </cell>
          <cell r="L447" t="str">
            <v>JP</v>
          </cell>
          <cell r="M447">
            <v>46060</v>
          </cell>
          <cell r="N447">
            <v>46063</v>
          </cell>
          <cell r="O447">
            <v>46064</v>
          </cell>
          <cell r="P447">
            <v>107975639001</v>
          </cell>
          <cell r="Q447">
            <v>46062</v>
          </cell>
          <cell r="R447" t="str">
            <v>Inspection</v>
          </cell>
          <cell r="S447">
            <v>1048005</v>
          </cell>
          <cell r="T447" t="str">
            <v>DAP</v>
          </cell>
          <cell r="U447" t="str">
            <v>HLO</v>
          </cell>
        </row>
        <row r="448">
          <cell r="D448">
            <v>27.9</v>
          </cell>
          <cell r="F448" t="str">
            <v>8XN2463</v>
          </cell>
          <cell r="G448" t="str">
            <v>KIOXIA CORPORATION C/O KIOXIA AMERICA INC</v>
          </cell>
          <cell r="H448" t="str">
            <v>Delivered</v>
          </cell>
          <cell r="I448" t="str">
            <v>MEM</v>
          </cell>
          <cell r="J448" t="str">
            <v>DHL( global)</v>
          </cell>
          <cell r="K448" t="str">
            <v>VVMV</v>
          </cell>
          <cell r="L448" t="str">
            <v>JP</v>
          </cell>
          <cell r="M448">
            <v>46060</v>
          </cell>
          <cell r="N448">
            <v>46063</v>
          </cell>
          <cell r="O448">
            <v>46063</v>
          </cell>
          <cell r="P448">
            <v>107975371230</v>
          </cell>
          <cell r="Q448">
            <v>46062</v>
          </cell>
          <cell r="R448" t="str">
            <v>No inspection</v>
          </cell>
          <cell r="S448">
            <v>456755.20000000001</v>
          </cell>
          <cell r="T448" t="str">
            <v>DAP</v>
          </cell>
          <cell r="U448" t="str">
            <v>PUR</v>
          </cell>
        </row>
        <row r="449">
          <cell r="D449">
            <v>1375.51</v>
          </cell>
          <cell r="F449" t="str">
            <v>HWHPH2600788</v>
          </cell>
          <cell r="G449" t="str">
            <v>SUZHOU PIN SHINE TECHNOLOGY CO</v>
          </cell>
          <cell r="H449" t="str">
            <v>Delivered</v>
          </cell>
          <cell r="I449" t="str">
            <v>CON</v>
          </cell>
          <cell r="J449" t="str">
            <v>VVMV(sea)</v>
          </cell>
          <cell r="K449" t="str">
            <v>VVMV</v>
          </cell>
          <cell r="L449" t="str">
            <v>CN</v>
          </cell>
          <cell r="M449">
            <v>46057</v>
          </cell>
          <cell r="N449">
            <v>46064</v>
          </cell>
          <cell r="O449">
            <v>46065</v>
          </cell>
          <cell r="P449">
            <v>107976287050</v>
          </cell>
          <cell r="Q449">
            <v>46062</v>
          </cell>
          <cell r="R449" t="str">
            <v>No inspection</v>
          </cell>
          <cell r="S449">
            <v>53856.6</v>
          </cell>
          <cell r="T449" t="str">
            <v>FCA</v>
          </cell>
          <cell r="U449" t="str">
            <v>LUC</v>
          </cell>
        </row>
        <row r="450">
          <cell r="D450">
            <v>15.5</v>
          </cell>
          <cell r="F450">
            <v>398363221460</v>
          </cell>
          <cell r="G450" t="str">
            <v>ROSENBERGER HOCHFREQUENZTECHNIK</v>
          </cell>
          <cell r="H450" t="str">
            <v>Delivered</v>
          </cell>
          <cell r="I450" t="str">
            <v>CON</v>
          </cell>
          <cell r="J450" t="str">
            <v>Fedex</v>
          </cell>
          <cell r="K450" t="str">
            <v>VVMV</v>
          </cell>
          <cell r="L450" t="str">
            <v>HU</v>
          </cell>
          <cell r="M450">
            <v>46056</v>
          </cell>
          <cell r="N450">
            <v>46065</v>
          </cell>
          <cell r="O450">
            <v>46066</v>
          </cell>
          <cell r="P450">
            <v>107983721160</v>
          </cell>
          <cell r="Q450">
            <v>46064</v>
          </cell>
          <cell r="R450" t="str">
            <v>No inspection</v>
          </cell>
          <cell r="S450">
            <v>1367.42</v>
          </cell>
          <cell r="T450" t="str">
            <v>CIF</v>
          </cell>
          <cell r="U450" t="str">
            <v>LUC</v>
          </cell>
        </row>
        <row r="451">
          <cell r="D451">
            <v>2</v>
          </cell>
          <cell r="F451">
            <v>398390607520</v>
          </cell>
          <cell r="G451" t="str">
            <v>DHL SUPPLY CHAIN MGMT PHILS INC
ON BEHALF OF ANALOG DEVICES INT</v>
          </cell>
          <cell r="H451" t="str">
            <v>Delivered</v>
          </cell>
          <cell r="I451" t="str">
            <v xml:space="preserve">IC </v>
          </cell>
          <cell r="J451" t="str">
            <v>Fedex</v>
          </cell>
          <cell r="K451" t="str">
            <v>VVMV</v>
          </cell>
          <cell r="L451" t="str">
            <v>PH</v>
          </cell>
          <cell r="M451">
            <v>46056</v>
          </cell>
          <cell r="N451">
            <v>46062</v>
          </cell>
          <cell r="O451">
            <v>46062</v>
          </cell>
          <cell r="P451">
            <v>107967389830</v>
          </cell>
          <cell r="Q451">
            <v>46059</v>
          </cell>
          <cell r="R451" t="str">
            <v>No inspection</v>
          </cell>
          <cell r="S451">
            <v>14350</v>
          </cell>
          <cell r="T451" t="str">
            <v>EXW</v>
          </cell>
          <cell r="U451" t="str">
            <v>PUR</v>
          </cell>
        </row>
        <row r="452">
          <cell r="D452">
            <v>11.5</v>
          </cell>
          <cell r="F452">
            <v>888426765832</v>
          </cell>
          <cell r="G452" t="str">
            <v>ACTON TECHNOLOGY PTE LTD</v>
          </cell>
          <cell r="H452" t="str">
            <v>Delivered</v>
          </cell>
          <cell r="I452" t="str">
            <v>ENC</v>
          </cell>
          <cell r="J452" t="str">
            <v>Fedex</v>
          </cell>
          <cell r="K452" t="str">
            <v>VVMV</v>
          </cell>
          <cell r="L452" t="str">
            <v>SG</v>
          </cell>
          <cell r="M452">
            <v>46057</v>
          </cell>
          <cell r="N452">
            <v>46062</v>
          </cell>
          <cell r="O452">
            <v>46062</v>
          </cell>
          <cell r="P452">
            <v>107967161520</v>
          </cell>
          <cell r="Q452">
            <v>46059</v>
          </cell>
          <cell r="R452" t="str">
            <v>No inspection</v>
          </cell>
          <cell r="S452">
            <v>7852</v>
          </cell>
          <cell r="T452" t="str">
            <v>EXW</v>
          </cell>
          <cell r="U452" t="str">
            <v>LUC</v>
          </cell>
        </row>
        <row r="453">
          <cell r="D453">
            <v>4</v>
          </cell>
          <cell r="F453">
            <v>419341614950</v>
          </cell>
          <cell r="G453" t="str">
            <v>VENKEL LTD</v>
          </cell>
          <cell r="H453" t="str">
            <v>Delivered</v>
          </cell>
          <cell r="I453" t="str">
            <v>CAP</v>
          </cell>
          <cell r="J453" t="str">
            <v>Fedex</v>
          </cell>
          <cell r="K453" t="str">
            <v>VVMV</v>
          </cell>
          <cell r="L453" t="str">
            <v>US</v>
          </cell>
          <cell r="M453">
            <v>46056</v>
          </cell>
          <cell r="N453">
            <v>46062</v>
          </cell>
          <cell r="O453">
            <v>46062</v>
          </cell>
          <cell r="P453">
            <v>107967681730</v>
          </cell>
          <cell r="Q453">
            <v>46059</v>
          </cell>
          <cell r="R453" t="str">
            <v>No inspection</v>
          </cell>
          <cell r="S453">
            <v>1797.9</v>
          </cell>
          <cell r="T453" t="str">
            <v>CIF</v>
          </cell>
          <cell r="U453" t="str">
            <v>EF-</v>
          </cell>
        </row>
        <row r="454">
          <cell r="D454">
            <v>3</v>
          </cell>
          <cell r="F454">
            <v>398399792549</v>
          </cell>
          <cell r="G454" t="str">
            <v>VELOCITY ELECTRONICS ASIA PTE LTD</v>
          </cell>
          <cell r="H454" t="str">
            <v>Delivered</v>
          </cell>
          <cell r="I454" t="str">
            <v xml:space="preserve">IC </v>
          </cell>
          <cell r="J454" t="str">
            <v>Fedex</v>
          </cell>
          <cell r="K454" t="str">
            <v>VVMV</v>
          </cell>
          <cell r="L454" t="str">
            <v>SG</v>
          </cell>
          <cell r="M454">
            <v>46057</v>
          </cell>
          <cell r="N454">
            <v>46062</v>
          </cell>
          <cell r="O454">
            <v>46062</v>
          </cell>
          <cell r="P454">
            <v>107967556100</v>
          </cell>
          <cell r="Q454">
            <v>46059</v>
          </cell>
          <cell r="R454" t="str">
            <v>No inspection</v>
          </cell>
          <cell r="S454">
            <v>12724.71</v>
          </cell>
          <cell r="T454" t="str">
            <v>CIF</v>
          </cell>
          <cell r="U454" t="str">
            <v>LUC</v>
          </cell>
        </row>
        <row r="455">
          <cell r="D455">
            <v>17</v>
          </cell>
          <cell r="F455">
            <v>481663282972</v>
          </cell>
          <cell r="G455" t="str">
            <v>AMPHENOL EAST ASIA LTD</v>
          </cell>
          <cell r="H455" t="str">
            <v>Delivered</v>
          </cell>
          <cell r="I455" t="str">
            <v>CON</v>
          </cell>
          <cell r="J455" t="str">
            <v>Fedex</v>
          </cell>
          <cell r="K455" t="str">
            <v>VVMV</v>
          </cell>
          <cell r="L455" t="str">
            <v>HK</v>
          </cell>
          <cell r="M455">
            <v>46057</v>
          </cell>
          <cell r="N455">
            <v>46062</v>
          </cell>
          <cell r="O455">
            <v>46062</v>
          </cell>
          <cell r="P455">
            <v>107968104160</v>
          </cell>
          <cell r="Q455">
            <v>46059</v>
          </cell>
          <cell r="R455" t="str">
            <v>No inspection</v>
          </cell>
          <cell r="S455">
            <v>7994.7</v>
          </cell>
          <cell r="T455" t="str">
            <v>EXW</v>
          </cell>
          <cell r="U455" t="str">
            <v>PUR</v>
          </cell>
        </row>
        <row r="456">
          <cell r="D456">
            <v>8.5</v>
          </cell>
          <cell r="F456">
            <v>511467474108</v>
          </cell>
          <cell r="G456" t="str">
            <v>MICROCHIP TECNOLOGY(TH) CO LTD</v>
          </cell>
          <cell r="H456" t="str">
            <v>Delivered</v>
          </cell>
          <cell r="I456" t="str">
            <v xml:space="preserve">IC </v>
          </cell>
          <cell r="J456" t="str">
            <v>Fedex</v>
          </cell>
          <cell r="K456" t="str">
            <v>VVMV</v>
          </cell>
          <cell r="L456" t="str">
            <v>TH</v>
          </cell>
          <cell r="M456">
            <v>46057</v>
          </cell>
          <cell r="N456">
            <v>46062</v>
          </cell>
          <cell r="O456">
            <v>46063</v>
          </cell>
          <cell r="P456">
            <v>107967279450</v>
          </cell>
          <cell r="Q456">
            <v>46059</v>
          </cell>
          <cell r="R456" t="str">
            <v>No inspection</v>
          </cell>
          <cell r="S456">
            <v>80272.72</v>
          </cell>
          <cell r="T456" t="str">
            <v>EXW</v>
          </cell>
          <cell r="U456" t="str">
            <v>PUR</v>
          </cell>
        </row>
        <row r="457">
          <cell r="D457">
            <v>1</v>
          </cell>
          <cell r="F457">
            <v>888469901391</v>
          </cell>
          <cell r="G457" t="str">
            <v>WT MICROELECTRONICS SPORE P/L</v>
          </cell>
          <cell r="H457" t="str">
            <v>Delivered</v>
          </cell>
          <cell r="I457" t="str">
            <v xml:space="preserve">IC </v>
          </cell>
          <cell r="J457" t="str">
            <v>Fedex</v>
          </cell>
          <cell r="K457" t="str">
            <v>VVMV</v>
          </cell>
          <cell r="L457" t="str">
            <v>SG</v>
          </cell>
          <cell r="M457">
            <v>46057</v>
          </cell>
          <cell r="N457">
            <v>46062</v>
          </cell>
          <cell r="O457">
            <v>46062</v>
          </cell>
          <cell r="P457">
            <v>107968203230</v>
          </cell>
          <cell r="Q457">
            <v>46059</v>
          </cell>
          <cell r="R457" t="str">
            <v>No inspection</v>
          </cell>
          <cell r="S457">
            <v>1856.25</v>
          </cell>
          <cell r="T457" t="str">
            <v>EXW</v>
          </cell>
          <cell r="U457" t="str">
            <v>AIC</v>
          </cell>
        </row>
        <row r="458">
          <cell r="D458">
            <v>4</v>
          </cell>
          <cell r="F458">
            <v>888333142135</v>
          </cell>
          <cell r="G458" t="str">
            <v>YUEN CHANG INTL CO., LTD</v>
          </cell>
          <cell r="H458" t="str">
            <v>Delivered</v>
          </cell>
          <cell r="I458" t="str">
            <v>WAT</v>
          </cell>
          <cell r="J458" t="str">
            <v>Fedex</v>
          </cell>
          <cell r="K458" t="str">
            <v>VVMV</v>
          </cell>
          <cell r="L458" t="str">
            <v>TW</v>
          </cell>
          <cell r="M458">
            <v>46056</v>
          </cell>
          <cell r="N458">
            <v>46062</v>
          </cell>
          <cell r="O458">
            <v>46062</v>
          </cell>
          <cell r="P458">
            <v>107967746130</v>
          </cell>
          <cell r="Q458">
            <v>46059</v>
          </cell>
          <cell r="R458" t="str">
            <v>No inspection</v>
          </cell>
          <cell r="S458">
            <v>2000</v>
          </cell>
          <cell r="T458" t="str">
            <v>EXW</v>
          </cell>
          <cell r="U458" t="str">
            <v>LUC</v>
          </cell>
        </row>
        <row r="459">
          <cell r="D459">
            <v>1.5</v>
          </cell>
          <cell r="F459">
            <v>398419690766</v>
          </cell>
          <cell r="G459" t="str">
            <v>O/B ANALOG DEVICES INTERNATIONAL UC
DHL SUPPLY CHAIN MANAGEMENT PHILS</v>
          </cell>
          <cell r="H459" t="str">
            <v>Delivered</v>
          </cell>
          <cell r="I459" t="str">
            <v xml:space="preserve">IC </v>
          </cell>
          <cell r="J459" t="str">
            <v>Fedex</v>
          </cell>
          <cell r="K459" t="str">
            <v>VVMV</v>
          </cell>
          <cell r="L459" t="str">
            <v>PH</v>
          </cell>
          <cell r="M459">
            <v>46057</v>
          </cell>
          <cell r="N459">
            <v>46062</v>
          </cell>
          <cell r="O459">
            <v>46062</v>
          </cell>
          <cell r="P459">
            <v>107968032430</v>
          </cell>
          <cell r="Q459">
            <v>46059</v>
          </cell>
          <cell r="R459" t="str">
            <v>No inspection</v>
          </cell>
          <cell r="S459">
            <v>14350</v>
          </cell>
          <cell r="T459" t="str">
            <v>EXW</v>
          </cell>
          <cell r="U459" t="str">
            <v>PUR</v>
          </cell>
        </row>
        <row r="460">
          <cell r="D460">
            <v>0.6</v>
          </cell>
          <cell r="F460">
            <v>4319185161</v>
          </cell>
          <cell r="G460" t="str">
            <v>AVNET - CHANDLER</v>
          </cell>
          <cell r="H460" t="str">
            <v>Delivered</v>
          </cell>
          <cell r="I460" t="str">
            <v>CAP</v>
          </cell>
          <cell r="J460" t="str">
            <v>DHL</v>
          </cell>
          <cell r="K460" t="str">
            <v>VVMV</v>
          </cell>
          <cell r="L460" t="str">
            <v>US</v>
          </cell>
          <cell r="M460">
            <v>46057</v>
          </cell>
          <cell r="N460">
            <v>46063</v>
          </cell>
          <cell r="O460">
            <v>46063</v>
          </cell>
          <cell r="P460">
            <v>107972911800</v>
          </cell>
          <cell r="Q460">
            <v>46062</v>
          </cell>
          <cell r="R460" t="str">
            <v>No inspection</v>
          </cell>
          <cell r="S460">
            <v>188.8</v>
          </cell>
          <cell r="T460" t="str">
            <v>CIF</v>
          </cell>
          <cell r="U460" t="str">
            <v>LUC</v>
          </cell>
        </row>
        <row r="461">
          <cell r="D461">
            <v>0.3</v>
          </cell>
          <cell r="F461">
            <v>4319184800</v>
          </cell>
          <cell r="G461" t="str">
            <v>AVNET - CHANDLER</v>
          </cell>
          <cell r="H461" t="str">
            <v>Delivered</v>
          </cell>
          <cell r="I461" t="str">
            <v>CAP</v>
          </cell>
          <cell r="J461" t="str">
            <v>DHL</v>
          </cell>
          <cell r="K461" t="str">
            <v>VVMV</v>
          </cell>
          <cell r="L461" t="str">
            <v>US</v>
          </cell>
          <cell r="M461">
            <v>46057</v>
          </cell>
          <cell r="N461">
            <v>46063</v>
          </cell>
          <cell r="O461">
            <v>46062</v>
          </cell>
          <cell r="P461">
            <v>107972218430</v>
          </cell>
          <cell r="Q461">
            <v>46062</v>
          </cell>
          <cell r="R461" t="str">
            <v>No inspection</v>
          </cell>
          <cell r="S461">
            <v>188.8</v>
          </cell>
          <cell r="T461" t="str">
            <v>CIF</v>
          </cell>
          <cell r="U461" t="str">
            <v>LUC</v>
          </cell>
        </row>
        <row r="462">
          <cell r="D462">
            <v>80</v>
          </cell>
          <cell r="F462">
            <v>4110333593</v>
          </cell>
          <cell r="G462" t="str">
            <v>Avnet, Inc.</v>
          </cell>
          <cell r="H462" t="str">
            <v>Delivered</v>
          </cell>
          <cell r="I462" t="str">
            <v>CON</v>
          </cell>
          <cell r="J462" t="str">
            <v>Expeditors</v>
          </cell>
          <cell r="K462" t="str">
            <v>VVMV</v>
          </cell>
          <cell r="L462" t="str">
            <v>US</v>
          </cell>
          <cell r="M462">
            <v>46055</v>
          </cell>
          <cell r="N462">
            <v>46062</v>
          </cell>
          <cell r="O462">
            <v>46063</v>
          </cell>
          <cell r="P462">
            <v>107968177220</v>
          </cell>
          <cell r="Q462">
            <v>46059</v>
          </cell>
          <cell r="R462" t="str">
            <v>No inspection</v>
          </cell>
          <cell r="S462">
            <v>2419.1999999999998</v>
          </cell>
          <cell r="T462" t="str">
            <v>DAP</v>
          </cell>
          <cell r="U462" t="str">
            <v>LUC</v>
          </cell>
        </row>
        <row r="463">
          <cell r="D463">
            <v>7.1</v>
          </cell>
          <cell r="F463">
            <v>3098717963</v>
          </cell>
          <cell r="G463" t="str">
            <v>TTI INC</v>
          </cell>
          <cell r="H463" t="str">
            <v>Delivered</v>
          </cell>
          <cell r="I463" t="str">
            <v>TRA, CAP, CON, RES</v>
          </cell>
          <cell r="J463" t="str">
            <v>DHL</v>
          </cell>
          <cell r="K463" t="str">
            <v>VVMV</v>
          </cell>
          <cell r="L463" t="str">
            <v>US</v>
          </cell>
          <cell r="M463">
            <v>46057</v>
          </cell>
          <cell r="N463">
            <v>46063</v>
          </cell>
          <cell r="O463">
            <v>46063</v>
          </cell>
          <cell r="P463">
            <v>107973923520</v>
          </cell>
          <cell r="Q463">
            <v>46062</v>
          </cell>
          <cell r="R463" t="str">
            <v>No inspection</v>
          </cell>
          <cell r="S463">
            <v>2069.84</v>
          </cell>
          <cell r="T463" t="str">
            <v>CIF</v>
          </cell>
          <cell r="U463" t="str">
            <v>LUC</v>
          </cell>
        </row>
        <row r="464">
          <cell r="D464">
            <v>2080</v>
          </cell>
          <cell r="F464" t="str">
            <v>LSHHPH2600488</v>
          </cell>
          <cell r="G464" t="str">
            <v>YANCHENG CHARLES POWER TECHNOLOGY GROUP CO., LTD</v>
          </cell>
          <cell r="H464" t="str">
            <v>Delivered</v>
          </cell>
          <cell r="I464" t="str">
            <v>VCU, BCM, GRA</v>
          </cell>
          <cell r="J464" t="str">
            <v>Dolphin(sea)</v>
          </cell>
          <cell r="K464" t="str">
            <v>Dolphin</v>
          </cell>
          <cell r="L464" t="str">
            <v>CN</v>
          </cell>
          <cell r="M464">
            <v>46055</v>
          </cell>
          <cell r="N464">
            <v>46063</v>
          </cell>
          <cell r="O464">
            <v>46064</v>
          </cell>
          <cell r="P464">
            <v>107968638960</v>
          </cell>
          <cell r="Q464">
            <v>46062</v>
          </cell>
          <cell r="R464" t="str">
            <v>No inspection</v>
          </cell>
          <cell r="S464">
            <v>40284</v>
          </cell>
          <cell r="T464" t="str">
            <v>FOB</v>
          </cell>
          <cell r="U464" t="str">
            <v>LUC</v>
          </cell>
        </row>
        <row r="465">
          <cell r="D465">
            <v>5</v>
          </cell>
          <cell r="F465">
            <v>888465794343</v>
          </cell>
          <cell r="G465" t="str">
            <v>UNIGEN TECHNOLOGY SDN BHD</v>
          </cell>
          <cell r="H465" t="str">
            <v>Delivered</v>
          </cell>
          <cell r="I465" t="str">
            <v>UDI, RDI, SOD</v>
          </cell>
          <cell r="J465" t="str">
            <v>Fedex</v>
          </cell>
          <cell r="K465" t="str">
            <v>VVMV</v>
          </cell>
          <cell r="L465" t="str">
            <v>MY</v>
          </cell>
          <cell r="M465">
            <v>46057</v>
          </cell>
          <cell r="N465">
            <v>46063</v>
          </cell>
          <cell r="O465">
            <v>46063</v>
          </cell>
          <cell r="P465">
            <v>107973299010</v>
          </cell>
          <cell r="Q465">
            <v>46062</v>
          </cell>
          <cell r="R465" t="str">
            <v>No inspection</v>
          </cell>
          <cell r="S465">
            <v>780</v>
          </cell>
          <cell r="T465" t="str">
            <v>CIF</v>
          </cell>
          <cell r="U465" t="str">
            <v>U20</v>
          </cell>
        </row>
        <row r="466">
          <cell r="D466">
            <v>1487.52</v>
          </cell>
          <cell r="F466" t="str">
            <v>BHJSH0091089B</v>
          </cell>
          <cell r="G466" t="str">
            <v>Kunshan Eson Precision Engineering Co.,Ltd.</v>
          </cell>
          <cell r="H466" t="str">
            <v>Delivered</v>
          </cell>
          <cell r="I466" t="str">
            <v>TOP</v>
          </cell>
          <cell r="J466" t="str">
            <v>Dolphin(sea)</v>
          </cell>
          <cell r="K466" t="str">
            <v>Dolphin</v>
          </cell>
          <cell r="L466" t="str">
            <v>CN</v>
          </cell>
          <cell r="M466">
            <v>46057</v>
          </cell>
          <cell r="N466">
            <v>46065</v>
          </cell>
          <cell r="O466">
            <v>46065</v>
          </cell>
          <cell r="P466">
            <v>107978154210</v>
          </cell>
          <cell r="Q466">
            <v>46063</v>
          </cell>
          <cell r="R466" t="str">
            <v>No inspection</v>
          </cell>
          <cell r="S466">
            <v>37692</v>
          </cell>
          <cell r="T466" t="str">
            <v>EXW</v>
          </cell>
          <cell r="U466" t="str">
            <v>LUC</v>
          </cell>
        </row>
        <row r="467">
          <cell r="D467">
            <v>1.3</v>
          </cell>
          <cell r="F467" t="str">
            <v>1Z75A9570473359154</v>
          </cell>
          <cell r="G467" t="str">
            <v>BV ARROW ELECTRONICS</v>
          </cell>
          <cell r="H467" t="str">
            <v>Delivered</v>
          </cell>
          <cell r="I467" t="str">
            <v>CON</v>
          </cell>
          <cell r="J467" t="str">
            <v>UPS</v>
          </cell>
          <cell r="K467" t="str">
            <v>VVMV</v>
          </cell>
          <cell r="L467" t="str">
            <v>DE</v>
          </cell>
          <cell r="M467">
            <v>46057</v>
          </cell>
          <cell r="N467">
            <v>46064</v>
          </cell>
          <cell r="O467">
            <v>46066</v>
          </cell>
          <cell r="P467">
            <v>107976708010</v>
          </cell>
          <cell r="Q467">
            <v>46063</v>
          </cell>
          <cell r="R467" t="str">
            <v>No inspection</v>
          </cell>
          <cell r="S467">
            <v>128.99</v>
          </cell>
          <cell r="T467" t="str">
            <v>CIF</v>
          </cell>
          <cell r="U467" t="str">
            <v>LUC</v>
          </cell>
        </row>
        <row r="468">
          <cell r="D468">
            <v>195</v>
          </cell>
          <cell r="F468">
            <v>4319186060</v>
          </cell>
          <cell r="G468" t="str">
            <v>AVNET - CHANDLER</v>
          </cell>
          <cell r="H468" t="str">
            <v>Delivered</v>
          </cell>
          <cell r="I468" t="str">
            <v>DIO, IC , RES, CON, CAP, TRA, IND</v>
          </cell>
          <cell r="J468" t="str">
            <v>DHL</v>
          </cell>
          <cell r="K468" t="str">
            <v>VVMV</v>
          </cell>
          <cell r="L468" t="str">
            <v>US</v>
          </cell>
          <cell r="M468">
            <v>46058</v>
          </cell>
          <cell r="N468">
            <v>46063</v>
          </cell>
          <cell r="O468">
            <v>46063</v>
          </cell>
          <cell r="P468" t="str">
            <v>107973121910  107973178720</v>
          </cell>
          <cell r="Q468">
            <v>46062</v>
          </cell>
          <cell r="R468" t="str">
            <v>No inspection</v>
          </cell>
          <cell r="S468">
            <v>194623.28</v>
          </cell>
          <cell r="T468" t="str">
            <v>CIF</v>
          </cell>
          <cell r="U468" t="str">
            <v>LUC</v>
          </cell>
        </row>
        <row r="469">
          <cell r="D469">
            <v>41</v>
          </cell>
          <cell r="F469">
            <v>4110333468</v>
          </cell>
          <cell r="G469" t="str">
            <v>Avnet, Inc.</v>
          </cell>
          <cell r="H469" t="str">
            <v>Delivered</v>
          </cell>
          <cell r="I469" t="str">
            <v>CON</v>
          </cell>
          <cell r="J469" t="str">
            <v>Expeditors</v>
          </cell>
          <cell r="K469" t="str">
            <v>VVMV</v>
          </cell>
          <cell r="L469" t="str">
            <v>US</v>
          </cell>
          <cell r="M469">
            <v>46055</v>
          </cell>
          <cell r="N469">
            <v>46063</v>
          </cell>
          <cell r="O469">
            <v>46063</v>
          </cell>
          <cell r="P469">
            <v>107976082210</v>
          </cell>
          <cell r="Q469">
            <v>46062</v>
          </cell>
          <cell r="R469" t="str">
            <v>No inspection</v>
          </cell>
          <cell r="S469">
            <v>8120</v>
          </cell>
          <cell r="T469" t="str">
            <v>DAP</v>
          </cell>
          <cell r="U469" t="str">
            <v>LUC</v>
          </cell>
        </row>
        <row r="470">
          <cell r="D470">
            <v>41</v>
          </cell>
          <cell r="F470">
            <v>4110333469</v>
          </cell>
          <cell r="G470" t="str">
            <v>Avnet, Inc.</v>
          </cell>
          <cell r="H470" t="str">
            <v>Delivered</v>
          </cell>
          <cell r="I470" t="str">
            <v>CON</v>
          </cell>
          <cell r="J470" t="str">
            <v>Expeditors</v>
          </cell>
          <cell r="K470" t="str">
            <v>VVMV</v>
          </cell>
          <cell r="L470" t="str">
            <v>US</v>
          </cell>
          <cell r="M470">
            <v>46055</v>
          </cell>
          <cell r="N470">
            <v>46063</v>
          </cell>
          <cell r="O470">
            <v>46063</v>
          </cell>
          <cell r="P470">
            <v>107976024810</v>
          </cell>
          <cell r="Q470">
            <v>46062</v>
          </cell>
          <cell r="R470" t="str">
            <v>No inspection</v>
          </cell>
          <cell r="S470">
            <v>8120</v>
          </cell>
          <cell r="T470" t="str">
            <v>DAP</v>
          </cell>
          <cell r="U470" t="str">
            <v>LUC</v>
          </cell>
        </row>
        <row r="471">
          <cell r="D471">
            <v>50</v>
          </cell>
          <cell r="F471">
            <v>4110333470</v>
          </cell>
          <cell r="G471" t="str">
            <v>Avnet, Inc.</v>
          </cell>
          <cell r="H471" t="str">
            <v>Delivered</v>
          </cell>
          <cell r="I471" t="str">
            <v>CON</v>
          </cell>
          <cell r="J471" t="str">
            <v>Expeditors</v>
          </cell>
          <cell r="K471" t="str">
            <v>VVMV</v>
          </cell>
          <cell r="L471" t="str">
            <v>US</v>
          </cell>
          <cell r="M471">
            <v>46055</v>
          </cell>
          <cell r="N471">
            <v>46063</v>
          </cell>
          <cell r="O471">
            <v>46063</v>
          </cell>
          <cell r="P471">
            <v>107976027830</v>
          </cell>
          <cell r="Q471">
            <v>46062</v>
          </cell>
          <cell r="R471" t="str">
            <v>No inspection</v>
          </cell>
          <cell r="S471">
            <v>11646.4</v>
          </cell>
          <cell r="T471" t="str">
            <v>DAP</v>
          </cell>
          <cell r="U471" t="str">
            <v>LUC</v>
          </cell>
        </row>
        <row r="472">
          <cell r="D472">
            <v>28</v>
          </cell>
          <cell r="F472">
            <v>4110333622</v>
          </cell>
          <cell r="G472" t="str">
            <v>Avnet, Inc.</v>
          </cell>
          <cell r="H472" t="str">
            <v>Delivered</v>
          </cell>
          <cell r="I472" t="str">
            <v>CON</v>
          </cell>
          <cell r="J472" t="str">
            <v>Expeditors</v>
          </cell>
          <cell r="K472" t="str">
            <v>VVMV</v>
          </cell>
          <cell r="L472" t="str">
            <v>US</v>
          </cell>
          <cell r="M472">
            <v>46056</v>
          </cell>
          <cell r="N472">
            <v>46063</v>
          </cell>
          <cell r="O472">
            <v>46063</v>
          </cell>
          <cell r="P472">
            <v>107976003550</v>
          </cell>
          <cell r="Q472">
            <v>46062</v>
          </cell>
          <cell r="R472" t="str">
            <v>No inspection</v>
          </cell>
          <cell r="S472">
            <v>4406.3999999999996</v>
          </cell>
          <cell r="T472" t="str">
            <v>DAP</v>
          </cell>
          <cell r="U472" t="str">
            <v>LUC</v>
          </cell>
        </row>
        <row r="473">
          <cell r="D473">
            <v>2</v>
          </cell>
          <cell r="F473">
            <v>4110333623</v>
          </cell>
          <cell r="G473" t="str">
            <v>Avnet, Inc.</v>
          </cell>
          <cell r="H473" t="str">
            <v>Delivered</v>
          </cell>
          <cell r="I473" t="str">
            <v>CON</v>
          </cell>
          <cell r="J473" t="str">
            <v>Expeditors</v>
          </cell>
          <cell r="K473" t="str">
            <v>VVMV</v>
          </cell>
          <cell r="L473" t="str">
            <v>US</v>
          </cell>
          <cell r="M473">
            <v>46056</v>
          </cell>
          <cell r="N473">
            <v>46063</v>
          </cell>
          <cell r="O473">
            <v>46063</v>
          </cell>
          <cell r="P473">
            <v>107976149630</v>
          </cell>
          <cell r="Q473">
            <v>46062</v>
          </cell>
          <cell r="R473" t="str">
            <v>No inspection</v>
          </cell>
          <cell r="S473">
            <v>52.92</v>
          </cell>
          <cell r="T473" t="str">
            <v>DAP</v>
          </cell>
          <cell r="U473" t="str">
            <v>LUC</v>
          </cell>
        </row>
        <row r="474">
          <cell r="D474">
            <v>7</v>
          </cell>
          <cell r="F474">
            <v>4110333624</v>
          </cell>
          <cell r="G474" t="str">
            <v>Avnet, Inc.</v>
          </cell>
          <cell r="H474" t="str">
            <v>Delivered</v>
          </cell>
          <cell r="I474" t="str">
            <v>CON</v>
          </cell>
          <cell r="J474" t="str">
            <v>Expeditors</v>
          </cell>
          <cell r="K474" t="str">
            <v>VVMV</v>
          </cell>
          <cell r="L474" t="str">
            <v>US</v>
          </cell>
          <cell r="M474">
            <v>46056</v>
          </cell>
          <cell r="N474">
            <v>46063</v>
          </cell>
          <cell r="O474">
            <v>46063</v>
          </cell>
          <cell r="P474">
            <v>107976335500</v>
          </cell>
          <cell r="Q474">
            <v>46062</v>
          </cell>
          <cell r="R474" t="str">
            <v>No inspection</v>
          </cell>
          <cell r="S474">
            <v>1101.5999999999999</v>
          </cell>
          <cell r="T474" t="str">
            <v>DAP</v>
          </cell>
          <cell r="U474" t="str">
            <v>LUC</v>
          </cell>
        </row>
        <row r="475">
          <cell r="D475">
            <v>7</v>
          </cell>
          <cell r="F475">
            <v>4110333625</v>
          </cell>
          <cell r="G475" t="str">
            <v>Avnet, Inc.</v>
          </cell>
          <cell r="H475" t="str">
            <v>Delivered</v>
          </cell>
          <cell r="I475" t="str">
            <v>CON</v>
          </cell>
          <cell r="J475" t="str">
            <v>Expeditors</v>
          </cell>
          <cell r="K475" t="str">
            <v>VVMV</v>
          </cell>
          <cell r="L475" t="str">
            <v>US</v>
          </cell>
          <cell r="M475">
            <v>46056</v>
          </cell>
          <cell r="N475">
            <v>46063</v>
          </cell>
          <cell r="O475">
            <v>46063</v>
          </cell>
          <cell r="P475">
            <v>107976332220</v>
          </cell>
          <cell r="Q475">
            <v>46062</v>
          </cell>
          <cell r="R475" t="str">
            <v>No inspection</v>
          </cell>
          <cell r="S475">
            <v>1101.5999999999999</v>
          </cell>
          <cell r="T475" t="str">
            <v>DAP</v>
          </cell>
          <cell r="U475" t="str">
            <v>LUC</v>
          </cell>
        </row>
        <row r="476">
          <cell r="D476">
            <v>83</v>
          </cell>
          <cell r="F476">
            <v>4110333658</v>
          </cell>
          <cell r="G476" t="str">
            <v>Avnet, Inc.</v>
          </cell>
          <cell r="H476" t="str">
            <v>Delivered</v>
          </cell>
          <cell r="I476" t="str">
            <v>CON</v>
          </cell>
          <cell r="J476" t="str">
            <v>Expeditors</v>
          </cell>
          <cell r="K476" t="str">
            <v>VVMV</v>
          </cell>
          <cell r="L476" t="str">
            <v>US</v>
          </cell>
          <cell r="M476">
            <v>46057</v>
          </cell>
          <cell r="N476">
            <v>46063</v>
          </cell>
          <cell r="O476">
            <v>46063</v>
          </cell>
          <cell r="P476">
            <v>107976051040</v>
          </cell>
          <cell r="Q476">
            <v>46062</v>
          </cell>
          <cell r="R476" t="str">
            <v>No inspection</v>
          </cell>
          <cell r="S476">
            <v>2290.6799999999998</v>
          </cell>
          <cell r="T476" t="str">
            <v>DAP</v>
          </cell>
          <cell r="U476" t="str">
            <v>LUC</v>
          </cell>
        </row>
        <row r="477">
          <cell r="D477">
            <v>44.5</v>
          </cell>
          <cell r="F477">
            <v>480410700867</v>
          </cell>
          <cell r="G477" t="str">
            <v>Micron Memory Malaysia Sdn. Bh</v>
          </cell>
          <cell r="H477" t="str">
            <v>Delivered</v>
          </cell>
          <cell r="I477" t="str">
            <v>MEM</v>
          </cell>
          <cell r="J477" t="str">
            <v>Fedex</v>
          </cell>
          <cell r="K477" t="str">
            <v>VVMV</v>
          </cell>
          <cell r="L477" t="str">
            <v>MY</v>
          </cell>
          <cell r="M477">
            <v>45694</v>
          </cell>
          <cell r="N477">
            <v>46064</v>
          </cell>
          <cell r="O477">
            <v>46064</v>
          </cell>
          <cell r="P477">
            <v>107976896160</v>
          </cell>
          <cell r="Q477">
            <v>46063</v>
          </cell>
          <cell r="R477" t="str">
            <v>No inspection</v>
          </cell>
          <cell r="S477">
            <v>3194800</v>
          </cell>
          <cell r="T477" t="str">
            <v>CIF</v>
          </cell>
          <cell r="U477" t="str">
            <v>PUR</v>
          </cell>
        </row>
        <row r="478">
          <cell r="D478">
            <v>28.5</v>
          </cell>
          <cell r="F478">
            <v>494686561491</v>
          </cell>
          <cell r="G478" t="str">
            <v>DONGGUANG COFAN ELECTRONIC TECHNOLO</v>
          </cell>
          <cell r="H478" t="str">
            <v>Delivered</v>
          </cell>
          <cell r="I478" t="str">
            <v>HEA</v>
          </cell>
          <cell r="J478" t="str">
            <v>Fedex</v>
          </cell>
          <cell r="K478" t="str">
            <v>VVMV</v>
          </cell>
          <cell r="L478" t="str">
            <v>CN</v>
          </cell>
          <cell r="M478">
            <v>46058</v>
          </cell>
          <cell r="N478">
            <v>46064</v>
          </cell>
          <cell r="O478">
            <v>46064</v>
          </cell>
          <cell r="P478">
            <v>107977145620</v>
          </cell>
          <cell r="Q478">
            <v>46063</v>
          </cell>
          <cell r="R478" t="str">
            <v>No inspection</v>
          </cell>
          <cell r="S478">
            <v>2272</v>
          </cell>
          <cell r="T478" t="str">
            <v>EXW</v>
          </cell>
          <cell r="U478" t="str">
            <v>EF-</v>
          </cell>
        </row>
        <row r="479">
          <cell r="D479">
            <v>136</v>
          </cell>
          <cell r="F479">
            <v>4720764103</v>
          </cell>
          <cell r="G479" t="str">
            <v>BOSSARD (M) SDN BHD</v>
          </cell>
          <cell r="H479" t="str">
            <v>Delivered</v>
          </cell>
          <cell r="I479" t="str">
            <v>SCR</v>
          </cell>
          <cell r="J479" t="str">
            <v>Expeditors</v>
          </cell>
          <cell r="K479" t="str">
            <v>VVMV</v>
          </cell>
          <cell r="L479" t="str">
            <v>MY</v>
          </cell>
          <cell r="M479">
            <v>46060</v>
          </cell>
          <cell r="N479">
            <v>46063</v>
          </cell>
          <cell r="O479">
            <v>46063</v>
          </cell>
          <cell r="P479">
            <v>107977253530</v>
          </cell>
          <cell r="Q479">
            <v>46063</v>
          </cell>
          <cell r="R479" t="str">
            <v>No inspection</v>
          </cell>
          <cell r="S479">
            <v>27500</v>
          </cell>
          <cell r="T479" t="str">
            <v>EXW</v>
          </cell>
          <cell r="U479" t="str">
            <v>LUC</v>
          </cell>
        </row>
        <row r="480">
          <cell r="D480">
            <v>4</v>
          </cell>
          <cell r="F480">
            <v>5973649765</v>
          </cell>
          <cell r="G480" t="str">
            <v>FUTURE ELECTRONICS (ADC)</v>
          </cell>
          <cell r="H480" t="str">
            <v>Delivered</v>
          </cell>
          <cell r="I480" t="str">
            <v>LED</v>
          </cell>
          <cell r="J480" t="str">
            <v>DHL</v>
          </cell>
          <cell r="K480" t="str">
            <v>VVMV</v>
          </cell>
          <cell r="L480" t="str">
            <v>SG</v>
          </cell>
          <cell r="M480">
            <v>46059</v>
          </cell>
          <cell r="N480">
            <v>46064</v>
          </cell>
          <cell r="O480">
            <v>46064</v>
          </cell>
          <cell r="P480">
            <v>107979872120</v>
          </cell>
          <cell r="Q480">
            <v>46063</v>
          </cell>
          <cell r="R480" t="str">
            <v>No inspection</v>
          </cell>
          <cell r="S480">
            <v>1220</v>
          </cell>
          <cell r="T480" t="str">
            <v>CIF</v>
          </cell>
          <cell r="U480" t="str">
            <v>PUR</v>
          </cell>
        </row>
        <row r="481">
          <cell r="D481">
            <v>1125</v>
          </cell>
          <cell r="F481" t="str">
            <v>01PEN0380356</v>
          </cell>
          <cell r="G481" t="str">
            <v>CORAZA SYSTEMS MALAYSIA SDNBHD</v>
          </cell>
          <cell r="H481" t="str">
            <v>Delivered</v>
          </cell>
          <cell r="I481" t="str">
            <v>(PL</v>
          </cell>
          <cell r="J481" t="str">
            <v>VVMV(sea)</v>
          </cell>
          <cell r="K481" t="str">
            <v>VVMV</v>
          </cell>
          <cell r="L481" t="str">
            <v>MY</v>
          </cell>
          <cell r="M481">
            <v>46050</v>
          </cell>
          <cell r="N481">
            <v>46065</v>
          </cell>
          <cell r="O481">
            <v>46065</v>
          </cell>
          <cell r="P481">
            <v>107979587810</v>
          </cell>
          <cell r="Q481">
            <v>46063</v>
          </cell>
          <cell r="R481" t="str">
            <v>No inspection</v>
          </cell>
          <cell r="S481">
            <v>11367.68</v>
          </cell>
          <cell r="T481" t="str">
            <v>EXW</v>
          </cell>
          <cell r="U481" t="str">
            <v>PUR</v>
          </cell>
        </row>
        <row r="482">
          <cell r="D482">
            <v>48.5</v>
          </cell>
          <cell r="F482">
            <v>888461635015</v>
          </cell>
          <cell r="G482" t="str">
            <v>COMPEQ MANUFACTURING CO., LTD</v>
          </cell>
          <cell r="H482" t="str">
            <v>Delivered</v>
          </cell>
          <cell r="I482" t="str">
            <v>PCB</v>
          </cell>
          <cell r="J482" t="str">
            <v>Fedex</v>
          </cell>
          <cell r="K482" t="str">
            <v>VVMV</v>
          </cell>
          <cell r="L482" t="str">
            <v>TW</v>
          </cell>
          <cell r="M482">
            <v>46057</v>
          </cell>
          <cell r="N482">
            <v>46064</v>
          </cell>
          <cell r="O482">
            <v>46065</v>
          </cell>
          <cell r="P482">
            <v>107979806650</v>
          </cell>
          <cell r="Q482">
            <v>46063</v>
          </cell>
          <cell r="R482" t="str">
            <v>No inspection</v>
          </cell>
          <cell r="S482">
            <v>4656</v>
          </cell>
          <cell r="T482" t="str">
            <v>EXW</v>
          </cell>
          <cell r="U482" t="str">
            <v>PUR</v>
          </cell>
        </row>
        <row r="483">
          <cell r="D483">
            <v>18.5</v>
          </cell>
          <cell r="F483">
            <v>888469710438</v>
          </cell>
          <cell r="G483" t="str">
            <v>WT MICROELECTRONICS (S) PTE LTD</v>
          </cell>
          <cell r="H483" t="str">
            <v>Delivered</v>
          </cell>
          <cell r="I483" t="str">
            <v>IC , CAP, RES</v>
          </cell>
          <cell r="J483" t="str">
            <v>Fedex</v>
          </cell>
          <cell r="K483" t="str">
            <v>VVMV</v>
          </cell>
          <cell r="L483" t="str">
            <v>SG</v>
          </cell>
          <cell r="M483">
            <v>46057</v>
          </cell>
          <cell r="N483">
            <v>46065</v>
          </cell>
          <cell r="O483">
            <v>46065</v>
          </cell>
          <cell r="P483">
            <v>107981068160</v>
          </cell>
          <cell r="Q483">
            <v>46064</v>
          </cell>
          <cell r="R483" t="str">
            <v>No inspection</v>
          </cell>
          <cell r="S483">
            <v>1629.8</v>
          </cell>
          <cell r="T483" t="str">
            <v>EXW</v>
          </cell>
          <cell r="U483" t="str">
            <v>HLO</v>
          </cell>
        </row>
        <row r="484">
          <cell r="D484">
            <v>6.5</v>
          </cell>
          <cell r="F484">
            <v>398443806777</v>
          </cell>
          <cell r="G484" t="str">
            <v>O/B ANALOG DEVICES INTERNATIONAL UC
DHL SUPPLY CHAIN MGMT PHILS INC</v>
          </cell>
          <cell r="H484" t="str">
            <v>Delivered</v>
          </cell>
          <cell r="I484" t="str">
            <v xml:space="preserve">IC </v>
          </cell>
          <cell r="J484" t="str">
            <v>Fedex</v>
          </cell>
          <cell r="K484" t="str">
            <v>VVMV</v>
          </cell>
          <cell r="L484" t="str">
            <v>PH</v>
          </cell>
          <cell r="M484">
            <v>46058</v>
          </cell>
          <cell r="N484">
            <v>46064</v>
          </cell>
          <cell r="O484">
            <v>46064</v>
          </cell>
          <cell r="P484">
            <v>107979535200</v>
          </cell>
          <cell r="Q484">
            <v>46063</v>
          </cell>
          <cell r="R484" t="str">
            <v>No inspection</v>
          </cell>
          <cell r="S484">
            <v>60100</v>
          </cell>
          <cell r="T484" t="str">
            <v>EXW</v>
          </cell>
          <cell r="U484" t="str">
            <v>PUR</v>
          </cell>
        </row>
        <row r="485">
          <cell r="D485">
            <v>3</v>
          </cell>
          <cell r="F485">
            <v>398480521821</v>
          </cell>
          <cell r="G485" t="str">
            <v>O/B ANALOG DEVICES INTERNATIONAL UC
DHL SUPPLY CHAIN MANAGEMENT PHILS</v>
          </cell>
          <cell r="H485" t="str">
            <v>Delivered</v>
          </cell>
          <cell r="I485" t="str">
            <v xml:space="preserve">IC </v>
          </cell>
          <cell r="J485" t="str">
            <v>Fedex</v>
          </cell>
          <cell r="K485" t="str">
            <v>VVMV</v>
          </cell>
          <cell r="L485" t="str">
            <v>PH</v>
          </cell>
          <cell r="M485">
            <v>46061</v>
          </cell>
          <cell r="N485">
            <v>46064</v>
          </cell>
          <cell r="O485">
            <v>46065</v>
          </cell>
          <cell r="P485">
            <v>107978744200</v>
          </cell>
          <cell r="Q485">
            <v>46063</v>
          </cell>
          <cell r="R485" t="str">
            <v>No inspection</v>
          </cell>
          <cell r="S485">
            <v>28700</v>
          </cell>
          <cell r="T485" t="str">
            <v>EXW</v>
          </cell>
          <cell r="U485" t="str">
            <v>PUR</v>
          </cell>
        </row>
        <row r="486">
          <cell r="D486">
            <v>1.5</v>
          </cell>
          <cell r="F486">
            <v>398516564038</v>
          </cell>
          <cell r="G486" t="str">
            <v>C/O DHL Supply Chain Mgnt Phils                                                                                            Analog Devices Gen. Trias, Inc.</v>
          </cell>
          <cell r="H486" t="str">
            <v>Delivered</v>
          </cell>
          <cell r="I486" t="str">
            <v xml:space="preserve">IC </v>
          </cell>
          <cell r="J486" t="str">
            <v>Fedex</v>
          </cell>
          <cell r="K486" t="str">
            <v>VVMV</v>
          </cell>
          <cell r="L486" t="str">
            <v>PH</v>
          </cell>
          <cell r="M486">
            <v>46060</v>
          </cell>
          <cell r="N486">
            <v>46064</v>
          </cell>
          <cell r="O486">
            <v>46065</v>
          </cell>
          <cell r="P486">
            <v>107980132740</v>
          </cell>
          <cell r="Q486">
            <v>46063</v>
          </cell>
          <cell r="R486" t="str">
            <v>No inspection</v>
          </cell>
          <cell r="S486">
            <v>5500</v>
          </cell>
          <cell r="T486" t="str">
            <v>EXW</v>
          </cell>
          <cell r="U486" t="str">
            <v>LUC</v>
          </cell>
        </row>
        <row r="487">
          <cell r="D487">
            <v>2.5</v>
          </cell>
          <cell r="F487">
            <v>398477192297</v>
          </cell>
          <cell r="G487" t="str">
            <v>O/B ANALOG DEVICES INTERNATIONAL UC
DHL SUPPLY CHAIN MGMT PHILS INC</v>
          </cell>
          <cell r="H487" t="str">
            <v>Delivered</v>
          </cell>
          <cell r="I487" t="str">
            <v xml:space="preserve">IC </v>
          </cell>
          <cell r="J487" t="str">
            <v>Fedex</v>
          </cell>
          <cell r="K487" t="str">
            <v>VVMV</v>
          </cell>
          <cell r="L487" t="str">
            <v>PH</v>
          </cell>
          <cell r="M487">
            <v>46058</v>
          </cell>
          <cell r="N487">
            <v>46064</v>
          </cell>
          <cell r="O487">
            <v>46065</v>
          </cell>
          <cell r="P487">
            <v>107979916330</v>
          </cell>
          <cell r="Q487">
            <v>46063</v>
          </cell>
          <cell r="R487" t="str">
            <v>No inspection</v>
          </cell>
          <cell r="S487">
            <v>28700</v>
          </cell>
          <cell r="T487" t="str">
            <v>EXW</v>
          </cell>
          <cell r="U487" t="str">
            <v>PUR</v>
          </cell>
        </row>
        <row r="488">
          <cell r="D488">
            <v>3.5</v>
          </cell>
          <cell r="F488">
            <v>398478389226</v>
          </cell>
          <cell r="G488" t="str">
            <v>Analog Devices (Thailand) Co., Ltd</v>
          </cell>
          <cell r="H488" t="str">
            <v>Delivered</v>
          </cell>
          <cell r="I488" t="str">
            <v xml:space="preserve">IC </v>
          </cell>
          <cell r="J488" t="str">
            <v>Fedex</v>
          </cell>
          <cell r="K488" t="str">
            <v>VVMV</v>
          </cell>
          <cell r="L488" t="str">
            <v>TH</v>
          </cell>
          <cell r="M488">
            <v>46058</v>
          </cell>
          <cell r="N488">
            <v>46064</v>
          </cell>
          <cell r="O488">
            <v>46065</v>
          </cell>
          <cell r="P488">
            <v>107979664810</v>
          </cell>
          <cell r="Q488">
            <v>46063</v>
          </cell>
          <cell r="R488" t="str">
            <v>No inspection</v>
          </cell>
          <cell r="S488">
            <v>43500</v>
          </cell>
          <cell r="T488" t="str">
            <v>EXW</v>
          </cell>
          <cell r="U488" t="str">
            <v>LUC</v>
          </cell>
        </row>
        <row r="489">
          <cell r="D489">
            <v>12</v>
          </cell>
          <cell r="F489">
            <v>474258659572</v>
          </cell>
          <cell r="G489" t="str">
            <v>RECONEXT</v>
          </cell>
          <cell r="H489" t="str">
            <v>Delivered</v>
          </cell>
          <cell r="I489" t="str">
            <v xml:space="preserve">IC </v>
          </cell>
          <cell r="J489" t="str">
            <v>Fedex</v>
          </cell>
          <cell r="K489" t="str">
            <v>VVMV</v>
          </cell>
          <cell r="L489" t="str">
            <v>US</v>
          </cell>
          <cell r="M489">
            <v>46058</v>
          </cell>
          <cell r="N489">
            <v>46066</v>
          </cell>
          <cell r="O489">
            <v>46066</v>
          </cell>
          <cell r="P489">
            <v>107985131810</v>
          </cell>
          <cell r="Q489">
            <v>46065</v>
          </cell>
          <cell r="R489" t="str">
            <v>No inspection</v>
          </cell>
          <cell r="S489">
            <v>698818.1</v>
          </cell>
          <cell r="T489" t="str">
            <v>CIF</v>
          </cell>
          <cell r="U489">
            <v>103</v>
          </cell>
        </row>
        <row r="490">
          <cell r="D490">
            <v>65</v>
          </cell>
          <cell r="F490">
            <v>888505864270</v>
          </cell>
          <cell r="G490" t="str">
            <v>ACTON TECHNOLOGY PTE LTD</v>
          </cell>
          <cell r="H490" t="str">
            <v>Delivered</v>
          </cell>
          <cell r="I490" t="str">
            <v>ENC, DAS</v>
          </cell>
          <cell r="J490" t="str">
            <v>Fedex</v>
          </cell>
          <cell r="K490" t="str">
            <v>VVMV</v>
          </cell>
          <cell r="L490" t="str">
            <v>SG</v>
          </cell>
          <cell r="M490">
            <v>46059</v>
          </cell>
          <cell r="N490">
            <v>46064</v>
          </cell>
          <cell r="O490">
            <v>46064</v>
          </cell>
          <cell r="P490">
            <v>107979171640</v>
          </cell>
          <cell r="Q490">
            <v>46063</v>
          </cell>
          <cell r="R490" t="str">
            <v>No inspection</v>
          </cell>
          <cell r="S490">
            <v>14505</v>
          </cell>
          <cell r="T490" t="str">
            <v>EXW</v>
          </cell>
          <cell r="U490" t="str">
            <v>LUC</v>
          </cell>
        </row>
        <row r="491">
          <cell r="D491">
            <v>0.5</v>
          </cell>
          <cell r="F491">
            <v>888470517625</v>
          </cell>
          <cell r="G491" t="str">
            <v>Element 14 Pte Ltd</v>
          </cell>
          <cell r="H491" t="str">
            <v>Delivered</v>
          </cell>
          <cell r="I491" t="str">
            <v xml:space="preserve">IC </v>
          </cell>
          <cell r="J491" t="str">
            <v>Fedex</v>
          </cell>
          <cell r="K491" t="str">
            <v>VVMV</v>
          </cell>
          <cell r="L491" t="str">
            <v>SG</v>
          </cell>
          <cell r="M491">
            <v>46057</v>
          </cell>
          <cell r="N491">
            <v>46064</v>
          </cell>
          <cell r="O491">
            <v>46065</v>
          </cell>
          <cell r="P491">
            <v>107980233910</v>
          </cell>
          <cell r="Q491">
            <v>46063</v>
          </cell>
          <cell r="R491" t="str">
            <v>No inspection</v>
          </cell>
          <cell r="S491">
            <v>38.090000000000003</v>
          </cell>
          <cell r="T491" t="str">
            <v>EXW</v>
          </cell>
          <cell r="U491" t="str">
            <v>EF-</v>
          </cell>
        </row>
        <row r="492">
          <cell r="D492">
            <v>17</v>
          </cell>
          <cell r="F492">
            <v>398311709547</v>
          </cell>
          <cell r="G492" t="str">
            <v>ROSENBERGER HOCHFREQUENZTECHNIK</v>
          </cell>
          <cell r="H492" t="str">
            <v>Delivered</v>
          </cell>
          <cell r="I492" t="str">
            <v>CON</v>
          </cell>
          <cell r="J492" t="str">
            <v>Fedex</v>
          </cell>
          <cell r="K492" t="str">
            <v>VVMV</v>
          </cell>
          <cell r="L492" t="str">
            <v>DE</v>
          </cell>
          <cell r="M492">
            <v>46055</v>
          </cell>
          <cell r="N492">
            <v>46065</v>
          </cell>
          <cell r="O492">
            <v>46066</v>
          </cell>
          <cell r="P492">
            <v>107983773660</v>
          </cell>
          <cell r="Q492">
            <v>46064</v>
          </cell>
          <cell r="R492" t="str">
            <v>No inspection</v>
          </cell>
          <cell r="S492">
            <v>1429.02</v>
          </cell>
          <cell r="T492" t="str">
            <v>CIF</v>
          </cell>
          <cell r="U492" t="str">
            <v>LUC</v>
          </cell>
        </row>
        <row r="493">
          <cell r="D493">
            <v>7</v>
          </cell>
          <cell r="F493">
            <v>888539740761</v>
          </cell>
          <cell r="G493" t="str">
            <v>SUNLORD ELECTRONICS TECHNOLOGY PTE</v>
          </cell>
          <cell r="H493" t="str">
            <v>Delivered</v>
          </cell>
          <cell r="I493" t="str">
            <v>RES, DIO</v>
          </cell>
          <cell r="J493" t="str">
            <v>Fedex</v>
          </cell>
          <cell r="K493" t="str">
            <v>VVMV</v>
          </cell>
          <cell r="L493" t="str">
            <v>SG</v>
          </cell>
          <cell r="M493">
            <v>46059</v>
          </cell>
          <cell r="N493">
            <v>46064</v>
          </cell>
          <cell r="O493">
            <v>46065</v>
          </cell>
          <cell r="P493">
            <v>107979996940</v>
          </cell>
          <cell r="Q493">
            <v>46063</v>
          </cell>
          <cell r="R493" t="str">
            <v>No inspection</v>
          </cell>
          <cell r="S493">
            <v>1425.6</v>
          </cell>
          <cell r="T493" t="str">
            <v>EXW</v>
          </cell>
          <cell r="U493" t="str">
            <v>PUR</v>
          </cell>
        </row>
        <row r="494">
          <cell r="D494">
            <v>4</v>
          </cell>
          <cell r="F494">
            <v>500292433849</v>
          </cell>
          <cell r="G494" t="str">
            <v>ARROW COMPONENTS MEXICO SA De CV</v>
          </cell>
          <cell r="H494" t="str">
            <v>Delivered</v>
          </cell>
          <cell r="I494" t="str">
            <v xml:space="preserve">IC </v>
          </cell>
          <cell r="J494" t="str">
            <v>Fedex</v>
          </cell>
          <cell r="K494" t="str">
            <v>VVMV</v>
          </cell>
          <cell r="L494" t="str">
            <v>MX</v>
          </cell>
          <cell r="M494">
            <v>46055</v>
          </cell>
          <cell r="N494">
            <v>46064</v>
          </cell>
          <cell r="O494">
            <v>46065</v>
          </cell>
          <cell r="P494">
            <v>107979800460</v>
          </cell>
          <cell r="Q494">
            <v>46063</v>
          </cell>
          <cell r="R494" t="str">
            <v>No inspection</v>
          </cell>
          <cell r="S494">
            <v>7290</v>
          </cell>
          <cell r="T494" t="str">
            <v>CIF</v>
          </cell>
          <cell r="U494" t="str">
            <v>PUR</v>
          </cell>
        </row>
        <row r="495">
          <cell r="D495">
            <v>0.5</v>
          </cell>
          <cell r="F495">
            <v>500292438049</v>
          </cell>
          <cell r="G495" t="str">
            <v>ARROW COMPONENTS MEXICO SA De CV</v>
          </cell>
          <cell r="H495" t="str">
            <v>Delivered</v>
          </cell>
          <cell r="I495" t="str">
            <v>FER</v>
          </cell>
          <cell r="J495" t="str">
            <v>Fedex</v>
          </cell>
          <cell r="K495" t="str">
            <v>VVMV</v>
          </cell>
          <cell r="L495" t="str">
            <v>MX</v>
          </cell>
          <cell r="M495">
            <v>46056</v>
          </cell>
          <cell r="N495">
            <v>46064</v>
          </cell>
          <cell r="O495">
            <v>46065</v>
          </cell>
          <cell r="P495">
            <v>107979250150</v>
          </cell>
          <cell r="Q495">
            <v>46063</v>
          </cell>
          <cell r="R495" t="str">
            <v>No inspection</v>
          </cell>
          <cell r="S495">
            <v>36</v>
          </cell>
          <cell r="T495" t="str">
            <v>CIF</v>
          </cell>
          <cell r="U495" t="str">
            <v>PUR</v>
          </cell>
        </row>
        <row r="496">
          <cell r="D496">
            <v>1.5</v>
          </cell>
          <cell r="F496">
            <v>479730328810</v>
          </cell>
          <cell r="G496" t="str">
            <v>ARROW COMPONENTS MEXICO SA De CV</v>
          </cell>
          <cell r="H496" t="str">
            <v>Delivered</v>
          </cell>
          <cell r="I496" t="str">
            <v xml:space="preserve">IC </v>
          </cell>
          <cell r="J496" t="str">
            <v>Fedex</v>
          </cell>
          <cell r="K496" t="str">
            <v>VVMV</v>
          </cell>
          <cell r="L496" t="str">
            <v>MX</v>
          </cell>
          <cell r="M496">
            <v>46052</v>
          </cell>
          <cell r="N496">
            <v>46064</v>
          </cell>
          <cell r="O496">
            <v>46065</v>
          </cell>
          <cell r="P496">
            <v>107980273330</v>
          </cell>
          <cell r="Q496">
            <v>46063</v>
          </cell>
          <cell r="R496" t="str">
            <v>No inspection</v>
          </cell>
          <cell r="S496">
            <v>4045</v>
          </cell>
          <cell r="T496" t="str">
            <v>CIF</v>
          </cell>
          <cell r="U496" t="str">
            <v>EF-</v>
          </cell>
        </row>
        <row r="497">
          <cell r="D497">
            <v>28.5</v>
          </cell>
          <cell r="F497">
            <v>398312128910</v>
          </cell>
          <cell r="G497" t="str">
            <v>ROSENBERGER HOCHFREQUENZTECHNIK</v>
          </cell>
          <cell r="H497" t="str">
            <v>Delivered</v>
          </cell>
          <cell r="I497" t="str">
            <v>CON</v>
          </cell>
          <cell r="J497" t="str">
            <v>Fedex</v>
          </cell>
          <cell r="K497" t="str">
            <v>VVMV</v>
          </cell>
          <cell r="L497" t="str">
            <v>HU</v>
          </cell>
          <cell r="M497">
            <v>46055</v>
          </cell>
          <cell r="N497">
            <v>46065</v>
          </cell>
          <cell r="O497">
            <v>46066</v>
          </cell>
          <cell r="P497">
            <v>107983923240</v>
          </cell>
          <cell r="Q497">
            <v>46064</v>
          </cell>
          <cell r="R497" t="str">
            <v>No inspection</v>
          </cell>
          <cell r="S497">
            <v>2734.83</v>
          </cell>
          <cell r="T497" t="str">
            <v>CIF</v>
          </cell>
          <cell r="U497" t="str">
            <v>LUC</v>
          </cell>
        </row>
        <row r="498">
          <cell r="D498">
            <v>1</v>
          </cell>
          <cell r="F498">
            <v>500292438120</v>
          </cell>
          <cell r="G498" t="str">
            <v>ARROW COMPONENTS MEXICO SA De CV</v>
          </cell>
          <cell r="H498" t="str">
            <v>Delivered</v>
          </cell>
          <cell r="I498" t="str">
            <v>RES</v>
          </cell>
          <cell r="J498" t="str">
            <v>Fedex</v>
          </cell>
          <cell r="K498" t="str">
            <v>VVMV</v>
          </cell>
          <cell r="L498" t="str">
            <v>MX</v>
          </cell>
          <cell r="M498">
            <v>46056</v>
          </cell>
          <cell r="N498">
            <v>46064</v>
          </cell>
          <cell r="O498">
            <v>46065</v>
          </cell>
          <cell r="P498">
            <v>107979989830</v>
          </cell>
          <cell r="Q498">
            <v>46063</v>
          </cell>
          <cell r="R498" t="str">
            <v>No inspection</v>
          </cell>
          <cell r="S498">
            <v>46</v>
          </cell>
          <cell r="T498" t="str">
            <v>CIF</v>
          </cell>
          <cell r="U498" t="str">
            <v>LUC</v>
          </cell>
        </row>
        <row r="499">
          <cell r="D499">
            <v>172</v>
          </cell>
          <cell r="F499">
            <v>398313534534</v>
          </cell>
          <cell r="G499" t="str">
            <v>ROSENBERGER HOCHFREQUENZTECHNIK</v>
          </cell>
          <cell r="H499" t="str">
            <v>Delivered</v>
          </cell>
          <cell r="I499" t="str">
            <v>CON</v>
          </cell>
          <cell r="J499" t="str">
            <v>Fedex</v>
          </cell>
          <cell r="K499" t="str">
            <v>VVMV</v>
          </cell>
          <cell r="L499" t="str">
            <v>HU</v>
          </cell>
          <cell r="M499">
            <v>46055</v>
          </cell>
          <cell r="N499">
            <v>46065</v>
          </cell>
          <cell r="O499">
            <v>46065</v>
          </cell>
          <cell r="P499">
            <v>107983524020</v>
          </cell>
          <cell r="Q499">
            <v>46064</v>
          </cell>
          <cell r="R499" t="str">
            <v>No inspection</v>
          </cell>
          <cell r="S499">
            <v>13674.15</v>
          </cell>
          <cell r="T499" t="str">
            <v>CIF</v>
          </cell>
          <cell r="U499" t="str">
            <v>LUC</v>
          </cell>
        </row>
        <row r="500">
          <cell r="D500">
            <v>62</v>
          </cell>
          <cell r="F500">
            <v>888502993936</v>
          </cell>
          <cell r="G500" t="str">
            <v>SUNLORD ELECTRONICS TECHNOLOGY PTE</v>
          </cell>
          <cell r="H500" t="str">
            <v>Delivered</v>
          </cell>
          <cell r="I500" t="str">
            <v xml:space="preserve">CAP, RES, IC </v>
          </cell>
          <cell r="J500" t="str">
            <v>Fedex</v>
          </cell>
          <cell r="K500" t="str">
            <v>VVMV</v>
          </cell>
          <cell r="L500" t="str">
            <v>HK</v>
          </cell>
          <cell r="M500">
            <v>46058</v>
          </cell>
          <cell r="N500">
            <v>46064</v>
          </cell>
          <cell r="O500">
            <v>46064</v>
          </cell>
          <cell r="P500">
            <v>107979852520</v>
          </cell>
          <cell r="Q500">
            <v>46063</v>
          </cell>
          <cell r="R500" t="str">
            <v>No inspection</v>
          </cell>
          <cell r="S500">
            <v>7514.17</v>
          </cell>
          <cell r="T500" t="str">
            <v>EXW</v>
          </cell>
          <cell r="U500" t="str">
            <v>PUR</v>
          </cell>
        </row>
        <row r="501">
          <cell r="D501">
            <v>226.5</v>
          </cell>
          <cell r="F501">
            <v>398446958044</v>
          </cell>
          <cell r="G501" t="str">
            <v>ROSENBERGER HOCHFREQUENZTECHNIK</v>
          </cell>
          <cell r="H501" t="str">
            <v>Delivered</v>
          </cell>
          <cell r="I501" t="str">
            <v>CON</v>
          </cell>
          <cell r="J501" t="str">
            <v>Fedex</v>
          </cell>
          <cell r="K501" t="str">
            <v>VVMV</v>
          </cell>
          <cell r="L501" t="str">
            <v>HU</v>
          </cell>
          <cell r="M501">
            <v>46058</v>
          </cell>
          <cell r="N501">
            <v>46065</v>
          </cell>
          <cell r="O501">
            <v>46066</v>
          </cell>
          <cell r="P501">
            <v>107983886950</v>
          </cell>
          <cell r="Q501">
            <v>46064</v>
          </cell>
          <cell r="R501" t="str">
            <v>No inspection</v>
          </cell>
          <cell r="S501">
            <v>18232.2</v>
          </cell>
          <cell r="T501" t="str">
            <v>CIF</v>
          </cell>
          <cell r="U501" t="str">
            <v>LUC</v>
          </cell>
        </row>
        <row r="502">
          <cell r="D502">
            <v>16</v>
          </cell>
          <cell r="F502">
            <v>888501443920</v>
          </cell>
          <cell r="G502" t="str">
            <v>MING CHIANG PRECISION CO., LTD</v>
          </cell>
          <cell r="H502" t="str">
            <v>Delivered</v>
          </cell>
          <cell r="I502" t="str">
            <v>LON</v>
          </cell>
          <cell r="J502" t="str">
            <v>Fedex</v>
          </cell>
          <cell r="K502" t="str">
            <v>VVMV</v>
          </cell>
          <cell r="L502" t="str">
            <v>TW</v>
          </cell>
          <cell r="M502">
            <v>46058</v>
          </cell>
          <cell r="N502">
            <v>46064</v>
          </cell>
          <cell r="O502">
            <v>46065</v>
          </cell>
          <cell r="P502">
            <v>107980327230</v>
          </cell>
          <cell r="Q502">
            <v>46063</v>
          </cell>
          <cell r="R502" t="str">
            <v>No inspection</v>
          </cell>
          <cell r="S502">
            <v>835</v>
          </cell>
          <cell r="T502" t="str">
            <v>EXW</v>
          </cell>
          <cell r="U502" t="str">
            <v>LUC</v>
          </cell>
        </row>
        <row r="503">
          <cell r="D503">
            <v>5.5</v>
          </cell>
          <cell r="F503">
            <v>888540881459</v>
          </cell>
          <cell r="G503" t="str">
            <v>WHITE HORSE LABORATORIES LTD</v>
          </cell>
          <cell r="H503" t="str">
            <v>Delivered</v>
          </cell>
          <cell r="I503" t="str">
            <v>TRA</v>
          </cell>
          <cell r="J503" t="str">
            <v>Fedex</v>
          </cell>
          <cell r="K503" t="str">
            <v>VVMV</v>
          </cell>
          <cell r="L503" t="str">
            <v>HK</v>
          </cell>
          <cell r="M503">
            <v>46059</v>
          </cell>
          <cell r="N503">
            <v>46064</v>
          </cell>
          <cell r="O503">
            <v>46065</v>
          </cell>
          <cell r="P503">
            <v>107980103450</v>
          </cell>
          <cell r="Q503">
            <v>46063</v>
          </cell>
          <cell r="R503" t="str">
            <v>No inspection</v>
          </cell>
          <cell r="S503">
            <v>2939.79</v>
          </cell>
          <cell r="T503" t="str">
            <v>CIF</v>
          </cell>
          <cell r="U503" t="str">
            <v>LUC</v>
          </cell>
        </row>
        <row r="504">
          <cell r="D504">
            <v>1</v>
          </cell>
          <cell r="F504">
            <v>888469800120</v>
          </cell>
          <cell r="G504" t="str">
            <v>GOTREND TECHNOLOGY CO.,LTD.</v>
          </cell>
          <cell r="H504" t="str">
            <v>Delivered</v>
          </cell>
          <cell r="I504" t="str">
            <v>IND</v>
          </cell>
          <cell r="J504" t="str">
            <v>Fedex</v>
          </cell>
          <cell r="K504" t="str">
            <v>VVMV</v>
          </cell>
          <cell r="L504" t="str">
            <v>TW</v>
          </cell>
          <cell r="M504">
            <v>46059</v>
          </cell>
          <cell r="N504">
            <v>46064</v>
          </cell>
          <cell r="O504">
            <v>46065</v>
          </cell>
          <cell r="P504">
            <v>107980166560</v>
          </cell>
          <cell r="Q504">
            <v>46063</v>
          </cell>
          <cell r="R504" t="str">
            <v>No inspection</v>
          </cell>
          <cell r="S504">
            <v>73.599999999999994</v>
          </cell>
          <cell r="T504" t="str">
            <v>EXW</v>
          </cell>
          <cell r="U504">
            <v>123</v>
          </cell>
        </row>
        <row r="505">
          <cell r="D505">
            <v>0.5</v>
          </cell>
          <cell r="F505">
            <v>511467490858</v>
          </cell>
          <cell r="G505" t="str">
            <v>MICROCHIP TECNOLOGY(TH) CO LTD</v>
          </cell>
          <cell r="H505" t="str">
            <v>Delivered</v>
          </cell>
          <cell r="I505" t="str">
            <v xml:space="preserve">IC </v>
          </cell>
          <cell r="J505" t="str">
            <v>Fedex</v>
          </cell>
          <cell r="K505" t="str">
            <v>VVMV</v>
          </cell>
          <cell r="L505" t="str">
            <v>TH</v>
          </cell>
          <cell r="M505">
            <v>46060</v>
          </cell>
          <cell r="N505">
            <v>46064</v>
          </cell>
          <cell r="O505">
            <v>46065</v>
          </cell>
          <cell r="P505">
            <v>107980075340</v>
          </cell>
          <cell r="Q505">
            <v>46063</v>
          </cell>
          <cell r="R505" t="str">
            <v>No inspection</v>
          </cell>
          <cell r="S505">
            <v>984</v>
          </cell>
          <cell r="T505" t="str">
            <v>EXW</v>
          </cell>
          <cell r="U505" t="str">
            <v>PUR</v>
          </cell>
        </row>
        <row r="506">
          <cell r="D506">
            <v>11</v>
          </cell>
          <cell r="F506">
            <v>480410731693</v>
          </cell>
          <cell r="G506" t="str">
            <v>Micron Memory Malaysia Sdn. Bh</v>
          </cell>
          <cell r="H506" t="str">
            <v>Delivered</v>
          </cell>
          <cell r="I506" t="str">
            <v>MEM</v>
          </cell>
          <cell r="J506" t="str">
            <v>Fedex</v>
          </cell>
          <cell r="K506" t="str">
            <v>VVMV</v>
          </cell>
          <cell r="L506" t="str">
            <v>MY</v>
          </cell>
          <cell r="M506">
            <v>46062</v>
          </cell>
          <cell r="N506">
            <v>46065</v>
          </cell>
          <cell r="O506">
            <v>46065</v>
          </cell>
          <cell r="P506">
            <v>107980231920</v>
          </cell>
          <cell r="Q506">
            <v>46063</v>
          </cell>
          <cell r="R506" t="str">
            <v>No inspection</v>
          </cell>
          <cell r="S506">
            <v>718800</v>
          </cell>
          <cell r="T506" t="str">
            <v>CIF</v>
          </cell>
          <cell r="U506" t="str">
            <v>PUR</v>
          </cell>
        </row>
        <row r="507">
          <cell r="D507">
            <v>5.5</v>
          </cell>
          <cell r="F507">
            <v>888457120623</v>
          </cell>
          <cell r="G507" t="str">
            <v>CUBE COMPONENTS C/O WHITEHORSE</v>
          </cell>
          <cell r="H507" t="str">
            <v>Delivered</v>
          </cell>
          <cell r="I507" t="str">
            <v xml:space="preserve">IC </v>
          </cell>
          <cell r="J507" t="str">
            <v>Fedex</v>
          </cell>
          <cell r="K507" t="str">
            <v>VVMV</v>
          </cell>
          <cell r="L507" t="str">
            <v>US</v>
          </cell>
          <cell r="M507">
            <v>46057</v>
          </cell>
          <cell r="N507">
            <v>46064</v>
          </cell>
          <cell r="O507">
            <v>46065</v>
          </cell>
          <cell r="P507">
            <v>107979524920</v>
          </cell>
          <cell r="Q507">
            <v>46063</v>
          </cell>
          <cell r="R507" t="str">
            <v>No inspection</v>
          </cell>
          <cell r="S507">
            <v>23099.14</v>
          </cell>
          <cell r="T507" t="str">
            <v>CIF</v>
          </cell>
          <cell r="U507" t="str">
            <v>LUC</v>
          </cell>
        </row>
        <row r="508">
          <cell r="D508">
            <v>2</v>
          </cell>
          <cell r="F508">
            <v>500292439733</v>
          </cell>
          <cell r="G508" t="str">
            <v>ARROW COMPONENTS MEXICO SA De CV</v>
          </cell>
          <cell r="H508" t="str">
            <v>Delivered</v>
          </cell>
          <cell r="I508" t="str">
            <v>CAP</v>
          </cell>
          <cell r="J508" t="str">
            <v>Fedex</v>
          </cell>
          <cell r="K508" t="str">
            <v>VVMV</v>
          </cell>
          <cell r="L508" t="str">
            <v>MX</v>
          </cell>
          <cell r="M508">
            <v>46057</v>
          </cell>
          <cell r="N508">
            <v>46064</v>
          </cell>
          <cell r="O508">
            <v>46065</v>
          </cell>
          <cell r="P508">
            <v>107980303650</v>
          </cell>
          <cell r="Q508">
            <v>46063</v>
          </cell>
          <cell r="R508" t="str">
            <v>No inspection</v>
          </cell>
          <cell r="S508">
            <v>1258.4000000000001</v>
          </cell>
          <cell r="T508" t="str">
            <v>CIF</v>
          </cell>
          <cell r="U508" t="str">
            <v>LUC</v>
          </cell>
        </row>
        <row r="509">
          <cell r="D509">
            <v>0.5</v>
          </cell>
          <cell r="F509">
            <v>500292434683</v>
          </cell>
          <cell r="G509" t="str">
            <v>ARROW COMPONENTS MEXICO SA De CV</v>
          </cell>
          <cell r="H509" t="str">
            <v>Delivered</v>
          </cell>
          <cell r="I509" t="str">
            <v>DIO</v>
          </cell>
          <cell r="J509" t="str">
            <v>Fedex</v>
          </cell>
          <cell r="K509" t="str">
            <v>VVMV</v>
          </cell>
          <cell r="L509" t="str">
            <v>MX</v>
          </cell>
          <cell r="M509">
            <v>46055</v>
          </cell>
          <cell r="N509">
            <v>46064</v>
          </cell>
          <cell r="O509">
            <v>46065</v>
          </cell>
          <cell r="P509">
            <v>107980273700</v>
          </cell>
          <cell r="Q509">
            <v>46063</v>
          </cell>
          <cell r="R509" t="str">
            <v>No inspection</v>
          </cell>
          <cell r="S509">
            <v>145.5</v>
          </cell>
          <cell r="T509" t="str">
            <v>CIF</v>
          </cell>
          <cell r="U509" t="str">
            <v>HLO</v>
          </cell>
        </row>
        <row r="510">
          <cell r="D510">
            <v>2</v>
          </cell>
          <cell r="F510">
            <v>480410700249</v>
          </cell>
          <cell r="G510" t="str">
            <v>Micron Memory Malaysia Sdn. Bh</v>
          </cell>
          <cell r="H510" t="str">
            <v>Delivered</v>
          </cell>
          <cell r="I510" t="str">
            <v>MEM</v>
          </cell>
          <cell r="J510" t="str">
            <v>Fedex</v>
          </cell>
          <cell r="K510" t="str">
            <v>VVMV</v>
          </cell>
          <cell r="L510" t="str">
            <v>MY</v>
          </cell>
          <cell r="M510">
            <v>46059</v>
          </cell>
          <cell r="N510">
            <v>46065</v>
          </cell>
          <cell r="O510">
            <v>46065</v>
          </cell>
          <cell r="P510">
            <v>107980349300</v>
          </cell>
          <cell r="Q510">
            <v>46063</v>
          </cell>
          <cell r="R510" t="str">
            <v>No inspection</v>
          </cell>
          <cell r="S510">
            <v>15720</v>
          </cell>
          <cell r="T510" t="str">
            <v>EXW</v>
          </cell>
          <cell r="U510" t="str">
            <v>HLO</v>
          </cell>
        </row>
        <row r="511">
          <cell r="D511">
            <v>2</v>
          </cell>
          <cell r="F511">
            <v>511291958527</v>
          </cell>
          <cell r="G511" t="str">
            <v>MOUSER ELECTRONICS INC</v>
          </cell>
          <cell r="H511" t="str">
            <v>Delivered</v>
          </cell>
          <cell r="I511" t="str">
            <v>CAP, SWI, DIO</v>
          </cell>
          <cell r="J511" t="str">
            <v>Fedex</v>
          </cell>
          <cell r="K511" t="str">
            <v>VVMV</v>
          </cell>
          <cell r="L511" t="str">
            <v>US</v>
          </cell>
          <cell r="M511">
            <v>46058</v>
          </cell>
          <cell r="N511">
            <v>46065</v>
          </cell>
          <cell r="O511">
            <v>46065</v>
          </cell>
          <cell r="P511">
            <v>107980166230</v>
          </cell>
          <cell r="Q511">
            <v>46063</v>
          </cell>
          <cell r="R511" t="str">
            <v>No inspection</v>
          </cell>
          <cell r="S511">
            <v>2708.64</v>
          </cell>
          <cell r="T511" t="str">
            <v>CIF</v>
          </cell>
          <cell r="U511" t="str">
            <v>LUC</v>
          </cell>
        </row>
        <row r="512">
          <cell r="D512">
            <v>1</v>
          </cell>
          <cell r="F512">
            <v>495270120832</v>
          </cell>
          <cell r="G512" t="str">
            <v>DIGI-KEY ELECTRONICS</v>
          </cell>
          <cell r="H512" t="str">
            <v>Delivered</v>
          </cell>
          <cell r="I512" t="str">
            <v>CAP, RES, DIO</v>
          </cell>
          <cell r="J512" t="str">
            <v>Fedex</v>
          </cell>
          <cell r="K512" t="str">
            <v>VVMV</v>
          </cell>
          <cell r="L512" t="str">
            <v>US</v>
          </cell>
          <cell r="M512">
            <v>46048</v>
          </cell>
          <cell r="N512">
            <v>46065</v>
          </cell>
          <cell r="O512">
            <v>46065</v>
          </cell>
          <cell r="P512">
            <v>107981356560</v>
          </cell>
          <cell r="Q512">
            <v>46064</v>
          </cell>
          <cell r="R512" t="str">
            <v>No inspection</v>
          </cell>
          <cell r="S512">
            <v>103.28</v>
          </cell>
          <cell r="T512" t="str">
            <v>CIF</v>
          </cell>
          <cell r="U512" t="str">
            <v>PUR</v>
          </cell>
        </row>
        <row r="513">
          <cell r="D513">
            <v>4</v>
          </cell>
          <cell r="F513">
            <v>495506321639</v>
          </cell>
          <cell r="G513" t="str">
            <v>SAMTEC ASIA PACIFIC PTE LTD</v>
          </cell>
          <cell r="H513" t="str">
            <v>Delivered</v>
          </cell>
          <cell r="I513" t="str">
            <v>CON</v>
          </cell>
          <cell r="J513" t="str">
            <v>Fedex</v>
          </cell>
          <cell r="K513" t="str">
            <v>VVMV</v>
          </cell>
          <cell r="L513" t="str">
            <v>SG</v>
          </cell>
          <cell r="M513">
            <v>46057</v>
          </cell>
          <cell r="N513">
            <v>46064</v>
          </cell>
          <cell r="O513">
            <v>46065</v>
          </cell>
          <cell r="P513">
            <v>107980069040</v>
          </cell>
          <cell r="Q513">
            <v>46063</v>
          </cell>
          <cell r="R513" t="str">
            <v>No inspection</v>
          </cell>
          <cell r="S513">
            <v>399.6</v>
          </cell>
          <cell r="T513" t="str">
            <v>CIF</v>
          </cell>
          <cell r="U513" t="str">
            <v>EF-</v>
          </cell>
        </row>
        <row r="514">
          <cell r="D514">
            <v>112</v>
          </cell>
          <cell r="F514">
            <v>398265530463</v>
          </cell>
          <cell r="G514" t="str">
            <v>WURTH ELECTRONICS MIDCOM</v>
          </cell>
          <cell r="H514" t="str">
            <v>Delivered</v>
          </cell>
          <cell r="I514" t="str">
            <v>CONN</v>
          </cell>
          <cell r="J514" t="str">
            <v>Fedex</v>
          </cell>
          <cell r="K514" t="str">
            <v>VVMV</v>
          </cell>
          <cell r="L514" t="str">
            <v>US</v>
          </cell>
          <cell r="M514">
            <v>46052</v>
          </cell>
          <cell r="N514">
            <v>46066</v>
          </cell>
          <cell r="O514">
            <v>46076</v>
          </cell>
          <cell r="P514">
            <v>107986488850</v>
          </cell>
          <cell r="Q514">
            <v>46065</v>
          </cell>
          <cell r="R514" t="str">
            <v>No inspection</v>
          </cell>
          <cell r="S514">
            <v>14967</v>
          </cell>
          <cell r="T514" t="str">
            <v>CIF</v>
          </cell>
          <cell r="U514" t="str">
            <v>LUC</v>
          </cell>
        </row>
        <row r="515">
          <cell r="D515">
            <v>0.5</v>
          </cell>
          <cell r="F515">
            <v>511560893926</v>
          </cell>
          <cell r="G515" t="str">
            <v>ARROW ELECTRONICS, INC.</v>
          </cell>
          <cell r="H515" t="str">
            <v>Delivered</v>
          </cell>
          <cell r="I515" t="str">
            <v>FUS</v>
          </cell>
          <cell r="J515" t="str">
            <v>Fedex</v>
          </cell>
          <cell r="K515" t="str">
            <v>VVMV</v>
          </cell>
          <cell r="L515" t="str">
            <v>US</v>
          </cell>
          <cell r="M515">
            <v>46056</v>
          </cell>
          <cell r="N515">
            <v>46065</v>
          </cell>
          <cell r="O515">
            <v>46066</v>
          </cell>
          <cell r="P515">
            <v>107983395550</v>
          </cell>
          <cell r="Q515">
            <v>46064</v>
          </cell>
          <cell r="R515" t="str">
            <v>No inspection</v>
          </cell>
          <cell r="S515">
            <v>2334</v>
          </cell>
          <cell r="T515" t="str">
            <v>CIF</v>
          </cell>
          <cell r="U515" t="str">
            <v>AIC</v>
          </cell>
        </row>
        <row r="516">
          <cell r="D516">
            <v>57.5</v>
          </cell>
          <cell r="F516">
            <v>477592552431</v>
          </cell>
          <cell r="G516" t="str">
            <v>QUALCOMM CDMA TECHNOLOGIES ASIA-PAC</v>
          </cell>
          <cell r="H516" t="str">
            <v>Delivered</v>
          </cell>
          <cell r="I516" t="str">
            <v xml:space="preserve">IC </v>
          </cell>
          <cell r="J516" t="str">
            <v>Fedex</v>
          </cell>
          <cell r="K516" t="str">
            <v>VVMV</v>
          </cell>
          <cell r="L516" t="str">
            <v>SG</v>
          </cell>
          <cell r="M516">
            <v>46062</v>
          </cell>
          <cell r="N516">
            <v>46065</v>
          </cell>
          <cell r="O516">
            <v>46065</v>
          </cell>
          <cell r="P516">
            <v>107982907320</v>
          </cell>
          <cell r="Q516">
            <v>46064</v>
          </cell>
          <cell r="R516" t="str">
            <v>No inspection</v>
          </cell>
          <cell r="S516">
            <v>228614.39999999999</v>
          </cell>
          <cell r="T516" t="str">
            <v>EXW</v>
          </cell>
          <cell r="U516" t="str">
            <v>LUC</v>
          </cell>
        </row>
        <row r="517">
          <cell r="D517">
            <v>48.5</v>
          </cell>
          <cell r="F517">
            <v>409298907951</v>
          </cell>
          <cell r="G517" t="str">
            <v>TTI ELECTRONICS ASIA PTE LTD</v>
          </cell>
          <cell r="H517" t="str">
            <v>Delivered</v>
          </cell>
          <cell r="I517" t="str">
            <v>RES, CON, CAP, IND, DIO, FER</v>
          </cell>
          <cell r="J517" t="str">
            <v>Fedex</v>
          </cell>
          <cell r="K517" t="str">
            <v>VVMV</v>
          </cell>
          <cell r="L517" t="str">
            <v>SG</v>
          </cell>
          <cell r="M517">
            <v>46059</v>
          </cell>
          <cell r="N517">
            <v>46065</v>
          </cell>
          <cell r="O517">
            <v>46066</v>
          </cell>
          <cell r="P517">
            <v>107983738920</v>
          </cell>
          <cell r="Q517">
            <v>46064</v>
          </cell>
          <cell r="R517" t="str">
            <v>No inspection</v>
          </cell>
          <cell r="S517">
            <v>7777.64</v>
          </cell>
          <cell r="T517" t="str">
            <v>EXW</v>
          </cell>
          <cell r="U517" t="str">
            <v>LUC</v>
          </cell>
        </row>
        <row r="518">
          <cell r="D518">
            <v>2</v>
          </cell>
          <cell r="F518">
            <v>398586746821</v>
          </cell>
          <cell r="G518" t="str">
            <v>O/B ANALOG DEVICES INTERNATIONAL UC
DHL SUPPLY CHAIN MGMT PHILS INC</v>
          </cell>
          <cell r="H518" t="str">
            <v>Delivered</v>
          </cell>
          <cell r="I518" t="str">
            <v xml:space="preserve">IC </v>
          </cell>
          <cell r="J518" t="str">
            <v>Fedex</v>
          </cell>
          <cell r="K518" t="str">
            <v>VVMV</v>
          </cell>
          <cell r="L518" t="str">
            <v>PH</v>
          </cell>
          <cell r="M518">
            <v>46063</v>
          </cell>
          <cell r="N518">
            <v>46065</v>
          </cell>
          <cell r="O518">
            <v>46065</v>
          </cell>
          <cell r="P518">
            <v>107983283330</v>
          </cell>
          <cell r="Q518">
            <v>46064</v>
          </cell>
          <cell r="R518" t="str">
            <v>No inspection</v>
          </cell>
          <cell r="S518">
            <v>5000</v>
          </cell>
          <cell r="T518" t="str">
            <v>EXW</v>
          </cell>
          <cell r="U518" t="str">
            <v>EF-</v>
          </cell>
        </row>
        <row r="519">
          <cell r="D519">
            <v>1.5</v>
          </cell>
          <cell r="F519">
            <v>500292443714</v>
          </cell>
          <cell r="G519" t="str">
            <v>ARROW COMPONENTS MEXICO SA De CV</v>
          </cell>
          <cell r="H519" t="str">
            <v>Delivered</v>
          </cell>
          <cell r="I519" t="str">
            <v xml:space="preserve">IC </v>
          </cell>
          <cell r="J519" t="str">
            <v>Fedex</v>
          </cell>
          <cell r="K519" t="str">
            <v>VVMV</v>
          </cell>
          <cell r="L519" t="str">
            <v>MX</v>
          </cell>
          <cell r="M519">
            <v>46059</v>
          </cell>
          <cell r="N519">
            <v>46065</v>
          </cell>
          <cell r="O519">
            <v>46065</v>
          </cell>
          <cell r="P519">
            <v>107982954440</v>
          </cell>
          <cell r="Q519">
            <v>46064</v>
          </cell>
          <cell r="R519" t="str">
            <v>No inspection</v>
          </cell>
          <cell r="S519">
            <v>4256.88</v>
          </cell>
          <cell r="T519" t="str">
            <v>CIF</v>
          </cell>
          <cell r="U519" t="str">
            <v>EF-</v>
          </cell>
        </row>
        <row r="520">
          <cell r="D520">
            <v>15.5</v>
          </cell>
          <cell r="F520">
            <v>484361653839</v>
          </cell>
          <cell r="G520" t="str">
            <v>COILCRAFT SINGAPORE PTE LTD</v>
          </cell>
          <cell r="H520" t="str">
            <v>Delivered</v>
          </cell>
          <cell r="I520" t="str">
            <v>IND</v>
          </cell>
          <cell r="J520" t="str">
            <v>Fedex</v>
          </cell>
          <cell r="K520" t="str">
            <v>VVMV</v>
          </cell>
          <cell r="L520" t="str">
            <v>SG</v>
          </cell>
          <cell r="M520">
            <v>46059</v>
          </cell>
          <cell r="N520">
            <v>46065</v>
          </cell>
          <cell r="O520">
            <v>46065</v>
          </cell>
          <cell r="P520">
            <v>107983061060</v>
          </cell>
          <cell r="Q520">
            <v>46064</v>
          </cell>
          <cell r="R520" t="str">
            <v>No inspection</v>
          </cell>
          <cell r="S520">
            <v>3312</v>
          </cell>
          <cell r="T520" t="str">
            <v>EXW</v>
          </cell>
          <cell r="U520" t="str">
            <v>LUC</v>
          </cell>
        </row>
        <row r="521">
          <cell r="D521">
            <v>1</v>
          </cell>
          <cell r="F521">
            <v>500292443910</v>
          </cell>
          <cell r="G521" t="str">
            <v>ARROW COMPONENTS MEXICO SA De CV</v>
          </cell>
          <cell r="H521" t="str">
            <v>Delivered</v>
          </cell>
          <cell r="I521" t="str">
            <v xml:space="preserve">IC </v>
          </cell>
          <cell r="J521" t="str">
            <v>Fedex</v>
          </cell>
          <cell r="K521" t="str">
            <v>VVMV</v>
          </cell>
          <cell r="L521" t="str">
            <v>MX</v>
          </cell>
          <cell r="M521">
            <v>46058</v>
          </cell>
          <cell r="N521">
            <v>46065</v>
          </cell>
          <cell r="O521">
            <v>46065</v>
          </cell>
          <cell r="P521">
            <v>107983396620</v>
          </cell>
          <cell r="Q521">
            <v>46064</v>
          </cell>
          <cell r="R521" t="str">
            <v>No inspection</v>
          </cell>
          <cell r="S521">
            <v>575</v>
          </cell>
          <cell r="T521" t="str">
            <v>CIF</v>
          </cell>
          <cell r="U521" t="str">
            <v>PUR</v>
          </cell>
        </row>
        <row r="522">
          <cell r="D522">
            <v>13</v>
          </cell>
          <cell r="F522">
            <v>888505311870</v>
          </cell>
          <cell r="G522" t="str">
            <v>AMPHENOL FCI ASIA PTE LTD</v>
          </cell>
          <cell r="H522" t="str">
            <v>Delivered</v>
          </cell>
          <cell r="I522" t="str">
            <v>CON</v>
          </cell>
          <cell r="J522" t="str">
            <v>Fedex</v>
          </cell>
          <cell r="K522" t="str">
            <v>VVMV</v>
          </cell>
          <cell r="L522" t="str">
            <v>SG</v>
          </cell>
          <cell r="M522">
            <v>46059</v>
          </cell>
          <cell r="N522">
            <v>46065</v>
          </cell>
          <cell r="O522">
            <v>46065</v>
          </cell>
          <cell r="P522">
            <v>107983351560</v>
          </cell>
          <cell r="Q522">
            <v>46064</v>
          </cell>
          <cell r="R522" t="str">
            <v>No inspection</v>
          </cell>
          <cell r="S522">
            <v>2281.6799999999998</v>
          </cell>
          <cell r="T522" t="str">
            <v>EXW</v>
          </cell>
          <cell r="U522" t="str">
            <v>PUR</v>
          </cell>
        </row>
        <row r="523">
          <cell r="D523">
            <v>0.5</v>
          </cell>
          <cell r="F523">
            <v>888545769078</v>
          </cell>
          <cell r="G523" t="str">
            <v>M&amp;Partners CO ., LTD (Suntsu Agent)</v>
          </cell>
          <cell r="H523" t="str">
            <v>Delivered</v>
          </cell>
          <cell r="I523" t="str">
            <v>OSC</v>
          </cell>
          <cell r="J523" t="str">
            <v>Fedex</v>
          </cell>
          <cell r="K523" t="str">
            <v>VVMV</v>
          </cell>
          <cell r="L523" t="str">
            <v>KR</v>
          </cell>
          <cell r="M523">
            <v>46062</v>
          </cell>
          <cell r="N523">
            <v>46065</v>
          </cell>
          <cell r="O523">
            <v>46066</v>
          </cell>
          <cell r="P523">
            <v>107983482610</v>
          </cell>
          <cell r="Q523">
            <v>46064</v>
          </cell>
          <cell r="R523" t="str">
            <v>No inspection</v>
          </cell>
          <cell r="S523">
            <v>1440</v>
          </cell>
          <cell r="T523" t="str">
            <v>CIF</v>
          </cell>
          <cell r="U523" t="str">
            <v>EF-</v>
          </cell>
        </row>
        <row r="524">
          <cell r="D524">
            <v>2</v>
          </cell>
          <cell r="F524">
            <v>511292215988</v>
          </cell>
          <cell r="G524" t="str">
            <v>MOUSER ELECTRONICS INC</v>
          </cell>
          <cell r="H524" t="str">
            <v>Delivered</v>
          </cell>
          <cell r="I524" t="str">
            <v xml:space="preserve">IC </v>
          </cell>
          <cell r="J524" t="str">
            <v>Fedex</v>
          </cell>
          <cell r="K524" t="str">
            <v>VVMV</v>
          </cell>
          <cell r="L524" t="str">
            <v>US</v>
          </cell>
          <cell r="M524">
            <v>46060</v>
          </cell>
          <cell r="N524">
            <v>46065</v>
          </cell>
          <cell r="O524">
            <v>46066</v>
          </cell>
          <cell r="P524">
            <v>107983437110</v>
          </cell>
          <cell r="Q524">
            <v>46064</v>
          </cell>
          <cell r="R524" t="str">
            <v>No inspection</v>
          </cell>
          <cell r="S524">
            <v>3261.37</v>
          </cell>
          <cell r="T524" t="str">
            <v>CIF</v>
          </cell>
          <cell r="U524" t="str">
            <v>LUC</v>
          </cell>
        </row>
        <row r="525">
          <cell r="D525">
            <v>10</v>
          </cell>
          <cell r="F525">
            <v>888596472191</v>
          </cell>
          <cell r="G525" t="str">
            <v>VITAL SYSTEM TECHNOLOGY PTE LTD</v>
          </cell>
          <cell r="H525" t="str">
            <v>Delivered</v>
          </cell>
          <cell r="I525" t="str">
            <v>RES, DIO, CAP</v>
          </cell>
          <cell r="J525" t="str">
            <v>Fedex</v>
          </cell>
          <cell r="K525" t="str">
            <v>VVMV</v>
          </cell>
          <cell r="L525" t="str">
            <v>SG</v>
          </cell>
          <cell r="M525">
            <v>46062</v>
          </cell>
          <cell r="N525">
            <v>46065</v>
          </cell>
          <cell r="O525">
            <v>46065</v>
          </cell>
          <cell r="P525">
            <v>107983139610</v>
          </cell>
          <cell r="Q525">
            <v>46064</v>
          </cell>
          <cell r="R525" t="str">
            <v>No inspection</v>
          </cell>
          <cell r="S525">
            <v>3291</v>
          </cell>
          <cell r="T525" t="str">
            <v>EXW</v>
          </cell>
          <cell r="U525" t="str">
            <v>PUR</v>
          </cell>
        </row>
        <row r="526">
          <cell r="D526">
            <v>1</v>
          </cell>
          <cell r="F526">
            <v>888589939139</v>
          </cell>
          <cell r="G526" t="str">
            <v>CYMMETRIK SHENZHEN PRINTING CO., LTD</v>
          </cell>
          <cell r="H526" t="str">
            <v>Delivered</v>
          </cell>
          <cell r="I526" t="str">
            <v>LAB</v>
          </cell>
          <cell r="J526" t="str">
            <v>Fedex</v>
          </cell>
          <cell r="K526" t="str">
            <v>VVMV</v>
          </cell>
          <cell r="L526" t="str">
            <v>CN</v>
          </cell>
          <cell r="M526">
            <v>46062</v>
          </cell>
          <cell r="N526">
            <v>46065</v>
          </cell>
          <cell r="O526">
            <v>46066</v>
          </cell>
          <cell r="P526">
            <v>107983291620</v>
          </cell>
          <cell r="Q526">
            <v>46064</v>
          </cell>
          <cell r="R526" t="str">
            <v>No inspection</v>
          </cell>
          <cell r="S526">
            <v>437.5</v>
          </cell>
          <cell r="T526" t="str">
            <v>EXW</v>
          </cell>
          <cell r="U526" t="str">
            <v>PUR</v>
          </cell>
        </row>
        <row r="527">
          <cell r="D527">
            <v>26.5</v>
          </cell>
          <cell r="F527">
            <v>510007302489</v>
          </cell>
          <cell r="G527" t="str">
            <v>SINO FAITH TECHNOLOGY  DVPT LTD</v>
          </cell>
          <cell r="H527" t="str">
            <v>Delivered</v>
          </cell>
          <cell r="I527" t="str">
            <v>RES, CAP, FER</v>
          </cell>
          <cell r="J527" t="str">
            <v>Fedex</v>
          </cell>
          <cell r="K527" t="str">
            <v>VVMV</v>
          </cell>
          <cell r="L527" t="str">
            <v>HK</v>
          </cell>
          <cell r="M527">
            <v>46063</v>
          </cell>
          <cell r="N527">
            <v>46065</v>
          </cell>
          <cell r="O527">
            <v>46066</v>
          </cell>
          <cell r="P527">
            <v>107983843920</v>
          </cell>
          <cell r="Q527">
            <v>46064</v>
          </cell>
          <cell r="R527" t="str">
            <v>No inspection</v>
          </cell>
          <cell r="S527">
            <v>7743.8</v>
          </cell>
          <cell r="T527" t="str">
            <v>EXW</v>
          </cell>
          <cell r="U527" t="str">
            <v>PUR</v>
          </cell>
        </row>
        <row r="528">
          <cell r="D528">
            <v>32.5</v>
          </cell>
          <cell r="F528">
            <v>473838403219</v>
          </cell>
          <cell r="G528" t="str">
            <v>AVNET ASIA PTE LTD</v>
          </cell>
          <cell r="H528" t="str">
            <v>Delivered</v>
          </cell>
          <cell r="I528" t="str">
            <v>RES, CAP, FER, DIO, IND, TRA</v>
          </cell>
          <cell r="J528" t="str">
            <v>Fedex</v>
          </cell>
          <cell r="K528" t="str">
            <v>VVMV</v>
          </cell>
          <cell r="L528" t="str">
            <v>SG</v>
          </cell>
          <cell r="M528">
            <v>46060</v>
          </cell>
          <cell r="N528">
            <v>46065</v>
          </cell>
          <cell r="O528">
            <v>46066</v>
          </cell>
          <cell r="P528">
            <v>107983920920</v>
          </cell>
          <cell r="Q528">
            <v>46064</v>
          </cell>
          <cell r="R528" t="str">
            <v>No inspection</v>
          </cell>
          <cell r="S528">
            <v>4941.58</v>
          </cell>
          <cell r="T528" t="str">
            <v>EXW</v>
          </cell>
          <cell r="U528" t="str">
            <v>LUC</v>
          </cell>
        </row>
        <row r="529">
          <cell r="D529">
            <v>41.5</v>
          </cell>
          <cell r="F529">
            <v>888599621677</v>
          </cell>
          <cell r="G529" t="str">
            <v>WT MICROELECTRONICS (S) PTE LTD</v>
          </cell>
          <cell r="H529" t="str">
            <v>Delivered</v>
          </cell>
          <cell r="I529" t="str">
            <v>IC , CAP</v>
          </cell>
          <cell r="J529" t="str">
            <v>Fedex</v>
          </cell>
          <cell r="K529" t="str">
            <v>VVMV</v>
          </cell>
          <cell r="L529" t="str">
            <v>SG</v>
          </cell>
          <cell r="M529">
            <v>46062</v>
          </cell>
          <cell r="N529">
            <v>46065</v>
          </cell>
          <cell r="O529">
            <v>46066</v>
          </cell>
          <cell r="P529">
            <v>107983246120</v>
          </cell>
          <cell r="Q529">
            <v>46064</v>
          </cell>
          <cell r="R529" t="str">
            <v>No inspection</v>
          </cell>
          <cell r="S529">
            <v>96731.22</v>
          </cell>
          <cell r="T529" t="str">
            <v>EXW</v>
          </cell>
          <cell r="U529" t="str">
            <v>EF-</v>
          </cell>
        </row>
        <row r="530">
          <cell r="D530">
            <v>2</v>
          </cell>
          <cell r="F530">
            <v>480410700054</v>
          </cell>
          <cell r="G530" t="str">
            <v>MICRON SEMICONDUCTOR XIAN CO, LTD</v>
          </cell>
          <cell r="H530" t="str">
            <v>Delivered</v>
          </cell>
          <cell r="I530" t="str">
            <v>MEM</v>
          </cell>
          <cell r="J530" t="str">
            <v>Fedex</v>
          </cell>
          <cell r="K530" t="str">
            <v>VVMV</v>
          </cell>
          <cell r="L530" t="str">
            <v>CN</v>
          </cell>
          <cell r="M530">
            <v>46062</v>
          </cell>
          <cell r="N530">
            <v>46065</v>
          </cell>
          <cell r="O530">
            <v>46066</v>
          </cell>
          <cell r="P530">
            <v>107983956140</v>
          </cell>
          <cell r="Q530">
            <v>46064</v>
          </cell>
          <cell r="R530" t="str">
            <v>No inspection</v>
          </cell>
          <cell r="S530">
            <v>15720</v>
          </cell>
          <cell r="T530" t="str">
            <v>EXW</v>
          </cell>
          <cell r="U530" t="str">
            <v>HLO</v>
          </cell>
        </row>
        <row r="531">
          <cell r="D531">
            <v>3</v>
          </cell>
          <cell r="F531">
            <v>513464614009</v>
          </cell>
          <cell r="G531" t="str">
            <v>Micron Memory Malaysia Sdn. Bh</v>
          </cell>
          <cell r="H531" t="str">
            <v>Delivered</v>
          </cell>
          <cell r="I531" t="str">
            <v>MEM</v>
          </cell>
          <cell r="J531" t="str">
            <v>Fedex</v>
          </cell>
          <cell r="K531" t="str">
            <v>VVMV</v>
          </cell>
          <cell r="L531" t="str">
            <v>MY</v>
          </cell>
          <cell r="M531">
            <v>46063</v>
          </cell>
          <cell r="N531">
            <v>46065</v>
          </cell>
          <cell r="O531">
            <v>46066</v>
          </cell>
          <cell r="P531">
            <v>107983559500</v>
          </cell>
          <cell r="Q531">
            <v>46064</v>
          </cell>
          <cell r="R531" t="str">
            <v>No inspection</v>
          </cell>
          <cell r="S531">
            <v>149117.29</v>
          </cell>
          <cell r="T531" t="str">
            <v>CIF</v>
          </cell>
          <cell r="U531" t="str">
            <v>PUR</v>
          </cell>
        </row>
        <row r="532">
          <cell r="D532">
            <v>146</v>
          </cell>
          <cell r="F532">
            <v>888500058797</v>
          </cell>
          <cell r="G532" t="str">
            <v>NINGBO XUSHENG GROUP CO.,LTD</v>
          </cell>
          <cell r="H532" t="str">
            <v>Delivered</v>
          </cell>
          <cell r="I532" t="str">
            <v>TOP</v>
          </cell>
          <cell r="J532" t="str">
            <v>Fedex</v>
          </cell>
          <cell r="K532" t="str">
            <v>VVMV</v>
          </cell>
          <cell r="L532" t="str">
            <v>CN</v>
          </cell>
          <cell r="M532">
            <v>46059</v>
          </cell>
          <cell r="N532">
            <v>46065</v>
          </cell>
          <cell r="O532">
            <v>46066</v>
          </cell>
          <cell r="P532">
            <v>107983654110</v>
          </cell>
          <cell r="Q532">
            <v>46064</v>
          </cell>
          <cell r="R532" t="str">
            <v>No inspection</v>
          </cell>
          <cell r="S532">
            <v>1588</v>
          </cell>
          <cell r="T532" t="str">
            <v>CIF</v>
          </cell>
          <cell r="U532" t="str">
            <v>LUC</v>
          </cell>
        </row>
        <row r="533">
          <cell r="D533">
            <v>119</v>
          </cell>
          <cell r="F533">
            <v>4711911695</v>
          </cell>
          <cell r="G533" t="str">
            <v>AVNET ASIA PTE LTD</v>
          </cell>
          <cell r="H533" t="str">
            <v>Delivered</v>
          </cell>
          <cell r="I533" t="str">
            <v xml:space="preserve">	CA, CAP, RES, OSC, CMC, DIO, IND, FER, IC , TRA</v>
          </cell>
          <cell r="J533" t="str">
            <v>Expeditors</v>
          </cell>
          <cell r="K533" t="str">
            <v>VVMV</v>
          </cell>
          <cell r="L533" t="str">
            <v>SG</v>
          </cell>
          <cell r="M533">
            <v>46059</v>
          </cell>
          <cell r="N533">
            <v>46065</v>
          </cell>
          <cell r="O533">
            <v>46065</v>
          </cell>
          <cell r="P533">
            <v>107983635650</v>
          </cell>
          <cell r="Q533">
            <v>46064</v>
          </cell>
          <cell r="R533" t="str">
            <v>No inspection</v>
          </cell>
          <cell r="S533">
            <v>28982.17</v>
          </cell>
          <cell r="T533" t="str">
            <v>FCA</v>
          </cell>
          <cell r="U533" t="str">
            <v>LUC</v>
          </cell>
        </row>
        <row r="534">
          <cell r="D534">
            <v>143</v>
          </cell>
          <cell r="F534">
            <v>4110333660</v>
          </cell>
          <cell r="G534" t="str">
            <v>Avnet, Inc.</v>
          </cell>
          <cell r="H534" t="str">
            <v>Delivered</v>
          </cell>
          <cell r="I534" t="str">
            <v>CON</v>
          </cell>
          <cell r="J534" t="str">
            <v>Expeditors</v>
          </cell>
          <cell r="K534" t="str">
            <v>VVMV</v>
          </cell>
          <cell r="L534" t="str">
            <v>US</v>
          </cell>
          <cell r="M534">
            <v>46058</v>
          </cell>
          <cell r="N534">
            <v>46076</v>
          </cell>
          <cell r="O534">
            <v>46077</v>
          </cell>
          <cell r="P534">
            <v>107988079250</v>
          </cell>
          <cell r="Q534">
            <v>46066</v>
          </cell>
          <cell r="R534" t="str">
            <v>No inspection</v>
          </cell>
          <cell r="S534">
            <v>4082.4</v>
          </cell>
          <cell r="T534" t="str">
            <v>DAP</v>
          </cell>
          <cell r="U534" t="str">
            <v>LUC</v>
          </cell>
        </row>
        <row r="535">
          <cell r="D535">
            <v>70.5</v>
          </cell>
          <cell r="F535">
            <v>4110333678</v>
          </cell>
          <cell r="G535" t="str">
            <v>Avnet, Inc.</v>
          </cell>
          <cell r="H535" t="str">
            <v>Delivered</v>
          </cell>
          <cell r="I535" t="str">
            <v>CON</v>
          </cell>
          <cell r="J535" t="str">
            <v>Expeditors</v>
          </cell>
          <cell r="K535" t="str">
            <v>VVMV</v>
          </cell>
          <cell r="L535" t="str">
            <v>US</v>
          </cell>
          <cell r="M535">
            <v>46058</v>
          </cell>
          <cell r="N535">
            <v>46076</v>
          </cell>
          <cell r="O535">
            <v>46077</v>
          </cell>
          <cell r="P535">
            <v>107988186240</v>
          </cell>
          <cell r="Q535">
            <v>46066</v>
          </cell>
          <cell r="R535" t="str">
            <v>No inspection</v>
          </cell>
          <cell r="S535">
            <v>2131.92</v>
          </cell>
          <cell r="T535" t="str">
            <v>DAP</v>
          </cell>
          <cell r="U535" t="str">
            <v>LUC</v>
          </cell>
        </row>
        <row r="536">
          <cell r="D536">
            <v>0.5</v>
          </cell>
          <cell r="F536">
            <v>419341616448</v>
          </cell>
          <cell r="G536" t="str">
            <v>VENKEL LTD</v>
          </cell>
          <cell r="H536" t="str">
            <v>Delivered</v>
          </cell>
          <cell r="I536" t="str">
            <v>RES</v>
          </cell>
          <cell r="J536" t="str">
            <v>Fedex</v>
          </cell>
          <cell r="K536" t="str">
            <v>VVMV</v>
          </cell>
          <cell r="L536" t="str">
            <v>US</v>
          </cell>
          <cell r="M536">
            <v>46062</v>
          </cell>
          <cell r="N536">
            <v>46066</v>
          </cell>
          <cell r="O536">
            <v>46076</v>
          </cell>
          <cell r="P536">
            <v>107986368600</v>
          </cell>
          <cell r="Q536">
            <v>46065</v>
          </cell>
          <cell r="R536" t="str">
            <v>No inspection</v>
          </cell>
          <cell r="S536">
            <v>5.3</v>
          </cell>
          <cell r="T536" t="str">
            <v>CIF</v>
          </cell>
          <cell r="U536" t="str">
            <v>EF-</v>
          </cell>
        </row>
        <row r="537">
          <cell r="D537">
            <v>79</v>
          </cell>
          <cell r="F537">
            <v>497354639351</v>
          </cell>
          <cell r="G537" t="str">
            <v>A&amp;E RISING TECHNOLOGIES LTD</v>
          </cell>
          <cell r="H537" t="str">
            <v>Delivered</v>
          </cell>
          <cell r="I537" t="str">
            <v>FAB, PCB</v>
          </cell>
          <cell r="J537" t="str">
            <v>Fedex</v>
          </cell>
          <cell r="K537" t="str">
            <v>VVMV</v>
          </cell>
          <cell r="L537" t="str">
            <v>HK</v>
          </cell>
          <cell r="M537">
            <v>46063</v>
          </cell>
          <cell r="N537">
            <v>46066</v>
          </cell>
          <cell r="O537">
            <v>46066</v>
          </cell>
          <cell r="P537">
            <v>107986078060</v>
          </cell>
          <cell r="Q537">
            <v>46065</v>
          </cell>
          <cell r="R537" t="str">
            <v>No inspection</v>
          </cell>
          <cell r="S537">
            <v>8293.5</v>
          </cell>
          <cell r="T537" t="str">
            <v>EXW</v>
          </cell>
          <cell r="U537" t="str">
            <v>EF-</v>
          </cell>
        </row>
        <row r="538">
          <cell r="D538">
            <v>1</v>
          </cell>
          <cell r="F538">
            <v>119209681769</v>
          </cell>
          <cell r="G538" t="str">
            <v>FUTURE ELECTRONICS FICE</v>
          </cell>
          <cell r="H538" t="str">
            <v>Delivered</v>
          </cell>
          <cell r="I538" t="str">
            <v>DIO</v>
          </cell>
          <cell r="J538" t="str">
            <v>Fedex</v>
          </cell>
          <cell r="K538" t="str">
            <v>VVMV</v>
          </cell>
          <cell r="L538" t="str">
            <v>US</v>
          </cell>
          <cell r="M538">
            <v>46062</v>
          </cell>
          <cell r="N538">
            <v>46066</v>
          </cell>
          <cell r="O538">
            <v>46066</v>
          </cell>
          <cell r="P538">
            <v>107986367310</v>
          </cell>
          <cell r="Q538">
            <v>46065</v>
          </cell>
          <cell r="R538" t="str">
            <v>No inspection</v>
          </cell>
          <cell r="S538">
            <v>133.19999999999999</v>
          </cell>
          <cell r="T538" t="str">
            <v>CIF</v>
          </cell>
          <cell r="U538" t="str">
            <v>LUC</v>
          </cell>
        </row>
        <row r="539">
          <cell r="D539">
            <v>11</v>
          </cell>
          <cell r="F539">
            <v>888600116969</v>
          </cell>
          <cell r="G539" t="str">
            <v>TECHFORD INT LTD</v>
          </cell>
          <cell r="H539" t="str">
            <v>Delivered</v>
          </cell>
          <cell r="I539" t="str">
            <v>MEC</v>
          </cell>
          <cell r="J539" t="str">
            <v>Fedex</v>
          </cell>
          <cell r="K539" t="str">
            <v>VVMV</v>
          </cell>
          <cell r="L539" t="str">
            <v>HK</v>
          </cell>
          <cell r="M539">
            <v>46063</v>
          </cell>
          <cell r="N539">
            <v>46066</v>
          </cell>
          <cell r="O539">
            <v>46066</v>
          </cell>
          <cell r="P539">
            <v>107986036760</v>
          </cell>
          <cell r="Q539">
            <v>46065</v>
          </cell>
          <cell r="R539" t="str">
            <v>No inspection</v>
          </cell>
          <cell r="S539">
            <v>960.96</v>
          </cell>
          <cell r="T539" t="str">
            <v>EXW</v>
          </cell>
          <cell r="U539" t="str">
            <v>PUR</v>
          </cell>
        </row>
        <row r="540">
          <cell r="D540">
            <v>2.5</v>
          </cell>
          <cell r="F540">
            <v>513116883221</v>
          </cell>
          <cell r="G540" t="str">
            <v>DIGI-KEY ELECTRONICS</v>
          </cell>
          <cell r="H540" t="str">
            <v>Delivered</v>
          </cell>
          <cell r="I540" t="str">
            <v xml:space="preserve">IC </v>
          </cell>
          <cell r="J540" t="str">
            <v>Fedex</v>
          </cell>
          <cell r="K540" t="str">
            <v>VVMV</v>
          </cell>
          <cell r="L540" t="str">
            <v>US</v>
          </cell>
          <cell r="M540">
            <v>46062</v>
          </cell>
          <cell r="N540">
            <v>46066</v>
          </cell>
          <cell r="O540">
            <v>46066</v>
          </cell>
          <cell r="P540">
            <v>107986429240</v>
          </cell>
          <cell r="Q540">
            <v>46065</v>
          </cell>
          <cell r="R540" t="str">
            <v>No inspection</v>
          </cell>
          <cell r="S540">
            <v>1472</v>
          </cell>
          <cell r="T540" t="str">
            <v>CIF</v>
          </cell>
          <cell r="U540" t="str">
            <v>PUR</v>
          </cell>
        </row>
        <row r="541">
          <cell r="D541">
            <v>0.5</v>
          </cell>
          <cell r="F541">
            <v>887612138813</v>
          </cell>
          <cell r="G541" t="str">
            <v>WHITE HORSE LABORATORIES LTD</v>
          </cell>
          <cell r="H541" t="str">
            <v>Delivered</v>
          </cell>
          <cell r="I541" t="str">
            <v>TRA</v>
          </cell>
          <cell r="J541" t="str">
            <v>Fedex</v>
          </cell>
          <cell r="K541" t="str">
            <v>VVMV</v>
          </cell>
          <cell r="L541" t="str">
            <v>HK</v>
          </cell>
          <cell r="M541">
            <v>46027</v>
          </cell>
          <cell r="N541">
            <v>46066</v>
          </cell>
          <cell r="O541">
            <v>46066</v>
          </cell>
          <cell r="P541">
            <v>107985657510</v>
          </cell>
          <cell r="Q541">
            <v>46065</v>
          </cell>
          <cell r="R541" t="str">
            <v>No inspection</v>
          </cell>
          <cell r="S541">
            <v>224.7</v>
          </cell>
          <cell r="T541" t="str">
            <v>EXW</v>
          </cell>
          <cell r="U541" t="str">
            <v>LUC</v>
          </cell>
        </row>
        <row r="542">
          <cell r="D542">
            <v>25</v>
          </cell>
          <cell r="F542">
            <v>679865596580</v>
          </cell>
          <cell r="G542" t="str">
            <v>AVNET TECH HK LTD (1602 - HX64)</v>
          </cell>
          <cell r="H542" t="str">
            <v>Delivered</v>
          </cell>
          <cell r="I542" t="str">
            <v xml:space="preserve">IC </v>
          </cell>
          <cell r="J542" t="str">
            <v>Fedex</v>
          </cell>
          <cell r="K542" t="str">
            <v>VVMV</v>
          </cell>
          <cell r="L542" t="str">
            <v>HK</v>
          </cell>
          <cell r="M542">
            <v>46064</v>
          </cell>
          <cell r="N542">
            <v>46066</v>
          </cell>
          <cell r="O542">
            <v>46076</v>
          </cell>
          <cell r="P542">
            <v>107985872300</v>
          </cell>
          <cell r="Q542">
            <v>46065</v>
          </cell>
          <cell r="R542" t="str">
            <v>No inspection</v>
          </cell>
          <cell r="S542">
            <v>85536</v>
          </cell>
          <cell r="T542" t="str">
            <v>EXW</v>
          </cell>
          <cell r="U542" t="str">
            <v>LUC</v>
          </cell>
        </row>
        <row r="543">
          <cell r="D543">
            <v>58.5</v>
          </cell>
          <cell r="F543">
            <v>511003385096</v>
          </cell>
          <cell r="G543" t="str">
            <v>TTI INC</v>
          </cell>
          <cell r="H543" t="str">
            <v>Delivered</v>
          </cell>
          <cell r="I543" t="str">
            <v xml:space="preserve">CON </v>
          </cell>
          <cell r="J543" t="str">
            <v>Fedex</v>
          </cell>
          <cell r="K543" t="str">
            <v>VVMV</v>
          </cell>
          <cell r="L543" t="str">
            <v>US</v>
          </cell>
          <cell r="M543">
            <v>46062</v>
          </cell>
          <cell r="N543">
            <v>46076</v>
          </cell>
          <cell r="O543">
            <v>46076</v>
          </cell>
          <cell r="P543">
            <v>107987889920</v>
          </cell>
          <cell r="Q543">
            <v>46066</v>
          </cell>
          <cell r="R543" t="str">
            <v>No inspection</v>
          </cell>
          <cell r="S543">
            <v>8032.5</v>
          </cell>
          <cell r="T543" t="str">
            <v>CIF</v>
          </cell>
          <cell r="U543" t="str">
            <v>LUC</v>
          </cell>
        </row>
        <row r="544">
          <cell r="D544">
            <v>1</v>
          </cell>
          <cell r="F544">
            <v>398627170959</v>
          </cell>
          <cell r="G544" t="str">
            <v>VELOCITY ELECTRONICS ASIA PTE LTD</v>
          </cell>
          <cell r="H544" t="str">
            <v>Delivered</v>
          </cell>
          <cell r="I544" t="str">
            <v>DIOD, IC V, IC S</v>
          </cell>
          <cell r="J544" t="str">
            <v>Fedex</v>
          </cell>
          <cell r="K544" t="str">
            <v>VVMV</v>
          </cell>
          <cell r="L544" t="str">
            <v>SG</v>
          </cell>
          <cell r="M544">
            <v>46064</v>
          </cell>
          <cell r="N544">
            <v>46076</v>
          </cell>
          <cell r="O544">
            <v>46076</v>
          </cell>
          <cell r="P544">
            <v>107988048230</v>
          </cell>
          <cell r="Q544">
            <v>46066</v>
          </cell>
          <cell r="R544" t="str">
            <v>No inspection</v>
          </cell>
          <cell r="S544">
            <v>1692.53</v>
          </cell>
          <cell r="T544" t="str">
            <v>CIF</v>
          </cell>
          <cell r="U544">
            <v>169</v>
          </cell>
        </row>
        <row r="545">
          <cell r="D545">
            <v>0.5</v>
          </cell>
          <cell r="F545">
            <v>888712603649</v>
          </cell>
          <cell r="G545" t="str">
            <v>CONCORD ADVANCED TECHNOLOGY CO,LTD.</v>
          </cell>
          <cell r="H545" t="str">
            <v>Delivered</v>
          </cell>
          <cell r="I545" t="str">
            <v>IC D</v>
          </cell>
          <cell r="J545" t="str">
            <v>Fedex</v>
          </cell>
          <cell r="K545" t="str">
            <v>VVMV</v>
          </cell>
          <cell r="L545" t="str">
            <v>TW</v>
          </cell>
          <cell r="M545">
            <v>46065</v>
          </cell>
          <cell r="N545">
            <v>46077</v>
          </cell>
          <cell r="O545">
            <v>46077</v>
          </cell>
          <cell r="P545">
            <v>107990099120</v>
          </cell>
          <cell r="Q545">
            <v>46076</v>
          </cell>
          <cell r="R545" t="str">
            <v>No inspection</v>
          </cell>
          <cell r="S545">
            <v>1060</v>
          </cell>
          <cell r="T545" t="str">
            <v>EXW</v>
          </cell>
          <cell r="U545" t="str">
            <v>AIC</v>
          </cell>
        </row>
        <row r="546">
          <cell r="D546">
            <v>1</v>
          </cell>
          <cell r="F546">
            <v>499614243214</v>
          </cell>
          <cell r="G546" t="str">
            <v>FUTURE ELECTRONICS</v>
          </cell>
          <cell r="H546" t="str">
            <v>Delivered</v>
          </cell>
          <cell r="I546" t="str">
            <v xml:space="preserve">IND </v>
          </cell>
          <cell r="J546" t="str">
            <v>Fedex</v>
          </cell>
          <cell r="K546" t="str">
            <v>VVMV</v>
          </cell>
          <cell r="L546" t="str">
            <v>US</v>
          </cell>
          <cell r="M546">
            <v>46062</v>
          </cell>
          <cell r="N546">
            <v>46076</v>
          </cell>
          <cell r="O546">
            <v>46076</v>
          </cell>
          <cell r="P546">
            <v>107987826550</v>
          </cell>
          <cell r="Q546">
            <v>46066</v>
          </cell>
          <cell r="R546" t="str">
            <v>No inspection</v>
          </cell>
          <cell r="S546">
            <v>1320</v>
          </cell>
          <cell r="T546" t="str">
            <v>CIF</v>
          </cell>
          <cell r="U546" t="str">
            <v>LUC</v>
          </cell>
        </row>
        <row r="547">
          <cell r="D547">
            <v>27.5</v>
          </cell>
          <cell r="F547">
            <v>513416444060</v>
          </cell>
          <cell r="G547" t="str">
            <v>ARROW ELECTRONICS, INC.</v>
          </cell>
          <cell r="H547" t="str">
            <v>Delivered</v>
          </cell>
          <cell r="I547" t="str">
            <v xml:space="preserve">IC I, CAP </v>
          </cell>
          <cell r="J547" t="str">
            <v>Fedex</v>
          </cell>
          <cell r="K547" t="str">
            <v>VVMV</v>
          </cell>
          <cell r="L547" t="str">
            <v>US</v>
          </cell>
          <cell r="M547">
            <v>46063</v>
          </cell>
          <cell r="N547">
            <v>46076</v>
          </cell>
          <cell r="O547">
            <v>46076</v>
          </cell>
          <cell r="P547">
            <v>107987865530</v>
          </cell>
          <cell r="Q547">
            <v>46066</v>
          </cell>
          <cell r="R547" t="str">
            <v>No inspection</v>
          </cell>
          <cell r="S547">
            <v>11105.1</v>
          </cell>
          <cell r="T547" t="str">
            <v>CIF</v>
          </cell>
          <cell r="U547" t="str">
            <v>LUC</v>
          </cell>
        </row>
        <row r="548">
          <cell r="D548">
            <v>9.5</v>
          </cell>
          <cell r="F548">
            <v>679865596694</v>
          </cell>
          <cell r="G548" t="str">
            <v>AVNET TECH HK LTD (1602 - HX64)</v>
          </cell>
          <cell r="H548" t="str">
            <v>Delivered</v>
          </cell>
          <cell r="I548" t="str">
            <v>IC A</v>
          </cell>
          <cell r="J548" t="str">
            <v>Fedex</v>
          </cell>
          <cell r="K548" t="str">
            <v>VVMV</v>
          </cell>
          <cell r="L548" t="str">
            <v>HK</v>
          </cell>
          <cell r="M548">
            <v>46065</v>
          </cell>
          <cell r="N548">
            <v>46076</v>
          </cell>
          <cell r="O548">
            <v>46076</v>
          </cell>
          <cell r="P548">
            <v>107988078550</v>
          </cell>
          <cell r="Q548">
            <v>46066</v>
          </cell>
          <cell r="R548" t="str">
            <v>No inspection</v>
          </cell>
          <cell r="S548">
            <v>32076</v>
          </cell>
          <cell r="T548" t="str">
            <v>EXW</v>
          </cell>
          <cell r="U548" t="str">
            <v>LUC</v>
          </cell>
        </row>
        <row r="549">
          <cell r="D549">
            <v>58</v>
          </cell>
          <cell r="F549">
            <v>888637817332</v>
          </cell>
          <cell r="G549" t="str">
            <v>CHENG FWA INDUSTRIAL CO., LTD</v>
          </cell>
          <cell r="H549" t="str">
            <v>Delivered</v>
          </cell>
          <cell r="I549" t="str">
            <v>BOTT</v>
          </cell>
          <cell r="J549" t="str">
            <v>Fedex</v>
          </cell>
          <cell r="K549" t="str">
            <v>VVMV</v>
          </cell>
          <cell r="L549" t="str">
            <v>TW</v>
          </cell>
          <cell r="M549">
            <v>46063</v>
          </cell>
          <cell r="N549">
            <v>46076</v>
          </cell>
          <cell r="O549">
            <v>46076</v>
          </cell>
          <cell r="P549">
            <v>107987884060</v>
          </cell>
          <cell r="Q549">
            <v>46066</v>
          </cell>
          <cell r="R549" t="str">
            <v>No inspection</v>
          </cell>
          <cell r="S549">
            <v>1020</v>
          </cell>
          <cell r="T549" t="str">
            <v>CIF</v>
          </cell>
          <cell r="U549" t="str">
            <v>LUC</v>
          </cell>
        </row>
        <row r="550">
          <cell r="D550">
            <v>22.5</v>
          </cell>
          <cell r="F550">
            <v>513464651492</v>
          </cell>
          <cell r="G550" t="str">
            <v>Micron Memory Malaysia Sdn. Bh</v>
          </cell>
          <cell r="H550" t="str">
            <v>Delivered</v>
          </cell>
          <cell r="I550" t="str">
            <v xml:space="preserve">MEM </v>
          </cell>
          <cell r="J550" t="str">
            <v>Fedex</v>
          </cell>
          <cell r="K550" t="str">
            <v>VVMV</v>
          </cell>
          <cell r="L550" t="str">
            <v>MY</v>
          </cell>
          <cell r="M550">
            <v>46065</v>
          </cell>
          <cell r="N550">
            <v>46076</v>
          </cell>
          <cell r="O550">
            <v>46076</v>
          </cell>
          <cell r="P550">
            <v>107987868810</v>
          </cell>
          <cell r="Q550">
            <v>46066</v>
          </cell>
          <cell r="R550" t="str">
            <v>No inspection</v>
          </cell>
          <cell r="S550">
            <v>1757140</v>
          </cell>
          <cell r="T550" t="str">
            <v>CIF</v>
          </cell>
          <cell r="U550" t="str">
            <v>PUR</v>
          </cell>
        </row>
        <row r="551">
          <cell r="D551">
            <v>24.5</v>
          </cell>
          <cell r="F551">
            <v>513464654550</v>
          </cell>
          <cell r="G551" t="str">
            <v>Micron Memory Malaysia Sdn. Bh</v>
          </cell>
          <cell r="H551" t="str">
            <v>Delivered</v>
          </cell>
          <cell r="I551" t="str">
            <v xml:space="preserve">MEM </v>
          </cell>
          <cell r="J551" t="str">
            <v>Fedex</v>
          </cell>
          <cell r="K551" t="str">
            <v>VVMV</v>
          </cell>
          <cell r="L551" t="str">
            <v>MY</v>
          </cell>
          <cell r="M551">
            <v>46065</v>
          </cell>
          <cell r="N551">
            <v>46076</v>
          </cell>
          <cell r="O551">
            <v>46076</v>
          </cell>
          <cell r="P551">
            <v>107988049630</v>
          </cell>
          <cell r="Q551">
            <v>46066</v>
          </cell>
          <cell r="R551" t="str">
            <v>No inspection</v>
          </cell>
          <cell r="S551">
            <v>1916880</v>
          </cell>
          <cell r="T551" t="str">
            <v>CIF</v>
          </cell>
          <cell r="U551" t="str">
            <v>PUR</v>
          </cell>
        </row>
        <row r="552">
          <cell r="D552">
            <v>4.5</v>
          </cell>
          <cell r="F552">
            <v>513157416657</v>
          </cell>
          <cell r="G552" t="str">
            <v>MOUSER ELECTRONICS INC</v>
          </cell>
          <cell r="H552" t="str">
            <v>Delivered</v>
          </cell>
          <cell r="I552" t="str">
            <v>IC F, DIOD, IC M, TRAN</v>
          </cell>
          <cell r="J552" t="str">
            <v>Fedex</v>
          </cell>
          <cell r="K552" t="str">
            <v>VVMV</v>
          </cell>
          <cell r="L552" t="str">
            <v>US</v>
          </cell>
          <cell r="M552">
            <v>46065</v>
          </cell>
          <cell r="N552">
            <v>46077</v>
          </cell>
          <cell r="O552">
            <v>46078</v>
          </cell>
          <cell r="P552">
            <v>107993650550</v>
          </cell>
          <cell r="Q552">
            <v>46076</v>
          </cell>
          <cell r="R552" t="str">
            <v>No inspection</v>
          </cell>
          <cell r="S552">
            <v>4683.3100000000004</v>
          </cell>
          <cell r="T552" t="str">
            <v>CIF</v>
          </cell>
          <cell r="U552" t="str">
            <v>LUC</v>
          </cell>
        </row>
        <row r="553">
          <cell r="D553">
            <v>123</v>
          </cell>
          <cell r="F553" t="str">
            <v>LSZHPH2601263</v>
          </cell>
          <cell r="G553" t="str">
            <v>ISU PETASYS INTERNATIONAL (HONGKONG) LIMITED</v>
          </cell>
          <cell r="H553" t="str">
            <v>Delivered</v>
          </cell>
          <cell r="I553" t="str">
            <v xml:space="preserve">PCB </v>
          </cell>
          <cell r="J553" t="str">
            <v>VVMV(sea)</v>
          </cell>
          <cell r="K553" t="str">
            <v>VVMV</v>
          </cell>
          <cell r="L553" t="str">
            <v>CN</v>
          </cell>
          <cell r="M553">
            <v>46068</v>
          </cell>
          <cell r="N553">
            <v>46079</v>
          </cell>
          <cell r="O553">
            <v>46079</v>
          </cell>
          <cell r="P553">
            <v>107993649630</v>
          </cell>
          <cell r="Q553">
            <v>46076</v>
          </cell>
          <cell r="R553" t="str">
            <v>No inspection</v>
          </cell>
          <cell r="S553">
            <v>12771</v>
          </cell>
          <cell r="T553" t="str">
            <v>EXW</v>
          </cell>
          <cell r="U553" t="str">
            <v>HLO</v>
          </cell>
        </row>
        <row r="554">
          <cell r="D554">
            <v>485.1</v>
          </cell>
          <cell r="F554" t="str">
            <v>LSHHPH2601207</v>
          </cell>
          <cell r="G554" t="str">
            <v>SUZHOU CURRENT ELECTRIC LIMITED COMPANY</v>
          </cell>
          <cell r="H554" t="str">
            <v>Delivered</v>
          </cell>
          <cell r="I554" t="str">
            <v>BUSB</v>
          </cell>
          <cell r="J554" t="str">
            <v>Dolphin(sea)</v>
          </cell>
          <cell r="K554" t="str">
            <v>Dolphin</v>
          </cell>
          <cell r="L554" t="str">
            <v>CN</v>
          </cell>
          <cell r="M554">
            <v>46067</v>
          </cell>
          <cell r="N554">
            <v>46080</v>
          </cell>
          <cell r="O554">
            <v>46080</v>
          </cell>
          <cell r="P554">
            <v>107993560400</v>
          </cell>
          <cell r="Q554">
            <v>46076</v>
          </cell>
          <cell r="R554" t="str">
            <v>No inspection</v>
          </cell>
          <cell r="S554">
            <v>15250</v>
          </cell>
          <cell r="T554" t="str">
            <v>EXW</v>
          </cell>
          <cell r="U554" t="str">
            <v>LUC</v>
          </cell>
        </row>
        <row r="555">
          <cell r="D555">
            <v>279.39999999999998</v>
          </cell>
          <cell r="F555">
            <v>1138753630</v>
          </cell>
          <cell r="G555" t="str">
            <v>AVNET - CHANDLER</v>
          </cell>
          <cell r="H555" t="str">
            <v>Delivered</v>
          </cell>
          <cell r="I555" t="str">
            <v>IC L, IC M, CAP , DIOD, IC G, RES , 	RES, IC C, IC S, IC P, CRYS, FERR, TRAN, IC  , COMM, IND , FILT, THER</v>
          </cell>
          <cell r="J555" t="str">
            <v>DHL</v>
          </cell>
          <cell r="K555" t="str">
            <v>VVMV</v>
          </cell>
          <cell r="L555" t="str">
            <v>US</v>
          </cell>
          <cell r="M555">
            <v>46065</v>
          </cell>
          <cell r="N555">
            <v>46078</v>
          </cell>
          <cell r="O555">
            <v>46078</v>
          </cell>
          <cell r="P555" t="str">
            <v>107994990500  107995074720  107995110750</v>
          </cell>
          <cell r="Q555">
            <v>46077</v>
          </cell>
          <cell r="R555" t="str">
            <v>No inspection</v>
          </cell>
          <cell r="S555">
            <v>367792.71</v>
          </cell>
          <cell r="T555" t="str">
            <v>CIF</v>
          </cell>
          <cell r="U555" t="str">
            <v>LUC</v>
          </cell>
        </row>
        <row r="556">
          <cell r="D556">
            <v>1.7</v>
          </cell>
          <cell r="F556">
            <v>5811384460</v>
          </cell>
          <cell r="G556" t="str">
            <v>TTI INC</v>
          </cell>
          <cell r="H556" t="str">
            <v>Delivered</v>
          </cell>
          <cell r="I556" t="str">
            <v>CONN, RES , FERR</v>
          </cell>
          <cell r="J556" t="str">
            <v>DHL</v>
          </cell>
          <cell r="K556" t="str">
            <v>VVMV</v>
          </cell>
          <cell r="L556" t="str">
            <v>US</v>
          </cell>
          <cell r="M556">
            <v>46064</v>
          </cell>
          <cell r="N556">
            <v>46079</v>
          </cell>
          <cell r="O556">
            <v>46080</v>
          </cell>
          <cell r="P556">
            <v>108001285930</v>
          </cell>
          <cell r="Q556">
            <v>46078</v>
          </cell>
          <cell r="R556" t="str">
            <v>No inspection</v>
          </cell>
          <cell r="S556">
            <v>566.4</v>
          </cell>
          <cell r="T556" t="str">
            <v>CIF</v>
          </cell>
          <cell r="U556" t="str">
            <v>LUC</v>
          </cell>
        </row>
        <row r="557">
          <cell r="D557">
            <v>312.89999999999998</v>
          </cell>
          <cell r="F557">
            <v>2746336014</v>
          </cell>
          <cell r="G557" t="str">
            <v>AVNET - CHANDLER</v>
          </cell>
          <cell r="H557" t="str">
            <v>Delivered</v>
          </cell>
          <cell r="I557" t="str">
            <v>IC M, RES , IC L, IND , IC S, CAP , IC F, IC P, TRAN, DIOD, IC C, CRYS, IC R, INDU, IC D, FERR</v>
          </cell>
          <cell r="J557" t="str">
            <v>DHL</v>
          </cell>
          <cell r="K557" t="str">
            <v>VVMV</v>
          </cell>
          <cell r="L557" t="str">
            <v>US</v>
          </cell>
          <cell r="M557">
            <v>46071</v>
          </cell>
          <cell r="N557">
            <v>46078</v>
          </cell>
          <cell r="O557">
            <v>46078</v>
          </cell>
          <cell r="P557" t="str">
            <v>107996336340  107996353510</v>
          </cell>
          <cell r="Q557">
            <v>46077</v>
          </cell>
          <cell r="R557" t="str">
            <v>No inspection</v>
          </cell>
          <cell r="S557">
            <v>405478.40000000002</v>
          </cell>
          <cell r="T557" t="str">
            <v>CIF</v>
          </cell>
          <cell r="U557" t="str">
            <v>LUC</v>
          </cell>
        </row>
        <row r="558">
          <cell r="D558">
            <v>45.5</v>
          </cell>
          <cell r="F558">
            <v>888629021162</v>
          </cell>
          <cell r="G558" t="str">
            <v>WURTH ELECTRONICS MIDCOM</v>
          </cell>
          <cell r="H558" t="str">
            <v>Delivered</v>
          </cell>
          <cell r="I558" t="str">
            <v>IND , FERR</v>
          </cell>
          <cell r="J558" t="str">
            <v>Fedex</v>
          </cell>
          <cell r="K558" t="str">
            <v>VVMV</v>
          </cell>
          <cell r="L558" t="str">
            <v>US</v>
          </cell>
          <cell r="M558">
            <v>46064</v>
          </cell>
          <cell r="N558">
            <v>46077</v>
          </cell>
          <cell r="O558">
            <v>46078</v>
          </cell>
          <cell r="P558">
            <v>107992735320</v>
          </cell>
          <cell r="Q558">
            <v>46076</v>
          </cell>
          <cell r="R558" t="str">
            <v>No inspection</v>
          </cell>
          <cell r="S558">
            <v>58680</v>
          </cell>
          <cell r="T558" t="str">
            <v>CIF</v>
          </cell>
          <cell r="U558" t="str">
            <v>LUC</v>
          </cell>
        </row>
        <row r="559">
          <cell r="D559">
            <v>2.2000000000000002</v>
          </cell>
          <cell r="F559">
            <v>511457132742</v>
          </cell>
          <cell r="G559" t="str">
            <v>WPG SOUTH ASIA PTE LTD</v>
          </cell>
          <cell r="H559" t="str">
            <v>Delivered</v>
          </cell>
          <cell r="I559" t="str">
            <v>TRAN, IC D</v>
          </cell>
          <cell r="J559" t="str">
            <v>Fedex</v>
          </cell>
          <cell r="K559" t="str">
            <v>VVMV</v>
          </cell>
          <cell r="L559" t="str">
            <v>SG</v>
          </cell>
          <cell r="M559">
            <v>46064</v>
          </cell>
          <cell r="N559">
            <v>46078</v>
          </cell>
          <cell r="O559">
            <v>46078</v>
          </cell>
          <cell r="P559">
            <v>107996556140</v>
          </cell>
          <cell r="Q559">
            <v>46077</v>
          </cell>
          <cell r="R559" t="str">
            <v>No inspection</v>
          </cell>
          <cell r="S559">
            <v>1850.6</v>
          </cell>
          <cell r="T559" t="str">
            <v>EXW</v>
          </cell>
          <cell r="U559" t="str">
            <v>LUC</v>
          </cell>
        </row>
        <row r="560">
          <cell r="D560">
            <v>33.5</v>
          </cell>
          <cell r="F560">
            <v>398479835524</v>
          </cell>
          <cell r="G560" t="str">
            <v>ROSENBERGER HOCHFREQUENZTECHNIK</v>
          </cell>
          <cell r="H560" t="str">
            <v>Delivered</v>
          </cell>
          <cell r="I560" t="str">
            <v>CONN</v>
          </cell>
          <cell r="J560" t="str">
            <v>Fedex</v>
          </cell>
          <cell r="K560" t="str">
            <v>VVMV</v>
          </cell>
          <cell r="L560" t="str">
            <v>DE</v>
          </cell>
          <cell r="M560">
            <v>46059</v>
          </cell>
          <cell r="N560">
            <v>46078</v>
          </cell>
          <cell r="O560">
            <v>46079</v>
          </cell>
          <cell r="P560">
            <v>107997460210</v>
          </cell>
          <cell r="Q560">
            <v>46077</v>
          </cell>
          <cell r="R560" t="str">
            <v>No inspection</v>
          </cell>
          <cell r="S560">
            <v>4548.78</v>
          </cell>
          <cell r="T560" t="str">
            <v>CIF</v>
          </cell>
          <cell r="U560" t="str">
            <v>LUC</v>
          </cell>
        </row>
        <row r="561">
          <cell r="D561">
            <v>10.5</v>
          </cell>
          <cell r="F561">
            <v>398580312651</v>
          </cell>
          <cell r="G561" t="str">
            <v>MASTER ELECTRONICS</v>
          </cell>
          <cell r="H561" t="str">
            <v>Delivered</v>
          </cell>
          <cell r="I561" t="str">
            <v xml:space="preserve">CON </v>
          </cell>
          <cell r="J561" t="str">
            <v>Fedex</v>
          </cell>
          <cell r="K561" t="str">
            <v>VVMV</v>
          </cell>
          <cell r="L561" t="str">
            <v>US</v>
          </cell>
          <cell r="M561">
            <v>46062</v>
          </cell>
          <cell r="N561">
            <v>46076</v>
          </cell>
          <cell r="O561">
            <v>46076</v>
          </cell>
          <cell r="P561">
            <v>107990895350</v>
          </cell>
          <cell r="Q561">
            <v>46076</v>
          </cell>
          <cell r="R561" t="str">
            <v>No inspection</v>
          </cell>
          <cell r="S561">
            <v>1386.35</v>
          </cell>
          <cell r="T561" t="str">
            <v>CIF</v>
          </cell>
          <cell r="U561" t="str">
            <v>LUC</v>
          </cell>
        </row>
        <row r="562">
          <cell r="D562">
            <v>5.5</v>
          </cell>
          <cell r="F562">
            <v>513416456350</v>
          </cell>
          <cell r="G562" t="str">
            <v>ARROW ELECTRONICS, INC.</v>
          </cell>
          <cell r="H562" t="str">
            <v>Delivered</v>
          </cell>
          <cell r="I562" t="str">
            <v xml:space="preserve">CAP </v>
          </cell>
          <cell r="J562" t="str">
            <v>Fedex</v>
          </cell>
          <cell r="K562" t="str">
            <v>VVMV</v>
          </cell>
          <cell r="L562" t="str">
            <v>US</v>
          </cell>
          <cell r="M562">
            <v>46064</v>
          </cell>
          <cell r="N562">
            <v>46077</v>
          </cell>
          <cell r="O562">
            <v>46078</v>
          </cell>
          <cell r="P562">
            <v>107992801340</v>
          </cell>
          <cell r="Q562">
            <v>46076</v>
          </cell>
          <cell r="R562" t="str">
            <v>No inspection</v>
          </cell>
          <cell r="S562">
            <v>9128</v>
          </cell>
          <cell r="T562" t="str">
            <v>CIF</v>
          </cell>
          <cell r="U562" t="str">
            <v>LUC</v>
          </cell>
        </row>
        <row r="563">
          <cell r="D563">
            <v>57.5</v>
          </cell>
          <cell r="F563">
            <v>398617194690</v>
          </cell>
          <cell r="G563" t="str">
            <v>ROSENBERGER HOCHFREQUENZTECHNIK</v>
          </cell>
          <cell r="H563" t="str">
            <v>Delivered</v>
          </cell>
          <cell r="I563" t="str">
            <v>CONN</v>
          </cell>
          <cell r="J563" t="str">
            <v>Fedex</v>
          </cell>
          <cell r="K563" t="str">
            <v>VVMV</v>
          </cell>
          <cell r="L563" t="str">
            <v>HU</v>
          </cell>
          <cell r="M563">
            <v>46064</v>
          </cell>
          <cell r="N563">
            <v>46078</v>
          </cell>
          <cell r="O563">
            <v>46079</v>
          </cell>
          <cell r="P563">
            <v>107997344340</v>
          </cell>
          <cell r="Q563">
            <v>46077</v>
          </cell>
          <cell r="R563" t="str">
            <v>No inspection</v>
          </cell>
          <cell r="S563">
            <v>5469.66</v>
          </cell>
          <cell r="T563" t="str">
            <v>CIF</v>
          </cell>
          <cell r="U563" t="str">
            <v>LUC</v>
          </cell>
        </row>
        <row r="564">
          <cell r="D564">
            <v>10</v>
          </cell>
          <cell r="F564">
            <v>660122996283</v>
          </cell>
          <cell r="G564" t="str">
            <v>SDM (SHANGHAI-SDSS</v>
          </cell>
          <cell r="H564" t="str">
            <v>Delivered</v>
          </cell>
          <cell r="I564" t="str">
            <v>IC F</v>
          </cell>
          <cell r="J564" t="str">
            <v>Fedex</v>
          </cell>
          <cell r="K564" t="str">
            <v>VVMV</v>
          </cell>
          <cell r="L564" t="str">
            <v>CN</v>
          </cell>
          <cell r="M564">
            <v>46065</v>
          </cell>
          <cell r="N564">
            <v>46077</v>
          </cell>
          <cell r="O564">
            <v>46078</v>
          </cell>
          <cell r="P564">
            <v>107992905160</v>
          </cell>
          <cell r="Q564">
            <v>46076</v>
          </cell>
          <cell r="R564" t="str">
            <v>No inspection</v>
          </cell>
          <cell r="S564">
            <v>1559631</v>
          </cell>
          <cell r="T564" t="str">
            <v>CIF</v>
          </cell>
          <cell r="U564">
            <v>103</v>
          </cell>
        </row>
        <row r="565">
          <cell r="D565">
            <v>31.5</v>
          </cell>
          <cell r="F565">
            <v>888510965327</v>
          </cell>
          <cell r="G565" t="str">
            <v>ARROW COMPONENTS (M) SDN BHD</v>
          </cell>
          <cell r="H565" t="str">
            <v>Delivered</v>
          </cell>
          <cell r="I565" t="str">
            <v xml:space="preserve">IC S, IC T, SERI, IC L, RES , FUSE, DIOD, TRAN, CAP </v>
          </cell>
          <cell r="J565" t="str">
            <v>Fedex</v>
          </cell>
          <cell r="K565" t="str">
            <v>VVMV</v>
          </cell>
          <cell r="L565" t="str">
            <v>MY</v>
          </cell>
          <cell r="M565">
            <v>46059</v>
          </cell>
          <cell r="N565">
            <v>46077</v>
          </cell>
          <cell r="O565">
            <v>46078</v>
          </cell>
          <cell r="P565">
            <v>107993596650</v>
          </cell>
          <cell r="Q565">
            <v>46076</v>
          </cell>
          <cell r="R565" t="str">
            <v>No inspection</v>
          </cell>
          <cell r="S565">
            <v>36275.78</v>
          </cell>
          <cell r="T565" t="str">
            <v>EXW</v>
          </cell>
          <cell r="U565" t="str">
            <v>LUC</v>
          </cell>
        </row>
        <row r="566">
          <cell r="D566">
            <v>3707</v>
          </cell>
          <cell r="F566" t="str">
            <v>SEBL26020074</v>
          </cell>
          <cell r="G566" t="str">
            <v>SHENNAN CIRCUITS CO.,LTD</v>
          </cell>
          <cell r="H566" t="str">
            <v>Delivered</v>
          </cell>
          <cell r="I566" t="str">
            <v>PCB , PCBU</v>
          </cell>
          <cell r="J566" t="str">
            <v>Dragon</v>
          </cell>
          <cell r="K566" t="str">
            <v>VVMV</v>
          </cell>
          <cell r="L566" t="str">
            <v>CN</v>
          </cell>
          <cell r="M566">
            <v>46071</v>
          </cell>
          <cell r="N566">
            <v>46080</v>
          </cell>
          <cell r="O566">
            <v>46083</v>
          </cell>
          <cell r="P566">
            <v>107993672400</v>
          </cell>
          <cell r="Q566">
            <v>46076</v>
          </cell>
          <cell r="R566" t="str">
            <v>No inspection</v>
          </cell>
          <cell r="S566">
            <v>206584.4</v>
          </cell>
          <cell r="T566" t="str">
            <v>DAP</v>
          </cell>
          <cell r="U566" t="str">
            <v>LUC</v>
          </cell>
        </row>
        <row r="567">
          <cell r="D567">
            <v>3.5</v>
          </cell>
          <cell r="F567">
            <v>888824374363</v>
          </cell>
          <cell r="G567" t="str">
            <v>COMPONENT STOCKERS</v>
          </cell>
          <cell r="H567" t="str">
            <v>Delivered</v>
          </cell>
          <cell r="I567" t="str">
            <v>IC L</v>
          </cell>
          <cell r="J567" t="str">
            <v>Fedex</v>
          </cell>
          <cell r="K567" t="str">
            <v>VVMV</v>
          </cell>
          <cell r="L567" t="str">
            <v>US</v>
          </cell>
          <cell r="M567">
            <v>46069</v>
          </cell>
          <cell r="N567">
            <v>46076</v>
          </cell>
          <cell r="O567">
            <v>46076</v>
          </cell>
          <cell r="P567">
            <v>107990939010</v>
          </cell>
          <cell r="Q567">
            <v>46076</v>
          </cell>
          <cell r="R567" t="str">
            <v>No inspection</v>
          </cell>
          <cell r="S567">
            <v>864</v>
          </cell>
          <cell r="T567" t="str">
            <v>CIF</v>
          </cell>
          <cell r="U567" t="str">
            <v>LUC</v>
          </cell>
        </row>
        <row r="568">
          <cell r="D568">
            <v>7</v>
          </cell>
          <cell r="F568">
            <v>500361823202</v>
          </cell>
          <cell r="G568" t="str">
            <v>MASTER ELECTRONICS</v>
          </cell>
          <cell r="H568" t="str">
            <v>Delivered</v>
          </cell>
          <cell r="I568" t="str">
            <v xml:space="preserve">CON </v>
          </cell>
          <cell r="J568" t="str">
            <v>Fedex</v>
          </cell>
          <cell r="K568" t="str">
            <v>VVMV</v>
          </cell>
          <cell r="L568" t="str">
            <v>US</v>
          </cell>
          <cell r="M568">
            <v>46064</v>
          </cell>
          <cell r="N568">
            <v>46076</v>
          </cell>
          <cell r="O568">
            <v>46076</v>
          </cell>
          <cell r="P568">
            <v>107990843810</v>
          </cell>
          <cell r="Q568">
            <v>46076</v>
          </cell>
          <cell r="R568" t="str">
            <v>No inspection</v>
          </cell>
          <cell r="S568">
            <v>952</v>
          </cell>
          <cell r="T568" t="str">
            <v>CIF</v>
          </cell>
          <cell r="U568" t="str">
            <v>LUC</v>
          </cell>
        </row>
        <row r="569">
          <cell r="D569">
            <v>3</v>
          </cell>
          <cell r="F569">
            <v>398794008170</v>
          </cell>
          <cell r="G569" t="str">
            <v>MASTER ELECTRONICS</v>
          </cell>
          <cell r="H569" t="str">
            <v>Delivered</v>
          </cell>
          <cell r="I569" t="str">
            <v xml:space="preserve">CON </v>
          </cell>
          <cell r="J569" t="str">
            <v>Fedex</v>
          </cell>
          <cell r="K569" t="str">
            <v>VVMV</v>
          </cell>
          <cell r="L569" t="str">
            <v>US</v>
          </cell>
          <cell r="M569">
            <v>46069</v>
          </cell>
          <cell r="N569">
            <v>46076</v>
          </cell>
          <cell r="O569">
            <v>46076</v>
          </cell>
          <cell r="P569">
            <v>107991057640</v>
          </cell>
          <cell r="Q569">
            <v>46076</v>
          </cell>
          <cell r="R569" t="str">
            <v>No inspection</v>
          </cell>
          <cell r="S569">
            <v>297.5</v>
          </cell>
          <cell r="T569" t="str">
            <v>CIF</v>
          </cell>
          <cell r="U569" t="str">
            <v>LUC</v>
          </cell>
        </row>
        <row r="570">
          <cell r="D570">
            <v>83</v>
          </cell>
          <cell r="F570">
            <v>7607579803</v>
          </cell>
          <cell r="G570" t="str">
            <v>ROSENBERGER HOCHFREQUENZTECHNIK</v>
          </cell>
          <cell r="H570" t="str">
            <v>Delivered</v>
          </cell>
          <cell r="I570" t="str">
            <v>CONN</v>
          </cell>
          <cell r="J570" t="str">
            <v>DHL</v>
          </cell>
          <cell r="K570" t="str">
            <v>VVMV</v>
          </cell>
          <cell r="L570" t="str">
            <v>HU</v>
          </cell>
          <cell r="M570">
            <v>46069</v>
          </cell>
          <cell r="N570">
            <v>46077</v>
          </cell>
          <cell r="O570">
            <v>46077</v>
          </cell>
          <cell r="P570">
            <v>107993115860</v>
          </cell>
          <cell r="Q570">
            <v>46076</v>
          </cell>
          <cell r="R570" t="str">
            <v>No inspection</v>
          </cell>
          <cell r="S570">
            <v>8064.71</v>
          </cell>
          <cell r="T570" t="str">
            <v>CIF</v>
          </cell>
          <cell r="U570" t="str">
            <v>LUC</v>
          </cell>
        </row>
        <row r="571">
          <cell r="D571">
            <v>3.5</v>
          </cell>
          <cell r="F571">
            <v>398733755769</v>
          </cell>
          <cell r="G571" t="str">
            <v>O/B ANALOG DEVICES INTERNATIONAL UC
DHL SUPPLY CHAIN MANAGEMENT PHILS</v>
          </cell>
          <cell r="H571" t="str">
            <v>Delivered</v>
          </cell>
          <cell r="I571" t="str">
            <v>IC D</v>
          </cell>
          <cell r="J571" t="str">
            <v>Fedex</v>
          </cell>
          <cell r="K571" t="str">
            <v>VVMV</v>
          </cell>
          <cell r="L571" t="str">
            <v>PH</v>
          </cell>
          <cell r="M571">
            <v>46066</v>
          </cell>
          <cell r="N571">
            <v>46077</v>
          </cell>
          <cell r="O571">
            <v>46078</v>
          </cell>
          <cell r="P571">
            <v>107993315510</v>
          </cell>
          <cell r="Q571">
            <v>46076</v>
          </cell>
          <cell r="R571" t="str">
            <v>No inspection</v>
          </cell>
          <cell r="S571">
            <v>11552</v>
          </cell>
          <cell r="T571" t="str">
            <v>EXW</v>
          </cell>
          <cell r="U571" t="str">
            <v>EF-</v>
          </cell>
        </row>
        <row r="572">
          <cell r="D572">
            <v>1</v>
          </cell>
          <cell r="F572">
            <v>398754976017</v>
          </cell>
          <cell r="G572" t="str">
            <v>O/B ANALOG DEVICES INTERNATIONAL UC
DHL SUPPLY CHAIN MANAGEMENT PHILS</v>
          </cell>
          <cell r="H572" t="str">
            <v>Delivered</v>
          </cell>
          <cell r="I572" t="str">
            <v>IC V</v>
          </cell>
          <cell r="J572" t="str">
            <v>Fedex</v>
          </cell>
          <cell r="K572" t="str">
            <v>VVMV</v>
          </cell>
          <cell r="L572" t="str">
            <v>PH</v>
          </cell>
          <cell r="M572">
            <v>46068</v>
          </cell>
          <cell r="N572">
            <v>46077</v>
          </cell>
          <cell r="O572">
            <v>46078</v>
          </cell>
          <cell r="P572">
            <v>107993234160</v>
          </cell>
          <cell r="Q572">
            <v>46076</v>
          </cell>
          <cell r="R572" t="str">
            <v>No inspection</v>
          </cell>
          <cell r="S572">
            <v>588</v>
          </cell>
          <cell r="T572" t="str">
            <v>EXW</v>
          </cell>
          <cell r="U572" t="str">
            <v>PUR</v>
          </cell>
        </row>
        <row r="573">
          <cell r="D573">
            <v>9.5</v>
          </cell>
          <cell r="F573">
            <v>888750336768</v>
          </cell>
          <cell r="G573" t="str">
            <v>AMPHENOL FCI ASIA PTE LTD</v>
          </cell>
          <cell r="H573" t="str">
            <v>Delivered</v>
          </cell>
          <cell r="I573" t="str">
            <v>CONN</v>
          </cell>
          <cell r="J573" t="str">
            <v>Fedex</v>
          </cell>
          <cell r="K573" t="str">
            <v>VVMV</v>
          </cell>
          <cell r="L573" t="str">
            <v>SG</v>
          </cell>
          <cell r="M573">
            <v>46066</v>
          </cell>
          <cell r="N573">
            <v>46077</v>
          </cell>
          <cell r="O573">
            <v>46078</v>
          </cell>
          <cell r="P573">
            <v>107993255050</v>
          </cell>
          <cell r="Q573">
            <v>46076</v>
          </cell>
          <cell r="R573" t="str">
            <v>No inspection</v>
          </cell>
          <cell r="S573">
            <v>823.68</v>
          </cell>
          <cell r="T573" t="str">
            <v>EXW</v>
          </cell>
          <cell r="U573" t="str">
            <v>EF-</v>
          </cell>
        </row>
        <row r="574">
          <cell r="D574">
            <v>1</v>
          </cell>
          <cell r="F574">
            <v>398839608485</v>
          </cell>
          <cell r="G574" t="str">
            <v>O/B ANALOG DEVICES INTERNATIONAL UC
DHL SUPPLY CHAIN MANAGEMENT PHILS</v>
          </cell>
          <cell r="H574" t="str">
            <v>Delivered</v>
          </cell>
          <cell r="I574" t="str">
            <v>IC D</v>
          </cell>
          <cell r="J574" t="str">
            <v>Fedex</v>
          </cell>
          <cell r="K574" t="str">
            <v>VVMV</v>
          </cell>
          <cell r="L574" t="str">
            <v>PH</v>
          </cell>
          <cell r="M574">
            <v>46071</v>
          </cell>
          <cell r="N574">
            <v>46077</v>
          </cell>
          <cell r="O574">
            <v>46078</v>
          </cell>
          <cell r="P574">
            <v>107993046450</v>
          </cell>
          <cell r="Q574">
            <v>46076</v>
          </cell>
          <cell r="R574" t="str">
            <v>No inspection</v>
          </cell>
          <cell r="S574">
            <v>6420</v>
          </cell>
          <cell r="T574" t="str">
            <v>EXW</v>
          </cell>
          <cell r="U574" t="str">
            <v>LUC</v>
          </cell>
        </row>
        <row r="575">
          <cell r="D575">
            <v>47.5</v>
          </cell>
          <cell r="F575">
            <v>398665559029</v>
          </cell>
          <cell r="G575" t="str">
            <v>ROSENBERGER HOCHFREQUENZTECHNIK</v>
          </cell>
          <cell r="H575" t="str">
            <v>Delivered</v>
          </cell>
          <cell r="I575" t="str">
            <v>CONN</v>
          </cell>
          <cell r="J575" t="str">
            <v>Fedex</v>
          </cell>
          <cell r="K575" t="str">
            <v>VVMV</v>
          </cell>
          <cell r="L575" t="str">
            <v>HU</v>
          </cell>
          <cell r="M575">
            <v>46065</v>
          </cell>
          <cell r="N575">
            <v>46078</v>
          </cell>
          <cell r="O575">
            <v>46079</v>
          </cell>
          <cell r="P575">
            <v>107997526820</v>
          </cell>
          <cell r="Q575">
            <v>46077</v>
          </cell>
          <cell r="R575" t="str">
            <v>No inspection</v>
          </cell>
          <cell r="S575">
            <v>4558.05</v>
          </cell>
          <cell r="T575" t="str">
            <v>CIF</v>
          </cell>
          <cell r="U575" t="str">
            <v>LUC</v>
          </cell>
        </row>
        <row r="576">
          <cell r="D576">
            <v>130</v>
          </cell>
          <cell r="F576">
            <v>398666821832</v>
          </cell>
          <cell r="G576" t="str">
            <v>ROSENBERGER HOCHFREQUENZTECHNIK</v>
          </cell>
          <cell r="H576" t="str">
            <v>Delivered</v>
          </cell>
          <cell r="I576" t="str">
            <v>CONN</v>
          </cell>
          <cell r="J576" t="str">
            <v>Fedex</v>
          </cell>
          <cell r="K576" t="str">
            <v>VVMV</v>
          </cell>
          <cell r="L576" t="str">
            <v>HU</v>
          </cell>
          <cell r="M576">
            <v>46065</v>
          </cell>
          <cell r="N576">
            <v>46078</v>
          </cell>
          <cell r="O576">
            <v>46078</v>
          </cell>
          <cell r="P576">
            <v>107997335240</v>
          </cell>
          <cell r="Q576">
            <v>46077</v>
          </cell>
          <cell r="R576" t="str">
            <v>No inspection</v>
          </cell>
          <cell r="S576">
            <v>10939.32</v>
          </cell>
          <cell r="T576" t="str">
            <v>CIF</v>
          </cell>
          <cell r="U576" t="str">
            <v>LUC</v>
          </cell>
        </row>
        <row r="577">
          <cell r="D577">
            <v>3.5</v>
          </cell>
          <cell r="F577">
            <v>119209685146</v>
          </cell>
          <cell r="G577" t="str">
            <v>FUTURE ELECTRONICS</v>
          </cell>
          <cell r="H577" t="str">
            <v>Delivered</v>
          </cell>
          <cell r="I577" t="str">
            <v>IC S, IC,V, DIOD, TRAN</v>
          </cell>
          <cell r="J577" t="str">
            <v>Fedex</v>
          </cell>
          <cell r="K577" t="str">
            <v>VVMV</v>
          </cell>
          <cell r="L577" t="str">
            <v>US</v>
          </cell>
          <cell r="M577">
            <v>46069</v>
          </cell>
          <cell r="N577">
            <v>46077</v>
          </cell>
          <cell r="O577">
            <v>46078</v>
          </cell>
          <cell r="P577">
            <v>107993331830</v>
          </cell>
          <cell r="Q577">
            <v>46076</v>
          </cell>
          <cell r="R577" t="str">
            <v>No inspection</v>
          </cell>
          <cell r="S577">
            <v>1963.1</v>
          </cell>
          <cell r="T577" t="str">
            <v>CIF</v>
          </cell>
          <cell r="U577" t="str">
            <v>PUR</v>
          </cell>
        </row>
        <row r="578">
          <cell r="D578">
            <v>48.5</v>
          </cell>
          <cell r="F578">
            <v>398667042294</v>
          </cell>
          <cell r="G578" t="str">
            <v>ROSENBERGER HOCHFREQUENZTECHNIK</v>
          </cell>
          <cell r="H578" t="str">
            <v>Delivered</v>
          </cell>
          <cell r="I578" t="str">
            <v>CONN</v>
          </cell>
          <cell r="J578" t="str">
            <v>Fedex</v>
          </cell>
          <cell r="K578" t="str">
            <v>VVMV</v>
          </cell>
          <cell r="L578" t="str">
            <v>HU</v>
          </cell>
          <cell r="M578">
            <v>46065</v>
          </cell>
          <cell r="N578">
            <v>46078</v>
          </cell>
          <cell r="O578">
            <v>46079</v>
          </cell>
          <cell r="P578">
            <v>107997434310</v>
          </cell>
          <cell r="Q578">
            <v>46077</v>
          </cell>
          <cell r="R578" t="str">
            <v>No inspection</v>
          </cell>
          <cell r="S578">
            <v>4558.05</v>
          </cell>
          <cell r="T578" t="str">
            <v>CIF</v>
          </cell>
          <cell r="U578" t="str">
            <v>LUC</v>
          </cell>
        </row>
        <row r="579">
          <cell r="D579">
            <v>21</v>
          </cell>
          <cell r="F579">
            <v>484361654824</v>
          </cell>
          <cell r="G579" t="str">
            <v>COILCRAFT SINGAPORE PTE LTD</v>
          </cell>
          <cell r="H579" t="str">
            <v>Delivered</v>
          </cell>
          <cell r="I579" t="str">
            <v xml:space="preserve">IND </v>
          </cell>
          <cell r="J579" t="str">
            <v>Fedex</v>
          </cell>
          <cell r="K579" t="str">
            <v>VVMV</v>
          </cell>
          <cell r="L579" t="str">
            <v>SG</v>
          </cell>
          <cell r="M579">
            <v>46066</v>
          </cell>
          <cell r="N579">
            <v>46078</v>
          </cell>
          <cell r="O579">
            <v>46079</v>
          </cell>
          <cell r="P579">
            <v>107997422300</v>
          </cell>
          <cell r="Q579">
            <v>46077</v>
          </cell>
          <cell r="R579" t="str">
            <v>No inspection</v>
          </cell>
          <cell r="S579">
            <v>10779.5</v>
          </cell>
          <cell r="T579" t="str">
            <v>EXW</v>
          </cell>
          <cell r="U579" t="str">
            <v>LUC</v>
          </cell>
        </row>
        <row r="580">
          <cell r="D580">
            <v>0.5</v>
          </cell>
          <cell r="F580">
            <v>513416560941</v>
          </cell>
          <cell r="G580" t="str">
            <v>ARROW ELECTRONICS, INC.</v>
          </cell>
          <cell r="H580" t="str">
            <v>Delivered</v>
          </cell>
          <cell r="I580" t="str">
            <v xml:space="preserve">CAP </v>
          </cell>
          <cell r="J580" t="str">
            <v>Fedex</v>
          </cell>
          <cell r="K580" t="str">
            <v>VVMV</v>
          </cell>
          <cell r="L580" t="str">
            <v>US</v>
          </cell>
          <cell r="M580">
            <v>46070</v>
          </cell>
          <cell r="N580">
            <v>46077</v>
          </cell>
          <cell r="O580">
            <v>46078</v>
          </cell>
          <cell r="P580">
            <v>107993451750</v>
          </cell>
          <cell r="Q580">
            <v>46076</v>
          </cell>
          <cell r="R580" t="str">
            <v>No inspection</v>
          </cell>
          <cell r="S580">
            <v>54</v>
          </cell>
          <cell r="T580" t="str">
            <v>CIF</v>
          </cell>
          <cell r="U580" t="str">
            <v>EF-</v>
          </cell>
        </row>
        <row r="581">
          <cell r="D581">
            <v>6</v>
          </cell>
          <cell r="F581">
            <v>480304816621</v>
          </cell>
          <cell r="G581" t="str">
            <v>KIOXIA AMERICA C/O TLGA</v>
          </cell>
          <cell r="H581" t="str">
            <v>Delivered</v>
          </cell>
          <cell r="I581" t="str">
            <v>IC M</v>
          </cell>
          <cell r="J581" t="str">
            <v>Fedex</v>
          </cell>
          <cell r="K581" t="str">
            <v>VVMV</v>
          </cell>
          <cell r="L581" t="str">
            <v>US</v>
          </cell>
          <cell r="M581">
            <v>46066</v>
          </cell>
          <cell r="N581">
            <v>46078</v>
          </cell>
          <cell r="O581">
            <v>46078</v>
          </cell>
          <cell r="P581">
            <v>107996654250</v>
          </cell>
          <cell r="Q581">
            <v>46077</v>
          </cell>
          <cell r="R581" t="str">
            <v>No inspection</v>
          </cell>
          <cell r="S581">
            <v>171600</v>
          </cell>
          <cell r="T581" t="str">
            <v>CIF</v>
          </cell>
          <cell r="U581" t="str">
            <v>LUC</v>
          </cell>
        </row>
        <row r="582">
          <cell r="D582">
            <v>4</v>
          </cell>
          <cell r="F582">
            <v>888744986649</v>
          </cell>
          <cell r="G582" t="str">
            <v>Sandisk Storage sdn. Bhd</v>
          </cell>
          <cell r="H582" t="str">
            <v>Delivered</v>
          </cell>
          <cell r="I582" t="str">
            <v>IC F</v>
          </cell>
          <cell r="J582" t="str">
            <v>Fedex</v>
          </cell>
          <cell r="K582" t="str">
            <v>VVMV</v>
          </cell>
          <cell r="L582" t="str">
            <v>MY</v>
          </cell>
          <cell r="M582">
            <v>46066</v>
          </cell>
          <cell r="N582">
            <v>46077</v>
          </cell>
          <cell r="O582">
            <v>46078</v>
          </cell>
          <cell r="P582">
            <v>107993562940</v>
          </cell>
          <cell r="Q582">
            <v>46076</v>
          </cell>
          <cell r="R582" t="str">
            <v>No inspection</v>
          </cell>
          <cell r="S582">
            <v>1413669</v>
          </cell>
          <cell r="T582" t="str">
            <v>CIF</v>
          </cell>
          <cell r="U582">
            <v>103</v>
          </cell>
        </row>
        <row r="583">
          <cell r="D583">
            <v>28.5</v>
          </cell>
          <cell r="F583">
            <v>409298909439</v>
          </cell>
          <cell r="G583" t="str">
            <v>TTI ELECTRONICS ASIA PTE LTD</v>
          </cell>
          <cell r="H583" t="str">
            <v>Delivered</v>
          </cell>
          <cell r="I583" t="str">
            <v>DIO , CAP , RES , DIOD</v>
          </cell>
          <cell r="J583" t="str">
            <v>Fedex</v>
          </cell>
          <cell r="K583" t="str">
            <v>VVMV</v>
          </cell>
          <cell r="L583" t="str">
            <v>SG</v>
          </cell>
          <cell r="M583">
            <v>46069</v>
          </cell>
          <cell r="N583">
            <v>46077</v>
          </cell>
          <cell r="O583">
            <v>46078</v>
          </cell>
          <cell r="P583">
            <v>107993354010</v>
          </cell>
          <cell r="Q583">
            <v>46076</v>
          </cell>
          <cell r="R583" t="str">
            <v>No inspection</v>
          </cell>
          <cell r="S583">
            <v>7328.8</v>
          </cell>
          <cell r="T583" t="str">
            <v>EXW</v>
          </cell>
          <cell r="U583" t="str">
            <v>LUC</v>
          </cell>
        </row>
        <row r="584">
          <cell r="D584">
            <v>55</v>
          </cell>
          <cell r="F584">
            <v>473838404189</v>
          </cell>
          <cell r="G584" t="str">
            <v>AVNET ASIA PTE LTD</v>
          </cell>
          <cell r="H584" t="str">
            <v>Delivered</v>
          </cell>
          <cell r="I584" t="str">
            <v>TRAN, CAP , RES , IND , INDU</v>
          </cell>
          <cell r="J584" t="str">
            <v>Fedex</v>
          </cell>
          <cell r="K584" t="str">
            <v>VVMV</v>
          </cell>
          <cell r="L584" t="str">
            <v>SG</v>
          </cell>
          <cell r="M584">
            <v>46066</v>
          </cell>
          <cell r="N584">
            <v>46078</v>
          </cell>
          <cell r="O584">
            <v>46079</v>
          </cell>
          <cell r="P584">
            <v>107997090830</v>
          </cell>
          <cell r="Q584">
            <v>46077</v>
          </cell>
          <cell r="R584" t="str">
            <v>No inspection</v>
          </cell>
          <cell r="S584">
            <v>8827.9500000000007</v>
          </cell>
          <cell r="T584" t="str">
            <v>EXW</v>
          </cell>
          <cell r="U584" t="str">
            <v>LUC</v>
          </cell>
        </row>
        <row r="585">
          <cell r="D585">
            <v>169.5</v>
          </cell>
          <cell r="F585">
            <v>477592552913</v>
          </cell>
          <cell r="G585" t="str">
            <v>QUALCOMM CDMA TECHNOLOGIES ASIA-PAC</v>
          </cell>
          <cell r="H585" t="str">
            <v>Delivered</v>
          </cell>
          <cell r="I585" t="str">
            <v>IC C</v>
          </cell>
          <cell r="J585" t="str">
            <v>Fedex</v>
          </cell>
          <cell r="K585" t="str">
            <v>VVMV</v>
          </cell>
          <cell r="L585" t="str">
            <v>SG</v>
          </cell>
          <cell r="M585">
            <v>46066</v>
          </cell>
          <cell r="N585">
            <v>46078</v>
          </cell>
          <cell r="O585">
            <v>46078</v>
          </cell>
          <cell r="P585">
            <v>107993167440</v>
          </cell>
          <cell r="Q585">
            <v>46076</v>
          </cell>
          <cell r="R585" t="str">
            <v>No inspection</v>
          </cell>
          <cell r="S585">
            <v>500487.12</v>
          </cell>
          <cell r="T585" t="str">
            <v>EXW</v>
          </cell>
          <cell r="U585" t="str">
            <v>LUC</v>
          </cell>
        </row>
        <row r="586">
          <cell r="D586">
            <v>2.5</v>
          </cell>
          <cell r="F586">
            <v>492501400139</v>
          </cell>
          <cell r="G586" t="str">
            <v>MICROCHIP TECHNOLOGY OPS PHIL CORP</v>
          </cell>
          <cell r="H586" t="str">
            <v>Delivered</v>
          </cell>
          <cell r="I586" t="str">
            <v>IC E</v>
          </cell>
          <cell r="J586" t="str">
            <v>Fedex</v>
          </cell>
          <cell r="K586" t="str">
            <v>VVMV</v>
          </cell>
          <cell r="L586" t="str">
            <v>PH</v>
          </cell>
          <cell r="M586">
            <v>46069</v>
          </cell>
          <cell r="N586">
            <v>46077</v>
          </cell>
          <cell r="O586">
            <v>46078</v>
          </cell>
          <cell r="P586">
            <v>107993604020</v>
          </cell>
          <cell r="Q586">
            <v>46076</v>
          </cell>
          <cell r="R586" t="str">
            <v>No inspection</v>
          </cell>
          <cell r="S586">
            <v>6930</v>
          </cell>
          <cell r="T586" t="str">
            <v>EXW</v>
          </cell>
          <cell r="U586" t="str">
            <v>PUR</v>
          </cell>
        </row>
        <row r="587">
          <cell r="D587">
            <v>1</v>
          </cell>
          <cell r="F587">
            <v>493449021454</v>
          </cell>
          <cell r="G587" t="str">
            <v>NIHON DEMPA KOGYO CO. LTD</v>
          </cell>
          <cell r="H587" t="str">
            <v>Delivered</v>
          </cell>
          <cell r="I587" t="str">
            <v>CRYS</v>
          </cell>
          <cell r="J587" t="str">
            <v>Fedex</v>
          </cell>
          <cell r="K587" t="str">
            <v>VVMV</v>
          </cell>
          <cell r="L587" t="str">
            <v>JP</v>
          </cell>
          <cell r="M587">
            <v>46069</v>
          </cell>
          <cell r="N587">
            <v>46077</v>
          </cell>
          <cell r="O587">
            <v>46078</v>
          </cell>
          <cell r="P587">
            <v>107993637360</v>
          </cell>
          <cell r="Q587">
            <v>46076</v>
          </cell>
          <cell r="R587" t="str">
            <v>No inspection</v>
          </cell>
          <cell r="S587">
            <v>1380</v>
          </cell>
          <cell r="T587" t="str">
            <v>EXW</v>
          </cell>
          <cell r="U587" t="str">
            <v>LUC</v>
          </cell>
        </row>
        <row r="588">
          <cell r="D588">
            <v>27.5</v>
          </cell>
          <cell r="F588">
            <v>477592553770</v>
          </cell>
          <cell r="G588" t="str">
            <v>QUALCOMM CDMA TECHNOLOGIES ASIA-PAC</v>
          </cell>
          <cell r="H588" t="str">
            <v>Delivered</v>
          </cell>
          <cell r="I588" t="str">
            <v>IC P</v>
          </cell>
          <cell r="J588" t="str">
            <v>Fedex</v>
          </cell>
          <cell r="K588" t="str">
            <v>VVMV</v>
          </cell>
          <cell r="L588" t="str">
            <v>SG</v>
          </cell>
          <cell r="M588">
            <v>46066</v>
          </cell>
          <cell r="N588">
            <v>46077</v>
          </cell>
          <cell r="O588">
            <v>46078</v>
          </cell>
          <cell r="P588">
            <v>107993455400</v>
          </cell>
          <cell r="Q588">
            <v>46076</v>
          </cell>
          <cell r="R588" t="str">
            <v>No inspection</v>
          </cell>
          <cell r="S588">
            <v>108864</v>
          </cell>
          <cell r="T588" t="str">
            <v>EXW</v>
          </cell>
          <cell r="U588" t="str">
            <v>LUC</v>
          </cell>
        </row>
        <row r="589">
          <cell r="D589">
            <v>5</v>
          </cell>
          <cell r="F589">
            <v>398722068637</v>
          </cell>
          <cell r="G589" t="str">
            <v>WURTH ELECTRONICS MIDCOM</v>
          </cell>
          <cell r="H589" t="str">
            <v>Delivered</v>
          </cell>
          <cell r="I589" t="str">
            <v>CONN, INDU</v>
          </cell>
          <cell r="J589" t="str">
            <v>Fedex</v>
          </cell>
          <cell r="K589" t="str">
            <v>VVMV</v>
          </cell>
          <cell r="L589" t="str">
            <v>US</v>
          </cell>
          <cell r="M589">
            <v>46066</v>
          </cell>
          <cell r="N589">
            <v>46077</v>
          </cell>
          <cell r="O589">
            <v>46078</v>
          </cell>
          <cell r="P589">
            <v>107993508600</v>
          </cell>
          <cell r="Q589">
            <v>46076</v>
          </cell>
          <cell r="R589" t="str">
            <v>No inspection</v>
          </cell>
          <cell r="S589">
            <v>1056.4000000000001</v>
          </cell>
          <cell r="T589" t="str">
            <v>CIF</v>
          </cell>
          <cell r="U589" t="str">
            <v>EF-</v>
          </cell>
        </row>
        <row r="590">
          <cell r="D590">
            <v>28</v>
          </cell>
          <cell r="F590">
            <v>510007304654</v>
          </cell>
          <cell r="G590" t="str">
            <v>SINO FAITH TECHNOLOGY  DVPT LTD</v>
          </cell>
          <cell r="H590" t="str">
            <v>Delivered</v>
          </cell>
          <cell r="I590" t="str">
            <v>RES , TRAN, CAP , 	CAP, FERR</v>
          </cell>
          <cell r="J590" t="str">
            <v>Fedex</v>
          </cell>
          <cell r="K590" t="str">
            <v>VVMV</v>
          </cell>
          <cell r="L590" t="str">
            <v>HK</v>
          </cell>
          <cell r="M590">
            <v>46066</v>
          </cell>
          <cell r="N590">
            <v>46078</v>
          </cell>
          <cell r="O590">
            <v>46078</v>
          </cell>
          <cell r="P590">
            <v>107996088650</v>
          </cell>
          <cell r="Q590">
            <v>46077</v>
          </cell>
          <cell r="R590" t="str">
            <v>No inspection</v>
          </cell>
          <cell r="S590">
            <v>4041.35</v>
          </cell>
          <cell r="T590" t="str">
            <v>EXW</v>
          </cell>
          <cell r="U590" t="str">
            <v>PUR</v>
          </cell>
        </row>
        <row r="591">
          <cell r="D591">
            <v>2.5</v>
          </cell>
          <cell r="F591">
            <v>513464696487</v>
          </cell>
          <cell r="G591" t="str">
            <v>Micron Memory Malaysia Sdn. Bh</v>
          </cell>
          <cell r="H591" t="str">
            <v>Delivered</v>
          </cell>
          <cell r="I591" t="str">
            <v xml:space="preserve">MEM </v>
          </cell>
          <cell r="J591" t="str">
            <v>Fedex</v>
          </cell>
          <cell r="K591" t="str">
            <v>VVMV</v>
          </cell>
          <cell r="L591" t="str">
            <v>MY</v>
          </cell>
          <cell r="M591">
            <v>46069</v>
          </cell>
          <cell r="N591">
            <v>46077</v>
          </cell>
          <cell r="O591">
            <v>46078</v>
          </cell>
          <cell r="P591">
            <v>107993605900</v>
          </cell>
          <cell r="Q591">
            <v>46076</v>
          </cell>
          <cell r="R591" t="str">
            <v>No inspection</v>
          </cell>
          <cell r="S591">
            <v>156465.32999999999</v>
          </cell>
          <cell r="T591" t="str">
            <v>CIF</v>
          </cell>
          <cell r="U591" t="str">
            <v>PUR</v>
          </cell>
        </row>
        <row r="592">
          <cell r="D592">
            <v>23.5</v>
          </cell>
          <cell r="F592">
            <v>513464717239</v>
          </cell>
          <cell r="G592" t="str">
            <v>Micron Memory Malaysia Sdn. Bh</v>
          </cell>
          <cell r="H592" t="str">
            <v>Delivered</v>
          </cell>
          <cell r="I592" t="str">
            <v xml:space="preserve">MEM </v>
          </cell>
          <cell r="J592" t="str">
            <v>Fedex</v>
          </cell>
          <cell r="K592" t="str">
            <v>VVMV</v>
          </cell>
          <cell r="L592" t="str">
            <v>MY</v>
          </cell>
          <cell r="M592">
            <v>46070</v>
          </cell>
          <cell r="N592">
            <v>46077</v>
          </cell>
          <cell r="O592">
            <v>46078</v>
          </cell>
          <cell r="P592">
            <v>107993245400</v>
          </cell>
          <cell r="Q592">
            <v>46076</v>
          </cell>
          <cell r="R592" t="str">
            <v>No inspection</v>
          </cell>
          <cell r="S592">
            <v>1710910.5</v>
          </cell>
          <cell r="T592" t="str">
            <v>CIF</v>
          </cell>
          <cell r="U592" t="str">
            <v>PUR</v>
          </cell>
        </row>
        <row r="593">
          <cell r="D593">
            <v>2.5</v>
          </cell>
          <cell r="F593">
            <v>513464704386</v>
          </cell>
          <cell r="G593" t="str">
            <v>Micron Memory Malaysia Sdn. Bh</v>
          </cell>
          <cell r="H593" t="str">
            <v>Delivered</v>
          </cell>
          <cell r="I593" t="str">
            <v xml:space="preserve">MEM </v>
          </cell>
          <cell r="J593" t="str">
            <v>Fedex</v>
          </cell>
          <cell r="K593" t="str">
            <v>VVMV</v>
          </cell>
          <cell r="L593" t="str">
            <v>MY</v>
          </cell>
          <cell r="M593">
            <v>46069</v>
          </cell>
          <cell r="N593">
            <v>46077</v>
          </cell>
          <cell r="O593">
            <v>46078</v>
          </cell>
          <cell r="P593">
            <v>107993656740</v>
          </cell>
          <cell r="Q593">
            <v>46076</v>
          </cell>
          <cell r="R593" t="str">
            <v>No inspection</v>
          </cell>
          <cell r="S593">
            <v>159740</v>
          </cell>
          <cell r="T593" t="str">
            <v>CIF</v>
          </cell>
          <cell r="U593" t="str">
            <v>PUR</v>
          </cell>
        </row>
        <row r="594">
          <cell r="D594">
            <v>46.5</v>
          </cell>
          <cell r="F594">
            <v>513464728707</v>
          </cell>
          <cell r="G594" t="str">
            <v>Micron Memory Malaysia Sdn. Bh</v>
          </cell>
          <cell r="H594" t="str">
            <v>Delivered</v>
          </cell>
          <cell r="I594" t="str">
            <v xml:space="preserve">MEM </v>
          </cell>
          <cell r="J594" t="str">
            <v>Fedex</v>
          </cell>
          <cell r="K594" t="str">
            <v>VVMV</v>
          </cell>
          <cell r="L594" t="str">
            <v>MY</v>
          </cell>
          <cell r="M594">
            <v>46071</v>
          </cell>
          <cell r="N594">
            <v>46077</v>
          </cell>
          <cell r="O594">
            <v>46078</v>
          </cell>
          <cell r="P594">
            <v>107993629330</v>
          </cell>
          <cell r="Q594">
            <v>46076</v>
          </cell>
          <cell r="R594" t="str">
            <v>No inspection</v>
          </cell>
          <cell r="S594">
            <v>3674020</v>
          </cell>
          <cell r="T594" t="str">
            <v>CIF</v>
          </cell>
          <cell r="U594" t="str">
            <v>PUR</v>
          </cell>
        </row>
        <row r="595">
          <cell r="D595">
            <v>2.5</v>
          </cell>
          <cell r="F595">
            <v>472175061827</v>
          </cell>
          <cell r="G595" t="str">
            <v>HEILIND ELECTRONICS</v>
          </cell>
          <cell r="H595" t="str">
            <v>Delivered</v>
          </cell>
          <cell r="I595" t="str">
            <v>CONN</v>
          </cell>
          <cell r="J595" t="str">
            <v>Fedex</v>
          </cell>
          <cell r="K595" t="str">
            <v>VVMV</v>
          </cell>
          <cell r="L595" t="str">
            <v>US</v>
          </cell>
          <cell r="M595">
            <v>46071</v>
          </cell>
          <cell r="N595">
            <v>46080</v>
          </cell>
          <cell r="O595">
            <v>46080</v>
          </cell>
          <cell r="P595">
            <v>108003141520</v>
          </cell>
          <cell r="Q595">
            <v>46079</v>
          </cell>
          <cell r="R595" t="str">
            <v>No inspection</v>
          </cell>
          <cell r="S595">
            <v>520</v>
          </cell>
          <cell r="T595" t="str">
            <v>CIF</v>
          </cell>
          <cell r="U595" t="str">
            <v>EF-</v>
          </cell>
        </row>
        <row r="596">
          <cell r="D596">
            <v>1</v>
          </cell>
          <cell r="F596">
            <v>398902743864</v>
          </cell>
          <cell r="G596" t="str">
            <v>ROCHESTER ELECTRONICS</v>
          </cell>
          <cell r="H596" t="str">
            <v>Delivered</v>
          </cell>
          <cell r="I596" t="str">
            <v>DIOD, TRAN</v>
          </cell>
          <cell r="J596" t="str">
            <v>Fedex</v>
          </cell>
          <cell r="K596" t="str">
            <v>VVMV</v>
          </cell>
          <cell r="L596" t="str">
            <v>US</v>
          </cell>
          <cell r="M596">
            <v>46072</v>
          </cell>
          <cell r="N596">
            <v>46077</v>
          </cell>
          <cell r="O596">
            <v>46078</v>
          </cell>
          <cell r="P596">
            <v>107993618130</v>
          </cell>
          <cell r="Q596">
            <v>46076</v>
          </cell>
          <cell r="R596" t="str">
            <v>No inspection</v>
          </cell>
          <cell r="S596">
            <v>604.5</v>
          </cell>
          <cell r="T596" t="str">
            <v>CIF</v>
          </cell>
          <cell r="U596" t="str">
            <v>EF-</v>
          </cell>
        </row>
        <row r="597">
          <cell r="D597">
            <v>0.5</v>
          </cell>
          <cell r="F597">
            <v>419341617878</v>
          </cell>
          <cell r="G597" t="str">
            <v>VENKEL LTD</v>
          </cell>
          <cell r="H597" t="str">
            <v>Delivered</v>
          </cell>
          <cell r="I597" t="str">
            <v xml:space="preserve">LED </v>
          </cell>
          <cell r="J597" t="str">
            <v>Fedex</v>
          </cell>
          <cell r="K597" t="str">
            <v>VVMV</v>
          </cell>
          <cell r="L597" t="str">
            <v>US</v>
          </cell>
          <cell r="M597">
            <v>46069</v>
          </cell>
          <cell r="N597">
            <v>46077</v>
          </cell>
          <cell r="O597">
            <v>46078</v>
          </cell>
          <cell r="P597">
            <v>107993531920</v>
          </cell>
          <cell r="Q597">
            <v>46076</v>
          </cell>
          <cell r="R597" t="str">
            <v>No inspection</v>
          </cell>
          <cell r="S597">
            <v>180</v>
          </cell>
          <cell r="T597" t="str">
            <v>CIF</v>
          </cell>
          <cell r="U597" t="str">
            <v>LUC</v>
          </cell>
        </row>
        <row r="598">
          <cell r="D598">
            <v>0.5</v>
          </cell>
          <cell r="F598">
            <v>514873546849</v>
          </cell>
          <cell r="G598" t="str">
            <v>DIGI-KEY ELECTRONICS</v>
          </cell>
          <cell r="H598" t="str">
            <v>Delivered</v>
          </cell>
          <cell r="I598" t="str">
            <v>IC D</v>
          </cell>
          <cell r="J598" t="str">
            <v>Fedex</v>
          </cell>
          <cell r="K598" t="str">
            <v>VVMV</v>
          </cell>
          <cell r="L598" t="str">
            <v>US</v>
          </cell>
          <cell r="M598">
            <v>46073</v>
          </cell>
          <cell r="N598">
            <v>46077</v>
          </cell>
          <cell r="O598">
            <v>46078</v>
          </cell>
          <cell r="P598">
            <v>107993559660</v>
          </cell>
          <cell r="Q598">
            <v>46076</v>
          </cell>
          <cell r="R598" t="str">
            <v>No inspection</v>
          </cell>
          <cell r="S598">
            <v>2448.0100000000002</v>
          </cell>
          <cell r="T598" t="str">
            <v>CIF</v>
          </cell>
          <cell r="U598" t="str">
            <v>EF-</v>
          </cell>
        </row>
        <row r="599">
          <cell r="D599">
            <v>4.5999999999999996</v>
          </cell>
          <cell r="F599">
            <v>5399155101</v>
          </cell>
          <cell r="G599" t="str">
            <v>TTI INC</v>
          </cell>
          <cell r="H599" t="str">
            <v>Delivered</v>
          </cell>
          <cell r="I599" t="str">
            <v xml:space="preserve">CONN, CAP , RES </v>
          </cell>
          <cell r="J599" t="str">
            <v>DHL</v>
          </cell>
          <cell r="K599" t="str">
            <v>VVMV</v>
          </cell>
          <cell r="L599" t="str">
            <v>US</v>
          </cell>
          <cell r="M599">
            <v>46072</v>
          </cell>
          <cell r="N599">
            <v>46079</v>
          </cell>
          <cell r="O599">
            <v>46079</v>
          </cell>
          <cell r="P599">
            <v>108000770730</v>
          </cell>
          <cell r="Q599">
            <v>46078</v>
          </cell>
          <cell r="R599" t="str">
            <v>No inspection</v>
          </cell>
          <cell r="S599">
            <v>1518</v>
          </cell>
          <cell r="T599" t="str">
            <v>CIF</v>
          </cell>
          <cell r="U599" t="str">
            <v>LUC</v>
          </cell>
        </row>
        <row r="600">
          <cell r="D600">
            <v>1352.5</v>
          </cell>
          <cell r="F600" t="str">
            <v>PSHPH2620028</v>
          </cell>
          <cell r="G600" t="str">
            <v>MIN AIK TECHNOLOGY CO., LTD</v>
          </cell>
          <cell r="H600" t="str">
            <v>Delivered</v>
          </cell>
          <cell r="I600" t="str">
            <v>ASSY</v>
          </cell>
          <cell r="J600" t="str">
            <v>VVMV(sea)</v>
          </cell>
          <cell r="K600" t="str">
            <v>VVMV</v>
          </cell>
          <cell r="L600" t="str">
            <v>TW</v>
          </cell>
          <cell r="M600">
            <v>46071</v>
          </cell>
          <cell r="N600">
            <v>46078</v>
          </cell>
          <cell r="O600">
            <v>46078</v>
          </cell>
          <cell r="P600">
            <v>107993047740</v>
          </cell>
          <cell r="Q600">
            <v>46076</v>
          </cell>
          <cell r="R600" t="str">
            <v>No inspection</v>
          </cell>
          <cell r="S600">
            <v>70656</v>
          </cell>
          <cell r="T600" t="str">
            <v>EXW</v>
          </cell>
          <cell r="U600" t="str">
            <v>PUR</v>
          </cell>
        </row>
        <row r="601">
          <cell r="D601">
            <v>157</v>
          </cell>
          <cell r="F601" t="str">
            <v>DIM023595010</v>
          </cell>
          <cell r="G601" t="str">
            <v>FUTURE ELECTRONICS INC (DIST) PTE LTD</v>
          </cell>
          <cell r="H601" t="str">
            <v>Delivered</v>
          </cell>
          <cell r="I601" t="str">
            <v xml:space="preserve">RES , TRAN, IC S, IND , DIOD, CAP , CRYS, 	DIO, CONN, FUSE, IC R, SWIT, LED </v>
          </cell>
          <cell r="J601" t="str">
            <v>DIMERCO</v>
          </cell>
          <cell r="K601" t="str">
            <v>VVMV</v>
          </cell>
          <cell r="L601" t="str">
            <v>SG</v>
          </cell>
          <cell r="M601">
            <v>46074</v>
          </cell>
          <cell r="N601">
            <v>46078</v>
          </cell>
          <cell r="O601">
            <v>46078</v>
          </cell>
          <cell r="P601" t="str">
            <v>107995070740  107995024320  107995138160</v>
          </cell>
          <cell r="Q601">
            <v>46077</v>
          </cell>
          <cell r="R601" t="str">
            <v>No inspection</v>
          </cell>
          <cell r="S601">
            <v>70621.31</v>
          </cell>
          <cell r="T601" t="str">
            <v>DAP</v>
          </cell>
          <cell r="U601" t="str">
            <v>HLO</v>
          </cell>
        </row>
        <row r="602">
          <cell r="D602">
            <v>43.5</v>
          </cell>
          <cell r="F602">
            <v>4110334465</v>
          </cell>
          <cell r="G602" t="str">
            <v>Avnet, Inc.</v>
          </cell>
          <cell r="H602" t="str">
            <v>Delivered</v>
          </cell>
          <cell r="I602" t="str">
            <v>CONN</v>
          </cell>
          <cell r="J602" t="str">
            <v>Expeditors</v>
          </cell>
          <cell r="K602" t="str">
            <v>VVMV</v>
          </cell>
          <cell r="L602" t="str">
            <v>US</v>
          </cell>
          <cell r="M602">
            <v>46076</v>
          </cell>
          <cell r="N602">
            <v>46083</v>
          </cell>
          <cell r="O602">
            <v>46083</v>
          </cell>
          <cell r="P602">
            <v>108008546660</v>
          </cell>
          <cell r="Q602">
            <v>46080</v>
          </cell>
          <cell r="R602" t="str">
            <v>No inspection</v>
          </cell>
          <cell r="S602">
            <v>1421.28</v>
          </cell>
          <cell r="T602" t="str">
            <v>DAP</v>
          </cell>
          <cell r="U602" t="str">
            <v>LUC</v>
          </cell>
        </row>
        <row r="603">
          <cell r="D603">
            <v>251.52</v>
          </cell>
          <cell r="F603" t="str">
            <v>HKHPG2602127</v>
          </cell>
          <cell r="G603" t="str">
            <v>COMPEQ MANUFACTURING (HUIZHOU) CO., LTD.
C/O:FOK HEI HOLDING CO.,LTD</v>
          </cell>
          <cell r="H603" t="str">
            <v>Delivered</v>
          </cell>
          <cell r="I603" t="str">
            <v xml:space="preserve">PCB </v>
          </cell>
          <cell r="J603" t="str">
            <v>VVMV(sea)</v>
          </cell>
          <cell r="K603" t="str">
            <v>VVMV</v>
          </cell>
          <cell r="L603" t="str">
            <v>HK</v>
          </cell>
          <cell r="M603">
            <v>46068</v>
          </cell>
          <cell r="N603">
            <v>46078</v>
          </cell>
          <cell r="O603">
            <v>46078</v>
          </cell>
          <cell r="P603">
            <v>107993673430</v>
          </cell>
          <cell r="Q603">
            <v>46076</v>
          </cell>
          <cell r="R603" t="str">
            <v>No inspection</v>
          </cell>
          <cell r="S603">
            <v>176176.8</v>
          </cell>
          <cell r="T603" t="str">
            <v>FOB</v>
          </cell>
          <cell r="U603" t="str">
            <v>PUR</v>
          </cell>
        </row>
        <row r="604">
          <cell r="D604">
            <v>353.43</v>
          </cell>
          <cell r="F604" t="str">
            <v>MNN/HPH/01067</v>
          </cell>
          <cell r="G604" t="str">
            <v>Readore MFG Phils Corp</v>
          </cell>
          <cell r="H604" t="str">
            <v>Delivered</v>
          </cell>
          <cell r="I604" t="str">
            <v>HEAT</v>
          </cell>
          <cell r="J604" t="str">
            <v>Dolphin(sea)</v>
          </cell>
          <cell r="K604" t="str">
            <v>Dolphin</v>
          </cell>
          <cell r="L604" t="str">
            <v>PH</v>
          </cell>
          <cell r="M604">
            <v>46069</v>
          </cell>
          <cell r="N604">
            <v>46080</v>
          </cell>
          <cell r="O604">
            <v>46083</v>
          </cell>
          <cell r="P604">
            <v>107993096410</v>
          </cell>
          <cell r="Q604">
            <v>46077</v>
          </cell>
          <cell r="R604" t="str">
            <v>No inspection</v>
          </cell>
          <cell r="S604">
            <v>30846.944</v>
          </cell>
          <cell r="T604" t="str">
            <v>FOB</v>
          </cell>
          <cell r="U604" t="str">
            <v>PUR</v>
          </cell>
        </row>
        <row r="605">
          <cell r="D605">
            <v>56</v>
          </cell>
          <cell r="F605">
            <v>500292466884</v>
          </cell>
          <cell r="G605" t="str">
            <v>ARROW COMPONENTS MEXICO SA De CV</v>
          </cell>
          <cell r="H605" t="str">
            <v>Delivered</v>
          </cell>
          <cell r="I605" t="str">
            <v xml:space="preserve">CON </v>
          </cell>
          <cell r="J605" t="str">
            <v>Fedex</v>
          </cell>
          <cell r="K605" t="str">
            <v>VVMV</v>
          </cell>
          <cell r="L605" t="str">
            <v>MX</v>
          </cell>
          <cell r="M605">
            <v>46069</v>
          </cell>
          <cell r="N605">
            <v>46078</v>
          </cell>
          <cell r="O605">
            <v>46079</v>
          </cell>
          <cell r="P605">
            <v>107996733940</v>
          </cell>
          <cell r="Q605">
            <v>46077</v>
          </cell>
          <cell r="R605" t="str">
            <v>No inspection</v>
          </cell>
          <cell r="S605">
            <v>6656</v>
          </cell>
          <cell r="T605" t="str">
            <v>CIF</v>
          </cell>
          <cell r="U605" t="str">
            <v>LUC</v>
          </cell>
        </row>
        <row r="606">
          <cell r="D606">
            <v>18.5</v>
          </cell>
          <cell r="F606">
            <v>398877310525</v>
          </cell>
          <cell r="G606" t="str">
            <v>O/B ANALOG DEVICES INTERNATIONAL UC
DHL SUPPLY CHAIN MANAGEMENT PHILS</v>
          </cell>
          <cell r="H606" t="str">
            <v>Delivered</v>
          </cell>
          <cell r="I606" t="str">
            <v>IC C, IC 2</v>
          </cell>
          <cell r="J606" t="str">
            <v>Fedex</v>
          </cell>
          <cell r="K606" t="str">
            <v>VVMV</v>
          </cell>
          <cell r="L606" t="str">
            <v>PH</v>
          </cell>
          <cell r="M606">
            <v>46072</v>
          </cell>
          <cell r="N606">
            <v>46078</v>
          </cell>
          <cell r="O606">
            <v>46079</v>
          </cell>
          <cell r="P606">
            <v>107997230130</v>
          </cell>
          <cell r="Q606">
            <v>46077</v>
          </cell>
          <cell r="R606" t="str">
            <v>No inspection</v>
          </cell>
          <cell r="S606">
            <v>81770.080000000002</v>
          </cell>
          <cell r="T606" t="str">
            <v>EXW</v>
          </cell>
          <cell r="U606" t="str">
            <v>LUC</v>
          </cell>
        </row>
        <row r="607">
          <cell r="D607">
            <v>0.5</v>
          </cell>
          <cell r="F607">
            <v>500292457310</v>
          </cell>
          <cell r="G607" t="str">
            <v>ARROW COMPONENTS MEXICO SA De CV</v>
          </cell>
          <cell r="H607" t="str">
            <v>Delivered</v>
          </cell>
          <cell r="I607" t="str">
            <v>TRAN</v>
          </cell>
          <cell r="J607" t="str">
            <v>Fedex</v>
          </cell>
          <cell r="K607" t="str">
            <v>VVMV</v>
          </cell>
          <cell r="L607" t="str">
            <v>MX</v>
          </cell>
          <cell r="M607">
            <v>46064</v>
          </cell>
          <cell r="N607">
            <v>46078</v>
          </cell>
          <cell r="O607">
            <v>46079</v>
          </cell>
          <cell r="P607">
            <v>107997532310</v>
          </cell>
          <cell r="Q607">
            <v>46077</v>
          </cell>
          <cell r="R607" t="str">
            <v>No inspection</v>
          </cell>
          <cell r="S607">
            <v>201.6</v>
          </cell>
          <cell r="T607" t="str">
            <v>CIF</v>
          </cell>
          <cell r="U607" t="str">
            <v>EF-</v>
          </cell>
        </row>
        <row r="608">
          <cell r="D608">
            <v>6</v>
          </cell>
          <cell r="F608">
            <v>398914107896</v>
          </cell>
          <cell r="G608" t="str">
            <v>O/B ANALOG DEVICES INTERNATIONAL UC
DHL SUPPLY CHAIN MANAGEMENT PHILS</v>
          </cell>
          <cell r="H608" t="str">
            <v>Delivered</v>
          </cell>
          <cell r="I608" t="str">
            <v>IC M, IC C</v>
          </cell>
          <cell r="J608" t="str">
            <v>Fedex</v>
          </cell>
          <cell r="K608" t="str">
            <v>VVMV</v>
          </cell>
          <cell r="L608" t="str">
            <v>PH</v>
          </cell>
          <cell r="M608">
            <v>46072</v>
          </cell>
          <cell r="N608">
            <v>46080</v>
          </cell>
          <cell r="O608">
            <v>46080</v>
          </cell>
          <cell r="P608">
            <v>108002958820</v>
          </cell>
          <cell r="Q608">
            <v>46079</v>
          </cell>
          <cell r="R608" t="str">
            <v>No inspection</v>
          </cell>
          <cell r="S608">
            <v>43030</v>
          </cell>
          <cell r="T608" t="str">
            <v>EXW</v>
          </cell>
          <cell r="U608" t="str">
            <v>LUC</v>
          </cell>
        </row>
        <row r="609">
          <cell r="D609">
            <v>3.5</v>
          </cell>
          <cell r="F609">
            <v>398912902985</v>
          </cell>
          <cell r="G609" t="str">
            <v>Analog Devices (Thailand) Co., Ltd</v>
          </cell>
          <cell r="H609" t="str">
            <v>Delivered</v>
          </cell>
          <cell r="I609" t="str">
            <v>IC C</v>
          </cell>
          <cell r="J609" t="str">
            <v>Fedex</v>
          </cell>
          <cell r="K609" t="str">
            <v>VVMV</v>
          </cell>
          <cell r="L609" t="str">
            <v>TH</v>
          </cell>
          <cell r="M609">
            <v>46072</v>
          </cell>
          <cell r="N609">
            <v>46080</v>
          </cell>
          <cell r="O609">
            <v>46080</v>
          </cell>
          <cell r="P609">
            <v>108004931310</v>
          </cell>
          <cell r="Q609">
            <v>46079</v>
          </cell>
          <cell r="R609" t="str">
            <v>No inspection</v>
          </cell>
          <cell r="S609">
            <v>43500</v>
          </cell>
          <cell r="T609" t="str">
            <v>EXW</v>
          </cell>
          <cell r="U609" t="str">
            <v>LUC</v>
          </cell>
        </row>
        <row r="610">
          <cell r="D610">
            <v>0.5</v>
          </cell>
          <cell r="F610">
            <v>500292463072</v>
          </cell>
          <cell r="G610" t="str">
            <v>ARROW COMPONENTS MEXICO SA De CV</v>
          </cell>
          <cell r="H610" t="str">
            <v>Delivered</v>
          </cell>
          <cell r="I610" t="str">
            <v>FERR</v>
          </cell>
          <cell r="J610" t="str">
            <v>Fedex</v>
          </cell>
          <cell r="K610" t="str">
            <v>VVMV</v>
          </cell>
          <cell r="L610" t="str">
            <v>MX</v>
          </cell>
          <cell r="M610">
            <v>46069</v>
          </cell>
          <cell r="N610">
            <v>46078</v>
          </cell>
          <cell r="O610">
            <v>46079</v>
          </cell>
          <cell r="P610">
            <v>107997350640</v>
          </cell>
          <cell r="Q610">
            <v>46077</v>
          </cell>
          <cell r="R610" t="str">
            <v>No inspection</v>
          </cell>
          <cell r="S610">
            <v>36</v>
          </cell>
          <cell r="T610" t="str">
            <v>CIF</v>
          </cell>
          <cell r="U610" t="str">
            <v>PUR</v>
          </cell>
        </row>
        <row r="611">
          <cell r="D611">
            <v>1</v>
          </cell>
          <cell r="F611">
            <v>500292458018</v>
          </cell>
          <cell r="G611" t="str">
            <v>ARROW COMPONENTS MEXICO SA De CV</v>
          </cell>
          <cell r="H611" t="str">
            <v>Delivered</v>
          </cell>
          <cell r="I611" t="str">
            <v>IC S</v>
          </cell>
          <cell r="J611" t="str">
            <v>Fedex</v>
          </cell>
          <cell r="K611" t="str">
            <v>VVMV</v>
          </cell>
          <cell r="L611" t="str">
            <v>MX</v>
          </cell>
          <cell r="M611">
            <v>46064</v>
          </cell>
          <cell r="N611">
            <v>46078</v>
          </cell>
          <cell r="O611">
            <v>46079</v>
          </cell>
          <cell r="P611">
            <v>107997573020</v>
          </cell>
          <cell r="Q611">
            <v>46077</v>
          </cell>
          <cell r="R611" t="str">
            <v>No inspection</v>
          </cell>
          <cell r="S611">
            <v>2023.25</v>
          </cell>
          <cell r="T611" t="str">
            <v>CIF</v>
          </cell>
          <cell r="U611" t="str">
            <v>LUC</v>
          </cell>
        </row>
        <row r="612">
          <cell r="D612">
            <v>0.5</v>
          </cell>
          <cell r="F612">
            <v>500292465318</v>
          </cell>
          <cell r="G612" t="str">
            <v>ARROW COMPONENTS MEXICO SA De CV</v>
          </cell>
          <cell r="H612" t="str">
            <v>Delivered</v>
          </cell>
          <cell r="I612" t="str">
            <v>IC T</v>
          </cell>
          <cell r="J612" t="str">
            <v>Fedex</v>
          </cell>
          <cell r="K612" t="str">
            <v>VVMV</v>
          </cell>
          <cell r="L612" t="str">
            <v>MX</v>
          </cell>
          <cell r="M612">
            <v>46069</v>
          </cell>
          <cell r="N612">
            <v>46078</v>
          </cell>
          <cell r="O612">
            <v>46078</v>
          </cell>
          <cell r="P612">
            <v>107997286720</v>
          </cell>
          <cell r="Q612">
            <v>46077</v>
          </cell>
          <cell r="R612" t="str">
            <v>No inspection</v>
          </cell>
          <cell r="S612">
            <v>984</v>
          </cell>
          <cell r="T612" t="str">
            <v>CIF</v>
          </cell>
          <cell r="U612" t="str">
            <v>PUR</v>
          </cell>
        </row>
        <row r="613">
          <cell r="D613">
            <v>2</v>
          </cell>
          <cell r="F613">
            <v>888894336900</v>
          </cell>
          <cell r="G613" t="str">
            <v>M&amp;Partners CO ., LTD (Suntsu Agent)</v>
          </cell>
          <cell r="H613" t="str">
            <v>Delivered</v>
          </cell>
          <cell r="I613" t="str">
            <v>CRYS</v>
          </cell>
          <cell r="J613" t="str">
            <v>Fedex</v>
          </cell>
          <cell r="K613" t="str">
            <v>VVMV</v>
          </cell>
          <cell r="L613" t="str">
            <v>KR</v>
          </cell>
          <cell r="M613">
            <v>46072</v>
          </cell>
          <cell r="N613">
            <v>46078</v>
          </cell>
          <cell r="O613">
            <v>46079</v>
          </cell>
          <cell r="P613">
            <v>107997615240</v>
          </cell>
          <cell r="Q613">
            <v>46077</v>
          </cell>
          <cell r="R613" t="str">
            <v>No inspection</v>
          </cell>
          <cell r="S613">
            <v>2900</v>
          </cell>
          <cell r="T613" t="str">
            <v>CIF</v>
          </cell>
          <cell r="U613" t="str">
            <v>EF-</v>
          </cell>
        </row>
        <row r="614">
          <cell r="D614">
            <v>3</v>
          </cell>
          <cell r="F614">
            <v>511467535364</v>
          </cell>
          <cell r="G614" t="str">
            <v>MICROCHIP TECNOLOGY (THAILAND) CO LTD</v>
          </cell>
          <cell r="H614" t="str">
            <v>Delivered</v>
          </cell>
          <cell r="I614" t="str">
            <v>IC Y</v>
          </cell>
          <cell r="J614" t="str">
            <v>Fedex</v>
          </cell>
          <cell r="K614" t="str">
            <v>VVMV</v>
          </cell>
          <cell r="L614" t="str">
            <v>TH</v>
          </cell>
          <cell r="M614">
            <v>46073</v>
          </cell>
          <cell r="N614">
            <v>46078</v>
          </cell>
          <cell r="O614">
            <v>46078</v>
          </cell>
          <cell r="P614">
            <v>107996898000</v>
          </cell>
          <cell r="Q614">
            <v>46077</v>
          </cell>
          <cell r="R614" t="str">
            <v>No inspection</v>
          </cell>
          <cell r="S614">
            <v>25349.279999999999</v>
          </cell>
          <cell r="T614" t="str">
            <v>EXW</v>
          </cell>
          <cell r="U614" t="str">
            <v>PUR</v>
          </cell>
        </row>
        <row r="615">
          <cell r="D615">
            <v>0.5</v>
          </cell>
          <cell r="F615">
            <v>511467535629</v>
          </cell>
          <cell r="G615" t="str">
            <v>MICROCHIP TECNOLOGY(TH) CO LTD</v>
          </cell>
          <cell r="H615" t="str">
            <v>Delivered</v>
          </cell>
          <cell r="I615" t="str">
            <v>IC M</v>
          </cell>
          <cell r="J615" t="str">
            <v>Fedex</v>
          </cell>
          <cell r="K615" t="str">
            <v>VVMV</v>
          </cell>
          <cell r="L615" t="str">
            <v>TH</v>
          </cell>
          <cell r="M615">
            <v>46073</v>
          </cell>
          <cell r="N615">
            <v>46078</v>
          </cell>
          <cell r="O615">
            <v>46079</v>
          </cell>
          <cell r="P615">
            <v>107997405020</v>
          </cell>
          <cell r="Q615">
            <v>46077</v>
          </cell>
          <cell r="R615" t="str">
            <v>No inspection</v>
          </cell>
          <cell r="S615">
            <v>100</v>
          </cell>
          <cell r="T615" t="str">
            <v>EXW</v>
          </cell>
          <cell r="U615" t="str">
            <v>EF-</v>
          </cell>
        </row>
        <row r="616">
          <cell r="D616">
            <v>32</v>
          </cell>
          <cell r="F616">
            <v>493641405030</v>
          </cell>
          <cell r="G616" t="str">
            <v>LITTELFUSE FAR EAST PTE</v>
          </cell>
          <cell r="H616" t="str">
            <v>Delivered</v>
          </cell>
          <cell r="I616" t="str">
            <v>FUSE</v>
          </cell>
          <cell r="J616" t="str">
            <v>Fedex</v>
          </cell>
          <cell r="K616" t="str">
            <v>VVMV</v>
          </cell>
          <cell r="L616" t="str">
            <v>HK</v>
          </cell>
          <cell r="M616">
            <v>46066</v>
          </cell>
          <cell r="N616">
            <v>46078</v>
          </cell>
          <cell r="O616">
            <v>46079</v>
          </cell>
          <cell r="P616">
            <v>107997620360</v>
          </cell>
          <cell r="Q616">
            <v>46077</v>
          </cell>
          <cell r="R616" t="str">
            <v>No inspection</v>
          </cell>
          <cell r="S616">
            <v>3352.25</v>
          </cell>
          <cell r="T616" t="str">
            <v>EXW</v>
          </cell>
          <cell r="U616" t="str">
            <v>LUC</v>
          </cell>
        </row>
        <row r="617">
          <cell r="D617">
            <v>129</v>
          </cell>
          <cell r="F617">
            <v>513464788746</v>
          </cell>
          <cell r="G617" t="str">
            <v>Micron Memory Malaysia Sdn. Bh</v>
          </cell>
          <cell r="H617" t="str">
            <v>Delivered</v>
          </cell>
          <cell r="I617" t="str">
            <v xml:space="preserve">MEM </v>
          </cell>
          <cell r="J617" t="str">
            <v>Fedex</v>
          </cell>
          <cell r="K617" t="str">
            <v>VVMV</v>
          </cell>
          <cell r="L617" t="str">
            <v>MY</v>
          </cell>
          <cell r="M617">
            <v>46076</v>
          </cell>
          <cell r="N617">
            <v>46078</v>
          </cell>
          <cell r="O617">
            <v>46079</v>
          </cell>
          <cell r="P617">
            <v>107997586430</v>
          </cell>
          <cell r="Q617">
            <v>46077</v>
          </cell>
          <cell r="R617" t="str">
            <v>No inspection</v>
          </cell>
          <cell r="S617">
            <v>8637940</v>
          </cell>
          <cell r="T617" t="str">
            <v>CIF</v>
          </cell>
          <cell r="U617" t="str">
            <v>PUR</v>
          </cell>
        </row>
        <row r="618">
          <cell r="D618">
            <v>0.5</v>
          </cell>
          <cell r="F618">
            <v>398911685130</v>
          </cell>
          <cell r="G618" t="str">
            <v>VELOCITY ELECTRONICS ASIA PTE LTD</v>
          </cell>
          <cell r="H618" t="str">
            <v>Delivered</v>
          </cell>
          <cell r="I618" t="str">
            <v>IC S</v>
          </cell>
          <cell r="J618" t="str">
            <v>Fedex</v>
          </cell>
          <cell r="K618" t="str">
            <v>VVMV</v>
          </cell>
          <cell r="L618" t="str">
            <v>SG</v>
          </cell>
          <cell r="M618">
            <v>46073</v>
          </cell>
          <cell r="N618">
            <v>46078</v>
          </cell>
          <cell r="O618">
            <v>46079</v>
          </cell>
          <cell r="P618">
            <v>107997558060</v>
          </cell>
          <cell r="Q618">
            <v>46077</v>
          </cell>
          <cell r="R618" t="str">
            <v>No inspection</v>
          </cell>
          <cell r="S618">
            <v>494.7</v>
          </cell>
          <cell r="T618" t="str">
            <v>CIF</v>
          </cell>
          <cell r="U618">
            <v>169</v>
          </cell>
        </row>
        <row r="619">
          <cell r="D619">
            <v>32</v>
          </cell>
          <cell r="F619">
            <v>493891684747</v>
          </cell>
          <cell r="G619" t="str">
            <v>FIERY, LLC.</v>
          </cell>
          <cell r="H619" t="str">
            <v>Delivered</v>
          </cell>
          <cell r="I619" t="str">
            <v>IC P, IC F, IC A</v>
          </cell>
          <cell r="J619" t="str">
            <v>Fedex</v>
          </cell>
          <cell r="K619" t="str">
            <v>VVMV</v>
          </cell>
          <cell r="L619" t="str">
            <v>US</v>
          </cell>
          <cell r="M619">
            <v>46058</v>
          </cell>
          <cell r="N619">
            <v>46078</v>
          </cell>
          <cell r="O619">
            <v>46079</v>
          </cell>
          <cell r="P619">
            <v>107997032950</v>
          </cell>
          <cell r="Q619">
            <v>46077</v>
          </cell>
          <cell r="R619" t="str">
            <v>No inspection</v>
          </cell>
          <cell r="S619">
            <v>140097.79</v>
          </cell>
          <cell r="T619" t="str">
            <v>CIF</v>
          </cell>
          <cell r="U619" t="str">
            <v>EF-</v>
          </cell>
        </row>
        <row r="620">
          <cell r="D620">
            <v>7.5</v>
          </cell>
          <cell r="F620">
            <v>513464803603</v>
          </cell>
          <cell r="G620" t="str">
            <v>Micron Memory Malaysia Sdn. Bh</v>
          </cell>
          <cell r="H620" t="str">
            <v>Delivered</v>
          </cell>
          <cell r="I620" t="str">
            <v xml:space="preserve">MEM </v>
          </cell>
          <cell r="J620" t="str">
            <v>Fedex</v>
          </cell>
          <cell r="K620" t="str">
            <v>VVMV</v>
          </cell>
          <cell r="L620" t="str">
            <v>MY</v>
          </cell>
          <cell r="M620">
            <v>46077</v>
          </cell>
          <cell r="N620">
            <v>46079</v>
          </cell>
          <cell r="O620">
            <v>46080</v>
          </cell>
          <cell r="P620">
            <v>108001238440</v>
          </cell>
          <cell r="Q620">
            <v>46078</v>
          </cell>
          <cell r="R620" t="str">
            <v>No inspection</v>
          </cell>
          <cell r="S620">
            <v>299500</v>
          </cell>
          <cell r="T620" t="str">
            <v>CIF</v>
          </cell>
          <cell r="U620" t="str">
            <v>PUR</v>
          </cell>
        </row>
        <row r="621">
          <cell r="D621">
            <v>2.5</v>
          </cell>
          <cell r="F621">
            <v>888976085502</v>
          </cell>
          <cell r="G621" t="str">
            <v>EMI STOP CORP</v>
          </cell>
          <cell r="H621" t="str">
            <v>Delivered</v>
          </cell>
          <cell r="I621" t="str">
            <v xml:space="preserve">CON </v>
          </cell>
          <cell r="J621" t="str">
            <v>Fedex</v>
          </cell>
          <cell r="K621" t="str">
            <v>VVMV</v>
          </cell>
          <cell r="L621" t="str">
            <v>TW</v>
          </cell>
          <cell r="M621">
            <v>46076</v>
          </cell>
          <cell r="N621">
            <v>46079</v>
          </cell>
          <cell r="O621">
            <v>46080</v>
          </cell>
          <cell r="P621">
            <v>108000643330</v>
          </cell>
          <cell r="Q621">
            <v>46078</v>
          </cell>
          <cell r="R621" t="str">
            <v>No inspection</v>
          </cell>
          <cell r="S621">
            <v>1512</v>
          </cell>
          <cell r="T621" t="str">
            <v>EXW</v>
          </cell>
          <cell r="U621" t="str">
            <v>LUC</v>
          </cell>
        </row>
        <row r="622">
          <cell r="D622">
            <v>1</v>
          </cell>
          <cell r="F622">
            <v>514128796814</v>
          </cell>
          <cell r="G622" t="str">
            <v>MOUSER ELECTRONICS INC</v>
          </cell>
          <cell r="H622" t="str">
            <v>Delivered</v>
          </cell>
          <cell r="I622" t="str">
            <v>SWIT</v>
          </cell>
          <cell r="J622" t="str">
            <v>Fedex</v>
          </cell>
          <cell r="K622" t="str">
            <v>VVMV</v>
          </cell>
          <cell r="L622" t="str">
            <v>US</v>
          </cell>
          <cell r="M622">
            <v>46072</v>
          </cell>
          <cell r="N622">
            <v>46079</v>
          </cell>
          <cell r="O622">
            <v>46080</v>
          </cell>
          <cell r="P622">
            <v>108000031640</v>
          </cell>
          <cell r="Q622">
            <v>46078</v>
          </cell>
          <cell r="R622" t="str">
            <v>No inspection</v>
          </cell>
          <cell r="S622">
            <v>71.599999999999994</v>
          </cell>
          <cell r="T622" t="str">
            <v>CIF</v>
          </cell>
          <cell r="U622" t="str">
            <v>EF-</v>
          </cell>
        </row>
        <row r="623">
          <cell r="D623">
            <v>2</v>
          </cell>
          <cell r="F623">
            <v>483570642684</v>
          </cell>
          <cell r="G623" t="str">
            <v>UNIGEN CORPORATION</v>
          </cell>
          <cell r="H623" t="str">
            <v>Delivered</v>
          </cell>
          <cell r="I623" t="str">
            <v>IC F, LABE, IC C</v>
          </cell>
          <cell r="J623" t="str">
            <v>Fedex</v>
          </cell>
          <cell r="K623" t="str">
            <v>VVMV</v>
          </cell>
          <cell r="L623" t="str">
            <v>US</v>
          </cell>
          <cell r="M623">
            <v>46072</v>
          </cell>
          <cell r="N623">
            <v>46079</v>
          </cell>
          <cell r="O623">
            <v>46080</v>
          </cell>
          <cell r="P623">
            <v>108000598860</v>
          </cell>
          <cell r="Q623">
            <v>46078</v>
          </cell>
          <cell r="R623" t="str">
            <v>No inspection</v>
          </cell>
          <cell r="S623">
            <v>2573.94</v>
          </cell>
          <cell r="T623" t="str">
            <v>CIF</v>
          </cell>
          <cell r="U623" t="str">
            <v>EF-</v>
          </cell>
        </row>
        <row r="624">
          <cell r="D624">
            <v>1</v>
          </cell>
          <cell r="F624">
            <v>398863287413</v>
          </cell>
          <cell r="G624" t="str">
            <v>WURTH ELECTRONICS MIDCOM</v>
          </cell>
          <cell r="H624" t="str">
            <v>Delivered</v>
          </cell>
          <cell r="I624" t="str">
            <v>FERR</v>
          </cell>
          <cell r="J624" t="str">
            <v>Fedex</v>
          </cell>
          <cell r="K624" t="str">
            <v>VVMV</v>
          </cell>
          <cell r="L624" t="str">
            <v>US</v>
          </cell>
          <cell r="M624">
            <v>46071</v>
          </cell>
          <cell r="N624">
            <v>46080</v>
          </cell>
          <cell r="O624">
            <v>46080</v>
          </cell>
          <cell r="P624">
            <v>108003111640</v>
          </cell>
          <cell r="Q624">
            <v>46079</v>
          </cell>
          <cell r="R624" t="str">
            <v>No inspection</v>
          </cell>
          <cell r="S624">
            <v>589.5</v>
          </cell>
          <cell r="T624" t="str">
            <v>CIF</v>
          </cell>
          <cell r="U624" t="str">
            <v>LUC</v>
          </cell>
        </row>
        <row r="625">
          <cell r="D625">
            <v>98</v>
          </cell>
          <cell r="F625">
            <v>4812889730</v>
          </cell>
          <cell r="G625" t="str">
            <v>LIPERS ENTERPRISE CO LTD</v>
          </cell>
          <cell r="H625" t="str">
            <v>Delivered</v>
          </cell>
          <cell r="I625" t="str">
            <v xml:space="preserve">CAP , RES </v>
          </cell>
          <cell r="J625" t="str">
            <v>Expeditors</v>
          </cell>
          <cell r="K625" t="str">
            <v>VVMV</v>
          </cell>
          <cell r="L625" t="str">
            <v>TW</v>
          </cell>
          <cell r="M625">
            <v>46077</v>
          </cell>
          <cell r="N625">
            <v>46079</v>
          </cell>
          <cell r="O625">
            <v>46079</v>
          </cell>
          <cell r="P625">
            <v>108002230230</v>
          </cell>
          <cell r="Q625">
            <v>46079</v>
          </cell>
          <cell r="R625" t="str">
            <v>No inspection</v>
          </cell>
          <cell r="S625">
            <v>7556.9</v>
          </cell>
          <cell r="T625" t="str">
            <v>FOB</v>
          </cell>
          <cell r="U625" t="str">
            <v>LUC</v>
          </cell>
        </row>
        <row r="626">
          <cell r="D626">
            <v>42</v>
          </cell>
          <cell r="F626">
            <v>500292476050</v>
          </cell>
          <cell r="G626" t="str">
            <v>ARROW COMPONENTS MEXICO SA De CV</v>
          </cell>
          <cell r="H626" t="str">
            <v>Delivered</v>
          </cell>
          <cell r="I626" t="str">
            <v xml:space="preserve">CON </v>
          </cell>
          <cell r="J626" t="str">
            <v>Fedex</v>
          </cell>
          <cell r="K626" t="str">
            <v>VVMV</v>
          </cell>
          <cell r="L626" t="str">
            <v>MX</v>
          </cell>
          <cell r="M626">
            <v>46072</v>
          </cell>
          <cell r="N626">
            <v>46080</v>
          </cell>
          <cell r="O626">
            <v>46083</v>
          </cell>
          <cell r="P626">
            <v>108004696330</v>
          </cell>
          <cell r="Q626">
            <v>46079</v>
          </cell>
          <cell r="R626" t="str">
            <v>No inspection</v>
          </cell>
          <cell r="S626">
            <v>4992</v>
          </cell>
          <cell r="T626" t="str">
            <v>CIF</v>
          </cell>
          <cell r="U626" t="str">
            <v>LUC</v>
          </cell>
        </row>
        <row r="627">
          <cell r="D627">
            <v>1</v>
          </cell>
          <cell r="F627">
            <v>399020986999</v>
          </cell>
          <cell r="G627" t="str">
            <v>O/B ANALOG DEVICES INTERNATIONAL UC
DHL SUPPLY CHAIN MANAGEMENT PHILS</v>
          </cell>
          <cell r="H627" t="str">
            <v>Delivered</v>
          </cell>
          <cell r="I627" t="str">
            <v>IC O</v>
          </cell>
          <cell r="J627" t="str">
            <v>Fedex</v>
          </cell>
          <cell r="K627" t="str">
            <v>VVMV</v>
          </cell>
          <cell r="L627" t="str">
            <v>PH</v>
          </cell>
          <cell r="M627">
            <v>46077</v>
          </cell>
          <cell r="N627">
            <v>46080</v>
          </cell>
          <cell r="O627">
            <v>46080</v>
          </cell>
          <cell r="P627">
            <v>108004804020</v>
          </cell>
          <cell r="Q627">
            <v>46079</v>
          </cell>
          <cell r="R627" t="str">
            <v>No inspection</v>
          </cell>
          <cell r="S627">
            <v>2500</v>
          </cell>
          <cell r="T627" t="str">
            <v>EXW</v>
          </cell>
          <cell r="U627" t="str">
            <v>EF-</v>
          </cell>
        </row>
        <row r="628">
          <cell r="D628">
            <v>0.5</v>
          </cell>
          <cell r="F628">
            <v>500292475444</v>
          </cell>
          <cell r="G628" t="str">
            <v>ARROW COMPONENTS MEXICO SA De CV</v>
          </cell>
          <cell r="H628" t="str">
            <v>Delivered</v>
          </cell>
          <cell r="I628" t="str">
            <v>FERR</v>
          </cell>
          <cell r="J628" t="str">
            <v>Fedex</v>
          </cell>
          <cell r="K628" t="str">
            <v>VVMV</v>
          </cell>
          <cell r="L628" t="str">
            <v>MX</v>
          </cell>
          <cell r="M628">
            <v>46072</v>
          </cell>
          <cell r="N628">
            <v>46080</v>
          </cell>
          <cell r="O628">
            <v>46080</v>
          </cell>
          <cell r="P628">
            <v>108003689510</v>
          </cell>
          <cell r="Q628">
            <v>46079</v>
          </cell>
          <cell r="R628" t="str">
            <v>No inspection</v>
          </cell>
          <cell r="S628">
            <v>36</v>
          </cell>
          <cell r="T628" t="str">
            <v>CIF</v>
          </cell>
          <cell r="U628" t="str">
            <v>PUR</v>
          </cell>
        </row>
        <row r="629">
          <cell r="D629">
            <v>10.5</v>
          </cell>
          <cell r="F629">
            <v>889056975620</v>
          </cell>
          <cell r="G629" t="str">
            <v>WHITE HORSE LABORATORIES LTD</v>
          </cell>
          <cell r="H629" t="str">
            <v>Delivered</v>
          </cell>
          <cell r="I629" t="str">
            <v>IC M</v>
          </cell>
          <cell r="J629" t="str">
            <v>Fedex</v>
          </cell>
          <cell r="K629" t="str">
            <v>VVMV</v>
          </cell>
          <cell r="L629" t="str">
            <v>HK</v>
          </cell>
          <cell r="M629">
            <v>46078</v>
          </cell>
          <cell r="N629">
            <v>46080</v>
          </cell>
          <cell r="O629">
            <v>46080</v>
          </cell>
          <cell r="P629">
            <v>108004914950</v>
          </cell>
          <cell r="Q629">
            <v>46079</v>
          </cell>
          <cell r="R629" t="str">
            <v>No inspection</v>
          </cell>
          <cell r="S629">
            <v>34002</v>
          </cell>
          <cell r="T629" t="str">
            <v>CIF</v>
          </cell>
          <cell r="U629" t="str">
            <v>EF-</v>
          </cell>
        </row>
        <row r="630">
          <cell r="D630">
            <v>1</v>
          </cell>
          <cell r="F630">
            <v>472187350052</v>
          </cell>
          <cell r="G630" t="str">
            <v>HEILIND ASIA PACIFIC (SG) PTE LTD</v>
          </cell>
          <cell r="H630" t="str">
            <v>Delivered</v>
          </cell>
          <cell r="I630" t="str">
            <v xml:space="preserve">EMI </v>
          </cell>
          <cell r="J630" t="str">
            <v>Fedex</v>
          </cell>
          <cell r="K630" t="str">
            <v>VVMV</v>
          </cell>
          <cell r="L630" t="str">
            <v>SG</v>
          </cell>
          <cell r="M630">
            <v>45711</v>
          </cell>
          <cell r="N630">
            <v>46080</v>
          </cell>
          <cell r="O630">
            <v>46080</v>
          </cell>
          <cell r="P630">
            <v>108004270620</v>
          </cell>
          <cell r="Q630">
            <v>46079</v>
          </cell>
          <cell r="R630" t="str">
            <v>No inspection</v>
          </cell>
          <cell r="S630">
            <v>1012</v>
          </cell>
          <cell r="T630" t="str">
            <v>EXW</v>
          </cell>
          <cell r="U630" t="str">
            <v>LUC</v>
          </cell>
        </row>
        <row r="631">
          <cell r="D631">
            <v>7</v>
          </cell>
          <cell r="F631">
            <v>888979337758</v>
          </cell>
          <cell r="G631" t="str">
            <v>VITAL SYSTEM TECHNOLOGY PTE LTD</v>
          </cell>
          <cell r="H631" t="str">
            <v>Delivered</v>
          </cell>
          <cell r="I631" t="str">
            <v>RES , CAP , DIOD</v>
          </cell>
          <cell r="J631" t="str">
            <v>Fedex</v>
          </cell>
          <cell r="K631" t="str">
            <v>VVMV</v>
          </cell>
          <cell r="L631" t="str">
            <v>SG</v>
          </cell>
          <cell r="M631">
            <v>46076</v>
          </cell>
          <cell r="N631">
            <v>46080</v>
          </cell>
          <cell r="O631">
            <v>46083</v>
          </cell>
          <cell r="P631">
            <v>108004788730</v>
          </cell>
          <cell r="Q631">
            <v>46079</v>
          </cell>
          <cell r="R631" t="str">
            <v>No inspection</v>
          </cell>
          <cell r="S631">
            <v>2291.62</v>
          </cell>
          <cell r="T631" t="str">
            <v>EXW</v>
          </cell>
          <cell r="U631" t="str">
            <v>PUR</v>
          </cell>
        </row>
        <row r="632">
          <cell r="D632">
            <v>13</v>
          </cell>
          <cell r="F632">
            <v>511467557336</v>
          </cell>
          <cell r="G632" t="str">
            <v>MICROCHIP TECNOLOGY(TH) CO LTD</v>
          </cell>
          <cell r="H632" t="str">
            <v>Delivered</v>
          </cell>
          <cell r="I632" t="str">
            <v>IC Y</v>
          </cell>
          <cell r="J632" t="str">
            <v>Fedex</v>
          </cell>
          <cell r="K632" t="str">
            <v>VVMV</v>
          </cell>
          <cell r="L632" t="str">
            <v>TH</v>
          </cell>
          <cell r="M632">
            <v>46078</v>
          </cell>
          <cell r="N632">
            <v>46080</v>
          </cell>
          <cell r="O632">
            <v>46083</v>
          </cell>
          <cell r="P632">
            <v>108004853350</v>
          </cell>
          <cell r="Q632">
            <v>46079</v>
          </cell>
          <cell r="R632" t="str">
            <v>No inspection</v>
          </cell>
          <cell r="S632">
            <v>130971.28</v>
          </cell>
          <cell r="T632" t="str">
            <v>EXW</v>
          </cell>
          <cell r="U632" t="str">
            <v>PUR</v>
          </cell>
        </row>
        <row r="633">
          <cell r="D633">
            <v>47.5</v>
          </cell>
          <cell r="F633">
            <v>513464825700</v>
          </cell>
          <cell r="G633" t="str">
            <v>Micron Memory Malaysia Sdn. Bh</v>
          </cell>
          <cell r="H633" t="str">
            <v>Delivered</v>
          </cell>
          <cell r="I633" t="str">
            <v xml:space="preserve">MEM </v>
          </cell>
          <cell r="J633" t="str">
            <v>Fedex</v>
          </cell>
          <cell r="K633" t="str">
            <v>VVMV</v>
          </cell>
          <cell r="L633" t="str">
            <v>MY</v>
          </cell>
          <cell r="M633">
            <v>46078</v>
          </cell>
          <cell r="N633">
            <v>46080</v>
          </cell>
          <cell r="O633">
            <v>46080</v>
          </cell>
          <cell r="P633">
            <v>108004367550</v>
          </cell>
          <cell r="Q633">
            <v>46079</v>
          </cell>
          <cell r="R633" t="str">
            <v>No inspection</v>
          </cell>
          <cell r="S633">
            <v>3035060</v>
          </cell>
          <cell r="T633" t="str">
            <v>CIF</v>
          </cell>
          <cell r="U633" t="str">
            <v>PUR</v>
          </cell>
        </row>
        <row r="634">
          <cell r="D634">
            <v>1</v>
          </cell>
          <cell r="F634">
            <v>514873644595</v>
          </cell>
          <cell r="G634" t="str">
            <v>DIGI-KEY ELECTRONICS</v>
          </cell>
          <cell r="H634" t="str">
            <v>Delivered</v>
          </cell>
          <cell r="I634" t="str">
            <v xml:space="preserve">CAP </v>
          </cell>
          <cell r="J634" t="str">
            <v>Fedex</v>
          </cell>
          <cell r="K634" t="str">
            <v>VVMV</v>
          </cell>
          <cell r="L634" t="str">
            <v>US</v>
          </cell>
          <cell r="M634">
            <v>46076</v>
          </cell>
          <cell r="N634">
            <v>46080</v>
          </cell>
          <cell r="O634">
            <v>46080</v>
          </cell>
          <cell r="P634">
            <v>108003975220</v>
          </cell>
          <cell r="Q634">
            <v>46079</v>
          </cell>
          <cell r="R634" t="str">
            <v>No inspection</v>
          </cell>
          <cell r="S634">
            <v>324</v>
          </cell>
          <cell r="T634" t="str">
            <v>CIF</v>
          </cell>
          <cell r="U634" t="str">
            <v>EF-</v>
          </cell>
        </row>
        <row r="635">
          <cell r="D635">
            <v>7</v>
          </cell>
          <cell r="F635">
            <v>495506394634</v>
          </cell>
          <cell r="G635" t="str">
            <v>SAMTEC ASIA PACIFIC PTE LTD</v>
          </cell>
          <cell r="H635" t="str">
            <v>Delivered</v>
          </cell>
          <cell r="I635" t="str">
            <v>CONN</v>
          </cell>
          <cell r="J635" t="str">
            <v>Fedex</v>
          </cell>
          <cell r="K635" t="str">
            <v>VVMV</v>
          </cell>
          <cell r="L635" t="str">
            <v>SG</v>
          </cell>
          <cell r="M635">
            <v>46078</v>
          </cell>
          <cell r="N635">
            <v>46080</v>
          </cell>
          <cell r="O635">
            <v>46083</v>
          </cell>
          <cell r="P635">
            <v>108004858620</v>
          </cell>
          <cell r="Q635">
            <v>46079</v>
          </cell>
          <cell r="R635" t="str">
            <v>No inspection</v>
          </cell>
          <cell r="S635">
            <v>666</v>
          </cell>
          <cell r="T635" t="str">
            <v>CIF</v>
          </cell>
          <cell r="U635" t="str">
            <v>EF-</v>
          </cell>
        </row>
        <row r="636">
          <cell r="D636">
            <v>64</v>
          </cell>
          <cell r="F636">
            <v>1088069511</v>
          </cell>
          <cell r="G636" t="str">
            <v>TTI INC</v>
          </cell>
          <cell r="H636" t="str">
            <v>Delivered</v>
          </cell>
          <cell r="I636" t="str">
            <v>CON , RES , WIRE, FERR</v>
          </cell>
          <cell r="J636" t="str">
            <v>DHL</v>
          </cell>
          <cell r="K636" t="str">
            <v>VVMV</v>
          </cell>
          <cell r="L636" t="str">
            <v>US</v>
          </cell>
          <cell r="M636">
            <v>46079</v>
          </cell>
          <cell r="N636">
            <v>46084</v>
          </cell>
          <cell r="O636">
            <v>46084</v>
          </cell>
          <cell r="P636">
            <v>108011422040</v>
          </cell>
          <cell r="Q636">
            <v>46083</v>
          </cell>
          <cell r="R636" t="str">
            <v>No inspection</v>
          </cell>
          <cell r="S636">
            <v>13409.32</v>
          </cell>
          <cell r="T636" t="str">
            <v>CIF</v>
          </cell>
          <cell r="U636" t="str">
            <v>LUC</v>
          </cell>
        </row>
        <row r="637">
          <cell r="D637">
            <v>0.5</v>
          </cell>
          <cell r="F637">
            <v>500292473176</v>
          </cell>
          <cell r="G637" t="str">
            <v>ARROW COMPONENTS MEXICO SA De CV</v>
          </cell>
          <cell r="H637" t="str">
            <v>Delivered</v>
          </cell>
          <cell r="I637" t="str">
            <v>IC V</v>
          </cell>
          <cell r="J637" t="str">
            <v>Fedex</v>
          </cell>
          <cell r="K637" t="str">
            <v>VVMV</v>
          </cell>
          <cell r="L637" t="str">
            <v>MX</v>
          </cell>
          <cell r="M637">
            <v>46071</v>
          </cell>
          <cell r="N637">
            <v>46083</v>
          </cell>
          <cell r="O637">
            <v>46083</v>
          </cell>
          <cell r="P637">
            <v>108008772650</v>
          </cell>
          <cell r="Q637">
            <v>46080</v>
          </cell>
          <cell r="R637" t="str">
            <v>No inspection</v>
          </cell>
          <cell r="S637">
            <v>588</v>
          </cell>
          <cell r="T637" t="str">
            <v>CIF</v>
          </cell>
          <cell r="U637" t="str">
            <v>EF-</v>
          </cell>
        </row>
        <row r="638">
          <cell r="D638">
            <v>1</v>
          </cell>
          <cell r="F638">
            <v>515282057332</v>
          </cell>
          <cell r="G638" t="str">
            <v>ARROW ELECTRONICS, INC.</v>
          </cell>
          <cell r="H638" t="str">
            <v>Delivered</v>
          </cell>
          <cell r="I638" t="str">
            <v>RES , CAP , FERR</v>
          </cell>
          <cell r="J638" t="str">
            <v>Fedex</v>
          </cell>
          <cell r="K638" t="str">
            <v>VVMV</v>
          </cell>
          <cell r="L638" t="str">
            <v>US</v>
          </cell>
          <cell r="M638">
            <v>46077</v>
          </cell>
          <cell r="N638">
            <v>46083</v>
          </cell>
          <cell r="O638">
            <v>46083</v>
          </cell>
          <cell r="P638">
            <v>108008296800</v>
          </cell>
          <cell r="Q638">
            <v>46080</v>
          </cell>
          <cell r="R638" t="str">
            <v>No inspection</v>
          </cell>
          <cell r="S638">
            <v>344.9</v>
          </cell>
          <cell r="T638" t="str">
            <v>CIF</v>
          </cell>
          <cell r="U638" t="str">
            <v>LUC</v>
          </cell>
        </row>
        <row r="639">
          <cell r="D639">
            <v>82</v>
          </cell>
          <cell r="F639">
            <v>514097479372</v>
          </cell>
          <cell r="G639" t="str">
            <v>RICHARDSON RFPD HONG KONG LIMITED</v>
          </cell>
          <cell r="H639" t="str">
            <v>Delivered</v>
          </cell>
          <cell r="I639" t="str">
            <v xml:space="preserve">CAP </v>
          </cell>
          <cell r="J639" t="str">
            <v>Fedex</v>
          </cell>
          <cell r="K639" t="str">
            <v>VVMV</v>
          </cell>
          <cell r="L639" t="str">
            <v>HK</v>
          </cell>
          <cell r="M639">
            <v>46079</v>
          </cell>
          <cell r="N639">
            <v>46083</v>
          </cell>
          <cell r="O639">
            <v>46083</v>
          </cell>
          <cell r="P639">
            <v>108008258850</v>
          </cell>
          <cell r="Q639">
            <v>46080</v>
          </cell>
          <cell r="R639" t="str">
            <v>No inspection</v>
          </cell>
          <cell r="S639">
            <v>10080</v>
          </cell>
          <cell r="T639" t="str">
            <v>EXW</v>
          </cell>
          <cell r="U639" t="str">
            <v>PUR</v>
          </cell>
        </row>
        <row r="640">
          <cell r="D640">
            <v>10.5</v>
          </cell>
          <cell r="F640">
            <v>511467561979</v>
          </cell>
          <cell r="G640" t="str">
            <v>MICROCHIP TECNOLOGY(TH) CO LTD</v>
          </cell>
          <cell r="H640" t="str">
            <v>Delivered</v>
          </cell>
          <cell r="I640" t="str">
            <v>IC Y</v>
          </cell>
          <cell r="J640" t="str">
            <v>Fedex</v>
          </cell>
          <cell r="K640" t="str">
            <v>VVMV</v>
          </cell>
          <cell r="L640" t="str">
            <v>TH</v>
          </cell>
          <cell r="M640">
            <v>46079</v>
          </cell>
          <cell r="N640">
            <v>46083</v>
          </cell>
          <cell r="O640">
            <v>46083</v>
          </cell>
          <cell r="P640">
            <v>108008587300</v>
          </cell>
          <cell r="Q640">
            <v>46080</v>
          </cell>
          <cell r="R640" t="str">
            <v>No inspection</v>
          </cell>
          <cell r="S640">
            <v>118296.64</v>
          </cell>
          <cell r="T640" t="str">
            <v>EXW</v>
          </cell>
          <cell r="U640" t="str">
            <v>HLO</v>
          </cell>
        </row>
        <row r="641">
          <cell r="D641">
            <v>31.5</v>
          </cell>
          <cell r="F641">
            <v>889019902160</v>
          </cell>
          <cell r="G641" t="str">
            <v>WT MICROELECTRONICS CO., LTD</v>
          </cell>
          <cell r="H641" t="str">
            <v>Delivered</v>
          </cell>
          <cell r="I641" t="str">
            <v xml:space="preserve">IC I, IC A, CAP , RES </v>
          </cell>
          <cell r="J641" t="str">
            <v>Fedex</v>
          </cell>
          <cell r="K641" t="str">
            <v>VVMV</v>
          </cell>
          <cell r="L641" t="str">
            <v>SG</v>
          </cell>
          <cell r="M641">
            <v>46077</v>
          </cell>
          <cell r="N641">
            <v>46083</v>
          </cell>
          <cell r="O641">
            <v>46083</v>
          </cell>
          <cell r="P641">
            <v>108008801830</v>
          </cell>
          <cell r="Q641">
            <v>46080</v>
          </cell>
          <cell r="R641" t="str">
            <v>No inspection</v>
          </cell>
          <cell r="S641">
            <v>4936.2</v>
          </cell>
          <cell r="T641" t="str">
            <v>EXW</v>
          </cell>
          <cell r="U641" t="str">
            <v>LUC</v>
          </cell>
        </row>
        <row r="642">
          <cell r="D642">
            <v>92.5</v>
          </cell>
          <cell r="F642">
            <v>4110333938</v>
          </cell>
          <cell r="G642" t="str">
            <v>AVNET, INC</v>
          </cell>
          <cell r="H642" t="str">
            <v>Delivered</v>
          </cell>
          <cell r="I642" t="str">
            <v>CONN</v>
          </cell>
          <cell r="J642" t="str">
            <v>Expeditors</v>
          </cell>
          <cell r="K642" t="str">
            <v>VVMV</v>
          </cell>
          <cell r="L642" t="str">
            <v>US</v>
          </cell>
          <cell r="M642">
            <v>46078</v>
          </cell>
          <cell r="N642">
            <v>46084</v>
          </cell>
          <cell r="O642">
            <v>46084</v>
          </cell>
          <cell r="P642">
            <v>108012468320</v>
          </cell>
          <cell r="Q642">
            <v>46083</v>
          </cell>
          <cell r="R642" t="str">
            <v>No inspection</v>
          </cell>
          <cell r="S642">
            <v>16240</v>
          </cell>
          <cell r="T642" t="str">
            <v>DAP</v>
          </cell>
          <cell r="U642" t="str">
            <v>LUC</v>
          </cell>
        </row>
        <row r="643">
          <cell r="D643">
            <v>28</v>
          </cell>
          <cell r="F643">
            <v>4110334249</v>
          </cell>
          <cell r="G643" t="str">
            <v>AVNET, INC</v>
          </cell>
          <cell r="H643" t="str">
            <v>Delivered</v>
          </cell>
          <cell r="I643" t="str">
            <v>CONN</v>
          </cell>
          <cell r="J643" t="str">
            <v>Expeditors</v>
          </cell>
          <cell r="K643" t="str">
            <v>VVMV</v>
          </cell>
          <cell r="L643" t="str">
            <v>US</v>
          </cell>
          <cell r="M643">
            <v>46078</v>
          </cell>
          <cell r="N643">
            <v>46084</v>
          </cell>
          <cell r="O643">
            <v>46084</v>
          </cell>
          <cell r="P643">
            <v>108011569410</v>
          </cell>
          <cell r="Q643">
            <v>46083</v>
          </cell>
          <cell r="R643" t="str">
            <v>No inspection</v>
          </cell>
          <cell r="S643">
            <v>3263.52</v>
          </cell>
          <cell r="T643" t="str">
            <v>DAP</v>
          </cell>
          <cell r="U643" t="str">
            <v>LUC</v>
          </cell>
        </row>
        <row r="644">
          <cell r="D644">
            <v>34.5</v>
          </cell>
          <cell r="F644">
            <v>4110334250</v>
          </cell>
          <cell r="G644" t="str">
            <v>AVNET, INC</v>
          </cell>
          <cell r="H644" t="str">
            <v>Delivered</v>
          </cell>
          <cell r="I644" t="str">
            <v>CONN</v>
          </cell>
          <cell r="J644" t="str">
            <v>Expeditors</v>
          </cell>
          <cell r="K644" t="str">
            <v>VVMV</v>
          </cell>
          <cell r="L644" t="str">
            <v>US</v>
          </cell>
          <cell r="M644">
            <v>46078</v>
          </cell>
          <cell r="N644">
            <v>46084</v>
          </cell>
          <cell r="O644">
            <v>46084</v>
          </cell>
          <cell r="P644">
            <v>108011874940</v>
          </cell>
          <cell r="Q644">
            <v>46083</v>
          </cell>
          <cell r="R644" t="str">
            <v>No inspection</v>
          </cell>
          <cell r="S644">
            <v>3837.91</v>
          </cell>
          <cell r="T644" t="str">
            <v>DAP</v>
          </cell>
          <cell r="U644" t="str">
            <v>LUC</v>
          </cell>
        </row>
        <row r="645">
          <cell r="D645">
            <v>60</v>
          </cell>
          <cell r="F645">
            <v>4110334494</v>
          </cell>
          <cell r="G645" t="str">
            <v>AVNET, INC</v>
          </cell>
          <cell r="H645" t="str">
            <v>Delivered</v>
          </cell>
          <cell r="I645" t="str">
            <v>CONN</v>
          </cell>
          <cell r="J645" t="str">
            <v>Expeditors</v>
          </cell>
          <cell r="K645" t="str">
            <v>VVMV</v>
          </cell>
          <cell r="L645" t="str">
            <v>US</v>
          </cell>
          <cell r="M645">
            <v>46077</v>
          </cell>
          <cell r="N645">
            <v>46084</v>
          </cell>
          <cell r="O645">
            <v>46084</v>
          </cell>
          <cell r="P645">
            <v>108012331230</v>
          </cell>
          <cell r="Q645">
            <v>46083</v>
          </cell>
          <cell r="R645" t="str">
            <v>No inspection</v>
          </cell>
          <cell r="S645">
            <v>1753.92</v>
          </cell>
          <cell r="T645" t="str">
            <v>DAP</v>
          </cell>
          <cell r="U645" t="str">
            <v>LUC</v>
          </cell>
        </row>
        <row r="646">
          <cell r="D646">
            <v>79.5</v>
          </cell>
          <cell r="F646">
            <v>4110334495</v>
          </cell>
          <cell r="G646" t="str">
            <v>AVNET, INC</v>
          </cell>
          <cell r="H646" t="str">
            <v>Delivered</v>
          </cell>
          <cell r="I646" t="str">
            <v>CONN</v>
          </cell>
          <cell r="J646" t="str">
            <v>Expeditors</v>
          </cell>
          <cell r="K646" t="str">
            <v>VVMV</v>
          </cell>
          <cell r="L646" t="str">
            <v>US</v>
          </cell>
          <cell r="M646">
            <v>46077</v>
          </cell>
          <cell r="N646">
            <v>46084</v>
          </cell>
          <cell r="O646">
            <v>46084</v>
          </cell>
          <cell r="P646">
            <v>108012588940</v>
          </cell>
          <cell r="Q646">
            <v>46083</v>
          </cell>
          <cell r="R646" t="str">
            <v>No inspection</v>
          </cell>
          <cell r="S646">
            <v>2419.1999999999998</v>
          </cell>
          <cell r="T646" t="str">
            <v>DAP</v>
          </cell>
          <cell r="U646" t="str">
            <v>LUC</v>
          </cell>
        </row>
        <row r="647">
          <cell r="D647">
            <v>162</v>
          </cell>
          <cell r="F647">
            <v>4110334496</v>
          </cell>
          <cell r="G647" t="str">
            <v>AVNET, INC</v>
          </cell>
          <cell r="H647" t="str">
            <v>Delivered</v>
          </cell>
          <cell r="I647" t="str">
            <v>CONN</v>
          </cell>
          <cell r="J647" t="str">
            <v>Expeditors</v>
          </cell>
          <cell r="K647" t="str">
            <v>VVMV</v>
          </cell>
          <cell r="L647" t="str">
            <v>US</v>
          </cell>
          <cell r="M647">
            <v>46078</v>
          </cell>
          <cell r="N647">
            <v>46084</v>
          </cell>
          <cell r="O647">
            <v>46084</v>
          </cell>
          <cell r="P647">
            <v>108011739950</v>
          </cell>
          <cell r="Q647">
            <v>46083</v>
          </cell>
          <cell r="R647" t="str">
            <v>No inspection</v>
          </cell>
          <cell r="S647">
            <v>4838.3999999999996</v>
          </cell>
          <cell r="T647" t="str">
            <v>DAP</v>
          </cell>
          <cell r="U647" t="str">
            <v>LUC</v>
          </cell>
        </row>
        <row r="648">
          <cell r="D648">
            <v>79.5</v>
          </cell>
          <cell r="F648">
            <v>4110334497</v>
          </cell>
          <cell r="G648" t="str">
            <v>AVNET, INC</v>
          </cell>
          <cell r="H648" t="str">
            <v>Delivered</v>
          </cell>
          <cell r="I648" t="str">
            <v>CONN</v>
          </cell>
          <cell r="J648" t="str">
            <v>Expeditors</v>
          </cell>
          <cell r="K648" t="str">
            <v>VVMV</v>
          </cell>
          <cell r="L648" t="str">
            <v>US</v>
          </cell>
          <cell r="M648">
            <v>46077</v>
          </cell>
          <cell r="N648">
            <v>46084</v>
          </cell>
          <cell r="O648">
            <v>46084</v>
          </cell>
          <cell r="P648">
            <v>108012007500</v>
          </cell>
          <cell r="Q648">
            <v>46083</v>
          </cell>
          <cell r="R648" t="str">
            <v>No inspection</v>
          </cell>
          <cell r="S648">
            <v>2419.1999999999998</v>
          </cell>
          <cell r="T648" t="str">
            <v>DAP</v>
          </cell>
          <cell r="U648" t="str">
            <v>LUC</v>
          </cell>
        </row>
        <row r="649">
          <cell r="D649">
            <v>11.5</v>
          </cell>
          <cell r="F649">
            <v>4110334526</v>
          </cell>
          <cell r="G649" t="str">
            <v>AVNET, INC</v>
          </cell>
          <cell r="H649" t="str">
            <v>Delivered</v>
          </cell>
          <cell r="I649" t="str">
            <v>CONN</v>
          </cell>
          <cell r="J649" t="str">
            <v>Expeditors</v>
          </cell>
          <cell r="K649" t="str">
            <v>VVMV</v>
          </cell>
          <cell r="L649" t="str">
            <v>US</v>
          </cell>
          <cell r="M649">
            <v>46078</v>
          </cell>
          <cell r="N649">
            <v>46084</v>
          </cell>
          <cell r="O649">
            <v>46084</v>
          </cell>
          <cell r="P649">
            <v>108012209760</v>
          </cell>
          <cell r="Q649">
            <v>46083</v>
          </cell>
          <cell r="R649" t="str">
            <v>No inspection</v>
          </cell>
          <cell r="S649">
            <v>1347.29</v>
          </cell>
          <cell r="T649" t="str">
            <v>DAP</v>
          </cell>
          <cell r="U649" t="str">
            <v>LUC</v>
          </cell>
        </row>
        <row r="650">
          <cell r="D650">
            <v>46</v>
          </cell>
          <cell r="F650">
            <v>4110334527</v>
          </cell>
          <cell r="G650" t="str">
            <v>AVNET, INC</v>
          </cell>
          <cell r="H650" t="str">
            <v>Delivered</v>
          </cell>
          <cell r="I650" t="str">
            <v>CONN</v>
          </cell>
          <cell r="J650" t="str">
            <v>Expeditors</v>
          </cell>
          <cell r="K650" t="str">
            <v>VVMV</v>
          </cell>
          <cell r="L650" t="str">
            <v>US</v>
          </cell>
          <cell r="M650">
            <v>46078</v>
          </cell>
          <cell r="N650">
            <v>46084</v>
          </cell>
          <cell r="O650">
            <v>46084</v>
          </cell>
          <cell r="P650">
            <v>108012736050</v>
          </cell>
          <cell r="Q650">
            <v>46083</v>
          </cell>
          <cell r="R650" t="str">
            <v>No inspection</v>
          </cell>
          <cell r="S650">
            <v>1118.8800000000001</v>
          </cell>
          <cell r="T650" t="str">
            <v>DAP</v>
          </cell>
          <cell r="U650" t="str">
            <v>LUC</v>
          </cell>
        </row>
        <row r="651">
          <cell r="D651">
            <v>396.8</v>
          </cell>
          <cell r="F651">
            <v>6467344446</v>
          </cell>
          <cell r="G651" t="str">
            <v>AVNET- CHANDLER</v>
          </cell>
          <cell r="H651" t="str">
            <v>Delivered</v>
          </cell>
          <cell r="I651" t="str">
            <v>TRAN, IC D, IC L, IC M, IC A, CAP , RES , IC I, IC F, CONN, IC S, TIME, CMC , DIOD, IND , IC C, IC V, SWIT, FUSE, FILT</v>
          </cell>
          <cell r="J651" t="str">
            <v>DHL</v>
          </cell>
          <cell r="K651" t="str">
            <v>VVMV</v>
          </cell>
          <cell r="L651" t="str">
            <v>US</v>
          </cell>
          <cell r="M651">
            <v>46078</v>
          </cell>
          <cell r="N651">
            <v>46084</v>
          </cell>
          <cell r="O651">
            <v>46084</v>
          </cell>
          <cell r="P651" t="str">
            <v>108012628620  108012643760 108012663360</v>
          </cell>
          <cell r="Q651">
            <v>46083</v>
          </cell>
          <cell r="R651" t="str">
            <v>No inspection</v>
          </cell>
          <cell r="S651">
            <v>530607.11</v>
          </cell>
          <cell r="T651" t="str">
            <v>CIF</v>
          </cell>
          <cell r="U651" t="str">
            <v>LUC</v>
          </cell>
        </row>
        <row r="652">
          <cell r="D652">
            <v>2</v>
          </cell>
          <cell r="F652">
            <v>119209687491</v>
          </cell>
          <cell r="G652" t="str">
            <v>FUTURE ELECTRONICS FICE</v>
          </cell>
          <cell r="H652" t="str">
            <v>Delivered</v>
          </cell>
          <cell r="I652" t="str">
            <v>IC,V, IC S</v>
          </cell>
          <cell r="J652" t="str">
            <v>Fedex</v>
          </cell>
          <cell r="K652" t="str">
            <v>VVMV</v>
          </cell>
          <cell r="L652" t="str">
            <v>US</v>
          </cell>
          <cell r="M652">
            <v>46076</v>
          </cell>
          <cell r="N652">
            <v>46084</v>
          </cell>
          <cell r="O652">
            <v>46084</v>
          </cell>
          <cell r="P652">
            <v>108014342920</v>
          </cell>
          <cell r="Q652">
            <v>46083</v>
          </cell>
          <cell r="R652" t="str">
            <v>No inspection</v>
          </cell>
          <cell r="S652">
            <v>3080</v>
          </cell>
          <cell r="T652" t="str">
            <v>CIF</v>
          </cell>
          <cell r="U652" t="str">
            <v>PUR</v>
          </cell>
        </row>
        <row r="653">
          <cell r="D653">
            <v>3.5</v>
          </cell>
          <cell r="F653" t="str">
            <v>PLISG2H00696</v>
          </cell>
          <cell r="G653" t="str">
            <v>WT MICROELECTRONICS SPORE P/L</v>
          </cell>
          <cell r="H653" t="str">
            <v>Delivered</v>
          </cell>
          <cell r="I653" t="str">
            <v>TRAN</v>
          </cell>
          <cell r="J653" t="str">
            <v>LX</v>
          </cell>
          <cell r="K653" t="str">
            <v>VVMV</v>
          </cell>
          <cell r="L653" t="str">
            <v>SG</v>
          </cell>
          <cell r="M653">
            <v>46082</v>
          </cell>
          <cell r="N653">
            <v>46085</v>
          </cell>
          <cell r="O653">
            <v>46085</v>
          </cell>
          <cell r="P653">
            <v>108017950240</v>
          </cell>
          <cell r="Q653">
            <v>46084</v>
          </cell>
          <cell r="R653" t="str">
            <v>No inspection</v>
          </cell>
          <cell r="S653">
            <v>14194.8</v>
          </cell>
          <cell r="T653" t="str">
            <v>CIF</v>
          </cell>
          <cell r="U653" t="str">
            <v>LUC</v>
          </cell>
        </row>
        <row r="654">
          <cell r="D654">
            <v>0.4</v>
          </cell>
          <cell r="F654" t="str">
            <v>1ZG2B4810403964937</v>
          </cell>
          <cell r="G654" t="str">
            <v>MOUSER ELECTRONICS INC</v>
          </cell>
          <cell r="H654" t="str">
            <v>Delivered</v>
          </cell>
          <cell r="I654" t="str">
            <v>DIOD</v>
          </cell>
          <cell r="J654" t="str">
            <v>UPS</v>
          </cell>
          <cell r="K654" t="str">
            <v>VVMV</v>
          </cell>
          <cell r="L654" t="str">
            <v>US</v>
          </cell>
          <cell r="M654">
            <v>46076</v>
          </cell>
          <cell r="N654">
            <v>46084</v>
          </cell>
          <cell r="O654">
            <v>46084</v>
          </cell>
          <cell r="P654">
            <v>108013234450</v>
          </cell>
          <cell r="Q654">
            <v>46083</v>
          </cell>
          <cell r="R654" t="str">
            <v>No inspection</v>
          </cell>
          <cell r="S654" t="str">
            <v>8,66</v>
          </cell>
          <cell r="T654" t="str">
            <v>CIF</v>
          </cell>
          <cell r="U654" t="str">
            <v>LUC</v>
          </cell>
        </row>
        <row r="655">
          <cell r="D655">
            <v>1</v>
          </cell>
          <cell r="F655">
            <v>419341620164</v>
          </cell>
          <cell r="G655" t="str">
            <v>VENKEL LTD</v>
          </cell>
          <cell r="H655" t="str">
            <v>Delivered</v>
          </cell>
          <cell r="I655" t="str">
            <v xml:space="preserve">CAP , RES </v>
          </cell>
          <cell r="J655" t="str">
            <v>Fedex</v>
          </cell>
          <cell r="K655" t="str">
            <v>VVMV</v>
          </cell>
          <cell r="L655" t="str">
            <v>US</v>
          </cell>
          <cell r="M655">
            <v>46077</v>
          </cell>
          <cell r="N655">
            <v>46084</v>
          </cell>
          <cell r="O655">
            <v>46084</v>
          </cell>
          <cell r="P655">
            <v>108013076400</v>
          </cell>
          <cell r="Q655">
            <v>46083</v>
          </cell>
          <cell r="R655" t="str">
            <v>No inspection</v>
          </cell>
          <cell r="S655">
            <v>49</v>
          </cell>
          <cell r="T655" t="str">
            <v>CIF</v>
          </cell>
          <cell r="U655" t="str">
            <v>EF-</v>
          </cell>
        </row>
        <row r="656">
          <cell r="D656">
            <v>3.5</v>
          </cell>
          <cell r="F656">
            <v>500394438949</v>
          </cell>
          <cell r="G656" t="str">
            <v>WURTH ELEKTRONIK EISOS GMBH</v>
          </cell>
          <cell r="H656" t="str">
            <v>Delivered</v>
          </cell>
          <cell r="I656" t="str">
            <v xml:space="preserve">IND </v>
          </cell>
          <cell r="J656" t="str">
            <v>Fedex</v>
          </cell>
          <cell r="K656" t="str">
            <v>VVMV</v>
          </cell>
          <cell r="L656" t="str">
            <v>DE</v>
          </cell>
          <cell r="M656">
            <v>46080</v>
          </cell>
          <cell r="N656">
            <v>46086</v>
          </cell>
          <cell r="O656">
            <v>46086</v>
          </cell>
          <cell r="P656">
            <v>108021239910</v>
          </cell>
          <cell r="Q656">
            <v>46085</v>
          </cell>
          <cell r="R656" t="str">
            <v>No inspection</v>
          </cell>
          <cell r="S656">
            <v>424</v>
          </cell>
          <cell r="T656" t="str">
            <v>CIF</v>
          </cell>
          <cell r="U656" t="str">
            <v>EF-</v>
          </cell>
        </row>
        <row r="657">
          <cell r="D657">
            <v>0.3</v>
          </cell>
          <cell r="F657">
            <v>5973705964</v>
          </cell>
          <cell r="G657" t="str">
            <v>FUTURE ELECTRONICS (ADC)</v>
          </cell>
          <cell r="H657" t="str">
            <v>Delivered</v>
          </cell>
          <cell r="I657" t="str">
            <v xml:space="preserve">LED </v>
          </cell>
          <cell r="J657" t="str">
            <v>Fedex</v>
          </cell>
          <cell r="K657" t="str">
            <v>VVMV</v>
          </cell>
          <cell r="L657" t="str">
            <v>SG</v>
          </cell>
          <cell r="M657">
            <v>46080</v>
          </cell>
          <cell r="N657">
            <v>46085</v>
          </cell>
          <cell r="O657">
            <v>46085</v>
          </cell>
          <cell r="P657">
            <v>108018040210</v>
          </cell>
          <cell r="Q657">
            <v>46084</v>
          </cell>
          <cell r="R657" t="str">
            <v>No inspection</v>
          </cell>
          <cell r="S657">
            <v>67</v>
          </cell>
          <cell r="T657" t="str">
            <v>CIF</v>
          </cell>
          <cell r="U657" t="str">
            <v>PUR</v>
          </cell>
        </row>
        <row r="658">
          <cell r="D658">
            <v>127</v>
          </cell>
          <cell r="F658">
            <v>398927907604</v>
          </cell>
          <cell r="G658" t="str">
            <v>ROSENBERGER HOCHFREQUENZTECHNIK</v>
          </cell>
          <cell r="H658" t="str">
            <v>Delivered</v>
          </cell>
          <cell r="I658" t="str">
            <v>CONN</v>
          </cell>
          <cell r="J658" t="str">
            <v>Fedex</v>
          </cell>
          <cell r="K658" t="str">
            <v>VVMV</v>
          </cell>
          <cell r="L658" t="str">
            <v>HU</v>
          </cell>
          <cell r="M658">
            <v>46076</v>
          </cell>
          <cell r="N658">
            <v>46094</v>
          </cell>
          <cell r="O658">
            <v>46097</v>
          </cell>
          <cell r="P658">
            <v>108045672120</v>
          </cell>
          <cell r="Q658">
            <v>46093</v>
          </cell>
          <cell r="R658" t="str">
            <v>No inspection</v>
          </cell>
          <cell r="S658">
            <v>12762.54</v>
          </cell>
          <cell r="T658" t="str">
            <v>CIF</v>
          </cell>
          <cell r="U658" t="str">
            <v>LUC</v>
          </cell>
        </row>
        <row r="659">
          <cell r="D659">
            <v>47.5</v>
          </cell>
          <cell r="F659">
            <v>399098599160</v>
          </cell>
          <cell r="G659" t="str">
            <v>ROSENBERGER HOCHFREQUENZTECHNIK</v>
          </cell>
          <cell r="H659" t="str">
            <v>Delivered</v>
          </cell>
          <cell r="I659" t="str">
            <v>CON</v>
          </cell>
          <cell r="J659" t="str">
            <v>Fedex</v>
          </cell>
          <cell r="K659" t="str">
            <v>VVMV</v>
          </cell>
          <cell r="L659" t="str">
            <v>HU</v>
          </cell>
          <cell r="M659">
            <v>46079</v>
          </cell>
          <cell r="N659">
            <v>46087</v>
          </cell>
          <cell r="O659">
            <v>46087</v>
          </cell>
          <cell r="P659">
            <v>108023671820</v>
          </cell>
          <cell r="Q659">
            <v>46086</v>
          </cell>
          <cell r="R659" t="str">
            <v>No inspection</v>
          </cell>
          <cell r="S659">
            <v>4558.05</v>
          </cell>
          <cell r="T659" t="str">
            <v>CIF</v>
          </cell>
          <cell r="U659" t="str">
            <v>LUC</v>
          </cell>
        </row>
        <row r="660">
          <cell r="D660">
            <v>139.5</v>
          </cell>
          <cell r="F660">
            <v>889127356555</v>
          </cell>
          <cell r="G660" t="str">
            <v>SINOTRANS JIANGSU FUCHANG</v>
          </cell>
          <cell r="H660" t="str">
            <v>Delivered</v>
          </cell>
          <cell r="I660" t="str">
            <v xml:space="preserve">MEM </v>
          </cell>
          <cell r="J660" t="str">
            <v>Fedex</v>
          </cell>
          <cell r="K660" t="str">
            <v>VVMV</v>
          </cell>
          <cell r="L660" t="str">
            <v>CN</v>
          </cell>
          <cell r="M660">
            <v>46080</v>
          </cell>
          <cell r="N660">
            <v>46086</v>
          </cell>
          <cell r="O660">
            <v>46086</v>
          </cell>
          <cell r="P660">
            <v>108020698110</v>
          </cell>
          <cell r="Q660">
            <v>46085</v>
          </cell>
          <cell r="R660" t="str">
            <v>No inspection</v>
          </cell>
          <cell r="S660">
            <v>565116.19999999995</v>
          </cell>
          <cell r="T660" t="str">
            <v>EXW</v>
          </cell>
          <cell r="U660" t="str">
            <v>PUR</v>
          </cell>
        </row>
        <row r="661">
          <cell r="D661">
            <v>29</v>
          </cell>
          <cell r="F661">
            <v>472187351070</v>
          </cell>
          <cell r="G661" t="str">
            <v>HEILIND ASIA PACIFIC (SG) PTE LTD</v>
          </cell>
          <cell r="H661" t="str">
            <v>Delivered</v>
          </cell>
          <cell r="I661" t="str">
            <v>THER</v>
          </cell>
          <cell r="J661" t="str">
            <v>Fedex</v>
          </cell>
          <cell r="K661" t="str">
            <v>VVMV</v>
          </cell>
          <cell r="L661" t="str">
            <v>SG</v>
          </cell>
          <cell r="M661">
            <v>46079</v>
          </cell>
          <cell r="N661">
            <v>46086</v>
          </cell>
          <cell r="O661">
            <v>46087</v>
          </cell>
          <cell r="P661">
            <v>108021175140</v>
          </cell>
          <cell r="Q661">
            <v>46085</v>
          </cell>
          <cell r="R661" t="str">
            <v>No inspection</v>
          </cell>
          <cell r="S661">
            <v>14940</v>
          </cell>
          <cell r="T661" t="str">
            <v>EXW</v>
          </cell>
          <cell r="U661" t="str">
            <v>HLO</v>
          </cell>
        </row>
        <row r="662">
          <cell r="D662">
            <v>38.5</v>
          </cell>
          <cell r="F662">
            <v>889057417127</v>
          </cell>
          <cell r="G662" t="str">
            <v>AMPHENOL FCI ASIA PTE LTD</v>
          </cell>
          <cell r="H662" t="str">
            <v>Delivered</v>
          </cell>
          <cell r="I662" t="str">
            <v>CONN</v>
          </cell>
          <cell r="J662" t="str">
            <v>Fedex</v>
          </cell>
          <cell r="K662" t="str">
            <v>VVMV</v>
          </cell>
          <cell r="L662" t="str">
            <v>SG</v>
          </cell>
          <cell r="M662">
            <v>46079</v>
          </cell>
          <cell r="N662">
            <v>46085</v>
          </cell>
          <cell r="O662">
            <v>46085</v>
          </cell>
          <cell r="P662">
            <v>108017529210</v>
          </cell>
          <cell r="Q662">
            <v>46084</v>
          </cell>
          <cell r="R662" t="str">
            <v>No inspection</v>
          </cell>
          <cell r="S662">
            <v>5250</v>
          </cell>
          <cell r="T662" t="str">
            <v>EXW</v>
          </cell>
          <cell r="U662" t="str">
            <v>LUC</v>
          </cell>
        </row>
        <row r="663">
          <cell r="D663">
            <v>1</v>
          </cell>
          <cell r="F663">
            <v>889094994800</v>
          </cell>
          <cell r="G663" t="str">
            <v>SUNLORD ELECTRONICS TECHNOLOGY PTE</v>
          </cell>
          <cell r="H663" t="str">
            <v>Delivered</v>
          </cell>
          <cell r="I663" t="str">
            <v xml:space="preserve">RES </v>
          </cell>
          <cell r="J663" t="str">
            <v>Fedex</v>
          </cell>
          <cell r="K663" t="str">
            <v>VVMV</v>
          </cell>
          <cell r="L663" t="str">
            <v>SG</v>
          </cell>
          <cell r="M663">
            <v>46079</v>
          </cell>
          <cell r="N663">
            <v>46085</v>
          </cell>
          <cell r="O663">
            <v>46086</v>
          </cell>
          <cell r="P663">
            <v>108017727050</v>
          </cell>
          <cell r="Q663">
            <v>46084</v>
          </cell>
          <cell r="R663" t="str">
            <v>No inspection</v>
          </cell>
          <cell r="S663">
            <v>454.7</v>
          </cell>
          <cell r="T663" t="str">
            <v>EXW</v>
          </cell>
          <cell r="U663" t="str">
            <v>EF-</v>
          </cell>
        </row>
        <row r="664">
          <cell r="D664">
            <v>147.5</v>
          </cell>
          <cell r="F664">
            <v>889059297463</v>
          </cell>
          <cell r="G664" t="str">
            <v>ACTON TECHNOLOGY PTE LTD</v>
          </cell>
          <cell r="H664" t="str">
            <v>Delivered</v>
          </cell>
          <cell r="I664" t="str">
            <v>DASH</v>
          </cell>
          <cell r="J664" t="str">
            <v>Fedex</v>
          </cell>
          <cell r="K664" t="str">
            <v>VVMV</v>
          </cell>
          <cell r="L664" t="str">
            <v>SG</v>
          </cell>
          <cell r="M664">
            <v>46080</v>
          </cell>
          <cell r="N664">
            <v>46085</v>
          </cell>
          <cell r="O664">
            <v>46085</v>
          </cell>
          <cell r="P664">
            <v>108017434010</v>
          </cell>
          <cell r="Q664">
            <v>46084</v>
          </cell>
          <cell r="R664" t="str">
            <v>No inspection</v>
          </cell>
          <cell r="S664">
            <v>9500</v>
          </cell>
          <cell r="T664" t="str">
            <v>EXW</v>
          </cell>
          <cell r="U664" t="str">
            <v>LUC</v>
          </cell>
        </row>
        <row r="665">
          <cell r="D665">
            <v>28.5</v>
          </cell>
          <cell r="F665">
            <v>461596510497</v>
          </cell>
          <cell r="G665" t="str">
            <v>A&amp;E RISING TECHNOLOGIES LTD</v>
          </cell>
          <cell r="H665" t="str">
            <v>Delivered</v>
          </cell>
          <cell r="I665" t="str">
            <v xml:space="preserve">PCB , FAB </v>
          </cell>
          <cell r="J665" t="str">
            <v>Fedex</v>
          </cell>
          <cell r="K665" t="str">
            <v>VVMV</v>
          </cell>
          <cell r="L665" t="str">
            <v>HK</v>
          </cell>
          <cell r="M665">
            <v>46080</v>
          </cell>
          <cell r="N665">
            <v>46085</v>
          </cell>
          <cell r="O665">
            <v>46085</v>
          </cell>
          <cell r="P665">
            <v>108017230050</v>
          </cell>
          <cell r="Q665">
            <v>46084</v>
          </cell>
          <cell r="R665" t="str">
            <v>No inspection</v>
          </cell>
          <cell r="S665">
            <v>3008.98</v>
          </cell>
          <cell r="T665" t="str">
            <v>EXW</v>
          </cell>
          <cell r="U665" t="str">
            <v>EF-</v>
          </cell>
        </row>
        <row r="666">
          <cell r="D666">
            <v>10.5</v>
          </cell>
          <cell r="F666">
            <v>451257566405</v>
          </cell>
          <cell r="G666" t="str">
            <v>COILCRAFT SINGAPORE PTE LTD</v>
          </cell>
          <cell r="H666" t="str">
            <v>Delivered</v>
          </cell>
          <cell r="I666" t="str">
            <v xml:space="preserve">INDU, IND </v>
          </cell>
          <cell r="J666" t="str">
            <v>Fedex</v>
          </cell>
          <cell r="K666" t="str">
            <v>VVMV</v>
          </cell>
          <cell r="L666" t="str">
            <v>SG</v>
          </cell>
          <cell r="M666">
            <v>46080</v>
          </cell>
          <cell r="N666">
            <v>46085</v>
          </cell>
          <cell r="O666">
            <v>46085</v>
          </cell>
          <cell r="P666">
            <v>108017618440</v>
          </cell>
          <cell r="Q666">
            <v>46084</v>
          </cell>
          <cell r="R666" t="str">
            <v>No inspection</v>
          </cell>
          <cell r="S666">
            <v>2451.5</v>
          </cell>
          <cell r="T666" t="str">
            <v>EXW</v>
          </cell>
          <cell r="U666" t="str">
            <v>EF-</v>
          </cell>
        </row>
        <row r="667">
          <cell r="D667">
            <v>2</v>
          </cell>
          <cell r="F667">
            <v>484112424270</v>
          </cell>
          <cell r="G667" t="str">
            <v>KIOXIA   AMERICA INC C/O TLGA</v>
          </cell>
          <cell r="H667" t="str">
            <v>Delivered</v>
          </cell>
          <cell r="I667" t="str">
            <v>IC M</v>
          </cell>
          <cell r="J667" t="str">
            <v>Fedex</v>
          </cell>
          <cell r="K667" t="str">
            <v>VVMV</v>
          </cell>
          <cell r="L667" t="str">
            <v>US</v>
          </cell>
          <cell r="M667">
            <v>46073</v>
          </cell>
          <cell r="N667">
            <v>46085</v>
          </cell>
          <cell r="O667">
            <v>46086</v>
          </cell>
          <cell r="P667">
            <v>108017748050</v>
          </cell>
          <cell r="Q667">
            <v>46084</v>
          </cell>
          <cell r="R667" t="str">
            <v>No inspection</v>
          </cell>
          <cell r="S667">
            <v>42900</v>
          </cell>
          <cell r="T667" t="str">
            <v>CIF</v>
          </cell>
          <cell r="U667" t="str">
            <v>LUC</v>
          </cell>
        </row>
        <row r="668">
          <cell r="F668">
            <v>499614377010</v>
          </cell>
          <cell r="G668" t="str">
            <v>FUTURE</v>
          </cell>
          <cell r="H668" t="str">
            <v>Delivered</v>
          </cell>
          <cell r="J668" t="str">
            <v>Fedex</v>
          </cell>
          <cell r="K668" t="str">
            <v>VVMV</v>
          </cell>
          <cell r="O668" t="str">
            <v>reject</v>
          </cell>
          <cell r="P668" t="str">
            <v>reject</v>
          </cell>
          <cell r="R668" t="str">
            <v>No inspection</v>
          </cell>
        </row>
        <row r="669">
          <cell r="D669">
            <v>1</v>
          </cell>
          <cell r="F669">
            <v>500292486728</v>
          </cell>
          <cell r="G669" t="str">
            <v>ARROW COMPONENTS MEXICO SA De CV</v>
          </cell>
          <cell r="H669" t="str">
            <v>Delivered</v>
          </cell>
          <cell r="I669" t="str">
            <v xml:space="preserve">RES </v>
          </cell>
          <cell r="J669" t="str">
            <v>Fedex</v>
          </cell>
          <cell r="K669" t="str">
            <v>VVMV</v>
          </cell>
          <cell r="L669" t="str">
            <v>MX</v>
          </cell>
          <cell r="M669">
            <v>46078</v>
          </cell>
          <cell r="N669">
            <v>46085</v>
          </cell>
          <cell r="O669">
            <v>46085</v>
          </cell>
          <cell r="P669">
            <v>108017051700</v>
          </cell>
          <cell r="Q669">
            <v>46084</v>
          </cell>
          <cell r="R669" t="str">
            <v>No inspection</v>
          </cell>
          <cell r="S669">
            <v>186</v>
          </cell>
          <cell r="T669" t="str">
            <v>CIF</v>
          </cell>
          <cell r="U669" t="str">
            <v>LUC</v>
          </cell>
        </row>
        <row r="670">
          <cell r="D670">
            <v>1</v>
          </cell>
          <cell r="F670">
            <v>500292486670</v>
          </cell>
          <cell r="G670" t="str">
            <v>ARROW COMPONENTS MEXICO SA De CV</v>
          </cell>
          <cell r="H670" t="str">
            <v>Delivered</v>
          </cell>
          <cell r="I670" t="str">
            <v xml:space="preserve">RES </v>
          </cell>
          <cell r="J670" t="str">
            <v>Fedex</v>
          </cell>
          <cell r="K670" t="str">
            <v>VVMV</v>
          </cell>
          <cell r="L670" t="str">
            <v>MX</v>
          </cell>
          <cell r="M670">
            <v>46078</v>
          </cell>
          <cell r="N670">
            <v>46085</v>
          </cell>
          <cell r="O670">
            <v>46085</v>
          </cell>
          <cell r="P670">
            <v>108017050040</v>
          </cell>
          <cell r="Q670">
            <v>46084</v>
          </cell>
          <cell r="R670" t="str">
            <v>No inspection</v>
          </cell>
          <cell r="S670">
            <v>143</v>
          </cell>
          <cell r="T670" t="str">
            <v>CIF</v>
          </cell>
          <cell r="U670" t="str">
            <v>LUC</v>
          </cell>
        </row>
        <row r="671">
          <cell r="D671">
            <v>1.5</v>
          </cell>
          <cell r="F671">
            <v>500292489418</v>
          </cell>
          <cell r="G671" t="str">
            <v>ARROW COMPONENTS MEXICO SA De CV</v>
          </cell>
          <cell r="H671" t="str">
            <v>Delivered</v>
          </cell>
          <cell r="I671" t="str">
            <v>IC S</v>
          </cell>
          <cell r="J671" t="str">
            <v>Fedex</v>
          </cell>
          <cell r="K671" t="str">
            <v>VVMV</v>
          </cell>
          <cell r="L671" t="str">
            <v>MX</v>
          </cell>
          <cell r="M671">
            <v>46079</v>
          </cell>
          <cell r="N671">
            <v>46085</v>
          </cell>
          <cell r="O671">
            <v>46085</v>
          </cell>
          <cell r="P671">
            <v>108017808620</v>
          </cell>
          <cell r="Q671">
            <v>46084</v>
          </cell>
          <cell r="R671" t="str">
            <v>No inspection</v>
          </cell>
          <cell r="S671">
            <v>4429.6000000000004</v>
          </cell>
          <cell r="T671" t="str">
            <v>CIF</v>
          </cell>
          <cell r="U671" t="str">
            <v>EF-</v>
          </cell>
        </row>
        <row r="672">
          <cell r="D672">
            <v>0.5</v>
          </cell>
          <cell r="F672">
            <v>500292490396</v>
          </cell>
          <cell r="G672" t="str">
            <v>ARROW COMPONENTS MEXICO SA De CV</v>
          </cell>
          <cell r="H672" t="str">
            <v>Delivered</v>
          </cell>
          <cell r="I672" t="str">
            <v xml:space="preserve">RES </v>
          </cell>
          <cell r="J672" t="str">
            <v>Fedex</v>
          </cell>
          <cell r="K672" t="str">
            <v>VVMV</v>
          </cell>
          <cell r="L672" t="str">
            <v>MX</v>
          </cell>
          <cell r="M672">
            <v>46079</v>
          </cell>
          <cell r="N672">
            <v>46085</v>
          </cell>
          <cell r="O672">
            <v>46085</v>
          </cell>
          <cell r="P672">
            <v>108017865430</v>
          </cell>
          <cell r="Q672">
            <v>46084</v>
          </cell>
          <cell r="R672" t="str">
            <v>No inspection</v>
          </cell>
          <cell r="S672">
            <v>35</v>
          </cell>
          <cell r="T672" t="str">
            <v>CIF</v>
          </cell>
          <cell r="U672" t="str">
            <v>AIC</v>
          </cell>
        </row>
        <row r="673">
          <cell r="D673">
            <v>1.5</v>
          </cell>
          <cell r="F673">
            <v>888978191580</v>
          </cell>
          <cell r="G673" t="str">
            <v>M&amp;Partners CO ., LTD (Suntsu Agent)</v>
          </cell>
          <cell r="H673" t="str">
            <v>Delivered</v>
          </cell>
          <cell r="I673" t="str">
            <v>CRYS</v>
          </cell>
          <cell r="J673" t="str">
            <v>Fedex</v>
          </cell>
          <cell r="K673" t="str">
            <v>VVMV</v>
          </cell>
          <cell r="L673" t="str">
            <v>KR</v>
          </cell>
          <cell r="M673">
            <v>46080</v>
          </cell>
          <cell r="N673">
            <v>46085</v>
          </cell>
          <cell r="O673">
            <v>46085</v>
          </cell>
          <cell r="P673">
            <v>108017472250</v>
          </cell>
          <cell r="Q673">
            <v>46084</v>
          </cell>
          <cell r="R673" t="str">
            <v>No inspection</v>
          </cell>
          <cell r="S673">
            <v>700</v>
          </cell>
          <cell r="T673" t="str">
            <v>CIF</v>
          </cell>
          <cell r="U673" t="str">
            <v>EF-</v>
          </cell>
        </row>
        <row r="674">
          <cell r="D674">
            <v>10</v>
          </cell>
          <cell r="F674">
            <v>679865597028</v>
          </cell>
          <cell r="G674" t="str">
            <v>AVNET TECH HK LTD (1602 - HX64)</v>
          </cell>
          <cell r="H674" t="str">
            <v>Delivered</v>
          </cell>
          <cell r="I674" t="str">
            <v>IC A</v>
          </cell>
          <cell r="J674" t="str">
            <v>Fedex</v>
          </cell>
          <cell r="K674" t="str">
            <v>VVMV</v>
          </cell>
          <cell r="L674" t="str">
            <v>HK</v>
          </cell>
          <cell r="M674">
            <v>46079</v>
          </cell>
          <cell r="N674">
            <v>46085</v>
          </cell>
          <cell r="O674">
            <v>46085</v>
          </cell>
          <cell r="P674">
            <v>108017159940</v>
          </cell>
          <cell r="Q674">
            <v>46084</v>
          </cell>
          <cell r="R674" t="str">
            <v>No inspection</v>
          </cell>
          <cell r="S674">
            <v>32076</v>
          </cell>
          <cell r="T674" t="str">
            <v>EXW</v>
          </cell>
          <cell r="U674" t="str">
            <v>LUC</v>
          </cell>
        </row>
        <row r="675">
          <cell r="D675">
            <v>8</v>
          </cell>
          <cell r="F675">
            <v>399004076520</v>
          </cell>
          <cell r="G675" t="str">
            <v>WURTH ELECTRONICS MIDCOM</v>
          </cell>
          <cell r="H675" t="str">
            <v>Delivered</v>
          </cell>
          <cell r="I675" t="str">
            <v>CONN</v>
          </cell>
          <cell r="J675" t="str">
            <v>Fedex</v>
          </cell>
          <cell r="K675" t="str">
            <v>VVMV</v>
          </cell>
          <cell r="L675" t="str">
            <v>US</v>
          </cell>
          <cell r="M675">
            <v>46076</v>
          </cell>
          <cell r="N675">
            <v>46085</v>
          </cell>
          <cell r="O675">
            <v>46085</v>
          </cell>
          <cell r="P675">
            <v>108017281300</v>
          </cell>
          <cell r="Q675">
            <v>46084</v>
          </cell>
          <cell r="R675" t="str">
            <v>No inspection</v>
          </cell>
          <cell r="S675">
            <v>757.05</v>
          </cell>
          <cell r="T675" t="str">
            <v>CIF</v>
          </cell>
          <cell r="U675" t="str">
            <v>EF-</v>
          </cell>
        </row>
        <row r="676">
          <cell r="D676">
            <v>3</v>
          </cell>
          <cell r="F676">
            <v>399134339805</v>
          </cell>
          <cell r="G676" t="str">
            <v>TEXAS INSTRUMENTS ASIA LIMITED
C/O KWE LOGISTICS (SHENZHEN)</v>
          </cell>
          <cell r="H676" t="str">
            <v>Delivered</v>
          </cell>
          <cell r="I676" t="str">
            <v>IC</v>
          </cell>
          <cell r="J676" t="str">
            <v>Fedex</v>
          </cell>
          <cell r="K676" t="str">
            <v>VVMV</v>
          </cell>
          <cell r="L676" t="str">
            <v>CN</v>
          </cell>
          <cell r="M676">
            <v>46080</v>
          </cell>
          <cell r="N676">
            <v>46085</v>
          </cell>
          <cell r="O676">
            <v>46085</v>
          </cell>
          <cell r="P676">
            <v>108017931120</v>
          </cell>
          <cell r="Q676">
            <v>46084</v>
          </cell>
          <cell r="R676" t="str">
            <v>No inspection</v>
          </cell>
          <cell r="S676">
            <v>9393.7999999999993</v>
          </cell>
          <cell r="T676" t="str">
            <v>CIF</v>
          </cell>
          <cell r="U676" t="str">
            <v>EF-</v>
          </cell>
        </row>
        <row r="677">
          <cell r="D677">
            <v>1.5</v>
          </cell>
          <cell r="F677">
            <v>399135282761</v>
          </cell>
          <cell r="G677" t="str">
            <v>TEXAS INSTRUMENTS ASIA LIMITED
C/O KWE LOGISTICS (SHENZHEN)</v>
          </cell>
          <cell r="H677" t="str">
            <v>Delivered</v>
          </cell>
          <cell r="I677" t="str">
            <v>IC</v>
          </cell>
          <cell r="J677" t="str">
            <v>Fedex</v>
          </cell>
          <cell r="K677" t="str">
            <v>VVMV</v>
          </cell>
          <cell r="L677" t="str">
            <v>CN</v>
          </cell>
          <cell r="M677">
            <v>46080</v>
          </cell>
          <cell r="N677">
            <v>46085</v>
          </cell>
          <cell r="O677">
            <v>46086</v>
          </cell>
          <cell r="P677">
            <v>108018107150</v>
          </cell>
          <cell r="Q677">
            <v>46084</v>
          </cell>
          <cell r="R677" t="str">
            <v>No inspection</v>
          </cell>
          <cell r="S677">
            <v>293</v>
          </cell>
          <cell r="T677" t="str">
            <v>CIF</v>
          </cell>
          <cell r="U677" t="str">
            <v>EF-</v>
          </cell>
        </row>
        <row r="678">
          <cell r="D678">
            <v>1</v>
          </cell>
          <cell r="F678">
            <v>399136659613</v>
          </cell>
          <cell r="G678" t="str">
            <v>c/o DHL Supply Chain SGP P/L
Texas Instruments Southeast Asia Pt</v>
          </cell>
          <cell r="H678" t="str">
            <v>Delivered</v>
          </cell>
          <cell r="I678" t="str">
            <v>IC</v>
          </cell>
          <cell r="J678" t="str">
            <v>Fedex</v>
          </cell>
          <cell r="K678" t="str">
            <v>VVMV</v>
          </cell>
          <cell r="L678" t="str">
            <v>SG</v>
          </cell>
          <cell r="M678">
            <v>46080</v>
          </cell>
          <cell r="N678">
            <v>46085</v>
          </cell>
          <cell r="O678">
            <v>46086</v>
          </cell>
          <cell r="P678">
            <v>108017868010</v>
          </cell>
          <cell r="Q678">
            <v>46084</v>
          </cell>
          <cell r="R678" t="str">
            <v>No inspection</v>
          </cell>
          <cell r="S678">
            <v>6564</v>
          </cell>
          <cell r="T678" t="str">
            <v>EXW</v>
          </cell>
          <cell r="U678" t="str">
            <v>LUC</v>
          </cell>
        </row>
        <row r="679">
          <cell r="D679">
            <v>0.5</v>
          </cell>
          <cell r="F679">
            <v>399134397922</v>
          </cell>
          <cell r="G679" t="str">
            <v>TEXAS INSTRUMENTS ASIA LIMITED
C/O KWE LOGISTICS (SHENZHEN)</v>
          </cell>
          <cell r="H679" t="str">
            <v>Delivered</v>
          </cell>
          <cell r="I679" t="str">
            <v>IC</v>
          </cell>
          <cell r="J679" t="str">
            <v>Fedex</v>
          </cell>
          <cell r="K679" t="str">
            <v>VVMV</v>
          </cell>
          <cell r="L679" t="str">
            <v>CN</v>
          </cell>
          <cell r="M679">
            <v>46080</v>
          </cell>
          <cell r="N679">
            <v>46085</v>
          </cell>
          <cell r="O679">
            <v>46085</v>
          </cell>
          <cell r="P679">
            <v>108017571800</v>
          </cell>
          <cell r="Q679">
            <v>46084</v>
          </cell>
          <cell r="R679" t="str">
            <v>No inspection</v>
          </cell>
          <cell r="S679">
            <v>536</v>
          </cell>
          <cell r="T679" t="str">
            <v>CIF</v>
          </cell>
          <cell r="U679" t="str">
            <v>EF-</v>
          </cell>
        </row>
        <row r="680">
          <cell r="D680">
            <v>2.5</v>
          </cell>
          <cell r="F680">
            <v>399101025691</v>
          </cell>
          <cell r="G680" t="str">
            <v>TEXAS INSTRUMENTS ASIA LIMITED
C/O KWE LOGISTICS (SHENZHEN)</v>
          </cell>
          <cell r="H680" t="str">
            <v>Delivered</v>
          </cell>
          <cell r="I680" t="str">
            <v>IC</v>
          </cell>
          <cell r="J680" t="str">
            <v>Fedex</v>
          </cell>
          <cell r="K680" t="str">
            <v>VVMV</v>
          </cell>
          <cell r="L680" t="str">
            <v>CN</v>
          </cell>
          <cell r="M680">
            <v>46079</v>
          </cell>
          <cell r="N680">
            <v>46085</v>
          </cell>
          <cell r="O680">
            <v>46086</v>
          </cell>
          <cell r="P680">
            <v>108018032950</v>
          </cell>
          <cell r="Q680">
            <v>46084</v>
          </cell>
          <cell r="R680" t="str">
            <v>No inspection</v>
          </cell>
          <cell r="S680">
            <v>3996</v>
          </cell>
          <cell r="T680" t="str">
            <v>EXW</v>
          </cell>
          <cell r="U680" t="str">
            <v>HLO</v>
          </cell>
        </row>
        <row r="681">
          <cell r="D681">
            <v>35.5</v>
          </cell>
          <cell r="F681">
            <v>399138514228</v>
          </cell>
          <cell r="G681" t="str">
            <v>TEXAS INSTRUMENTS ASIA LIMITED
C/O KWE LOGISTICS (SHENZHEN)</v>
          </cell>
          <cell r="H681" t="str">
            <v>Delivered</v>
          </cell>
          <cell r="I681" t="str">
            <v>IC</v>
          </cell>
          <cell r="J681" t="str">
            <v>Fedex</v>
          </cell>
          <cell r="K681" t="str">
            <v>VVMV</v>
          </cell>
          <cell r="L681" t="str">
            <v>CN</v>
          </cell>
          <cell r="M681">
            <v>46080</v>
          </cell>
          <cell r="N681">
            <v>46085</v>
          </cell>
          <cell r="O681">
            <v>46086</v>
          </cell>
          <cell r="P681">
            <v>108017780360</v>
          </cell>
          <cell r="Q681">
            <v>46084</v>
          </cell>
          <cell r="R681" t="str">
            <v>No inspection</v>
          </cell>
          <cell r="S681">
            <v>60207.99</v>
          </cell>
          <cell r="T681" t="str">
            <v>EXW</v>
          </cell>
          <cell r="U681" t="str">
            <v>PUR</v>
          </cell>
        </row>
        <row r="682">
          <cell r="D682">
            <v>198.14</v>
          </cell>
          <cell r="F682" t="str">
            <v>PSHPH2620084</v>
          </cell>
          <cell r="G682" t="str">
            <v>GOLD CIRCUIT ELECTRONICS CO., LTD</v>
          </cell>
          <cell r="H682" t="str">
            <v>Delivered</v>
          </cell>
          <cell r="I682" t="str">
            <v xml:space="preserve">PCB </v>
          </cell>
          <cell r="J682" t="str">
            <v>VVMV(sea)</v>
          </cell>
          <cell r="K682" t="str">
            <v>VVMV</v>
          </cell>
          <cell r="L682" t="str">
            <v>TW</v>
          </cell>
          <cell r="M682">
            <v>46081</v>
          </cell>
          <cell r="N682">
            <v>46087</v>
          </cell>
          <cell r="O682">
            <v>46087</v>
          </cell>
          <cell r="P682">
            <v>108020568610</v>
          </cell>
          <cell r="Q682">
            <v>46085</v>
          </cell>
          <cell r="R682" t="str">
            <v>No inspection</v>
          </cell>
          <cell r="S682">
            <v>33075.9</v>
          </cell>
          <cell r="T682" t="str">
            <v>FOB</v>
          </cell>
          <cell r="U682" t="str">
            <v>HLO</v>
          </cell>
        </row>
        <row r="683">
          <cell r="D683">
            <v>1.4</v>
          </cell>
          <cell r="F683">
            <v>9974897903</v>
          </cell>
          <cell r="G683" t="str">
            <v>Texas Instruments Southeast Asia PL</v>
          </cell>
          <cell r="H683" t="str">
            <v>Delivered</v>
          </cell>
          <cell r="I683" t="str">
            <v>IC R</v>
          </cell>
          <cell r="J683" t="str">
            <v>DHL</v>
          </cell>
          <cell r="K683" t="str">
            <v>VVMV</v>
          </cell>
          <cell r="L683" t="str">
            <v>SG</v>
          </cell>
          <cell r="M683">
            <v>46083</v>
          </cell>
          <cell r="N683">
            <v>46086</v>
          </cell>
          <cell r="O683">
            <v>46086</v>
          </cell>
          <cell r="P683">
            <v>108020801710</v>
          </cell>
          <cell r="Q683">
            <v>46085</v>
          </cell>
          <cell r="R683" t="str">
            <v>No inspection</v>
          </cell>
          <cell r="S683">
            <v>1396</v>
          </cell>
          <cell r="T683" t="str">
            <v>CIF</v>
          </cell>
          <cell r="U683" t="str">
            <v>EF-</v>
          </cell>
        </row>
        <row r="684">
          <cell r="D684">
            <v>1</v>
          </cell>
          <cell r="F684">
            <v>500292479130</v>
          </cell>
          <cell r="G684" t="str">
            <v>ARROW COMPONENTS MEXICO SA De CV</v>
          </cell>
          <cell r="H684" t="str">
            <v>Delivered</v>
          </cell>
          <cell r="I684" t="str">
            <v xml:space="preserve">RES </v>
          </cell>
          <cell r="J684" t="str">
            <v>Fedex</v>
          </cell>
          <cell r="K684" t="str">
            <v>VVMV</v>
          </cell>
          <cell r="L684" t="str">
            <v>MX</v>
          </cell>
          <cell r="M684">
            <v>46073</v>
          </cell>
          <cell r="N684">
            <v>46086</v>
          </cell>
          <cell r="O684">
            <v>46087</v>
          </cell>
          <cell r="P684">
            <v>108021026630</v>
          </cell>
          <cell r="Q684">
            <v>46085</v>
          </cell>
          <cell r="R684" t="str">
            <v>No inspection</v>
          </cell>
          <cell r="S684">
            <v>46</v>
          </cell>
          <cell r="T684" t="str">
            <v>CIF</v>
          </cell>
          <cell r="U684" t="str">
            <v>LUC</v>
          </cell>
        </row>
        <row r="685">
          <cell r="D685">
            <v>8.5</v>
          </cell>
          <cell r="F685">
            <v>496268248710</v>
          </cell>
          <cell r="G685" t="str">
            <v>ARROW ELECTRONICS INC
C/O ARROW COMPONENTS (M) SDN BHD</v>
          </cell>
          <cell r="H685" t="str">
            <v>Delivered</v>
          </cell>
          <cell r="I685" t="str">
            <v xml:space="preserve">CAP </v>
          </cell>
          <cell r="J685" t="str">
            <v>Fedex</v>
          </cell>
          <cell r="K685" t="str">
            <v>VVMV</v>
          </cell>
          <cell r="L685" t="str">
            <v>MY</v>
          </cell>
          <cell r="M685">
            <v>46083</v>
          </cell>
          <cell r="N685">
            <v>46086</v>
          </cell>
          <cell r="O685">
            <v>46086</v>
          </cell>
          <cell r="P685">
            <v>108020979840</v>
          </cell>
          <cell r="Q685">
            <v>46085</v>
          </cell>
          <cell r="R685" t="str">
            <v>No inspection</v>
          </cell>
          <cell r="S685">
            <v>11292.08</v>
          </cell>
          <cell r="T685" t="str">
            <v>CIF</v>
          </cell>
          <cell r="U685" t="str">
            <v>HLO</v>
          </cell>
        </row>
        <row r="686">
          <cell r="D686">
            <v>0.5</v>
          </cell>
          <cell r="F686">
            <v>500292481211</v>
          </cell>
          <cell r="G686" t="str">
            <v>ARROW COMPONENTS MEXICO SA De CV</v>
          </cell>
          <cell r="H686" t="str">
            <v>Delivered</v>
          </cell>
          <cell r="I686" t="str">
            <v xml:space="preserve">RES </v>
          </cell>
          <cell r="J686" t="str">
            <v>Fedex</v>
          </cell>
          <cell r="K686" t="str">
            <v>VVMV</v>
          </cell>
          <cell r="L686" t="str">
            <v>MX</v>
          </cell>
          <cell r="M686">
            <v>46076</v>
          </cell>
          <cell r="N686">
            <v>46086</v>
          </cell>
          <cell r="O686">
            <v>46087</v>
          </cell>
          <cell r="P686">
            <v>108020862940</v>
          </cell>
          <cell r="Q686">
            <v>46085</v>
          </cell>
          <cell r="R686" t="str">
            <v>No inspection</v>
          </cell>
          <cell r="S686">
            <v>17.5</v>
          </cell>
          <cell r="T686" t="str">
            <v>CIF</v>
          </cell>
          <cell r="U686" t="str">
            <v>LUC</v>
          </cell>
        </row>
        <row r="687">
          <cell r="D687">
            <v>2.5</v>
          </cell>
          <cell r="F687">
            <v>889132290156</v>
          </cell>
          <cell r="G687" t="str">
            <v>VITAL SYSTEM TECHNOLOGY PTE LTD</v>
          </cell>
          <cell r="H687" t="str">
            <v>Delivered</v>
          </cell>
          <cell r="I687" t="str">
            <v xml:space="preserve">RES </v>
          </cell>
          <cell r="J687" t="str">
            <v>Fedex</v>
          </cell>
          <cell r="K687" t="str">
            <v>VVMV</v>
          </cell>
          <cell r="L687" t="str">
            <v>SG</v>
          </cell>
          <cell r="M687">
            <v>46080</v>
          </cell>
          <cell r="N687">
            <v>46086</v>
          </cell>
          <cell r="O687">
            <v>46086</v>
          </cell>
          <cell r="P687">
            <v>108021286000</v>
          </cell>
          <cell r="Q687">
            <v>46085</v>
          </cell>
          <cell r="R687" t="str">
            <v>No inspection</v>
          </cell>
          <cell r="S687">
            <v>872</v>
          </cell>
          <cell r="T687" t="str">
            <v>EXW</v>
          </cell>
          <cell r="U687" t="str">
            <v>HLO</v>
          </cell>
        </row>
        <row r="688">
          <cell r="D688">
            <v>1</v>
          </cell>
          <cell r="F688">
            <v>500292481440</v>
          </cell>
          <cell r="G688" t="str">
            <v>ARROW COMPONENTS MEXICO SA De CV</v>
          </cell>
          <cell r="H688" t="str">
            <v>Delivered</v>
          </cell>
          <cell r="I688" t="str">
            <v xml:space="preserve">CAP </v>
          </cell>
          <cell r="J688" t="str">
            <v>Fedex</v>
          </cell>
          <cell r="K688" t="str">
            <v>VVMV</v>
          </cell>
          <cell r="L688" t="str">
            <v>MX</v>
          </cell>
          <cell r="M688">
            <v>46076</v>
          </cell>
          <cell r="N688">
            <v>46086</v>
          </cell>
          <cell r="O688">
            <v>46087</v>
          </cell>
          <cell r="P688">
            <v>108021353640</v>
          </cell>
          <cell r="Q688">
            <v>46085</v>
          </cell>
          <cell r="R688" t="str">
            <v>No inspection</v>
          </cell>
          <cell r="S688">
            <v>73.599999999999994</v>
          </cell>
          <cell r="T688" t="str">
            <v>CIF</v>
          </cell>
          <cell r="U688" t="str">
            <v>LUC</v>
          </cell>
        </row>
        <row r="689">
          <cell r="D689">
            <v>50</v>
          </cell>
          <cell r="F689">
            <v>409298910719</v>
          </cell>
          <cell r="G689" t="str">
            <v>TTI ELECTRONICS ASIA PTE LTD</v>
          </cell>
          <cell r="H689" t="str">
            <v>Delivered</v>
          </cell>
          <cell r="I689" t="str">
            <v>CAP , RES , 	CAP</v>
          </cell>
          <cell r="J689" t="str">
            <v>Fedex</v>
          </cell>
          <cell r="K689" t="str">
            <v>VVMV</v>
          </cell>
          <cell r="L689" t="str">
            <v>SG</v>
          </cell>
          <cell r="M689">
            <v>46080</v>
          </cell>
          <cell r="N689">
            <v>46086</v>
          </cell>
          <cell r="O689">
            <v>46086</v>
          </cell>
          <cell r="P689">
            <v>108021078320</v>
          </cell>
          <cell r="Q689">
            <v>46085</v>
          </cell>
          <cell r="R689" t="str">
            <v>No inspection</v>
          </cell>
          <cell r="S689">
            <v>9651.4500000000007</v>
          </cell>
          <cell r="T689" t="str">
            <v>EXW</v>
          </cell>
          <cell r="U689" t="str">
            <v>LUC</v>
          </cell>
        </row>
        <row r="690">
          <cell r="D690">
            <v>44</v>
          </cell>
          <cell r="F690">
            <v>889231738600</v>
          </cell>
          <cell r="G690" t="str">
            <v>STEADFAST INDUSTRIAL PTE LTD</v>
          </cell>
          <cell r="H690" t="str">
            <v>Delivered</v>
          </cell>
          <cell r="I690" t="str">
            <v>STAN</v>
          </cell>
          <cell r="J690" t="str">
            <v>Fedex</v>
          </cell>
          <cell r="K690" t="str">
            <v>VVMV</v>
          </cell>
          <cell r="L690" t="str">
            <v>SG</v>
          </cell>
          <cell r="M690">
            <v>46084</v>
          </cell>
          <cell r="N690">
            <v>46086</v>
          </cell>
          <cell r="O690">
            <v>46086</v>
          </cell>
          <cell r="P690">
            <v>108020993950</v>
          </cell>
          <cell r="Q690">
            <v>46085</v>
          </cell>
          <cell r="R690" t="str">
            <v>No inspection</v>
          </cell>
          <cell r="S690">
            <v>1776</v>
          </cell>
          <cell r="T690" t="str">
            <v>EXW</v>
          </cell>
          <cell r="U690" t="str">
            <v>EF-</v>
          </cell>
        </row>
        <row r="691">
          <cell r="D691">
            <v>5.5</v>
          </cell>
          <cell r="F691">
            <v>399134639490</v>
          </cell>
          <cell r="G691" t="str">
            <v>c/o DHL Supply Chain SGP P/L
Texas Instruments Southeast Asia Pt</v>
          </cell>
          <cell r="H691" t="str">
            <v>Delivered</v>
          </cell>
          <cell r="I691" t="str">
            <v>DIOD, IC</v>
          </cell>
          <cell r="J691" t="str">
            <v>Fedex</v>
          </cell>
          <cell r="K691" t="str">
            <v>VVMV</v>
          </cell>
          <cell r="L691" t="str">
            <v>SG</v>
          </cell>
          <cell r="M691">
            <v>46080</v>
          </cell>
          <cell r="N691">
            <v>46086</v>
          </cell>
          <cell r="O691">
            <v>46087</v>
          </cell>
          <cell r="P691">
            <v>108021173150</v>
          </cell>
          <cell r="Q691">
            <v>46085</v>
          </cell>
          <cell r="R691" t="str">
            <v>No inspection</v>
          </cell>
          <cell r="S691">
            <v>7291</v>
          </cell>
          <cell r="T691" t="str">
            <v>EXW</v>
          </cell>
          <cell r="U691" t="str">
            <v>LUC</v>
          </cell>
        </row>
        <row r="692">
          <cell r="D692">
            <v>21.5</v>
          </cell>
          <cell r="F692">
            <v>399172925390</v>
          </cell>
          <cell r="G692" t="str">
            <v>C/O KINTETSU WORLD EXPRESS (CHINA)
TEXAS INSTRUMENTS ASIA LIMITED</v>
          </cell>
          <cell r="H692" t="str">
            <v>Delivered</v>
          </cell>
          <cell r="I692" t="str">
            <v>IC</v>
          </cell>
          <cell r="J692" t="str">
            <v>Fedex</v>
          </cell>
          <cell r="K692" t="str">
            <v>VVMV</v>
          </cell>
          <cell r="L692" t="str">
            <v>CN</v>
          </cell>
          <cell r="M692">
            <v>46081</v>
          </cell>
          <cell r="N692">
            <v>46086</v>
          </cell>
          <cell r="O692">
            <v>46087</v>
          </cell>
          <cell r="P692">
            <v>108021478240</v>
          </cell>
          <cell r="Q692">
            <v>46085</v>
          </cell>
          <cell r="R692" t="str">
            <v>No inspection</v>
          </cell>
          <cell r="S692">
            <v>34350.75</v>
          </cell>
          <cell r="T692" t="str">
            <v>EXW</v>
          </cell>
          <cell r="U692" t="str">
            <v>LUC</v>
          </cell>
        </row>
        <row r="693">
          <cell r="D693">
            <v>3.4</v>
          </cell>
          <cell r="F693" t="str">
            <v>1Z75A9570473381816</v>
          </cell>
          <cell r="G693" t="str">
            <v>BV ARROW ELECTRONICS</v>
          </cell>
          <cell r="H693" t="str">
            <v>Delivered</v>
          </cell>
          <cell r="I693" t="str">
            <v xml:space="preserve">CON </v>
          </cell>
          <cell r="J693" t="str">
            <v>UPS</v>
          </cell>
          <cell r="K693" t="str">
            <v>VVMV</v>
          </cell>
          <cell r="L693" t="str">
            <v>DE</v>
          </cell>
          <cell r="M693">
            <v>46083</v>
          </cell>
          <cell r="N693">
            <v>46087</v>
          </cell>
          <cell r="O693">
            <v>46088</v>
          </cell>
          <cell r="P693">
            <v>108024584140</v>
          </cell>
          <cell r="Q693">
            <v>46086</v>
          </cell>
          <cell r="R693" t="str">
            <v>No inspection</v>
          </cell>
          <cell r="S693" t="str">
            <v>481,1</v>
          </cell>
          <cell r="T693" t="str">
            <v>CIF</v>
          </cell>
          <cell r="U693" t="str">
            <v>LUC</v>
          </cell>
        </row>
        <row r="694">
          <cell r="D694">
            <v>139</v>
          </cell>
          <cell r="F694">
            <v>4812893402</v>
          </cell>
          <cell r="G694" t="str">
            <v>LIPERS ENTERPRISE CO LTD</v>
          </cell>
          <cell r="H694" t="str">
            <v>Delivered</v>
          </cell>
          <cell r="I694" t="str">
            <v xml:space="preserve">CAPC, CAP , RES </v>
          </cell>
          <cell r="J694" t="str">
            <v>Expeditors</v>
          </cell>
          <cell r="K694" t="str">
            <v>VVMV</v>
          </cell>
          <cell r="L694" t="str">
            <v>TW</v>
          </cell>
          <cell r="M694">
            <v>46084</v>
          </cell>
          <cell r="N694">
            <v>46086</v>
          </cell>
          <cell r="O694">
            <v>46086</v>
          </cell>
          <cell r="P694">
            <v>108021941860</v>
          </cell>
          <cell r="Q694">
            <v>46086</v>
          </cell>
          <cell r="R694" t="str">
            <v>No inspection</v>
          </cell>
          <cell r="S694">
            <v>8836.7999999999993</v>
          </cell>
          <cell r="T694" t="str">
            <v>FOB</v>
          </cell>
          <cell r="U694" t="str">
            <v>LUC</v>
          </cell>
        </row>
        <row r="695">
          <cell r="D695">
            <v>156</v>
          </cell>
          <cell r="F695">
            <v>4915061843</v>
          </cell>
          <cell r="G695" t="str">
            <v>Shenzhen Sunlord Electronics Co.Ltd</v>
          </cell>
          <cell r="H695" t="str">
            <v>Delivered</v>
          </cell>
          <cell r="I695" t="str">
            <v>CON , RES , CAP , IC H</v>
          </cell>
          <cell r="J695" t="str">
            <v>Expeditors</v>
          </cell>
          <cell r="K695" t="str">
            <v>VVMV</v>
          </cell>
          <cell r="L695" t="str">
            <v>HK</v>
          </cell>
          <cell r="M695">
            <v>46085</v>
          </cell>
          <cell r="N695">
            <v>46086</v>
          </cell>
          <cell r="O695">
            <v>46086</v>
          </cell>
          <cell r="P695">
            <v>108022046310</v>
          </cell>
          <cell r="Q695">
            <v>46086</v>
          </cell>
          <cell r="R695" t="str">
            <v>No inspection</v>
          </cell>
          <cell r="S695">
            <v>17549.3</v>
          </cell>
          <cell r="T695" t="str">
            <v>EXW</v>
          </cell>
          <cell r="U695" t="str">
            <v>PUR</v>
          </cell>
        </row>
        <row r="696">
          <cell r="D696">
            <v>61.1</v>
          </cell>
          <cell r="F696">
            <v>5166164474</v>
          </cell>
          <cell r="G696" t="str">
            <v>SHENNAN CIRCUITS CO.,LTD</v>
          </cell>
          <cell r="H696" t="str">
            <v>Delivered</v>
          </cell>
          <cell r="I696" t="str">
            <v>PCB/</v>
          </cell>
          <cell r="J696" t="str">
            <v>DHL</v>
          </cell>
          <cell r="K696" t="str">
            <v>VVMV</v>
          </cell>
          <cell r="L696" t="str">
            <v>CN</v>
          </cell>
          <cell r="M696">
            <v>46084</v>
          </cell>
          <cell r="N696">
            <v>46087</v>
          </cell>
          <cell r="O696">
            <v>46087</v>
          </cell>
          <cell r="P696">
            <v>108024275110</v>
          </cell>
          <cell r="Q696">
            <v>46086</v>
          </cell>
          <cell r="R696" t="str">
            <v>No inspection</v>
          </cell>
          <cell r="S696">
            <v>10924.75</v>
          </cell>
          <cell r="T696" t="str">
            <v>CIF</v>
          </cell>
          <cell r="U696" t="str">
            <v>AIC</v>
          </cell>
        </row>
        <row r="697">
          <cell r="D697">
            <v>0.1</v>
          </cell>
          <cell r="F697">
            <v>5166369154</v>
          </cell>
          <cell r="G697" t="str">
            <v>Shenzhen JCX Technology Co., Ltd.</v>
          </cell>
          <cell r="H697" t="str">
            <v>Delivered</v>
          </cell>
          <cell r="I697" t="str">
            <v>IC S</v>
          </cell>
          <cell r="J697" t="str">
            <v>DHL</v>
          </cell>
          <cell r="K697" t="str">
            <v>VVMV</v>
          </cell>
          <cell r="L697" t="str">
            <v>CN</v>
          </cell>
          <cell r="M697">
            <v>46085</v>
          </cell>
          <cell r="N697">
            <v>46090</v>
          </cell>
          <cell r="O697">
            <v>46090</v>
          </cell>
          <cell r="P697">
            <v>108028212610</v>
          </cell>
          <cell r="Q697">
            <v>46087</v>
          </cell>
          <cell r="R697" t="str">
            <v>No inspection</v>
          </cell>
          <cell r="S697">
            <v>60</v>
          </cell>
          <cell r="T697" t="str">
            <v>CIF</v>
          </cell>
          <cell r="U697">
            <v>103</v>
          </cell>
        </row>
        <row r="698">
          <cell r="D698">
            <v>6</v>
          </cell>
          <cell r="F698">
            <v>399282887301</v>
          </cell>
          <cell r="G698" t="str">
            <v>O/B ANALOG DEVICES INTERNATIONAL UC
DHL SUPPLY CHAIN MANAGEMENT PHILS</v>
          </cell>
          <cell r="H698" t="str">
            <v>Delivered</v>
          </cell>
          <cell r="I698" t="str">
            <v>IC</v>
          </cell>
          <cell r="J698" t="str">
            <v>Fedex</v>
          </cell>
          <cell r="K698" t="str">
            <v>VVMV</v>
          </cell>
          <cell r="L698" t="str">
            <v>PH</v>
          </cell>
          <cell r="M698">
            <v>46084</v>
          </cell>
          <cell r="N698">
            <v>46087</v>
          </cell>
          <cell r="O698">
            <v>46087</v>
          </cell>
          <cell r="P698">
            <v>108024100000</v>
          </cell>
          <cell r="Q698">
            <v>46086</v>
          </cell>
          <cell r="R698" t="str">
            <v>No inspection</v>
          </cell>
          <cell r="S698">
            <v>22827.119999999999</v>
          </cell>
          <cell r="T698" t="str">
            <v>EXW</v>
          </cell>
          <cell r="U698" t="str">
            <v>EF-</v>
          </cell>
        </row>
        <row r="699">
          <cell r="D699">
            <v>1</v>
          </cell>
          <cell r="F699">
            <v>515328669934</v>
          </cell>
          <cell r="G699" t="str">
            <v>NIHON DEMPA KOGYO CO. LTD</v>
          </cell>
          <cell r="H699" t="str">
            <v>Delivered</v>
          </cell>
          <cell r="I699" t="str">
            <v>CRYS</v>
          </cell>
          <cell r="J699" t="str">
            <v>Fedex</v>
          </cell>
          <cell r="K699" t="str">
            <v>VVMV</v>
          </cell>
          <cell r="L699" t="str">
            <v>JP</v>
          </cell>
          <cell r="M699">
            <v>46083</v>
          </cell>
          <cell r="N699">
            <v>46087</v>
          </cell>
          <cell r="O699">
            <v>46087</v>
          </cell>
          <cell r="P699">
            <v>108023864760</v>
          </cell>
          <cell r="Q699">
            <v>46086</v>
          </cell>
          <cell r="R699" t="str">
            <v>No inspection</v>
          </cell>
          <cell r="S699">
            <v>1380</v>
          </cell>
          <cell r="T699" t="str">
            <v>EXW</v>
          </cell>
          <cell r="U699" t="str">
            <v>LUC</v>
          </cell>
        </row>
        <row r="700">
          <cell r="D700">
            <v>0.5</v>
          </cell>
          <cell r="F700">
            <v>479272021740</v>
          </cell>
          <cell r="G700" t="str">
            <v>ARROW ELECTRONICS INC
C/O ARROW COMPONENTS (M) SDN BHD</v>
          </cell>
          <cell r="H700" t="str">
            <v>Delivered</v>
          </cell>
          <cell r="I700" t="str">
            <v xml:space="preserve">CAP </v>
          </cell>
          <cell r="J700" t="str">
            <v>Fedex</v>
          </cell>
          <cell r="K700" t="str">
            <v>VVMV</v>
          </cell>
          <cell r="L700" t="str">
            <v>MY</v>
          </cell>
          <cell r="M700">
            <v>46084</v>
          </cell>
          <cell r="N700">
            <v>46087</v>
          </cell>
          <cell r="O700">
            <v>46087</v>
          </cell>
          <cell r="P700">
            <v>108024049340</v>
          </cell>
          <cell r="Q700">
            <v>46086</v>
          </cell>
          <cell r="R700" t="str">
            <v>No inspection</v>
          </cell>
          <cell r="S700">
            <v>594.32000000000005</v>
          </cell>
          <cell r="T700" t="str">
            <v>CIF</v>
          </cell>
          <cell r="U700" t="str">
            <v>HLO</v>
          </cell>
        </row>
        <row r="701">
          <cell r="D701">
            <v>3.5</v>
          </cell>
          <cell r="F701">
            <v>889184332705</v>
          </cell>
          <cell r="G701" t="str">
            <v>KEL CORPORATION TAMA CENTER</v>
          </cell>
          <cell r="H701" t="str">
            <v>Delivered</v>
          </cell>
          <cell r="I701" t="str">
            <v>CONN</v>
          </cell>
          <cell r="J701" t="str">
            <v>Fedex</v>
          </cell>
          <cell r="K701" t="str">
            <v>VVMV</v>
          </cell>
          <cell r="L701" t="str">
            <v>JP</v>
          </cell>
          <cell r="M701">
            <v>46083</v>
          </cell>
          <cell r="N701">
            <v>46087</v>
          </cell>
          <cell r="O701">
            <v>46087</v>
          </cell>
          <cell r="P701">
            <v>108023780650</v>
          </cell>
          <cell r="Q701">
            <v>46086</v>
          </cell>
          <cell r="R701" t="str">
            <v>No inspection</v>
          </cell>
          <cell r="S701">
            <v>1530</v>
          </cell>
          <cell r="T701" t="str">
            <v>EXW</v>
          </cell>
          <cell r="U701" t="str">
            <v>EF-</v>
          </cell>
        </row>
        <row r="702">
          <cell r="D702">
            <v>24</v>
          </cell>
          <cell r="F702">
            <v>510007307572</v>
          </cell>
          <cell r="G702" t="str">
            <v>SINO FAITH TECHNOLOGY  DVPT LTD</v>
          </cell>
          <cell r="H702" t="str">
            <v>Delivered</v>
          </cell>
          <cell r="I702" t="str">
            <v xml:space="preserve">IND , CAP , RES </v>
          </cell>
          <cell r="J702" t="str">
            <v>Fedex</v>
          </cell>
          <cell r="K702" t="str">
            <v>VVMV</v>
          </cell>
          <cell r="L702" t="str">
            <v>HK</v>
          </cell>
          <cell r="M702">
            <v>46084</v>
          </cell>
          <cell r="N702">
            <v>46087</v>
          </cell>
          <cell r="O702">
            <v>46090</v>
          </cell>
          <cell r="P702">
            <v>108024244160</v>
          </cell>
          <cell r="Q702">
            <v>46086</v>
          </cell>
          <cell r="R702" t="str">
            <v>No inspection</v>
          </cell>
          <cell r="S702">
            <v>7748.95</v>
          </cell>
          <cell r="T702" t="str">
            <v>EXW</v>
          </cell>
          <cell r="U702" t="str">
            <v>PUR</v>
          </cell>
        </row>
        <row r="703">
          <cell r="D703">
            <v>4</v>
          </cell>
          <cell r="F703">
            <v>399140641268</v>
          </cell>
          <cell r="G703" t="str">
            <v>C/O KINTETSU WORLD EXPRESS
TEXAS INSTRUMENTS ASIA LIMITED</v>
          </cell>
          <cell r="H703" t="str">
            <v>Delivered</v>
          </cell>
          <cell r="I703" t="str">
            <v>IC S</v>
          </cell>
          <cell r="J703" t="str">
            <v>Fedex</v>
          </cell>
          <cell r="K703" t="str">
            <v>VVMV</v>
          </cell>
          <cell r="L703" t="str">
            <v>CN</v>
          </cell>
          <cell r="M703">
            <v>46080</v>
          </cell>
          <cell r="N703">
            <v>46087</v>
          </cell>
          <cell r="O703">
            <v>46087</v>
          </cell>
          <cell r="P703">
            <v>108024151650</v>
          </cell>
          <cell r="Q703">
            <v>46086</v>
          </cell>
          <cell r="R703" t="str">
            <v>No inspection</v>
          </cell>
          <cell r="S703">
            <v>3725</v>
          </cell>
          <cell r="T703" t="str">
            <v>EXW</v>
          </cell>
          <cell r="U703" t="str">
            <v>PUR</v>
          </cell>
        </row>
        <row r="704">
          <cell r="D704">
            <v>4</v>
          </cell>
          <cell r="F704">
            <v>516044229901</v>
          </cell>
          <cell r="G704" t="str">
            <v>DIGI-KEY ELECTRONICS</v>
          </cell>
          <cell r="H704" t="str">
            <v>Delivered</v>
          </cell>
          <cell r="I704" t="str">
            <v xml:space="preserve">RES , LED , IND </v>
          </cell>
          <cell r="J704" t="str">
            <v>Fedex</v>
          </cell>
          <cell r="K704" t="str">
            <v>VVMV</v>
          </cell>
          <cell r="L704" t="str">
            <v>US</v>
          </cell>
          <cell r="M704">
            <v>46083</v>
          </cell>
          <cell r="N704">
            <v>46087</v>
          </cell>
          <cell r="O704">
            <v>46087</v>
          </cell>
          <cell r="P704">
            <v>108024347540</v>
          </cell>
          <cell r="Q704">
            <v>46086</v>
          </cell>
          <cell r="R704" t="str">
            <v>No inspection</v>
          </cell>
          <cell r="S704">
            <v>1097.22</v>
          </cell>
          <cell r="T704" t="str">
            <v>CIF</v>
          </cell>
          <cell r="U704" t="str">
            <v>EF-</v>
          </cell>
        </row>
        <row r="705">
          <cell r="D705">
            <v>382</v>
          </cell>
          <cell r="F705">
            <v>4711917221</v>
          </cell>
          <cell r="G705" t="str">
            <v>AVNET ASIA PTE LTD</v>
          </cell>
          <cell r="H705" t="str">
            <v>Delivered</v>
          </cell>
          <cell r="I705" t="str">
            <v>INDU, CAP , RES , LED , IND , IC M, TRAN, 	CAP, FUSE, DIOD</v>
          </cell>
          <cell r="J705" t="str">
            <v>Expeditors</v>
          </cell>
          <cell r="K705" t="str">
            <v>VVMV</v>
          </cell>
          <cell r="L705" t="str">
            <v>SG</v>
          </cell>
          <cell r="M705">
            <v>46085</v>
          </cell>
          <cell r="N705">
            <v>46087</v>
          </cell>
          <cell r="O705">
            <v>46087</v>
          </cell>
          <cell r="P705" t="str">
            <v>108025279130  108025301160</v>
          </cell>
          <cell r="Q705">
            <v>46087</v>
          </cell>
          <cell r="R705" t="str">
            <v>No inspection</v>
          </cell>
          <cell r="S705">
            <v>70127.97</v>
          </cell>
          <cell r="T705" t="str">
            <v>FCA</v>
          </cell>
          <cell r="U705" t="str">
            <v>LUC</v>
          </cell>
        </row>
        <row r="706">
          <cell r="D706">
            <v>0.7</v>
          </cell>
          <cell r="F706">
            <v>5166376891</v>
          </cell>
          <cell r="G706" t="str">
            <v>TYCO ELECTRONICS AMP QINGDAO LTD</v>
          </cell>
          <cell r="H706" t="str">
            <v>Delivered</v>
          </cell>
          <cell r="I706" t="str">
            <v>CONN</v>
          </cell>
          <cell r="J706" t="str">
            <v>DHL</v>
          </cell>
          <cell r="K706" t="str">
            <v>VVMV</v>
          </cell>
          <cell r="L706" t="str">
            <v>CN</v>
          </cell>
          <cell r="M706">
            <v>46085</v>
          </cell>
          <cell r="N706">
            <v>46091</v>
          </cell>
          <cell r="O706">
            <v>46092</v>
          </cell>
          <cell r="P706">
            <v>108035144450</v>
          </cell>
          <cell r="Q706">
            <v>46091</v>
          </cell>
          <cell r="R706" t="str">
            <v>No inspection</v>
          </cell>
          <cell r="S706">
            <v>10</v>
          </cell>
          <cell r="T706" t="str">
            <v>CIF</v>
          </cell>
          <cell r="U706" t="str">
            <v>PUR</v>
          </cell>
        </row>
        <row r="707">
          <cell r="D707">
            <v>6.2</v>
          </cell>
          <cell r="F707">
            <v>9990038671</v>
          </cell>
          <cell r="G707" t="str">
            <v>TTI INC</v>
          </cell>
          <cell r="H707" t="str">
            <v>Delivered</v>
          </cell>
          <cell r="I707" t="str">
            <v xml:space="preserve">CAP , RES </v>
          </cell>
          <cell r="J707" t="str">
            <v>DHL</v>
          </cell>
          <cell r="K707" t="str">
            <v>VVMV</v>
          </cell>
          <cell r="L707" t="str">
            <v>US</v>
          </cell>
          <cell r="M707">
            <v>46085</v>
          </cell>
          <cell r="N707">
            <v>46091</v>
          </cell>
          <cell r="O707">
            <v>46091</v>
          </cell>
          <cell r="P707">
            <v>108031756820</v>
          </cell>
          <cell r="Q707">
            <v>46090</v>
          </cell>
          <cell r="R707" t="str">
            <v>No inspection</v>
          </cell>
          <cell r="S707">
            <v>5510</v>
          </cell>
          <cell r="T707" t="str">
            <v>CIF</v>
          </cell>
          <cell r="U707" t="str">
            <v>LUC</v>
          </cell>
        </row>
        <row r="708">
          <cell r="D708">
            <v>1.3</v>
          </cell>
          <cell r="F708">
            <v>9990038763</v>
          </cell>
          <cell r="G708" t="str">
            <v>TTI INC</v>
          </cell>
          <cell r="H708" t="str">
            <v>Delivered</v>
          </cell>
          <cell r="I708" t="str">
            <v xml:space="preserve">RES </v>
          </cell>
          <cell r="J708" t="str">
            <v>DHL</v>
          </cell>
          <cell r="K708" t="str">
            <v>VVMV</v>
          </cell>
          <cell r="L708" t="str">
            <v>US</v>
          </cell>
          <cell r="M708">
            <v>46085</v>
          </cell>
          <cell r="N708">
            <v>46091</v>
          </cell>
          <cell r="O708">
            <v>46091</v>
          </cell>
          <cell r="P708">
            <v>108030982030</v>
          </cell>
          <cell r="Q708">
            <v>46090</v>
          </cell>
          <cell r="R708" t="str">
            <v>No inspection</v>
          </cell>
          <cell r="S708">
            <v>1200</v>
          </cell>
          <cell r="T708" t="str">
            <v>CIF</v>
          </cell>
          <cell r="U708" t="str">
            <v>LUC</v>
          </cell>
        </row>
        <row r="709">
          <cell r="D709">
            <v>57.5</v>
          </cell>
          <cell r="F709">
            <v>399177118609</v>
          </cell>
          <cell r="G709" t="str">
            <v>c/o DHL Supply Chain SGP P/L
Texas Instruments Southeast Asia Pt</v>
          </cell>
          <cell r="H709" t="str">
            <v>Delivered</v>
          </cell>
          <cell r="I709" t="str">
            <v>IC A, IC M, IC C, IC  , IC T, IC S, IC P</v>
          </cell>
          <cell r="J709" t="str">
            <v>Fedex</v>
          </cell>
          <cell r="K709" t="str">
            <v>VVMV</v>
          </cell>
          <cell r="L709" t="str">
            <v>SG</v>
          </cell>
          <cell r="M709">
            <v>46083</v>
          </cell>
          <cell r="N709">
            <v>46092</v>
          </cell>
          <cell r="O709">
            <v>46092</v>
          </cell>
          <cell r="P709">
            <v>108035225430</v>
          </cell>
          <cell r="Q709">
            <v>46091</v>
          </cell>
          <cell r="R709" t="str">
            <v>No inspection</v>
          </cell>
          <cell r="S709">
            <v>66033.5</v>
          </cell>
          <cell r="T709" t="str">
            <v>EXW</v>
          </cell>
          <cell r="U709" t="str">
            <v>LUC</v>
          </cell>
        </row>
        <row r="710">
          <cell r="D710">
            <v>51</v>
          </cell>
          <cell r="F710">
            <v>511467597513</v>
          </cell>
          <cell r="G710" t="str">
            <v>MICROCHIP TECNOLOGY(TH) CO LTD</v>
          </cell>
          <cell r="H710" t="str">
            <v>Delivered</v>
          </cell>
          <cell r="I710" t="str">
            <v>IC M</v>
          </cell>
          <cell r="J710" t="str">
            <v>Fedex</v>
          </cell>
          <cell r="K710" t="str">
            <v>VVMV</v>
          </cell>
          <cell r="L710" t="str">
            <v>TH</v>
          </cell>
          <cell r="M710">
            <v>46086</v>
          </cell>
          <cell r="N710">
            <v>46087</v>
          </cell>
          <cell r="O710">
            <v>46087</v>
          </cell>
          <cell r="P710">
            <v>108025734350</v>
          </cell>
          <cell r="Q710">
            <v>46087</v>
          </cell>
          <cell r="R710" t="str">
            <v>No inspection</v>
          </cell>
          <cell r="S710">
            <v>546044.80000000005</v>
          </cell>
          <cell r="T710" t="str">
            <v>EXW</v>
          </cell>
          <cell r="U710" t="str">
            <v>PUR</v>
          </cell>
        </row>
        <row r="711">
          <cell r="D711">
            <v>4</v>
          </cell>
          <cell r="F711">
            <v>399241440450</v>
          </cell>
          <cell r="G711" t="str">
            <v>c/o DHL Supply Chain SGP P/L
Texas Instruments Southeast Asia Pt</v>
          </cell>
          <cell r="H711" t="str">
            <v>Delivered</v>
          </cell>
          <cell r="I711" t="str">
            <v>IC</v>
          </cell>
          <cell r="J711" t="str">
            <v>Fedex</v>
          </cell>
          <cell r="K711" t="str">
            <v>VVMV</v>
          </cell>
          <cell r="L711" t="str">
            <v>SG</v>
          </cell>
          <cell r="M711">
            <v>46084</v>
          </cell>
          <cell r="N711">
            <v>46090</v>
          </cell>
          <cell r="O711">
            <v>46090</v>
          </cell>
          <cell r="P711">
            <v>108027726810</v>
          </cell>
          <cell r="Q711">
            <v>46087</v>
          </cell>
          <cell r="R711" t="str">
            <v>No inspection</v>
          </cell>
          <cell r="S711">
            <v>7014</v>
          </cell>
          <cell r="T711" t="str">
            <v>EXW</v>
          </cell>
          <cell r="U711" t="str">
            <v>LUC</v>
          </cell>
        </row>
        <row r="712">
          <cell r="D712">
            <v>15.5</v>
          </cell>
          <cell r="F712">
            <v>399195056856</v>
          </cell>
          <cell r="G712" t="str">
            <v>c/o DHL Supply Chain SGP P/L
Texas Instruments Southeast Asia Pt</v>
          </cell>
          <cell r="H712" t="str">
            <v>Delivered</v>
          </cell>
          <cell r="I712" t="str">
            <v>IC</v>
          </cell>
          <cell r="J712" t="str">
            <v>Fedex</v>
          </cell>
          <cell r="K712" t="str">
            <v>VVMV</v>
          </cell>
          <cell r="L712" t="str">
            <v>SG</v>
          </cell>
          <cell r="M712">
            <v>46083</v>
          </cell>
          <cell r="N712">
            <v>46090</v>
          </cell>
          <cell r="O712">
            <v>46090</v>
          </cell>
          <cell r="P712">
            <v>108028308840</v>
          </cell>
          <cell r="Q712">
            <v>46087</v>
          </cell>
          <cell r="R712" t="str">
            <v>No inspection</v>
          </cell>
          <cell r="S712">
            <v>92775</v>
          </cell>
          <cell r="T712" t="str">
            <v>EXW</v>
          </cell>
          <cell r="U712" t="str">
            <v>HLO</v>
          </cell>
        </row>
        <row r="713">
          <cell r="D713">
            <v>64</v>
          </cell>
          <cell r="F713">
            <v>399112574164</v>
          </cell>
          <cell r="G713" t="str">
            <v>WURTH ELECTRONICS MIDCOM</v>
          </cell>
          <cell r="H713" t="str">
            <v>Delivered</v>
          </cell>
          <cell r="I713" t="str">
            <v>CONN</v>
          </cell>
          <cell r="J713" t="str">
            <v>Fedex</v>
          </cell>
          <cell r="K713" t="str">
            <v>VVMV</v>
          </cell>
          <cell r="L713" t="str">
            <v>US</v>
          </cell>
          <cell r="M713">
            <v>46079</v>
          </cell>
          <cell r="N713">
            <v>46090</v>
          </cell>
          <cell r="O713">
            <v>46090</v>
          </cell>
          <cell r="P713">
            <v>108026800120</v>
          </cell>
          <cell r="Q713">
            <v>46087</v>
          </cell>
          <cell r="R713" t="str">
            <v>No inspection</v>
          </cell>
          <cell r="S713">
            <v>7609.5</v>
          </cell>
          <cell r="T713" t="str">
            <v>CIF</v>
          </cell>
          <cell r="U713" t="str">
            <v>LUC</v>
          </cell>
        </row>
        <row r="714">
          <cell r="D714">
            <v>58</v>
          </cell>
          <cell r="F714">
            <v>399220595781</v>
          </cell>
          <cell r="G714" t="str">
            <v>WURTH ELECTRONICS MIDCOM</v>
          </cell>
          <cell r="H714" t="str">
            <v>Delivered</v>
          </cell>
          <cell r="I714" t="str">
            <v>IND , FERR</v>
          </cell>
          <cell r="J714" t="str">
            <v>Fedex</v>
          </cell>
          <cell r="K714" t="str">
            <v>VVMV</v>
          </cell>
          <cell r="L714" t="str">
            <v>US</v>
          </cell>
          <cell r="M714">
            <v>46083</v>
          </cell>
          <cell r="N714">
            <v>46090</v>
          </cell>
          <cell r="O714">
            <v>46090</v>
          </cell>
          <cell r="P714">
            <v>108027833650</v>
          </cell>
          <cell r="Q714">
            <v>46087</v>
          </cell>
          <cell r="R714" t="str">
            <v>No inspection</v>
          </cell>
          <cell r="S714">
            <v>3755</v>
          </cell>
          <cell r="T714" t="str">
            <v>CIF</v>
          </cell>
          <cell r="U714" t="str">
            <v>LUC</v>
          </cell>
        </row>
        <row r="715">
          <cell r="D715">
            <v>2.5</v>
          </cell>
          <cell r="F715">
            <v>515282202239</v>
          </cell>
          <cell r="G715" t="str">
            <v>ARROW ELECTRONICS, INC.</v>
          </cell>
          <cell r="H715" t="str">
            <v>Delivered</v>
          </cell>
          <cell r="I715" t="str">
            <v>IC F</v>
          </cell>
          <cell r="J715" t="str">
            <v>Fedex</v>
          </cell>
          <cell r="K715" t="str">
            <v>VVMV</v>
          </cell>
          <cell r="L715" t="str">
            <v>US</v>
          </cell>
          <cell r="M715">
            <v>46084</v>
          </cell>
          <cell r="N715">
            <v>46090</v>
          </cell>
          <cell r="O715">
            <v>46090</v>
          </cell>
          <cell r="P715">
            <v>108027017560</v>
          </cell>
          <cell r="Q715">
            <v>46087</v>
          </cell>
          <cell r="R715" t="str">
            <v>No inspection</v>
          </cell>
          <cell r="S715">
            <v>1911.2</v>
          </cell>
          <cell r="T715" t="str">
            <v>CIF</v>
          </cell>
          <cell r="U715" t="str">
            <v>HLO</v>
          </cell>
        </row>
        <row r="716">
          <cell r="D716">
            <v>33</v>
          </cell>
          <cell r="F716">
            <v>481663283258</v>
          </cell>
          <cell r="G716" t="str">
            <v>AMPHENOL EAST ASIA LTD</v>
          </cell>
          <cell r="H716" t="str">
            <v>Delivered</v>
          </cell>
          <cell r="I716" t="str">
            <v>CONN</v>
          </cell>
          <cell r="J716" t="str">
            <v>Fedex</v>
          </cell>
          <cell r="K716" t="str">
            <v>VVMV</v>
          </cell>
          <cell r="L716" t="str">
            <v>HK</v>
          </cell>
          <cell r="M716">
            <v>46085</v>
          </cell>
          <cell r="N716">
            <v>46090</v>
          </cell>
          <cell r="O716">
            <v>46090</v>
          </cell>
          <cell r="P716">
            <v>108028014250</v>
          </cell>
          <cell r="Q716">
            <v>46087</v>
          </cell>
          <cell r="R716" t="str">
            <v>No inspection</v>
          </cell>
          <cell r="S716">
            <v>15989.4</v>
          </cell>
          <cell r="T716" t="str">
            <v>EXW</v>
          </cell>
          <cell r="U716" t="str">
            <v>PUR</v>
          </cell>
        </row>
        <row r="717">
          <cell r="D717">
            <v>0.5</v>
          </cell>
          <cell r="F717">
            <v>889228496150</v>
          </cell>
          <cell r="G717" t="str">
            <v>M&amp;Partners CO ., LTD (Suntsu Agent)</v>
          </cell>
          <cell r="H717" t="str">
            <v>Delivered</v>
          </cell>
          <cell r="I717" t="str">
            <v xml:space="preserve">OSC </v>
          </cell>
          <cell r="J717" t="str">
            <v>Fedex</v>
          </cell>
          <cell r="K717" t="str">
            <v>VVMV</v>
          </cell>
          <cell r="L717" t="str">
            <v>KR</v>
          </cell>
          <cell r="M717">
            <v>46085</v>
          </cell>
          <cell r="N717">
            <v>46090</v>
          </cell>
          <cell r="O717">
            <v>46090</v>
          </cell>
          <cell r="P717">
            <v>108026932530</v>
          </cell>
          <cell r="Q717">
            <v>46087</v>
          </cell>
          <cell r="R717" t="str">
            <v>No inspection</v>
          </cell>
          <cell r="S717">
            <v>1440</v>
          </cell>
          <cell r="T717" t="str">
            <v>CIF</v>
          </cell>
          <cell r="U717" t="str">
            <v>EF-</v>
          </cell>
        </row>
        <row r="718">
          <cell r="D718">
            <v>6</v>
          </cell>
          <cell r="F718">
            <v>889228404218</v>
          </cell>
          <cell r="G718" t="str">
            <v>RACER TECHNOLOGY PTE, LTD</v>
          </cell>
          <cell r="H718" t="str">
            <v>Delivered</v>
          </cell>
          <cell r="I718" t="str">
            <v xml:space="preserve">ASM </v>
          </cell>
          <cell r="J718" t="str">
            <v>Fedex</v>
          </cell>
          <cell r="K718" t="str">
            <v>VVMV</v>
          </cell>
          <cell r="L718" t="str">
            <v>SG</v>
          </cell>
          <cell r="M718">
            <v>46084</v>
          </cell>
          <cell r="N718">
            <v>46090</v>
          </cell>
          <cell r="O718">
            <v>46090</v>
          </cell>
          <cell r="P718">
            <v>108026829410</v>
          </cell>
          <cell r="Q718">
            <v>46087</v>
          </cell>
          <cell r="R718" t="str">
            <v>No inspection</v>
          </cell>
          <cell r="S718">
            <v>3598</v>
          </cell>
          <cell r="T718" t="str">
            <v>EXW</v>
          </cell>
          <cell r="U718" t="str">
            <v>EF-</v>
          </cell>
        </row>
        <row r="719">
          <cell r="D719">
            <v>6.5</v>
          </cell>
          <cell r="F719">
            <v>889248439887</v>
          </cell>
          <cell r="G719" t="str">
            <v>COMPONENT STOCKERS</v>
          </cell>
          <cell r="H719" t="str">
            <v>Delivered</v>
          </cell>
          <cell r="I719" t="str">
            <v>IC F</v>
          </cell>
          <cell r="J719" t="str">
            <v>Fedex</v>
          </cell>
          <cell r="K719" t="str">
            <v>VVMV</v>
          </cell>
          <cell r="L719" t="str">
            <v>US</v>
          </cell>
          <cell r="M719">
            <v>46084</v>
          </cell>
          <cell r="N719">
            <v>46090</v>
          </cell>
          <cell r="O719">
            <v>46090</v>
          </cell>
          <cell r="P719">
            <v>108028116230</v>
          </cell>
          <cell r="Q719">
            <v>46087</v>
          </cell>
          <cell r="R719" t="str">
            <v>No inspection</v>
          </cell>
          <cell r="S719">
            <v>1515.89</v>
          </cell>
          <cell r="T719" t="str">
            <v>EXW</v>
          </cell>
          <cell r="U719" t="str">
            <v>LUC</v>
          </cell>
        </row>
        <row r="720">
          <cell r="D720">
            <v>3</v>
          </cell>
          <cell r="F720">
            <v>889270095498</v>
          </cell>
          <cell r="G720" t="str">
            <v>WORLD PEACE INDUSTRIAL CO., LTD</v>
          </cell>
          <cell r="H720" t="str">
            <v>Delivered</v>
          </cell>
          <cell r="I720" t="str">
            <v>IC L</v>
          </cell>
          <cell r="J720" t="str">
            <v>Fedex</v>
          </cell>
          <cell r="K720" t="str">
            <v>VVMV</v>
          </cell>
          <cell r="L720" t="str">
            <v>HK</v>
          </cell>
          <cell r="M720">
            <v>46085</v>
          </cell>
          <cell r="N720">
            <v>46090</v>
          </cell>
          <cell r="O720">
            <v>46090</v>
          </cell>
          <cell r="P720">
            <v>108028248050</v>
          </cell>
          <cell r="Q720">
            <v>46087</v>
          </cell>
          <cell r="R720" t="str">
            <v>No inspection</v>
          </cell>
          <cell r="S720">
            <v>2304</v>
          </cell>
          <cell r="T720" t="str">
            <v>EXW</v>
          </cell>
          <cell r="U720" t="str">
            <v>AIC</v>
          </cell>
        </row>
        <row r="721">
          <cell r="D721">
            <v>8.5</v>
          </cell>
          <cell r="F721">
            <v>889186282993</v>
          </cell>
          <cell r="G721" t="str">
            <v>UNIGEN TECHNOLOGY SDN BHD</v>
          </cell>
          <cell r="H721" t="str">
            <v>Delivered</v>
          </cell>
          <cell r="I721" t="str">
            <v>IC S</v>
          </cell>
          <cell r="J721" t="str">
            <v>Fedex</v>
          </cell>
          <cell r="K721" t="str">
            <v>VVMV</v>
          </cell>
          <cell r="L721" t="str">
            <v>MY</v>
          </cell>
          <cell r="M721">
            <v>46083</v>
          </cell>
          <cell r="N721">
            <v>46090</v>
          </cell>
          <cell r="O721">
            <v>46090</v>
          </cell>
          <cell r="P721">
            <v>108026895320</v>
          </cell>
          <cell r="Q721">
            <v>46087</v>
          </cell>
          <cell r="R721" t="str">
            <v>No inspection</v>
          </cell>
          <cell r="S721">
            <v>31789.8</v>
          </cell>
          <cell r="T721" t="str">
            <v>CIF</v>
          </cell>
          <cell r="U721">
            <v>102</v>
          </cell>
        </row>
        <row r="722">
          <cell r="D722">
            <v>2</v>
          </cell>
          <cell r="F722">
            <v>483570643095</v>
          </cell>
          <cell r="G722" t="str">
            <v>UNIGEN CORPORATION</v>
          </cell>
          <cell r="H722" t="str">
            <v>Delivered</v>
          </cell>
          <cell r="I722" t="str">
            <v xml:space="preserve">PDA </v>
          </cell>
          <cell r="J722" t="str">
            <v>Fedex</v>
          </cell>
          <cell r="K722" t="str">
            <v>VVMV</v>
          </cell>
          <cell r="L722" t="str">
            <v>US</v>
          </cell>
          <cell r="M722">
            <v>46080</v>
          </cell>
          <cell r="N722">
            <v>46090</v>
          </cell>
          <cell r="O722">
            <v>46090</v>
          </cell>
          <cell r="P722">
            <v>108028276530</v>
          </cell>
          <cell r="Q722">
            <v>46087</v>
          </cell>
          <cell r="R722" t="str">
            <v>No inspection</v>
          </cell>
          <cell r="S722">
            <v>1168.5</v>
          </cell>
          <cell r="T722" t="str">
            <v>CIF</v>
          </cell>
          <cell r="U722">
            <v>452</v>
          </cell>
        </row>
        <row r="723">
          <cell r="D723">
            <v>108.5</v>
          </cell>
          <cell r="F723">
            <v>4110334774</v>
          </cell>
          <cell r="G723" t="str">
            <v>Avnet, Inc.</v>
          </cell>
          <cell r="H723" t="str">
            <v>Delivered</v>
          </cell>
          <cell r="I723" t="str">
            <v>CONN</v>
          </cell>
          <cell r="J723" t="str">
            <v>Expeditors</v>
          </cell>
          <cell r="K723" t="str">
            <v>VVMV</v>
          </cell>
          <cell r="L723" t="str">
            <v>US</v>
          </cell>
          <cell r="M723">
            <v>46085</v>
          </cell>
          <cell r="N723">
            <v>46091</v>
          </cell>
          <cell r="O723">
            <v>46091</v>
          </cell>
          <cell r="P723">
            <v>108031433530</v>
          </cell>
          <cell r="Q723">
            <v>46090</v>
          </cell>
          <cell r="R723" t="str">
            <v>No inspection</v>
          </cell>
          <cell r="S723">
            <v>6938.4</v>
          </cell>
          <cell r="T723" t="str">
            <v>DAP</v>
          </cell>
          <cell r="U723" t="str">
            <v>LUC</v>
          </cell>
        </row>
        <row r="724">
          <cell r="D724">
            <v>103</v>
          </cell>
          <cell r="F724">
            <v>4110334775</v>
          </cell>
          <cell r="G724" t="str">
            <v>Avnet, Inc.</v>
          </cell>
          <cell r="H724" t="str">
            <v>Delivered</v>
          </cell>
          <cell r="I724" t="str">
            <v>CONN</v>
          </cell>
          <cell r="J724" t="str">
            <v>Expeditors</v>
          </cell>
          <cell r="K724" t="str">
            <v>VVMV</v>
          </cell>
          <cell r="L724" t="str">
            <v>US</v>
          </cell>
          <cell r="M724">
            <v>46085</v>
          </cell>
          <cell r="N724">
            <v>46091</v>
          </cell>
          <cell r="O724">
            <v>46091</v>
          </cell>
          <cell r="P724">
            <v>108032058520</v>
          </cell>
          <cell r="Q724">
            <v>46090</v>
          </cell>
          <cell r="R724" t="str">
            <v>No inspection</v>
          </cell>
          <cell r="S724">
            <v>6938.4</v>
          </cell>
          <cell r="T724" t="str">
            <v>DAP</v>
          </cell>
          <cell r="U724" t="str">
            <v>LUC</v>
          </cell>
        </row>
        <row r="725">
          <cell r="D725">
            <v>54</v>
          </cell>
          <cell r="F725">
            <v>511467604633</v>
          </cell>
          <cell r="G725" t="str">
            <v>MICROCHIP TECNOLOGY(TH) CO LTD</v>
          </cell>
          <cell r="H725" t="str">
            <v>Delivered</v>
          </cell>
          <cell r="I725" t="str">
            <v>IC M</v>
          </cell>
          <cell r="J725" t="str">
            <v>Fedex</v>
          </cell>
          <cell r="K725" t="str">
            <v>VVMV</v>
          </cell>
          <cell r="L725" t="str">
            <v>TH</v>
          </cell>
          <cell r="M725">
            <v>46087</v>
          </cell>
          <cell r="N725">
            <v>46091</v>
          </cell>
          <cell r="O725">
            <v>46091</v>
          </cell>
          <cell r="P725">
            <v>108030847300</v>
          </cell>
          <cell r="Q725">
            <v>46090</v>
          </cell>
          <cell r="R725" t="str">
            <v>No inspection</v>
          </cell>
          <cell r="S725">
            <v>574784</v>
          </cell>
          <cell r="T725" t="str">
            <v>EXW</v>
          </cell>
          <cell r="U725" t="str">
            <v>PUR</v>
          </cell>
        </row>
        <row r="726">
          <cell r="D726">
            <v>1030.9000000000001</v>
          </cell>
          <cell r="F726" t="str">
            <v>LSHHPH2601866</v>
          </cell>
          <cell r="G726" t="str">
            <v>ZHENJIANG FINEWORLD AUTOMOTIVE TECHNOLOGY CO.,LTD</v>
          </cell>
          <cell r="H726" t="str">
            <v>Delivered</v>
          </cell>
          <cell r="I726" t="str">
            <v>ENCL</v>
          </cell>
          <cell r="J726" t="str">
            <v>Dolphin(sea)</v>
          </cell>
          <cell r="K726" t="str">
            <v>Dolphin</v>
          </cell>
          <cell r="L726" t="str">
            <v>CN</v>
          </cell>
          <cell r="M726">
            <v>46080</v>
          </cell>
          <cell r="N726">
            <v>46092</v>
          </cell>
          <cell r="O726">
            <v>46092</v>
          </cell>
          <cell r="P726">
            <v>108033982230</v>
          </cell>
          <cell r="Q726">
            <v>46090</v>
          </cell>
          <cell r="R726" t="str">
            <v>No inspection</v>
          </cell>
          <cell r="S726">
            <v>7979.65</v>
          </cell>
          <cell r="T726" t="str">
            <v>EXW</v>
          </cell>
          <cell r="U726" t="str">
            <v>LUC</v>
          </cell>
        </row>
        <row r="727">
          <cell r="D727">
            <v>20.3</v>
          </cell>
          <cell r="F727" t="str">
            <v>8XN3509</v>
          </cell>
          <cell r="G727" t="str">
            <v>KIOXIA CORPORATION C/O KIOXIA AMERICA INC</v>
          </cell>
          <cell r="H727" t="str">
            <v>Delivered</v>
          </cell>
          <cell r="I727" t="str">
            <v xml:space="preserve">MEM </v>
          </cell>
          <cell r="J727" t="str">
            <v>DHL( global)</v>
          </cell>
          <cell r="K727" t="str">
            <v>VVMV</v>
          </cell>
          <cell r="L727" t="str">
            <v>JP</v>
          </cell>
          <cell r="M727">
            <v>46088</v>
          </cell>
          <cell r="N727">
            <v>46091</v>
          </cell>
          <cell r="O727">
            <v>46091</v>
          </cell>
          <cell r="P727">
            <v>108033837810</v>
          </cell>
          <cell r="Q727">
            <v>46090</v>
          </cell>
          <cell r="R727" t="str">
            <v>No inspection</v>
          </cell>
          <cell r="S727">
            <v>1423773.12</v>
          </cell>
          <cell r="T727" t="str">
            <v>DAP</v>
          </cell>
          <cell r="U727" t="str">
            <v>PUR</v>
          </cell>
        </row>
        <row r="728">
          <cell r="D728">
            <v>3.2</v>
          </cell>
          <cell r="F728" t="str">
            <v>8XN3507</v>
          </cell>
          <cell r="G728" t="str">
            <v>KIOXIA CORPORATION C/O KIOXIA AMERICA INC</v>
          </cell>
          <cell r="H728" t="str">
            <v>Delivered</v>
          </cell>
          <cell r="I728" t="str">
            <v xml:space="preserve">MEM </v>
          </cell>
          <cell r="J728" t="str">
            <v>DHL( global)</v>
          </cell>
          <cell r="K728" t="str">
            <v>VVMV</v>
          </cell>
          <cell r="L728" t="str">
            <v>JP</v>
          </cell>
          <cell r="M728">
            <v>46088</v>
          </cell>
          <cell r="N728">
            <v>46091</v>
          </cell>
          <cell r="O728">
            <v>46091</v>
          </cell>
          <cell r="P728">
            <v>108033418250</v>
          </cell>
          <cell r="Q728">
            <v>46090</v>
          </cell>
          <cell r="R728" t="str">
            <v>No inspection</v>
          </cell>
          <cell r="S728">
            <v>164734.07999999999</v>
          </cell>
          <cell r="T728" t="str">
            <v>DAP</v>
          </cell>
          <cell r="U728" t="str">
            <v>PUR</v>
          </cell>
        </row>
        <row r="729">
          <cell r="D729">
            <v>11.2</v>
          </cell>
          <cell r="F729" t="str">
            <v>8XN3506</v>
          </cell>
          <cell r="G729" t="str">
            <v>KIOXIA CORPORATION C/O KIOXIA AMERICA INC</v>
          </cell>
          <cell r="H729" t="str">
            <v>Delivered</v>
          </cell>
          <cell r="I729" t="str">
            <v xml:space="preserve">MEM </v>
          </cell>
          <cell r="J729" t="str">
            <v>DHL( global)</v>
          </cell>
          <cell r="K729" t="str">
            <v>VVMV</v>
          </cell>
          <cell r="L729" t="str">
            <v>JP</v>
          </cell>
          <cell r="M729">
            <v>46088</v>
          </cell>
          <cell r="N729">
            <v>46091</v>
          </cell>
          <cell r="O729">
            <v>46091</v>
          </cell>
          <cell r="P729">
            <v>108033387930</v>
          </cell>
          <cell r="Q729">
            <v>46090</v>
          </cell>
          <cell r="R729" t="str">
            <v>No inspection</v>
          </cell>
          <cell r="S729">
            <v>339420.54</v>
          </cell>
          <cell r="T729" t="str">
            <v>DAP</v>
          </cell>
          <cell r="U729" t="str">
            <v>HLO</v>
          </cell>
        </row>
        <row r="730">
          <cell r="D730">
            <v>52.5</v>
          </cell>
          <cell r="F730" t="str">
            <v>8XN3505</v>
          </cell>
          <cell r="G730" t="str">
            <v>KIOXIA CORPORATION C/O KIOXIA AMERICA INC</v>
          </cell>
          <cell r="H730" t="str">
            <v>Delivered</v>
          </cell>
          <cell r="I730" t="str">
            <v xml:space="preserve">MEM </v>
          </cell>
          <cell r="J730" t="str">
            <v>DHL( global)</v>
          </cell>
          <cell r="K730" t="str">
            <v>VVMV</v>
          </cell>
          <cell r="L730" t="str">
            <v>JP</v>
          </cell>
          <cell r="M730">
            <v>46088</v>
          </cell>
          <cell r="N730">
            <v>46091</v>
          </cell>
          <cell r="O730">
            <v>46091</v>
          </cell>
          <cell r="P730">
            <v>108034205750</v>
          </cell>
          <cell r="Q730">
            <v>46090</v>
          </cell>
          <cell r="R730" t="str">
            <v>No inspection</v>
          </cell>
          <cell r="S730">
            <v>1760648.4</v>
          </cell>
          <cell r="T730" t="str">
            <v>DAP</v>
          </cell>
          <cell r="U730" t="str">
            <v>HLO</v>
          </cell>
        </row>
        <row r="731">
          <cell r="D731">
            <v>21.9</v>
          </cell>
          <cell r="F731" t="str">
            <v>8XN3508</v>
          </cell>
          <cell r="G731" t="str">
            <v>KIOXIA CORPORATION C/O KIOXIA AMERICA INC</v>
          </cell>
          <cell r="H731" t="str">
            <v>Delivered</v>
          </cell>
          <cell r="I731" t="str">
            <v xml:space="preserve">MEM </v>
          </cell>
          <cell r="J731" t="str">
            <v>DHL( global)</v>
          </cell>
          <cell r="K731" t="str">
            <v>VVMV</v>
          </cell>
          <cell r="L731" t="str">
            <v>JP</v>
          </cell>
          <cell r="M731">
            <v>46088</v>
          </cell>
          <cell r="N731">
            <v>46091</v>
          </cell>
          <cell r="O731">
            <v>46091</v>
          </cell>
          <cell r="P731">
            <v>108034014800</v>
          </cell>
          <cell r="Q731">
            <v>46090</v>
          </cell>
          <cell r="R731" t="str">
            <v>No inspection</v>
          </cell>
          <cell r="S731">
            <v>1588507.2</v>
          </cell>
          <cell r="T731" t="str">
            <v>DAP</v>
          </cell>
          <cell r="U731" t="str">
            <v>PUR</v>
          </cell>
        </row>
        <row r="732">
          <cell r="D732">
            <v>23</v>
          </cell>
          <cell r="F732">
            <v>472175076749</v>
          </cell>
          <cell r="G732" t="str">
            <v>HEILIND ELECTRONICS</v>
          </cell>
          <cell r="H732" t="str">
            <v>Delivered</v>
          </cell>
          <cell r="I732" t="str">
            <v>THER, CONN</v>
          </cell>
          <cell r="J732" t="str">
            <v>Fedex</v>
          </cell>
          <cell r="K732" t="str">
            <v>VVMV</v>
          </cell>
          <cell r="L732" t="str">
            <v>US</v>
          </cell>
          <cell r="M732">
            <v>46078</v>
          </cell>
          <cell r="N732">
            <v>46091</v>
          </cell>
          <cell r="O732">
            <v>46092</v>
          </cell>
          <cell r="P732">
            <v>108034141610</v>
          </cell>
          <cell r="Q732">
            <v>46090</v>
          </cell>
          <cell r="R732" t="str">
            <v>No inspection</v>
          </cell>
          <cell r="S732">
            <v>2827.76</v>
          </cell>
          <cell r="T732" t="str">
            <v>CIF</v>
          </cell>
          <cell r="U732" t="str">
            <v>LUC</v>
          </cell>
        </row>
        <row r="733">
          <cell r="D733">
            <v>2.5</v>
          </cell>
          <cell r="F733">
            <v>515282226740</v>
          </cell>
          <cell r="G733" t="str">
            <v>ARROW ELECTRONICS, INC.</v>
          </cell>
          <cell r="H733" t="str">
            <v>Delivered</v>
          </cell>
          <cell r="I733" t="str">
            <v>INDU</v>
          </cell>
          <cell r="J733" t="str">
            <v>Fedex</v>
          </cell>
          <cell r="K733" t="str">
            <v>VVMV</v>
          </cell>
          <cell r="L733" t="str">
            <v>US</v>
          </cell>
          <cell r="M733">
            <v>46085</v>
          </cell>
          <cell r="N733">
            <v>46092</v>
          </cell>
          <cell r="O733">
            <v>46092</v>
          </cell>
          <cell r="P733">
            <v>108034258620</v>
          </cell>
          <cell r="Q733">
            <v>46090</v>
          </cell>
          <cell r="R733" t="str">
            <v>No inspection</v>
          </cell>
          <cell r="S733">
            <v>734</v>
          </cell>
          <cell r="T733" t="str">
            <v>CIF</v>
          </cell>
          <cell r="U733" t="str">
            <v>EF-</v>
          </cell>
        </row>
        <row r="734">
          <cell r="F734">
            <v>119209689900</v>
          </cell>
          <cell r="H734" t="str">
            <v>Delivered</v>
          </cell>
          <cell r="J734" t="str">
            <v>Fedex</v>
          </cell>
          <cell r="K734" t="str">
            <v>VVMV</v>
          </cell>
          <cell r="O734" t="str">
            <v>reject</v>
          </cell>
          <cell r="P734" t="str">
            <v>reject</v>
          </cell>
          <cell r="R734" t="str">
            <v>No inspection</v>
          </cell>
        </row>
        <row r="735">
          <cell r="D735">
            <v>1</v>
          </cell>
          <cell r="F735">
            <v>889248516960</v>
          </cell>
          <cell r="G735" t="str">
            <v>EFI CRETAPRINT</v>
          </cell>
          <cell r="H735" t="str">
            <v>Delivered</v>
          </cell>
          <cell r="I735" t="str">
            <v>IC S</v>
          </cell>
          <cell r="J735" t="str">
            <v>Fedex</v>
          </cell>
          <cell r="K735" t="str">
            <v>VVMV</v>
          </cell>
          <cell r="L735" t="str">
            <v>ES</v>
          </cell>
          <cell r="M735">
            <v>46085</v>
          </cell>
          <cell r="N735">
            <v>46091</v>
          </cell>
          <cell r="O735">
            <v>46091</v>
          </cell>
          <cell r="P735">
            <v>108033495250</v>
          </cell>
          <cell r="Q735">
            <v>46090</v>
          </cell>
          <cell r="R735" t="str">
            <v>No inspection</v>
          </cell>
          <cell r="S735">
            <v>420</v>
          </cell>
          <cell r="T735" t="str">
            <v>CIF</v>
          </cell>
          <cell r="U735" t="str">
            <v>EF-</v>
          </cell>
        </row>
        <row r="736">
          <cell r="D736">
            <v>126</v>
          </cell>
          <cell r="F736">
            <v>4915074138</v>
          </cell>
          <cell r="G736" t="str">
            <v>PENCOM LTD</v>
          </cell>
          <cell r="H736" t="str">
            <v>Delivered</v>
          </cell>
          <cell r="I736" t="str">
            <v>STAN, MECH, SCRE</v>
          </cell>
          <cell r="J736" t="str">
            <v>Expeditors</v>
          </cell>
          <cell r="K736" t="str">
            <v>VVMV</v>
          </cell>
          <cell r="L736" t="str">
            <v>HK</v>
          </cell>
          <cell r="M736">
            <v>46089</v>
          </cell>
          <cell r="N736">
            <v>46091</v>
          </cell>
          <cell r="O736">
            <v>46091</v>
          </cell>
          <cell r="P736">
            <v>108033515700</v>
          </cell>
          <cell r="Q736">
            <v>46090</v>
          </cell>
          <cell r="R736" t="str">
            <v>No inspection</v>
          </cell>
          <cell r="S736">
            <v>11852</v>
          </cell>
          <cell r="T736" t="str">
            <v>EXW</v>
          </cell>
          <cell r="U736" t="str">
            <v>PUR</v>
          </cell>
        </row>
        <row r="737">
          <cell r="D737">
            <v>1783</v>
          </cell>
          <cell r="F737" t="str">
            <v>SEBL26030008</v>
          </cell>
          <cell r="G737" t="str">
            <v>SHENNAN CIRCUITS CO.,LTD</v>
          </cell>
          <cell r="H737" t="str">
            <v>Delivered</v>
          </cell>
          <cell r="I737" t="str">
            <v xml:space="preserve">PCB </v>
          </cell>
          <cell r="J737" t="str">
            <v>Dragon</v>
          </cell>
          <cell r="K737" t="str">
            <v>VVMV</v>
          </cell>
          <cell r="L737" t="str">
            <v>CN</v>
          </cell>
          <cell r="M737">
            <v>46085</v>
          </cell>
          <cell r="N737">
            <v>46093</v>
          </cell>
          <cell r="O737">
            <v>46093</v>
          </cell>
          <cell r="P737">
            <v>108038138460</v>
          </cell>
          <cell r="Q737">
            <v>46091</v>
          </cell>
          <cell r="R737" t="str">
            <v>No inspection</v>
          </cell>
          <cell r="S737">
            <v>109470.78</v>
          </cell>
          <cell r="T737" t="str">
            <v>DAP</v>
          </cell>
          <cell r="U737" t="str">
            <v>LUC</v>
          </cell>
        </row>
        <row r="738">
          <cell r="D738">
            <v>2090</v>
          </cell>
          <cell r="F738" t="str">
            <v>LSHHPH2601960</v>
          </cell>
          <cell r="G738" t="str">
            <v>YANCHENG CHARLES POWER TECHNOLOGY GROUP CO., LTD</v>
          </cell>
          <cell r="H738" t="str">
            <v>Delivered</v>
          </cell>
          <cell r="I738" t="str">
            <v>VCU , BCM , GRAV</v>
          </cell>
          <cell r="J738" t="str">
            <v>Dolphin(sea)</v>
          </cell>
          <cell r="K738" t="str">
            <v>Dolphin</v>
          </cell>
          <cell r="L738" t="str">
            <v>CN</v>
          </cell>
          <cell r="M738">
            <v>46087</v>
          </cell>
          <cell r="N738">
            <v>46097</v>
          </cell>
          <cell r="O738">
            <v>46097</v>
          </cell>
          <cell r="P738">
            <v>108042141100</v>
          </cell>
          <cell r="Q738">
            <v>46093</v>
          </cell>
          <cell r="R738" t="str">
            <v>No inspection</v>
          </cell>
          <cell r="S738">
            <v>40433.199999999997</v>
          </cell>
          <cell r="T738" t="str">
            <v>FOB</v>
          </cell>
          <cell r="U738" t="str">
            <v>LUC</v>
          </cell>
        </row>
        <row r="739">
          <cell r="D739">
            <v>68.5</v>
          </cell>
          <cell r="F739">
            <v>889276161181</v>
          </cell>
          <cell r="G739" t="str">
            <v>WT MICROELECTRONICS SPORE P/L</v>
          </cell>
          <cell r="H739" t="str">
            <v>Delivered</v>
          </cell>
          <cell r="I739" t="str">
            <v xml:space="preserve">IC R, DIOD, IC A, CAP , RES , IND </v>
          </cell>
          <cell r="J739" t="str">
            <v>Fedex</v>
          </cell>
          <cell r="K739" t="str">
            <v>VVMV</v>
          </cell>
          <cell r="L739" t="str">
            <v>SG</v>
          </cell>
          <cell r="M739">
            <v>46085</v>
          </cell>
          <cell r="N739">
            <v>46093</v>
          </cell>
          <cell r="O739">
            <v>46093</v>
          </cell>
          <cell r="P739">
            <v>108038010730</v>
          </cell>
          <cell r="Q739">
            <v>46091</v>
          </cell>
          <cell r="R739" t="str">
            <v>No inspection</v>
          </cell>
          <cell r="S739">
            <v>36362.32</v>
          </cell>
          <cell r="T739" t="str">
            <v>EXW</v>
          </cell>
          <cell r="U739" t="str">
            <v>EF-</v>
          </cell>
        </row>
        <row r="740">
          <cell r="D740">
            <v>3</v>
          </cell>
          <cell r="F740">
            <v>479272022195</v>
          </cell>
          <cell r="G740" t="str">
            <v>ARROW ELECTRONICS ASIA (S) PTE LTD
C/O ARROW COMPONENTS (M) SDN BHD</v>
          </cell>
          <cell r="H740" t="str">
            <v>Delivered</v>
          </cell>
          <cell r="I740" t="str">
            <v xml:space="preserve">CAP </v>
          </cell>
          <cell r="J740" t="str">
            <v>Fedex</v>
          </cell>
          <cell r="K740" t="str">
            <v>VVMV</v>
          </cell>
          <cell r="L740" t="str">
            <v>MY</v>
          </cell>
          <cell r="M740">
            <v>46086</v>
          </cell>
          <cell r="N740">
            <v>46093</v>
          </cell>
          <cell r="O740">
            <v>46093</v>
          </cell>
          <cell r="P740">
            <v>108037913760</v>
          </cell>
          <cell r="Q740">
            <v>46091</v>
          </cell>
          <cell r="R740" t="str">
            <v>No inspection</v>
          </cell>
          <cell r="S740">
            <v>3565.92</v>
          </cell>
          <cell r="T740" t="str">
            <v>CIF</v>
          </cell>
          <cell r="U740" t="str">
            <v>HLO</v>
          </cell>
        </row>
        <row r="741">
          <cell r="D741">
            <v>21</v>
          </cell>
          <cell r="F741">
            <v>500292496718</v>
          </cell>
          <cell r="G741" t="str">
            <v>ARROW COMPONENTS MEXICO SA De CV</v>
          </cell>
          <cell r="H741" t="str">
            <v>Delivered</v>
          </cell>
          <cell r="I741" t="str">
            <v xml:space="preserve">CON </v>
          </cell>
          <cell r="J741" t="str">
            <v>Fedex</v>
          </cell>
          <cell r="K741" t="str">
            <v>VVMV</v>
          </cell>
          <cell r="L741" t="str">
            <v>MX</v>
          </cell>
          <cell r="M741">
            <v>46083</v>
          </cell>
          <cell r="N741">
            <v>46093</v>
          </cell>
          <cell r="O741">
            <v>46093</v>
          </cell>
          <cell r="P741">
            <v>108038053800</v>
          </cell>
          <cell r="Q741">
            <v>46091</v>
          </cell>
          <cell r="R741" t="str">
            <v>No inspection</v>
          </cell>
          <cell r="S741">
            <v>2496</v>
          </cell>
          <cell r="T741" t="str">
            <v>DAP</v>
          </cell>
          <cell r="U741" t="str">
            <v>LUC</v>
          </cell>
        </row>
        <row r="742">
          <cell r="D742">
            <v>2.5</v>
          </cell>
          <cell r="F742">
            <v>889352828165</v>
          </cell>
          <cell r="G742" t="str">
            <v>CYMMETRIK SHENZHEN PRINTING CO., LTD</v>
          </cell>
          <cell r="H742" t="str">
            <v>Delivered</v>
          </cell>
          <cell r="I742" t="str">
            <v>LABE</v>
          </cell>
          <cell r="J742" t="str">
            <v>Fedex</v>
          </cell>
          <cell r="K742" t="str">
            <v>VVMV</v>
          </cell>
          <cell r="L742" t="str">
            <v>CN</v>
          </cell>
          <cell r="M742">
            <v>46087</v>
          </cell>
          <cell r="N742">
            <v>46093</v>
          </cell>
          <cell r="O742">
            <v>46093</v>
          </cell>
          <cell r="P742">
            <v>108041483650</v>
          </cell>
          <cell r="Q742">
            <v>46092</v>
          </cell>
          <cell r="R742" t="str">
            <v>No inspection</v>
          </cell>
          <cell r="S742">
            <v>692</v>
          </cell>
          <cell r="T742" t="str">
            <v>EXW</v>
          </cell>
          <cell r="U742" t="str">
            <v>HLO</v>
          </cell>
        </row>
        <row r="743">
          <cell r="D743">
            <v>56</v>
          </cell>
          <cell r="F743">
            <v>494056010053</v>
          </cell>
          <cell r="G743" t="str">
            <v>NANYA TECHNOLOGY CORP.</v>
          </cell>
          <cell r="H743" t="str">
            <v>Delivered</v>
          </cell>
          <cell r="I743" t="str">
            <v xml:space="preserve">MEM </v>
          </cell>
          <cell r="J743" t="str">
            <v>Fedex</v>
          </cell>
          <cell r="K743" t="str">
            <v>VVMV</v>
          </cell>
          <cell r="L743" t="str">
            <v>TW</v>
          </cell>
          <cell r="M743">
            <v>46084</v>
          </cell>
          <cell r="N743">
            <v>46093</v>
          </cell>
          <cell r="O743">
            <v>46093</v>
          </cell>
          <cell r="P743">
            <v>108038134630</v>
          </cell>
          <cell r="Q743">
            <v>46091</v>
          </cell>
          <cell r="R743" t="str">
            <v>No inspection</v>
          </cell>
          <cell r="S743">
            <v>469700</v>
          </cell>
          <cell r="T743" t="str">
            <v>CIF</v>
          </cell>
          <cell r="U743" t="str">
            <v>PUR</v>
          </cell>
        </row>
        <row r="744">
          <cell r="D744">
            <v>1.5</v>
          </cell>
          <cell r="F744">
            <v>399360419897</v>
          </cell>
          <cell r="G744" t="str">
            <v>ANALOG DEVICES GEN. TRIAS, INC.</v>
          </cell>
          <cell r="H744" t="str">
            <v>Delivered</v>
          </cell>
          <cell r="I744" t="str">
            <v>IC M</v>
          </cell>
          <cell r="J744" t="str">
            <v>Fedex</v>
          </cell>
          <cell r="K744" t="str">
            <v>VVMV</v>
          </cell>
          <cell r="L744" t="str">
            <v>PH</v>
          </cell>
          <cell r="M744">
            <v>46087</v>
          </cell>
          <cell r="N744">
            <v>46093</v>
          </cell>
          <cell r="O744">
            <v>46093</v>
          </cell>
          <cell r="P744">
            <v>108038090640</v>
          </cell>
          <cell r="Q744">
            <v>46091</v>
          </cell>
          <cell r="R744" t="str">
            <v>No inspection</v>
          </cell>
          <cell r="S744">
            <v>4035</v>
          </cell>
          <cell r="T744" t="str">
            <v>EXW</v>
          </cell>
          <cell r="U744" t="str">
            <v>LUC</v>
          </cell>
        </row>
        <row r="745">
          <cell r="D745">
            <v>1</v>
          </cell>
          <cell r="F745">
            <v>399393081919</v>
          </cell>
          <cell r="G745" t="str">
            <v>C/O DHL Supply Chain Mgnt Phils                                                                                            Analog Devices Gen. Trias, Inc.</v>
          </cell>
          <cell r="H745" t="str">
            <v>Delivered</v>
          </cell>
          <cell r="I745" t="str">
            <v>IC M</v>
          </cell>
          <cell r="J745" t="str">
            <v>Fedex</v>
          </cell>
          <cell r="K745" t="str">
            <v>VVMV</v>
          </cell>
          <cell r="L745" t="str">
            <v>PH</v>
          </cell>
          <cell r="M745">
            <v>46088</v>
          </cell>
          <cell r="N745">
            <v>46093</v>
          </cell>
          <cell r="O745">
            <v>46093</v>
          </cell>
          <cell r="P745">
            <v>108038121810</v>
          </cell>
          <cell r="Q745">
            <v>46091</v>
          </cell>
          <cell r="R745" t="str">
            <v>No inspection</v>
          </cell>
          <cell r="S745">
            <v>2750</v>
          </cell>
          <cell r="T745" t="str">
            <v>EXW</v>
          </cell>
          <cell r="U745" t="str">
            <v>LUC</v>
          </cell>
        </row>
        <row r="746">
          <cell r="D746">
            <v>5.5</v>
          </cell>
          <cell r="F746">
            <v>399376289213</v>
          </cell>
          <cell r="G746" t="str">
            <v>O/B ANALOG DEVICES INTERNATIONAL UC
DHL SUPPLY CHAIN MANAGEMENT PHILS</v>
          </cell>
          <cell r="H746" t="str">
            <v>Delivered</v>
          </cell>
          <cell r="I746" t="str">
            <v>IC M</v>
          </cell>
          <cell r="J746" t="str">
            <v>Fedex</v>
          </cell>
          <cell r="K746" t="str">
            <v>VVMV</v>
          </cell>
          <cell r="L746" t="str">
            <v>PH</v>
          </cell>
          <cell r="M746">
            <v>46089</v>
          </cell>
          <cell r="N746">
            <v>46093</v>
          </cell>
          <cell r="O746">
            <v>46093</v>
          </cell>
          <cell r="P746">
            <v>108038120150</v>
          </cell>
          <cell r="Q746">
            <v>46091</v>
          </cell>
          <cell r="R746" t="str">
            <v>No inspection</v>
          </cell>
          <cell r="S746">
            <v>28680</v>
          </cell>
          <cell r="T746" t="str">
            <v>EXW</v>
          </cell>
          <cell r="U746" t="str">
            <v>LUC</v>
          </cell>
        </row>
        <row r="747">
          <cell r="D747">
            <v>41.5</v>
          </cell>
          <cell r="F747">
            <v>497354642510</v>
          </cell>
          <cell r="G747" t="str">
            <v>A&amp;E RISING TECHNOLOGIES LTD</v>
          </cell>
          <cell r="H747" t="str">
            <v>Delivered</v>
          </cell>
          <cell r="I747" t="str">
            <v xml:space="preserve">PCB </v>
          </cell>
          <cell r="J747" t="str">
            <v>Fedex</v>
          </cell>
          <cell r="K747" t="str">
            <v>VVMV</v>
          </cell>
          <cell r="L747" t="str">
            <v>HK</v>
          </cell>
          <cell r="M747">
            <v>46087</v>
          </cell>
          <cell r="N747">
            <v>46092</v>
          </cell>
          <cell r="O747">
            <v>46093</v>
          </cell>
          <cell r="P747">
            <v>108037938040</v>
          </cell>
          <cell r="Q747">
            <v>46091</v>
          </cell>
          <cell r="R747" t="str">
            <v>No inspection</v>
          </cell>
          <cell r="S747">
            <v>5016</v>
          </cell>
          <cell r="T747" t="str">
            <v>EXW</v>
          </cell>
          <cell r="U747" t="str">
            <v>EF-</v>
          </cell>
        </row>
        <row r="748">
          <cell r="D748">
            <v>0.5</v>
          </cell>
          <cell r="F748">
            <v>515282254979</v>
          </cell>
          <cell r="G748" t="str">
            <v>ARROW ELECTRONICS, INC.</v>
          </cell>
          <cell r="H748" t="str">
            <v>Delivered</v>
          </cell>
          <cell r="I748" t="str">
            <v xml:space="preserve">CAP </v>
          </cell>
          <cell r="J748" t="str">
            <v>Fedex</v>
          </cell>
          <cell r="K748" t="str">
            <v>VVMV</v>
          </cell>
          <cell r="L748" t="str">
            <v>US</v>
          </cell>
          <cell r="M748">
            <v>46086</v>
          </cell>
          <cell r="N748">
            <v>46092</v>
          </cell>
          <cell r="O748">
            <v>46092</v>
          </cell>
          <cell r="P748">
            <v>108037600530</v>
          </cell>
          <cell r="Q748">
            <v>46091</v>
          </cell>
          <cell r="R748" t="str">
            <v>No inspection</v>
          </cell>
          <cell r="S748">
            <v>80</v>
          </cell>
          <cell r="T748" t="str">
            <v>CIF</v>
          </cell>
          <cell r="U748" t="str">
            <v>EF-</v>
          </cell>
        </row>
        <row r="749">
          <cell r="D749">
            <v>4</v>
          </cell>
          <cell r="F749">
            <v>399391834371</v>
          </cell>
          <cell r="G749" t="str">
            <v>C/O DHL SUPPLY CHAIN THAILAND LIMIT
ANALOG DEVICES (THAILAND) CO.,LTD</v>
          </cell>
          <cell r="H749" t="str">
            <v>Delivered</v>
          </cell>
          <cell r="I749" t="str">
            <v>IC C</v>
          </cell>
          <cell r="J749" t="str">
            <v>Fedex</v>
          </cell>
          <cell r="K749" t="str">
            <v>VVMV</v>
          </cell>
          <cell r="L749" t="str">
            <v>TH</v>
          </cell>
          <cell r="M749">
            <v>46087</v>
          </cell>
          <cell r="N749">
            <v>46092</v>
          </cell>
          <cell r="O749">
            <v>46093</v>
          </cell>
          <cell r="P749">
            <v>108037497040</v>
          </cell>
          <cell r="Q749">
            <v>46091</v>
          </cell>
          <cell r="R749" t="str">
            <v>No inspection</v>
          </cell>
          <cell r="S749">
            <v>43500</v>
          </cell>
          <cell r="T749" t="str">
            <v>EXW</v>
          </cell>
          <cell r="U749" t="str">
            <v>LUC</v>
          </cell>
        </row>
        <row r="750">
          <cell r="D750">
            <v>6</v>
          </cell>
          <cell r="F750">
            <v>889349051614</v>
          </cell>
          <cell r="G750" t="str">
            <v>SUNLORD ELECTRONICS TECHNOLOGY PTE</v>
          </cell>
          <cell r="H750" t="str">
            <v>Delivered</v>
          </cell>
          <cell r="I750" t="str">
            <v xml:space="preserve">DIOD, RES </v>
          </cell>
          <cell r="J750" t="str">
            <v>Fedex</v>
          </cell>
          <cell r="K750" t="str">
            <v>VVMV</v>
          </cell>
          <cell r="L750" t="str">
            <v>SG</v>
          </cell>
          <cell r="M750">
            <v>46087</v>
          </cell>
          <cell r="N750">
            <v>46092</v>
          </cell>
          <cell r="O750">
            <v>46093</v>
          </cell>
          <cell r="P750">
            <v>108036697530</v>
          </cell>
          <cell r="Q750">
            <v>46091</v>
          </cell>
          <cell r="R750" t="str">
            <v>No inspection</v>
          </cell>
          <cell r="S750">
            <v>1630.4</v>
          </cell>
          <cell r="T750" t="str">
            <v>EXW</v>
          </cell>
          <cell r="U750" t="str">
            <v>PUR</v>
          </cell>
        </row>
        <row r="751">
          <cell r="D751">
            <v>46</v>
          </cell>
          <cell r="F751">
            <v>399097857692</v>
          </cell>
          <cell r="G751" t="str">
            <v>ROSENBERGER HOCHFREQUENZTECHNIK</v>
          </cell>
          <cell r="H751" t="str">
            <v>Delivered</v>
          </cell>
          <cell r="I751" t="str">
            <v>CONN</v>
          </cell>
          <cell r="J751" t="str">
            <v>Fedex</v>
          </cell>
          <cell r="K751" t="str">
            <v>VVMV</v>
          </cell>
          <cell r="L751" t="str">
            <v>DE</v>
          </cell>
          <cell r="M751">
            <v>46079</v>
          </cell>
          <cell r="N751">
            <v>46093</v>
          </cell>
          <cell r="O751">
            <v>46093</v>
          </cell>
          <cell r="P751">
            <v>108041875430</v>
          </cell>
          <cell r="Q751">
            <v>46092</v>
          </cell>
          <cell r="R751" t="str">
            <v>No inspection</v>
          </cell>
          <cell r="S751">
            <v>5926.02</v>
          </cell>
          <cell r="T751" t="str">
            <v>CIF</v>
          </cell>
          <cell r="U751" t="str">
            <v>LUC</v>
          </cell>
        </row>
        <row r="752">
          <cell r="D752">
            <v>122</v>
          </cell>
          <cell r="F752">
            <v>484361657948</v>
          </cell>
          <cell r="G752" t="str">
            <v>COILCRAFT SINGAPORE PTE LTD</v>
          </cell>
          <cell r="H752" t="str">
            <v>Delivered</v>
          </cell>
          <cell r="I752" t="str">
            <v xml:space="preserve">INDU, IND </v>
          </cell>
          <cell r="J752" t="str">
            <v>Fedex</v>
          </cell>
          <cell r="K752" t="str">
            <v>VVMV</v>
          </cell>
          <cell r="L752" t="str">
            <v>SG</v>
          </cell>
          <cell r="M752">
            <v>46087</v>
          </cell>
          <cell r="N752">
            <v>46093</v>
          </cell>
          <cell r="O752">
            <v>46093</v>
          </cell>
          <cell r="P752">
            <v>108041566620</v>
          </cell>
          <cell r="Q752">
            <v>46092</v>
          </cell>
          <cell r="R752" t="str">
            <v>No inspection</v>
          </cell>
          <cell r="S752">
            <v>31052.3</v>
          </cell>
          <cell r="T752" t="str">
            <v>EXW</v>
          </cell>
          <cell r="U752" t="str">
            <v>LUC</v>
          </cell>
        </row>
        <row r="753">
          <cell r="D753">
            <v>1</v>
          </cell>
          <cell r="F753">
            <v>500292494472</v>
          </cell>
          <cell r="G753" t="str">
            <v>ARROW COMPONENTS MEXICO SA De CV</v>
          </cell>
          <cell r="H753" t="str">
            <v>Delivered</v>
          </cell>
          <cell r="I753" t="str">
            <v xml:space="preserve">RES </v>
          </cell>
          <cell r="J753" t="str">
            <v>Fedex</v>
          </cell>
          <cell r="K753" t="str">
            <v>VVMV</v>
          </cell>
          <cell r="L753" t="str">
            <v>MX</v>
          </cell>
          <cell r="M753">
            <v>46083</v>
          </cell>
          <cell r="N753">
            <v>46092</v>
          </cell>
          <cell r="O753">
            <v>46093</v>
          </cell>
          <cell r="P753">
            <v>108037045910</v>
          </cell>
          <cell r="Q753">
            <v>46091</v>
          </cell>
          <cell r="R753" t="str">
            <v>No inspection</v>
          </cell>
          <cell r="S753">
            <v>69</v>
          </cell>
          <cell r="T753" t="str">
            <v>CIF</v>
          </cell>
          <cell r="U753" t="str">
            <v>LUC</v>
          </cell>
        </row>
        <row r="754">
          <cell r="D754">
            <v>95</v>
          </cell>
          <cell r="F754">
            <v>399195283400</v>
          </cell>
          <cell r="G754" t="str">
            <v>ROSENBERGER HOCHFREQUENZTECHNIK</v>
          </cell>
          <cell r="H754" t="str">
            <v>Delivered</v>
          </cell>
          <cell r="I754" t="str">
            <v>CONN</v>
          </cell>
          <cell r="J754" t="str">
            <v>Fedex</v>
          </cell>
          <cell r="K754" t="str">
            <v>VVMV</v>
          </cell>
          <cell r="L754" t="str">
            <v>HU</v>
          </cell>
          <cell r="M754">
            <v>46083</v>
          </cell>
          <cell r="N754">
            <v>46093</v>
          </cell>
          <cell r="O754">
            <v>46093</v>
          </cell>
          <cell r="P754">
            <v>108041882060</v>
          </cell>
          <cell r="Q754">
            <v>46092</v>
          </cell>
          <cell r="R754" t="str">
            <v>No inspection</v>
          </cell>
          <cell r="S754">
            <v>9116.1</v>
          </cell>
          <cell r="T754" t="str">
            <v>CIF</v>
          </cell>
          <cell r="U754" t="str">
            <v>LUC</v>
          </cell>
        </row>
        <row r="755">
          <cell r="D755">
            <v>0.5</v>
          </cell>
          <cell r="F755">
            <v>516542936042</v>
          </cell>
          <cell r="G755" t="str">
            <v>DIGI-KEY ELECTRONICS</v>
          </cell>
          <cell r="H755" t="str">
            <v>Delivered</v>
          </cell>
          <cell r="I755" t="str">
            <v>IC D</v>
          </cell>
          <cell r="J755" t="str">
            <v>Fedex</v>
          </cell>
          <cell r="K755" t="str">
            <v>VVMV</v>
          </cell>
          <cell r="L755" t="str">
            <v>US</v>
          </cell>
          <cell r="M755">
            <v>46086</v>
          </cell>
          <cell r="N755">
            <v>46092</v>
          </cell>
          <cell r="O755">
            <v>46093</v>
          </cell>
          <cell r="P755">
            <v>108037557830</v>
          </cell>
          <cell r="Q755">
            <v>46091</v>
          </cell>
          <cell r="R755" t="str">
            <v>No inspection</v>
          </cell>
          <cell r="S755">
            <v>199.47</v>
          </cell>
          <cell r="T755" t="str">
            <v>CIF</v>
          </cell>
          <cell r="U755" t="str">
            <v>EF-</v>
          </cell>
        </row>
        <row r="756">
          <cell r="D756">
            <v>3.5</v>
          </cell>
          <cell r="F756">
            <v>889258088418</v>
          </cell>
          <cell r="G756" t="str">
            <v>Alliance Memory, Inc</v>
          </cell>
          <cell r="H756" t="str">
            <v>Delivered</v>
          </cell>
          <cell r="I756" t="str">
            <v>IC S</v>
          </cell>
          <cell r="J756" t="str">
            <v>Fedex</v>
          </cell>
          <cell r="K756" t="str">
            <v>VVMV</v>
          </cell>
          <cell r="L756" t="str">
            <v>US</v>
          </cell>
          <cell r="M756">
            <v>46084</v>
          </cell>
          <cell r="N756">
            <v>46092</v>
          </cell>
          <cell r="O756">
            <v>46093</v>
          </cell>
          <cell r="P756">
            <v>108037766800</v>
          </cell>
          <cell r="Q756">
            <v>46091</v>
          </cell>
          <cell r="R756" t="str">
            <v>No inspection</v>
          </cell>
          <cell r="S756">
            <v>11000</v>
          </cell>
          <cell r="T756" t="str">
            <v>CIF</v>
          </cell>
          <cell r="U756" t="str">
            <v>EF-</v>
          </cell>
        </row>
        <row r="757">
          <cell r="D757">
            <v>4</v>
          </cell>
          <cell r="F757">
            <v>889274747230</v>
          </cell>
          <cell r="G757" t="str">
            <v>FLEXTRONICS INTERNATIONAL GMBH</v>
          </cell>
          <cell r="H757" t="str">
            <v>Delivered</v>
          </cell>
          <cell r="I757" t="str">
            <v>IC D</v>
          </cell>
          <cell r="J757" t="str">
            <v>Fedex</v>
          </cell>
          <cell r="K757" t="str">
            <v>VVMV</v>
          </cell>
          <cell r="L757" t="str">
            <v>AT</v>
          </cell>
          <cell r="M757">
            <v>46085</v>
          </cell>
          <cell r="N757">
            <v>46092</v>
          </cell>
          <cell r="O757">
            <v>46093</v>
          </cell>
          <cell r="P757">
            <v>108037232920</v>
          </cell>
          <cell r="Q757">
            <v>46091</v>
          </cell>
          <cell r="R757" t="str">
            <v>No inspection</v>
          </cell>
          <cell r="S757">
            <v>16550</v>
          </cell>
          <cell r="T757" t="str">
            <v>CIF</v>
          </cell>
          <cell r="U757" t="str">
            <v>LUC</v>
          </cell>
        </row>
        <row r="758">
          <cell r="D758">
            <v>1</v>
          </cell>
          <cell r="F758">
            <v>889275424811</v>
          </cell>
          <cell r="G758" t="str">
            <v>UNION MEMORY LTD.</v>
          </cell>
          <cell r="H758" t="str">
            <v>Delivered</v>
          </cell>
          <cell r="I758" t="str">
            <v>IC S</v>
          </cell>
          <cell r="J758" t="str">
            <v>Fedex</v>
          </cell>
          <cell r="K758" t="str">
            <v>VVMV</v>
          </cell>
          <cell r="L758" t="str">
            <v>TW</v>
          </cell>
          <cell r="M758">
            <v>46086</v>
          </cell>
          <cell r="N758">
            <v>46092</v>
          </cell>
          <cell r="O758">
            <v>46093</v>
          </cell>
          <cell r="P758">
            <v>108037903630</v>
          </cell>
          <cell r="Q758">
            <v>46091</v>
          </cell>
          <cell r="R758" t="str">
            <v>No inspection</v>
          </cell>
          <cell r="S758">
            <v>375</v>
          </cell>
          <cell r="T758" t="str">
            <v>EXW</v>
          </cell>
          <cell r="U758" t="str">
            <v>EF-</v>
          </cell>
        </row>
        <row r="759">
          <cell r="D759">
            <v>16.5</v>
          </cell>
          <cell r="F759">
            <v>514097480505</v>
          </cell>
          <cell r="G759" t="str">
            <v>RICHARDSON RFPD HONG KONG LIMITED</v>
          </cell>
          <cell r="H759" t="str">
            <v>Delivered</v>
          </cell>
          <cell r="I759" t="str">
            <v xml:space="preserve">CAP </v>
          </cell>
          <cell r="J759" t="str">
            <v>Fedex</v>
          </cell>
          <cell r="K759" t="str">
            <v>VVMV</v>
          </cell>
          <cell r="L759" t="str">
            <v>HK</v>
          </cell>
          <cell r="M759">
            <v>46087</v>
          </cell>
          <cell r="N759">
            <v>46092</v>
          </cell>
          <cell r="O759">
            <v>46093</v>
          </cell>
          <cell r="P759">
            <v>108037688400</v>
          </cell>
          <cell r="Q759">
            <v>46091</v>
          </cell>
          <cell r="R759" t="str">
            <v>No inspection</v>
          </cell>
          <cell r="S759">
            <v>2520</v>
          </cell>
          <cell r="T759" t="str">
            <v>EXW</v>
          </cell>
          <cell r="U759" t="str">
            <v>PUR</v>
          </cell>
        </row>
        <row r="760">
          <cell r="D760">
            <v>32.5</v>
          </cell>
          <cell r="F760">
            <v>409298911884</v>
          </cell>
          <cell r="G760" t="str">
            <v>TTI ELECTRONICS ASIA PTE LTD</v>
          </cell>
          <cell r="H760" t="str">
            <v>Delivered</v>
          </cell>
          <cell r="I760" t="str">
            <v>CAP , RES , IND , 	CAP, FERR</v>
          </cell>
          <cell r="J760" t="str">
            <v>Fedex</v>
          </cell>
          <cell r="K760" t="str">
            <v>VVMV</v>
          </cell>
          <cell r="L760" t="str">
            <v>SG</v>
          </cell>
          <cell r="M760">
            <v>46087</v>
          </cell>
          <cell r="N760">
            <v>46092</v>
          </cell>
          <cell r="O760">
            <v>46093</v>
          </cell>
          <cell r="P760">
            <v>108037615560</v>
          </cell>
          <cell r="Q760">
            <v>46091</v>
          </cell>
          <cell r="R760" t="str">
            <v>No inspection</v>
          </cell>
          <cell r="S760">
            <v>12513.55</v>
          </cell>
          <cell r="T760" t="str">
            <v>EXW</v>
          </cell>
          <cell r="U760" t="str">
            <v>LUC</v>
          </cell>
        </row>
        <row r="761">
          <cell r="D761">
            <v>2.5</v>
          </cell>
          <cell r="F761">
            <v>889353175250</v>
          </cell>
          <cell r="G761" t="str">
            <v>VITAL SYSTEM TECHNOLOGY PTE LTD</v>
          </cell>
          <cell r="H761" t="str">
            <v>Delivered</v>
          </cell>
          <cell r="I761" t="str">
            <v xml:space="preserve">DIOD, CAP </v>
          </cell>
          <cell r="J761" t="str">
            <v>Fedex</v>
          </cell>
          <cell r="K761" t="str">
            <v>VVMV</v>
          </cell>
          <cell r="L761" t="str">
            <v>SG</v>
          </cell>
          <cell r="M761">
            <v>46087</v>
          </cell>
          <cell r="N761">
            <v>46092</v>
          </cell>
          <cell r="O761">
            <v>46093</v>
          </cell>
          <cell r="P761">
            <v>108037900720</v>
          </cell>
          <cell r="Q761">
            <v>46091</v>
          </cell>
          <cell r="R761" t="str">
            <v>No inspection</v>
          </cell>
          <cell r="S761">
            <v>620.4</v>
          </cell>
          <cell r="T761" t="str">
            <v>EXW</v>
          </cell>
          <cell r="U761" t="str">
            <v>HLO</v>
          </cell>
        </row>
        <row r="762">
          <cell r="D762">
            <v>17</v>
          </cell>
          <cell r="F762">
            <v>399285023775</v>
          </cell>
          <cell r="G762" t="str">
            <v>ROSENBERGER HOCHFREQUENZTECHNIK</v>
          </cell>
          <cell r="H762" t="str">
            <v>Delivered</v>
          </cell>
          <cell r="I762" t="str">
            <v>CONN</v>
          </cell>
          <cell r="J762" t="str">
            <v>Fedex</v>
          </cell>
          <cell r="K762" t="str">
            <v>VVMV</v>
          </cell>
          <cell r="L762" t="str">
            <v>DE</v>
          </cell>
          <cell r="M762">
            <v>46085</v>
          </cell>
          <cell r="N762">
            <v>46093</v>
          </cell>
          <cell r="O762">
            <v>46093</v>
          </cell>
          <cell r="P762">
            <v>108041888250</v>
          </cell>
          <cell r="Q762">
            <v>46092</v>
          </cell>
          <cell r="R762" t="str">
            <v>No inspection</v>
          </cell>
          <cell r="S762">
            <v>1429.02</v>
          </cell>
          <cell r="T762" t="str">
            <v>CIF</v>
          </cell>
          <cell r="U762" t="str">
            <v>LUC</v>
          </cell>
        </row>
        <row r="763">
          <cell r="D763">
            <v>10</v>
          </cell>
          <cell r="F763">
            <v>399359495120</v>
          </cell>
          <cell r="G763" t="str">
            <v>O/B ANALOG DEVICES INTERNATIONAL UC
DHL SUPPLY CHAIN MGMT PHILS INC</v>
          </cell>
          <cell r="H763" t="str">
            <v>Delivered</v>
          </cell>
          <cell r="I763" t="str">
            <v>IC A, IC M</v>
          </cell>
          <cell r="J763" t="str">
            <v>Fedex</v>
          </cell>
          <cell r="K763" t="str">
            <v>VVMV</v>
          </cell>
          <cell r="L763" t="str">
            <v>PH</v>
          </cell>
          <cell r="M763">
            <v>46087</v>
          </cell>
          <cell r="N763">
            <v>46092</v>
          </cell>
          <cell r="O763">
            <v>46093</v>
          </cell>
          <cell r="P763">
            <v>108037770300</v>
          </cell>
          <cell r="Q763">
            <v>46091</v>
          </cell>
          <cell r="R763" t="str">
            <v>No inspection</v>
          </cell>
          <cell r="S763">
            <v>70440</v>
          </cell>
          <cell r="T763" t="str">
            <v>EXW</v>
          </cell>
          <cell r="U763" t="str">
            <v>LUC</v>
          </cell>
        </row>
        <row r="764">
          <cell r="D764">
            <v>1.5</v>
          </cell>
          <cell r="F764">
            <v>399360573886</v>
          </cell>
          <cell r="G764" t="str">
            <v>TEXAS INSTRUMENTS ASIA LIMITED
C/O KWE LOGISTICS (SHENZHEN)</v>
          </cell>
          <cell r="H764" t="str">
            <v>Delivered</v>
          </cell>
          <cell r="I764" t="str">
            <v>IC C, REGU, IC D, IC T, IC S</v>
          </cell>
          <cell r="J764" t="str">
            <v>Fedex</v>
          </cell>
          <cell r="K764" t="str">
            <v>VVMV</v>
          </cell>
          <cell r="L764" t="str">
            <v>CN</v>
          </cell>
          <cell r="M764">
            <v>46087</v>
          </cell>
          <cell r="N764">
            <v>46092</v>
          </cell>
          <cell r="O764">
            <v>46093</v>
          </cell>
          <cell r="P764">
            <v>108037946660</v>
          </cell>
          <cell r="Q764">
            <v>46091</v>
          </cell>
          <cell r="R764" t="str">
            <v>No inspection</v>
          </cell>
          <cell r="S764">
            <v>1267</v>
          </cell>
          <cell r="T764" t="str">
            <v>CIF</v>
          </cell>
          <cell r="U764" t="str">
            <v>EF-</v>
          </cell>
        </row>
        <row r="765">
          <cell r="D765">
            <v>1.5</v>
          </cell>
          <cell r="F765">
            <v>399319277761</v>
          </cell>
          <cell r="G765" t="str">
            <v>C/O KINTETSU WORLD EXPRESS
TEXAS INSTRUMENTS ASIA LIMITED</v>
          </cell>
          <cell r="H765" t="str">
            <v>Delivered</v>
          </cell>
          <cell r="I765" t="str">
            <v>IC I, IC V, IC R</v>
          </cell>
          <cell r="J765" t="str">
            <v>Fedex</v>
          </cell>
          <cell r="K765" t="str">
            <v>VVMV</v>
          </cell>
          <cell r="L765" t="str">
            <v>CN</v>
          </cell>
          <cell r="M765">
            <v>46086</v>
          </cell>
          <cell r="N765">
            <v>46092</v>
          </cell>
          <cell r="O765">
            <v>46093</v>
          </cell>
          <cell r="P765">
            <v>108037982950</v>
          </cell>
          <cell r="Q765">
            <v>46091</v>
          </cell>
          <cell r="R765" t="str">
            <v>No inspection</v>
          </cell>
          <cell r="S765">
            <v>2514</v>
          </cell>
          <cell r="T765" t="str">
            <v>EXW</v>
          </cell>
          <cell r="U765" t="str">
            <v>EF-</v>
          </cell>
        </row>
        <row r="766">
          <cell r="D766">
            <v>19.5</v>
          </cell>
          <cell r="F766">
            <v>399246871370</v>
          </cell>
          <cell r="G766" t="str">
            <v>C/O KINTETSU WORLD EXPRESS (CHINA)
TEXAS INSTRUMENTS ASIA LIMITED</v>
          </cell>
          <cell r="H766" t="str">
            <v>Delivered</v>
          </cell>
          <cell r="I766" t="str">
            <v>IC A, IC R, IC S, IC V, IC T, IC D</v>
          </cell>
          <cell r="J766" t="str">
            <v>Fedex</v>
          </cell>
          <cell r="K766" t="str">
            <v>VVMV</v>
          </cell>
          <cell r="L766" t="str">
            <v>CN</v>
          </cell>
          <cell r="M766">
            <v>46084</v>
          </cell>
          <cell r="N766">
            <v>46092</v>
          </cell>
          <cell r="O766">
            <v>46093</v>
          </cell>
          <cell r="P766">
            <v>108037945150</v>
          </cell>
          <cell r="Q766">
            <v>46091</v>
          </cell>
          <cell r="R766" t="str">
            <v>No inspection</v>
          </cell>
          <cell r="S766">
            <v>31455</v>
          </cell>
          <cell r="T766" t="str">
            <v>EXW</v>
          </cell>
          <cell r="U766" t="str">
            <v>LUC</v>
          </cell>
        </row>
        <row r="767">
          <cell r="D767">
            <v>3.5</v>
          </cell>
          <cell r="F767">
            <v>399363032940</v>
          </cell>
          <cell r="G767" t="str">
            <v>TEXAS INSTRUMENTS ASIA LIMITED
C/O KWE LOGISTICS (SHENZHEN)</v>
          </cell>
          <cell r="H767" t="str">
            <v>Delivered</v>
          </cell>
          <cell r="I767" t="str">
            <v>IC S</v>
          </cell>
          <cell r="J767" t="str">
            <v>Fedex</v>
          </cell>
          <cell r="K767" t="str">
            <v>VVMV</v>
          </cell>
          <cell r="L767" t="str">
            <v>CN</v>
          </cell>
          <cell r="M767">
            <v>46087</v>
          </cell>
          <cell r="N767">
            <v>46092</v>
          </cell>
          <cell r="O767">
            <v>46093</v>
          </cell>
          <cell r="P767">
            <v>108038106260</v>
          </cell>
          <cell r="Q767">
            <v>46091</v>
          </cell>
          <cell r="R767" t="str">
            <v>No inspection</v>
          </cell>
          <cell r="S767">
            <v>6930.42</v>
          </cell>
          <cell r="T767" t="str">
            <v>EXW</v>
          </cell>
          <cell r="U767" t="str">
            <v>PUR</v>
          </cell>
        </row>
        <row r="768">
          <cell r="D768">
            <v>11.5</v>
          </cell>
          <cell r="F768">
            <v>399331014626</v>
          </cell>
          <cell r="G768" t="str">
            <v>c/o DHL Supply Chain SGP P/L
Texas Instruments Southeast Asia Pt</v>
          </cell>
          <cell r="H768" t="str">
            <v>Delivered</v>
          </cell>
          <cell r="I768" t="str">
            <v>IC L, IC B, IC S</v>
          </cell>
          <cell r="J768" t="str">
            <v>Fedex</v>
          </cell>
          <cell r="K768" t="str">
            <v>VVMV</v>
          </cell>
          <cell r="L768" t="str">
            <v>SG</v>
          </cell>
          <cell r="M768">
            <v>46086</v>
          </cell>
          <cell r="N768">
            <v>46092</v>
          </cell>
          <cell r="O768">
            <v>46093</v>
          </cell>
          <cell r="P768">
            <v>108037830940</v>
          </cell>
          <cell r="Q768">
            <v>46091</v>
          </cell>
          <cell r="R768" t="str">
            <v>No inspection</v>
          </cell>
          <cell r="S768">
            <v>5219</v>
          </cell>
          <cell r="T768" t="str">
            <v>EXW</v>
          </cell>
          <cell r="U768" t="str">
            <v>LUC</v>
          </cell>
        </row>
        <row r="769">
          <cell r="D769">
            <v>10</v>
          </cell>
          <cell r="F769">
            <v>399321571121</v>
          </cell>
          <cell r="G769" t="str">
            <v>c/o DHL Supply Chain SGP P/L
Texas Instruments Southeast Asia Pt</v>
          </cell>
          <cell r="H769" t="str">
            <v>Delivered</v>
          </cell>
          <cell r="I769" t="str">
            <v>IC A, IC L, IC T</v>
          </cell>
          <cell r="J769" t="str">
            <v>Fedex</v>
          </cell>
          <cell r="K769" t="str">
            <v>VVMV</v>
          </cell>
          <cell r="L769" t="str">
            <v>SG</v>
          </cell>
          <cell r="M769">
            <v>46086</v>
          </cell>
          <cell r="N769">
            <v>46092</v>
          </cell>
          <cell r="O769">
            <v>46093</v>
          </cell>
          <cell r="P769">
            <v>108037985750</v>
          </cell>
          <cell r="Q769">
            <v>46091</v>
          </cell>
          <cell r="R769" t="str">
            <v>No inspection</v>
          </cell>
          <cell r="S769">
            <v>13848</v>
          </cell>
          <cell r="T769" t="str">
            <v>EXW</v>
          </cell>
          <cell r="U769" t="str">
            <v>LUC</v>
          </cell>
        </row>
        <row r="770">
          <cell r="D770">
            <v>5.5</v>
          </cell>
          <cell r="F770">
            <v>889272805531</v>
          </cell>
          <cell r="G770" t="str">
            <v>YUEN CHANG INTL CO., LTD</v>
          </cell>
          <cell r="H770" t="str">
            <v>Delivered</v>
          </cell>
          <cell r="I770" t="str">
            <v>WATE</v>
          </cell>
          <cell r="J770" t="str">
            <v>Fedex</v>
          </cell>
          <cell r="K770" t="str">
            <v>VVMV</v>
          </cell>
          <cell r="L770" t="str">
            <v>TW</v>
          </cell>
          <cell r="M770">
            <v>46085</v>
          </cell>
          <cell r="N770">
            <v>46092</v>
          </cell>
          <cell r="O770">
            <v>46093</v>
          </cell>
          <cell r="P770">
            <v>108038111160</v>
          </cell>
          <cell r="Q770">
            <v>46091</v>
          </cell>
          <cell r="R770" t="str">
            <v>No inspection</v>
          </cell>
          <cell r="S770">
            <v>3000</v>
          </cell>
          <cell r="T770" t="str">
            <v>EXW</v>
          </cell>
          <cell r="U770" t="str">
            <v>LUC</v>
          </cell>
        </row>
        <row r="771">
          <cell r="D771">
            <v>16</v>
          </cell>
          <cell r="F771">
            <v>494056010010</v>
          </cell>
          <cell r="G771" t="str">
            <v>NANYA TECHNOLOGY CORP.</v>
          </cell>
          <cell r="H771" t="str">
            <v>Delivered</v>
          </cell>
          <cell r="I771" t="str">
            <v xml:space="preserve">MEM </v>
          </cell>
          <cell r="J771" t="str">
            <v>Fedex</v>
          </cell>
          <cell r="K771" t="str">
            <v>VVMV</v>
          </cell>
          <cell r="L771" t="str">
            <v>TW</v>
          </cell>
          <cell r="M771">
            <v>46084</v>
          </cell>
          <cell r="N771">
            <v>46092</v>
          </cell>
          <cell r="O771">
            <v>46093</v>
          </cell>
          <cell r="P771">
            <v>108037462960</v>
          </cell>
          <cell r="Q771">
            <v>46091</v>
          </cell>
          <cell r="R771" t="str">
            <v>No inspection</v>
          </cell>
          <cell r="S771">
            <v>134200</v>
          </cell>
          <cell r="T771" t="str">
            <v>EXW</v>
          </cell>
          <cell r="U771" t="str">
            <v>PUR</v>
          </cell>
        </row>
        <row r="772">
          <cell r="D772">
            <v>9</v>
          </cell>
          <cell r="F772">
            <v>889308428710</v>
          </cell>
          <cell r="G772" t="str">
            <v>TING CHEN</v>
          </cell>
          <cell r="H772" t="str">
            <v>Delivered</v>
          </cell>
          <cell r="I772" t="str">
            <v>CONN</v>
          </cell>
          <cell r="J772" t="str">
            <v>Fedex</v>
          </cell>
          <cell r="K772" t="str">
            <v>VVMV</v>
          </cell>
          <cell r="L772" t="str">
            <v>TW</v>
          </cell>
          <cell r="M772">
            <v>46086</v>
          </cell>
          <cell r="N772">
            <v>46092</v>
          </cell>
          <cell r="O772">
            <v>46093</v>
          </cell>
          <cell r="P772">
            <v>108037907610</v>
          </cell>
          <cell r="Q772">
            <v>46091</v>
          </cell>
          <cell r="R772" t="str">
            <v>No inspection</v>
          </cell>
          <cell r="S772">
            <v>2226.1999999999998</v>
          </cell>
          <cell r="T772" t="str">
            <v>EXW</v>
          </cell>
          <cell r="U772" t="str">
            <v>AIC</v>
          </cell>
        </row>
        <row r="773">
          <cell r="D773">
            <v>10.9</v>
          </cell>
          <cell r="F773">
            <v>496268243085</v>
          </cell>
          <cell r="G773" t="str">
            <v>ARROW ELECTRONICS INC
C/O ARROW COMPONENTS (M) SDN BHD</v>
          </cell>
          <cell r="H773" t="str">
            <v>Delivered</v>
          </cell>
          <cell r="I773" t="str">
            <v xml:space="preserve">RES </v>
          </cell>
          <cell r="J773" t="str">
            <v>Fedex</v>
          </cell>
          <cell r="K773" t="str">
            <v>VVMV</v>
          </cell>
          <cell r="L773" t="str">
            <v>MY</v>
          </cell>
          <cell r="M773">
            <v>46065</v>
          </cell>
          <cell r="N773">
            <v>46092</v>
          </cell>
          <cell r="O773">
            <v>46093</v>
          </cell>
          <cell r="P773">
            <v>108037657450</v>
          </cell>
          <cell r="Q773">
            <v>46091</v>
          </cell>
          <cell r="R773" t="str">
            <v>No inspection</v>
          </cell>
          <cell r="S773">
            <v>5550</v>
          </cell>
          <cell r="T773" t="str">
            <v>CIF</v>
          </cell>
          <cell r="U773" t="str">
            <v>LUC</v>
          </cell>
        </row>
        <row r="774">
          <cell r="D774">
            <v>274.39999999999998</v>
          </cell>
          <cell r="F774">
            <v>3377020850</v>
          </cell>
          <cell r="G774" t="str">
            <v>AVNET - CHANDLER</v>
          </cell>
          <cell r="H774" t="str">
            <v>Delivered</v>
          </cell>
          <cell r="I774" t="str">
            <v>TRAN, DIOD, RES , CAP , IC I, IC P, IC L, IND , IC S, IC M, IC B, CRYS, FERR, SHEI, IC H</v>
          </cell>
          <cell r="J774" t="str">
            <v>DHL</v>
          </cell>
          <cell r="K774" t="str">
            <v>VVMV</v>
          </cell>
          <cell r="L774" t="str">
            <v>US</v>
          </cell>
          <cell r="M774">
            <v>46087</v>
          </cell>
          <cell r="N774">
            <v>46097</v>
          </cell>
          <cell r="O774">
            <v>46097</v>
          </cell>
          <cell r="P774" t="str">
            <v>108047708310  108047713210  108047715530</v>
          </cell>
          <cell r="Q774">
            <v>46094</v>
          </cell>
          <cell r="R774" t="str">
            <v>No inspection</v>
          </cell>
          <cell r="S774">
            <v>359039.16</v>
          </cell>
          <cell r="T774" t="str">
            <v>CIF</v>
          </cell>
          <cell r="U774" t="str">
            <v>LUC</v>
          </cell>
        </row>
        <row r="775">
          <cell r="D775">
            <v>261.48</v>
          </cell>
          <cell r="F775" t="str">
            <v>MNN/HPH/01093</v>
          </cell>
          <cell r="G775" t="str">
            <v>Readore MFG Phils Corp</v>
          </cell>
          <cell r="H775" t="str">
            <v>Delivered</v>
          </cell>
          <cell r="I775" t="str">
            <v>HEAT</v>
          </cell>
          <cell r="J775" t="str">
            <v>Dolphin(sea)</v>
          </cell>
          <cell r="K775" t="str">
            <v>Dolphin</v>
          </cell>
          <cell r="L775" t="str">
            <v>PH</v>
          </cell>
          <cell r="M775">
            <v>46085</v>
          </cell>
          <cell r="N775">
            <v>46094</v>
          </cell>
          <cell r="O775">
            <v>46094</v>
          </cell>
          <cell r="P775">
            <v>108041271550</v>
          </cell>
          <cell r="Q775">
            <v>46092</v>
          </cell>
          <cell r="R775" t="str">
            <v>No inspection</v>
          </cell>
          <cell r="S775">
            <v>23928.862000000001</v>
          </cell>
          <cell r="T775" t="str">
            <v>FOB</v>
          </cell>
          <cell r="U775" t="str">
            <v>PUR</v>
          </cell>
        </row>
        <row r="776">
          <cell r="D776">
            <v>1</v>
          </cell>
          <cell r="F776">
            <v>399462528547</v>
          </cell>
          <cell r="G776" t="str">
            <v>C/O DHL Supply Chain Mgnt Phils                                                                                            Analog Devices Gen. Trias, Inc.</v>
          </cell>
          <cell r="H776" t="str">
            <v>Delivered</v>
          </cell>
          <cell r="I776" t="str">
            <v>IC M</v>
          </cell>
          <cell r="J776" t="str">
            <v>Fedex</v>
          </cell>
          <cell r="K776" t="str">
            <v>VVMV</v>
          </cell>
          <cell r="L776" t="str">
            <v>PH</v>
          </cell>
          <cell r="M776">
            <v>46091</v>
          </cell>
          <cell r="N776">
            <v>46093</v>
          </cell>
          <cell r="O776">
            <v>46093</v>
          </cell>
          <cell r="P776">
            <v>108041227120</v>
          </cell>
          <cell r="Q776">
            <v>46092</v>
          </cell>
          <cell r="R776" t="str">
            <v>No inspection</v>
          </cell>
          <cell r="S776">
            <v>2750</v>
          </cell>
          <cell r="T776" t="str">
            <v>EXW</v>
          </cell>
          <cell r="U776" t="str">
            <v>LUC</v>
          </cell>
        </row>
        <row r="777">
          <cell r="D777">
            <v>0.5</v>
          </cell>
          <cell r="F777">
            <v>399168688339</v>
          </cell>
          <cell r="G777" t="str">
            <v>TI AMERICAS REGIONAL PDC
TEXAS INSTRUMENTS INC</v>
          </cell>
          <cell r="H777" t="str">
            <v>Delivered</v>
          </cell>
          <cell r="I777" t="str">
            <v>DIOD</v>
          </cell>
          <cell r="J777" t="str">
            <v>Fedex</v>
          </cell>
          <cell r="K777" t="str">
            <v>VVMV</v>
          </cell>
          <cell r="L777" t="str">
            <v>US</v>
          </cell>
          <cell r="M777">
            <v>46083</v>
          </cell>
          <cell r="N777">
            <v>46093</v>
          </cell>
          <cell r="O777">
            <v>46093</v>
          </cell>
          <cell r="P777">
            <v>108041806460</v>
          </cell>
          <cell r="Q777">
            <v>46092</v>
          </cell>
          <cell r="R777" t="str">
            <v>No inspection</v>
          </cell>
          <cell r="S777">
            <v>50</v>
          </cell>
          <cell r="T777" t="str">
            <v>CIF</v>
          </cell>
          <cell r="U777" t="str">
            <v>LUC</v>
          </cell>
        </row>
        <row r="778">
          <cell r="D778">
            <v>3</v>
          </cell>
          <cell r="F778">
            <v>512580956554</v>
          </cell>
          <cell r="G778" t="str">
            <v>WPG SOUTH ASIA PTE LTD</v>
          </cell>
          <cell r="H778" t="str">
            <v>Delivered</v>
          </cell>
          <cell r="I778" t="str">
            <v>TRAN, IC C</v>
          </cell>
          <cell r="J778" t="str">
            <v>Fedex</v>
          </cell>
          <cell r="K778" t="str">
            <v>VVMV</v>
          </cell>
          <cell r="L778" t="str">
            <v>SG</v>
          </cell>
          <cell r="M778">
            <v>46090</v>
          </cell>
          <cell r="N778">
            <v>46093</v>
          </cell>
          <cell r="O778">
            <v>46093</v>
          </cell>
          <cell r="P778">
            <v>108041093750</v>
          </cell>
          <cell r="Q778">
            <v>46092</v>
          </cell>
          <cell r="R778" t="str">
            <v>No inspection</v>
          </cell>
          <cell r="S778">
            <v>7747.3</v>
          </cell>
          <cell r="T778" t="str">
            <v>EXW</v>
          </cell>
          <cell r="U778" t="str">
            <v>LUC</v>
          </cell>
        </row>
        <row r="779">
          <cell r="D779">
            <v>4</v>
          </cell>
          <cell r="F779">
            <v>493602820104</v>
          </cell>
          <cell r="G779" t="str">
            <v>VENKEL LTD</v>
          </cell>
          <cell r="H779" t="str">
            <v>Delivered</v>
          </cell>
          <cell r="I779" t="str">
            <v xml:space="preserve">CAP , RES </v>
          </cell>
          <cell r="J779" t="str">
            <v>Fedex</v>
          </cell>
          <cell r="K779" t="str">
            <v>VVMV</v>
          </cell>
          <cell r="L779" t="str">
            <v>US</v>
          </cell>
          <cell r="M779">
            <v>46083</v>
          </cell>
          <cell r="N779">
            <v>46093</v>
          </cell>
          <cell r="O779">
            <v>46094</v>
          </cell>
          <cell r="P779">
            <v>108041821640</v>
          </cell>
          <cell r="Q779">
            <v>46092</v>
          </cell>
          <cell r="R779" t="str">
            <v>No inspection</v>
          </cell>
          <cell r="S779">
            <v>984.78</v>
          </cell>
          <cell r="T779" t="str">
            <v>CIF</v>
          </cell>
          <cell r="U779" t="str">
            <v>EF-</v>
          </cell>
        </row>
        <row r="780">
          <cell r="D780">
            <v>2</v>
          </cell>
          <cell r="F780">
            <v>119209692685</v>
          </cell>
          <cell r="G780" t="str">
            <v>FUTURE ELECTRONICS FICE</v>
          </cell>
          <cell r="H780" t="str">
            <v>Delivered</v>
          </cell>
          <cell r="I780" t="str">
            <v>IC S</v>
          </cell>
          <cell r="J780" t="str">
            <v>Fedex</v>
          </cell>
          <cell r="K780" t="str">
            <v>VVMV</v>
          </cell>
          <cell r="L780" t="str">
            <v>US</v>
          </cell>
          <cell r="M780">
            <v>46087</v>
          </cell>
          <cell r="N780">
            <v>46093</v>
          </cell>
          <cell r="O780">
            <v>46093</v>
          </cell>
          <cell r="P780">
            <v>108041025740</v>
          </cell>
          <cell r="Q780">
            <v>46092</v>
          </cell>
          <cell r="R780" t="str">
            <v>No inspection</v>
          </cell>
          <cell r="S780">
            <v>2880</v>
          </cell>
          <cell r="T780" t="str">
            <v>CIF</v>
          </cell>
          <cell r="U780" t="str">
            <v>PUR</v>
          </cell>
        </row>
        <row r="781">
          <cell r="D781">
            <v>0.5</v>
          </cell>
          <cell r="F781">
            <v>678845983333</v>
          </cell>
          <cell r="G781" t="str">
            <v>CHIP ONE STOP, INC</v>
          </cell>
          <cell r="H781" t="str">
            <v>Delivered</v>
          </cell>
          <cell r="I781" t="str">
            <v>FERR</v>
          </cell>
          <cell r="J781" t="str">
            <v>Fedex</v>
          </cell>
          <cell r="K781" t="str">
            <v>VVMV</v>
          </cell>
          <cell r="L781" t="str">
            <v>JP</v>
          </cell>
          <cell r="M781">
            <v>46090</v>
          </cell>
          <cell r="N781">
            <v>46093</v>
          </cell>
          <cell r="O781">
            <v>46093</v>
          </cell>
          <cell r="P781">
            <v>108041637430</v>
          </cell>
          <cell r="Q781">
            <v>46092</v>
          </cell>
          <cell r="R781" t="str">
            <v>No inspection</v>
          </cell>
          <cell r="S781">
            <v>570.6</v>
          </cell>
          <cell r="T781" t="str">
            <v>EXW</v>
          </cell>
          <cell r="U781" t="str">
            <v>EF-</v>
          </cell>
        </row>
        <row r="782">
          <cell r="D782">
            <v>29.5</v>
          </cell>
          <cell r="F782">
            <v>889403930894</v>
          </cell>
          <cell r="G782" t="str">
            <v>SUNLORD ELECTRONICS TECHNOLOGY PTE</v>
          </cell>
          <cell r="H782" t="str">
            <v>Delivered</v>
          </cell>
          <cell r="I782" t="str">
            <v xml:space="preserve">CAP , RES </v>
          </cell>
          <cell r="J782" t="str">
            <v>Fedex</v>
          </cell>
          <cell r="K782" t="str">
            <v>VVMV</v>
          </cell>
          <cell r="L782" t="str">
            <v>HK</v>
          </cell>
          <cell r="M782">
            <v>46090</v>
          </cell>
          <cell r="N782">
            <v>46093</v>
          </cell>
          <cell r="O782">
            <v>46093</v>
          </cell>
          <cell r="P782">
            <v>108041838440</v>
          </cell>
          <cell r="Q782">
            <v>46092</v>
          </cell>
          <cell r="R782" t="str">
            <v>No inspection</v>
          </cell>
          <cell r="S782">
            <v>4667.05</v>
          </cell>
          <cell r="T782" t="str">
            <v>EXW</v>
          </cell>
          <cell r="U782" t="str">
            <v>PUR</v>
          </cell>
        </row>
        <row r="783">
          <cell r="D783">
            <v>20</v>
          </cell>
          <cell r="F783">
            <v>481663283523</v>
          </cell>
          <cell r="G783" t="str">
            <v>AMPHENOL EAST ASIA LTD</v>
          </cell>
          <cell r="H783" t="str">
            <v>Delivered</v>
          </cell>
          <cell r="I783" t="str">
            <v>CONN</v>
          </cell>
          <cell r="J783" t="str">
            <v>Fedex</v>
          </cell>
          <cell r="K783" t="str">
            <v>VVMV</v>
          </cell>
          <cell r="L783" t="str">
            <v>HK</v>
          </cell>
          <cell r="M783">
            <v>46090</v>
          </cell>
          <cell r="N783">
            <v>46093</v>
          </cell>
          <cell r="O783">
            <v>46094</v>
          </cell>
          <cell r="P783">
            <v>108041085130</v>
          </cell>
          <cell r="Q783">
            <v>46092</v>
          </cell>
          <cell r="R783" t="str">
            <v>No inspection</v>
          </cell>
          <cell r="S783">
            <v>10752</v>
          </cell>
          <cell r="T783" t="str">
            <v>EXW</v>
          </cell>
          <cell r="U783" t="str">
            <v>PUR</v>
          </cell>
        </row>
        <row r="784">
          <cell r="D784">
            <v>1.5</v>
          </cell>
          <cell r="F784">
            <v>399361392378</v>
          </cell>
          <cell r="G784" t="str">
            <v>c/o DHL Supply Chain SGP P/L
Texas Instruments Southeast Asia Pt</v>
          </cell>
          <cell r="H784" t="str">
            <v>Delivered</v>
          </cell>
          <cell r="I784" t="str">
            <v>IC T</v>
          </cell>
          <cell r="J784" t="str">
            <v>Fedex</v>
          </cell>
          <cell r="K784" t="str">
            <v>VVMV</v>
          </cell>
          <cell r="L784" t="str">
            <v>SG</v>
          </cell>
          <cell r="M784">
            <v>46087</v>
          </cell>
          <cell r="N784">
            <v>46093</v>
          </cell>
          <cell r="O784">
            <v>46094</v>
          </cell>
          <cell r="P784">
            <v>108041831700</v>
          </cell>
          <cell r="Q784">
            <v>46092</v>
          </cell>
          <cell r="R784" t="str">
            <v>No inspection</v>
          </cell>
          <cell r="S784">
            <v>4410</v>
          </cell>
          <cell r="T784" t="str">
            <v>EXW</v>
          </cell>
          <cell r="U784" t="str">
            <v>PUR</v>
          </cell>
        </row>
        <row r="785">
          <cell r="D785">
            <v>12</v>
          </cell>
          <cell r="F785">
            <v>399377583654</v>
          </cell>
          <cell r="G785" t="str">
            <v>c/o DHL Supply Chain SGP P/L
Texas Instruments Southeast Asia Pt</v>
          </cell>
          <cell r="H785" t="str">
            <v>Delivered</v>
          </cell>
          <cell r="I785" t="str">
            <v>IC T, IC L, IC P</v>
          </cell>
          <cell r="J785" t="str">
            <v>Fedex</v>
          </cell>
          <cell r="K785" t="str">
            <v>VVMV</v>
          </cell>
          <cell r="L785" t="str">
            <v>SG</v>
          </cell>
          <cell r="M785">
            <v>46088</v>
          </cell>
          <cell r="N785">
            <v>46093</v>
          </cell>
          <cell r="O785">
            <v>46093</v>
          </cell>
          <cell r="P785">
            <v>108041464900</v>
          </cell>
          <cell r="Q785">
            <v>46092</v>
          </cell>
          <cell r="R785" t="str">
            <v>No inspection</v>
          </cell>
          <cell r="S785">
            <v>7287.3</v>
          </cell>
          <cell r="T785" t="str">
            <v>EXW</v>
          </cell>
          <cell r="U785" t="str">
            <v>PUR</v>
          </cell>
        </row>
        <row r="786">
          <cell r="D786">
            <v>1.5</v>
          </cell>
          <cell r="F786">
            <v>515819723842</v>
          </cell>
          <cell r="G786" t="str">
            <v>Micron Memory Malaysia Sdn. Bh</v>
          </cell>
          <cell r="H786" t="str">
            <v>Delivered</v>
          </cell>
          <cell r="I786" t="str">
            <v xml:space="preserve">MEM </v>
          </cell>
          <cell r="J786" t="str">
            <v>Fedex</v>
          </cell>
          <cell r="K786" t="str">
            <v>VVMV</v>
          </cell>
          <cell r="L786" t="str">
            <v>MY</v>
          </cell>
          <cell r="M786">
            <v>46091</v>
          </cell>
          <cell r="N786">
            <v>46093</v>
          </cell>
          <cell r="O786">
            <v>46093</v>
          </cell>
          <cell r="P786">
            <v>108041172410</v>
          </cell>
          <cell r="Q786">
            <v>46092</v>
          </cell>
          <cell r="R786" t="str">
            <v>No inspection</v>
          </cell>
          <cell r="S786">
            <v>53604</v>
          </cell>
          <cell r="T786" t="str">
            <v>CIF</v>
          </cell>
          <cell r="U786" t="str">
            <v>PUR</v>
          </cell>
        </row>
        <row r="787">
          <cell r="D787">
            <v>2.7</v>
          </cell>
          <cell r="F787">
            <v>5973743543</v>
          </cell>
          <cell r="G787" t="str">
            <v>FUTURE ELECTRONICS (ADC)</v>
          </cell>
          <cell r="H787" t="str">
            <v>Delivered</v>
          </cell>
          <cell r="I787" t="str">
            <v xml:space="preserve">LED </v>
          </cell>
          <cell r="J787" t="str">
            <v>DHL</v>
          </cell>
          <cell r="K787" t="str">
            <v>VVMV</v>
          </cell>
          <cell r="L787" t="str">
            <v>SG</v>
          </cell>
          <cell r="M787">
            <v>46090</v>
          </cell>
          <cell r="N787">
            <v>46093</v>
          </cell>
          <cell r="O787">
            <v>46093</v>
          </cell>
          <cell r="P787">
            <v>108041270300</v>
          </cell>
          <cell r="Q787">
            <v>46092</v>
          </cell>
          <cell r="R787" t="str">
            <v>No inspection</v>
          </cell>
          <cell r="S787">
            <v>812</v>
          </cell>
          <cell r="T787" t="str">
            <v>CIF</v>
          </cell>
          <cell r="U787" t="str">
            <v>PUR</v>
          </cell>
        </row>
        <row r="788">
          <cell r="D788">
            <v>1407.09</v>
          </cell>
          <cell r="F788" t="str">
            <v>PSHPH2630019</v>
          </cell>
          <cell r="G788" t="str">
            <v>COMPEQ MANUFACTURING CO., LTD</v>
          </cell>
          <cell r="H788" t="str">
            <v>Delivered</v>
          </cell>
          <cell r="I788" t="str">
            <v xml:space="preserve">PCB </v>
          </cell>
          <cell r="J788" t="str">
            <v>VVMV(sea)</v>
          </cell>
          <cell r="K788" t="str">
            <v>VVMV</v>
          </cell>
          <cell r="L788" t="str">
            <v>TW</v>
          </cell>
          <cell r="M788">
            <v>46089</v>
          </cell>
          <cell r="N788">
            <v>46094</v>
          </cell>
          <cell r="O788">
            <v>46094</v>
          </cell>
          <cell r="P788">
            <v>108042921600</v>
          </cell>
          <cell r="Q788">
            <v>46093</v>
          </cell>
          <cell r="R788" t="str">
            <v>No inspection</v>
          </cell>
          <cell r="S788">
            <v>212852.27</v>
          </cell>
          <cell r="T788" t="str">
            <v>FOB</v>
          </cell>
          <cell r="U788" t="str">
            <v>PUR</v>
          </cell>
        </row>
        <row r="789">
          <cell r="D789">
            <v>578.9</v>
          </cell>
          <cell r="F789" t="str">
            <v>HWHPH2600978</v>
          </cell>
          <cell r="G789" t="str">
            <v>SUZHOU PIN SHINE TECHNOLOGY CO</v>
          </cell>
          <cell r="H789" t="str">
            <v>Delivered</v>
          </cell>
          <cell r="I789" t="str">
            <v>CONN</v>
          </cell>
          <cell r="J789" t="str">
            <v>VVMV(sea)</v>
          </cell>
          <cell r="K789" t="str">
            <v>VVMV</v>
          </cell>
          <cell r="L789" t="str">
            <v>CN</v>
          </cell>
          <cell r="M789">
            <v>46089</v>
          </cell>
          <cell r="N789">
            <v>46097</v>
          </cell>
          <cell r="O789">
            <v>46097</v>
          </cell>
          <cell r="P789">
            <v>108048658650</v>
          </cell>
          <cell r="Q789">
            <v>46094</v>
          </cell>
          <cell r="R789" t="str">
            <v>No inspection</v>
          </cell>
          <cell r="S789">
            <v>20024.599999999999</v>
          </cell>
          <cell r="T789" t="str">
            <v>FCA</v>
          </cell>
          <cell r="U789" t="str">
            <v>LUC</v>
          </cell>
        </row>
        <row r="790">
          <cell r="D790">
            <v>827</v>
          </cell>
          <cell r="F790" t="str">
            <v>LNBHPH260947</v>
          </cell>
          <cell r="G790" t="str">
            <v>ENNOVI ADVANCED MOBILITY SOLUTIONS HANGZHOU CO., LTD.</v>
          </cell>
          <cell r="H790" t="str">
            <v>Delivered</v>
          </cell>
          <cell r="I790" t="str">
            <v>ENCL</v>
          </cell>
          <cell r="J790" t="str">
            <v>VVMV(sea)</v>
          </cell>
          <cell r="K790" t="str">
            <v>VVMV</v>
          </cell>
          <cell r="L790" t="str">
            <v>CN</v>
          </cell>
          <cell r="M790">
            <v>46088</v>
          </cell>
          <cell r="N790">
            <v>46097</v>
          </cell>
          <cell r="O790">
            <v>46097</v>
          </cell>
          <cell r="P790">
            <v>108049178160</v>
          </cell>
          <cell r="Q790">
            <v>46094</v>
          </cell>
          <cell r="R790" t="str">
            <v>No inspection</v>
          </cell>
          <cell r="S790">
            <v>13146</v>
          </cell>
          <cell r="T790" t="str">
            <v>EXW</v>
          </cell>
          <cell r="U790" t="str">
            <v>LUC</v>
          </cell>
        </row>
        <row r="791">
          <cell r="D791">
            <v>0.5</v>
          </cell>
          <cell r="F791">
            <v>489101254478</v>
          </cell>
          <cell r="G791" t="str">
            <v>ARROW GERMANY C/O Arrow Central Europe</v>
          </cell>
          <cell r="H791" t="str">
            <v>Delivered</v>
          </cell>
          <cell r="I791" t="str">
            <v xml:space="preserve">CAP </v>
          </cell>
          <cell r="J791" t="str">
            <v>Fedex</v>
          </cell>
          <cell r="K791" t="str">
            <v>VVMV</v>
          </cell>
          <cell r="L791" t="str">
            <v>NL</v>
          </cell>
          <cell r="M791">
            <v>46087</v>
          </cell>
          <cell r="N791">
            <v>46094</v>
          </cell>
          <cell r="O791">
            <v>46094</v>
          </cell>
          <cell r="P791">
            <v>108045718800</v>
          </cell>
          <cell r="Q791">
            <v>46093</v>
          </cell>
          <cell r="R791" t="str">
            <v>No inspection</v>
          </cell>
          <cell r="S791">
            <v>585</v>
          </cell>
          <cell r="T791" t="str">
            <v>CIF</v>
          </cell>
          <cell r="U791">
            <v>122</v>
          </cell>
        </row>
        <row r="792">
          <cell r="D792">
            <v>83.4</v>
          </cell>
          <cell r="F792">
            <v>494686566725</v>
          </cell>
          <cell r="G792" t="str">
            <v>DONGGUANG COFAN ELECTRONIC TECHNOLO</v>
          </cell>
          <cell r="H792" t="str">
            <v>Delivered</v>
          </cell>
          <cell r="I792" t="str">
            <v>COOL</v>
          </cell>
          <cell r="J792" t="str">
            <v>Fedex</v>
          </cell>
          <cell r="K792" t="str">
            <v>VVMV</v>
          </cell>
          <cell r="L792" t="str">
            <v>CN</v>
          </cell>
          <cell r="M792">
            <v>46091</v>
          </cell>
          <cell r="N792">
            <v>46094</v>
          </cell>
          <cell r="O792">
            <v>46094</v>
          </cell>
          <cell r="P792">
            <v>108045567230</v>
          </cell>
          <cell r="Q792">
            <v>46093</v>
          </cell>
          <cell r="R792" t="str">
            <v>No inspection</v>
          </cell>
          <cell r="S792">
            <v>20377.5</v>
          </cell>
          <cell r="T792" t="str">
            <v>EXW</v>
          </cell>
          <cell r="U792" t="str">
            <v>EF-</v>
          </cell>
        </row>
        <row r="793">
          <cell r="D793">
            <v>1.5</v>
          </cell>
          <cell r="F793">
            <v>399403089958</v>
          </cell>
          <cell r="G793" t="str">
            <v>C/O KINTETSU WORLD EXPRESS
TEXAS INSTRUMENTS ASIA LIMITED</v>
          </cell>
          <cell r="H793" t="str">
            <v>Delivered</v>
          </cell>
          <cell r="I793" t="str">
            <v>IC S</v>
          </cell>
          <cell r="J793" t="str">
            <v>Fedex</v>
          </cell>
          <cell r="K793" t="str">
            <v>VVMV</v>
          </cell>
          <cell r="L793" t="str">
            <v>CN</v>
          </cell>
          <cell r="M793">
            <v>46090</v>
          </cell>
          <cell r="N793">
            <v>46094</v>
          </cell>
          <cell r="O793">
            <v>46094</v>
          </cell>
          <cell r="P793">
            <v>108045319060</v>
          </cell>
          <cell r="Q793">
            <v>46093</v>
          </cell>
          <cell r="R793" t="str">
            <v>No inspection</v>
          </cell>
          <cell r="S793">
            <v>990</v>
          </cell>
          <cell r="T793" t="str">
            <v>EXW</v>
          </cell>
          <cell r="U793" t="str">
            <v>PUR</v>
          </cell>
        </row>
        <row r="794">
          <cell r="D794">
            <v>0.5</v>
          </cell>
          <cell r="F794">
            <v>678845983653</v>
          </cell>
          <cell r="G794" t="str">
            <v>CHIP ONE STOP, INC</v>
          </cell>
          <cell r="H794" t="str">
            <v>Delivered</v>
          </cell>
          <cell r="I794" t="str">
            <v xml:space="preserve">CAP , RES </v>
          </cell>
          <cell r="J794" t="str">
            <v>Fedex</v>
          </cell>
          <cell r="K794" t="str">
            <v>VVMV</v>
          </cell>
          <cell r="L794" t="str">
            <v>JP</v>
          </cell>
          <cell r="M794">
            <v>46091</v>
          </cell>
          <cell r="N794">
            <v>46094</v>
          </cell>
          <cell r="O794">
            <v>46094</v>
          </cell>
          <cell r="P794">
            <v>108045394220</v>
          </cell>
          <cell r="Q794">
            <v>46093</v>
          </cell>
          <cell r="R794" t="str">
            <v>No inspection</v>
          </cell>
          <cell r="S794">
            <v>16.7</v>
          </cell>
          <cell r="T794" t="str">
            <v>EXW</v>
          </cell>
          <cell r="U794">
            <v>122</v>
          </cell>
        </row>
        <row r="795">
          <cell r="D795">
            <v>14.5</v>
          </cell>
          <cell r="F795">
            <v>510007312619</v>
          </cell>
          <cell r="G795" t="str">
            <v>SINO FAITH TECHNOLOGY  DVPT LTD</v>
          </cell>
          <cell r="H795" t="str">
            <v>Delivered</v>
          </cell>
          <cell r="I795" t="str">
            <v>RES , CAP , FERR</v>
          </cell>
          <cell r="J795" t="str">
            <v>Fedex</v>
          </cell>
          <cell r="K795" t="str">
            <v>VVMV</v>
          </cell>
          <cell r="L795" t="str">
            <v>HK</v>
          </cell>
          <cell r="M795">
            <v>46091</v>
          </cell>
          <cell r="N795">
            <v>46094</v>
          </cell>
          <cell r="O795">
            <v>46094</v>
          </cell>
          <cell r="P795">
            <v>108044807950</v>
          </cell>
          <cell r="Q795">
            <v>46093</v>
          </cell>
          <cell r="R795" t="str">
            <v>No inspection</v>
          </cell>
          <cell r="S795">
            <v>2366.3000000000002</v>
          </cell>
          <cell r="T795" t="str">
            <v>EXW</v>
          </cell>
          <cell r="U795">
            <v>121</v>
          </cell>
        </row>
        <row r="796">
          <cell r="D796">
            <v>2.6</v>
          </cell>
          <cell r="F796">
            <v>6486635610</v>
          </cell>
          <cell r="G796" t="str">
            <v>TTI INC</v>
          </cell>
          <cell r="H796" t="str">
            <v>Delivered</v>
          </cell>
          <cell r="I796" t="str">
            <v xml:space="preserve">FERR, CAP , RES </v>
          </cell>
          <cell r="J796" t="str">
            <v>DHL</v>
          </cell>
          <cell r="K796" t="str">
            <v>VVMV</v>
          </cell>
          <cell r="L796" t="str">
            <v>US</v>
          </cell>
          <cell r="M796">
            <v>46092</v>
          </cell>
          <cell r="N796">
            <v>46097</v>
          </cell>
          <cell r="O796">
            <v>46097</v>
          </cell>
          <cell r="P796">
            <v>108052412900</v>
          </cell>
          <cell r="Q796">
            <v>46097</v>
          </cell>
          <cell r="R796" t="str">
            <v>No inspection</v>
          </cell>
          <cell r="S796">
            <v>1150.3499999999999</v>
          </cell>
          <cell r="T796" t="str">
            <v>CIF</v>
          </cell>
          <cell r="U796" t="str">
            <v>PUR</v>
          </cell>
        </row>
        <row r="797">
          <cell r="D797">
            <v>3525.94</v>
          </cell>
          <cell r="F797" t="str">
            <v>BHJSH0091880</v>
          </cell>
          <cell r="G797" t="str">
            <v>Kunshan Eson Precision Engineering Co.,Ltd.</v>
          </cell>
          <cell r="H797" t="str">
            <v>Delivered</v>
          </cell>
          <cell r="I797" t="str">
            <v xml:space="preserve">BOTT, TOP </v>
          </cell>
          <cell r="J797" t="str">
            <v>Dolphin(sea)</v>
          </cell>
          <cell r="K797" t="str">
            <v>Dolphin</v>
          </cell>
          <cell r="L797" t="str">
            <v>CN</v>
          </cell>
          <cell r="M797">
            <v>46089</v>
          </cell>
          <cell r="N797">
            <v>46097</v>
          </cell>
          <cell r="O797">
            <v>46098</v>
          </cell>
          <cell r="P797">
            <v>108050051100</v>
          </cell>
          <cell r="Q797">
            <v>46095</v>
          </cell>
          <cell r="R797" t="str">
            <v>No inspection</v>
          </cell>
          <cell r="S797">
            <v>55253.279999999999</v>
          </cell>
          <cell r="T797" t="str">
            <v>EXW</v>
          </cell>
          <cell r="U797" t="str">
            <v>LUC</v>
          </cell>
        </row>
        <row r="798">
          <cell r="D798">
            <v>355</v>
          </cell>
          <cell r="F798">
            <v>889452193781</v>
          </cell>
          <cell r="G798" t="str">
            <v>RACER TECHNOLOGY PTE, LTD</v>
          </cell>
          <cell r="H798" t="str">
            <v>Delivered</v>
          </cell>
          <cell r="I798" t="str">
            <v>ENCL</v>
          </cell>
          <cell r="J798" t="str">
            <v>Fedex</v>
          </cell>
          <cell r="K798" t="str">
            <v>VVMV</v>
          </cell>
          <cell r="L798" t="str">
            <v>SG</v>
          </cell>
          <cell r="M798">
            <v>46091</v>
          </cell>
          <cell r="N798">
            <v>46099</v>
          </cell>
          <cell r="O798">
            <v>46099</v>
          </cell>
          <cell r="P798">
            <v>108060116620</v>
          </cell>
          <cell r="Q798">
            <v>46098</v>
          </cell>
          <cell r="R798" t="str">
            <v>No inspection</v>
          </cell>
          <cell r="S798">
            <v>2280</v>
          </cell>
          <cell r="T798" t="str">
            <v>EXW</v>
          </cell>
          <cell r="U798" t="str">
            <v>EF-</v>
          </cell>
        </row>
        <row r="799">
          <cell r="D799">
            <v>20.5</v>
          </cell>
          <cell r="F799">
            <v>889458358213</v>
          </cell>
          <cell r="G799" t="str">
            <v>WT MICROELECTRONICS SPORE P/L</v>
          </cell>
          <cell r="H799" t="str">
            <v>Delivered</v>
          </cell>
          <cell r="I799" t="str">
            <v xml:space="preserve">TRAN, CAP , RES </v>
          </cell>
          <cell r="J799" t="str">
            <v>Fedex</v>
          </cell>
          <cell r="K799" t="str">
            <v>VVMV</v>
          </cell>
          <cell r="L799" t="str">
            <v>SG</v>
          </cell>
          <cell r="M799">
            <v>46091</v>
          </cell>
          <cell r="N799">
            <v>46099</v>
          </cell>
          <cell r="O799">
            <v>46099</v>
          </cell>
          <cell r="P799">
            <v>108060343900</v>
          </cell>
          <cell r="Q799">
            <v>46098</v>
          </cell>
          <cell r="R799" t="str">
            <v>No inspection</v>
          </cell>
          <cell r="S799">
            <v>29153</v>
          </cell>
          <cell r="T799" t="str">
            <v>EXW</v>
          </cell>
          <cell r="U799" t="str">
            <v>LUC</v>
          </cell>
        </row>
        <row r="800">
          <cell r="D800">
            <v>7</v>
          </cell>
          <cell r="F800">
            <v>493602821615</v>
          </cell>
          <cell r="G800" t="str">
            <v>VENKEL LTD</v>
          </cell>
          <cell r="H800" t="str">
            <v>Delivered</v>
          </cell>
          <cell r="I800" t="str">
            <v xml:space="preserve">CAP </v>
          </cell>
          <cell r="J800" t="str">
            <v>Fedex</v>
          </cell>
          <cell r="K800" t="str">
            <v>VVMV</v>
          </cell>
          <cell r="L800" t="str">
            <v>US</v>
          </cell>
          <cell r="M800">
            <v>46090</v>
          </cell>
          <cell r="N800">
            <v>46097</v>
          </cell>
          <cell r="O800">
            <v>46097</v>
          </cell>
          <cell r="P800">
            <v>108048330130</v>
          </cell>
          <cell r="Q800">
            <v>46094</v>
          </cell>
          <cell r="R800" t="str">
            <v>No inspection</v>
          </cell>
          <cell r="S800">
            <v>3465</v>
          </cell>
          <cell r="T800" t="str">
            <v>CIF</v>
          </cell>
          <cell r="U800" t="str">
            <v>EF-</v>
          </cell>
        </row>
        <row r="801">
          <cell r="D801">
            <v>38</v>
          </cell>
          <cell r="F801">
            <v>399375436701</v>
          </cell>
          <cell r="G801" t="str">
            <v>ROSENBERGER HOCHFREQUENZTECHNIK</v>
          </cell>
          <cell r="H801" t="str">
            <v>Delivered</v>
          </cell>
          <cell r="I801" t="str">
            <v>CONN</v>
          </cell>
          <cell r="J801" t="str">
            <v>Fedex</v>
          </cell>
          <cell r="K801" t="str">
            <v>VVMV</v>
          </cell>
          <cell r="L801" t="str">
            <v>HU</v>
          </cell>
          <cell r="M801">
            <v>46090</v>
          </cell>
          <cell r="N801">
            <v>46097</v>
          </cell>
          <cell r="O801">
            <v>46097</v>
          </cell>
          <cell r="P801">
            <v>108049088230</v>
          </cell>
          <cell r="Q801">
            <v>46094</v>
          </cell>
          <cell r="R801" t="str">
            <v>No inspection</v>
          </cell>
          <cell r="S801">
            <v>3646.44</v>
          </cell>
          <cell r="T801" t="str">
            <v>CIF</v>
          </cell>
          <cell r="U801" t="str">
            <v>LUC</v>
          </cell>
        </row>
        <row r="802">
          <cell r="D802">
            <v>13.5</v>
          </cell>
          <cell r="F802">
            <v>679865598860</v>
          </cell>
          <cell r="G802" t="str">
            <v>AVNET TECH HK LTD (1602 - HX64)</v>
          </cell>
          <cell r="H802" t="str">
            <v>Delivered</v>
          </cell>
          <cell r="I802" t="str">
            <v>IC A</v>
          </cell>
          <cell r="J802" t="str">
            <v>Fedex</v>
          </cell>
          <cell r="K802" t="str">
            <v>VVMV</v>
          </cell>
          <cell r="L802" t="str">
            <v>HK</v>
          </cell>
          <cell r="M802">
            <v>46093</v>
          </cell>
          <cell r="N802">
            <v>46097</v>
          </cell>
          <cell r="O802">
            <v>46097</v>
          </cell>
          <cell r="P802">
            <v>108049257150</v>
          </cell>
          <cell r="Q802">
            <v>46094</v>
          </cell>
          <cell r="R802" t="str">
            <v>No inspection</v>
          </cell>
          <cell r="S802">
            <v>42768</v>
          </cell>
          <cell r="T802" t="str">
            <v>EXW</v>
          </cell>
          <cell r="U802" t="str">
            <v>LUC</v>
          </cell>
        </row>
        <row r="803">
          <cell r="D803">
            <v>26.5</v>
          </cell>
          <cell r="F803">
            <v>492501426036</v>
          </cell>
          <cell r="G803" t="str">
            <v>MICROCHIP TECHNOLOGY OPS PHIL CORP</v>
          </cell>
          <cell r="H803" t="str">
            <v>Delivered</v>
          </cell>
          <cell r="I803" t="str">
            <v>IC E</v>
          </cell>
          <cell r="J803" t="str">
            <v>Fedex</v>
          </cell>
          <cell r="K803" t="str">
            <v>VVMV</v>
          </cell>
          <cell r="L803" t="str">
            <v>PH</v>
          </cell>
          <cell r="M803">
            <v>46092</v>
          </cell>
          <cell r="N803">
            <v>46097</v>
          </cell>
          <cell r="O803">
            <v>46097</v>
          </cell>
          <cell r="P803">
            <v>108049069810</v>
          </cell>
          <cell r="Q803">
            <v>46094</v>
          </cell>
          <cell r="R803" t="str">
            <v>No inspection</v>
          </cell>
          <cell r="S803">
            <v>207900</v>
          </cell>
          <cell r="T803" t="str">
            <v>EXW</v>
          </cell>
          <cell r="U803" t="str">
            <v>PUR</v>
          </cell>
        </row>
        <row r="804">
          <cell r="D804">
            <v>15.5</v>
          </cell>
          <cell r="F804">
            <v>492501426460</v>
          </cell>
          <cell r="G804" t="str">
            <v>MICROCHIP TECHNOLOGY OPS PHIL CORP</v>
          </cell>
          <cell r="H804" t="str">
            <v>Delivered</v>
          </cell>
          <cell r="I804" t="str">
            <v>IC E</v>
          </cell>
          <cell r="J804" t="str">
            <v>Fedex</v>
          </cell>
          <cell r="K804" t="str">
            <v>VVMV</v>
          </cell>
          <cell r="L804" t="str">
            <v>PH</v>
          </cell>
          <cell r="M804">
            <v>46093</v>
          </cell>
          <cell r="N804">
            <v>46097</v>
          </cell>
          <cell r="O804">
            <v>46097</v>
          </cell>
          <cell r="P804">
            <v>108048421500</v>
          </cell>
          <cell r="Q804">
            <v>46094</v>
          </cell>
          <cell r="R804" t="str">
            <v>No inspection</v>
          </cell>
          <cell r="S804">
            <v>110880</v>
          </cell>
          <cell r="T804" t="str">
            <v>EXW</v>
          </cell>
          <cell r="U804" t="str">
            <v>PUR</v>
          </cell>
        </row>
        <row r="805">
          <cell r="D805">
            <v>6.5</v>
          </cell>
          <cell r="F805">
            <v>515819752584</v>
          </cell>
          <cell r="G805" t="str">
            <v>Micron Memory Malaysia Sdn. Bh</v>
          </cell>
          <cell r="H805" t="str">
            <v>Delivered</v>
          </cell>
          <cell r="I805" t="str">
            <v xml:space="preserve">MEM </v>
          </cell>
          <cell r="J805" t="str">
            <v>Fedex</v>
          </cell>
          <cell r="K805" t="str">
            <v>VVMV</v>
          </cell>
          <cell r="L805" t="str">
            <v>MY</v>
          </cell>
          <cell r="M805">
            <v>46093</v>
          </cell>
          <cell r="N805">
            <v>46097</v>
          </cell>
          <cell r="O805">
            <v>46097</v>
          </cell>
          <cell r="P805">
            <v>108049218760</v>
          </cell>
          <cell r="Q805">
            <v>46094</v>
          </cell>
          <cell r="R805" t="str">
            <v>No inspection</v>
          </cell>
          <cell r="S805">
            <v>577536</v>
          </cell>
          <cell r="T805" t="str">
            <v>EXW</v>
          </cell>
          <cell r="U805" t="str">
            <v>HLO</v>
          </cell>
        </row>
        <row r="806">
          <cell r="D806">
            <v>7</v>
          </cell>
          <cell r="F806">
            <v>889458567636</v>
          </cell>
          <cell r="G806" t="str">
            <v>AIC INC</v>
          </cell>
          <cell r="H806" t="str">
            <v>Delivered</v>
          </cell>
          <cell r="I806" t="str">
            <v>IC L, IC F</v>
          </cell>
          <cell r="J806" t="str">
            <v>Fedex</v>
          </cell>
          <cell r="K806" t="str">
            <v>VVMV</v>
          </cell>
          <cell r="L806" t="str">
            <v>TW</v>
          </cell>
          <cell r="M806">
            <v>46091</v>
          </cell>
          <cell r="N806">
            <v>46097</v>
          </cell>
          <cell r="O806">
            <v>46097</v>
          </cell>
          <cell r="P806">
            <v>108049332160</v>
          </cell>
          <cell r="Q806">
            <v>46094</v>
          </cell>
          <cell r="R806" t="str">
            <v>No inspection</v>
          </cell>
          <cell r="S806">
            <v>23934</v>
          </cell>
          <cell r="T806" t="str">
            <v>EXW</v>
          </cell>
          <cell r="U806" t="str">
            <v>AIC</v>
          </cell>
        </row>
        <row r="807">
          <cell r="D807">
            <v>4</v>
          </cell>
          <cell r="F807">
            <v>889378371390</v>
          </cell>
          <cell r="G807" t="str">
            <v>COMPONENT STOCKERS</v>
          </cell>
          <cell r="H807" t="str">
            <v>Delivered</v>
          </cell>
          <cell r="I807" t="str">
            <v>IC F</v>
          </cell>
          <cell r="J807" t="str">
            <v>Fedex</v>
          </cell>
          <cell r="K807" t="str">
            <v>VVMV</v>
          </cell>
          <cell r="L807" t="str">
            <v>US</v>
          </cell>
          <cell r="M807">
            <v>46087</v>
          </cell>
          <cell r="N807">
            <v>46097</v>
          </cell>
          <cell r="O807">
            <v>46097</v>
          </cell>
          <cell r="P807">
            <v>108047263000</v>
          </cell>
          <cell r="Q807">
            <v>46094</v>
          </cell>
          <cell r="R807" t="str">
            <v>No inspection</v>
          </cell>
          <cell r="S807">
            <v>749.84</v>
          </cell>
          <cell r="T807" t="str">
            <v>EXW</v>
          </cell>
          <cell r="U807" t="str">
            <v>LUC</v>
          </cell>
        </row>
        <row r="808">
          <cell r="D808">
            <v>7.7</v>
          </cell>
          <cell r="F808" t="str">
            <v>8XN3532</v>
          </cell>
          <cell r="G808" t="str">
            <v>KIOXIA CORPORATION C/O KIOXIA AMERICA INC</v>
          </cell>
          <cell r="H808" t="str">
            <v>Delivered</v>
          </cell>
          <cell r="I808" t="str">
            <v xml:space="preserve">MEM </v>
          </cell>
          <cell r="J808" t="str">
            <v>DHL( global)</v>
          </cell>
          <cell r="K808" t="str">
            <v>VVMV</v>
          </cell>
          <cell r="L808" t="str">
            <v>JP</v>
          </cell>
          <cell r="M808">
            <v>46092</v>
          </cell>
          <cell r="N808">
            <v>46097</v>
          </cell>
          <cell r="O808">
            <v>46097</v>
          </cell>
          <cell r="P808">
            <v>108049184020</v>
          </cell>
          <cell r="Q808">
            <v>46094</v>
          </cell>
          <cell r="R808" t="str">
            <v>No inspection</v>
          </cell>
          <cell r="S808">
            <v>1659744</v>
          </cell>
          <cell r="T808" t="str">
            <v>DAP</v>
          </cell>
          <cell r="U808" t="str">
            <v>HLO</v>
          </cell>
        </row>
        <row r="809">
          <cell r="D809">
            <v>7.7</v>
          </cell>
          <cell r="F809" t="str">
            <v>8XN3533</v>
          </cell>
          <cell r="G809" t="str">
            <v>KIOXIA CORPORATION C/O KIOXIA AMERICA INC</v>
          </cell>
          <cell r="H809" t="str">
            <v>Delivered</v>
          </cell>
          <cell r="I809" t="str">
            <v xml:space="preserve">MEM </v>
          </cell>
          <cell r="J809" t="str">
            <v>DHL( global)</v>
          </cell>
          <cell r="K809" t="str">
            <v>VVMV</v>
          </cell>
          <cell r="L809" t="str">
            <v>JP</v>
          </cell>
          <cell r="M809">
            <v>46092</v>
          </cell>
          <cell r="N809">
            <v>46097</v>
          </cell>
          <cell r="O809">
            <v>46097</v>
          </cell>
          <cell r="P809">
            <v>108048952100</v>
          </cell>
          <cell r="Q809">
            <v>46094</v>
          </cell>
          <cell r="R809" t="str">
            <v>No inspection</v>
          </cell>
          <cell r="S809">
            <v>1659744</v>
          </cell>
          <cell r="T809" t="str">
            <v>DAP</v>
          </cell>
          <cell r="U809" t="str">
            <v>HLO</v>
          </cell>
        </row>
        <row r="810">
          <cell r="D810">
            <v>7.7</v>
          </cell>
          <cell r="F810" t="str">
            <v>8XN3534</v>
          </cell>
          <cell r="G810" t="str">
            <v>KIOXIA CORPORATION C/O KIOXIA AMERICA INC</v>
          </cell>
          <cell r="H810" t="str">
            <v>Delivered</v>
          </cell>
          <cell r="I810" t="str">
            <v xml:space="preserve">MEM </v>
          </cell>
          <cell r="J810" t="str">
            <v>DHL( global)</v>
          </cell>
          <cell r="K810" t="str">
            <v>VVMV</v>
          </cell>
          <cell r="L810" t="str">
            <v>JP</v>
          </cell>
          <cell r="M810">
            <v>46092</v>
          </cell>
          <cell r="N810">
            <v>46097</v>
          </cell>
          <cell r="O810">
            <v>46097</v>
          </cell>
          <cell r="P810">
            <v>108049420840</v>
          </cell>
          <cell r="Q810">
            <v>46094</v>
          </cell>
          <cell r="R810" t="str">
            <v>No inspection</v>
          </cell>
          <cell r="S810">
            <v>1659744</v>
          </cell>
          <cell r="T810" t="str">
            <v>DAP</v>
          </cell>
          <cell r="U810" t="str">
            <v>HLO</v>
          </cell>
        </row>
        <row r="811">
          <cell r="D811">
            <v>7.7</v>
          </cell>
          <cell r="F811" t="str">
            <v>8XN3535</v>
          </cell>
          <cell r="G811" t="str">
            <v>KIOXIA CORPORATION C/O KIOXIA AMERICA INC</v>
          </cell>
          <cell r="H811" t="str">
            <v>Delivered</v>
          </cell>
          <cell r="I811" t="str">
            <v xml:space="preserve">MEM </v>
          </cell>
          <cell r="J811" t="str">
            <v>DHL( global)</v>
          </cell>
          <cell r="K811" t="str">
            <v>VVMV</v>
          </cell>
          <cell r="L811" t="str">
            <v>JP</v>
          </cell>
          <cell r="M811">
            <v>46092</v>
          </cell>
          <cell r="N811">
            <v>46097</v>
          </cell>
          <cell r="O811">
            <v>46097</v>
          </cell>
          <cell r="P811">
            <v>108049398550</v>
          </cell>
          <cell r="Q811">
            <v>46094</v>
          </cell>
          <cell r="R811" t="str">
            <v>No inspection</v>
          </cell>
          <cell r="S811">
            <v>1659744</v>
          </cell>
          <cell r="T811" t="str">
            <v>DAP</v>
          </cell>
          <cell r="U811" t="str">
            <v>HLO</v>
          </cell>
        </row>
        <row r="812">
          <cell r="D812">
            <v>7.1</v>
          </cell>
          <cell r="F812" t="str">
            <v>8XN3536</v>
          </cell>
          <cell r="G812" t="str">
            <v>KIOXIA CORPORATION C/O KIOXIA AMERICA INC</v>
          </cell>
          <cell r="H812" t="str">
            <v>Delivered</v>
          </cell>
          <cell r="I812" t="str">
            <v xml:space="preserve">MEM </v>
          </cell>
          <cell r="J812" t="str">
            <v>DHL( global)</v>
          </cell>
          <cell r="K812" t="str">
            <v>VVMV</v>
          </cell>
          <cell r="L812" t="str">
            <v>JP</v>
          </cell>
          <cell r="M812">
            <v>46092</v>
          </cell>
          <cell r="N812">
            <v>46097</v>
          </cell>
          <cell r="O812">
            <v>46097</v>
          </cell>
          <cell r="P812">
            <v>108049271410</v>
          </cell>
          <cell r="Q812">
            <v>46094</v>
          </cell>
          <cell r="R812" t="str">
            <v>No inspection</v>
          </cell>
          <cell r="S812">
            <v>1389267.2</v>
          </cell>
          <cell r="T812" t="str">
            <v>DAP</v>
          </cell>
          <cell r="U812" t="str">
            <v>HLO</v>
          </cell>
        </row>
        <row r="813">
          <cell r="D813">
            <v>45.8</v>
          </cell>
          <cell r="F813" t="str">
            <v>8XN3528</v>
          </cell>
          <cell r="G813" t="str">
            <v>KIOXIA CORPORATION C/O KIOXIA AMERICA INC</v>
          </cell>
          <cell r="H813" t="str">
            <v>Delivered</v>
          </cell>
          <cell r="I813" t="str">
            <v xml:space="preserve">MEM </v>
          </cell>
          <cell r="J813" t="str">
            <v>DHL( global)</v>
          </cell>
          <cell r="K813" t="str">
            <v>VVMV</v>
          </cell>
          <cell r="L813" t="str">
            <v>JP</v>
          </cell>
          <cell r="M813">
            <v>46092</v>
          </cell>
          <cell r="N813">
            <v>46097</v>
          </cell>
          <cell r="O813">
            <v>46097</v>
          </cell>
          <cell r="P813">
            <v>108049268350</v>
          </cell>
          <cell r="Q813">
            <v>46094</v>
          </cell>
          <cell r="R813" t="str">
            <v>No inspection</v>
          </cell>
          <cell r="S813">
            <v>866188.80000000005</v>
          </cell>
          <cell r="T813" t="str">
            <v>DAP</v>
          </cell>
          <cell r="U813" t="str">
            <v>PUR</v>
          </cell>
        </row>
        <row r="814">
          <cell r="D814">
            <v>27.5</v>
          </cell>
          <cell r="F814">
            <v>4110334986</v>
          </cell>
          <cell r="G814" t="str">
            <v>AVNET, INC</v>
          </cell>
          <cell r="H814" t="str">
            <v>Delivered</v>
          </cell>
          <cell r="I814" t="str">
            <v xml:space="preserve">CON </v>
          </cell>
          <cell r="J814" t="str">
            <v>Expeditors</v>
          </cell>
          <cell r="K814" t="str">
            <v>VVMV</v>
          </cell>
          <cell r="L814" t="str">
            <v>US</v>
          </cell>
          <cell r="M814">
            <v>46091</v>
          </cell>
          <cell r="N814">
            <v>46098</v>
          </cell>
          <cell r="O814">
            <v>46098</v>
          </cell>
          <cell r="P814">
            <v>108055433950</v>
          </cell>
          <cell r="Q814">
            <v>46097</v>
          </cell>
          <cell r="R814" t="str">
            <v>No inspection</v>
          </cell>
          <cell r="S814">
            <v>3808</v>
          </cell>
          <cell r="T814" t="str">
            <v>DAP</v>
          </cell>
          <cell r="U814" t="str">
            <v>LUC</v>
          </cell>
        </row>
        <row r="815">
          <cell r="D815">
            <v>430.5</v>
          </cell>
          <cell r="F815">
            <v>4110335017</v>
          </cell>
          <cell r="G815" t="str">
            <v>Avnet, Inc.</v>
          </cell>
          <cell r="H815" t="str">
            <v>Delivered</v>
          </cell>
          <cell r="I815" t="str">
            <v>CONN</v>
          </cell>
          <cell r="J815" t="str">
            <v>Expeditors</v>
          </cell>
          <cell r="K815" t="str">
            <v>VVMV</v>
          </cell>
          <cell r="L815" t="str">
            <v>US</v>
          </cell>
          <cell r="M815">
            <v>46092</v>
          </cell>
          <cell r="N815">
            <v>46098</v>
          </cell>
          <cell r="O815">
            <v>46098</v>
          </cell>
          <cell r="P815">
            <v>108053545460</v>
          </cell>
          <cell r="Q815">
            <v>46097</v>
          </cell>
          <cell r="R815" t="str">
            <v>No inspection</v>
          </cell>
          <cell r="S815">
            <v>20727</v>
          </cell>
          <cell r="T815" t="str">
            <v>DAP</v>
          </cell>
          <cell r="U815" t="str">
            <v>LUC</v>
          </cell>
        </row>
        <row r="816">
          <cell r="D816">
            <v>469.5</v>
          </cell>
          <cell r="F816">
            <v>4110335016</v>
          </cell>
          <cell r="G816" t="str">
            <v>AVNET, INC</v>
          </cell>
          <cell r="H816" t="str">
            <v>Delivered</v>
          </cell>
          <cell r="I816" t="str">
            <v>CONN</v>
          </cell>
          <cell r="J816" t="str">
            <v>Expeditors</v>
          </cell>
          <cell r="K816" t="str">
            <v>VVMV</v>
          </cell>
          <cell r="L816" t="str">
            <v>US</v>
          </cell>
          <cell r="M816">
            <v>46092</v>
          </cell>
          <cell r="N816">
            <v>46098</v>
          </cell>
          <cell r="O816">
            <v>46098</v>
          </cell>
          <cell r="P816">
            <v>108052716000</v>
          </cell>
          <cell r="Q816">
            <v>46097</v>
          </cell>
          <cell r="R816" t="str">
            <v>No inspection</v>
          </cell>
          <cell r="S816">
            <v>22701</v>
          </cell>
          <cell r="T816" t="str">
            <v>DAP</v>
          </cell>
          <cell r="U816" t="str">
            <v>LUC</v>
          </cell>
        </row>
        <row r="817">
          <cell r="D817">
            <v>28.5</v>
          </cell>
          <cell r="F817">
            <v>4110335015</v>
          </cell>
          <cell r="G817" t="str">
            <v>AVNET, INC</v>
          </cell>
          <cell r="H817" t="str">
            <v>Delivered</v>
          </cell>
          <cell r="I817" t="str">
            <v>CONN</v>
          </cell>
          <cell r="J817" t="str">
            <v>Expeditors</v>
          </cell>
          <cell r="K817" t="str">
            <v>VVMV</v>
          </cell>
          <cell r="L817" t="str">
            <v>US</v>
          </cell>
          <cell r="M817">
            <v>46092</v>
          </cell>
          <cell r="N817">
            <v>46098</v>
          </cell>
          <cell r="O817">
            <v>46098</v>
          </cell>
          <cell r="P817">
            <v>108053045220</v>
          </cell>
          <cell r="Q817">
            <v>46097</v>
          </cell>
          <cell r="R817" t="str">
            <v>No inspection</v>
          </cell>
          <cell r="S817">
            <v>4406.3999999999996</v>
          </cell>
          <cell r="T817" t="str">
            <v>DAP</v>
          </cell>
          <cell r="U817" t="str">
            <v>LUC</v>
          </cell>
        </row>
        <row r="818">
          <cell r="D818">
            <v>14.5</v>
          </cell>
          <cell r="F818">
            <v>4110334995</v>
          </cell>
          <cell r="G818" t="str">
            <v>Avnet, Inc.</v>
          </cell>
          <cell r="H818" t="str">
            <v>Delivered</v>
          </cell>
          <cell r="I818" t="str">
            <v>CONN</v>
          </cell>
          <cell r="J818" t="str">
            <v>Expeditors</v>
          </cell>
          <cell r="K818" t="str">
            <v>VVMV</v>
          </cell>
          <cell r="L818" t="str">
            <v>US</v>
          </cell>
          <cell r="M818">
            <v>46091</v>
          </cell>
          <cell r="N818">
            <v>46098</v>
          </cell>
          <cell r="O818">
            <v>46098</v>
          </cell>
          <cell r="P818">
            <v>108055524950</v>
          </cell>
          <cell r="Q818">
            <v>46097</v>
          </cell>
          <cell r="R818" t="str">
            <v>No inspection</v>
          </cell>
          <cell r="S818">
            <v>1918.4</v>
          </cell>
          <cell r="T818" t="str">
            <v>DAP</v>
          </cell>
          <cell r="U818" t="str">
            <v>LUC</v>
          </cell>
        </row>
        <row r="819">
          <cell r="D819">
            <v>19.5</v>
          </cell>
          <cell r="F819">
            <v>4110334993</v>
          </cell>
          <cell r="G819" t="str">
            <v>AVNET, INC</v>
          </cell>
          <cell r="H819" t="str">
            <v>Delivered</v>
          </cell>
          <cell r="I819" t="str">
            <v>CONN</v>
          </cell>
          <cell r="J819" t="str">
            <v>Expeditors</v>
          </cell>
          <cell r="K819" t="str">
            <v>VVMV</v>
          </cell>
          <cell r="L819" t="str">
            <v>US</v>
          </cell>
          <cell r="M819">
            <v>46091</v>
          </cell>
          <cell r="N819">
            <v>46098</v>
          </cell>
          <cell r="O819">
            <v>46098</v>
          </cell>
          <cell r="P819">
            <v>108053610930</v>
          </cell>
          <cell r="Q819">
            <v>46097</v>
          </cell>
          <cell r="R819" t="str">
            <v>No inspection</v>
          </cell>
          <cell r="S819">
            <v>987</v>
          </cell>
          <cell r="T819" t="str">
            <v>DAP</v>
          </cell>
          <cell r="U819" t="str">
            <v>LUC</v>
          </cell>
        </row>
        <row r="820">
          <cell r="D820">
            <v>13.5</v>
          </cell>
          <cell r="F820">
            <v>4110334987</v>
          </cell>
          <cell r="G820" t="str">
            <v>AVNET, INC</v>
          </cell>
          <cell r="H820" t="str">
            <v>Delivered</v>
          </cell>
          <cell r="I820" t="str">
            <v>CONN</v>
          </cell>
          <cell r="J820" t="str">
            <v>Expeditors</v>
          </cell>
          <cell r="K820" t="str">
            <v>VVMV</v>
          </cell>
          <cell r="L820" t="str">
            <v>US</v>
          </cell>
          <cell r="M820">
            <v>46091</v>
          </cell>
          <cell r="N820">
            <v>46098</v>
          </cell>
          <cell r="O820">
            <v>46098</v>
          </cell>
          <cell r="P820">
            <v>108053288930</v>
          </cell>
          <cell r="Q820">
            <v>46097</v>
          </cell>
          <cell r="R820" t="str">
            <v>No inspection</v>
          </cell>
          <cell r="S820">
            <v>1594.71</v>
          </cell>
          <cell r="T820" t="str">
            <v>DAP</v>
          </cell>
          <cell r="U820" t="str">
            <v>LUC</v>
          </cell>
        </row>
        <row r="821">
          <cell r="D821">
            <v>5.5</v>
          </cell>
          <cell r="F821">
            <v>4110334988</v>
          </cell>
          <cell r="G821" t="str">
            <v>Avnet, Inc.</v>
          </cell>
          <cell r="H821" t="str">
            <v>Delivered</v>
          </cell>
          <cell r="I821" t="str">
            <v>CONN</v>
          </cell>
          <cell r="J821" t="str">
            <v>Expeditors</v>
          </cell>
          <cell r="K821" t="str">
            <v>VVMV</v>
          </cell>
          <cell r="L821" t="str">
            <v>US</v>
          </cell>
          <cell r="M821">
            <v>46091</v>
          </cell>
          <cell r="N821">
            <v>46098</v>
          </cell>
          <cell r="O821">
            <v>46098</v>
          </cell>
          <cell r="P821">
            <v>108053691760</v>
          </cell>
          <cell r="Q821">
            <v>46097</v>
          </cell>
          <cell r="R821" t="str">
            <v>No inspection</v>
          </cell>
          <cell r="S821">
            <v>2500.02</v>
          </cell>
          <cell r="T821" t="str">
            <v>DAP</v>
          </cell>
          <cell r="U821" t="str">
            <v>LUC</v>
          </cell>
        </row>
        <row r="822">
          <cell r="D822">
            <v>3</v>
          </cell>
          <cell r="F822">
            <v>4110334989</v>
          </cell>
          <cell r="G822" t="str">
            <v>AVNET, INC</v>
          </cell>
          <cell r="H822" t="str">
            <v>Delivered</v>
          </cell>
          <cell r="I822" t="str">
            <v>CONN</v>
          </cell>
          <cell r="J822" t="str">
            <v>Expeditors</v>
          </cell>
          <cell r="K822" t="str">
            <v>VVMV</v>
          </cell>
          <cell r="L822" t="str">
            <v>US</v>
          </cell>
          <cell r="M822">
            <v>46091</v>
          </cell>
          <cell r="N822">
            <v>46098</v>
          </cell>
          <cell r="O822">
            <v>46098</v>
          </cell>
          <cell r="P822">
            <v>108055622400</v>
          </cell>
          <cell r="Q822">
            <v>46097</v>
          </cell>
          <cell r="R822" t="str">
            <v>No inspection</v>
          </cell>
          <cell r="S822">
            <v>1740</v>
          </cell>
          <cell r="T822" t="str">
            <v>DAP</v>
          </cell>
          <cell r="U822" t="str">
            <v>LUC</v>
          </cell>
        </row>
        <row r="823">
          <cell r="D823">
            <v>7</v>
          </cell>
          <cell r="F823">
            <v>4110334990</v>
          </cell>
          <cell r="G823" t="str">
            <v>AVNET, INC</v>
          </cell>
          <cell r="H823" t="str">
            <v>Delivered</v>
          </cell>
          <cell r="I823" t="str">
            <v>CONN</v>
          </cell>
          <cell r="J823" t="str">
            <v>Expeditors</v>
          </cell>
          <cell r="K823" t="str">
            <v>VVMV</v>
          </cell>
          <cell r="L823" t="str">
            <v>US</v>
          </cell>
          <cell r="M823">
            <v>46091</v>
          </cell>
          <cell r="N823">
            <v>46098</v>
          </cell>
          <cell r="O823">
            <v>46098</v>
          </cell>
          <cell r="P823">
            <v>108053673120</v>
          </cell>
          <cell r="Q823">
            <v>46097</v>
          </cell>
          <cell r="R823" t="str">
            <v>No inspection</v>
          </cell>
          <cell r="S823">
            <v>814.32</v>
          </cell>
          <cell r="T823" t="str">
            <v>DAP</v>
          </cell>
          <cell r="U823" t="str">
            <v>LUC</v>
          </cell>
        </row>
        <row r="824">
          <cell r="D824">
            <v>10.5</v>
          </cell>
          <cell r="F824">
            <v>4110334994</v>
          </cell>
          <cell r="G824" t="str">
            <v>Avnet, Inc.</v>
          </cell>
          <cell r="H824" t="str">
            <v>Delivered</v>
          </cell>
          <cell r="I824" t="str">
            <v>CONN</v>
          </cell>
          <cell r="J824" t="str">
            <v>Expeditors</v>
          </cell>
          <cell r="K824" t="str">
            <v>VVMV</v>
          </cell>
          <cell r="L824" t="str">
            <v>US</v>
          </cell>
          <cell r="M824">
            <v>46091</v>
          </cell>
          <cell r="N824">
            <v>46098</v>
          </cell>
          <cell r="O824">
            <v>46098</v>
          </cell>
          <cell r="P824">
            <v>108053420860</v>
          </cell>
          <cell r="Q824">
            <v>46097</v>
          </cell>
          <cell r="R824" t="str">
            <v>No inspection</v>
          </cell>
          <cell r="S824">
            <v>3322.55</v>
          </cell>
          <cell r="T824" t="str">
            <v>DAP</v>
          </cell>
          <cell r="U824" t="str">
            <v>LUC</v>
          </cell>
        </row>
        <row r="825">
          <cell r="D825">
            <v>5</v>
          </cell>
          <cell r="F825">
            <v>4110334991</v>
          </cell>
          <cell r="G825" t="str">
            <v>AVNET, INC</v>
          </cell>
          <cell r="H825" t="str">
            <v>Delivered</v>
          </cell>
          <cell r="I825" t="str">
            <v>CONN</v>
          </cell>
          <cell r="J825" t="str">
            <v>Expeditors</v>
          </cell>
          <cell r="K825" t="str">
            <v>VVMV</v>
          </cell>
          <cell r="L825" t="str">
            <v>US</v>
          </cell>
          <cell r="M825">
            <v>46091</v>
          </cell>
          <cell r="N825">
            <v>46098</v>
          </cell>
          <cell r="O825">
            <v>46098</v>
          </cell>
          <cell r="P825">
            <v>108055846140</v>
          </cell>
          <cell r="Q825">
            <v>46097</v>
          </cell>
          <cell r="R825" t="str">
            <v>No inspection</v>
          </cell>
          <cell r="S825">
            <v>1661.28</v>
          </cell>
          <cell r="T825" t="str">
            <v>DAP</v>
          </cell>
          <cell r="U825" t="str">
            <v>LUC</v>
          </cell>
        </row>
        <row r="826">
          <cell r="D826">
            <v>68.5</v>
          </cell>
          <cell r="F826">
            <v>4110334992</v>
          </cell>
          <cell r="G826" t="str">
            <v>AVNET, INC</v>
          </cell>
          <cell r="H826" t="str">
            <v>Delivered</v>
          </cell>
          <cell r="I826" t="str">
            <v xml:space="preserve">CON </v>
          </cell>
          <cell r="J826" t="str">
            <v>Expeditors</v>
          </cell>
          <cell r="K826" t="str">
            <v>VVMV</v>
          </cell>
          <cell r="L826" t="str">
            <v>US</v>
          </cell>
          <cell r="M826">
            <v>46091</v>
          </cell>
          <cell r="N826">
            <v>46098</v>
          </cell>
          <cell r="O826">
            <v>46098</v>
          </cell>
          <cell r="P826">
            <v>108055740810</v>
          </cell>
          <cell r="Q826">
            <v>46097</v>
          </cell>
          <cell r="R826" t="str">
            <v>No inspection</v>
          </cell>
          <cell r="S826">
            <v>9520</v>
          </cell>
          <cell r="T826" t="str">
            <v>DAP</v>
          </cell>
          <cell r="U826" t="str">
            <v>LUC</v>
          </cell>
        </row>
        <row r="827">
          <cell r="D827">
            <v>350.6</v>
          </cell>
          <cell r="F827">
            <v>1437881815</v>
          </cell>
          <cell r="G827" t="str">
            <v>AVNET - CHANDLER</v>
          </cell>
          <cell r="H827" t="str">
            <v>Delivered</v>
          </cell>
          <cell r="I827" t="str">
            <v>TRAN, IC M, DIOD, IC H, CAP , RES , CRYS, IND , FERR, IC L, CONN, IC P, CMC , IC D, COMM, IC S, IC F, IC C, IC  , IC W</v>
          </cell>
          <cell r="J827" t="str">
            <v>DHL</v>
          </cell>
          <cell r="K827" t="str">
            <v>VVMV</v>
          </cell>
          <cell r="L827" t="str">
            <v>US</v>
          </cell>
          <cell r="M827">
            <v>46092</v>
          </cell>
          <cell r="N827">
            <v>46099</v>
          </cell>
          <cell r="O827">
            <v>46099</v>
          </cell>
          <cell r="P827" t="str">
            <v>108060078010 108060084860 108060091050 108060100630</v>
          </cell>
          <cell r="Q827">
            <v>46098</v>
          </cell>
          <cell r="R827" t="str">
            <v>No inspection</v>
          </cell>
          <cell r="S827">
            <v>312549.01</v>
          </cell>
          <cell r="T827" t="str">
            <v>CIF</v>
          </cell>
          <cell r="U827" t="str">
            <v>LUC</v>
          </cell>
        </row>
        <row r="828">
          <cell r="D828">
            <v>15</v>
          </cell>
          <cell r="F828">
            <v>493891685618</v>
          </cell>
          <cell r="G828" t="str">
            <v>FIERY, LLC.</v>
          </cell>
          <cell r="H828" t="str">
            <v>Delivered</v>
          </cell>
          <cell r="I828" t="str">
            <v>IC F</v>
          </cell>
          <cell r="J828" t="str">
            <v>Fedex</v>
          </cell>
          <cell r="K828" t="str">
            <v>VVMV</v>
          </cell>
          <cell r="L828" t="str">
            <v>US</v>
          </cell>
          <cell r="M828">
            <v>46085</v>
          </cell>
          <cell r="N828">
            <v>46098</v>
          </cell>
          <cell r="O828">
            <v>46099</v>
          </cell>
          <cell r="P828">
            <v>108055142750</v>
          </cell>
          <cell r="Q828">
            <v>46097</v>
          </cell>
          <cell r="R828" t="str">
            <v>No inspection</v>
          </cell>
          <cell r="S828">
            <v>45396.52</v>
          </cell>
          <cell r="T828" t="str">
            <v>CIF</v>
          </cell>
          <cell r="U828" t="str">
            <v>EF-</v>
          </cell>
        </row>
        <row r="829">
          <cell r="D829">
            <v>13.5</v>
          </cell>
          <cell r="F829">
            <v>492501417958</v>
          </cell>
          <cell r="G829" t="str">
            <v>MICROCHIP TECHNOLOGY OPS PHIL CORP</v>
          </cell>
          <cell r="H829" t="str">
            <v>Delivered</v>
          </cell>
          <cell r="I829" t="str">
            <v>IC E</v>
          </cell>
          <cell r="J829" t="str">
            <v>Fedex</v>
          </cell>
          <cell r="K829" t="str">
            <v>VVMV</v>
          </cell>
          <cell r="L829" t="str">
            <v>PH</v>
          </cell>
          <cell r="M829">
            <v>46086</v>
          </cell>
          <cell r="N829">
            <v>46098</v>
          </cell>
          <cell r="O829">
            <v>46098</v>
          </cell>
          <cell r="P829">
            <v>108055217210</v>
          </cell>
          <cell r="Q829">
            <v>46097</v>
          </cell>
          <cell r="R829" t="str">
            <v>No inspection</v>
          </cell>
          <cell r="S829">
            <v>103950</v>
          </cell>
          <cell r="T829" t="str">
            <v>EXW</v>
          </cell>
          <cell r="U829" t="str">
            <v>PUR</v>
          </cell>
        </row>
        <row r="830">
          <cell r="D830">
            <v>2.9</v>
          </cell>
          <cell r="F830" t="str">
            <v>8XN3543</v>
          </cell>
          <cell r="G830" t="str">
            <v>KIOXIA CORPORATION C/O KIOXIA AMERICA INC</v>
          </cell>
          <cell r="H830" t="str">
            <v>Delivered</v>
          </cell>
          <cell r="I830" t="str">
            <v xml:space="preserve">MEM </v>
          </cell>
          <cell r="J830" t="str">
            <v>DHL( global)</v>
          </cell>
          <cell r="K830" t="str">
            <v>VVMV</v>
          </cell>
          <cell r="L830" t="str">
            <v>JP</v>
          </cell>
          <cell r="M830">
            <v>46093</v>
          </cell>
          <cell r="N830">
            <v>46098</v>
          </cell>
          <cell r="O830">
            <v>46098</v>
          </cell>
          <cell r="P830">
            <v>108055939460</v>
          </cell>
          <cell r="Q830">
            <v>46097</v>
          </cell>
          <cell r="R830" t="str">
            <v>No inspection</v>
          </cell>
          <cell r="S830">
            <v>413399.2</v>
          </cell>
          <cell r="T830" t="str">
            <v>DAP</v>
          </cell>
          <cell r="U830" t="str">
            <v>HLO</v>
          </cell>
        </row>
        <row r="831">
          <cell r="D831">
            <v>1</v>
          </cell>
          <cell r="F831">
            <v>517179882924</v>
          </cell>
          <cell r="G831" t="str">
            <v>DIGI-KEY ELECTRONICS</v>
          </cell>
          <cell r="H831" t="str">
            <v>Delivered</v>
          </cell>
          <cell r="I831" t="str">
            <v xml:space="preserve">CAP , RES </v>
          </cell>
          <cell r="J831" t="str">
            <v>Fedex</v>
          </cell>
          <cell r="K831" t="str">
            <v>VVMV</v>
          </cell>
          <cell r="L831" t="str">
            <v>US</v>
          </cell>
          <cell r="M831">
            <v>46090</v>
          </cell>
          <cell r="N831">
            <v>46098</v>
          </cell>
          <cell r="O831">
            <v>46098</v>
          </cell>
          <cell r="P831">
            <v>108054092530</v>
          </cell>
          <cell r="Q831">
            <v>46097</v>
          </cell>
          <cell r="R831" t="str">
            <v>No inspection</v>
          </cell>
          <cell r="S831">
            <v>754.47</v>
          </cell>
          <cell r="T831" t="str">
            <v>CIF</v>
          </cell>
          <cell r="U831">
            <v>122</v>
          </cell>
        </row>
        <row r="832">
          <cell r="D832">
            <v>9.5</v>
          </cell>
          <cell r="F832">
            <v>399463437604</v>
          </cell>
          <cell r="G832" t="str">
            <v>ROSENBERGER HOCHFREQUENZTECHNIK</v>
          </cell>
          <cell r="H832" t="str">
            <v>Delivered</v>
          </cell>
          <cell r="I832" t="str">
            <v>CONN</v>
          </cell>
          <cell r="J832" t="str">
            <v>Fedex</v>
          </cell>
          <cell r="K832" t="str">
            <v>VVMV</v>
          </cell>
          <cell r="L832" t="str">
            <v>HU</v>
          </cell>
          <cell r="M832">
            <v>46091</v>
          </cell>
          <cell r="N832">
            <v>46099</v>
          </cell>
          <cell r="O832">
            <v>46100</v>
          </cell>
          <cell r="P832">
            <v>108060364050</v>
          </cell>
          <cell r="Q832">
            <v>46098</v>
          </cell>
          <cell r="R832" t="str">
            <v>No inspection</v>
          </cell>
          <cell r="S832">
            <v>911.61</v>
          </cell>
          <cell r="T832" t="str">
            <v>CIF</v>
          </cell>
          <cell r="U832" t="str">
            <v>LUC</v>
          </cell>
        </row>
        <row r="833">
          <cell r="D833">
            <v>30.5</v>
          </cell>
          <cell r="F833">
            <v>889499790607</v>
          </cell>
          <cell r="G833" t="str">
            <v>SUNLORD ELECTRONICS TECHNOLOGY PTE</v>
          </cell>
          <cell r="H833" t="str">
            <v>Delivered</v>
          </cell>
          <cell r="I833" t="str">
            <v>CAP , RES , CONN</v>
          </cell>
          <cell r="J833" t="str">
            <v>Fedex</v>
          </cell>
          <cell r="K833" t="str">
            <v>VVMV</v>
          </cell>
          <cell r="L833" t="str">
            <v>HK</v>
          </cell>
          <cell r="M833">
            <v>46093</v>
          </cell>
          <cell r="N833">
            <v>46098</v>
          </cell>
          <cell r="O833">
            <v>46099</v>
          </cell>
          <cell r="P833">
            <v>108055644060</v>
          </cell>
          <cell r="Q833">
            <v>46097</v>
          </cell>
          <cell r="R833" t="str">
            <v>No inspection</v>
          </cell>
          <cell r="S833">
            <v>6868.85</v>
          </cell>
          <cell r="T833" t="str">
            <v>EXW</v>
          </cell>
          <cell r="U833" t="str">
            <v>HLO</v>
          </cell>
        </row>
        <row r="834">
          <cell r="D834">
            <v>1</v>
          </cell>
          <cell r="F834">
            <v>500292500254</v>
          </cell>
          <cell r="G834" t="str">
            <v>ARROW COMPONENTS MEXICO SA De CV</v>
          </cell>
          <cell r="H834" t="str">
            <v>Delivered</v>
          </cell>
          <cell r="I834" t="str">
            <v>DIOD</v>
          </cell>
          <cell r="J834" t="str">
            <v>Fedex</v>
          </cell>
          <cell r="K834" t="str">
            <v>VVMV</v>
          </cell>
          <cell r="L834" t="str">
            <v>MX</v>
          </cell>
          <cell r="M834">
            <v>46084</v>
          </cell>
          <cell r="N834">
            <v>46098</v>
          </cell>
          <cell r="O834">
            <v>46099</v>
          </cell>
          <cell r="P834">
            <v>108055481440</v>
          </cell>
          <cell r="Q834">
            <v>46097</v>
          </cell>
          <cell r="R834" t="str">
            <v>No inspection</v>
          </cell>
          <cell r="S834">
            <v>291</v>
          </cell>
          <cell r="T834" t="str">
            <v>CIF</v>
          </cell>
          <cell r="U834" t="str">
            <v>PUR</v>
          </cell>
        </row>
        <row r="835">
          <cell r="D835">
            <v>1.5</v>
          </cell>
          <cell r="F835">
            <v>500292500313</v>
          </cell>
          <cell r="G835" t="str">
            <v>ARROW COMPONENTS MEXICO SA De CV</v>
          </cell>
          <cell r="H835" t="str">
            <v>Delivered</v>
          </cell>
          <cell r="I835" t="str">
            <v>DIOD</v>
          </cell>
          <cell r="J835" t="str">
            <v>Fedex</v>
          </cell>
          <cell r="K835" t="str">
            <v>VVMV</v>
          </cell>
          <cell r="L835" t="str">
            <v>MX</v>
          </cell>
          <cell r="M835">
            <v>46084</v>
          </cell>
          <cell r="N835">
            <v>46098</v>
          </cell>
          <cell r="O835">
            <v>46099</v>
          </cell>
          <cell r="P835">
            <v>108055841350</v>
          </cell>
          <cell r="Q835">
            <v>46097</v>
          </cell>
          <cell r="R835" t="str">
            <v>No inspection</v>
          </cell>
          <cell r="S835">
            <v>291</v>
          </cell>
          <cell r="T835" t="str">
            <v>CIF</v>
          </cell>
          <cell r="U835" t="str">
            <v>PUR</v>
          </cell>
        </row>
        <row r="836">
          <cell r="D836">
            <v>1.5</v>
          </cell>
          <cell r="F836">
            <v>500292511056</v>
          </cell>
          <cell r="G836" t="str">
            <v>ARROW COMPONENTS MEXICO SA De CV</v>
          </cell>
          <cell r="H836" t="str">
            <v>Delivered</v>
          </cell>
          <cell r="I836" t="str">
            <v>IC S</v>
          </cell>
          <cell r="J836" t="str">
            <v>Fedex</v>
          </cell>
          <cell r="K836" t="str">
            <v>VVMV</v>
          </cell>
          <cell r="L836" t="str">
            <v>MX</v>
          </cell>
          <cell r="M836">
            <v>46090</v>
          </cell>
          <cell r="N836">
            <v>46098</v>
          </cell>
          <cell r="O836">
            <v>46099</v>
          </cell>
          <cell r="P836">
            <v>108055762140</v>
          </cell>
          <cell r="Q836">
            <v>46097</v>
          </cell>
          <cell r="R836" t="str">
            <v>No inspection</v>
          </cell>
          <cell r="S836">
            <v>6630</v>
          </cell>
          <cell r="T836" t="str">
            <v>CIF</v>
          </cell>
          <cell r="U836" t="str">
            <v>LUC</v>
          </cell>
        </row>
        <row r="837">
          <cell r="D837">
            <v>1</v>
          </cell>
          <cell r="F837">
            <v>516924200802</v>
          </cell>
          <cell r="G837" t="str">
            <v>ARROW ELECTRONICS, INC.</v>
          </cell>
          <cell r="H837" t="str">
            <v>Delivered</v>
          </cell>
          <cell r="I837" t="str">
            <v>DIOD</v>
          </cell>
          <cell r="J837" t="str">
            <v>Fedex</v>
          </cell>
          <cell r="K837" t="str">
            <v>VVMV</v>
          </cell>
          <cell r="L837" t="str">
            <v>US</v>
          </cell>
          <cell r="M837">
            <v>46092</v>
          </cell>
          <cell r="N837">
            <v>46098</v>
          </cell>
          <cell r="O837">
            <v>46099</v>
          </cell>
          <cell r="P837">
            <v>108055282420</v>
          </cell>
          <cell r="Q837">
            <v>46097</v>
          </cell>
          <cell r="R837" t="str">
            <v>No inspection</v>
          </cell>
          <cell r="S837">
            <v>388</v>
          </cell>
          <cell r="T837" t="str">
            <v>CIF</v>
          </cell>
          <cell r="U837" t="str">
            <v>EF-</v>
          </cell>
        </row>
        <row r="838">
          <cell r="D838">
            <v>33</v>
          </cell>
          <cell r="F838">
            <v>516924192351</v>
          </cell>
          <cell r="G838" t="str">
            <v>ARROW ELECTRONICS, INC.</v>
          </cell>
          <cell r="H838" t="str">
            <v>Delivered</v>
          </cell>
          <cell r="I838" t="str">
            <v>CAP , CONN</v>
          </cell>
          <cell r="J838" t="str">
            <v>Fedex</v>
          </cell>
          <cell r="K838" t="str">
            <v>VVMV</v>
          </cell>
          <cell r="L838" t="str">
            <v>US</v>
          </cell>
          <cell r="M838">
            <v>46091</v>
          </cell>
          <cell r="N838">
            <v>46098</v>
          </cell>
          <cell r="O838">
            <v>46099</v>
          </cell>
          <cell r="P838">
            <v>108055360340</v>
          </cell>
          <cell r="Q838">
            <v>46097</v>
          </cell>
          <cell r="R838" t="str">
            <v>No inspection</v>
          </cell>
          <cell r="S838">
            <v>4224.4799999999996</v>
          </cell>
          <cell r="T838" t="str">
            <v>CIF</v>
          </cell>
          <cell r="U838" t="str">
            <v>LUC</v>
          </cell>
        </row>
        <row r="839">
          <cell r="D839">
            <v>1.5</v>
          </cell>
          <cell r="F839">
            <v>399411541381</v>
          </cell>
          <cell r="G839" t="str">
            <v>C/O KINTETSU WORLD EXPRESS
TEXAS INSTRUMENTS ASIA LIMITED</v>
          </cell>
          <cell r="H839" t="str">
            <v>Delivered</v>
          </cell>
          <cell r="I839" t="str">
            <v>IC V</v>
          </cell>
          <cell r="J839" t="str">
            <v>Fedex</v>
          </cell>
          <cell r="K839" t="str">
            <v>VVMV</v>
          </cell>
          <cell r="L839" t="str">
            <v>CN</v>
          </cell>
          <cell r="M839">
            <v>46090</v>
          </cell>
          <cell r="N839">
            <v>46098</v>
          </cell>
          <cell r="O839">
            <v>46099</v>
          </cell>
          <cell r="P839">
            <v>108055904720</v>
          </cell>
          <cell r="Q839">
            <v>46097</v>
          </cell>
          <cell r="R839" t="str">
            <v>No inspection</v>
          </cell>
          <cell r="S839">
            <v>1500</v>
          </cell>
          <cell r="T839" t="str">
            <v>EXW</v>
          </cell>
          <cell r="U839" t="str">
            <v>PUR</v>
          </cell>
        </row>
        <row r="840">
          <cell r="D840">
            <v>0.8</v>
          </cell>
          <cell r="F840">
            <v>889536923360</v>
          </cell>
          <cell r="G840" t="str">
            <v>CYMMETRIK SHENZHEN PRINTING CO., LTD</v>
          </cell>
          <cell r="H840" t="str">
            <v>Delivered</v>
          </cell>
          <cell r="I840" t="str">
            <v>LABE</v>
          </cell>
          <cell r="J840" t="str">
            <v>Fedex</v>
          </cell>
          <cell r="K840" t="str">
            <v>VVMV</v>
          </cell>
          <cell r="L840" t="str">
            <v>CN</v>
          </cell>
          <cell r="M840">
            <v>46093</v>
          </cell>
          <cell r="N840">
            <v>46099</v>
          </cell>
          <cell r="O840">
            <v>46099</v>
          </cell>
          <cell r="P840">
            <v>108056025930</v>
          </cell>
          <cell r="Q840">
            <v>46097</v>
          </cell>
          <cell r="R840" t="str">
            <v>No inspection</v>
          </cell>
          <cell r="S840">
            <v>476</v>
          </cell>
          <cell r="T840" t="str">
            <v>EXW</v>
          </cell>
          <cell r="U840" t="str">
            <v>HLO</v>
          </cell>
        </row>
        <row r="841">
          <cell r="D841">
            <v>1.5</v>
          </cell>
          <cell r="F841">
            <v>399501046760</v>
          </cell>
          <cell r="G841" t="str">
            <v>TEXAS INSTRUMENTS ASIA LIMITED
C/O KWE LOGISTICS (SHENZHEN)</v>
          </cell>
          <cell r="H841" t="str">
            <v>Delivered</v>
          </cell>
          <cell r="I841" t="str">
            <v>IC 4, IC V</v>
          </cell>
          <cell r="J841" t="str">
            <v>Fedex</v>
          </cell>
          <cell r="K841" t="str">
            <v>VVMV</v>
          </cell>
          <cell r="L841" t="str">
            <v>CN</v>
          </cell>
          <cell r="M841">
            <v>46092</v>
          </cell>
          <cell r="N841">
            <v>46098</v>
          </cell>
          <cell r="O841">
            <v>46099</v>
          </cell>
          <cell r="P841">
            <v>108055346930</v>
          </cell>
          <cell r="Q841">
            <v>46097</v>
          </cell>
          <cell r="R841" t="str">
            <v>No inspection</v>
          </cell>
          <cell r="S841">
            <v>3798.9</v>
          </cell>
          <cell r="T841" t="str">
            <v>CIF</v>
          </cell>
          <cell r="U841" t="str">
            <v>EF-</v>
          </cell>
        </row>
        <row r="842">
          <cell r="D842">
            <v>2.5</v>
          </cell>
          <cell r="F842">
            <v>889533969113</v>
          </cell>
          <cell r="G842" t="str">
            <v>CHENG FWA INDUSTRIAL CO., LTD (Ina Ina Wu)</v>
          </cell>
          <cell r="H842" t="str">
            <v>Delivered</v>
          </cell>
          <cell r="I842" t="str">
            <v>BOTT</v>
          </cell>
          <cell r="J842" t="str">
            <v>Fedex</v>
          </cell>
          <cell r="K842" t="str">
            <v>VVMV</v>
          </cell>
          <cell r="L842" t="str">
            <v>TW</v>
          </cell>
          <cell r="M842">
            <v>46093</v>
          </cell>
          <cell r="N842">
            <v>46098</v>
          </cell>
          <cell r="O842">
            <v>46099</v>
          </cell>
          <cell r="P842">
            <v>108055792720</v>
          </cell>
          <cell r="Q842">
            <v>46097</v>
          </cell>
          <cell r="R842" t="str">
            <v>No inspection</v>
          </cell>
          <cell r="S842">
            <v>2</v>
          </cell>
          <cell r="T842" t="str">
            <v>CIF</v>
          </cell>
          <cell r="U842" t="str">
            <v>LUC</v>
          </cell>
        </row>
        <row r="843">
          <cell r="D843">
            <v>1.7</v>
          </cell>
          <cell r="F843">
            <v>2349245942</v>
          </cell>
          <cell r="G843" t="str">
            <v>ARROW ELECTRONICS ASIA (S) PTE LTD
C/O ARROW COMPONENTS (M) SDN BHD</v>
          </cell>
          <cell r="H843" t="str">
            <v>Delivered</v>
          </cell>
          <cell r="I843" t="str">
            <v xml:space="preserve">RES </v>
          </cell>
          <cell r="J843" t="str">
            <v>DHL</v>
          </cell>
          <cell r="K843" t="str">
            <v>VVMV</v>
          </cell>
          <cell r="L843" t="str">
            <v>MY</v>
          </cell>
          <cell r="M843">
            <v>46094</v>
          </cell>
          <cell r="N843">
            <v>46099</v>
          </cell>
          <cell r="O843">
            <v>46099</v>
          </cell>
          <cell r="P843">
            <v>108060382510</v>
          </cell>
          <cell r="Q843">
            <v>46098</v>
          </cell>
          <cell r="R843" t="str">
            <v>No inspection</v>
          </cell>
          <cell r="S843">
            <v>220.9</v>
          </cell>
          <cell r="T843" t="str">
            <v>CIF</v>
          </cell>
          <cell r="U843" t="str">
            <v>LUC</v>
          </cell>
        </row>
        <row r="844">
          <cell r="D844">
            <v>68</v>
          </cell>
          <cell r="F844">
            <v>4812893343</v>
          </cell>
          <cell r="G844" t="str">
            <v>LIPERS ENTERPRISE CO LTD</v>
          </cell>
          <cell r="H844" t="str">
            <v>Delivered</v>
          </cell>
          <cell r="I844" t="str">
            <v xml:space="preserve">CAP , RES </v>
          </cell>
          <cell r="J844" t="str">
            <v>Expeditors</v>
          </cell>
          <cell r="K844" t="str">
            <v>VVMV</v>
          </cell>
          <cell r="L844" t="str">
            <v>TW</v>
          </cell>
          <cell r="M844">
            <v>46094</v>
          </cell>
          <cell r="N844">
            <v>46098</v>
          </cell>
          <cell r="O844">
            <v>46098</v>
          </cell>
          <cell r="P844">
            <v>108055627630</v>
          </cell>
          <cell r="Q844">
            <v>46097</v>
          </cell>
          <cell r="R844" t="str">
            <v>No inspection</v>
          </cell>
          <cell r="S844">
            <v>10367.9</v>
          </cell>
          <cell r="T844" t="str">
            <v>FOB</v>
          </cell>
          <cell r="U844" t="str">
            <v>PUR</v>
          </cell>
        </row>
        <row r="845">
          <cell r="D845">
            <v>0.5</v>
          </cell>
          <cell r="F845">
            <v>5271284325</v>
          </cell>
          <cell r="G845" t="str">
            <v>lô ship 100pcs LUC-P21-KA3200-00 của track 472187350052  ship thiếu từ Heilind</v>
          </cell>
          <cell r="H845" t="str">
            <v>Delivered</v>
          </cell>
          <cell r="J845" t="str">
            <v>DHL</v>
          </cell>
          <cell r="K845" t="str">
            <v>VVMV</v>
          </cell>
          <cell r="N845">
            <v>46098</v>
          </cell>
          <cell r="O845">
            <v>46098</v>
          </cell>
          <cell r="P845" t="str">
            <v>hàng phát thẳng</v>
          </cell>
          <cell r="R845" t="str">
            <v>No inspection</v>
          </cell>
        </row>
        <row r="846">
          <cell r="D846">
            <v>316</v>
          </cell>
          <cell r="F846" t="str">
            <v>LPGPENHPH2602014-01</v>
          </cell>
          <cell r="G846" t="str">
            <v>BOSSARD (M) SDN BHD</v>
          </cell>
          <cell r="H846" t="str">
            <v>Delivered</v>
          </cell>
          <cell r="I846" t="str">
            <v>screw</v>
          </cell>
          <cell r="J846" t="str">
            <v>VVMV(sea)</v>
          </cell>
          <cell r="K846" t="str">
            <v>VVMV</v>
          </cell>
          <cell r="L846" t="str">
            <v>MY</v>
          </cell>
          <cell r="M846">
            <v>46078</v>
          </cell>
          <cell r="N846">
            <v>46101</v>
          </cell>
          <cell r="O846">
            <v>46101</v>
          </cell>
          <cell r="P846">
            <v>108064420700</v>
          </cell>
          <cell r="Q846">
            <v>46099</v>
          </cell>
          <cell r="R846" t="str">
            <v>No inspection</v>
          </cell>
          <cell r="S846">
            <v>21380</v>
          </cell>
          <cell r="T846" t="str">
            <v>EXW</v>
          </cell>
          <cell r="U846" t="str">
            <v>LUC</v>
          </cell>
        </row>
        <row r="847">
          <cell r="D847">
            <v>0.5</v>
          </cell>
          <cell r="F847">
            <v>489101255740</v>
          </cell>
          <cell r="G847" t="str">
            <v>ARROW GERMANY C/O Arrow Central Europe</v>
          </cell>
          <cell r="H847" t="str">
            <v>Delivered</v>
          </cell>
          <cell r="I847" t="str">
            <v xml:space="preserve">RES </v>
          </cell>
          <cell r="J847" t="str">
            <v>Fedex</v>
          </cell>
          <cell r="K847" t="str">
            <v>VVMV</v>
          </cell>
          <cell r="L847" t="str">
            <v>NL</v>
          </cell>
          <cell r="M847">
            <v>46093</v>
          </cell>
          <cell r="N847">
            <v>46100</v>
          </cell>
          <cell r="O847">
            <v>46100</v>
          </cell>
          <cell r="P847">
            <v>108063197910</v>
          </cell>
          <cell r="Q847">
            <v>46099</v>
          </cell>
          <cell r="R847" t="str">
            <v>No inspection</v>
          </cell>
          <cell r="S847">
            <v>14</v>
          </cell>
          <cell r="T847" t="str">
            <v>CIF</v>
          </cell>
          <cell r="U847">
            <v>121</v>
          </cell>
        </row>
        <row r="848">
          <cell r="D848">
            <v>11.5</v>
          </cell>
          <cell r="F848">
            <v>516933764227</v>
          </cell>
          <cell r="G848" t="str">
            <v>MOUSER ELECTRONICS INC</v>
          </cell>
          <cell r="H848" t="str">
            <v>Delivered</v>
          </cell>
          <cell r="I848" t="str">
            <v>IC F, LED , DIOD</v>
          </cell>
          <cell r="J848" t="str">
            <v>Fedex</v>
          </cell>
          <cell r="K848" t="str">
            <v>VVMV</v>
          </cell>
          <cell r="L848" t="str">
            <v>US</v>
          </cell>
          <cell r="M848">
            <v>46093</v>
          </cell>
          <cell r="N848">
            <v>46099</v>
          </cell>
          <cell r="O848">
            <v>46099</v>
          </cell>
          <cell r="P848">
            <v>108058961140</v>
          </cell>
          <cell r="Q848">
            <v>46098</v>
          </cell>
          <cell r="R848" t="str">
            <v>No inspection</v>
          </cell>
          <cell r="S848">
            <v>12671.57</v>
          </cell>
          <cell r="T848" t="str">
            <v>CIF</v>
          </cell>
          <cell r="U848" t="str">
            <v>PUR</v>
          </cell>
        </row>
        <row r="849">
          <cell r="D849">
            <v>24.5</v>
          </cell>
          <cell r="F849">
            <v>889498635177</v>
          </cell>
          <cell r="G849" t="str">
            <v>ARROW COMPONENTS (M) SDN BHD</v>
          </cell>
          <cell r="H849" t="str">
            <v>Delivered</v>
          </cell>
          <cell r="I849" t="str">
            <v>SERI, TRAN, IC A, IC T, IC L, CAP , RES , DIOD</v>
          </cell>
          <cell r="J849" t="str">
            <v>Fedex</v>
          </cell>
          <cell r="K849" t="str">
            <v>VVMV</v>
          </cell>
          <cell r="L849" t="str">
            <v>MY</v>
          </cell>
          <cell r="M849">
            <v>46092</v>
          </cell>
          <cell r="N849">
            <v>46100</v>
          </cell>
          <cell r="O849">
            <v>46101</v>
          </cell>
          <cell r="P849">
            <v>108064354900</v>
          </cell>
          <cell r="Q849">
            <v>46099</v>
          </cell>
          <cell r="R849" t="str">
            <v>No inspection</v>
          </cell>
          <cell r="S849">
            <v>55393</v>
          </cell>
          <cell r="T849" t="str">
            <v>EXW</v>
          </cell>
          <cell r="U849" t="str">
            <v>LUC</v>
          </cell>
        </row>
        <row r="850">
          <cell r="D850">
            <v>65</v>
          </cell>
          <cell r="F850">
            <v>515199052837</v>
          </cell>
          <cell r="G850" t="str">
            <v>AVNET ASIA PTE LTD</v>
          </cell>
          <cell r="H850" t="str">
            <v>Delivered</v>
          </cell>
          <cell r="I850" t="str">
            <v xml:space="preserve">RES , IND , FUSE, CAP , LED </v>
          </cell>
          <cell r="J850" t="str">
            <v>Fedex</v>
          </cell>
          <cell r="K850" t="str">
            <v>VVMV</v>
          </cell>
          <cell r="L850" t="str">
            <v>SG</v>
          </cell>
          <cell r="M850">
            <v>46090</v>
          </cell>
          <cell r="N850">
            <v>46099</v>
          </cell>
          <cell r="O850">
            <v>46099</v>
          </cell>
          <cell r="P850">
            <v>108060307460</v>
          </cell>
          <cell r="Q850">
            <v>46098</v>
          </cell>
          <cell r="R850" t="str">
            <v>No inspection</v>
          </cell>
          <cell r="S850">
            <v>12800.63</v>
          </cell>
          <cell r="T850" t="str">
            <v>EXW</v>
          </cell>
          <cell r="U850" t="str">
            <v>LUC</v>
          </cell>
        </row>
        <row r="851">
          <cell r="D851">
            <v>40</v>
          </cell>
          <cell r="F851">
            <v>889500331865</v>
          </cell>
          <cell r="G851" t="str">
            <v>ACTON TECHNOLOGY PTE LTD</v>
          </cell>
          <cell r="H851" t="str">
            <v>Delivered</v>
          </cell>
          <cell r="I851" t="str">
            <v>DASH</v>
          </cell>
          <cell r="J851" t="str">
            <v>Fedex</v>
          </cell>
          <cell r="K851" t="str">
            <v>VVMV</v>
          </cell>
          <cell r="L851" t="str">
            <v>SG</v>
          </cell>
          <cell r="M851">
            <v>46093</v>
          </cell>
          <cell r="N851">
            <v>46099</v>
          </cell>
          <cell r="O851">
            <v>46100</v>
          </cell>
          <cell r="P851">
            <v>108060272350</v>
          </cell>
          <cell r="Q851">
            <v>46098</v>
          </cell>
          <cell r="R851" t="str">
            <v>No inspection</v>
          </cell>
          <cell r="S851">
            <v>5760</v>
          </cell>
          <cell r="T851" t="str">
            <v>EXW</v>
          </cell>
          <cell r="U851" t="str">
            <v>LUC</v>
          </cell>
        </row>
        <row r="852">
          <cell r="D852">
            <v>6</v>
          </cell>
          <cell r="F852">
            <v>399602735095</v>
          </cell>
          <cell r="G852" t="str">
            <v>O/B ANALOG DEVICES INTERNATIONAL UC
DHL SUPPLY CHAIN MANAGEMENT PHILS</v>
          </cell>
          <cell r="H852" t="str">
            <v>Delivered</v>
          </cell>
          <cell r="I852" t="str">
            <v>IC C, IC V</v>
          </cell>
          <cell r="J852" t="str">
            <v>Fedex</v>
          </cell>
          <cell r="K852" t="str">
            <v>VVMV</v>
          </cell>
          <cell r="L852" t="str">
            <v>PH</v>
          </cell>
          <cell r="M852">
            <v>46094</v>
          </cell>
          <cell r="N852">
            <v>46099</v>
          </cell>
          <cell r="O852">
            <v>46099</v>
          </cell>
          <cell r="P852">
            <v>108059111160</v>
          </cell>
          <cell r="Q852">
            <v>46098</v>
          </cell>
          <cell r="R852" t="str">
            <v>No inspection</v>
          </cell>
          <cell r="S852">
            <v>73120</v>
          </cell>
          <cell r="T852" t="str">
            <v>EXW</v>
          </cell>
          <cell r="U852" t="str">
            <v>PUR</v>
          </cell>
        </row>
        <row r="853">
          <cell r="D853">
            <v>45.5</v>
          </cell>
          <cell r="F853">
            <v>461596510340</v>
          </cell>
          <cell r="G853" t="str">
            <v>A&amp;E RISING TECHNOLOGIES LTD</v>
          </cell>
          <cell r="H853" t="str">
            <v>Delivered</v>
          </cell>
          <cell r="I853" t="str">
            <v xml:space="preserve">PCB , FAB </v>
          </cell>
          <cell r="J853" t="str">
            <v>Fedex</v>
          </cell>
          <cell r="K853" t="str">
            <v>VVMV</v>
          </cell>
          <cell r="L853" t="str">
            <v>HK</v>
          </cell>
          <cell r="M853">
            <v>46094</v>
          </cell>
          <cell r="N853">
            <v>46100</v>
          </cell>
          <cell r="O853">
            <v>46100</v>
          </cell>
          <cell r="P853">
            <v>108060910310</v>
          </cell>
          <cell r="Q853">
            <v>46099</v>
          </cell>
          <cell r="R853" t="str">
            <v>No inspection</v>
          </cell>
          <cell r="S853">
            <v>5103.5600000000004</v>
          </cell>
          <cell r="T853" t="str">
            <v>EXW</v>
          </cell>
          <cell r="U853" t="str">
            <v>EF-</v>
          </cell>
        </row>
        <row r="854">
          <cell r="D854">
            <v>2</v>
          </cell>
          <cell r="F854">
            <v>480304816860</v>
          </cell>
          <cell r="G854" t="str">
            <v>KIOXIA AMERICA INC</v>
          </cell>
          <cell r="H854" t="str">
            <v>Delivered</v>
          </cell>
          <cell r="I854" t="str">
            <v>IC M</v>
          </cell>
          <cell r="J854" t="str">
            <v>Fedex</v>
          </cell>
          <cell r="K854" t="str">
            <v>VVMV</v>
          </cell>
          <cell r="L854" t="str">
            <v>US</v>
          </cell>
          <cell r="M854">
            <v>46091</v>
          </cell>
          <cell r="N854">
            <v>46099</v>
          </cell>
          <cell r="O854">
            <v>46099</v>
          </cell>
          <cell r="P854">
            <v>108059630820</v>
          </cell>
          <cell r="Q854">
            <v>46098</v>
          </cell>
          <cell r="R854" t="str">
            <v>No inspection</v>
          </cell>
          <cell r="S854">
            <v>42900</v>
          </cell>
          <cell r="T854" t="str">
            <v>CIF</v>
          </cell>
          <cell r="U854" t="str">
            <v>LUC</v>
          </cell>
        </row>
        <row r="855">
          <cell r="D855">
            <v>1</v>
          </cell>
          <cell r="F855">
            <v>119209695560</v>
          </cell>
          <cell r="G855" t="str">
            <v>FUTURE ELECTRONICS FICE</v>
          </cell>
          <cell r="H855" t="str">
            <v>Delivered</v>
          </cell>
          <cell r="I855" t="str">
            <v>IC,V</v>
          </cell>
          <cell r="J855" t="str">
            <v>Fedex</v>
          </cell>
          <cell r="K855" t="str">
            <v>VVMV</v>
          </cell>
          <cell r="L855" t="str">
            <v>US</v>
          </cell>
          <cell r="M855">
            <v>46094</v>
          </cell>
          <cell r="N855">
            <v>46099</v>
          </cell>
          <cell r="O855">
            <v>46099</v>
          </cell>
          <cell r="P855">
            <v>108058902710</v>
          </cell>
          <cell r="Q855">
            <v>46098</v>
          </cell>
          <cell r="R855" t="str">
            <v>No inspection</v>
          </cell>
          <cell r="S855">
            <v>1160</v>
          </cell>
          <cell r="T855" t="str">
            <v>CIF</v>
          </cell>
          <cell r="U855" t="str">
            <v>PUR</v>
          </cell>
        </row>
        <row r="856">
          <cell r="D856">
            <v>1</v>
          </cell>
          <cell r="F856">
            <v>500292470361</v>
          </cell>
          <cell r="G856" t="str">
            <v>ARROW COMPONENTS MEXICO SA De CV</v>
          </cell>
          <cell r="H856" t="str">
            <v>Delivered</v>
          </cell>
          <cell r="I856" t="str">
            <v xml:space="preserve">RES </v>
          </cell>
          <cell r="J856" t="str">
            <v>Fedex</v>
          </cell>
          <cell r="K856" t="str">
            <v>VVMV</v>
          </cell>
          <cell r="L856" t="str">
            <v>MX</v>
          </cell>
          <cell r="M856">
            <v>46070</v>
          </cell>
          <cell r="N856">
            <v>46099</v>
          </cell>
          <cell r="O856">
            <v>46099</v>
          </cell>
          <cell r="P856">
            <v>108060301860</v>
          </cell>
          <cell r="Q856">
            <v>46098</v>
          </cell>
          <cell r="R856" t="str">
            <v>No inspection</v>
          </cell>
          <cell r="S856">
            <v>66</v>
          </cell>
          <cell r="T856" t="str">
            <v>CIF</v>
          </cell>
          <cell r="U856" t="str">
            <v>LUC</v>
          </cell>
        </row>
        <row r="857">
          <cell r="D857">
            <v>2</v>
          </cell>
          <cell r="F857">
            <v>500292509251</v>
          </cell>
          <cell r="G857" t="str">
            <v>ARROW COMPONENTS MEXICO SA De CV</v>
          </cell>
          <cell r="H857" t="str">
            <v>Delivered</v>
          </cell>
          <cell r="I857" t="str">
            <v>IC S</v>
          </cell>
          <cell r="J857" t="str">
            <v>Fedex</v>
          </cell>
          <cell r="K857" t="str">
            <v>VVMV</v>
          </cell>
          <cell r="L857" t="str">
            <v>MX</v>
          </cell>
          <cell r="M857">
            <v>46087</v>
          </cell>
          <cell r="N857">
            <v>46099</v>
          </cell>
          <cell r="O857">
            <v>46099</v>
          </cell>
          <cell r="P857">
            <v>108058999420</v>
          </cell>
          <cell r="Q857">
            <v>46098</v>
          </cell>
          <cell r="R857" t="str">
            <v>No inspection</v>
          </cell>
          <cell r="S857">
            <v>6811</v>
          </cell>
          <cell r="T857" t="str">
            <v>CIF</v>
          </cell>
          <cell r="U857" t="str">
            <v>EF-</v>
          </cell>
        </row>
        <row r="858">
          <cell r="D858">
            <v>1</v>
          </cell>
          <cell r="F858">
            <v>500292509538</v>
          </cell>
          <cell r="G858" t="str">
            <v>ARROW COMPONENTS MEXICO SA De CV</v>
          </cell>
          <cell r="H858" t="str">
            <v>Delivered</v>
          </cell>
          <cell r="I858" t="str">
            <v>DIOD</v>
          </cell>
          <cell r="J858" t="str">
            <v>Fedex</v>
          </cell>
          <cell r="K858" t="str">
            <v>VVMV</v>
          </cell>
          <cell r="L858" t="str">
            <v>MX</v>
          </cell>
          <cell r="M858">
            <v>46090</v>
          </cell>
          <cell r="N858">
            <v>46099</v>
          </cell>
          <cell r="O858">
            <v>46099</v>
          </cell>
          <cell r="P858">
            <v>108059828330</v>
          </cell>
          <cell r="Q858">
            <v>46098</v>
          </cell>
          <cell r="R858" t="str">
            <v>No inspection</v>
          </cell>
          <cell r="S858">
            <v>145.5</v>
          </cell>
          <cell r="T858" t="str">
            <v>CIF</v>
          </cell>
          <cell r="U858" t="str">
            <v>PUR</v>
          </cell>
        </row>
        <row r="859">
          <cell r="D859">
            <v>0.5</v>
          </cell>
          <cell r="F859">
            <v>500292509560</v>
          </cell>
          <cell r="G859" t="str">
            <v>ARROW COMPONENTS MEXICO SA De CV</v>
          </cell>
          <cell r="H859" t="str">
            <v>Delivered</v>
          </cell>
          <cell r="I859" t="str">
            <v>DIOD</v>
          </cell>
          <cell r="J859" t="str">
            <v>Fedex</v>
          </cell>
          <cell r="K859" t="str">
            <v>VVMV</v>
          </cell>
          <cell r="L859" t="str">
            <v>MX</v>
          </cell>
          <cell r="M859">
            <v>46090</v>
          </cell>
          <cell r="N859">
            <v>46099</v>
          </cell>
          <cell r="O859">
            <v>46099</v>
          </cell>
          <cell r="P859">
            <v>108059378230</v>
          </cell>
          <cell r="Q859">
            <v>46098</v>
          </cell>
          <cell r="R859" t="str">
            <v>No inspection</v>
          </cell>
          <cell r="S859">
            <v>145.5</v>
          </cell>
          <cell r="T859" t="str">
            <v>CIF</v>
          </cell>
          <cell r="U859" t="str">
            <v>PUR</v>
          </cell>
        </row>
        <row r="860">
          <cell r="D860">
            <v>1</v>
          </cell>
          <cell r="F860">
            <v>500292513221</v>
          </cell>
          <cell r="G860" t="str">
            <v>ARROW COMPONENTS MEXICO SA De CV</v>
          </cell>
          <cell r="H860" t="str">
            <v>Delivered</v>
          </cell>
          <cell r="I860" t="str">
            <v xml:space="preserve">RES </v>
          </cell>
          <cell r="J860" t="str">
            <v>Fedex</v>
          </cell>
          <cell r="K860" t="str">
            <v>VVMV</v>
          </cell>
          <cell r="L860" t="str">
            <v>MX</v>
          </cell>
          <cell r="M860">
            <v>46090</v>
          </cell>
          <cell r="N860">
            <v>46099</v>
          </cell>
          <cell r="O860">
            <v>46099</v>
          </cell>
          <cell r="P860">
            <v>108060319400</v>
          </cell>
          <cell r="Q860">
            <v>46098</v>
          </cell>
          <cell r="R860" t="str">
            <v>No inspection</v>
          </cell>
          <cell r="S860">
            <v>143</v>
          </cell>
          <cell r="T860" t="str">
            <v>CIF</v>
          </cell>
          <cell r="U860" t="str">
            <v>LUC</v>
          </cell>
        </row>
        <row r="861">
          <cell r="D861">
            <v>0.5</v>
          </cell>
          <cell r="F861">
            <v>500292515018</v>
          </cell>
          <cell r="G861" t="str">
            <v>ARROW COMPONENTS MEXICO SA De CV</v>
          </cell>
          <cell r="H861" t="str">
            <v>Delivered</v>
          </cell>
          <cell r="I861" t="str">
            <v>TRAN</v>
          </cell>
          <cell r="J861" t="str">
            <v>Fedex</v>
          </cell>
          <cell r="K861" t="str">
            <v>VVMV</v>
          </cell>
          <cell r="L861" t="str">
            <v>MX</v>
          </cell>
          <cell r="M861">
            <v>46090</v>
          </cell>
          <cell r="N861">
            <v>46099</v>
          </cell>
          <cell r="O861">
            <v>46099</v>
          </cell>
          <cell r="P861">
            <v>108059049340</v>
          </cell>
          <cell r="Q861">
            <v>46098</v>
          </cell>
          <cell r="R861" t="str">
            <v>No inspection</v>
          </cell>
          <cell r="S861">
            <v>84</v>
          </cell>
          <cell r="T861" t="str">
            <v>CIF</v>
          </cell>
          <cell r="U861" t="str">
            <v>EF-</v>
          </cell>
        </row>
        <row r="862">
          <cell r="D862">
            <v>0.5</v>
          </cell>
          <cell r="F862">
            <v>500292514375</v>
          </cell>
          <cell r="G862" t="str">
            <v>ARROW COMPONENTS MEXICO SA De CV</v>
          </cell>
          <cell r="H862" t="str">
            <v>Delivered</v>
          </cell>
          <cell r="I862" t="str">
            <v>IC S</v>
          </cell>
          <cell r="J862" t="str">
            <v>Fedex</v>
          </cell>
          <cell r="K862" t="str">
            <v>VVMV</v>
          </cell>
          <cell r="L862" t="str">
            <v>MX</v>
          </cell>
          <cell r="M862">
            <v>46090</v>
          </cell>
          <cell r="N862">
            <v>46099</v>
          </cell>
          <cell r="O862">
            <v>46100</v>
          </cell>
          <cell r="P862">
            <v>108059951160</v>
          </cell>
          <cell r="Q862">
            <v>46098</v>
          </cell>
          <cell r="R862" t="str">
            <v>No inspection</v>
          </cell>
          <cell r="S862">
            <v>63.9</v>
          </cell>
          <cell r="T862" t="str">
            <v>CIF</v>
          </cell>
          <cell r="U862" t="str">
            <v>EF-</v>
          </cell>
        </row>
        <row r="863">
          <cell r="D863">
            <v>0.5</v>
          </cell>
          <cell r="F863">
            <v>500292513791</v>
          </cell>
          <cell r="G863" t="str">
            <v>ARROW COMPONENTS MEXICO SA De CV</v>
          </cell>
          <cell r="H863" t="str">
            <v>Delivered</v>
          </cell>
          <cell r="I863" t="str">
            <v>IC S</v>
          </cell>
          <cell r="J863" t="str">
            <v>Fedex</v>
          </cell>
          <cell r="K863" t="str">
            <v>VVMV</v>
          </cell>
          <cell r="L863" t="str">
            <v>MX</v>
          </cell>
          <cell r="M863">
            <v>46090</v>
          </cell>
          <cell r="N863">
            <v>46099</v>
          </cell>
          <cell r="O863">
            <v>46099</v>
          </cell>
          <cell r="P863">
            <v>108059986420</v>
          </cell>
          <cell r="Q863">
            <v>46098</v>
          </cell>
          <cell r="R863" t="str">
            <v>No inspection</v>
          </cell>
          <cell r="S863">
            <v>2210</v>
          </cell>
          <cell r="T863" t="str">
            <v>CIF</v>
          </cell>
          <cell r="U863" t="str">
            <v>LUC</v>
          </cell>
        </row>
        <row r="864">
          <cell r="D864">
            <v>0.5</v>
          </cell>
          <cell r="F864">
            <v>500292515062</v>
          </cell>
          <cell r="G864" t="str">
            <v>ARROW COMPONENTS MEXICO SA De CV</v>
          </cell>
          <cell r="H864" t="str">
            <v>Delivered</v>
          </cell>
          <cell r="I864" t="str">
            <v>TRAN</v>
          </cell>
          <cell r="J864" t="str">
            <v>Fedex</v>
          </cell>
          <cell r="K864" t="str">
            <v>VVMV</v>
          </cell>
          <cell r="L864" t="str">
            <v>MX</v>
          </cell>
          <cell r="M864">
            <v>46090</v>
          </cell>
          <cell r="N864">
            <v>46099</v>
          </cell>
          <cell r="O864">
            <v>46099</v>
          </cell>
          <cell r="P864">
            <v>108060335720</v>
          </cell>
          <cell r="Q864">
            <v>46098</v>
          </cell>
          <cell r="R864" t="str">
            <v>No inspection</v>
          </cell>
          <cell r="S864">
            <v>42</v>
          </cell>
          <cell r="T864" t="str">
            <v>CIF</v>
          </cell>
          <cell r="U864" t="str">
            <v>EF-</v>
          </cell>
        </row>
        <row r="865">
          <cell r="D865">
            <v>1</v>
          </cell>
          <cell r="F865">
            <v>500292516827</v>
          </cell>
          <cell r="G865" t="str">
            <v>ARROW COMPONENTS MEXICO SA De CV</v>
          </cell>
          <cell r="H865" t="str">
            <v>Delivered</v>
          </cell>
          <cell r="I865" t="str">
            <v>DIOD</v>
          </cell>
          <cell r="J865" t="str">
            <v>Fedex</v>
          </cell>
          <cell r="K865" t="str">
            <v>VVMV</v>
          </cell>
          <cell r="L865" t="str">
            <v>MX</v>
          </cell>
          <cell r="M865">
            <v>46091</v>
          </cell>
          <cell r="N865">
            <v>46099</v>
          </cell>
          <cell r="O865">
            <v>46099</v>
          </cell>
          <cell r="P865">
            <v>108059199620</v>
          </cell>
          <cell r="Q865">
            <v>46098</v>
          </cell>
          <cell r="R865" t="str">
            <v>No inspection</v>
          </cell>
          <cell r="S865">
            <v>216.3</v>
          </cell>
          <cell r="T865" t="str">
            <v>CIF</v>
          </cell>
          <cell r="U865" t="str">
            <v>EF-</v>
          </cell>
        </row>
        <row r="866">
          <cell r="D866">
            <v>40</v>
          </cell>
          <cell r="F866">
            <v>515718126971</v>
          </cell>
          <cell r="G866" t="str">
            <v>TTI INC</v>
          </cell>
          <cell r="H866" t="str">
            <v>Delivered</v>
          </cell>
          <cell r="I866" t="str">
            <v xml:space="preserve">CON </v>
          </cell>
          <cell r="J866" t="str">
            <v>Fedex</v>
          </cell>
          <cell r="K866" t="str">
            <v>VVMV</v>
          </cell>
          <cell r="L866" t="str">
            <v>US</v>
          </cell>
          <cell r="M866">
            <v>46086</v>
          </cell>
          <cell r="N866">
            <v>46099</v>
          </cell>
          <cell r="O866">
            <v>46099</v>
          </cell>
          <cell r="P866">
            <v>108060176560</v>
          </cell>
          <cell r="Q866">
            <v>46098</v>
          </cell>
          <cell r="R866" t="str">
            <v>No inspection</v>
          </cell>
          <cell r="S866">
            <v>5355</v>
          </cell>
          <cell r="T866" t="str">
            <v>CIF</v>
          </cell>
          <cell r="U866" t="str">
            <v>LUC</v>
          </cell>
        </row>
        <row r="867">
          <cell r="D867">
            <v>0.5</v>
          </cell>
          <cell r="F867">
            <v>500292519767</v>
          </cell>
          <cell r="G867" t="str">
            <v>ARROW COMPONENTS MEXICO SA De CV</v>
          </cell>
          <cell r="H867" t="str">
            <v>Delivered</v>
          </cell>
          <cell r="I867" t="str">
            <v>FERR</v>
          </cell>
          <cell r="J867" t="str">
            <v>Fedex</v>
          </cell>
          <cell r="K867" t="str">
            <v>VVMV</v>
          </cell>
          <cell r="L867" t="str">
            <v>MX</v>
          </cell>
          <cell r="M867">
            <v>46092</v>
          </cell>
          <cell r="N867">
            <v>46099</v>
          </cell>
          <cell r="O867">
            <v>46099</v>
          </cell>
          <cell r="P867">
            <v>108060053950</v>
          </cell>
          <cell r="Q867">
            <v>46098</v>
          </cell>
          <cell r="R867" t="str">
            <v>No inspection</v>
          </cell>
          <cell r="S867">
            <v>36</v>
          </cell>
          <cell r="T867" t="str">
            <v>CIF</v>
          </cell>
          <cell r="U867" t="str">
            <v>PUR</v>
          </cell>
        </row>
        <row r="868">
          <cell r="D868">
            <v>1</v>
          </cell>
          <cell r="F868">
            <v>515918572988</v>
          </cell>
          <cell r="G868" t="str">
            <v>MOUSER ELECTRONICS INC</v>
          </cell>
          <cell r="H868" t="str">
            <v>Delivered</v>
          </cell>
          <cell r="I868" t="str">
            <v xml:space="preserve">RES , CAP </v>
          </cell>
          <cell r="J868" t="str">
            <v>Fedex</v>
          </cell>
          <cell r="K868" t="str">
            <v>VVMV</v>
          </cell>
          <cell r="L868" t="str">
            <v>US</v>
          </cell>
          <cell r="M868">
            <v>46086</v>
          </cell>
          <cell r="N868">
            <v>46099</v>
          </cell>
          <cell r="O868">
            <v>46099</v>
          </cell>
          <cell r="P868">
            <v>108059938230</v>
          </cell>
          <cell r="Q868">
            <v>46098</v>
          </cell>
          <cell r="R868" t="str">
            <v>No inspection</v>
          </cell>
          <cell r="S868">
            <v>1145.43</v>
          </cell>
          <cell r="T868" t="str">
            <v>CIF</v>
          </cell>
          <cell r="U868">
            <v>122</v>
          </cell>
        </row>
        <row r="869">
          <cell r="D869">
            <v>3</v>
          </cell>
          <cell r="F869">
            <v>707296297449</v>
          </cell>
          <cell r="G869" t="str">
            <v>ARROW COMPONENTS MEXICO SA De CV</v>
          </cell>
          <cell r="H869" t="str">
            <v>Delivered</v>
          </cell>
          <cell r="I869" t="str">
            <v>DIOD</v>
          </cell>
          <cell r="J869" t="str">
            <v>Fedex</v>
          </cell>
          <cell r="K869" t="str">
            <v>VVMV</v>
          </cell>
          <cell r="L869" t="str">
            <v>MX</v>
          </cell>
          <cell r="M869">
            <v>46090</v>
          </cell>
          <cell r="N869">
            <v>46099</v>
          </cell>
          <cell r="O869">
            <v>46099</v>
          </cell>
          <cell r="P869">
            <v>108060351340</v>
          </cell>
          <cell r="Q869">
            <v>46098</v>
          </cell>
          <cell r="R869" t="str">
            <v>No inspection</v>
          </cell>
          <cell r="S869">
            <v>1254</v>
          </cell>
          <cell r="T869" t="str">
            <v>CIF</v>
          </cell>
          <cell r="U869" t="str">
            <v>LUC</v>
          </cell>
        </row>
        <row r="870">
          <cell r="D870">
            <v>1.5</v>
          </cell>
          <cell r="F870">
            <v>516933880395</v>
          </cell>
          <cell r="G870" t="str">
            <v>MOUSER ELECTRONICS INC</v>
          </cell>
          <cell r="H870" t="str">
            <v>Delivered</v>
          </cell>
          <cell r="I870" t="str">
            <v>TRAN</v>
          </cell>
          <cell r="J870" t="str">
            <v>Fedex</v>
          </cell>
          <cell r="K870" t="str">
            <v>VVMV</v>
          </cell>
          <cell r="L870" t="str">
            <v>US</v>
          </cell>
          <cell r="M870">
            <v>46094</v>
          </cell>
          <cell r="N870">
            <v>46099</v>
          </cell>
          <cell r="O870">
            <v>46099</v>
          </cell>
          <cell r="P870">
            <v>108060370460</v>
          </cell>
          <cell r="Q870">
            <v>46098</v>
          </cell>
          <cell r="R870" t="str">
            <v>No inspection</v>
          </cell>
          <cell r="S870">
            <v>1655.19</v>
          </cell>
          <cell r="T870" t="str">
            <v>CIF</v>
          </cell>
          <cell r="U870" t="str">
            <v>LUC</v>
          </cell>
        </row>
        <row r="871">
          <cell r="D871">
            <v>314</v>
          </cell>
          <cell r="F871">
            <v>889497662174</v>
          </cell>
          <cell r="G871" t="str">
            <v>FUSION TRADE PTE LTD</v>
          </cell>
          <cell r="H871" t="str">
            <v>Delivered</v>
          </cell>
          <cell r="I871" t="str">
            <v xml:space="preserve">MEM </v>
          </cell>
          <cell r="J871" t="str">
            <v>Fedex</v>
          </cell>
          <cell r="K871" t="str">
            <v>VVMV</v>
          </cell>
          <cell r="L871" t="str">
            <v>SG</v>
          </cell>
          <cell r="M871">
            <v>46092</v>
          </cell>
          <cell r="N871">
            <v>46099</v>
          </cell>
          <cell r="O871">
            <v>46099</v>
          </cell>
          <cell r="P871">
            <v>108060277360</v>
          </cell>
          <cell r="Q871">
            <v>46098</v>
          </cell>
          <cell r="R871" t="str">
            <v>No inspection</v>
          </cell>
          <cell r="S871">
            <v>667853.01</v>
          </cell>
          <cell r="T871" t="str">
            <v>CIF</v>
          </cell>
          <cell r="U871" t="str">
            <v>PUR</v>
          </cell>
        </row>
        <row r="872">
          <cell r="D872">
            <v>2</v>
          </cell>
          <cell r="F872">
            <v>493891686100</v>
          </cell>
          <cell r="G872" t="str">
            <v>FIERY, LLC.</v>
          </cell>
          <cell r="H872" t="str">
            <v>Delivered</v>
          </cell>
          <cell r="I872" t="str">
            <v>IC F</v>
          </cell>
          <cell r="J872" t="str">
            <v>Fedex</v>
          </cell>
          <cell r="K872" t="str">
            <v>VVMV</v>
          </cell>
          <cell r="L872" t="str">
            <v>US</v>
          </cell>
          <cell r="M872">
            <v>46093</v>
          </cell>
          <cell r="N872">
            <v>46099</v>
          </cell>
          <cell r="O872">
            <v>46099</v>
          </cell>
          <cell r="P872">
            <v>108060327060</v>
          </cell>
          <cell r="Q872">
            <v>46098</v>
          </cell>
          <cell r="R872" t="str">
            <v>No inspection</v>
          </cell>
          <cell r="S872">
            <v>12388.2</v>
          </cell>
          <cell r="T872" t="str">
            <v>CIF</v>
          </cell>
          <cell r="U872" t="str">
            <v>EF-</v>
          </cell>
        </row>
        <row r="873">
          <cell r="D873">
            <v>27</v>
          </cell>
          <cell r="F873">
            <v>492501429712</v>
          </cell>
          <cell r="G873" t="str">
            <v>MICROCHIP TECHNOLOGY OPS PHIL CORP</v>
          </cell>
          <cell r="H873" t="str">
            <v>Delivered</v>
          </cell>
          <cell r="I873" t="str">
            <v>IC E</v>
          </cell>
          <cell r="J873" t="str">
            <v>Fedex</v>
          </cell>
          <cell r="K873" t="str">
            <v>VVMV</v>
          </cell>
          <cell r="L873" t="str">
            <v>PH</v>
          </cell>
          <cell r="M873">
            <v>46097</v>
          </cell>
          <cell r="N873">
            <v>46099</v>
          </cell>
          <cell r="O873">
            <v>46099</v>
          </cell>
          <cell r="P873">
            <v>108060264100</v>
          </cell>
          <cell r="Q873">
            <v>46098</v>
          </cell>
          <cell r="R873" t="str">
            <v>No inspection</v>
          </cell>
          <cell r="S873">
            <v>207900</v>
          </cell>
          <cell r="T873" t="str">
            <v>EXW</v>
          </cell>
          <cell r="U873" t="str">
            <v>PUR</v>
          </cell>
        </row>
        <row r="874">
          <cell r="D874">
            <v>15</v>
          </cell>
          <cell r="F874">
            <v>889499034560</v>
          </cell>
          <cell r="G874" t="str">
            <v>STEADFAST INDUSTRIAL PTE LTD</v>
          </cell>
          <cell r="H874" t="str">
            <v>Delivered</v>
          </cell>
          <cell r="I874" t="str">
            <v>STAN</v>
          </cell>
          <cell r="J874" t="str">
            <v>Fedex</v>
          </cell>
          <cell r="K874" t="str">
            <v>VVMV</v>
          </cell>
          <cell r="L874" t="str">
            <v>SG</v>
          </cell>
          <cell r="M874">
            <v>46092</v>
          </cell>
          <cell r="N874">
            <v>46099</v>
          </cell>
          <cell r="O874">
            <v>46099</v>
          </cell>
          <cell r="P874">
            <v>108060298360</v>
          </cell>
          <cell r="Q874">
            <v>46098</v>
          </cell>
          <cell r="R874" t="str">
            <v>No inspection</v>
          </cell>
          <cell r="S874">
            <v>480</v>
          </cell>
          <cell r="T874" t="str">
            <v>EXW</v>
          </cell>
          <cell r="U874" t="str">
            <v>PUR</v>
          </cell>
        </row>
        <row r="875">
          <cell r="D875">
            <v>3.5</v>
          </cell>
          <cell r="F875">
            <v>399542902160</v>
          </cell>
          <cell r="G875" t="str">
            <v>c/o DHL Supply Chain SGP P/L
Texas Instruments Southeast Asia Pt</v>
          </cell>
          <cell r="H875" t="str">
            <v>Delivered</v>
          </cell>
          <cell r="I875" t="str">
            <v>IC S</v>
          </cell>
          <cell r="J875" t="str">
            <v>Fedex</v>
          </cell>
          <cell r="K875" t="str">
            <v>VVMV</v>
          </cell>
          <cell r="L875" t="str">
            <v>SG</v>
          </cell>
          <cell r="M875">
            <v>46093</v>
          </cell>
          <cell r="N875">
            <v>46099</v>
          </cell>
          <cell r="O875">
            <v>46099</v>
          </cell>
          <cell r="P875">
            <v>108060163850</v>
          </cell>
          <cell r="Q875">
            <v>46098</v>
          </cell>
          <cell r="R875" t="str">
            <v>No inspection</v>
          </cell>
          <cell r="S875">
            <v>1080</v>
          </cell>
          <cell r="T875" t="str">
            <v>EXW</v>
          </cell>
          <cell r="U875" t="str">
            <v>PUR</v>
          </cell>
        </row>
        <row r="876">
          <cell r="D876">
            <v>9</v>
          </cell>
          <cell r="F876">
            <v>399537725784</v>
          </cell>
          <cell r="G876" t="str">
            <v>c/o DHL Supply Chain SGP P/L
Texas Instruments Southeast Asia Pt</v>
          </cell>
          <cell r="H876" t="str">
            <v>Delivered</v>
          </cell>
          <cell r="I876" t="str">
            <v>IC T, IC M</v>
          </cell>
          <cell r="J876" t="str">
            <v>Fedex</v>
          </cell>
          <cell r="K876" t="str">
            <v>VVMV</v>
          </cell>
          <cell r="L876" t="str">
            <v>SG</v>
          </cell>
          <cell r="M876">
            <v>46093</v>
          </cell>
          <cell r="N876">
            <v>46099</v>
          </cell>
          <cell r="O876">
            <v>46099</v>
          </cell>
          <cell r="P876">
            <v>108060304220</v>
          </cell>
          <cell r="Q876">
            <v>46098</v>
          </cell>
          <cell r="R876" t="str">
            <v>No inspection</v>
          </cell>
          <cell r="S876">
            <v>14852</v>
          </cell>
          <cell r="T876" t="str">
            <v>EXW</v>
          </cell>
          <cell r="U876" t="str">
            <v>LUC</v>
          </cell>
        </row>
        <row r="877">
          <cell r="D877">
            <v>5412</v>
          </cell>
          <cell r="F877" t="str">
            <v>SEBL26030026</v>
          </cell>
          <cell r="G877" t="str">
            <v>SHENNAN CIRCUITS CO.,LTD</v>
          </cell>
          <cell r="H877" t="str">
            <v>Delivered</v>
          </cell>
          <cell r="I877" t="str">
            <v xml:space="preserve">PCB </v>
          </cell>
          <cell r="J877" t="str">
            <v>Dragon</v>
          </cell>
          <cell r="K877" t="str">
            <v>VVMV</v>
          </cell>
          <cell r="L877" t="str">
            <v>CN</v>
          </cell>
          <cell r="M877">
            <v>46095</v>
          </cell>
          <cell r="N877">
            <v>46104</v>
          </cell>
          <cell r="O877">
            <v>46104</v>
          </cell>
          <cell r="P877">
            <v>108068282930</v>
          </cell>
          <cell r="Q877">
            <v>46100</v>
          </cell>
          <cell r="R877" t="str">
            <v>No inspection</v>
          </cell>
          <cell r="S877">
            <v>277580.2</v>
          </cell>
          <cell r="T877" t="str">
            <v>DAP</v>
          </cell>
          <cell r="U877" t="str">
            <v>LUC</v>
          </cell>
        </row>
        <row r="878">
          <cell r="D878">
            <v>1.5</v>
          </cell>
          <cell r="F878">
            <v>515819777875</v>
          </cell>
          <cell r="G878" t="str">
            <v>MICRON SEMICONDUCTOR XIAN CO, LTD</v>
          </cell>
          <cell r="H878" t="str">
            <v>Delivered</v>
          </cell>
          <cell r="I878" t="str">
            <v xml:space="preserve">MEM </v>
          </cell>
          <cell r="J878" t="str">
            <v>Fedex</v>
          </cell>
          <cell r="K878" t="str">
            <v>VVMV</v>
          </cell>
          <cell r="L878" t="str">
            <v>CN</v>
          </cell>
          <cell r="M878">
            <v>46097</v>
          </cell>
          <cell r="N878">
            <v>46101</v>
          </cell>
          <cell r="O878">
            <v>46104</v>
          </cell>
          <cell r="P878">
            <v>108067857000</v>
          </cell>
          <cell r="Q878">
            <v>46100</v>
          </cell>
          <cell r="R878" t="str">
            <v>No inspection</v>
          </cell>
          <cell r="S878">
            <v>6091.5</v>
          </cell>
          <cell r="T878" t="str">
            <v>EXW</v>
          </cell>
          <cell r="U878" t="str">
            <v>HLO</v>
          </cell>
        </row>
        <row r="879">
          <cell r="D879">
            <v>0.5</v>
          </cell>
          <cell r="F879">
            <v>399580262167</v>
          </cell>
          <cell r="G879" t="str">
            <v>TEXAS INSTRUMENTS ASIA LIMITED
C/O KWE LOGISTICS (SHENZHEN)</v>
          </cell>
          <cell r="H879" t="str">
            <v>Delivered</v>
          </cell>
          <cell r="I879" t="str">
            <v>IC B, IC T</v>
          </cell>
          <cell r="J879" t="str">
            <v>Fedex</v>
          </cell>
          <cell r="K879" t="str">
            <v>VVMV</v>
          </cell>
          <cell r="L879" t="str">
            <v>CN</v>
          </cell>
          <cell r="M879">
            <v>46094</v>
          </cell>
          <cell r="N879">
            <v>46100</v>
          </cell>
          <cell r="O879">
            <v>46101</v>
          </cell>
          <cell r="P879">
            <v>108064259000</v>
          </cell>
          <cell r="Q879">
            <v>46099</v>
          </cell>
          <cell r="R879" t="str">
            <v>No inspection</v>
          </cell>
          <cell r="S879">
            <v>119.5</v>
          </cell>
          <cell r="T879" t="str">
            <v>CIF</v>
          </cell>
          <cell r="U879">
            <v>111</v>
          </cell>
        </row>
        <row r="880">
          <cell r="D880">
            <v>13</v>
          </cell>
          <cell r="F880">
            <v>679865598995</v>
          </cell>
          <cell r="G880" t="str">
            <v>AVNET TECH HK LTD (1602 - HX64)</v>
          </cell>
          <cell r="H880" t="str">
            <v>Delivered</v>
          </cell>
          <cell r="I880" t="str">
            <v>IC A</v>
          </cell>
          <cell r="J880" t="str">
            <v>Fedex</v>
          </cell>
          <cell r="K880" t="str">
            <v>VVMV</v>
          </cell>
          <cell r="L880" t="str">
            <v>HK</v>
          </cell>
          <cell r="M880">
            <v>46097</v>
          </cell>
          <cell r="N880">
            <v>46100</v>
          </cell>
          <cell r="O880">
            <v>46101</v>
          </cell>
          <cell r="P880">
            <v>108064276020</v>
          </cell>
          <cell r="Q880">
            <v>46099</v>
          </cell>
          <cell r="R880" t="str">
            <v>No inspection</v>
          </cell>
          <cell r="S880">
            <v>42768</v>
          </cell>
          <cell r="T880" t="str">
            <v>EXW</v>
          </cell>
          <cell r="U880" t="str">
            <v>LUC</v>
          </cell>
        </row>
        <row r="881">
          <cell r="D881">
            <v>2</v>
          </cell>
          <cell r="F881">
            <v>515819778919</v>
          </cell>
          <cell r="G881" t="str">
            <v>MICRON SEMICONDUCTOR XIAN CO, LTD</v>
          </cell>
          <cell r="H881" t="str">
            <v>Delivered</v>
          </cell>
          <cell r="I881" t="str">
            <v xml:space="preserve">MEM </v>
          </cell>
          <cell r="J881" t="str">
            <v>Fedex</v>
          </cell>
          <cell r="K881" t="str">
            <v>VVMV</v>
          </cell>
          <cell r="L881" t="str">
            <v>CN</v>
          </cell>
          <cell r="M881">
            <v>46097</v>
          </cell>
          <cell r="N881">
            <v>46100</v>
          </cell>
          <cell r="O881">
            <v>46100</v>
          </cell>
          <cell r="P881">
            <v>108064153150</v>
          </cell>
          <cell r="Q881">
            <v>46099</v>
          </cell>
          <cell r="R881" t="str">
            <v>No inspection</v>
          </cell>
          <cell r="S881">
            <v>13420</v>
          </cell>
          <cell r="T881" t="str">
            <v>EXW</v>
          </cell>
          <cell r="U881" t="str">
            <v>PUR</v>
          </cell>
        </row>
        <row r="882">
          <cell r="D882">
            <v>194</v>
          </cell>
          <cell r="F882">
            <v>4711921058</v>
          </cell>
          <cell r="G882" t="str">
            <v>AVNET ASIA PTE LTD</v>
          </cell>
          <cell r="H882" t="str">
            <v>Delivered</v>
          </cell>
          <cell r="I882" t="str">
            <v>CAP , IND , RES , FERR, TRAN, CONN</v>
          </cell>
          <cell r="J882" t="str">
            <v>Expeditors</v>
          </cell>
          <cell r="K882" t="str">
            <v>VVMV</v>
          </cell>
          <cell r="L882" t="str">
            <v>SG</v>
          </cell>
          <cell r="M882">
            <v>46099</v>
          </cell>
          <cell r="N882">
            <v>46100</v>
          </cell>
          <cell r="O882">
            <v>46100</v>
          </cell>
          <cell r="P882">
            <v>108064931440</v>
          </cell>
          <cell r="Q882">
            <v>46100</v>
          </cell>
          <cell r="R882" t="str">
            <v>No inspection</v>
          </cell>
          <cell r="S882">
            <v>33224.300000000003</v>
          </cell>
          <cell r="T882" t="str">
            <v>EXW</v>
          </cell>
          <cell r="U882" t="str">
            <v>LUC</v>
          </cell>
        </row>
        <row r="883">
          <cell r="F883">
            <v>518050366594</v>
          </cell>
          <cell r="G883" t="str">
            <v>dđã mail cho Fedex báo Reject</v>
          </cell>
          <cell r="H883" t="str">
            <v>on the way</v>
          </cell>
          <cell r="J883" t="str">
            <v>Fedex</v>
          </cell>
          <cell r="K883" t="str">
            <v>VVMV</v>
          </cell>
          <cell r="P883" t="str">
            <v>Reject</v>
          </cell>
          <cell r="R883" t="str">
            <v>No inspection</v>
          </cell>
        </row>
        <row r="884">
          <cell r="D884">
            <v>6.5</v>
          </cell>
          <cell r="F884">
            <v>889865939294</v>
          </cell>
          <cell r="G884" t="str">
            <v>BELLWETHER ELECTRONIC CORP.</v>
          </cell>
          <cell r="H884" t="str">
            <v>Delivered</v>
          </cell>
          <cell r="I884" t="str">
            <v>CONN</v>
          </cell>
          <cell r="J884" t="str">
            <v>Fedex</v>
          </cell>
          <cell r="K884" t="str">
            <v>VVMV</v>
          </cell>
          <cell r="L884" t="str">
            <v>HK</v>
          </cell>
          <cell r="M884">
            <v>46105</v>
          </cell>
          <cell r="N884">
            <v>46108</v>
          </cell>
          <cell r="O884">
            <v>46108</v>
          </cell>
          <cell r="P884">
            <v>108089136960</v>
          </cell>
          <cell r="Q884">
            <v>46107</v>
          </cell>
          <cell r="R884" t="str">
            <v>No inspection</v>
          </cell>
          <cell r="S884">
            <v>12600</v>
          </cell>
          <cell r="T884" t="str">
            <v>EXW</v>
          </cell>
          <cell r="U884" t="str">
            <v>AIC</v>
          </cell>
        </row>
        <row r="885">
          <cell r="D885">
            <v>688</v>
          </cell>
          <cell r="F885" t="str">
            <v>PLISGFE00095</v>
          </cell>
          <cell r="G885" t="str">
            <v>FUTURE ELECTRONICS INC. (DISTRIBUTION) PTE LTD</v>
          </cell>
          <cell r="H885" t="str">
            <v>Delivered</v>
          </cell>
          <cell r="J885" t="str">
            <v>LX</v>
          </cell>
          <cell r="K885" t="str">
            <v>VVMV</v>
          </cell>
          <cell r="L885" t="str">
            <v>SG</v>
          </cell>
          <cell r="M885">
            <v>46099</v>
          </cell>
          <cell r="N885">
            <v>46104</v>
          </cell>
          <cell r="O885">
            <v>46104</v>
          </cell>
          <cell r="P885">
            <v>108067779520</v>
          </cell>
          <cell r="Q885">
            <v>46100</v>
          </cell>
          <cell r="R885" t="str">
            <v>No inspection</v>
          </cell>
          <cell r="S885">
            <v>131639.81</v>
          </cell>
          <cell r="T885" t="str">
            <v>DAP</v>
          </cell>
          <cell r="U885" t="str">
            <v>LUC, AIC</v>
          </cell>
        </row>
        <row r="886">
          <cell r="D886">
            <v>985</v>
          </cell>
          <cell r="F886" t="str">
            <v>LSHHPH2602054</v>
          </cell>
          <cell r="G886" t="str">
            <v>SUZHOU CURRENT ELECTRIC LIMITED COMPANY</v>
          </cell>
          <cell r="H886" t="str">
            <v>Delivered</v>
          </cell>
          <cell r="I886" t="str">
            <v>BUSB</v>
          </cell>
          <cell r="J886" t="str">
            <v>Dolphin(sea)</v>
          </cell>
          <cell r="K886" t="str">
            <v>Dolphin</v>
          </cell>
          <cell r="L886" t="str">
            <v>CN</v>
          </cell>
          <cell r="M886">
            <v>46097</v>
          </cell>
          <cell r="N886">
            <v>46104</v>
          </cell>
          <cell r="O886">
            <v>46102</v>
          </cell>
          <cell r="P886">
            <v>108067930940</v>
          </cell>
          <cell r="Q886">
            <v>46100</v>
          </cell>
          <cell r="R886" t="str">
            <v>No inspection</v>
          </cell>
          <cell r="S886">
            <v>30240</v>
          </cell>
          <cell r="T886" t="str">
            <v>EXW</v>
          </cell>
          <cell r="U886" t="str">
            <v>LUC</v>
          </cell>
        </row>
        <row r="887">
          <cell r="D887">
            <v>11.5</v>
          </cell>
          <cell r="F887">
            <v>510007317632</v>
          </cell>
          <cell r="G887" t="str">
            <v>SINO FAITH TECHNOLOGY  DVPT LTD</v>
          </cell>
          <cell r="H887" t="str">
            <v>Delivered</v>
          </cell>
          <cell r="I887" t="str">
            <v>CAP , RES , FERR, DIOD, CAPC</v>
          </cell>
          <cell r="J887" t="str">
            <v>Fedex</v>
          </cell>
          <cell r="K887" t="str">
            <v>VVMV</v>
          </cell>
          <cell r="L887" t="str">
            <v>HK</v>
          </cell>
          <cell r="M887">
            <v>46099</v>
          </cell>
          <cell r="N887">
            <v>46104</v>
          </cell>
          <cell r="O887">
            <v>46104</v>
          </cell>
          <cell r="P887">
            <v>108071920130</v>
          </cell>
          <cell r="Q887">
            <v>46101</v>
          </cell>
          <cell r="R887" t="str">
            <v>No inspection</v>
          </cell>
          <cell r="S887">
            <v>4089.16</v>
          </cell>
          <cell r="T887" t="str">
            <v>EXW</v>
          </cell>
          <cell r="U887" t="str">
            <v>PUR</v>
          </cell>
        </row>
        <row r="888">
          <cell r="D888">
            <v>1.5</v>
          </cell>
          <cell r="F888">
            <v>399676315863</v>
          </cell>
          <cell r="G888" t="str">
            <v>O/B ANALOG DEVICES INTERNATIONAL UC
DHL SUPPLY CHAIN MANAGEMENT PHILS</v>
          </cell>
          <cell r="H888" t="str">
            <v>Delivered</v>
          </cell>
          <cell r="I888" t="str">
            <v>IC C</v>
          </cell>
          <cell r="J888" t="str">
            <v>Fedex</v>
          </cell>
          <cell r="K888" t="str">
            <v>VVMV</v>
          </cell>
          <cell r="L888" t="str">
            <v>PH</v>
          </cell>
          <cell r="M888">
            <v>46098</v>
          </cell>
          <cell r="N888">
            <v>46101</v>
          </cell>
          <cell r="O888">
            <v>46101</v>
          </cell>
          <cell r="P888">
            <v>108068069650</v>
          </cell>
          <cell r="Q888">
            <v>46100</v>
          </cell>
          <cell r="R888" t="str">
            <v>No inspection</v>
          </cell>
          <cell r="S888">
            <v>17050</v>
          </cell>
          <cell r="T888" t="str">
            <v>EXW</v>
          </cell>
          <cell r="U888" t="str">
            <v>PUR</v>
          </cell>
        </row>
        <row r="889">
          <cell r="D889">
            <v>2</v>
          </cell>
          <cell r="F889">
            <v>399652340970</v>
          </cell>
          <cell r="G889" t="str">
            <v>WURTH ELECTRONICS MIDCOM</v>
          </cell>
          <cell r="H889" t="str">
            <v>Delivered</v>
          </cell>
          <cell r="I889" t="str">
            <v>INDU</v>
          </cell>
          <cell r="J889" t="str">
            <v>Fedex</v>
          </cell>
          <cell r="K889" t="str">
            <v>VVMV</v>
          </cell>
          <cell r="L889" t="str">
            <v>US</v>
          </cell>
          <cell r="M889">
            <v>46097</v>
          </cell>
          <cell r="N889">
            <v>46101</v>
          </cell>
          <cell r="O889">
            <v>46101</v>
          </cell>
          <cell r="P889">
            <v>108067356830</v>
          </cell>
          <cell r="Q889">
            <v>46100</v>
          </cell>
          <cell r="R889" t="str">
            <v>No inspection</v>
          </cell>
          <cell r="S889">
            <v>360</v>
          </cell>
          <cell r="T889" t="str">
            <v>CIF</v>
          </cell>
          <cell r="U889" t="str">
            <v>EF-</v>
          </cell>
        </row>
        <row r="890">
          <cell r="D890">
            <v>3</v>
          </cell>
          <cell r="F890">
            <v>515328690539</v>
          </cell>
          <cell r="G890" t="str">
            <v>NIHON DEMPA KOGYO CO. LTD</v>
          </cell>
          <cell r="H890" t="str">
            <v>Delivered</v>
          </cell>
          <cell r="I890" t="str">
            <v>CRYS</v>
          </cell>
          <cell r="J890" t="str">
            <v>Fedex</v>
          </cell>
          <cell r="K890" t="str">
            <v>VVMV</v>
          </cell>
          <cell r="L890" t="str">
            <v>JP</v>
          </cell>
          <cell r="M890">
            <v>46097</v>
          </cell>
          <cell r="N890">
            <v>46104</v>
          </cell>
          <cell r="O890">
            <v>46104</v>
          </cell>
          <cell r="P890">
            <v>108068876530</v>
          </cell>
          <cell r="Q890">
            <v>46101</v>
          </cell>
          <cell r="R890" t="str">
            <v>No inspection</v>
          </cell>
          <cell r="S890">
            <v>4140</v>
          </cell>
          <cell r="T890" t="str">
            <v>EXW</v>
          </cell>
          <cell r="U890" t="str">
            <v>LUC</v>
          </cell>
        </row>
        <row r="891">
          <cell r="D891">
            <v>1.5</v>
          </cell>
          <cell r="F891">
            <v>430998658720</v>
          </cell>
          <cell r="G891" t="str">
            <v>MICROCHIP TECNOLOGY(TH) CO LTD</v>
          </cell>
          <cell r="H891" t="str">
            <v>Delivered</v>
          </cell>
          <cell r="I891" t="str">
            <v xml:space="preserve">OSC </v>
          </cell>
          <cell r="J891" t="str">
            <v>Fedex</v>
          </cell>
          <cell r="K891" t="str">
            <v>VVMV</v>
          </cell>
          <cell r="L891" t="str">
            <v>TH</v>
          </cell>
          <cell r="M891">
            <v>46098</v>
          </cell>
          <cell r="N891">
            <v>46104</v>
          </cell>
          <cell r="O891">
            <v>46104</v>
          </cell>
          <cell r="P891">
            <v>108069008830</v>
          </cell>
          <cell r="Q891">
            <v>46101</v>
          </cell>
          <cell r="R891" t="str">
            <v>No inspection</v>
          </cell>
          <cell r="S891">
            <v>1185.8</v>
          </cell>
          <cell r="T891" t="str">
            <v>EXW</v>
          </cell>
          <cell r="U891" t="str">
            <v>PUR</v>
          </cell>
        </row>
        <row r="892">
          <cell r="D892">
            <v>4</v>
          </cell>
          <cell r="F892">
            <v>615498843482</v>
          </cell>
          <cell r="G892" t="str">
            <v>FUTURE ELECTRONICS LTD.</v>
          </cell>
          <cell r="H892" t="str">
            <v>Delivered</v>
          </cell>
          <cell r="I892" t="str">
            <v>TRAN</v>
          </cell>
          <cell r="J892" t="str">
            <v>Fedex</v>
          </cell>
          <cell r="K892" t="str">
            <v>VVMV</v>
          </cell>
          <cell r="L892" t="str">
            <v>DE</v>
          </cell>
          <cell r="M892">
            <v>46098</v>
          </cell>
          <cell r="N892">
            <v>46101</v>
          </cell>
          <cell r="O892">
            <v>46101</v>
          </cell>
          <cell r="P892">
            <v>108067424840</v>
          </cell>
          <cell r="Q892">
            <v>46100</v>
          </cell>
          <cell r="R892" t="str">
            <v>No inspection</v>
          </cell>
          <cell r="S892">
            <v>6921</v>
          </cell>
          <cell r="T892" t="str">
            <v>CIF</v>
          </cell>
          <cell r="U892" t="str">
            <v>LUC</v>
          </cell>
        </row>
        <row r="893">
          <cell r="D893">
            <v>0.5</v>
          </cell>
          <cell r="F893">
            <v>889687591404</v>
          </cell>
          <cell r="G893" t="str">
            <v>WURTH ELEKTRONIK FRANCE</v>
          </cell>
          <cell r="H893" t="str">
            <v>Delivered</v>
          </cell>
          <cell r="I893" t="str">
            <v>CONN</v>
          </cell>
          <cell r="J893" t="str">
            <v>Fedex</v>
          </cell>
          <cell r="K893" t="str">
            <v>VVMV</v>
          </cell>
          <cell r="L893" t="str">
            <v>FR</v>
          </cell>
          <cell r="M893">
            <v>46098</v>
          </cell>
          <cell r="N893">
            <v>46101</v>
          </cell>
          <cell r="O893">
            <v>46101</v>
          </cell>
          <cell r="P893">
            <v>108068170600</v>
          </cell>
          <cell r="Q893">
            <v>46100</v>
          </cell>
          <cell r="R893" t="str">
            <v>No inspection</v>
          </cell>
          <cell r="S893">
            <v>47</v>
          </cell>
          <cell r="T893" t="str">
            <v>CIF</v>
          </cell>
          <cell r="U893" t="str">
            <v>EF-</v>
          </cell>
        </row>
        <row r="894">
          <cell r="D894">
            <v>1.5</v>
          </cell>
          <cell r="F894">
            <v>515819812778</v>
          </cell>
          <cell r="G894" t="str">
            <v>Micron Memory Malaysia Sdn. Bh</v>
          </cell>
          <cell r="H894" t="str">
            <v>Delivered</v>
          </cell>
          <cell r="I894" t="str">
            <v xml:space="preserve">MEM </v>
          </cell>
          <cell r="J894" t="str">
            <v>Fedex</v>
          </cell>
          <cell r="K894" t="str">
            <v>VVMV</v>
          </cell>
          <cell r="L894" t="str">
            <v>MY</v>
          </cell>
          <cell r="M894">
            <v>46099</v>
          </cell>
          <cell r="N894">
            <v>46104</v>
          </cell>
          <cell r="O894">
            <v>46104</v>
          </cell>
          <cell r="P894">
            <v>108068928220</v>
          </cell>
          <cell r="Q894">
            <v>46101</v>
          </cell>
          <cell r="R894" t="str">
            <v>No inspection</v>
          </cell>
          <cell r="S894">
            <v>11912</v>
          </cell>
          <cell r="T894" t="str">
            <v>CIF</v>
          </cell>
          <cell r="U894" t="str">
            <v>PUR</v>
          </cell>
        </row>
        <row r="895">
          <cell r="D895">
            <v>14.5</v>
          </cell>
          <cell r="F895">
            <v>472187603169</v>
          </cell>
          <cell r="G895" t="str">
            <v>HEILIND ASIA PACIFIC</v>
          </cell>
          <cell r="H895" t="str">
            <v>Delivered</v>
          </cell>
          <cell r="I895" t="str">
            <v>CONN</v>
          </cell>
          <cell r="J895" t="str">
            <v>Fedex</v>
          </cell>
          <cell r="K895" t="str">
            <v>VVMV</v>
          </cell>
          <cell r="L895" t="str">
            <v>HK</v>
          </cell>
          <cell r="M895">
            <v>46098</v>
          </cell>
          <cell r="N895">
            <v>46101</v>
          </cell>
          <cell r="O895">
            <v>46104</v>
          </cell>
          <cell r="P895">
            <v>108068133460</v>
          </cell>
          <cell r="Q895">
            <v>46100</v>
          </cell>
          <cell r="R895" t="str">
            <v>No inspection</v>
          </cell>
          <cell r="S895">
            <v>2010.25</v>
          </cell>
          <cell r="T895" t="str">
            <v>EXW</v>
          </cell>
          <cell r="U895" t="str">
            <v>EF-</v>
          </cell>
        </row>
        <row r="896">
          <cell r="D896">
            <v>16.5</v>
          </cell>
          <cell r="F896">
            <v>471797725763</v>
          </cell>
          <cell r="G896" t="str">
            <v>LIPERS ENTERPRISE CO., LTD.</v>
          </cell>
          <cell r="H896" t="str">
            <v>Delivered</v>
          </cell>
          <cell r="I896" t="str">
            <v xml:space="preserve">CAP </v>
          </cell>
          <cell r="J896" t="str">
            <v>Fedex</v>
          </cell>
          <cell r="K896" t="str">
            <v>VVMV</v>
          </cell>
          <cell r="L896" t="str">
            <v>TW</v>
          </cell>
          <cell r="M896">
            <v>46097</v>
          </cell>
          <cell r="N896">
            <v>46101</v>
          </cell>
          <cell r="O896">
            <v>46104</v>
          </cell>
          <cell r="P896">
            <v>108068193920</v>
          </cell>
          <cell r="Q896">
            <v>46100</v>
          </cell>
          <cell r="R896" t="str">
            <v>No inspection</v>
          </cell>
          <cell r="S896">
            <v>574.20000000000005</v>
          </cell>
          <cell r="T896" t="str">
            <v>EXW</v>
          </cell>
          <cell r="U896" t="str">
            <v>HLO</v>
          </cell>
        </row>
        <row r="897">
          <cell r="D897">
            <v>9.4</v>
          </cell>
          <cell r="F897" t="str">
            <v>8XN3566</v>
          </cell>
          <cell r="G897" t="str">
            <v>KIOXIA CORPORATION C/O KIOXIA AMERICA INC</v>
          </cell>
          <cell r="H897" t="str">
            <v>Delivered</v>
          </cell>
          <cell r="I897" t="str">
            <v xml:space="preserve">MEM </v>
          </cell>
          <cell r="J897" t="str">
            <v>DHL( global)</v>
          </cell>
          <cell r="K897" t="str">
            <v>VVMV</v>
          </cell>
          <cell r="L897" t="str">
            <v>JP</v>
          </cell>
          <cell r="M897">
            <v>46098</v>
          </cell>
          <cell r="N897">
            <v>46101</v>
          </cell>
          <cell r="O897">
            <v>46101</v>
          </cell>
          <cell r="P897">
            <v>108067600760</v>
          </cell>
          <cell r="Q897">
            <v>46100</v>
          </cell>
          <cell r="R897" t="str">
            <v>No inspection</v>
          </cell>
          <cell r="S897">
            <v>593361.37</v>
          </cell>
          <cell r="T897" t="str">
            <v>DAP</v>
          </cell>
          <cell r="U897" t="str">
            <v>PUR</v>
          </cell>
        </row>
        <row r="898">
          <cell r="D898">
            <v>1</v>
          </cell>
          <cell r="F898">
            <v>515510847045</v>
          </cell>
          <cell r="G898" t="str">
            <v>SAMTEC ASIA PACIFIC PTE LTD</v>
          </cell>
          <cell r="H898" t="str">
            <v>Delivered</v>
          </cell>
          <cell r="I898" t="str">
            <v>CONN</v>
          </cell>
          <cell r="J898" t="str">
            <v>Fedex</v>
          </cell>
          <cell r="K898" t="str">
            <v>VVMV</v>
          </cell>
          <cell r="L898" t="str">
            <v>SG</v>
          </cell>
          <cell r="M898">
            <v>46099</v>
          </cell>
          <cell r="N898">
            <v>46101</v>
          </cell>
          <cell r="O898">
            <v>46101</v>
          </cell>
          <cell r="P898">
            <v>108068196720</v>
          </cell>
          <cell r="Q898">
            <v>46100</v>
          </cell>
          <cell r="R898" t="str">
            <v>No inspection</v>
          </cell>
          <cell r="S898">
            <v>66.599999999999994</v>
          </cell>
          <cell r="T898" t="str">
            <v>CIF</v>
          </cell>
          <cell r="U898" t="str">
            <v>EF-</v>
          </cell>
        </row>
        <row r="899">
          <cell r="D899">
            <v>2</v>
          </cell>
          <cell r="F899">
            <v>5973778823</v>
          </cell>
          <cell r="G899" t="str">
            <v>FUTURE ELECTRONICS (ADC)</v>
          </cell>
          <cell r="H899" t="str">
            <v>Delivered</v>
          </cell>
          <cell r="I899" t="str">
            <v xml:space="preserve">LED </v>
          </cell>
          <cell r="J899" t="str">
            <v>DHL</v>
          </cell>
          <cell r="K899" t="str">
            <v>VVMV</v>
          </cell>
          <cell r="L899" t="str">
            <v>SG</v>
          </cell>
          <cell r="M899">
            <v>46098</v>
          </cell>
          <cell r="N899">
            <v>46101</v>
          </cell>
          <cell r="O899">
            <v>46101</v>
          </cell>
          <cell r="P899">
            <v>108068052520</v>
          </cell>
          <cell r="Q899">
            <v>46100</v>
          </cell>
          <cell r="R899" t="str">
            <v>No inspection</v>
          </cell>
          <cell r="S899">
            <v>682</v>
          </cell>
          <cell r="T899" t="str">
            <v>CIF</v>
          </cell>
          <cell r="U899" t="str">
            <v>HLO</v>
          </cell>
        </row>
        <row r="900">
          <cell r="D900">
            <v>2.6</v>
          </cell>
          <cell r="F900">
            <v>409298913074</v>
          </cell>
          <cell r="G900" t="str">
            <v>TTI ELECTRONICS ASIA PTE LTD</v>
          </cell>
          <cell r="H900" t="str">
            <v>Delivered</v>
          </cell>
          <cell r="I900" t="str">
            <v xml:space="preserve">CAP , RES </v>
          </cell>
          <cell r="J900" t="str">
            <v>Fedex</v>
          </cell>
          <cell r="K900" t="str">
            <v>VVMV</v>
          </cell>
          <cell r="L900" t="str">
            <v>SG</v>
          </cell>
          <cell r="M900">
            <v>46094</v>
          </cell>
          <cell r="N900">
            <v>46104</v>
          </cell>
          <cell r="O900">
            <v>46104</v>
          </cell>
          <cell r="P900">
            <v>108070803150</v>
          </cell>
          <cell r="Q900">
            <v>46101</v>
          </cell>
          <cell r="R900" t="str">
            <v>No inspection</v>
          </cell>
          <cell r="S900">
            <v>1152.45</v>
          </cell>
          <cell r="T900" t="str">
            <v>EXW</v>
          </cell>
          <cell r="U900" t="str">
            <v>LUC</v>
          </cell>
        </row>
        <row r="901">
          <cell r="D901">
            <v>2.5</v>
          </cell>
          <cell r="F901">
            <v>889572342563</v>
          </cell>
          <cell r="G901" t="str">
            <v>SUNLORD ELECTRONICS TECHNOLOGY PTE</v>
          </cell>
          <cell r="H901" t="str">
            <v>Delivered</v>
          </cell>
          <cell r="I901" t="str">
            <v xml:space="preserve">RES </v>
          </cell>
          <cell r="J901" t="str">
            <v>Fedex</v>
          </cell>
          <cell r="K901" t="str">
            <v>VVMV</v>
          </cell>
          <cell r="L901" t="str">
            <v>SG</v>
          </cell>
          <cell r="M901">
            <v>46094</v>
          </cell>
          <cell r="N901">
            <v>46104</v>
          </cell>
          <cell r="O901">
            <v>46104</v>
          </cell>
          <cell r="P901">
            <v>108071737210</v>
          </cell>
          <cell r="Q901">
            <v>46101</v>
          </cell>
          <cell r="R901" t="str">
            <v>No inspection</v>
          </cell>
          <cell r="S901">
            <v>501.1</v>
          </cell>
          <cell r="T901" t="str">
            <v>EXW</v>
          </cell>
          <cell r="U901" t="str">
            <v>HLO</v>
          </cell>
        </row>
        <row r="902">
          <cell r="D902">
            <v>10.5</v>
          </cell>
          <cell r="F902">
            <v>511467654741</v>
          </cell>
          <cell r="G902" t="str">
            <v>MICROCHIP TECNOLOGY (THAILAND) CO LTD</v>
          </cell>
          <cell r="H902" t="str">
            <v>Delivered</v>
          </cell>
          <cell r="I902" t="str">
            <v>IC Y</v>
          </cell>
          <cell r="J902" t="str">
            <v>Fedex</v>
          </cell>
          <cell r="K902" t="str">
            <v>VVMV</v>
          </cell>
          <cell r="L902" t="str">
            <v>TH</v>
          </cell>
          <cell r="M902">
            <v>46098</v>
          </cell>
          <cell r="N902">
            <v>46104</v>
          </cell>
          <cell r="O902">
            <v>46104</v>
          </cell>
          <cell r="P902">
            <v>108070813540</v>
          </cell>
          <cell r="Q902">
            <v>46101</v>
          </cell>
          <cell r="R902" t="str">
            <v>No inspection</v>
          </cell>
          <cell r="S902">
            <v>122521.52</v>
          </cell>
          <cell r="T902" t="str">
            <v>EXW</v>
          </cell>
          <cell r="U902" t="str">
            <v>PUR</v>
          </cell>
        </row>
        <row r="903">
          <cell r="D903">
            <v>7.9</v>
          </cell>
          <cell r="F903">
            <v>4792341525</v>
          </cell>
          <cell r="G903" t="str">
            <v>TTI INC</v>
          </cell>
          <cell r="H903" t="str">
            <v>Delivered</v>
          </cell>
          <cell r="I903" t="str">
            <v xml:space="preserve">RES , FERR, INDU, CAP </v>
          </cell>
          <cell r="J903" t="str">
            <v>DHL</v>
          </cell>
          <cell r="K903" t="str">
            <v>VVMV</v>
          </cell>
          <cell r="L903" t="str">
            <v>US</v>
          </cell>
          <cell r="M903">
            <v>46099</v>
          </cell>
          <cell r="N903">
            <v>46105</v>
          </cell>
          <cell r="O903">
            <v>46104</v>
          </cell>
          <cell r="P903">
            <v>108075204900</v>
          </cell>
          <cell r="Q903">
            <v>46104</v>
          </cell>
          <cell r="R903" t="str">
            <v>No inspection</v>
          </cell>
          <cell r="S903">
            <v>1599.65</v>
          </cell>
          <cell r="T903" t="str">
            <v>CIF</v>
          </cell>
          <cell r="U903" t="str">
            <v>LUC</v>
          </cell>
        </row>
        <row r="904">
          <cell r="D904">
            <v>4.5</v>
          </cell>
          <cell r="F904">
            <v>4110335212</v>
          </cell>
          <cell r="G904" t="str">
            <v>Avnet, Inc.</v>
          </cell>
          <cell r="H904" t="str">
            <v>Delivered</v>
          </cell>
          <cell r="I904" t="str">
            <v>CONN</v>
          </cell>
          <cell r="J904" t="str">
            <v>Expeditors</v>
          </cell>
          <cell r="K904" t="str">
            <v>VVMV</v>
          </cell>
          <cell r="L904" t="str">
            <v>US</v>
          </cell>
          <cell r="M904">
            <v>46098</v>
          </cell>
          <cell r="N904">
            <v>46105</v>
          </cell>
          <cell r="O904">
            <v>46105</v>
          </cell>
          <cell r="P904">
            <v>108074910900</v>
          </cell>
          <cell r="Q904">
            <v>46104</v>
          </cell>
          <cell r="R904" t="str">
            <v>No inspection</v>
          </cell>
          <cell r="S904">
            <v>542.88</v>
          </cell>
          <cell r="T904" t="str">
            <v>DAP</v>
          </cell>
          <cell r="U904" t="str">
            <v>LUC</v>
          </cell>
        </row>
        <row r="905">
          <cell r="D905">
            <v>5</v>
          </cell>
          <cell r="F905">
            <v>4110335216</v>
          </cell>
          <cell r="G905" t="str">
            <v>AVNET, INC</v>
          </cell>
          <cell r="H905" t="str">
            <v>Delivered</v>
          </cell>
          <cell r="I905" t="str">
            <v>CONN</v>
          </cell>
          <cell r="J905" t="str">
            <v>Expeditors</v>
          </cell>
          <cell r="K905" t="str">
            <v>VVMV</v>
          </cell>
          <cell r="L905" t="str">
            <v>US</v>
          </cell>
          <cell r="M905">
            <v>46098</v>
          </cell>
          <cell r="N905">
            <v>46105</v>
          </cell>
          <cell r="O905">
            <v>46105</v>
          </cell>
          <cell r="P905">
            <v>108074894910</v>
          </cell>
          <cell r="Q905">
            <v>46104</v>
          </cell>
          <cell r="R905" t="str">
            <v>No inspection</v>
          </cell>
          <cell r="S905">
            <v>1661.28</v>
          </cell>
          <cell r="T905" t="str">
            <v>DAP</v>
          </cell>
          <cell r="U905" t="str">
            <v>LUC</v>
          </cell>
        </row>
        <row r="906">
          <cell r="D906">
            <v>14</v>
          </cell>
          <cell r="F906">
            <v>4110335217</v>
          </cell>
          <cell r="G906" t="str">
            <v>Avnet, Inc.</v>
          </cell>
          <cell r="H906" t="str">
            <v>Delivered</v>
          </cell>
          <cell r="I906" t="str">
            <v>CONN</v>
          </cell>
          <cell r="J906" t="str">
            <v>Expeditors</v>
          </cell>
          <cell r="K906" t="str">
            <v>VVMV</v>
          </cell>
          <cell r="L906" t="str">
            <v>US</v>
          </cell>
          <cell r="M906">
            <v>46098</v>
          </cell>
          <cell r="N906">
            <v>46105</v>
          </cell>
          <cell r="O906">
            <v>46105</v>
          </cell>
          <cell r="P906">
            <v>108075335650</v>
          </cell>
          <cell r="Q906">
            <v>46104</v>
          </cell>
          <cell r="R906" t="str">
            <v>No inspection</v>
          </cell>
          <cell r="S906">
            <v>1918.4</v>
          </cell>
          <cell r="T906" t="str">
            <v>DAP</v>
          </cell>
          <cell r="U906" t="str">
            <v>LUC</v>
          </cell>
        </row>
        <row r="907">
          <cell r="D907">
            <v>21.2</v>
          </cell>
          <cell r="F907">
            <v>481663283887</v>
          </cell>
          <cell r="G907" t="str">
            <v>AMPHENOL EAST ASIA LTD</v>
          </cell>
          <cell r="H907" t="str">
            <v>Delivered</v>
          </cell>
          <cell r="I907" t="str">
            <v>CONN</v>
          </cell>
          <cell r="J907" t="str">
            <v>Fedex</v>
          </cell>
          <cell r="K907" t="str">
            <v>VVMV</v>
          </cell>
          <cell r="L907" t="str">
            <v>HK</v>
          </cell>
          <cell r="M907">
            <v>46099</v>
          </cell>
          <cell r="N907">
            <v>46104</v>
          </cell>
          <cell r="O907">
            <v>46104</v>
          </cell>
          <cell r="P907">
            <v>108070897210</v>
          </cell>
          <cell r="Q907">
            <v>46101</v>
          </cell>
          <cell r="R907" t="str">
            <v>No inspection</v>
          </cell>
          <cell r="S907">
            <v>10659.6</v>
          </cell>
          <cell r="T907" t="str">
            <v>EXW</v>
          </cell>
          <cell r="U907" t="str">
            <v>PUR</v>
          </cell>
        </row>
        <row r="908">
          <cell r="D908">
            <v>2.7</v>
          </cell>
          <cell r="F908">
            <v>399750877283</v>
          </cell>
          <cell r="G908" t="str">
            <v>O/B ANALOG DEVICES INTERNATIONAL UC
DHL SUPPLY CHAIN MANAGEMENT PHILS</v>
          </cell>
          <cell r="H908" t="str">
            <v>Delivered</v>
          </cell>
          <cell r="I908" t="str">
            <v>IC C</v>
          </cell>
          <cell r="J908" t="str">
            <v>Fedex</v>
          </cell>
          <cell r="K908" t="str">
            <v>VVMV</v>
          </cell>
          <cell r="L908" t="str">
            <v>PH</v>
          </cell>
          <cell r="M908">
            <v>46100</v>
          </cell>
          <cell r="N908">
            <v>46104</v>
          </cell>
          <cell r="O908">
            <v>46104</v>
          </cell>
          <cell r="P908">
            <v>108071409720</v>
          </cell>
          <cell r="Q908">
            <v>46101</v>
          </cell>
          <cell r="R908" t="str">
            <v>No inspection</v>
          </cell>
          <cell r="S908">
            <v>34100</v>
          </cell>
          <cell r="T908" t="str">
            <v>EXW</v>
          </cell>
          <cell r="U908" t="str">
            <v>PUR</v>
          </cell>
        </row>
        <row r="909">
          <cell r="D909">
            <v>856</v>
          </cell>
          <cell r="F909" t="str">
            <v>SEBL26030056</v>
          </cell>
          <cell r="G909" t="str">
            <v>SHENNAN CIRCUITS CO.,LTD</v>
          </cell>
          <cell r="H909" t="str">
            <v>Delivered</v>
          </cell>
          <cell r="I909" t="str">
            <v xml:space="preserve">PCB </v>
          </cell>
          <cell r="J909" t="str">
            <v>Dragon(sea)</v>
          </cell>
          <cell r="K909" t="str">
            <v>VVMV</v>
          </cell>
          <cell r="L909" t="str">
            <v>CN</v>
          </cell>
          <cell r="M909">
            <v>46100</v>
          </cell>
          <cell r="N909">
            <v>46106</v>
          </cell>
          <cell r="O909">
            <v>46107</v>
          </cell>
          <cell r="P909">
            <v>108075467840</v>
          </cell>
          <cell r="Q909">
            <v>46104</v>
          </cell>
          <cell r="R909" t="str">
            <v>No inspection</v>
          </cell>
          <cell r="S909">
            <v>34389.800000000003</v>
          </cell>
          <cell r="T909" t="str">
            <v>DAP</v>
          </cell>
          <cell r="U909" t="str">
            <v>LUC</v>
          </cell>
        </row>
        <row r="910">
          <cell r="D910" t="str">
            <v>x</v>
          </cell>
          <cell r="F910">
            <v>889767302235</v>
          </cell>
          <cell r="G910" t="str">
            <v>CYMMETRIK SHENZHEN PRINTING CO., LTD</v>
          </cell>
          <cell r="H910" t="str">
            <v>Delivered</v>
          </cell>
          <cell r="I910" t="str">
            <v>Label (PUR-18-0561-00</v>
          </cell>
          <cell r="J910" t="str">
            <v>Fedex</v>
          </cell>
          <cell r="K910" t="str">
            <v>VVMV</v>
          </cell>
          <cell r="L910" t="str">
            <v>CN</v>
          </cell>
          <cell r="M910" t="str">
            <v>x</v>
          </cell>
          <cell r="N910" t="str">
            <v>x</v>
          </cell>
          <cell r="O910">
            <v>46101</v>
          </cell>
          <cell r="P910" t="str">
            <v>Fedex phát thẳng k mở tk</v>
          </cell>
          <cell r="Q910" t="str">
            <v>x</v>
          </cell>
          <cell r="R910" t="str">
            <v>No inspection</v>
          </cell>
        </row>
        <row r="911">
          <cell r="D911">
            <v>1.1000000000000001</v>
          </cell>
          <cell r="F911">
            <v>399674774323</v>
          </cell>
          <cell r="G911" t="str">
            <v>c/o DHL Supply Chain SGP P/L
Texas Instruments Southeast Asia Pt</v>
          </cell>
          <cell r="H911" t="str">
            <v>Delivered</v>
          </cell>
          <cell r="I911" t="str">
            <v>IC M</v>
          </cell>
          <cell r="J911" t="str">
            <v>Fedex</v>
          </cell>
          <cell r="K911" t="str">
            <v>VVMV</v>
          </cell>
          <cell r="L911" t="str">
            <v>SG</v>
          </cell>
          <cell r="M911">
            <v>46098</v>
          </cell>
          <cell r="N911">
            <v>46111</v>
          </cell>
          <cell r="O911">
            <v>46111</v>
          </cell>
          <cell r="P911">
            <v>108093771550</v>
          </cell>
          <cell r="Q911">
            <v>46108</v>
          </cell>
          <cell r="R911" t="str">
            <v>No inspection</v>
          </cell>
          <cell r="S911">
            <v>2130</v>
          </cell>
          <cell r="T911" t="str">
            <v>EXW</v>
          </cell>
          <cell r="U911" t="str">
            <v>LUC</v>
          </cell>
        </row>
        <row r="912">
          <cell r="D912">
            <v>47.5</v>
          </cell>
          <cell r="F912" t="str">
            <v>PLISGFE00105</v>
          </cell>
          <cell r="G912" t="str">
            <v>Future Electronics Inc( Dis) Pte Ltd</v>
          </cell>
          <cell r="H912" t="str">
            <v>Delivered</v>
          </cell>
          <cell r="I912" t="str">
            <v xml:space="preserve">IND , DIOD, CAP </v>
          </cell>
          <cell r="J912" t="str">
            <v>LX</v>
          </cell>
          <cell r="K912" t="str">
            <v>VVMV</v>
          </cell>
          <cell r="L912" t="str">
            <v>SG</v>
          </cell>
          <cell r="M912">
            <v>46103</v>
          </cell>
          <cell r="N912">
            <v>46106</v>
          </cell>
          <cell r="O912">
            <v>46107</v>
          </cell>
          <cell r="P912">
            <v>108077518250</v>
          </cell>
          <cell r="Q912">
            <v>46104</v>
          </cell>
          <cell r="R912" t="str">
            <v>No inspection</v>
          </cell>
          <cell r="S912">
            <v>5667.63</v>
          </cell>
          <cell r="T912" t="str">
            <v>DAP</v>
          </cell>
          <cell r="U912" t="str">
            <v>PUR</v>
          </cell>
        </row>
        <row r="913">
          <cell r="D913">
            <v>478</v>
          </cell>
          <cell r="F913" t="str">
            <v>LPGPENHPH2603007-01</v>
          </cell>
          <cell r="G913" t="str">
            <v>BOSSARD (M) SDN BHD</v>
          </cell>
          <cell r="H913" t="str">
            <v>Delivered</v>
          </cell>
          <cell r="I913" t="str">
            <v>SCRE</v>
          </cell>
          <cell r="J913" t="str">
            <v>VVMV(sea)</v>
          </cell>
          <cell r="K913" t="str">
            <v>VVMV</v>
          </cell>
          <cell r="L913" t="str">
            <v>MY</v>
          </cell>
          <cell r="M913">
            <v>46092</v>
          </cell>
          <cell r="N913">
            <v>46106</v>
          </cell>
          <cell r="O913">
            <v>46107</v>
          </cell>
          <cell r="P913">
            <v>108078374940</v>
          </cell>
          <cell r="Q913">
            <v>46104</v>
          </cell>
          <cell r="R913" t="str">
            <v>No inspection</v>
          </cell>
          <cell r="S913" t="str">
            <v>59.865,8</v>
          </cell>
          <cell r="T913" t="str">
            <v>EXW</v>
          </cell>
          <cell r="U913" t="str">
            <v>LUC</v>
          </cell>
        </row>
        <row r="914">
          <cell r="D914">
            <v>299.8</v>
          </cell>
          <cell r="F914">
            <v>2419753906</v>
          </cell>
          <cell r="G914" t="str">
            <v>AVNET, INC</v>
          </cell>
          <cell r="H914" t="str">
            <v>Delivered</v>
          </cell>
          <cell r="I914" t="str">
            <v xml:space="preserve">IC D, CAP , RES , TRAN, DIOD, IC I, IC M, CONN, 	CAP, IC S, IC A, IND , LED </v>
          </cell>
          <cell r="J914" t="str">
            <v>DHL</v>
          </cell>
          <cell r="K914" t="str">
            <v>VVMV</v>
          </cell>
          <cell r="L914" t="str">
            <v>US</v>
          </cell>
          <cell r="M914">
            <v>46100</v>
          </cell>
          <cell r="N914">
            <v>46108</v>
          </cell>
          <cell r="O914">
            <v>46111</v>
          </cell>
          <cell r="P914" t="str">
            <v>108095983000
108096013430</v>
          </cell>
          <cell r="Q914">
            <v>46109</v>
          </cell>
          <cell r="R914" t="str">
            <v>No inspection</v>
          </cell>
          <cell r="S914">
            <v>246694.53</v>
          </cell>
          <cell r="T914" t="str">
            <v>CIF</v>
          </cell>
          <cell r="U914" t="str">
            <v>LUC</v>
          </cell>
        </row>
        <row r="915">
          <cell r="D915">
            <v>96</v>
          </cell>
          <cell r="F915">
            <v>4915082647</v>
          </cell>
          <cell r="G915" t="str">
            <v>RICHARDSON RFPD HONG KONG LIMITED</v>
          </cell>
          <cell r="H915" t="str">
            <v>Delivered</v>
          </cell>
          <cell r="I915" t="str">
            <v xml:space="preserve">CAP </v>
          </cell>
          <cell r="J915" t="str">
            <v>Expeditors</v>
          </cell>
          <cell r="K915" t="str">
            <v>VVMV</v>
          </cell>
          <cell r="L915" t="str">
            <v>HK</v>
          </cell>
          <cell r="M915">
            <v>46103</v>
          </cell>
          <cell r="N915">
            <v>46105</v>
          </cell>
          <cell r="O915">
            <v>46105</v>
          </cell>
          <cell r="P915">
            <v>108076920600</v>
          </cell>
          <cell r="Q915">
            <v>46104</v>
          </cell>
          <cell r="R915" t="str">
            <v>No inspection</v>
          </cell>
          <cell r="S915">
            <v>12600</v>
          </cell>
          <cell r="T915" t="str">
            <v>EXW</v>
          </cell>
          <cell r="U915" t="str">
            <v>PUR</v>
          </cell>
        </row>
        <row r="916">
          <cell r="D916">
            <v>4.9000000000000004</v>
          </cell>
          <cell r="F916">
            <v>516924308806</v>
          </cell>
          <cell r="G916" t="str">
            <v>ARROW ELECTRONICS, INC.</v>
          </cell>
          <cell r="H916" t="str">
            <v>Delivered</v>
          </cell>
          <cell r="I916" t="str">
            <v>CAP , IC L, 	TRA, TRAN, CONN</v>
          </cell>
          <cell r="J916" t="str">
            <v>Fedex</v>
          </cell>
          <cell r="K916" t="str">
            <v>VVMV</v>
          </cell>
          <cell r="L916" t="str">
            <v>US</v>
          </cell>
          <cell r="M916">
            <v>46098</v>
          </cell>
          <cell r="N916">
            <v>46105</v>
          </cell>
          <cell r="O916">
            <v>46105</v>
          </cell>
          <cell r="P916">
            <v>108077607150</v>
          </cell>
          <cell r="Q916">
            <v>46104</v>
          </cell>
          <cell r="R916" t="str">
            <v>No inspection</v>
          </cell>
          <cell r="S916">
            <v>2272.2199999999998</v>
          </cell>
          <cell r="T916" t="str">
            <v>CIF</v>
          </cell>
          <cell r="U916" t="str">
            <v>LUC</v>
          </cell>
        </row>
        <row r="917">
          <cell r="D917">
            <v>2.2000000000000002</v>
          </cell>
          <cell r="F917">
            <v>518050344410</v>
          </cell>
          <cell r="G917" t="str">
            <v>DIGI-KEY ELECTRONICS</v>
          </cell>
          <cell r="H917" t="str">
            <v>Delivered</v>
          </cell>
          <cell r="I917" t="str">
            <v>CAP , LED , RES , IND , IC F</v>
          </cell>
          <cell r="J917" t="str">
            <v>Fedex</v>
          </cell>
          <cell r="K917" t="str">
            <v>VVMV</v>
          </cell>
          <cell r="L917" t="str">
            <v>US</v>
          </cell>
          <cell r="M917">
            <v>46097</v>
          </cell>
          <cell r="N917">
            <v>46105</v>
          </cell>
          <cell r="O917">
            <v>46105</v>
          </cell>
          <cell r="P917">
            <v>108077855800</v>
          </cell>
          <cell r="Q917">
            <v>46104</v>
          </cell>
          <cell r="R917" t="str">
            <v>No inspection</v>
          </cell>
          <cell r="S917">
            <v>954.16</v>
          </cell>
          <cell r="T917" t="str">
            <v>CIF</v>
          </cell>
          <cell r="U917">
            <v>121</v>
          </cell>
        </row>
        <row r="918">
          <cell r="D918">
            <v>35.9</v>
          </cell>
          <cell r="F918">
            <v>493891686224</v>
          </cell>
          <cell r="G918" t="str">
            <v>FIERY, LLC.</v>
          </cell>
          <cell r="H918" t="str">
            <v>Delivered</v>
          </cell>
          <cell r="I918" t="str">
            <v>IC A, IC F, IC P</v>
          </cell>
          <cell r="J918" t="str">
            <v>Fedex</v>
          </cell>
          <cell r="K918" t="str">
            <v>VVMV</v>
          </cell>
          <cell r="L918" t="str">
            <v>US</v>
          </cell>
          <cell r="M918">
            <v>46098</v>
          </cell>
          <cell r="N918">
            <v>46105</v>
          </cell>
          <cell r="O918">
            <v>46105</v>
          </cell>
          <cell r="P918">
            <v>108077584310</v>
          </cell>
          <cell r="Q918">
            <v>46104</v>
          </cell>
          <cell r="R918" t="str">
            <v>No inspection</v>
          </cell>
          <cell r="S918">
            <v>165848.4</v>
          </cell>
          <cell r="T918" t="str">
            <v>CIF</v>
          </cell>
          <cell r="U918" t="str">
            <v>EF-</v>
          </cell>
        </row>
        <row r="919">
          <cell r="D919">
            <v>0.5</v>
          </cell>
          <cell r="F919">
            <v>399719071471</v>
          </cell>
          <cell r="G919" t="str">
            <v>TEXAS INSTRUMENTS ASIA LIMITED
C/O KWE LOGISTICS (SHENZHEN)</v>
          </cell>
          <cell r="H919" t="str">
            <v>Delivered</v>
          </cell>
          <cell r="I919" t="str">
            <v xml:space="preserve">IC </v>
          </cell>
          <cell r="J919" t="str">
            <v>Fedex</v>
          </cell>
          <cell r="K919" t="str">
            <v>VVMV</v>
          </cell>
          <cell r="L919" t="str">
            <v>CN</v>
          </cell>
          <cell r="M919">
            <v>46099</v>
          </cell>
          <cell r="N919">
            <v>46105</v>
          </cell>
          <cell r="O919">
            <v>46105</v>
          </cell>
          <cell r="P919">
            <v>108077673760</v>
          </cell>
          <cell r="Q919">
            <v>46104</v>
          </cell>
          <cell r="R919" t="str">
            <v>No inspection</v>
          </cell>
          <cell r="S919">
            <v>444</v>
          </cell>
          <cell r="T919" t="str">
            <v>EXW</v>
          </cell>
          <cell r="U919" t="str">
            <v>PUR</v>
          </cell>
        </row>
        <row r="920">
          <cell r="D920">
            <v>1.3</v>
          </cell>
          <cell r="F920">
            <v>889730851549</v>
          </cell>
          <cell r="G920" t="str">
            <v>WHITE HORSE LABORATORIES LTD</v>
          </cell>
          <cell r="H920" t="str">
            <v>Delivered</v>
          </cell>
          <cell r="I920" t="str">
            <v xml:space="preserve">IC </v>
          </cell>
          <cell r="J920" t="str">
            <v>Fedex</v>
          </cell>
          <cell r="K920" t="str">
            <v>VVMV</v>
          </cell>
          <cell r="L920" t="str">
            <v>HK</v>
          </cell>
          <cell r="M920">
            <v>46099</v>
          </cell>
          <cell r="N920">
            <v>46105</v>
          </cell>
          <cell r="O920">
            <v>46105</v>
          </cell>
          <cell r="P920">
            <v>108077966140</v>
          </cell>
          <cell r="Q920">
            <v>46104</v>
          </cell>
          <cell r="R920" t="str">
            <v>No inspection</v>
          </cell>
          <cell r="S920">
            <v>1750</v>
          </cell>
          <cell r="T920" t="str">
            <v>CIF</v>
          </cell>
          <cell r="U920" t="str">
            <v>EF-</v>
          </cell>
        </row>
        <row r="921">
          <cell r="D921">
            <v>1.3</v>
          </cell>
          <cell r="F921">
            <v>889716477327</v>
          </cell>
          <cell r="G921" t="str">
            <v>COMPONENT STOCKERS</v>
          </cell>
          <cell r="H921" t="str">
            <v>Delivered</v>
          </cell>
          <cell r="I921" t="str">
            <v xml:space="preserve">IC </v>
          </cell>
          <cell r="J921" t="str">
            <v>Fedex</v>
          </cell>
          <cell r="K921" t="str">
            <v>VVMV</v>
          </cell>
          <cell r="L921" t="str">
            <v>US</v>
          </cell>
          <cell r="M921">
            <v>46098</v>
          </cell>
          <cell r="N921">
            <v>46105</v>
          </cell>
          <cell r="O921">
            <v>46105</v>
          </cell>
          <cell r="P921">
            <v>108077757060</v>
          </cell>
          <cell r="Q921">
            <v>46104</v>
          </cell>
          <cell r="R921" t="str">
            <v>No inspection</v>
          </cell>
          <cell r="S921">
            <v>110.27</v>
          </cell>
          <cell r="T921" t="str">
            <v>EXW</v>
          </cell>
          <cell r="U921" t="str">
            <v>LUC</v>
          </cell>
        </row>
        <row r="922">
          <cell r="D922">
            <v>32.700000000000003</v>
          </cell>
          <cell r="F922">
            <v>483570643809</v>
          </cell>
          <cell r="G922" t="str">
            <v>UNIGEN CORPORATION</v>
          </cell>
          <cell r="H922" t="str">
            <v>Delivered</v>
          </cell>
          <cell r="I922" t="str">
            <v>IC V, CONN, CAP , IND , IC C, CRYS, IC D, LED , IC S, IC M, IC F, PCB , CON , RES , TRAN, DIOD</v>
          </cell>
          <cell r="J922" t="str">
            <v>Fedex</v>
          </cell>
          <cell r="K922" t="str">
            <v>VVMV</v>
          </cell>
          <cell r="L922" t="str">
            <v>US</v>
          </cell>
          <cell r="M922">
            <v>46097</v>
          </cell>
          <cell r="N922">
            <v>46105</v>
          </cell>
          <cell r="O922">
            <v>46105</v>
          </cell>
          <cell r="P922">
            <v>108077792800</v>
          </cell>
          <cell r="Q922">
            <v>46104</v>
          </cell>
          <cell r="R922" t="str">
            <v>No inspection</v>
          </cell>
          <cell r="S922">
            <v>39317.9</v>
          </cell>
          <cell r="T922" t="str">
            <v>CIF</v>
          </cell>
          <cell r="U922" t="str">
            <v>EF-</v>
          </cell>
        </row>
        <row r="923">
          <cell r="D923">
            <v>6.2</v>
          </cell>
          <cell r="F923">
            <v>501415544728</v>
          </cell>
          <cell r="G923" t="str">
            <v>DIODES HONG KONG LIMITED</v>
          </cell>
          <cell r="H923" t="str">
            <v>Delivered</v>
          </cell>
          <cell r="I923" t="str">
            <v xml:space="preserve">IC </v>
          </cell>
          <cell r="J923" t="str">
            <v>Fedex</v>
          </cell>
          <cell r="K923" t="str">
            <v>VVMV</v>
          </cell>
          <cell r="L923" t="str">
            <v>HK</v>
          </cell>
          <cell r="M923">
            <v>46101</v>
          </cell>
          <cell r="N923">
            <v>46105</v>
          </cell>
          <cell r="O923">
            <v>46105</v>
          </cell>
          <cell r="P923">
            <v>108078051210</v>
          </cell>
          <cell r="Q923">
            <v>46104</v>
          </cell>
          <cell r="R923" t="str">
            <v>No inspection</v>
          </cell>
          <cell r="S923">
            <v>3600</v>
          </cell>
          <cell r="T923" t="str">
            <v>EXW</v>
          </cell>
          <cell r="U923" t="str">
            <v>PUR</v>
          </cell>
        </row>
        <row r="924">
          <cell r="D924">
            <v>28.4</v>
          </cell>
          <cell r="F924">
            <v>5973795472</v>
          </cell>
          <cell r="G924" t="str">
            <v>FUTURE ELECTRONICS INC (DIST) PTE LTD</v>
          </cell>
          <cell r="H924" t="str">
            <v>Delivered</v>
          </cell>
          <cell r="I924" t="str">
            <v>DIOD, IC L</v>
          </cell>
          <cell r="J924" t="str">
            <v>DHL</v>
          </cell>
          <cell r="K924" t="str">
            <v>VVMV</v>
          </cell>
          <cell r="L924" t="str">
            <v>SG</v>
          </cell>
          <cell r="M924">
            <v>46101</v>
          </cell>
          <cell r="N924">
            <v>46106</v>
          </cell>
          <cell r="O924">
            <v>46106</v>
          </cell>
          <cell r="P924">
            <v>108081323340</v>
          </cell>
          <cell r="Q924">
            <v>46105</v>
          </cell>
          <cell r="R924" t="str">
            <v>No inspection</v>
          </cell>
          <cell r="S924">
            <v>15455.85</v>
          </cell>
          <cell r="T924" t="str">
            <v>CIF</v>
          </cell>
          <cell r="U924" t="str">
            <v>LUC</v>
          </cell>
        </row>
        <row r="925">
          <cell r="D925">
            <v>0.9</v>
          </cell>
          <cell r="F925">
            <v>517836768052</v>
          </cell>
          <cell r="G925" t="str">
            <v>MOUSER ELECTRONICS INC</v>
          </cell>
          <cell r="H925" t="str">
            <v>Delivered</v>
          </cell>
          <cell r="I925" t="str">
            <v xml:space="preserve">IC F, CAP , IND </v>
          </cell>
          <cell r="J925" t="str">
            <v>Fedex</v>
          </cell>
          <cell r="K925" t="str">
            <v>VVMV</v>
          </cell>
          <cell r="L925" t="str">
            <v>US</v>
          </cell>
          <cell r="M925">
            <v>46100</v>
          </cell>
          <cell r="N925">
            <v>46106</v>
          </cell>
          <cell r="O925">
            <v>46106</v>
          </cell>
          <cell r="P925">
            <v>108081480510</v>
          </cell>
          <cell r="Q925">
            <v>46105</v>
          </cell>
          <cell r="R925" t="str">
            <v>No inspection</v>
          </cell>
          <cell r="S925">
            <v>329.41</v>
          </cell>
          <cell r="T925" t="str">
            <v>CIF</v>
          </cell>
          <cell r="U925">
            <v>122</v>
          </cell>
        </row>
        <row r="926">
          <cell r="D926">
            <v>1</v>
          </cell>
          <cell r="F926">
            <v>3483435163</v>
          </cell>
          <cell r="G926" t="str">
            <v>ARROW COMPONENTS SDN BHD</v>
          </cell>
          <cell r="H926" t="str">
            <v>Delivered</v>
          </cell>
          <cell r="I926" t="str">
            <v xml:space="preserve">CAP </v>
          </cell>
          <cell r="J926" t="str">
            <v>DHL</v>
          </cell>
          <cell r="K926" t="str">
            <v>VVMV</v>
          </cell>
          <cell r="L926" t="str">
            <v>MY</v>
          </cell>
          <cell r="M926">
            <v>46102</v>
          </cell>
          <cell r="N926">
            <v>46107</v>
          </cell>
          <cell r="O926">
            <v>46107</v>
          </cell>
          <cell r="P926">
            <v>108086404050</v>
          </cell>
          <cell r="Q926">
            <v>46106</v>
          </cell>
          <cell r="R926" t="str">
            <v>No inspection</v>
          </cell>
          <cell r="S926">
            <v>182.8</v>
          </cell>
          <cell r="T926" t="str">
            <v>CIF</v>
          </cell>
          <cell r="U926" t="str">
            <v>LUC</v>
          </cell>
        </row>
        <row r="927">
          <cell r="D927">
            <v>87.8</v>
          </cell>
          <cell r="F927">
            <v>497354644203</v>
          </cell>
          <cell r="G927" t="str">
            <v>A&amp;E RISING TECHNOLOGIES LTD</v>
          </cell>
          <cell r="H927" t="str">
            <v>Delivered</v>
          </cell>
          <cell r="I927" t="str">
            <v xml:space="preserve">FAB </v>
          </cell>
          <cell r="J927" t="str">
            <v>Fedex</v>
          </cell>
          <cell r="K927" t="str">
            <v>VVMV</v>
          </cell>
          <cell r="L927" t="str">
            <v>HK</v>
          </cell>
          <cell r="M927">
            <v>46101</v>
          </cell>
          <cell r="N927">
            <v>46106</v>
          </cell>
          <cell r="O927">
            <v>46106</v>
          </cell>
          <cell r="P927">
            <v>108081200840</v>
          </cell>
          <cell r="Q927">
            <v>46105</v>
          </cell>
          <cell r="R927" t="str">
            <v>No inspection</v>
          </cell>
          <cell r="S927">
            <v>10278</v>
          </cell>
          <cell r="T927" t="str">
            <v>EXW</v>
          </cell>
          <cell r="U927" t="str">
            <v>EF-</v>
          </cell>
        </row>
        <row r="928">
          <cell r="D928">
            <v>1.6</v>
          </cell>
          <cell r="F928">
            <v>500292529492</v>
          </cell>
          <cell r="G928" t="str">
            <v>ARROW COMPONENTS MEXICO SA De CV</v>
          </cell>
          <cell r="H928" t="str">
            <v>Delivered</v>
          </cell>
          <cell r="I928" t="str">
            <v xml:space="preserve">IC </v>
          </cell>
          <cell r="J928" t="str">
            <v>Fedex</v>
          </cell>
          <cell r="K928" t="str">
            <v>VVMV</v>
          </cell>
          <cell r="L928" t="str">
            <v>MX</v>
          </cell>
          <cell r="M928">
            <v>46098</v>
          </cell>
          <cell r="N928">
            <v>46106</v>
          </cell>
          <cell r="O928">
            <v>46106</v>
          </cell>
          <cell r="P928">
            <v>108082042940</v>
          </cell>
          <cell r="Q928">
            <v>46105</v>
          </cell>
          <cell r="R928" t="str">
            <v>No inspection</v>
          </cell>
          <cell r="S928">
            <v>8859.2000000000007</v>
          </cell>
          <cell r="T928" t="str">
            <v>CIF</v>
          </cell>
          <cell r="U928" t="str">
            <v>EF-</v>
          </cell>
        </row>
        <row r="929">
          <cell r="D929">
            <v>5.2</v>
          </cell>
          <cell r="F929">
            <v>889804253139</v>
          </cell>
          <cell r="G929" t="str">
            <v>SUNLORD ELECTRONICS TECHNOLOGY PTE</v>
          </cell>
          <cell r="H929" t="str">
            <v>Delivered</v>
          </cell>
          <cell r="I929" t="str">
            <v xml:space="preserve">RES </v>
          </cell>
          <cell r="J929" t="str">
            <v>Fedex</v>
          </cell>
          <cell r="K929" t="str">
            <v>VVMV</v>
          </cell>
          <cell r="L929" t="str">
            <v>SG</v>
          </cell>
          <cell r="M929">
            <v>46101</v>
          </cell>
          <cell r="N929">
            <v>46106</v>
          </cell>
          <cell r="O929">
            <v>46106</v>
          </cell>
          <cell r="P929">
            <v>108081442340</v>
          </cell>
          <cell r="Q929">
            <v>46105</v>
          </cell>
          <cell r="R929" t="str">
            <v>No inspection</v>
          </cell>
          <cell r="S929">
            <v>1311.9</v>
          </cell>
          <cell r="T929" t="str">
            <v>EXW</v>
          </cell>
          <cell r="U929" t="str">
            <v>PUR</v>
          </cell>
        </row>
        <row r="930">
          <cell r="D930">
            <v>10</v>
          </cell>
          <cell r="F930">
            <v>500292530030</v>
          </cell>
          <cell r="G930" t="str">
            <v>ARROW COMPONENTS MEXICO SA De CV</v>
          </cell>
          <cell r="H930" t="str">
            <v>Delivered</v>
          </cell>
          <cell r="I930" t="str">
            <v xml:space="preserve">RES </v>
          </cell>
          <cell r="J930" t="str">
            <v>Fedex</v>
          </cell>
          <cell r="K930" t="str">
            <v>VVMV</v>
          </cell>
          <cell r="L930" t="str">
            <v>MX</v>
          </cell>
          <cell r="M930">
            <v>46098</v>
          </cell>
          <cell r="N930">
            <v>46106</v>
          </cell>
          <cell r="O930">
            <v>46106</v>
          </cell>
          <cell r="P930">
            <v>108081658860</v>
          </cell>
          <cell r="Q930">
            <v>46105</v>
          </cell>
          <cell r="R930" t="str">
            <v>No inspection</v>
          </cell>
          <cell r="S930">
            <v>1597.5</v>
          </cell>
          <cell r="T930" t="str">
            <v>CIF</v>
          </cell>
          <cell r="U930" t="str">
            <v>LUC</v>
          </cell>
        </row>
        <row r="931">
          <cell r="D931">
            <v>10.6</v>
          </cell>
          <cell r="F931">
            <v>481663284184</v>
          </cell>
          <cell r="G931" t="str">
            <v>AMPHENOL EAST ASIA LTD</v>
          </cell>
          <cell r="H931" t="str">
            <v>Delivered</v>
          </cell>
          <cell r="I931" t="str">
            <v>CONN</v>
          </cell>
          <cell r="J931" t="str">
            <v>Fedex</v>
          </cell>
          <cell r="K931" t="str">
            <v>VVMV</v>
          </cell>
          <cell r="L931" t="str">
            <v>HK</v>
          </cell>
          <cell r="M931">
            <v>46104</v>
          </cell>
          <cell r="N931">
            <v>46106</v>
          </cell>
          <cell r="O931">
            <v>46107</v>
          </cell>
          <cell r="P931">
            <v>108082102110</v>
          </cell>
          <cell r="Q931">
            <v>46105</v>
          </cell>
          <cell r="R931" t="str">
            <v>No inspection</v>
          </cell>
          <cell r="S931">
            <v>5329.8</v>
          </cell>
          <cell r="T931" t="str">
            <v>EXW</v>
          </cell>
          <cell r="U931" t="str">
            <v>PUR</v>
          </cell>
        </row>
        <row r="932">
          <cell r="D932">
            <v>1.1000000000000001</v>
          </cell>
          <cell r="F932">
            <v>500292533360</v>
          </cell>
          <cell r="G932" t="str">
            <v>ARROW COMPONENTS MEXICO SA De CV</v>
          </cell>
          <cell r="H932" t="str">
            <v>Delivered</v>
          </cell>
          <cell r="I932" t="str">
            <v>TRAN</v>
          </cell>
          <cell r="J932" t="str">
            <v>Fedex</v>
          </cell>
          <cell r="K932" t="str">
            <v>VVMV</v>
          </cell>
          <cell r="L932" t="str">
            <v>MX</v>
          </cell>
          <cell r="M932">
            <v>46099</v>
          </cell>
          <cell r="N932">
            <v>46106</v>
          </cell>
          <cell r="O932">
            <v>46106</v>
          </cell>
          <cell r="P932">
            <v>108081584810</v>
          </cell>
          <cell r="Q932">
            <v>46105</v>
          </cell>
          <cell r="R932" t="str">
            <v>No inspection</v>
          </cell>
          <cell r="S932">
            <v>950</v>
          </cell>
          <cell r="T932" t="str">
            <v>CIF</v>
          </cell>
          <cell r="U932" t="str">
            <v>PUR</v>
          </cell>
        </row>
        <row r="933">
          <cell r="D933">
            <v>4.2</v>
          </cell>
          <cell r="F933">
            <v>889801135892</v>
          </cell>
          <cell r="G933" t="str">
            <v>SUNLORD ELECTRONICS TECHNOLOGY PTE</v>
          </cell>
          <cell r="H933" t="str">
            <v>Delivered</v>
          </cell>
          <cell r="I933" t="str">
            <v xml:space="preserve">CAP , RES </v>
          </cell>
          <cell r="J933" t="str">
            <v>Fedex</v>
          </cell>
          <cell r="K933" t="str">
            <v>VVMV</v>
          </cell>
          <cell r="L933" t="str">
            <v>HK</v>
          </cell>
          <cell r="M933">
            <v>46101</v>
          </cell>
          <cell r="N933">
            <v>46106</v>
          </cell>
          <cell r="O933">
            <v>46106</v>
          </cell>
          <cell r="P933">
            <v>108082124140</v>
          </cell>
          <cell r="Q933">
            <v>46105</v>
          </cell>
          <cell r="R933" t="str">
            <v>No inspection</v>
          </cell>
          <cell r="S933">
            <v>94.6</v>
          </cell>
          <cell r="T933" t="str">
            <v>EXW</v>
          </cell>
          <cell r="U933" t="str">
            <v>EF-</v>
          </cell>
        </row>
        <row r="934">
          <cell r="D934">
            <v>1.4</v>
          </cell>
          <cell r="F934">
            <v>500292530783</v>
          </cell>
          <cell r="G934" t="str">
            <v>ARROW COMPONENTS MEXICO SA De CV</v>
          </cell>
          <cell r="H934" t="str">
            <v>Delivered</v>
          </cell>
          <cell r="I934" t="str">
            <v>IC E</v>
          </cell>
          <cell r="J934" t="str">
            <v>Fedex</v>
          </cell>
          <cell r="K934" t="str">
            <v>VVMV</v>
          </cell>
          <cell r="L934" t="str">
            <v>MX</v>
          </cell>
          <cell r="M934">
            <v>46099</v>
          </cell>
          <cell r="N934">
            <v>46106</v>
          </cell>
          <cell r="O934">
            <v>46106</v>
          </cell>
          <cell r="P934">
            <v>108082174430</v>
          </cell>
          <cell r="Q934">
            <v>46105</v>
          </cell>
          <cell r="R934" t="str">
            <v>No inspection</v>
          </cell>
          <cell r="S934">
            <v>1725</v>
          </cell>
          <cell r="T934" t="str">
            <v>CIF</v>
          </cell>
          <cell r="U934" t="str">
            <v>PUR</v>
          </cell>
        </row>
        <row r="935">
          <cell r="D935">
            <v>1.1000000000000001</v>
          </cell>
          <cell r="F935">
            <v>889807650346</v>
          </cell>
          <cell r="G935" t="str">
            <v>Element 14 Pte Ltd</v>
          </cell>
          <cell r="H935" t="str">
            <v>Delivered</v>
          </cell>
          <cell r="I935" t="str">
            <v>DIOD, IND , INDU</v>
          </cell>
          <cell r="J935" t="str">
            <v>Fedex</v>
          </cell>
          <cell r="K935" t="str">
            <v>VVMV</v>
          </cell>
          <cell r="L935" t="str">
            <v>SG</v>
          </cell>
          <cell r="M935">
            <v>46101</v>
          </cell>
          <cell r="N935">
            <v>46106</v>
          </cell>
          <cell r="O935">
            <v>46106</v>
          </cell>
          <cell r="P935">
            <v>108081695300</v>
          </cell>
          <cell r="Q935">
            <v>46105</v>
          </cell>
          <cell r="R935" t="str">
            <v>No inspection</v>
          </cell>
          <cell r="S935">
            <v>313.85000000000002</v>
          </cell>
          <cell r="T935" t="str">
            <v>EXW</v>
          </cell>
          <cell r="U935" t="str">
            <v>EF-</v>
          </cell>
        </row>
        <row r="936">
          <cell r="D936">
            <v>1.5</v>
          </cell>
          <cell r="F936">
            <v>889802956189</v>
          </cell>
          <cell r="G936" t="str">
            <v>RACER TECHNOLOGY PTE, LTD</v>
          </cell>
          <cell r="H936" t="str">
            <v>Delivered</v>
          </cell>
          <cell r="I936" t="str">
            <v>SUPP</v>
          </cell>
          <cell r="J936" t="str">
            <v>Fedex</v>
          </cell>
          <cell r="K936" t="str">
            <v>VVMV</v>
          </cell>
          <cell r="L936" t="str">
            <v>SG</v>
          </cell>
          <cell r="M936">
            <v>46101</v>
          </cell>
          <cell r="N936">
            <v>46106</v>
          </cell>
          <cell r="O936">
            <v>46106</v>
          </cell>
          <cell r="P936">
            <v>108082286540</v>
          </cell>
          <cell r="Q936">
            <v>46105</v>
          </cell>
          <cell r="R936" t="str">
            <v>No inspection</v>
          </cell>
          <cell r="S936">
            <v>380</v>
          </cell>
          <cell r="T936" t="str">
            <v>EXW</v>
          </cell>
          <cell r="U936" t="str">
            <v>EF-</v>
          </cell>
        </row>
        <row r="937">
          <cell r="D937">
            <v>21.3</v>
          </cell>
          <cell r="F937">
            <v>515199055078</v>
          </cell>
          <cell r="G937" t="str">
            <v>AVNET ASIA PTE LTD</v>
          </cell>
          <cell r="H937" t="str">
            <v>Delivered</v>
          </cell>
          <cell r="I937" t="str">
            <v xml:space="preserve">TRAN, IND , RES , CAP , OSC </v>
          </cell>
          <cell r="J937" t="str">
            <v>Fedex</v>
          </cell>
          <cell r="K937" t="str">
            <v>VVMV</v>
          </cell>
          <cell r="L937" t="str">
            <v>SG</v>
          </cell>
          <cell r="M937">
            <v>46101</v>
          </cell>
          <cell r="N937">
            <v>46111</v>
          </cell>
          <cell r="O937">
            <v>46108</v>
          </cell>
          <cell r="P937">
            <v>108090904940</v>
          </cell>
          <cell r="Q937">
            <v>46107</v>
          </cell>
          <cell r="R937" t="str">
            <v>No inspection</v>
          </cell>
          <cell r="S937">
            <v>5492.04</v>
          </cell>
          <cell r="T937" t="str">
            <v>EXW</v>
          </cell>
          <cell r="U937" t="str">
            <v>LUC</v>
          </cell>
        </row>
        <row r="938">
          <cell r="D938">
            <v>1.6</v>
          </cell>
          <cell r="F938">
            <v>399632439268</v>
          </cell>
          <cell r="G938" t="str">
            <v>c/o DHL Supply Chain SGP P/L
Texas Instruments Southeast Asia Pt</v>
          </cell>
          <cell r="H938" t="str">
            <v>Delivered</v>
          </cell>
          <cell r="I938" t="str">
            <v xml:space="preserve">IC </v>
          </cell>
          <cell r="J938" t="str">
            <v>Fedex</v>
          </cell>
          <cell r="K938" t="str">
            <v>VVMV</v>
          </cell>
          <cell r="L938" t="str">
            <v>SG</v>
          </cell>
          <cell r="M938" t="str">
            <v>16/03/2026</v>
          </cell>
          <cell r="N938">
            <v>46106</v>
          </cell>
          <cell r="O938">
            <v>46106</v>
          </cell>
          <cell r="P938">
            <v>108081827120</v>
          </cell>
          <cell r="Q938">
            <v>46105</v>
          </cell>
          <cell r="R938" t="str">
            <v>No inspection</v>
          </cell>
          <cell r="S938">
            <v>1620</v>
          </cell>
          <cell r="T938" t="str">
            <v>EXW</v>
          </cell>
          <cell r="U938" t="str">
            <v>HLO</v>
          </cell>
        </row>
        <row r="939">
          <cell r="D939">
            <v>4.7</v>
          </cell>
          <cell r="F939">
            <v>399684500338</v>
          </cell>
          <cell r="G939" t="str">
            <v>C/O KINTETSU WORLD EXPRESS (CHINA)
TEXAS INSTRUMENTS ASIA LIMITED</v>
          </cell>
          <cell r="H939" t="str">
            <v>Delivered</v>
          </cell>
          <cell r="I939" t="str">
            <v xml:space="preserve">IC </v>
          </cell>
          <cell r="J939" t="str">
            <v>Fedex</v>
          </cell>
          <cell r="K939" t="str">
            <v>VVMV</v>
          </cell>
          <cell r="L939" t="str">
            <v>CN</v>
          </cell>
          <cell r="M939">
            <v>46098</v>
          </cell>
          <cell r="N939">
            <v>46106</v>
          </cell>
          <cell r="O939">
            <v>46107</v>
          </cell>
          <cell r="P939">
            <v>108082374960</v>
          </cell>
          <cell r="Q939">
            <v>46105</v>
          </cell>
          <cell r="R939" t="str">
            <v>No inspection</v>
          </cell>
          <cell r="S939">
            <v>2520</v>
          </cell>
          <cell r="T939" t="str">
            <v>EXW</v>
          </cell>
          <cell r="U939" t="str">
            <v>PUR</v>
          </cell>
        </row>
        <row r="940">
          <cell r="D940">
            <v>0.8</v>
          </cell>
          <cell r="F940">
            <v>399769939342</v>
          </cell>
          <cell r="G940" t="str">
            <v>c/o DHL Supply Chain SGP P/L
Texas Instruments Southeast Asia Pt</v>
          </cell>
          <cell r="H940" t="str">
            <v>Delivered</v>
          </cell>
          <cell r="I940" t="str">
            <v xml:space="preserve">IC </v>
          </cell>
          <cell r="J940" t="str">
            <v>Fedex</v>
          </cell>
          <cell r="K940" t="str">
            <v>VVMV</v>
          </cell>
          <cell r="L940" t="str">
            <v>SG</v>
          </cell>
          <cell r="M940">
            <v>46101</v>
          </cell>
          <cell r="N940">
            <v>46106</v>
          </cell>
          <cell r="O940">
            <v>46106</v>
          </cell>
          <cell r="P940">
            <v>108082342100</v>
          </cell>
          <cell r="Q940">
            <v>46105</v>
          </cell>
          <cell r="R940" t="str">
            <v>No inspection</v>
          </cell>
          <cell r="S940">
            <v>270</v>
          </cell>
          <cell r="T940" t="str">
            <v>EXW</v>
          </cell>
          <cell r="U940" t="str">
            <v>HLO</v>
          </cell>
        </row>
        <row r="941">
          <cell r="D941">
            <v>4.5</v>
          </cell>
          <cell r="F941">
            <v>399791147925</v>
          </cell>
          <cell r="G941" t="str">
            <v>TEXAS INSTRUMENTS ASIA LIMITED
C/O KWE LOGISTICS (SHENZHEN)</v>
          </cell>
          <cell r="H941" t="str">
            <v>Delivered</v>
          </cell>
          <cell r="I941" t="str">
            <v xml:space="preserve">IC </v>
          </cell>
          <cell r="J941" t="str">
            <v>Fedex</v>
          </cell>
          <cell r="K941" t="str">
            <v>VVMV</v>
          </cell>
          <cell r="L941" t="str">
            <v>CN</v>
          </cell>
          <cell r="M941">
            <v>46101</v>
          </cell>
          <cell r="N941">
            <v>46106</v>
          </cell>
          <cell r="O941">
            <v>46106</v>
          </cell>
          <cell r="P941">
            <v>108082029750</v>
          </cell>
          <cell r="Q941">
            <v>46105</v>
          </cell>
          <cell r="R941" t="str">
            <v>No inspection</v>
          </cell>
          <cell r="S941">
            <v>8910.5400000000009</v>
          </cell>
          <cell r="T941" t="str">
            <v>EXW</v>
          </cell>
          <cell r="U941" t="str">
            <v>PUR</v>
          </cell>
        </row>
        <row r="942">
          <cell r="D942">
            <v>1.3</v>
          </cell>
          <cell r="F942">
            <v>399793875044</v>
          </cell>
          <cell r="G942" t="str">
            <v>C/O KINTETSU WORLD EXPRESS (CHINA)
TEXAS INSTRUMENTS ASIA LIMITED</v>
          </cell>
          <cell r="H942" t="str">
            <v>Delivered</v>
          </cell>
          <cell r="I942" t="str">
            <v xml:space="preserve">IC </v>
          </cell>
          <cell r="J942" t="str">
            <v>Fedex</v>
          </cell>
          <cell r="K942" t="str">
            <v>VVMV</v>
          </cell>
          <cell r="L942" t="str">
            <v>CN</v>
          </cell>
          <cell r="M942">
            <v>46101</v>
          </cell>
          <cell r="N942">
            <v>46107</v>
          </cell>
          <cell r="O942">
            <v>46106</v>
          </cell>
          <cell r="P942">
            <v>108082543700</v>
          </cell>
          <cell r="Q942">
            <v>46105</v>
          </cell>
          <cell r="R942" t="str">
            <v>No inspection</v>
          </cell>
          <cell r="S942">
            <v>1500</v>
          </cell>
          <cell r="T942" t="str">
            <v>EXW</v>
          </cell>
          <cell r="U942" t="str">
            <v>HLO</v>
          </cell>
        </row>
        <row r="943">
          <cell r="D943">
            <v>3.8</v>
          </cell>
          <cell r="F943">
            <v>889681476322</v>
          </cell>
          <cell r="G943" t="str">
            <v>AMA INTERNATIONAL FREIGHT LTD.</v>
          </cell>
          <cell r="H943" t="str">
            <v>Delivered</v>
          </cell>
          <cell r="I943" t="str">
            <v>cable</v>
          </cell>
          <cell r="J943" t="str">
            <v>Fedex</v>
          </cell>
          <cell r="K943" t="str">
            <v>VVMV</v>
          </cell>
          <cell r="L943" t="str">
            <v>HK</v>
          </cell>
          <cell r="M943">
            <v>46100</v>
          </cell>
          <cell r="N943">
            <v>46107</v>
          </cell>
          <cell r="O943">
            <v>46106</v>
          </cell>
          <cell r="P943">
            <v>108082428900</v>
          </cell>
          <cell r="Q943">
            <v>46105</v>
          </cell>
          <cell r="R943" t="str">
            <v>No inspection</v>
          </cell>
          <cell r="S943">
            <v>1568</v>
          </cell>
          <cell r="T943" t="str">
            <v>EXW</v>
          </cell>
          <cell r="U943" t="str">
            <v>EF-</v>
          </cell>
        </row>
        <row r="944">
          <cell r="D944">
            <v>244.7</v>
          </cell>
          <cell r="F944">
            <v>477592557250</v>
          </cell>
          <cell r="G944" t="str">
            <v>QUALCOMM CDMA TECHNOLOGIES ASIA-PAC</v>
          </cell>
          <cell r="H944" t="str">
            <v>Delivered</v>
          </cell>
          <cell r="I944" t="str">
            <v xml:space="preserve">IC </v>
          </cell>
          <cell r="J944" t="str">
            <v>Fedex</v>
          </cell>
          <cell r="K944" t="str">
            <v>VVMV</v>
          </cell>
          <cell r="L944" t="str">
            <v>SG</v>
          </cell>
          <cell r="M944">
            <v>46101</v>
          </cell>
          <cell r="N944">
            <v>46107</v>
          </cell>
          <cell r="O944">
            <v>46106</v>
          </cell>
          <cell r="P944">
            <v>108082148750</v>
          </cell>
          <cell r="Q944">
            <v>46105</v>
          </cell>
          <cell r="R944" t="str">
            <v>No inspection</v>
          </cell>
          <cell r="S944">
            <v>730870.08</v>
          </cell>
          <cell r="T944" t="str">
            <v>EXW</v>
          </cell>
          <cell r="U944" t="str">
            <v>LUC</v>
          </cell>
        </row>
        <row r="945">
          <cell r="D945">
            <v>20.8</v>
          </cell>
          <cell r="F945">
            <v>518908268312</v>
          </cell>
          <cell r="G945" t="str">
            <v>Micron Memory Malaysia Sdn. Bh</v>
          </cell>
          <cell r="H945" t="str">
            <v>Delivered</v>
          </cell>
          <cell r="I945" t="str">
            <v xml:space="preserve">MEM </v>
          </cell>
          <cell r="J945" t="str">
            <v>Fedex</v>
          </cell>
          <cell r="K945" t="str">
            <v>VVMV</v>
          </cell>
          <cell r="L945" t="str">
            <v>MY</v>
          </cell>
          <cell r="M945">
            <v>46104</v>
          </cell>
          <cell r="N945">
            <v>46107</v>
          </cell>
          <cell r="O945">
            <v>46106</v>
          </cell>
          <cell r="P945">
            <v>108082518240</v>
          </cell>
          <cell r="Q945">
            <v>46105</v>
          </cell>
          <cell r="R945" t="str">
            <v>No inspection</v>
          </cell>
          <cell r="S945">
            <v>1006320</v>
          </cell>
          <cell r="T945" t="str">
            <v>CIF</v>
          </cell>
          <cell r="U945" t="str">
            <v>PUR</v>
          </cell>
        </row>
        <row r="946">
          <cell r="D946">
            <v>20</v>
          </cell>
          <cell r="F946">
            <v>399749875302</v>
          </cell>
          <cell r="G946" t="str">
            <v>c/o DHL Supply Chain SGP P/L
Texas Instruments Southeast Asia Pt</v>
          </cell>
          <cell r="H946" t="str">
            <v>Delivered</v>
          </cell>
          <cell r="I946" t="str">
            <v xml:space="preserve">IC </v>
          </cell>
          <cell r="J946" t="str">
            <v>Fedex</v>
          </cell>
          <cell r="K946" t="str">
            <v>VVMV</v>
          </cell>
          <cell r="L946" t="str">
            <v>SG</v>
          </cell>
          <cell r="M946">
            <v>46100</v>
          </cell>
          <cell r="N946">
            <v>46107</v>
          </cell>
          <cell r="O946">
            <v>46106</v>
          </cell>
          <cell r="P946">
            <v>108082618230</v>
          </cell>
          <cell r="Q946">
            <v>46105</v>
          </cell>
          <cell r="R946" t="str">
            <v>No inspection</v>
          </cell>
          <cell r="S946">
            <v>2496.6</v>
          </cell>
          <cell r="T946" t="str">
            <v>EXW</v>
          </cell>
          <cell r="U946" t="str">
            <v>PUR</v>
          </cell>
        </row>
        <row r="947">
          <cell r="D947">
            <v>2.2999999999999998</v>
          </cell>
          <cell r="F947">
            <v>889705280240</v>
          </cell>
          <cell r="G947" t="str">
            <v>Alliance Memory, Inc</v>
          </cell>
          <cell r="H947" t="str">
            <v>Delivered</v>
          </cell>
          <cell r="I947" t="str">
            <v xml:space="preserve">IC </v>
          </cell>
          <cell r="J947" t="str">
            <v>Fedex</v>
          </cell>
          <cell r="K947" t="str">
            <v>VVMV</v>
          </cell>
          <cell r="L947" t="str">
            <v>US</v>
          </cell>
          <cell r="M947">
            <v>46098</v>
          </cell>
          <cell r="N947">
            <v>46107</v>
          </cell>
          <cell r="O947">
            <v>46106</v>
          </cell>
          <cell r="P947">
            <v>108082276040</v>
          </cell>
          <cell r="Q947">
            <v>46105</v>
          </cell>
          <cell r="R947" t="str">
            <v>No inspection</v>
          </cell>
          <cell r="S947">
            <v>3525</v>
          </cell>
          <cell r="T947" t="str">
            <v>CIF</v>
          </cell>
          <cell r="U947" t="str">
            <v>EF-</v>
          </cell>
        </row>
        <row r="948">
          <cell r="D948">
            <v>195.57</v>
          </cell>
          <cell r="F948" t="str">
            <v>HKHPG2603167</v>
          </cell>
          <cell r="G948" t="str">
            <v>COMPEQ MANUFACTURING (HUIZHOU) CO., LTD.
C/O:FOK HEI HOLDING CO.,LTD</v>
          </cell>
          <cell r="H948" t="str">
            <v>Delivered</v>
          </cell>
          <cell r="I948" t="str">
            <v xml:space="preserve">PCB </v>
          </cell>
          <cell r="J948" t="str">
            <v>vvmv(sea)</v>
          </cell>
          <cell r="K948" t="str">
            <v>VVMV</v>
          </cell>
          <cell r="L948" t="str">
            <v>HK</v>
          </cell>
          <cell r="M948">
            <v>46104</v>
          </cell>
          <cell r="N948">
            <v>46108</v>
          </cell>
          <cell r="O948">
            <v>46108</v>
          </cell>
          <cell r="P948">
            <v>108087303920</v>
          </cell>
          <cell r="Q948">
            <v>46107</v>
          </cell>
          <cell r="R948" t="str">
            <v>No inspection</v>
          </cell>
          <cell r="S948">
            <v>135288</v>
          </cell>
          <cell r="T948" t="str">
            <v>FOB</v>
          </cell>
          <cell r="U948" t="str">
            <v>PUR</v>
          </cell>
        </row>
        <row r="949">
          <cell r="D949">
            <v>1.4</v>
          </cell>
          <cell r="F949">
            <v>5973800814</v>
          </cell>
          <cell r="G949" t="str">
            <v>FUTURE ELECTRONICS (ADC)</v>
          </cell>
          <cell r="H949" t="str">
            <v>Delivered</v>
          </cell>
          <cell r="I949" t="str">
            <v xml:space="preserve">LED </v>
          </cell>
          <cell r="J949" t="str">
            <v>DHL</v>
          </cell>
          <cell r="K949" t="str">
            <v>VVMV</v>
          </cell>
          <cell r="L949" t="str">
            <v>SG</v>
          </cell>
          <cell r="M949">
            <v>46104</v>
          </cell>
          <cell r="N949">
            <v>46107</v>
          </cell>
          <cell r="O949">
            <v>46107</v>
          </cell>
          <cell r="P949">
            <v>108085372030</v>
          </cell>
          <cell r="Q949">
            <v>46106</v>
          </cell>
          <cell r="R949" t="str">
            <v>No inspection</v>
          </cell>
          <cell r="S949">
            <v>483</v>
          </cell>
          <cell r="T949" t="str">
            <v>CIF</v>
          </cell>
          <cell r="U949" t="str">
            <v>PUR</v>
          </cell>
        </row>
        <row r="950">
          <cell r="D950">
            <v>46.1</v>
          </cell>
          <cell r="F950">
            <v>9355148250</v>
          </cell>
          <cell r="G950" t="str">
            <v>SHENNAN CIRCUITS CO.,LTD</v>
          </cell>
          <cell r="H950" t="str">
            <v>Delivered</v>
          </cell>
          <cell r="I950" t="str">
            <v>PCB/</v>
          </cell>
          <cell r="J950" t="str">
            <v>DHL</v>
          </cell>
          <cell r="K950" t="str">
            <v>VVMV</v>
          </cell>
          <cell r="L950" t="str">
            <v>CN</v>
          </cell>
          <cell r="M950">
            <v>46104</v>
          </cell>
          <cell r="N950">
            <v>46107</v>
          </cell>
          <cell r="O950">
            <v>46107</v>
          </cell>
          <cell r="P950">
            <v>108086148550</v>
          </cell>
          <cell r="Q950">
            <v>46106</v>
          </cell>
          <cell r="R950" t="str">
            <v>No inspection</v>
          </cell>
          <cell r="S950">
            <v>8101.5</v>
          </cell>
          <cell r="T950" t="str">
            <v>CIF</v>
          </cell>
          <cell r="U950" t="str">
            <v>AIC</v>
          </cell>
        </row>
        <row r="951">
          <cell r="D951">
            <v>0.5</v>
          </cell>
          <cell r="F951">
            <v>889868438455</v>
          </cell>
          <cell r="G951" t="str">
            <v>CYMMETRIK SHENZHEN PRINTING CO., LTD</v>
          </cell>
          <cell r="H951" t="str">
            <v>Delivered</v>
          </cell>
          <cell r="I951" t="str">
            <v>LABE</v>
          </cell>
          <cell r="J951" t="str">
            <v>Fedex</v>
          </cell>
          <cell r="K951" t="str">
            <v>VVMV</v>
          </cell>
          <cell r="L951" t="str">
            <v>CN</v>
          </cell>
          <cell r="M951">
            <v>46104</v>
          </cell>
          <cell r="N951">
            <v>46107</v>
          </cell>
          <cell r="O951">
            <v>46107</v>
          </cell>
          <cell r="P951">
            <v>108085125410</v>
          </cell>
          <cell r="Q951">
            <v>46106</v>
          </cell>
          <cell r="R951" t="str">
            <v>No inspection</v>
          </cell>
          <cell r="S951">
            <v>1</v>
          </cell>
          <cell r="T951" t="str">
            <v>EXW</v>
          </cell>
          <cell r="U951" t="str">
            <v>PUR</v>
          </cell>
        </row>
        <row r="952">
          <cell r="D952">
            <v>1291.4000000000001</v>
          </cell>
          <cell r="F952" t="str">
            <v>LNBHPH261320</v>
          </cell>
          <cell r="G952" t="str">
            <v>ENNOVI ADVANCED MOBILITY SOLUTIONS HANGZHOU CO., LTD.</v>
          </cell>
          <cell r="H952" t="str">
            <v>Delivered</v>
          </cell>
          <cell r="I952" t="str">
            <v>CONN, ENCL</v>
          </cell>
          <cell r="J952" t="str">
            <v>Fedex</v>
          </cell>
          <cell r="K952" t="str">
            <v>VVMV</v>
          </cell>
          <cell r="L952" t="str">
            <v>CN</v>
          </cell>
          <cell r="M952">
            <v>46106</v>
          </cell>
          <cell r="N952">
            <v>46113</v>
          </cell>
          <cell r="O952">
            <v>46113</v>
          </cell>
          <cell r="P952">
            <v>108105117150</v>
          </cell>
          <cell r="Q952">
            <v>46112</v>
          </cell>
          <cell r="R952" t="str">
            <v>No inspection</v>
          </cell>
          <cell r="S952">
            <v>37827.22</v>
          </cell>
          <cell r="T952" t="str">
            <v>EXW</v>
          </cell>
          <cell r="U952" t="str">
            <v>LUC</v>
          </cell>
        </row>
        <row r="953">
          <cell r="D953">
            <v>0.2</v>
          </cell>
          <cell r="F953">
            <v>511467685166</v>
          </cell>
          <cell r="G953" t="str">
            <v>MICROCHIP TECNOLOGY(THAILAND) CO LTD</v>
          </cell>
          <cell r="H953" t="str">
            <v>Delivered</v>
          </cell>
          <cell r="I953" t="str">
            <v>CRYS</v>
          </cell>
          <cell r="J953" t="str">
            <v>Fedex</v>
          </cell>
          <cell r="K953" t="str">
            <v>VVMV</v>
          </cell>
          <cell r="L953" t="str">
            <v>TH</v>
          </cell>
          <cell r="M953">
            <v>46104</v>
          </cell>
          <cell r="N953">
            <v>46107</v>
          </cell>
          <cell r="O953">
            <v>46107</v>
          </cell>
          <cell r="P953">
            <v>108085780020</v>
          </cell>
          <cell r="Q953">
            <v>46106</v>
          </cell>
          <cell r="R953" t="str">
            <v>No inspection</v>
          </cell>
          <cell r="S953">
            <v>522</v>
          </cell>
          <cell r="T953" t="str">
            <v>EXW</v>
          </cell>
          <cell r="U953" t="str">
            <v>LUC</v>
          </cell>
        </row>
        <row r="954">
          <cell r="D954">
            <v>1.7</v>
          </cell>
          <cell r="F954">
            <v>483570644091</v>
          </cell>
          <cell r="G954" t="str">
            <v>UNIGEN</v>
          </cell>
          <cell r="H954" t="str">
            <v>Delivered</v>
          </cell>
          <cell r="I954" t="str">
            <v>IC M, CONN</v>
          </cell>
          <cell r="J954" t="str">
            <v>Fedex</v>
          </cell>
          <cell r="K954" t="str">
            <v>VVMV</v>
          </cell>
          <cell r="L954" t="str">
            <v>US</v>
          </cell>
          <cell r="M954">
            <v>46100</v>
          </cell>
          <cell r="N954">
            <v>46107</v>
          </cell>
          <cell r="O954">
            <v>46107</v>
          </cell>
          <cell r="P954">
            <v>108086281700</v>
          </cell>
          <cell r="Q954">
            <v>46106</v>
          </cell>
          <cell r="R954" t="str">
            <v>No inspection</v>
          </cell>
          <cell r="S954">
            <v>19050</v>
          </cell>
          <cell r="T954" t="str">
            <v>CIF</v>
          </cell>
          <cell r="U954" t="str">
            <v>LUC</v>
          </cell>
        </row>
        <row r="955">
          <cell r="D955">
            <v>65.5</v>
          </cell>
          <cell r="F955">
            <v>4110335373</v>
          </cell>
          <cell r="G955" t="str">
            <v>Avnet, Inc.</v>
          </cell>
          <cell r="H955" t="str">
            <v>Delivered</v>
          </cell>
          <cell r="I955" t="str">
            <v xml:space="preserve">CON </v>
          </cell>
          <cell r="J955" t="str">
            <v>Expeditors</v>
          </cell>
          <cell r="K955" t="str">
            <v>VVMV</v>
          </cell>
          <cell r="L955" t="str">
            <v>US</v>
          </cell>
          <cell r="M955">
            <v>46104</v>
          </cell>
          <cell r="N955">
            <v>46108</v>
          </cell>
          <cell r="O955">
            <v>46111</v>
          </cell>
          <cell r="P955">
            <v>108092547030</v>
          </cell>
          <cell r="Q955">
            <v>46108</v>
          </cell>
          <cell r="R955" t="str">
            <v>No inspection</v>
          </cell>
          <cell r="S955">
            <v>7321.6</v>
          </cell>
          <cell r="T955" t="str">
            <v>DAP</v>
          </cell>
          <cell r="U955" t="str">
            <v>LUC</v>
          </cell>
        </row>
        <row r="956">
          <cell r="D956">
            <v>117.5</v>
          </cell>
          <cell r="F956">
            <v>4110335372</v>
          </cell>
          <cell r="G956" t="str">
            <v>Avnet, Inc.</v>
          </cell>
          <cell r="H956" t="str">
            <v>Delivered</v>
          </cell>
          <cell r="I956" t="str">
            <v>CONN</v>
          </cell>
          <cell r="J956" t="str">
            <v>Expeditors</v>
          </cell>
          <cell r="K956" t="str">
            <v>VVMV</v>
          </cell>
          <cell r="L956" t="str">
            <v>US</v>
          </cell>
          <cell r="M956">
            <v>46104</v>
          </cell>
          <cell r="N956">
            <v>46108</v>
          </cell>
          <cell r="O956">
            <v>46111</v>
          </cell>
          <cell r="P956">
            <v>108093112850</v>
          </cell>
          <cell r="Q956">
            <v>46108</v>
          </cell>
          <cell r="R956" t="str">
            <v>No inspection</v>
          </cell>
          <cell r="S956">
            <v>7632.24</v>
          </cell>
          <cell r="T956" t="str">
            <v>DAP</v>
          </cell>
          <cell r="U956" t="str">
            <v>LUC</v>
          </cell>
        </row>
        <row r="957">
          <cell r="D957">
            <v>28</v>
          </cell>
          <cell r="F957">
            <v>4110335267</v>
          </cell>
          <cell r="G957" t="str">
            <v>Avnet, Inc.</v>
          </cell>
          <cell r="H957" t="str">
            <v>Delivered</v>
          </cell>
          <cell r="I957" t="str">
            <v>CONN</v>
          </cell>
          <cell r="J957" t="str">
            <v>Expeditors</v>
          </cell>
          <cell r="K957" t="str">
            <v>VVMV</v>
          </cell>
          <cell r="L957" t="str">
            <v>US</v>
          </cell>
          <cell r="M957">
            <v>46100</v>
          </cell>
          <cell r="N957">
            <v>46108</v>
          </cell>
          <cell r="O957">
            <v>46108</v>
          </cell>
          <cell r="P957">
            <v>108090565810</v>
          </cell>
          <cell r="Q957">
            <v>46107</v>
          </cell>
          <cell r="R957" t="str">
            <v>No inspection</v>
          </cell>
          <cell r="S957">
            <v>4406.3999999999996</v>
          </cell>
          <cell r="T957" t="str">
            <v>DAP</v>
          </cell>
          <cell r="U957" t="str">
            <v>LUC</v>
          </cell>
        </row>
        <row r="958">
          <cell r="D958">
            <v>971</v>
          </cell>
          <cell r="F958" t="str">
            <v>LSZHPH2601990</v>
          </cell>
          <cell r="G958" t="str">
            <v>DONGGUAN CHENMING ELECTRONIC CO., LTD</v>
          </cell>
          <cell r="H958" t="str">
            <v>Delivered</v>
          </cell>
          <cell r="I958" t="str">
            <v>BRAC, PLAT, TRIM, BEZE</v>
          </cell>
          <cell r="J958" t="str">
            <v>VVMV(sea)</v>
          </cell>
          <cell r="K958" t="str">
            <v>VVMV</v>
          </cell>
          <cell r="L958" t="str">
            <v>CN</v>
          </cell>
          <cell r="M958">
            <v>46103</v>
          </cell>
          <cell r="N958">
            <v>46108</v>
          </cell>
          <cell r="O958">
            <v>46108</v>
          </cell>
          <cell r="P958">
            <v>108087384050</v>
          </cell>
          <cell r="Q958">
            <v>46107</v>
          </cell>
          <cell r="R958" t="str">
            <v>No inspection</v>
          </cell>
          <cell r="S958">
            <v>22176</v>
          </cell>
          <cell r="T958" t="str">
            <v>EXW</v>
          </cell>
          <cell r="U958" t="str">
            <v>EF-</v>
          </cell>
        </row>
        <row r="959">
          <cell r="D959">
            <v>118</v>
          </cell>
          <cell r="F959" t="str">
            <v>LSZHPH2601960</v>
          </cell>
          <cell r="G959" t="str">
            <v>ISU PETAYSYS INTERNATIONAL ( HONG KONG) LTD</v>
          </cell>
          <cell r="H959" t="str">
            <v>Delivered</v>
          </cell>
          <cell r="I959" t="str">
            <v xml:space="preserve">PCB </v>
          </cell>
          <cell r="J959" t="str">
            <v>VVMV(sea)</v>
          </cell>
          <cell r="K959" t="str">
            <v>VVMV</v>
          </cell>
          <cell r="L959" t="str">
            <v>CN</v>
          </cell>
          <cell r="M959">
            <v>46103</v>
          </cell>
          <cell r="N959">
            <v>46108</v>
          </cell>
          <cell r="O959">
            <v>46108</v>
          </cell>
          <cell r="P959">
            <v>108089088000</v>
          </cell>
          <cell r="Q959">
            <v>46107</v>
          </cell>
          <cell r="R959" t="str">
            <v>No inspection</v>
          </cell>
          <cell r="S959">
            <v>12527.46</v>
          </cell>
          <cell r="T959" t="str">
            <v>EXW</v>
          </cell>
          <cell r="U959" t="str">
            <v>PUR</v>
          </cell>
        </row>
        <row r="960">
          <cell r="D960">
            <v>534.20000000000005</v>
          </cell>
          <cell r="F960" t="str">
            <v>LSHHPH2602476</v>
          </cell>
          <cell r="G960" t="str">
            <v>SUZHOU CURRENT ELECTRIC LIMITED COMPANY</v>
          </cell>
          <cell r="H960" t="str">
            <v>Delivered</v>
          </cell>
          <cell r="I960" t="str">
            <v>BUSB</v>
          </cell>
          <cell r="J960" t="str">
            <v>Dolphin(sea)</v>
          </cell>
          <cell r="K960" t="str">
            <v>Dolphin</v>
          </cell>
          <cell r="L960" t="str">
            <v>CN</v>
          </cell>
          <cell r="M960">
            <v>46104</v>
          </cell>
          <cell r="N960">
            <v>46111</v>
          </cell>
          <cell r="O960">
            <v>46112</v>
          </cell>
          <cell r="P960" t="str">
            <v>108086610110
108086615450</v>
          </cell>
          <cell r="Q960">
            <v>46107</v>
          </cell>
          <cell r="R960" t="str">
            <v>No inspection</v>
          </cell>
          <cell r="S960">
            <v>193.2</v>
          </cell>
          <cell r="T960" t="str">
            <v>EXW</v>
          </cell>
          <cell r="U960" t="str">
            <v>LUC</v>
          </cell>
        </row>
        <row r="961">
          <cell r="D961">
            <v>0.4</v>
          </cell>
          <cell r="F961">
            <v>1040455032</v>
          </cell>
          <cell r="G961" t="str">
            <v>TTI INC</v>
          </cell>
          <cell r="H961" t="str">
            <v>Delivered</v>
          </cell>
          <cell r="I961" t="str">
            <v>FERR</v>
          </cell>
          <cell r="J961" t="str">
            <v>DHL</v>
          </cell>
          <cell r="K961" t="str">
            <v>VVMV</v>
          </cell>
          <cell r="L961" t="str">
            <v>US</v>
          </cell>
          <cell r="M961">
            <v>46105</v>
          </cell>
          <cell r="N961">
            <v>46111</v>
          </cell>
          <cell r="O961">
            <v>46111</v>
          </cell>
          <cell r="P961">
            <v>108092681210</v>
          </cell>
          <cell r="Q961">
            <v>46108</v>
          </cell>
          <cell r="R961" t="str">
            <v>No inspection</v>
          </cell>
          <cell r="S961">
            <v>59.2</v>
          </cell>
          <cell r="T961" t="str">
            <v>CIF</v>
          </cell>
          <cell r="U961" t="str">
            <v>PUR</v>
          </cell>
        </row>
        <row r="962">
          <cell r="D962">
            <v>9.5</v>
          </cell>
          <cell r="F962">
            <v>510007321690</v>
          </cell>
          <cell r="G962" t="str">
            <v>SINO FAITH TECHNOLOGY  DVPT LTD</v>
          </cell>
          <cell r="H962" t="str">
            <v>Delivered</v>
          </cell>
          <cell r="I962" t="str">
            <v xml:space="preserve">RES </v>
          </cell>
          <cell r="J962" t="str">
            <v>Fedex</v>
          </cell>
          <cell r="K962" t="str">
            <v>VVMV</v>
          </cell>
          <cell r="L962" t="str">
            <v>HK</v>
          </cell>
          <cell r="M962">
            <v>46106</v>
          </cell>
          <cell r="N962">
            <v>46111</v>
          </cell>
          <cell r="O962">
            <v>46111</v>
          </cell>
          <cell r="P962">
            <v>108094682030</v>
          </cell>
          <cell r="Q962">
            <v>46108</v>
          </cell>
          <cell r="R962" t="str">
            <v>No inspection</v>
          </cell>
          <cell r="S962">
            <v>2882.5</v>
          </cell>
          <cell r="T962" t="str">
            <v>EXW</v>
          </cell>
          <cell r="U962" t="str">
            <v>PUR</v>
          </cell>
        </row>
        <row r="963">
          <cell r="D963">
            <v>0.7</v>
          </cell>
          <cell r="F963">
            <v>519024603428</v>
          </cell>
          <cell r="G963" t="str">
            <v>DIGI-KEY ELECTRONICS</v>
          </cell>
          <cell r="H963" t="str">
            <v>Delivered</v>
          </cell>
          <cell r="I963" t="str">
            <v xml:space="preserve">IND , RES , CAP </v>
          </cell>
          <cell r="J963" t="str">
            <v>Fedex</v>
          </cell>
          <cell r="K963" t="str">
            <v>VVMV</v>
          </cell>
          <cell r="L963" t="str">
            <v>US</v>
          </cell>
          <cell r="M963">
            <v>46104</v>
          </cell>
          <cell r="N963">
            <v>46111</v>
          </cell>
          <cell r="O963">
            <v>46111</v>
          </cell>
          <cell r="P963">
            <v>108094745250</v>
          </cell>
          <cell r="Q963">
            <v>46108</v>
          </cell>
          <cell r="R963" t="str">
            <v>No inspection</v>
          </cell>
          <cell r="S963">
            <v>216.36</v>
          </cell>
          <cell r="T963" t="str">
            <v>CIF</v>
          </cell>
          <cell r="U963">
            <v>122</v>
          </cell>
        </row>
        <row r="964">
          <cell r="D964">
            <v>45.5</v>
          </cell>
          <cell r="F964">
            <v>889916099348</v>
          </cell>
          <cell r="G964" t="str">
            <v>WT MICROELECTRONICS SPORE P/L</v>
          </cell>
          <cell r="H964" t="str">
            <v>Delivered</v>
          </cell>
          <cell r="I964" t="str">
            <v xml:space="preserve">IC R, CAP , RES </v>
          </cell>
          <cell r="J964" t="str">
            <v>Fedex</v>
          </cell>
          <cell r="K964" t="str">
            <v>VVMV</v>
          </cell>
          <cell r="L964" t="str">
            <v>SG</v>
          </cell>
          <cell r="M964">
            <v>46105</v>
          </cell>
          <cell r="N964">
            <v>46112</v>
          </cell>
          <cell r="O964">
            <v>46112</v>
          </cell>
          <cell r="P964">
            <v>108100498550</v>
          </cell>
          <cell r="Q964">
            <v>46111</v>
          </cell>
          <cell r="R964" t="str">
            <v>No inspection</v>
          </cell>
          <cell r="S964">
            <v>96705.7</v>
          </cell>
          <cell r="T964" t="str">
            <v>EXW</v>
          </cell>
          <cell r="U964" t="str">
            <v>LUC</v>
          </cell>
        </row>
        <row r="965">
          <cell r="D965">
            <v>2.2999999999999998</v>
          </cell>
          <cell r="F965">
            <v>500292534767</v>
          </cell>
          <cell r="G965" t="str">
            <v>ARROW COMPONENTS MEXICO SA De CV</v>
          </cell>
          <cell r="H965" t="str">
            <v>Delivered</v>
          </cell>
          <cell r="I965" t="str">
            <v>TRAN</v>
          </cell>
          <cell r="J965" t="str">
            <v>Fedex</v>
          </cell>
          <cell r="K965" t="str">
            <v>VVMV</v>
          </cell>
          <cell r="L965" t="str">
            <v>MX</v>
          </cell>
          <cell r="M965">
            <v>46100</v>
          </cell>
          <cell r="N965">
            <v>46111</v>
          </cell>
          <cell r="O965">
            <v>46111</v>
          </cell>
          <cell r="P965">
            <v>108094457440</v>
          </cell>
          <cell r="Q965">
            <v>46108</v>
          </cell>
          <cell r="R965" t="str">
            <v>No inspection</v>
          </cell>
          <cell r="S965">
            <v>950</v>
          </cell>
          <cell r="T965" t="str">
            <v>CIF</v>
          </cell>
          <cell r="U965" t="str">
            <v>PUR</v>
          </cell>
        </row>
        <row r="966">
          <cell r="D966">
            <v>1.4</v>
          </cell>
          <cell r="F966">
            <v>500292535671</v>
          </cell>
          <cell r="G966" t="str">
            <v>ARROW COMPONENTS MEXICO SA De CV</v>
          </cell>
          <cell r="H966" t="str">
            <v>Delivered</v>
          </cell>
          <cell r="I966" t="str">
            <v>IC 2</v>
          </cell>
          <cell r="J966" t="str">
            <v>Fedex</v>
          </cell>
          <cell r="K966" t="str">
            <v>VVMV</v>
          </cell>
          <cell r="L966" t="str">
            <v>MX</v>
          </cell>
          <cell r="M966">
            <v>46101</v>
          </cell>
          <cell r="N966">
            <v>46111</v>
          </cell>
          <cell r="O966">
            <v>46111</v>
          </cell>
          <cell r="P966">
            <v>108093865460</v>
          </cell>
          <cell r="Q966">
            <v>46108</v>
          </cell>
          <cell r="R966" t="str">
            <v>No inspection</v>
          </cell>
          <cell r="S966">
            <v>1900</v>
          </cell>
          <cell r="T966" t="str">
            <v>CIF</v>
          </cell>
          <cell r="U966" t="str">
            <v>EF-</v>
          </cell>
        </row>
        <row r="967">
          <cell r="D967">
            <v>0.5</v>
          </cell>
          <cell r="F967">
            <v>518717842086</v>
          </cell>
          <cell r="G967" t="str">
            <v>ARROW ELECTRONICS, INC.</v>
          </cell>
          <cell r="H967" t="str">
            <v>Delivered</v>
          </cell>
          <cell r="I967" t="str">
            <v xml:space="preserve">CAP </v>
          </cell>
          <cell r="J967" t="str">
            <v>Fedex</v>
          </cell>
          <cell r="K967" t="str">
            <v>VVMV</v>
          </cell>
          <cell r="L967" t="str">
            <v>US</v>
          </cell>
          <cell r="M967">
            <v>46105</v>
          </cell>
          <cell r="N967">
            <v>46111</v>
          </cell>
          <cell r="O967">
            <v>46111</v>
          </cell>
          <cell r="P967">
            <v>108093736110</v>
          </cell>
          <cell r="Q967">
            <v>46108</v>
          </cell>
          <cell r="R967" t="str">
            <v>No inspection</v>
          </cell>
          <cell r="S967">
            <v>94.4</v>
          </cell>
          <cell r="T967" t="str">
            <v>CIF</v>
          </cell>
          <cell r="U967" t="str">
            <v>LUC</v>
          </cell>
        </row>
        <row r="968">
          <cell r="D968">
            <v>0.9</v>
          </cell>
          <cell r="F968">
            <v>707296304488</v>
          </cell>
          <cell r="G968" t="str">
            <v>ARROW COMPONENTS MEXICO SA De CV</v>
          </cell>
          <cell r="H968" t="str">
            <v>Delivered</v>
          </cell>
          <cell r="I968" t="str">
            <v>IC U</v>
          </cell>
          <cell r="J968" t="str">
            <v>Fedex</v>
          </cell>
          <cell r="K968" t="str">
            <v>VVMV</v>
          </cell>
          <cell r="L968" t="str">
            <v>MX</v>
          </cell>
          <cell r="M968">
            <v>46105</v>
          </cell>
          <cell r="N968">
            <v>46111</v>
          </cell>
          <cell r="O968">
            <v>46111</v>
          </cell>
          <cell r="P968">
            <v>108094506220</v>
          </cell>
          <cell r="Q968">
            <v>46108</v>
          </cell>
          <cell r="R968" t="str">
            <v>No inspection</v>
          </cell>
          <cell r="S968">
            <v>7450</v>
          </cell>
          <cell r="T968" t="str">
            <v>CIF</v>
          </cell>
          <cell r="U968" t="str">
            <v>LUC</v>
          </cell>
        </row>
        <row r="969">
          <cell r="D969">
            <v>4.5</v>
          </cell>
          <cell r="F969">
            <v>518717849323</v>
          </cell>
          <cell r="G969" t="str">
            <v>ARROW ELECTRONICS, INC.</v>
          </cell>
          <cell r="H969" t="str">
            <v>Delivered</v>
          </cell>
          <cell r="I969" t="str">
            <v>IC F</v>
          </cell>
          <cell r="J969" t="str">
            <v>Fedex</v>
          </cell>
          <cell r="K969" t="str">
            <v>VVMV</v>
          </cell>
          <cell r="L969" t="str">
            <v>US</v>
          </cell>
          <cell r="M969">
            <v>46105</v>
          </cell>
          <cell r="N969">
            <v>46111</v>
          </cell>
          <cell r="O969">
            <v>46111</v>
          </cell>
          <cell r="P969">
            <v>108093979340</v>
          </cell>
          <cell r="Q969">
            <v>46108</v>
          </cell>
          <cell r="R969" t="str">
            <v>No inspection</v>
          </cell>
          <cell r="S969">
            <v>3822.4</v>
          </cell>
          <cell r="T969" t="str">
            <v>CIF</v>
          </cell>
          <cell r="U969" t="str">
            <v>HLO</v>
          </cell>
        </row>
        <row r="970">
          <cell r="D970">
            <v>4.2</v>
          </cell>
          <cell r="F970">
            <v>889895695840</v>
          </cell>
          <cell r="G970" t="str">
            <v>WURTH ELECTRONICS MIDCOM</v>
          </cell>
          <cell r="H970" t="str">
            <v>Delivered</v>
          </cell>
          <cell r="I970" t="str">
            <v>FERR</v>
          </cell>
          <cell r="J970" t="str">
            <v>Fedex</v>
          </cell>
          <cell r="K970" t="str">
            <v>VVMV</v>
          </cell>
          <cell r="L970" t="str">
            <v>US</v>
          </cell>
          <cell r="M970">
            <v>46105</v>
          </cell>
          <cell r="N970">
            <v>46111</v>
          </cell>
          <cell r="O970">
            <v>46111</v>
          </cell>
          <cell r="P970">
            <v>108093935350</v>
          </cell>
          <cell r="Q970">
            <v>46108</v>
          </cell>
          <cell r="R970" t="str">
            <v>No inspection</v>
          </cell>
          <cell r="S970">
            <v>3240</v>
          </cell>
          <cell r="T970" t="str">
            <v>CIF</v>
          </cell>
          <cell r="U970" t="str">
            <v>LUC</v>
          </cell>
        </row>
        <row r="971">
          <cell r="D971">
            <v>3</v>
          </cell>
          <cell r="F971">
            <v>889912361830</v>
          </cell>
          <cell r="G971" t="str">
            <v>VITAL SYSTEM TECHNOLOGY PTE LTD</v>
          </cell>
          <cell r="H971" t="str">
            <v>Delivered</v>
          </cell>
          <cell r="I971" t="str">
            <v xml:space="preserve">DIOD, CAP , RES </v>
          </cell>
          <cell r="J971" t="str">
            <v>Fedex</v>
          </cell>
          <cell r="K971" t="str">
            <v>VVMV</v>
          </cell>
          <cell r="L971" t="str">
            <v>SG</v>
          </cell>
          <cell r="M971">
            <v>46105</v>
          </cell>
          <cell r="N971">
            <v>46111</v>
          </cell>
          <cell r="O971">
            <v>46111</v>
          </cell>
          <cell r="P971">
            <v>108094546600</v>
          </cell>
          <cell r="Q971">
            <v>46108</v>
          </cell>
          <cell r="R971" t="str">
            <v>No inspection</v>
          </cell>
          <cell r="S971">
            <v>1095.2</v>
          </cell>
          <cell r="T971" t="str">
            <v>EXW</v>
          </cell>
          <cell r="U971" t="str">
            <v>PUR</v>
          </cell>
        </row>
        <row r="972">
          <cell r="D972">
            <v>1.3</v>
          </cell>
          <cell r="F972">
            <v>399828625844</v>
          </cell>
          <cell r="G972" t="str">
            <v>c/o DHL Supply Chain SGP P/L
Texas Instruments Southeast Asia Pt</v>
          </cell>
          <cell r="H972" t="str">
            <v>Delivered</v>
          </cell>
          <cell r="I972" t="str">
            <v>IC S</v>
          </cell>
          <cell r="J972" t="str">
            <v>Fedex</v>
          </cell>
          <cell r="K972" t="str">
            <v>VVMV</v>
          </cell>
          <cell r="L972" t="str">
            <v>SG</v>
          </cell>
          <cell r="M972">
            <v>46104</v>
          </cell>
          <cell r="N972">
            <v>46111</v>
          </cell>
          <cell r="O972">
            <v>46111</v>
          </cell>
          <cell r="P972">
            <v>108094116430</v>
          </cell>
          <cell r="Q972">
            <v>46108</v>
          </cell>
          <cell r="R972" t="str">
            <v>No inspection</v>
          </cell>
          <cell r="S972">
            <v>12652</v>
          </cell>
          <cell r="T972" t="str">
            <v>EXW</v>
          </cell>
          <cell r="U972" t="str">
            <v>LUC</v>
          </cell>
        </row>
        <row r="973">
          <cell r="D973">
            <v>1.2</v>
          </cell>
          <cell r="F973">
            <v>399828592985</v>
          </cell>
          <cell r="G973" t="str">
            <v>c/o DHL Supply Chain SGP P/L
Texas Instruments Southeast Asia Pt</v>
          </cell>
          <cell r="H973" t="str">
            <v>Delivered</v>
          </cell>
          <cell r="I973" t="str">
            <v>IC M</v>
          </cell>
          <cell r="J973" t="str">
            <v>Fedex</v>
          </cell>
          <cell r="K973" t="str">
            <v>VVMV</v>
          </cell>
          <cell r="L973" t="str">
            <v>SG</v>
          </cell>
          <cell r="M973">
            <v>46104</v>
          </cell>
          <cell r="N973">
            <v>46111</v>
          </cell>
          <cell r="O973">
            <v>46111</v>
          </cell>
          <cell r="P973">
            <v>108094311140</v>
          </cell>
          <cell r="Q973">
            <v>46108</v>
          </cell>
          <cell r="R973" t="str">
            <v>No inspection</v>
          </cell>
          <cell r="S973">
            <v>1188</v>
          </cell>
          <cell r="T973" t="str">
            <v>EXW</v>
          </cell>
          <cell r="U973" t="str">
            <v>LUC</v>
          </cell>
        </row>
        <row r="974">
          <cell r="D974">
            <v>4.2</v>
          </cell>
          <cell r="F974">
            <v>399892935500</v>
          </cell>
          <cell r="G974" t="str">
            <v>TEXAS INSTRUMENTS ASIA LIMITED
C/O KWE LOGISTICS (SHENZHEN)</v>
          </cell>
          <cell r="H974" t="str">
            <v>Delivered</v>
          </cell>
          <cell r="I974" t="str">
            <v>IC S</v>
          </cell>
          <cell r="J974" t="str">
            <v>Fedex</v>
          </cell>
          <cell r="K974" t="str">
            <v>VVMV</v>
          </cell>
          <cell r="L974" t="str">
            <v>CN</v>
          </cell>
          <cell r="M974">
            <v>46105</v>
          </cell>
          <cell r="N974">
            <v>46111</v>
          </cell>
          <cell r="O974">
            <v>46112</v>
          </cell>
          <cell r="P974">
            <v>108094602930</v>
          </cell>
          <cell r="Q974">
            <v>46108</v>
          </cell>
          <cell r="R974" t="str">
            <v>No inspection</v>
          </cell>
          <cell r="S974">
            <v>7920.48</v>
          </cell>
          <cell r="T974" t="str">
            <v>EXW</v>
          </cell>
          <cell r="U974" t="str">
            <v>PUR</v>
          </cell>
        </row>
        <row r="975">
          <cell r="D975">
            <v>0.3</v>
          </cell>
          <cell r="F975">
            <v>1040455905</v>
          </cell>
          <cell r="G975" t="str">
            <v>TTI INC</v>
          </cell>
          <cell r="H975" t="str">
            <v>Delivered</v>
          </cell>
          <cell r="I975" t="str">
            <v>FERR</v>
          </cell>
          <cell r="J975" t="str">
            <v>DHL</v>
          </cell>
          <cell r="K975" t="str">
            <v>VVMV</v>
          </cell>
          <cell r="L975" t="str">
            <v>US</v>
          </cell>
          <cell r="M975">
            <v>46107</v>
          </cell>
          <cell r="N975">
            <v>46111</v>
          </cell>
          <cell r="O975">
            <v>46111</v>
          </cell>
          <cell r="P975">
            <v>108098335700</v>
          </cell>
          <cell r="Q975">
            <v>46111</v>
          </cell>
          <cell r="R975" t="str">
            <v>No inspection</v>
          </cell>
          <cell r="S975">
            <v>59.2</v>
          </cell>
          <cell r="T975" t="str">
            <v>CIF</v>
          </cell>
          <cell r="U975" t="str">
            <v>HLO</v>
          </cell>
        </row>
        <row r="976">
          <cell r="D976">
            <v>2.4</v>
          </cell>
          <cell r="F976">
            <v>1040456126</v>
          </cell>
          <cell r="G976" t="str">
            <v>TTI INC</v>
          </cell>
          <cell r="H976" t="str">
            <v>Delivered</v>
          </cell>
          <cell r="I976" t="str">
            <v xml:space="preserve">SWIT, CAP , RES </v>
          </cell>
          <cell r="J976" t="str">
            <v>DHL</v>
          </cell>
          <cell r="K976" t="str">
            <v>VVMV</v>
          </cell>
          <cell r="L976" t="str">
            <v>US</v>
          </cell>
          <cell r="M976">
            <v>46107</v>
          </cell>
          <cell r="N976">
            <v>46112</v>
          </cell>
          <cell r="O976">
            <v>46112</v>
          </cell>
          <cell r="P976">
            <v>108099191760</v>
          </cell>
          <cell r="Q976">
            <v>46111</v>
          </cell>
          <cell r="R976" t="str">
            <v>No inspection</v>
          </cell>
          <cell r="S976">
            <v>2208</v>
          </cell>
          <cell r="T976" t="str">
            <v>CIF</v>
          </cell>
          <cell r="U976" t="str">
            <v>EF-</v>
          </cell>
        </row>
        <row r="977">
          <cell r="D977">
            <v>14.5</v>
          </cell>
          <cell r="F977">
            <v>5973814324</v>
          </cell>
          <cell r="G977" t="str">
            <v>FUTURE ELECTRONICS INC (DIST) PTE LTD</v>
          </cell>
          <cell r="H977" t="str">
            <v>Delivered</v>
          </cell>
          <cell r="I977" t="str">
            <v xml:space="preserve">ICFL, OSC , IND </v>
          </cell>
          <cell r="J977" t="str">
            <v>DHL</v>
          </cell>
          <cell r="K977" t="str">
            <v>VVMV</v>
          </cell>
          <cell r="L977" t="str">
            <v>SG</v>
          </cell>
          <cell r="M977">
            <v>46107</v>
          </cell>
          <cell r="N977">
            <v>46111</v>
          </cell>
          <cell r="O977">
            <v>46111</v>
          </cell>
          <cell r="P977">
            <v>108094033610</v>
          </cell>
          <cell r="Q977">
            <v>46108</v>
          </cell>
          <cell r="R977" t="str">
            <v>No inspection</v>
          </cell>
          <cell r="S977">
            <v>15191.03</v>
          </cell>
          <cell r="T977" t="str">
            <v>CIF</v>
          </cell>
          <cell r="U977" t="str">
            <v>LUC</v>
          </cell>
        </row>
        <row r="978">
          <cell r="D978">
            <v>106</v>
          </cell>
          <cell r="F978">
            <v>4110335218</v>
          </cell>
          <cell r="G978" t="str">
            <v>Avnet, Inc.</v>
          </cell>
          <cell r="H978" t="str">
            <v>Delivered</v>
          </cell>
          <cell r="I978" t="str">
            <v>CONN</v>
          </cell>
          <cell r="J978" t="str">
            <v>Expeditors</v>
          </cell>
          <cell r="K978" t="str">
            <v>VVMV</v>
          </cell>
          <cell r="L978" t="str">
            <v>US</v>
          </cell>
          <cell r="M978">
            <v>46106</v>
          </cell>
          <cell r="N978">
            <v>46112</v>
          </cell>
          <cell r="O978">
            <v>46112</v>
          </cell>
          <cell r="P978">
            <v>108098436240</v>
          </cell>
          <cell r="Q978">
            <v>46111</v>
          </cell>
          <cell r="R978" t="str">
            <v>No inspection</v>
          </cell>
          <cell r="S978">
            <v>16808.400000000001</v>
          </cell>
          <cell r="T978" t="str">
            <v>DAP</v>
          </cell>
          <cell r="U978" t="str">
            <v>LUC</v>
          </cell>
        </row>
        <row r="979">
          <cell r="D979">
            <v>19.5</v>
          </cell>
          <cell r="F979">
            <v>4110335509</v>
          </cell>
          <cell r="G979" t="str">
            <v>Avnet, Inc.</v>
          </cell>
          <cell r="H979" t="str">
            <v>Delivered</v>
          </cell>
          <cell r="I979" t="str">
            <v>CONN</v>
          </cell>
          <cell r="J979" t="str">
            <v>Expeditors</v>
          </cell>
          <cell r="K979" t="str">
            <v>VVMV</v>
          </cell>
          <cell r="L979" t="str">
            <v>US</v>
          </cell>
          <cell r="M979">
            <v>46106</v>
          </cell>
          <cell r="N979">
            <v>46112</v>
          </cell>
          <cell r="O979">
            <v>46112</v>
          </cell>
          <cell r="P979">
            <v>108098715430</v>
          </cell>
          <cell r="Q979">
            <v>46111</v>
          </cell>
          <cell r="R979" t="str">
            <v>No inspection</v>
          </cell>
          <cell r="S979">
            <v>2205.4499999999998</v>
          </cell>
          <cell r="T979" t="str">
            <v>DAP</v>
          </cell>
          <cell r="U979" t="str">
            <v>LUC</v>
          </cell>
        </row>
        <row r="980">
          <cell r="D980">
            <v>176</v>
          </cell>
          <cell r="F980">
            <v>4110335472</v>
          </cell>
          <cell r="G980" t="str">
            <v>Avnet, Inc.</v>
          </cell>
          <cell r="H980" t="str">
            <v>Delivered</v>
          </cell>
          <cell r="I980" t="str">
            <v>CONN</v>
          </cell>
          <cell r="J980" t="str">
            <v>Expeditors</v>
          </cell>
          <cell r="K980" t="str">
            <v>VVMV</v>
          </cell>
          <cell r="L980" t="str">
            <v>US</v>
          </cell>
          <cell r="M980">
            <v>46105</v>
          </cell>
          <cell r="N980">
            <v>46112</v>
          </cell>
          <cell r="O980">
            <v>46112</v>
          </cell>
          <cell r="P980">
            <v>108098601000</v>
          </cell>
          <cell r="Q980">
            <v>46111</v>
          </cell>
          <cell r="R980" t="str">
            <v>No inspection</v>
          </cell>
          <cell r="S980">
            <v>12489.12</v>
          </cell>
          <cell r="T980" t="str">
            <v>DAP</v>
          </cell>
          <cell r="U980" t="str">
            <v>LUC</v>
          </cell>
        </row>
        <row r="981">
          <cell r="D981">
            <v>113</v>
          </cell>
          <cell r="F981">
            <v>4110335471</v>
          </cell>
          <cell r="G981" t="str">
            <v>Avnet, Inc.</v>
          </cell>
          <cell r="H981" t="str">
            <v>Delivered</v>
          </cell>
          <cell r="I981" t="str">
            <v>CONN</v>
          </cell>
          <cell r="J981" t="str">
            <v>Expeditors</v>
          </cell>
          <cell r="K981" t="str">
            <v>VVMV</v>
          </cell>
          <cell r="L981" t="str">
            <v>US</v>
          </cell>
          <cell r="M981">
            <v>46105</v>
          </cell>
          <cell r="N981">
            <v>46112</v>
          </cell>
          <cell r="O981">
            <v>46112</v>
          </cell>
          <cell r="P981">
            <v>108098719850</v>
          </cell>
          <cell r="Q981">
            <v>46111</v>
          </cell>
          <cell r="R981" t="str">
            <v>No inspection</v>
          </cell>
          <cell r="S981">
            <v>7632.24</v>
          </cell>
          <cell r="T981" t="str">
            <v>DAP</v>
          </cell>
          <cell r="U981" t="str">
            <v>LUC</v>
          </cell>
        </row>
        <row r="982">
          <cell r="D982">
            <v>133</v>
          </cell>
          <cell r="F982">
            <v>4110335470</v>
          </cell>
          <cell r="G982" t="str">
            <v>Avnet, Inc.</v>
          </cell>
          <cell r="H982" t="str">
            <v>Delivered</v>
          </cell>
          <cell r="I982" t="str">
            <v>CONN</v>
          </cell>
          <cell r="J982" t="str">
            <v>Expeditors</v>
          </cell>
          <cell r="K982" t="str">
            <v>VVMV</v>
          </cell>
          <cell r="L982" t="str">
            <v>US</v>
          </cell>
          <cell r="M982">
            <v>46105</v>
          </cell>
          <cell r="N982">
            <v>46112</v>
          </cell>
          <cell r="O982">
            <v>46112</v>
          </cell>
          <cell r="P982">
            <v>108098660130</v>
          </cell>
          <cell r="Q982">
            <v>46111</v>
          </cell>
          <cell r="R982" t="str">
            <v>No inspection</v>
          </cell>
          <cell r="S982">
            <v>23791.599999999999</v>
          </cell>
          <cell r="T982" t="str">
            <v>DAP</v>
          </cell>
          <cell r="U982" t="str">
            <v>LUC</v>
          </cell>
        </row>
        <row r="983">
          <cell r="D983">
            <v>155.1</v>
          </cell>
          <cell r="F983">
            <v>9987189822</v>
          </cell>
          <cell r="G983" t="str">
            <v>AVNET - CHANDLER</v>
          </cell>
          <cell r="H983" t="str">
            <v>Delivered</v>
          </cell>
          <cell r="I983" t="str">
            <v>DIOD, RES , IC P, CAP , IC T, IC M, TRAN, IC C, CRYS, CONN, IC D, IC S</v>
          </cell>
          <cell r="J983" t="str">
            <v>DHL</v>
          </cell>
          <cell r="K983" t="str">
            <v>VVMV</v>
          </cell>
          <cell r="L983" t="str">
            <v>US</v>
          </cell>
          <cell r="M983">
            <v>46106</v>
          </cell>
          <cell r="N983">
            <v>46112</v>
          </cell>
          <cell r="O983">
            <v>46112</v>
          </cell>
          <cell r="P983">
            <v>108101334460</v>
          </cell>
          <cell r="Q983">
            <v>46111</v>
          </cell>
          <cell r="R983" t="str">
            <v>No inspection</v>
          </cell>
          <cell r="S983">
            <v>161283.73000000001</v>
          </cell>
          <cell r="T983" t="str">
            <v>CIF</v>
          </cell>
          <cell r="U983" t="str">
            <v>LUC</v>
          </cell>
        </row>
        <row r="984">
          <cell r="D984">
            <v>226.86</v>
          </cell>
          <cell r="F984" t="str">
            <v>MNN/HPH/01112</v>
          </cell>
          <cell r="G984" t="str">
            <v>Readore MFG Phils Corp</v>
          </cell>
          <cell r="H984" t="str">
            <v>Delivered</v>
          </cell>
          <cell r="I984" t="str">
            <v>HEAT</v>
          </cell>
          <cell r="J984" t="str">
            <v>Dolphin(sea)</v>
          </cell>
          <cell r="K984" t="str">
            <v>Dolphin</v>
          </cell>
          <cell r="L984" t="str">
            <v>PH</v>
          </cell>
          <cell r="M984">
            <v>46105</v>
          </cell>
          <cell r="N984">
            <v>46113</v>
          </cell>
          <cell r="O984">
            <v>46113</v>
          </cell>
          <cell r="P984">
            <v>108100677200</v>
          </cell>
          <cell r="Q984">
            <v>46111</v>
          </cell>
          <cell r="R984" t="str">
            <v>No inspection</v>
          </cell>
          <cell r="S984">
            <v>20731.259999999998</v>
          </cell>
          <cell r="T984" t="str">
            <v>FOB</v>
          </cell>
          <cell r="U984" t="str">
            <v>PUR</v>
          </cell>
        </row>
        <row r="985">
          <cell r="D985">
            <v>20.5</v>
          </cell>
          <cell r="F985">
            <v>4110335718</v>
          </cell>
          <cell r="G985" t="str">
            <v>AVNET, INC</v>
          </cell>
          <cell r="H985" t="str">
            <v>Delivered</v>
          </cell>
          <cell r="I985" t="str">
            <v>CONN</v>
          </cell>
          <cell r="J985" t="str">
            <v>Expeditors</v>
          </cell>
          <cell r="K985" t="str">
            <v>VVMV</v>
          </cell>
          <cell r="L985" t="str">
            <v>US</v>
          </cell>
          <cell r="M985">
            <v>46108</v>
          </cell>
          <cell r="N985">
            <v>46113</v>
          </cell>
          <cell r="O985">
            <v>46113</v>
          </cell>
          <cell r="P985">
            <v>108104897020</v>
          </cell>
          <cell r="Q985">
            <v>46112</v>
          </cell>
          <cell r="R985" t="str">
            <v>No inspection</v>
          </cell>
          <cell r="S985">
            <v>2505.69</v>
          </cell>
          <cell r="T985" t="str">
            <v>DAP</v>
          </cell>
          <cell r="U985" t="str">
            <v>LUC</v>
          </cell>
        </row>
        <row r="986">
          <cell r="D986">
            <v>4.8</v>
          </cell>
          <cell r="F986">
            <v>870036640330</v>
          </cell>
          <cell r="G986" t="str">
            <v>CYMMETRIK SHENZHEN PRINTING CO., LTD</v>
          </cell>
          <cell r="H986" t="str">
            <v>Delivered</v>
          </cell>
          <cell r="I986" t="str">
            <v>LABE</v>
          </cell>
          <cell r="J986" t="str">
            <v>Fedex</v>
          </cell>
          <cell r="K986" t="str">
            <v>VVMV</v>
          </cell>
          <cell r="L986" t="str">
            <v>CN</v>
          </cell>
          <cell r="M986">
            <v>46108</v>
          </cell>
          <cell r="N986">
            <v>46113</v>
          </cell>
          <cell r="O986">
            <v>46114</v>
          </cell>
          <cell r="P986">
            <v>108105391660</v>
          </cell>
          <cell r="Q986">
            <v>46112</v>
          </cell>
          <cell r="R986" t="str">
            <v>No inspection</v>
          </cell>
          <cell r="S986">
            <v>1953.5</v>
          </cell>
          <cell r="T986" t="str">
            <v>EXW</v>
          </cell>
          <cell r="U986" t="str">
            <v>PUR</v>
          </cell>
        </row>
        <row r="987">
          <cell r="D987">
            <v>4.0999999999999996</v>
          </cell>
          <cell r="F987">
            <v>513942248391</v>
          </cell>
          <cell r="G987" t="str">
            <v>ARROW ELECTRONICS ASIA(S) PTE</v>
          </cell>
          <cell r="H987" t="str">
            <v>Delivered</v>
          </cell>
          <cell r="I987" t="str">
            <v>SERI</v>
          </cell>
          <cell r="J987" t="str">
            <v>Fedex</v>
          </cell>
          <cell r="K987" t="str">
            <v>VVMV</v>
          </cell>
          <cell r="L987" t="str">
            <v>HK</v>
          </cell>
          <cell r="M987">
            <v>46108</v>
          </cell>
          <cell r="N987">
            <v>46112</v>
          </cell>
          <cell r="O987">
            <v>46112</v>
          </cell>
          <cell r="P987">
            <v>108100991940</v>
          </cell>
          <cell r="Q987">
            <v>46111</v>
          </cell>
          <cell r="R987" t="str">
            <v>No inspection</v>
          </cell>
          <cell r="S987">
            <v>56959.98</v>
          </cell>
          <cell r="T987" t="str">
            <v>EXW</v>
          </cell>
          <cell r="U987" t="str">
            <v>LUC</v>
          </cell>
        </row>
        <row r="988">
          <cell r="D988">
            <v>2.1</v>
          </cell>
          <cell r="F988">
            <v>889994920218</v>
          </cell>
          <cell r="G988" t="str">
            <v>WHITE HORSE LABORATORIES LTD</v>
          </cell>
          <cell r="H988" t="str">
            <v>Delivered</v>
          </cell>
          <cell r="I988" t="str">
            <v>IC P</v>
          </cell>
          <cell r="J988" t="str">
            <v>Fedex</v>
          </cell>
          <cell r="K988" t="str">
            <v>VVMV</v>
          </cell>
          <cell r="L988" t="str">
            <v>HK</v>
          </cell>
          <cell r="M988">
            <v>46107</v>
          </cell>
          <cell r="N988">
            <v>46112</v>
          </cell>
          <cell r="O988">
            <v>46113</v>
          </cell>
          <cell r="P988">
            <v>108101146640</v>
          </cell>
          <cell r="Q988">
            <v>46111</v>
          </cell>
          <cell r="R988" t="str">
            <v>No inspection</v>
          </cell>
          <cell r="S988">
            <v>20664</v>
          </cell>
          <cell r="T988" t="str">
            <v>CIF</v>
          </cell>
          <cell r="U988" t="str">
            <v>EF-</v>
          </cell>
        </row>
        <row r="989">
          <cell r="D989">
            <v>0.5</v>
          </cell>
          <cell r="F989">
            <v>889956372608</v>
          </cell>
          <cell r="G989" t="str">
            <v>FUTURETECH COMPONENTS LTD</v>
          </cell>
          <cell r="H989" t="str">
            <v>Delivered</v>
          </cell>
          <cell r="I989" t="str">
            <v>TRAN</v>
          </cell>
          <cell r="J989" t="str">
            <v>Fedex</v>
          </cell>
          <cell r="K989" t="str">
            <v>VVMV</v>
          </cell>
          <cell r="L989" t="str">
            <v>CN</v>
          </cell>
          <cell r="M989">
            <v>46106</v>
          </cell>
          <cell r="N989">
            <v>46112</v>
          </cell>
          <cell r="O989">
            <v>46112</v>
          </cell>
          <cell r="P989">
            <v>108100559230</v>
          </cell>
          <cell r="Q989">
            <v>46111</v>
          </cell>
          <cell r="R989" t="str">
            <v>No inspection</v>
          </cell>
          <cell r="S989">
            <v>152.41</v>
          </cell>
          <cell r="T989" t="str">
            <v>EXW</v>
          </cell>
          <cell r="U989" t="str">
            <v>LUC</v>
          </cell>
        </row>
        <row r="990">
          <cell r="D990">
            <v>47</v>
          </cell>
          <cell r="F990">
            <v>518337552804</v>
          </cell>
          <cell r="G990" t="str">
            <v>MICROCHIP TECHNOLOGY OPS PHIL CORP</v>
          </cell>
          <cell r="H990" t="str">
            <v>Delivered</v>
          </cell>
          <cell r="I990" t="str">
            <v>IC E</v>
          </cell>
          <cell r="J990" t="str">
            <v>Fedex</v>
          </cell>
          <cell r="K990" t="str">
            <v>VVMV</v>
          </cell>
          <cell r="L990" t="str">
            <v>PH</v>
          </cell>
          <cell r="M990">
            <v>46107</v>
          </cell>
          <cell r="N990">
            <v>46112</v>
          </cell>
          <cell r="O990">
            <v>46113</v>
          </cell>
          <cell r="P990">
            <v>108100779250</v>
          </cell>
          <cell r="Q990">
            <v>46111</v>
          </cell>
          <cell r="R990" t="str">
            <v>No inspection</v>
          </cell>
          <cell r="S990">
            <v>367290</v>
          </cell>
          <cell r="T990" t="str">
            <v>EXW</v>
          </cell>
          <cell r="U990" t="str">
            <v>PUR</v>
          </cell>
        </row>
        <row r="991">
          <cell r="D991">
            <v>0.9</v>
          </cell>
          <cell r="F991">
            <v>409298915033</v>
          </cell>
          <cell r="G991" t="str">
            <v>TTI ELECTRONICS ASIA PTE LTD</v>
          </cell>
          <cell r="H991" t="str">
            <v>Delivered</v>
          </cell>
          <cell r="I991" t="str">
            <v xml:space="preserve">CAP </v>
          </cell>
          <cell r="J991" t="str">
            <v>Fedex</v>
          </cell>
          <cell r="K991" t="str">
            <v>VVMV</v>
          </cell>
          <cell r="L991" t="str">
            <v>SG</v>
          </cell>
          <cell r="M991">
            <v>46105</v>
          </cell>
          <cell r="N991">
            <v>46112</v>
          </cell>
          <cell r="O991">
            <v>46112</v>
          </cell>
          <cell r="P991">
            <v>108101051810</v>
          </cell>
          <cell r="Q991">
            <v>46111</v>
          </cell>
          <cell r="R991" t="str">
            <v>No inspection</v>
          </cell>
          <cell r="S991">
            <v>453.25</v>
          </cell>
          <cell r="T991" t="str">
            <v>EXW</v>
          </cell>
          <cell r="U991" t="str">
            <v>LUC</v>
          </cell>
        </row>
        <row r="992">
          <cell r="D992">
            <v>2.2000000000000002</v>
          </cell>
          <cell r="F992">
            <v>518908321740</v>
          </cell>
          <cell r="G992" t="str">
            <v>Micron Memory Malaysia Sdn. Bh</v>
          </cell>
          <cell r="H992" t="str">
            <v>Delivered</v>
          </cell>
          <cell r="I992" t="str">
            <v xml:space="preserve">MEM </v>
          </cell>
          <cell r="J992" t="str">
            <v>Fedex</v>
          </cell>
          <cell r="K992" t="str">
            <v>VVMV</v>
          </cell>
          <cell r="L992" t="str">
            <v>MY</v>
          </cell>
          <cell r="M992">
            <v>46108</v>
          </cell>
          <cell r="N992">
            <v>46112</v>
          </cell>
          <cell r="O992">
            <v>46112</v>
          </cell>
          <cell r="P992">
            <v>108100625950</v>
          </cell>
          <cell r="Q992">
            <v>46111</v>
          </cell>
          <cell r="R992" t="str">
            <v>No inspection</v>
          </cell>
          <cell r="S992">
            <v>143760</v>
          </cell>
          <cell r="T992" t="str">
            <v>CIF</v>
          </cell>
          <cell r="U992" t="str">
            <v>PUR</v>
          </cell>
        </row>
        <row r="993">
          <cell r="D993">
            <v>4.5999999999999996</v>
          </cell>
          <cell r="F993">
            <v>518908321670</v>
          </cell>
          <cell r="G993" t="str">
            <v>Micron Memory Malaysia Sdn. Bh</v>
          </cell>
          <cell r="H993" t="str">
            <v>Delivered</v>
          </cell>
          <cell r="I993" t="str">
            <v xml:space="preserve">MEM </v>
          </cell>
          <cell r="J993" t="str">
            <v>Fedex</v>
          </cell>
          <cell r="K993" t="str">
            <v>VVMV</v>
          </cell>
          <cell r="L993" t="str">
            <v>MY</v>
          </cell>
          <cell r="M993">
            <v>46108</v>
          </cell>
          <cell r="N993">
            <v>46112</v>
          </cell>
          <cell r="O993">
            <v>46113</v>
          </cell>
          <cell r="P993">
            <v>108101030000</v>
          </cell>
          <cell r="Q993">
            <v>46111</v>
          </cell>
          <cell r="R993" t="str">
            <v>No inspection</v>
          </cell>
          <cell r="S993">
            <v>46204.800000000003</v>
          </cell>
          <cell r="T993" t="str">
            <v>EXW</v>
          </cell>
          <cell r="U993" t="str">
            <v>HLO</v>
          </cell>
        </row>
        <row r="994">
          <cell r="D994">
            <v>16</v>
          </cell>
          <cell r="F994">
            <v>889954204149</v>
          </cell>
          <cell r="G994" t="str">
            <v>AMPHENOL FCI ASIA PTE LTD</v>
          </cell>
          <cell r="H994" t="str">
            <v>Delivered</v>
          </cell>
          <cell r="I994" t="str">
            <v>CONN</v>
          </cell>
          <cell r="J994" t="str">
            <v>Fedex</v>
          </cell>
          <cell r="K994" t="str">
            <v>VVMV</v>
          </cell>
          <cell r="L994" t="str">
            <v>SG</v>
          </cell>
          <cell r="M994">
            <v>46107</v>
          </cell>
          <cell r="N994">
            <v>46115</v>
          </cell>
          <cell r="O994">
            <v>46115</v>
          </cell>
          <cell r="P994">
            <v>108109736710</v>
          </cell>
          <cell r="Q994">
            <v>46113</v>
          </cell>
          <cell r="R994" t="str">
            <v>No inspection</v>
          </cell>
          <cell r="S994">
            <v>5832</v>
          </cell>
          <cell r="T994" t="str">
            <v>EXW</v>
          </cell>
          <cell r="U994" t="str">
            <v>PUR</v>
          </cell>
        </row>
        <row r="995">
          <cell r="D995">
            <v>1</v>
          </cell>
          <cell r="F995">
            <v>518014273816</v>
          </cell>
          <cell r="G995" t="str">
            <v>WPG SOUTH ASIA PTE LTD</v>
          </cell>
          <cell r="H995" t="str">
            <v>Delivered</v>
          </cell>
          <cell r="I995" t="str">
            <v>DIOD</v>
          </cell>
          <cell r="J995" t="str">
            <v>Fedex</v>
          </cell>
          <cell r="K995" t="str">
            <v>VVMV</v>
          </cell>
          <cell r="L995" t="str">
            <v>SG</v>
          </cell>
          <cell r="M995">
            <v>46108</v>
          </cell>
          <cell r="N995">
            <v>46113</v>
          </cell>
          <cell r="O995">
            <v>46113</v>
          </cell>
          <cell r="P995">
            <v>108105006220</v>
          </cell>
          <cell r="Q995">
            <v>46112</v>
          </cell>
          <cell r="R995" t="str">
            <v>No inspection</v>
          </cell>
          <cell r="S995">
            <v>185</v>
          </cell>
          <cell r="T995" t="str">
            <v>EXW</v>
          </cell>
          <cell r="U995" t="str">
            <v>LUC</v>
          </cell>
        </row>
        <row r="996">
          <cell r="D996">
            <v>1</v>
          </cell>
          <cell r="F996">
            <v>870001600869</v>
          </cell>
          <cell r="G996" t="str">
            <v>Element 14 Pte Ltd</v>
          </cell>
          <cell r="H996" t="str">
            <v>Delivered</v>
          </cell>
          <cell r="I996" t="str">
            <v xml:space="preserve">IND , LED </v>
          </cell>
          <cell r="J996" t="str">
            <v>Fedex</v>
          </cell>
          <cell r="K996" t="str">
            <v>VVMV</v>
          </cell>
          <cell r="L996" t="str">
            <v>SG</v>
          </cell>
          <cell r="M996">
            <v>46107</v>
          </cell>
          <cell r="N996">
            <v>46113</v>
          </cell>
          <cell r="O996">
            <v>46113</v>
          </cell>
          <cell r="P996">
            <v>108104931060</v>
          </cell>
          <cell r="Q996">
            <v>46112</v>
          </cell>
          <cell r="R996" t="str">
            <v>No inspection</v>
          </cell>
          <cell r="S996">
            <v>308.14999999999998</v>
          </cell>
          <cell r="T996" t="str">
            <v>EXW</v>
          </cell>
          <cell r="U996" t="str">
            <v>EF-</v>
          </cell>
        </row>
        <row r="997">
          <cell r="D997">
            <v>52</v>
          </cell>
          <cell r="F997">
            <v>484361660532</v>
          </cell>
          <cell r="G997" t="str">
            <v>COILCRAFT SINGAPORE PTE LTD</v>
          </cell>
          <cell r="H997" t="str">
            <v>Delivered</v>
          </cell>
          <cell r="I997" t="str">
            <v xml:space="preserve">IND </v>
          </cell>
          <cell r="J997" t="str">
            <v>Fedex</v>
          </cell>
          <cell r="K997" t="str">
            <v>VVMV</v>
          </cell>
          <cell r="L997" t="str">
            <v>SG</v>
          </cell>
          <cell r="M997">
            <v>46108</v>
          </cell>
          <cell r="N997">
            <v>46114</v>
          </cell>
          <cell r="O997">
            <v>46114</v>
          </cell>
          <cell r="P997">
            <v>108105819950</v>
          </cell>
          <cell r="Q997">
            <v>46112</v>
          </cell>
          <cell r="R997" t="str">
            <v>No inspection</v>
          </cell>
          <cell r="S997">
            <v>4778.5</v>
          </cell>
          <cell r="T997" t="str">
            <v>EXW</v>
          </cell>
          <cell r="U997" t="str">
            <v>LUC</v>
          </cell>
        </row>
        <row r="998">
          <cell r="D998">
            <v>0.8</v>
          </cell>
          <cell r="F998">
            <v>500292543680</v>
          </cell>
          <cell r="G998" t="str">
            <v>ARROW COMPONENTS MEXICO SA De CV</v>
          </cell>
          <cell r="H998" t="str">
            <v>Delivered</v>
          </cell>
          <cell r="I998" t="str">
            <v>DIOD</v>
          </cell>
          <cell r="J998" t="str">
            <v>Fedex</v>
          </cell>
          <cell r="K998" t="str">
            <v>VVMV</v>
          </cell>
          <cell r="L998" t="str">
            <v>MX</v>
          </cell>
          <cell r="M998">
            <v>46105</v>
          </cell>
          <cell r="N998">
            <v>46113</v>
          </cell>
          <cell r="O998">
            <v>46114</v>
          </cell>
          <cell r="P998">
            <v>108105063510</v>
          </cell>
          <cell r="Q998">
            <v>46112</v>
          </cell>
          <cell r="R998" t="str">
            <v>No inspection</v>
          </cell>
          <cell r="S998">
            <v>291</v>
          </cell>
          <cell r="T998" t="str">
            <v>CIF</v>
          </cell>
          <cell r="U998" t="str">
            <v>PUR</v>
          </cell>
        </row>
        <row r="999">
          <cell r="D999">
            <v>0.3</v>
          </cell>
          <cell r="F999">
            <v>515814924496</v>
          </cell>
          <cell r="G999" t="str">
            <v>FUTURE ELECTRONICS</v>
          </cell>
          <cell r="H999" t="str">
            <v>Delivered</v>
          </cell>
          <cell r="I999" t="str">
            <v xml:space="preserve">IND </v>
          </cell>
          <cell r="J999" t="str">
            <v>Fedex</v>
          </cell>
          <cell r="K999" t="str">
            <v>VVMV</v>
          </cell>
          <cell r="L999" t="str">
            <v>US</v>
          </cell>
          <cell r="M999">
            <v>46108</v>
          </cell>
          <cell r="N999">
            <v>46113</v>
          </cell>
          <cell r="O999">
            <v>46113</v>
          </cell>
          <cell r="P999">
            <v>108104684440</v>
          </cell>
          <cell r="Q999">
            <v>46112</v>
          </cell>
          <cell r="R999" t="str">
            <v>No inspection</v>
          </cell>
          <cell r="S999">
            <v>647.4</v>
          </cell>
          <cell r="T999" t="str">
            <v>CIF</v>
          </cell>
          <cell r="U999" t="str">
            <v>LUC</v>
          </cell>
        </row>
        <row r="1000">
          <cell r="D1000">
            <v>5.0999999999999996</v>
          </cell>
          <cell r="F1000">
            <v>518717908440</v>
          </cell>
          <cell r="G1000" t="str">
            <v>ARROW ELECTRONICS, INC.</v>
          </cell>
          <cell r="H1000" t="str">
            <v>Delivered</v>
          </cell>
          <cell r="I1000" t="str">
            <v>IC F</v>
          </cell>
          <cell r="J1000" t="str">
            <v>Fedex</v>
          </cell>
          <cell r="K1000" t="str">
            <v>VVMV</v>
          </cell>
          <cell r="L1000" t="str">
            <v>US</v>
          </cell>
          <cell r="M1000">
            <v>46107</v>
          </cell>
          <cell r="N1000">
            <v>46113</v>
          </cell>
          <cell r="O1000">
            <v>46113</v>
          </cell>
          <cell r="P1000">
            <v>108104602320</v>
          </cell>
          <cell r="Q1000">
            <v>46112</v>
          </cell>
          <cell r="R1000" t="str">
            <v>No inspection</v>
          </cell>
          <cell r="S1000">
            <v>3822.4</v>
          </cell>
          <cell r="T1000" t="str">
            <v>CIF</v>
          </cell>
          <cell r="U1000" t="str">
            <v>HLO</v>
          </cell>
        </row>
        <row r="1001">
          <cell r="D1001">
            <v>1.3</v>
          </cell>
          <cell r="F1001">
            <v>518717900005</v>
          </cell>
          <cell r="G1001" t="str">
            <v>ARROW ELECTRONICS, INC.</v>
          </cell>
          <cell r="H1001" t="str">
            <v>Delivered</v>
          </cell>
          <cell r="I1001" t="str">
            <v>IC F</v>
          </cell>
          <cell r="J1001" t="str">
            <v>Fedex</v>
          </cell>
          <cell r="K1001" t="str">
            <v>VVMV</v>
          </cell>
          <cell r="L1001" t="str">
            <v>US</v>
          </cell>
          <cell r="M1001">
            <v>46107</v>
          </cell>
          <cell r="N1001">
            <v>46113</v>
          </cell>
          <cell r="O1001">
            <v>46114</v>
          </cell>
          <cell r="P1001">
            <v>108105116930</v>
          </cell>
          <cell r="Q1001">
            <v>46112</v>
          </cell>
          <cell r="R1001" t="str">
            <v>No inspection</v>
          </cell>
          <cell r="S1001">
            <v>955.6</v>
          </cell>
          <cell r="T1001" t="str">
            <v>CIF</v>
          </cell>
          <cell r="U1001" t="str">
            <v>HLO</v>
          </cell>
        </row>
        <row r="1002">
          <cell r="D1002">
            <v>2.1</v>
          </cell>
          <cell r="F1002">
            <v>870096488335</v>
          </cell>
          <cell r="G1002" t="str">
            <v>WPG SOUTH ASIA PTE LTD.</v>
          </cell>
          <cell r="H1002" t="str">
            <v>Delivered</v>
          </cell>
          <cell r="I1002" t="str">
            <v>IC M, DIOD</v>
          </cell>
          <cell r="J1002" t="str">
            <v>Fedex</v>
          </cell>
          <cell r="K1002" t="str">
            <v>VVMV</v>
          </cell>
          <cell r="L1002" t="str">
            <v>HK</v>
          </cell>
          <cell r="M1002">
            <v>46111</v>
          </cell>
          <cell r="N1002">
            <v>46113</v>
          </cell>
          <cell r="O1002">
            <v>46114</v>
          </cell>
          <cell r="P1002">
            <v>108105251550</v>
          </cell>
          <cell r="Q1002">
            <v>46112</v>
          </cell>
          <cell r="R1002" t="str">
            <v>No inspection</v>
          </cell>
          <cell r="S1002">
            <v>19009.5</v>
          </cell>
          <cell r="T1002" t="str">
            <v>EXW</v>
          </cell>
          <cell r="U1002" t="str">
            <v>LUC</v>
          </cell>
        </row>
        <row r="1003">
          <cell r="D1003">
            <v>2.8</v>
          </cell>
          <cell r="F1003">
            <v>707296304775</v>
          </cell>
          <cell r="G1003" t="str">
            <v>ARROW COMPONENTS MEXICO SA De CV</v>
          </cell>
          <cell r="H1003" t="str">
            <v>Delivered</v>
          </cell>
          <cell r="I1003" t="str">
            <v>DIOD</v>
          </cell>
          <cell r="J1003" t="str">
            <v>Fedex</v>
          </cell>
          <cell r="K1003" t="str">
            <v>VVMV</v>
          </cell>
          <cell r="L1003" t="str">
            <v>MX</v>
          </cell>
          <cell r="M1003">
            <v>46105</v>
          </cell>
          <cell r="N1003">
            <v>46113</v>
          </cell>
          <cell r="O1003">
            <v>46114</v>
          </cell>
          <cell r="P1003">
            <v>108105061960</v>
          </cell>
          <cell r="Q1003">
            <v>46112</v>
          </cell>
          <cell r="R1003" t="str">
            <v>No inspection</v>
          </cell>
          <cell r="S1003">
            <v>1026</v>
          </cell>
          <cell r="T1003" t="str">
            <v>CIF</v>
          </cell>
          <cell r="U1003" t="str">
            <v>LUC</v>
          </cell>
        </row>
        <row r="1004">
          <cell r="D1004">
            <v>19.399999999999999</v>
          </cell>
          <cell r="F1004">
            <v>380015072074</v>
          </cell>
          <cell r="G1004" t="str">
            <v>WURTH ELECTRONICS MIDCOM</v>
          </cell>
          <cell r="H1004" t="str">
            <v>Delivered</v>
          </cell>
          <cell r="I1004" t="str">
            <v>CONN</v>
          </cell>
          <cell r="J1004" t="str">
            <v>Fedex</v>
          </cell>
          <cell r="K1004" t="str">
            <v>VVMV</v>
          </cell>
          <cell r="L1004" t="str">
            <v>US</v>
          </cell>
          <cell r="M1004">
            <v>46108</v>
          </cell>
          <cell r="N1004">
            <v>46118</v>
          </cell>
          <cell r="O1004">
            <v>46115</v>
          </cell>
          <cell r="P1004">
            <v>108114254140</v>
          </cell>
          <cell r="Q1004">
            <v>46057.800659722219</v>
          </cell>
          <cell r="R1004" t="str">
            <v>No inspection</v>
          </cell>
          <cell r="S1004">
            <v>2532.2399999999998</v>
          </cell>
          <cell r="T1004" t="str">
            <v>CIF</v>
          </cell>
          <cell r="U1004" t="str">
            <v>LUC</v>
          </cell>
        </row>
        <row r="1005">
          <cell r="D1005">
            <v>0.5</v>
          </cell>
          <cell r="F1005">
            <v>707296303183</v>
          </cell>
          <cell r="G1005" t="str">
            <v>ARROW COMPONENTS MEXICO SA De CV</v>
          </cell>
          <cell r="H1005" t="str">
            <v>Delivered</v>
          </cell>
          <cell r="I1005" t="str">
            <v>DIOD</v>
          </cell>
          <cell r="J1005" t="str">
            <v>Fedex</v>
          </cell>
          <cell r="K1005" t="str">
            <v>VVMV</v>
          </cell>
          <cell r="L1005" t="str">
            <v>MX</v>
          </cell>
          <cell r="M1005">
            <v>46101</v>
          </cell>
          <cell r="N1005">
            <v>46113</v>
          </cell>
          <cell r="O1005">
            <v>46114</v>
          </cell>
          <cell r="P1005">
            <v>108105219240</v>
          </cell>
          <cell r="Q1005">
            <v>46112</v>
          </cell>
          <cell r="R1005" t="str">
            <v>No inspection</v>
          </cell>
          <cell r="S1005">
            <v>114</v>
          </cell>
          <cell r="T1005" t="str">
            <v>CIF</v>
          </cell>
          <cell r="U1005" t="str">
            <v>LUC</v>
          </cell>
        </row>
        <row r="1006">
          <cell r="D1006">
            <v>16.2</v>
          </cell>
          <cell r="F1006">
            <v>889994868952</v>
          </cell>
          <cell r="G1006" t="str">
            <v>COMPEQ MANUFACTURING CO.,LTD</v>
          </cell>
          <cell r="H1006" t="str">
            <v>Delivered</v>
          </cell>
          <cell r="I1006" t="str">
            <v xml:space="preserve">PCB </v>
          </cell>
          <cell r="J1006" t="str">
            <v>Fedex</v>
          </cell>
          <cell r="K1006" t="str">
            <v>VVMV</v>
          </cell>
          <cell r="L1006" t="str">
            <v>TW</v>
          </cell>
          <cell r="M1006">
            <v>46107</v>
          </cell>
          <cell r="N1006">
            <v>46113</v>
          </cell>
          <cell r="O1006">
            <v>46114</v>
          </cell>
          <cell r="P1006">
            <v>108105304750</v>
          </cell>
          <cell r="Q1006">
            <v>46112</v>
          </cell>
          <cell r="R1006" t="str">
            <v>No inspection</v>
          </cell>
          <cell r="S1006">
            <v>3528.002</v>
          </cell>
          <cell r="T1006" t="str">
            <v>EXW</v>
          </cell>
          <cell r="U1006" t="str">
            <v>PUR</v>
          </cell>
        </row>
        <row r="1007">
          <cell r="D1007">
            <v>4.5999999999999996</v>
          </cell>
          <cell r="F1007">
            <v>399997323927</v>
          </cell>
          <cell r="G1007" t="str">
            <v>c/o DHL Supply Chain SGP P/L
Texas Instruments Southeast Asia Pt</v>
          </cell>
          <cell r="H1007" t="str">
            <v>Delivered</v>
          </cell>
          <cell r="I1007" t="str">
            <v>IC V</v>
          </cell>
          <cell r="J1007" t="str">
            <v>Fedex</v>
          </cell>
          <cell r="K1007" t="str">
            <v>VVMV</v>
          </cell>
          <cell r="L1007" t="str">
            <v>SG</v>
          </cell>
          <cell r="M1007">
            <v>46108</v>
          </cell>
          <cell r="N1007">
            <v>46113</v>
          </cell>
          <cell r="O1007">
            <v>46114</v>
          </cell>
          <cell r="P1007">
            <v>108105149830</v>
          </cell>
          <cell r="Q1007">
            <v>46112</v>
          </cell>
          <cell r="R1007" t="str">
            <v>No inspection</v>
          </cell>
          <cell r="S1007">
            <v>8100</v>
          </cell>
          <cell r="T1007" t="str">
            <v>EXW</v>
          </cell>
          <cell r="U1007" t="str">
            <v>PUR</v>
          </cell>
        </row>
        <row r="1008">
          <cell r="D1008">
            <v>44</v>
          </cell>
          <cell r="F1008">
            <v>471797726163</v>
          </cell>
          <cell r="G1008" t="str">
            <v>LIPERS ENTERPRISE CO., LTD.</v>
          </cell>
          <cell r="H1008" t="str">
            <v>Delivered</v>
          </cell>
          <cell r="I1008" t="str">
            <v>CAP , SWIT</v>
          </cell>
          <cell r="J1008" t="str">
            <v>Fedex</v>
          </cell>
          <cell r="K1008" t="str">
            <v>VVMV</v>
          </cell>
          <cell r="L1008" t="str">
            <v>TW</v>
          </cell>
          <cell r="M1008">
            <v>46107</v>
          </cell>
          <cell r="N1008">
            <v>46113</v>
          </cell>
          <cell r="O1008">
            <v>46114</v>
          </cell>
          <cell r="P1008">
            <v>108105402420</v>
          </cell>
          <cell r="Q1008">
            <v>46112</v>
          </cell>
          <cell r="R1008" t="str">
            <v>No inspection</v>
          </cell>
          <cell r="S1008">
            <v>2974.5</v>
          </cell>
          <cell r="T1008" t="str">
            <v>EXW</v>
          </cell>
          <cell r="U1008" t="str">
            <v>PUR</v>
          </cell>
        </row>
        <row r="1009">
          <cell r="D1009">
            <v>23</v>
          </cell>
          <cell r="F1009">
            <v>515199055641</v>
          </cell>
          <cell r="G1009" t="str">
            <v>AVNET ASIA PTE LTD</v>
          </cell>
          <cell r="H1009" t="str">
            <v>Delivered</v>
          </cell>
          <cell r="I1009" t="str">
            <v>RES , DIOD, CAP , IND , OSC , TRAN, IC B</v>
          </cell>
          <cell r="J1009" t="str">
            <v>Fedex</v>
          </cell>
          <cell r="K1009" t="str">
            <v>VVMV</v>
          </cell>
          <cell r="L1009" t="str">
            <v>SG</v>
          </cell>
          <cell r="M1009">
            <v>46108</v>
          </cell>
          <cell r="N1009">
            <v>46113</v>
          </cell>
          <cell r="O1009">
            <v>46114</v>
          </cell>
          <cell r="P1009">
            <v>108105219830</v>
          </cell>
          <cell r="Q1009">
            <v>46112</v>
          </cell>
          <cell r="R1009" t="str">
            <v>No inspection</v>
          </cell>
          <cell r="S1009">
            <v>16548.259999999998</v>
          </cell>
          <cell r="T1009" t="str">
            <v>EXW</v>
          </cell>
          <cell r="U1009" t="str">
            <v>PUR</v>
          </cell>
        </row>
        <row r="1010">
          <cell r="D1010">
            <v>15.4</v>
          </cell>
          <cell r="F1010">
            <v>399968742136</v>
          </cell>
          <cell r="G1010" t="str">
            <v>c/o DHL Supply Chain SGP P/L
Texas Instruments Southeast Asia Pt</v>
          </cell>
          <cell r="H1010" t="str">
            <v>Delivered</v>
          </cell>
          <cell r="I1010" t="str">
            <v>IC V</v>
          </cell>
          <cell r="J1010" t="str">
            <v>Fedex</v>
          </cell>
          <cell r="K1010" t="str">
            <v>VVMV</v>
          </cell>
          <cell r="L1010" t="str">
            <v>SG</v>
          </cell>
          <cell r="M1010">
            <v>46107</v>
          </cell>
          <cell r="N1010">
            <v>46113</v>
          </cell>
          <cell r="O1010">
            <v>46114</v>
          </cell>
          <cell r="P1010">
            <v>108105292410</v>
          </cell>
          <cell r="Q1010">
            <v>46112</v>
          </cell>
          <cell r="R1010" t="str">
            <v>No inspection</v>
          </cell>
          <cell r="S1010">
            <v>27000</v>
          </cell>
          <cell r="T1010" t="str">
            <v>EXW</v>
          </cell>
          <cell r="U1010" t="str">
            <v>PUR</v>
          </cell>
        </row>
        <row r="1011">
          <cell r="D1011">
            <v>811.5</v>
          </cell>
          <cell r="F1011" t="str">
            <v>PSHPH2630134</v>
          </cell>
          <cell r="G1011" t="str">
            <v>MIN AIK TECHNOLOGY CO., LTD</v>
          </cell>
          <cell r="H1011" t="str">
            <v>Delivered</v>
          </cell>
          <cell r="I1011" t="str">
            <v>ASSY</v>
          </cell>
          <cell r="J1011" t="str">
            <v>VVMV(sea)</v>
          </cell>
          <cell r="K1011" t="str">
            <v>VVMV</v>
          </cell>
          <cell r="L1011" t="str">
            <v>TW</v>
          </cell>
          <cell r="M1011">
            <v>46110</v>
          </cell>
          <cell r="N1011">
            <v>46118</v>
          </cell>
          <cell r="O1011">
            <v>46118</v>
          </cell>
          <cell r="P1011">
            <v>108112958000</v>
          </cell>
          <cell r="Q1011">
            <v>46114</v>
          </cell>
          <cell r="R1011" t="str">
            <v>No inspection</v>
          </cell>
          <cell r="S1011">
            <v>42393.599999999999</v>
          </cell>
          <cell r="T1011" t="str">
            <v>EXW</v>
          </cell>
          <cell r="U1011" t="str">
            <v>PUR</v>
          </cell>
        </row>
        <row r="1012">
          <cell r="D1012">
            <v>1427</v>
          </cell>
          <cell r="F1012" t="str">
            <v>LPIAHPH260926</v>
          </cell>
          <cell r="G1012" t="str">
            <v>NEW VISION DISPLAY
C/O FENIX LOGISTIC SERVICES LTD</v>
          </cell>
          <cell r="H1012" t="str">
            <v>Delivered</v>
          </cell>
          <cell r="I1012" t="str">
            <v xml:space="preserve">ASM </v>
          </cell>
          <cell r="J1012" t="str">
            <v>VVMV(sea)</v>
          </cell>
          <cell r="K1012" t="str">
            <v>VVMV</v>
          </cell>
          <cell r="L1012" t="str">
            <v>HK</v>
          </cell>
          <cell r="M1012">
            <v>46111</v>
          </cell>
          <cell r="N1012">
            <v>46115</v>
          </cell>
          <cell r="O1012">
            <v>46115</v>
          </cell>
          <cell r="P1012">
            <v>108110032700</v>
          </cell>
          <cell r="Q1012">
            <v>46113</v>
          </cell>
          <cell r="R1012" t="str">
            <v>No inspection</v>
          </cell>
          <cell r="U1012" t="str">
            <v>EF-</v>
          </cell>
        </row>
        <row r="1013">
          <cell r="D1013">
            <v>0.2</v>
          </cell>
          <cell r="F1013">
            <v>518989211410</v>
          </cell>
          <cell r="G1013" t="str">
            <v>MOUSER ELECTRONICS INC</v>
          </cell>
          <cell r="H1013" t="str">
            <v>Delivered</v>
          </cell>
          <cell r="I1013" t="str">
            <v xml:space="preserve">CAP </v>
          </cell>
          <cell r="J1013" t="str">
            <v>Fedex</v>
          </cell>
          <cell r="K1013" t="str">
            <v>VVMV</v>
          </cell>
          <cell r="L1013" t="str">
            <v>US</v>
          </cell>
          <cell r="M1013">
            <v>46107</v>
          </cell>
          <cell r="N1013">
            <v>46115</v>
          </cell>
          <cell r="O1013">
            <v>46115</v>
          </cell>
          <cell r="P1013">
            <v>108109958500</v>
          </cell>
          <cell r="Q1013">
            <v>46113</v>
          </cell>
          <cell r="R1013" t="str">
            <v>No inspection</v>
          </cell>
          <cell r="S1013">
            <v>30</v>
          </cell>
          <cell r="T1013" t="str">
            <v>CIF</v>
          </cell>
          <cell r="U1013">
            <v>122</v>
          </cell>
        </row>
        <row r="1014">
          <cell r="D1014">
            <v>1.2</v>
          </cell>
          <cell r="F1014">
            <v>1366276715</v>
          </cell>
          <cell r="G1014" t="str">
            <v>ARROW ELECTRONICS ASIA (S) PTE LTD
C/O ARROW COMPONENTS (M) SDN BHD</v>
          </cell>
          <cell r="H1014" t="str">
            <v>Delivered</v>
          </cell>
          <cell r="I1014" t="str">
            <v xml:space="preserve">RES </v>
          </cell>
          <cell r="J1014" t="str">
            <v>DHL</v>
          </cell>
          <cell r="K1014" t="str">
            <v>VVMV</v>
          </cell>
          <cell r="L1014" t="str">
            <v>MY</v>
          </cell>
          <cell r="M1014">
            <v>46111</v>
          </cell>
          <cell r="N1014">
            <v>46114</v>
          </cell>
          <cell r="O1014">
            <v>46114</v>
          </cell>
          <cell r="P1014">
            <v>108109205410</v>
          </cell>
          <cell r="Q1014">
            <v>46113</v>
          </cell>
          <cell r="R1014" t="str">
            <v>No inspection</v>
          </cell>
          <cell r="S1014">
            <v>193.9</v>
          </cell>
          <cell r="T1014" t="str">
            <v>CIF</v>
          </cell>
          <cell r="U1014" t="str">
            <v>LUC</v>
          </cell>
        </row>
        <row r="1015">
          <cell r="D1015">
            <v>20.399999999999999</v>
          </cell>
          <cell r="F1015">
            <v>500292549050</v>
          </cell>
          <cell r="G1015" t="str">
            <v>ARROW COMPONENTS MEXICO SA De CV</v>
          </cell>
          <cell r="H1015" t="str">
            <v>Delivered</v>
          </cell>
          <cell r="I1015" t="str">
            <v xml:space="preserve">CON </v>
          </cell>
          <cell r="J1015" t="str">
            <v>Fedex</v>
          </cell>
          <cell r="K1015" t="str">
            <v>VVMV</v>
          </cell>
          <cell r="L1015" t="str">
            <v>MX</v>
          </cell>
          <cell r="M1015">
            <v>46107</v>
          </cell>
          <cell r="N1015">
            <v>46115</v>
          </cell>
          <cell r="O1015">
            <v>46118</v>
          </cell>
          <cell r="P1015">
            <v>108113681430</v>
          </cell>
          <cell r="Q1015">
            <v>46114</v>
          </cell>
          <cell r="R1015" t="str">
            <v>No inspection</v>
          </cell>
          <cell r="S1015">
            <v>2496</v>
          </cell>
          <cell r="T1015" t="str">
            <v>CIF</v>
          </cell>
          <cell r="U1015" t="str">
            <v>LUC</v>
          </cell>
        </row>
        <row r="1016">
          <cell r="D1016">
            <v>54.5</v>
          </cell>
          <cell r="F1016">
            <v>500292549093</v>
          </cell>
          <cell r="G1016" t="str">
            <v>ARROW COMPONENTS MEXICO SA De CV</v>
          </cell>
          <cell r="H1016" t="str">
            <v>Delivered</v>
          </cell>
          <cell r="I1016" t="str">
            <v xml:space="preserve">CON </v>
          </cell>
          <cell r="J1016" t="str">
            <v>Fedex</v>
          </cell>
          <cell r="K1016" t="str">
            <v>VVMV</v>
          </cell>
          <cell r="L1016" t="str">
            <v>MX</v>
          </cell>
          <cell r="M1016">
            <v>46107</v>
          </cell>
          <cell r="N1016">
            <v>46115</v>
          </cell>
          <cell r="O1016">
            <v>46118</v>
          </cell>
          <cell r="P1016">
            <v>108113987700</v>
          </cell>
          <cell r="Q1016">
            <v>46114</v>
          </cell>
          <cell r="R1016" t="str">
            <v>No inspection</v>
          </cell>
          <cell r="S1016">
            <v>6656</v>
          </cell>
          <cell r="T1016" t="str">
            <v>CIF</v>
          </cell>
          <cell r="U1016" t="str">
            <v>LUC</v>
          </cell>
        </row>
        <row r="1017">
          <cell r="D1017">
            <v>62.5</v>
          </cell>
          <cell r="F1017">
            <v>500292549196</v>
          </cell>
          <cell r="G1017" t="str">
            <v>ARROW COMPONENTS MEXICO SA De CV</v>
          </cell>
          <cell r="H1017" t="str">
            <v>Delivered</v>
          </cell>
          <cell r="I1017" t="str">
            <v xml:space="preserve">CON </v>
          </cell>
          <cell r="J1017" t="str">
            <v>Fedex</v>
          </cell>
          <cell r="K1017" t="str">
            <v>VVMV</v>
          </cell>
          <cell r="L1017" t="str">
            <v>MX</v>
          </cell>
          <cell r="M1017">
            <v>46107</v>
          </cell>
          <cell r="N1017">
            <v>46115</v>
          </cell>
          <cell r="O1017">
            <v>46115</v>
          </cell>
          <cell r="P1017">
            <v>108113835800</v>
          </cell>
          <cell r="Q1017">
            <v>46114</v>
          </cell>
          <cell r="R1017" t="str">
            <v>No inspection</v>
          </cell>
          <cell r="S1017">
            <v>7488</v>
          </cell>
          <cell r="T1017" t="str">
            <v>CIF</v>
          </cell>
          <cell r="U1017" t="str">
            <v>LUC</v>
          </cell>
        </row>
        <row r="1018">
          <cell r="D1018">
            <v>0.7</v>
          </cell>
          <cell r="F1018">
            <v>500292549428</v>
          </cell>
          <cell r="G1018" t="str">
            <v>ARROW COMPONENTS MEXICO SA De CV</v>
          </cell>
          <cell r="H1018" t="str">
            <v>Delivered</v>
          </cell>
          <cell r="I1018" t="str">
            <v>DIOD</v>
          </cell>
          <cell r="J1018" t="str">
            <v>Fedex</v>
          </cell>
          <cell r="K1018" t="str">
            <v>VVMV</v>
          </cell>
          <cell r="L1018" t="str">
            <v>MX</v>
          </cell>
          <cell r="M1018">
            <v>46108</v>
          </cell>
          <cell r="N1018">
            <v>46114</v>
          </cell>
          <cell r="O1018">
            <v>46115</v>
          </cell>
          <cell r="P1018">
            <v>108109236910</v>
          </cell>
          <cell r="Q1018">
            <v>46113</v>
          </cell>
          <cell r="R1018" t="str">
            <v>No inspection</v>
          </cell>
          <cell r="S1018">
            <v>145.5</v>
          </cell>
          <cell r="T1018" t="str">
            <v>CIF</v>
          </cell>
          <cell r="U1018" t="str">
            <v>PUR</v>
          </cell>
        </row>
        <row r="1019">
          <cell r="D1019">
            <v>1.6</v>
          </cell>
          <cell r="F1019">
            <v>513942252545</v>
          </cell>
          <cell r="G1019" t="str">
            <v>ARROW ELECTRONICS ASIA(S) PTE
LTD C/O ARROW ASIA PAC LTD</v>
          </cell>
          <cell r="H1019" t="str">
            <v>Delivered</v>
          </cell>
          <cell r="I1019" t="str">
            <v>SERI</v>
          </cell>
          <cell r="J1019" t="str">
            <v>Fedex</v>
          </cell>
          <cell r="K1019" t="str">
            <v>VVMV</v>
          </cell>
          <cell r="L1019" t="str">
            <v>HK</v>
          </cell>
          <cell r="M1019">
            <v>46111</v>
          </cell>
          <cell r="N1019">
            <v>46114</v>
          </cell>
          <cell r="O1019">
            <v>46115</v>
          </cell>
          <cell r="P1019">
            <v>108109167610</v>
          </cell>
          <cell r="Q1019">
            <v>46113</v>
          </cell>
          <cell r="R1019" t="str">
            <v>No inspection</v>
          </cell>
          <cell r="S1019">
            <v>19020</v>
          </cell>
          <cell r="T1019" t="str">
            <v>EXW</v>
          </cell>
          <cell r="U1019" t="str">
            <v>LUC</v>
          </cell>
        </row>
        <row r="1020">
          <cell r="D1020">
            <v>8.6999999999999993</v>
          </cell>
          <cell r="F1020">
            <v>870073547359</v>
          </cell>
          <cell r="G1020" t="str">
            <v>WHITE HORSE LABORATORIES LTD</v>
          </cell>
          <cell r="H1020" t="str">
            <v>Delivered</v>
          </cell>
          <cell r="I1020" t="str">
            <v>IC M</v>
          </cell>
          <cell r="J1020" t="str">
            <v>Fedex</v>
          </cell>
          <cell r="K1020" t="str">
            <v>VVMV</v>
          </cell>
          <cell r="L1020" t="str">
            <v>HK</v>
          </cell>
          <cell r="M1020">
            <v>46109</v>
          </cell>
          <cell r="N1020">
            <v>46114</v>
          </cell>
          <cell r="O1020">
            <v>46115</v>
          </cell>
          <cell r="P1020">
            <v>108109363240</v>
          </cell>
          <cell r="Q1020">
            <v>46113</v>
          </cell>
          <cell r="R1020" t="str">
            <v>No inspection</v>
          </cell>
          <cell r="S1020">
            <v>47225</v>
          </cell>
          <cell r="T1020" t="str">
            <v>CIF</v>
          </cell>
          <cell r="U1020" t="str">
            <v>EF-</v>
          </cell>
        </row>
        <row r="1021">
          <cell r="D1021">
            <v>7.4</v>
          </cell>
          <cell r="F1021">
            <v>870039003800</v>
          </cell>
          <cell r="G1021" t="str">
            <v>WHITE HORSE LABORATORIES LTD</v>
          </cell>
          <cell r="H1021" t="str">
            <v>Delivered</v>
          </cell>
          <cell r="I1021" t="str">
            <v>IC F</v>
          </cell>
          <cell r="J1021" t="str">
            <v>Fedex</v>
          </cell>
          <cell r="K1021" t="str">
            <v>VVMV</v>
          </cell>
          <cell r="L1021" t="str">
            <v>HK</v>
          </cell>
          <cell r="M1021">
            <v>46108</v>
          </cell>
          <cell r="N1021">
            <v>46114</v>
          </cell>
          <cell r="O1021">
            <v>46114</v>
          </cell>
          <cell r="P1021">
            <v>108109805310</v>
          </cell>
          <cell r="Q1021">
            <v>46113</v>
          </cell>
          <cell r="R1021" t="str">
            <v>No inspection</v>
          </cell>
          <cell r="S1021">
            <v>21264.959999999999</v>
          </cell>
          <cell r="T1021" t="str">
            <v>CIF</v>
          </cell>
          <cell r="U1021" t="str">
            <v>EF-</v>
          </cell>
        </row>
        <row r="1022">
          <cell r="D1022">
            <v>9.1</v>
          </cell>
          <cell r="F1022">
            <v>679865600602</v>
          </cell>
          <cell r="G1022" t="str">
            <v>AVNET TECH HK LTD (1602 - HX64)</v>
          </cell>
          <cell r="H1022" t="str">
            <v>Delivered</v>
          </cell>
          <cell r="I1022" t="str">
            <v>IC A</v>
          </cell>
          <cell r="J1022" t="str">
            <v>Fedex</v>
          </cell>
          <cell r="K1022" t="str">
            <v>VVMV</v>
          </cell>
          <cell r="L1022" t="str">
            <v>HK</v>
          </cell>
          <cell r="M1022">
            <v>46112</v>
          </cell>
          <cell r="N1022">
            <v>46114</v>
          </cell>
          <cell r="O1022">
            <v>46114</v>
          </cell>
          <cell r="P1022">
            <v>108109328130</v>
          </cell>
          <cell r="Q1022">
            <v>46113</v>
          </cell>
          <cell r="R1022" t="str">
            <v>No inspection</v>
          </cell>
          <cell r="S1022">
            <v>32076</v>
          </cell>
          <cell r="T1022" t="str">
            <v>EXW</v>
          </cell>
          <cell r="U1022" t="str">
            <v>LUC</v>
          </cell>
        </row>
        <row r="1023">
          <cell r="D1023">
            <v>1.3</v>
          </cell>
          <cell r="F1023">
            <v>870096484719</v>
          </cell>
          <cell r="G1023" t="str">
            <v>FUSION TRADE PTE LTD</v>
          </cell>
          <cell r="H1023" t="str">
            <v>Delivered</v>
          </cell>
          <cell r="I1023" t="str">
            <v xml:space="preserve">MEM </v>
          </cell>
          <cell r="J1023" t="str">
            <v>Fedex</v>
          </cell>
          <cell r="K1023" t="str">
            <v>VVMV</v>
          </cell>
          <cell r="L1023" t="str">
            <v>SG</v>
          </cell>
          <cell r="M1023">
            <v>46111</v>
          </cell>
          <cell r="N1023">
            <v>46114</v>
          </cell>
          <cell r="O1023">
            <v>46115</v>
          </cell>
          <cell r="P1023">
            <v>108109626000</v>
          </cell>
          <cell r="Q1023">
            <v>46113</v>
          </cell>
          <cell r="R1023" t="str">
            <v>No inspection</v>
          </cell>
          <cell r="S1023">
            <v>322.08</v>
          </cell>
          <cell r="T1023" t="str">
            <v>CIF</v>
          </cell>
          <cell r="U1023" t="str">
            <v>PUR</v>
          </cell>
        </row>
        <row r="1024">
          <cell r="D1024">
            <v>0.7</v>
          </cell>
          <cell r="F1024">
            <v>1894138805</v>
          </cell>
          <cell r="G1024" t="str">
            <v>ARROW ELECTRONICS ASIA (S) PTE LTD
C/O ARROW COMPONENTS (M) SDN BHD</v>
          </cell>
          <cell r="H1024" t="str">
            <v>Delivered</v>
          </cell>
          <cell r="I1024" t="str">
            <v>TRAN</v>
          </cell>
          <cell r="J1024" t="str">
            <v>DHL</v>
          </cell>
          <cell r="K1024" t="str">
            <v>VVMV</v>
          </cell>
          <cell r="L1024" t="str">
            <v>MY</v>
          </cell>
          <cell r="M1024">
            <v>46111</v>
          </cell>
          <cell r="N1024">
            <v>46114</v>
          </cell>
          <cell r="O1024">
            <v>46114</v>
          </cell>
          <cell r="P1024">
            <v>108109284620</v>
          </cell>
          <cell r="Q1024">
            <v>46113</v>
          </cell>
          <cell r="R1024" t="str">
            <v>No inspection</v>
          </cell>
          <cell r="S1024">
            <v>1153.5</v>
          </cell>
          <cell r="T1024" t="str">
            <v>CIF</v>
          </cell>
          <cell r="U1024" t="str">
            <v>LUC</v>
          </cell>
        </row>
        <row r="1025">
          <cell r="D1025">
            <v>14.1</v>
          </cell>
          <cell r="F1025">
            <v>5973828265</v>
          </cell>
          <cell r="G1025" t="str">
            <v>FUTURE ELECTRONICS INC (DIST) PTE LTD</v>
          </cell>
          <cell r="H1025" t="str">
            <v>Delivered</v>
          </cell>
          <cell r="I1025" t="str">
            <v>DIOD, RES , IC L, CAP , IC R</v>
          </cell>
          <cell r="J1025" t="str">
            <v>DHL</v>
          </cell>
          <cell r="K1025" t="str">
            <v>VVMV</v>
          </cell>
          <cell r="L1025" t="str">
            <v>SG</v>
          </cell>
          <cell r="M1025">
            <v>46111</v>
          </cell>
          <cell r="N1025">
            <v>46114</v>
          </cell>
          <cell r="O1025">
            <v>46114</v>
          </cell>
          <cell r="P1025">
            <v>108109686310</v>
          </cell>
          <cell r="Q1025">
            <v>46113</v>
          </cell>
          <cell r="R1025" t="str">
            <v>No inspection</v>
          </cell>
          <cell r="S1025">
            <v>3917.84</v>
          </cell>
          <cell r="T1025" t="str">
            <v>CIF</v>
          </cell>
          <cell r="U1025" t="str">
            <v>PUR</v>
          </cell>
        </row>
        <row r="1026">
          <cell r="D1026">
            <v>98</v>
          </cell>
          <cell r="F1026">
            <v>4915086786</v>
          </cell>
          <cell r="G1026" t="str">
            <v>RICHARDSON RFPD HONG KONG LIMITED</v>
          </cell>
          <cell r="H1026" t="str">
            <v>Delivered</v>
          </cell>
          <cell r="I1026" t="str">
            <v xml:space="preserve">CAP </v>
          </cell>
          <cell r="J1026" t="str">
            <v>Expeditors</v>
          </cell>
          <cell r="K1026" t="str">
            <v>VVMV</v>
          </cell>
          <cell r="L1026" t="str">
            <v>HK</v>
          </cell>
          <cell r="M1026">
            <v>46113</v>
          </cell>
          <cell r="N1026">
            <v>46114</v>
          </cell>
          <cell r="O1026">
            <v>46115</v>
          </cell>
          <cell r="P1026">
            <v>108109611300</v>
          </cell>
          <cell r="Q1026">
            <v>46113</v>
          </cell>
          <cell r="R1026" t="str">
            <v>No inspection</v>
          </cell>
          <cell r="S1026">
            <v>12600</v>
          </cell>
          <cell r="T1026" t="str">
            <v>EXW</v>
          </cell>
          <cell r="U1026" t="str">
            <v>PUR</v>
          </cell>
        </row>
        <row r="1027">
          <cell r="D1027">
            <v>923.31</v>
          </cell>
          <cell r="F1027" t="str">
            <v>HWHPH2601263</v>
          </cell>
          <cell r="G1027" t="str">
            <v>WUS INTERNATIONAL COMPANY LIMITED</v>
          </cell>
          <cell r="H1027" t="str">
            <v>Delivered</v>
          </cell>
          <cell r="I1027" t="str">
            <v xml:space="preserve">PCB </v>
          </cell>
          <cell r="J1027" t="str">
            <v>VVMV(sea)</v>
          </cell>
          <cell r="K1027" t="str">
            <v>VVMV</v>
          </cell>
          <cell r="L1027" t="str">
            <v>CN</v>
          </cell>
          <cell r="M1027">
            <v>46109</v>
          </cell>
          <cell r="N1027">
            <v>46115</v>
          </cell>
          <cell r="O1027">
            <v>46118</v>
          </cell>
          <cell r="P1027">
            <v>108113876400</v>
          </cell>
          <cell r="Q1027">
            <v>46114</v>
          </cell>
          <cell r="R1027" t="str">
            <v>No inspection</v>
          </cell>
          <cell r="S1027">
            <v>105572.15</v>
          </cell>
          <cell r="T1027" t="str">
            <v>EXW</v>
          </cell>
          <cell r="U1027" t="str">
            <v>PUR</v>
          </cell>
        </row>
        <row r="1028">
          <cell r="D1028">
            <v>77.86</v>
          </cell>
          <cell r="F1028" t="str">
            <v>TXGHPHK26308</v>
          </cell>
          <cell r="G1028" t="str">
            <v>UNIVERSAL GLOBAL SCIENTIFIC INDUST</v>
          </cell>
          <cell r="H1028" t="str">
            <v>Delivered</v>
          </cell>
          <cell r="I1028" t="str">
            <v>CAP , RES , DIOD, IC L, TRAN, SCRE</v>
          </cell>
          <cell r="J1028" t="str">
            <v>Dolphin(sea)</v>
          </cell>
          <cell r="K1028" t="str">
            <v>Dolphin</v>
          </cell>
          <cell r="L1028" t="str">
            <v>TW</v>
          </cell>
          <cell r="M1028">
            <v>46108</v>
          </cell>
          <cell r="N1028">
            <v>46118</v>
          </cell>
          <cell r="O1028">
            <v>46118</v>
          </cell>
          <cell r="P1028">
            <v>108113743250</v>
          </cell>
          <cell r="Q1028">
            <v>46115</v>
          </cell>
          <cell r="R1028" t="str">
            <v>No inspection</v>
          </cell>
          <cell r="U1028" t="str">
            <v>LUC</v>
          </cell>
        </row>
        <row r="1029">
          <cell r="D1029">
            <v>0.3</v>
          </cell>
          <cell r="F1029">
            <v>3204331620</v>
          </cell>
          <cell r="G1029" t="str">
            <v>ARROW ELECTRONICS ASIA (S) PTE LTD
C/O ARROW COMPONENTS (M) SDN BHD</v>
          </cell>
          <cell r="H1029" t="str">
            <v>Delivered</v>
          </cell>
          <cell r="I1029" t="str">
            <v>DIOD</v>
          </cell>
          <cell r="J1029" t="str">
            <v>DHL</v>
          </cell>
          <cell r="K1029" t="str">
            <v>VVMV</v>
          </cell>
          <cell r="L1029" t="str">
            <v>MY</v>
          </cell>
          <cell r="M1029">
            <v>46113</v>
          </cell>
          <cell r="N1029">
            <v>46118</v>
          </cell>
          <cell r="O1029">
            <v>46118</v>
          </cell>
          <cell r="P1029">
            <v>108117937910</v>
          </cell>
          <cell r="Q1029">
            <v>46115</v>
          </cell>
          <cell r="R1029" t="str">
            <v>No inspection</v>
          </cell>
          <cell r="S1029">
            <v>22.8</v>
          </cell>
          <cell r="T1029" t="str">
            <v>CIF</v>
          </cell>
          <cell r="U1029" t="str">
            <v>EF-</v>
          </cell>
        </row>
        <row r="1030">
          <cell r="D1030">
            <v>19</v>
          </cell>
          <cell r="F1030">
            <v>870103502956</v>
          </cell>
          <cell r="G1030" t="str">
            <v>FLEXTRONICS INTERNATIONAL GMBH</v>
          </cell>
          <cell r="H1030" t="str">
            <v>Delivered</v>
          </cell>
          <cell r="I1030" t="str">
            <v>IC D</v>
          </cell>
          <cell r="J1030" t="str">
            <v>Fedex</v>
          </cell>
          <cell r="K1030" t="str">
            <v>VVMV</v>
          </cell>
          <cell r="L1030" t="str">
            <v>AT</v>
          </cell>
          <cell r="M1030">
            <v>46111</v>
          </cell>
          <cell r="N1030">
            <v>46126</v>
          </cell>
          <cell r="O1030">
            <v>46126</v>
          </cell>
          <cell r="P1030">
            <v>108142844940</v>
          </cell>
          <cell r="Q1030">
            <v>46125</v>
          </cell>
          <cell r="R1030" t="str">
            <v>No inspection</v>
          </cell>
          <cell r="S1030">
            <v>99300</v>
          </cell>
          <cell r="T1030" t="str">
            <v>CIF</v>
          </cell>
          <cell r="U1030" t="str">
            <v>LUC</v>
          </cell>
        </row>
        <row r="1031">
          <cell r="D1031">
            <v>11.9</v>
          </cell>
          <cell r="F1031">
            <v>512718299694</v>
          </cell>
          <cell r="G1031" t="str">
            <v>SILICON MOTION INC</v>
          </cell>
          <cell r="H1031" t="str">
            <v>Delivered</v>
          </cell>
          <cell r="I1031" t="str">
            <v>IC C</v>
          </cell>
          <cell r="J1031" t="str">
            <v>Fedex</v>
          </cell>
          <cell r="K1031" t="str">
            <v>VVMV</v>
          </cell>
          <cell r="L1031" t="str">
            <v>TW</v>
          </cell>
          <cell r="M1031">
            <v>46113</v>
          </cell>
          <cell r="N1031">
            <v>46115</v>
          </cell>
          <cell r="O1031">
            <v>46118</v>
          </cell>
          <cell r="P1031">
            <v>108113528500</v>
          </cell>
          <cell r="Q1031">
            <v>46114</v>
          </cell>
          <cell r="R1031" t="str">
            <v>No inspection</v>
          </cell>
          <cell r="S1031">
            <v>205000</v>
          </cell>
          <cell r="T1031" t="str">
            <v>EXW</v>
          </cell>
          <cell r="U1031">
            <v>130</v>
          </cell>
        </row>
        <row r="1032">
          <cell r="D1032">
            <v>1.3</v>
          </cell>
          <cell r="F1032">
            <v>500292548899</v>
          </cell>
          <cell r="G1032" t="str">
            <v>ARROW COMPONENTS MEXICO SA De CV</v>
          </cell>
          <cell r="H1032" t="str">
            <v>Delivered</v>
          </cell>
          <cell r="I1032" t="str">
            <v>TRAN</v>
          </cell>
          <cell r="J1032" t="str">
            <v>Fedex</v>
          </cell>
          <cell r="K1032" t="str">
            <v>VVMV</v>
          </cell>
          <cell r="L1032" t="str">
            <v>MX</v>
          </cell>
          <cell r="M1032">
            <v>46108</v>
          </cell>
          <cell r="N1032">
            <v>46115</v>
          </cell>
          <cell r="O1032">
            <v>46115</v>
          </cell>
          <cell r="P1032">
            <v>108112924250</v>
          </cell>
          <cell r="Q1032">
            <v>46114</v>
          </cell>
          <cell r="R1032" t="str">
            <v>No inspection</v>
          </cell>
          <cell r="S1032">
            <v>950</v>
          </cell>
          <cell r="T1032" t="str">
            <v>CIF</v>
          </cell>
          <cell r="U1032" t="str">
            <v>PUR</v>
          </cell>
        </row>
        <row r="1033">
          <cell r="D1033">
            <v>18.2</v>
          </cell>
          <cell r="F1033">
            <v>517485613999</v>
          </cell>
          <cell r="G1033" t="str">
            <v>PENCOM LTD</v>
          </cell>
          <cell r="H1033" t="str">
            <v>Delivered</v>
          </cell>
          <cell r="I1033" t="str">
            <v>SCRE</v>
          </cell>
          <cell r="J1033" t="str">
            <v>Fedex</v>
          </cell>
          <cell r="K1033" t="str">
            <v>VVMV</v>
          </cell>
          <cell r="L1033" t="str">
            <v>HK</v>
          </cell>
          <cell r="M1033">
            <v>46112</v>
          </cell>
          <cell r="N1033">
            <v>46115</v>
          </cell>
          <cell r="O1033">
            <v>46115</v>
          </cell>
          <cell r="P1033">
            <v>108113979630</v>
          </cell>
          <cell r="Q1033">
            <v>46114</v>
          </cell>
          <cell r="R1033" t="str">
            <v>No inspection</v>
          </cell>
          <cell r="S1033">
            <v>716</v>
          </cell>
          <cell r="T1033" t="str">
            <v>EXW</v>
          </cell>
          <cell r="U1033" t="str">
            <v>PUR</v>
          </cell>
        </row>
        <row r="1034">
          <cell r="D1034">
            <v>66.8</v>
          </cell>
          <cell r="F1034">
            <v>518337558077</v>
          </cell>
          <cell r="G1034" t="str">
            <v>MICROCHIP TECHNOLOGY OPS PHIL CORP</v>
          </cell>
          <cell r="H1034" t="str">
            <v>Delivered</v>
          </cell>
          <cell r="I1034" t="str">
            <v>IC M</v>
          </cell>
          <cell r="J1034" t="str">
            <v>Fedex</v>
          </cell>
          <cell r="K1034" t="str">
            <v>VVMV</v>
          </cell>
          <cell r="L1034" t="str">
            <v>PH</v>
          </cell>
          <cell r="M1034">
            <v>46113</v>
          </cell>
          <cell r="N1034">
            <v>46115</v>
          </cell>
          <cell r="O1034">
            <v>46115</v>
          </cell>
          <cell r="P1034">
            <v>108113185130</v>
          </cell>
          <cell r="Q1034">
            <v>46114</v>
          </cell>
          <cell r="R1034" t="str">
            <v>No inspection</v>
          </cell>
          <cell r="S1034">
            <v>726691.2</v>
          </cell>
          <cell r="T1034" t="str">
            <v>EXW</v>
          </cell>
          <cell r="U1034" t="str">
            <v>PUR</v>
          </cell>
        </row>
        <row r="1035">
          <cell r="D1035">
            <v>9.3000000000000007</v>
          </cell>
          <cell r="F1035">
            <v>510007326968</v>
          </cell>
          <cell r="G1035" t="str">
            <v>SINO FAITH TECHNOLOGY  DVPT LTD</v>
          </cell>
          <cell r="H1035" t="str">
            <v>Delivered</v>
          </cell>
          <cell r="I1035" t="str">
            <v xml:space="preserve">RES , CAP , IND </v>
          </cell>
          <cell r="J1035" t="str">
            <v>Fedex</v>
          </cell>
          <cell r="K1035" t="str">
            <v>VVMV</v>
          </cell>
          <cell r="L1035" t="str">
            <v>HK</v>
          </cell>
          <cell r="M1035">
            <v>46112</v>
          </cell>
          <cell r="N1035">
            <v>46115</v>
          </cell>
          <cell r="O1035">
            <v>46115</v>
          </cell>
          <cell r="P1035">
            <v>108113989320</v>
          </cell>
          <cell r="Q1035">
            <v>46114</v>
          </cell>
          <cell r="R1035" t="str">
            <v>No inspection</v>
          </cell>
          <cell r="S1035">
            <v>682.7</v>
          </cell>
          <cell r="T1035" t="str">
            <v>EXW</v>
          </cell>
          <cell r="U1035" t="str">
            <v>PUR</v>
          </cell>
        </row>
        <row r="1036">
          <cell r="D1036">
            <v>23.6</v>
          </cell>
          <cell r="F1036">
            <v>870156571526</v>
          </cell>
          <cell r="G1036" t="str">
            <v>J&amp;T FLEX TECHNOLOGY CO LTD</v>
          </cell>
          <cell r="H1036" t="str">
            <v>Delivered</v>
          </cell>
          <cell r="I1036" t="str">
            <v xml:space="preserve">FPC </v>
          </cell>
          <cell r="J1036" t="str">
            <v>Fedex</v>
          </cell>
          <cell r="K1036" t="str">
            <v>VVMV</v>
          </cell>
          <cell r="L1036" t="str">
            <v>TW</v>
          </cell>
          <cell r="M1036">
            <v>46112</v>
          </cell>
          <cell r="N1036">
            <v>46115</v>
          </cell>
          <cell r="O1036">
            <v>46118</v>
          </cell>
          <cell r="P1036">
            <v>108114016510</v>
          </cell>
          <cell r="Q1036">
            <v>46114</v>
          </cell>
          <cell r="R1036" t="str">
            <v>No inspection</v>
          </cell>
          <cell r="S1036">
            <v>17360</v>
          </cell>
          <cell r="T1036" t="str">
            <v>EXW</v>
          </cell>
          <cell r="U1036" t="str">
            <v>LUC</v>
          </cell>
        </row>
        <row r="1037">
          <cell r="D1037">
            <v>22.5</v>
          </cell>
          <cell r="F1037">
            <v>4110335801</v>
          </cell>
          <cell r="G1037" t="str">
            <v>AVNET, INC</v>
          </cell>
          <cell r="H1037" t="str">
            <v>Delivered</v>
          </cell>
          <cell r="I1037" t="str">
            <v>CONN</v>
          </cell>
          <cell r="J1037" t="str">
            <v>Expeditors</v>
          </cell>
          <cell r="K1037" t="str">
            <v>VVMV</v>
          </cell>
          <cell r="L1037" t="str">
            <v>US</v>
          </cell>
          <cell r="M1037">
            <v>46112</v>
          </cell>
          <cell r="N1037">
            <v>46119</v>
          </cell>
          <cell r="O1037">
            <v>46119</v>
          </cell>
          <cell r="P1037">
            <v>108121441740</v>
          </cell>
          <cell r="Q1037">
            <v>46118</v>
          </cell>
          <cell r="R1037" t="str">
            <v>No inspection</v>
          </cell>
          <cell r="S1037">
            <v>3779.24</v>
          </cell>
          <cell r="T1037" t="str">
            <v>DAP</v>
          </cell>
          <cell r="U1037" t="str">
            <v>LUC</v>
          </cell>
        </row>
        <row r="1038">
          <cell r="D1038">
            <v>0.9</v>
          </cell>
          <cell r="F1038">
            <v>519784472714</v>
          </cell>
          <cell r="G1038" t="str">
            <v>DIGI-KEY ELECTRONICS</v>
          </cell>
          <cell r="H1038" t="str">
            <v>Delivered</v>
          </cell>
          <cell r="I1038" t="str">
            <v xml:space="preserve">TVS , RES , CONN, IC D, CAP </v>
          </cell>
          <cell r="J1038" t="str">
            <v>Fedex</v>
          </cell>
          <cell r="K1038" t="str">
            <v>VVMV</v>
          </cell>
          <cell r="L1038" t="str">
            <v>US</v>
          </cell>
          <cell r="M1038">
            <v>46111</v>
          </cell>
          <cell r="N1038">
            <v>46115</v>
          </cell>
          <cell r="O1038">
            <v>46118</v>
          </cell>
          <cell r="P1038">
            <v>108114229200</v>
          </cell>
          <cell r="Q1038">
            <v>46114</v>
          </cell>
          <cell r="R1038" t="str">
            <v>No inspection</v>
          </cell>
          <cell r="S1038">
            <v>650.83000000000004</v>
          </cell>
          <cell r="T1038" t="str">
            <v>CIF</v>
          </cell>
          <cell r="U1038">
            <v>121</v>
          </cell>
        </row>
        <row r="1039">
          <cell r="D1039">
            <v>2.1</v>
          </cell>
          <cell r="F1039">
            <v>515510900451</v>
          </cell>
          <cell r="G1039" t="str">
            <v>SAMTEC ASIA PACIFIC PTE LTD</v>
          </cell>
          <cell r="H1039" t="str">
            <v>Delivered</v>
          </cell>
          <cell r="I1039" t="str">
            <v>CONN</v>
          </cell>
          <cell r="J1039" t="str">
            <v>Fedex</v>
          </cell>
          <cell r="K1039" t="str">
            <v>VVMV</v>
          </cell>
          <cell r="L1039" t="str">
            <v>SG</v>
          </cell>
          <cell r="M1039">
            <v>46113</v>
          </cell>
          <cell r="N1039">
            <v>46115</v>
          </cell>
          <cell r="O1039">
            <v>46118</v>
          </cell>
          <cell r="P1039">
            <v>108114098150</v>
          </cell>
          <cell r="Q1039">
            <v>46114</v>
          </cell>
          <cell r="R1039" t="str">
            <v>No inspection</v>
          </cell>
          <cell r="S1039">
            <v>199.8</v>
          </cell>
          <cell r="T1039" t="str">
            <v>CIF</v>
          </cell>
          <cell r="U1039" t="str">
            <v>EF-</v>
          </cell>
        </row>
        <row r="1040">
          <cell r="D1040">
            <v>1.7</v>
          </cell>
          <cell r="F1040">
            <v>7440206561</v>
          </cell>
          <cell r="G1040" t="str">
            <v>TTI INC</v>
          </cell>
          <cell r="H1040" t="str">
            <v>Delivered</v>
          </cell>
          <cell r="I1040" t="str">
            <v xml:space="preserve">RES </v>
          </cell>
          <cell r="J1040" t="str">
            <v>DHL</v>
          </cell>
          <cell r="K1040" t="str">
            <v>VVMV</v>
          </cell>
          <cell r="L1040" t="str">
            <v>US</v>
          </cell>
          <cell r="M1040">
            <v>46113</v>
          </cell>
          <cell r="N1040">
            <v>46119</v>
          </cell>
          <cell r="O1040">
            <v>46119</v>
          </cell>
          <cell r="P1040">
            <v>108121316550</v>
          </cell>
          <cell r="Q1040">
            <v>46118</v>
          </cell>
          <cell r="R1040" t="str">
            <v>No inspection</v>
          </cell>
          <cell r="S1040">
            <v>1070</v>
          </cell>
          <cell r="T1040" t="str">
            <v>CIF</v>
          </cell>
          <cell r="U1040" t="str">
            <v>LUC</v>
          </cell>
        </row>
        <row r="1041">
          <cell r="D1041">
            <v>0.3</v>
          </cell>
          <cell r="F1041">
            <v>3542666724</v>
          </cell>
          <cell r="G1041" t="str">
            <v>SILERGY C/O ALPHA LOGISTICS (HK) LTD</v>
          </cell>
          <cell r="H1041" t="str">
            <v>Delivered</v>
          </cell>
          <cell r="I1041" t="str">
            <v>IC C, IC L</v>
          </cell>
          <cell r="J1041" t="str">
            <v>DHL</v>
          </cell>
          <cell r="K1041" t="str">
            <v>VVMV</v>
          </cell>
          <cell r="L1041" t="str">
            <v>HK</v>
          </cell>
          <cell r="M1041">
            <v>46111</v>
          </cell>
          <cell r="N1041">
            <v>46118</v>
          </cell>
          <cell r="O1041">
            <v>46118</v>
          </cell>
          <cell r="P1041">
            <v>108117301830</v>
          </cell>
          <cell r="Q1041">
            <v>46115</v>
          </cell>
          <cell r="R1041" t="str">
            <v>No inspection</v>
          </cell>
          <cell r="S1041">
            <v>689.69</v>
          </cell>
          <cell r="T1041" t="str">
            <v>CIF</v>
          </cell>
          <cell r="U1041">
            <v>126</v>
          </cell>
        </row>
        <row r="1042">
          <cell r="D1042">
            <v>4.9000000000000004</v>
          </cell>
          <cell r="F1042">
            <v>380131741783</v>
          </cell>
          <cell r="G1042" t="str">
            <v>DHL SUPPLY CHAIN MGMT PHILS INC
ON BEHALF OF ANALOG DEVICES INT</v>
          </cell>
          <cell r="H1042" t="str">
            <v>Delivered</v>
          </cell>
          <cell r="I1042" t="str">
            <v>IC M, IC C</v>
          </cell>
          <cell r="J1042" t="str">
            <v>Fedex</v>
          </cell>
          <cell r="K1042" t="str">
            <v>VVMV</v>
          </cell>
          <cell r="L1042" t="str">
            <v>PH</v>
          </cell>
          <cell r="M1042">
            <v>46113</v>
          </cell>
          <cell r="N1042">
            <v>46118</v>
          </cell>
          <cell r="O1042">
            <v>46118</v>
          </cell>
          <cell r="P1042">
            <v>108117903940</v>
          </cell>
          <cell r="Q1042">
            <v>46115</v>
          </cell>
          <cell r="R1042" t="str">
            <v>No inspection</v>
          </cell>
          <cell r="S1042">
            <v>35425</v>
          </cell>
          <cell r="T1042" t="str">
            <v>EXW</v>
          </cell>
          <cell r="U1042" t="str">
            <v>LUC</v>
          </cell>
        </row>
        <row r="1043">
          <cell r="D1043">
            <v>5.6</v>
          </cell>
          <cell r="F1043">
            <v>870149460774</v>
          </cell>
          <cell r="G1043" t="str">
            <v>WT MICROELECTRONICS SPORE (S) PTE LTD</v>
          </cell>
          <cell r="H1043" t="str">
            <v>Delivered</v>
          </cell>
          <cell r="I1043" t="str">
            <v xml:space="preserve">RES </v>
          </cell>
          <cell r="J1043" t="str">
            <v>Fedex</v>
          </cell>
          <cell r="K1043" t="str">
            <v>VVMV</v>
          </cell>
          <cell r="L1043" t="str">
            <v>SG</v>
          </cell>
          <cell r="M1043">
            <v>46112</v>
          </cell>
          <cell r="N1043">
            <v>46119</v>
          </cell>
          <cell r="O1043">
            <v>46120</v>
          </cell>
          <cell r="P1043">
            <v>108124116220</v>
          </cell>
          <cell r="Q1043">
            <v>46118</v>
          </cell>
          <cell r="R1043" t="str">
            <v>No inspection</v>
          </cell>
          <cell r="S1043">
            <v>273</v>
          </cell>
          <cell r="T1043" t="str">
            <v>EXW</v>
          </cell>
          <cell r="U1043" t="str">
            <v>LUC</v>
          </cell>
        </row>
        <row r="1044">
          <cell r="D1044">
            <v>78</v>
          </cell>
          <cell r="F1044">
            <v>514097483618</v>
          </cell>
          <cell r="G1044" t="str">
            <v>RICHARDSON RFPD HONG KONG LIMITED</v>
          </cell>
          <cell r="H1044" t="str">
            <v>Delivered</v>
          </cell>
          <cell r="I1044" t="str">
            <v xml:space="preserve">CAP </v>
          </cell>
          <cell r="J1044" t="str">
            <v>Fedex</v>
          </cell>
          <cell r="K1044" t="str">
            <v>VVMV</v>
          </cell>
          <cell r="L1044" t="str">
            <v>HK</v>
          </cell>
          <cell r="M1044">
            <v>46113</v>
          </cell>
          <cell r="N1044">
            <v>46118</v>
          </cell>
          <cell r="O1044">
            <v>46118</v>
          </cell>
          <cell r="P1044">
            <v>108117806160</v>
          </cell>
          <cell r="Q1044">
            <v>46115</v>
          </cell>
          <cell r="R1044" t="str">
            <v>No inspection</v>
          </cell>
          <cell r="S1044">
            <v>12600</v>
          </cell>
          <cell r="T1044" t="str">
            <v>EXW</v>
          </cell>
          <cell r="U1044" t="str">
            <v>PUR</v>
          </cell>
        </row>
        <row r="1045">
          <cell r="D1045">
            <v>66.2</v>
          </cell>
          <cell r="F1045">
            <v>6055780194</v>
          </cell>
          <cell r="G1045" t="str">
            <v>AVNET - CHANDLER</v>
          </cell>
          <cell r="H1045" t="str">
            <v>Delivered</v>
          </cell>
          <cell r="I1045" t="str">
            <v>IC P, RES , DIOD, IC C, TIME, CAP , TRAN, CRYS</v>
          </cell>
          <cell r="J1045" t="str">
            <v>DHL</v>
          </cell>
          <cell r="K1045" t="str">
            <v>VVMV</v>
          </cell>
          <cell r="L1045" t="str">
            <v>US</v>
          </cell>
          <cell r="M1045">
            <v>46113</v>
          </cell>
          <cell r="N1045">
            <v>46121</v>
          </cell>
          <cell r="O1045">
            <v>46121</v>
          </cell>
          <cell r="P1045">
            <v>108131840020</v>
          </cell>
          <cell r="Q1045">
            <v>46120</v>
          </cell>
          <cell r="R1045" t="str">
            <v>No inspection</v>
          </cell>
          <cell r="S1045">
            <v>170634.01</v>
          </cell>
          <cell r="T1045" t="str">
            <v>CIF</v>
          </cell>
          <cell r="U1045" t="str">
            <v>LUC</v>
          </cell>
        </row>
        <row r="1046">
          <cell r="D1046">
            <v>1.4</v>
          </cell>
          <cell r="F1046">
            <v>380130120500</v>
          </cell>
          <cell r="G1046" t="str">
            <v>C/O DHL Supply Chain Mgnt Phils                                                                                            Analog Devices Gen. Trias, Inc.</v>
          </cell>
          <cell r="H1046" t="str">
            <v>Delivered</v>
          </cell>
          <cell r="I1046" t="str">
            <v>IC M</v>
          </cell>
          <cell r="J1046" t="str">
            <v>Fedex</v>
          </cell>
          <cell r="K1046" t="str">
            <v>VVMV</v>
          </cell>
          <cell r="L1046" t="str">
            <v>PH</v>
          </cell>
          <cell r="M1046">
            <v>46112</v>
          </cell>
          <cell r="N1046">
            <v>46119</v>
          </cell>
          <cell r="O1046">
            <v>46120</v>
          </cell>
          <cell r="P1046">
            <v>108123682440</v>
          </cell>
          <cell r="Q1046">
            <v>46118</v>
          </cell>
          <cell r="R1046" t="str">
            <v>No inspection</v>
          </cell>
          <cell r="S1046">
            <v>4035</v>
          </cell>
          <cell r="T1046" t="str">
            <v>EXW</v>
          </cell>
          <cell r="U1046" t="str">
            <v>LUC</v>
          </cell>
        </row>
        <row r="1047">
          <cell r="D1047">
            <v>58.4</v>
          </cell>
          <cell r="F1047">
            <v>497354646445</v>
          </cell>
          <cell r="G1047" t="str">
            <v>A&amp;E RISING TECHNOLOGIES LTD</v>
          </cell>
          <cell r="H1047" t="str">
            <v>Delivered</v>
          </cell>
          <cell r="I1047" t="str">
            <v xml:space="preserve">PCB </v>
          </cell>
          <cell r="J1047" t="str">
            <v>Fedex</v>
          </cell>
          <cell r="K1047" t="str">
            <v>VVMV</v>
          </cell>
          <cell r="L1047" t="str">
            <v>HK</v>
          </cell>
          <cell r="M1047">
            <v>46114</v>
          </cell>
          <cell r="N1047">
            <v>46119</v>
          </cell>
          <cell r="O1047">
            <v>46120</v>
          </cell>
          <cell r="P1047">
            <v>108124072560</v>
          </cell>
          <cell r="Q1047">
            <v>46118</v>
          </cell>
          <cell r="R1047" t="str">
            <v>No inspection</v>
          </cell>
          <cell r="S1047">
            <v>6702.44</v>
          </cell>
          <cell r="T1047" t="str">
            <v>EXW</v>
          </cell>
          <cell r="U1047" t="str">
            <v>EF-</v>
          </cell>
        </row>
        <row r="1048">
          <cell r="D1048">
            <v>1.1000000000000001</v>
          </cell>
          <cell r="F1048">
            <v>870240468152</v>
          </cell>
          <cell r="G1048" t="str">
            <v>SUNLORD ELECTRONICS TECHNOLOGY PTE</v>
          </cell>
          <cell r="H1048" t="str">
            <v>Delivered</v>
          </cell>
          <cell r="I1048" t="str">
            <v>TRAN</v>
          </cell>
          <cell r="J1048" t="str">
            <v>Fedex</v>
          </cell>
          <cell r="K1048" t="str">
            <v>VVMV</v>
          </cell>
          <cell r="L1048" t="str">
            <v>HK</v>
          </cell>
          <cell r="M1048">
            <v>46114</v>
          </cell>
          <cell r="N1048">
            <v>46119</v>
          </cell>
          <cell r="O1048">
            <v>46119</v>
          </cell>
          <cell r="P1048">
            <v>108123355760</v>
          </cell>
          <cell r="Q1048">
            <v>46118</v>
          </cell>
          <cell r="R1048" t="str">
            <v>No inspection</v>
          </cell>
          <cell r="S1048">
            <v>908.55</v>
          </cell>
          <cell r="T1048" t="str">
            <v>EXW</v>
          </cell>
          <cell r="U1048" t="str">
            <v>PUR</v>
          </cell>
        </row>
        <row r="1049">
          <cell r="D1049">
            <v>14.4</v>
          </cell>
          <cell r="F1049">
            <v>870237846277</v>
          </cell>
          <cell r="G1049" t="str">
            <v>SUNLORD ELECTRONICS TECHNOLOGY PTE</v>
          </cell>
          <cell r="H1049" t="str">
            <v>Delivered</v>
          </cell>
          <cell r="I1049" t="str">
            <v>CAP , RES , IC V, DIOD</v>
          </cell>
          <cell r="J1049" t="str">
            <v>Fedex</v>
          </cell>
          <cell r="K1049" t="str">
            <v>VVMV</v>
          </cell>
          <cell r="L1049" t="str">
            <v>HK</v>
          </cell>
          <cell r="M1049">
            <v>46114</v>
          </cell>
          <cell r="N1049">
            <v>46119</v>
          </cell>
          <cell r="O1049">
            <v>46120</v>
          </cell>
          <cell r="P1049">
            <v>108123914950</v>
          </cell>
          <cell r="Q1049">
            <v>46118</v>
          </cell>
          <cell r="R1049" t="str">
            <v>No inspection</v>
          </cell>
          <cell r="S1049">
            <v>1876.4</v>
          </cell>
          <cell r="T1049" t="str">
            <v>EXW</v>
          </cell>
          <cell r="U1049" t="str">
            <v>PUR</v>
          </cell>
        </row>
        <row r="1050">
          <cell r="D1050">
            <v>0.5</v>
          </cell>
          <cell r="F1050">
            <v>493602826992</v>
          </cell>
          <cell r="G1050" t="str">
            <v>VENKEL LTD</v>
          </cell>
          <cell r="H1050" t="str">
            <v>Delivered</v>
          </cell>
          <cell r="I1050" t="str">
            <v xml:space="preserve">CAP </v>
          </cell>
          <cell r="J1050" t="str">
            <v>Fedex</v>
          </cell>
          <cell r="K1050" t="str">
            <v>VVMV</v>
          </cell>
          <cell r="L1050" t="str">
            <v>US</v>
          </cell>
          <cell r="M1050">
            <v>46111</v>
          </cell>
          <cell r="N1050">
            <v>46119</v>
          </cell>
          <cell r="O1050">
            <v>46120</v>
          </cell>
          <cell r="P1050">
            <v>108124121600</v>
          </cell>
          <cell r="Q1050">
            <v>46118</v>
          </cell>
          <cell r="R1050" t="str">
            <v>No inspection</v>
          </cell>
          <cell r="S1050">
            <v>12.12</v>
          </cell>
          <cell r="T1050" t="str">
            <v>CIF</v>
          </cell>
          <cell r="U1050" t="str">
            <v>EF-</v>
          </cell>
        </row>
        <row r="1051">
          <cell r="D1051">
            <v>7.2</v>
          </cell>
          <cell r="F1051">
            <v>518717992830</v>
          </cell>
          <cell r="G1051" t="str">
            <v>ARROW ELECTRONICS, INC.</v>
          </cell>
          <cell r="H1051" t="str">
            <v>Delivered</v>
          </cell>
          <cell r="I1051" t="str">
            <v xml:space="preserve">IC L, CAP </v>
          </cell>
          <cell r="J1051" t="str">
            <v>Fedex</v>
          </cell>
          <cell r="K1051" t="str">
            <v>VVMV</v>
          </cell>
          <cell r="L1051" t="str">
            <v>US</v>
          </cell>
          <cell r="M1051">
            <v>46112</v>
          </cell>
          <cell r="N1051">
            <v>46119</v>
          </cell>
          <cell r="O1051">
            <v>46119</v>
          </cell>
          <cell r="P1051">
            <v>108123426350</v>
          </cell>
          <cell r="Q1051">
            <v>46118</v>
          </cell>
          <cell r="R1051" t="str">
            <v>No inspection</v>
          </cell>
          <cell r="S1051">
            <v>3516</v>
          </cell>
          <cell r="T1051" t="str">
            <v>CIF</v>
          </cell>
          <cell r="U1051" t="str">
            <v>PUR</v>
          </cell>
        </row>
        <row r="1052">
          <cell r="D1052">
            <v>4.2</v>
          </cell>
          <cell r="F1052">
            <v>500292557301</v>
          </cell>
          <cell r="G1052" t="str">
            <v>ARROW COMPONENTS MEXICO SA De CV</v>
          </cell>
          <cell r="H1052" t="str">
            <v>Delivered</v>
          </cell>
          <cell r="I1052" t="str">
            <v>IC S</v>
          </cell>
          <cell r="J1052" t="str">
            <v>Fedex</v>
          </cell>
          <cell r="K1052" t="str">
            <v>VVMV</v>
          </cell>
          <cell r="L1052" t="str">
            <v>MX</v>
          </cell>
          <cell r="M1052">
            <v>46111</v>
          </cell>
          <cell r="N1052">
            <v>46119</v>
          </cell>
          <cell r="O1052">
            <v>46120</v>
          </cell>
          <cell r="P1052">
            <v>108124033140</v>
          </cell>
          <cell r="Q1052">
            <v>46118</v>
          </cell>
          <cell r="R1052" t="str">
            <v>No inspection</v>
          </cell>
          <cell r="S1052">
            <v>26520</v>
          </cell>
          <cell r="T1052" t="str">
            <v>CIF</v>
          </cell>
          <cell r="U1052" t="str">
            <v>LUC</v>
          </cell>
        </row>
        <row r="1053">
          <cell r="D1053">
            <v>95.9</v>
          </cell>
          <cell r="F1053">
            <v>870284409829</v>
          </cell>
          <cell r="G1053" t="str">
            <v>BOSSARD (M) SDN BHD</v>
          </cell>
          <cell r="H1053" t="str">
            <v>Delivered</v>
          </cell>
          <cell r="I1053" t="str">
            <v xml:space="preserve">SCRE, REV </v>
          </cell>
          <cell r="J1053" t="str">
            <v>Fedex</v>
          </cell>
          <cell r="K1053" t="str">
            <v>VVMV</v>
          </cell>
          <cell r="L1053" t="str">
            <v>MY</v>
          </cell>
          <cell r="M1053">
            <v>46115</v>
          </cell>
          <cell r="N1053">
            <v>46119</v>
          </cell>
          <cell r="O1053">
            <v>46119</v>
          </cell>
          <cell r="P1053">
            <v>108123641030</v>
          </cell>
          <cell r="Q1053">
            <v>46118</v>
          </cell>
          <cell r="R1053" t="str">
            <v>No inspection</v>
          </cell>
          <cell r="S1053">
            <v>15600</v>
          </cell>
          <cell r="T1053" t="str">
            <v>EXW</v>
          </cell>
          <cell r="U1053" t="str">
            <v>LUC</v>
          </cell>
        </row>
        <row r="1054">
          <cell r="D1054">
            <v>0.5</v>
          </cell>
          <cell r="F1054">
            <v>870241789475</v>
          </cell>
          <cell r="G1054" t="str">
            <v>KINJI ELECTRONICS LTD</v>
          </cell>
          <cell r="H1054" t="str">
            <v>Delivered</v>
          </cell>
          <cell r="I1054" t="str">
            <v>IC S</v>
          </cell>
          <cell r="J1054" t="str">
            <v>Fedex</v>
          </cell>
          <cell r="K1054" t="str">
            <v>VVMV</v>
          </cell>
          <cell r="L1054" t="str">
            <v>HK</v>
          </cell>
          <cell r="M1054">
            <v>46114</v>
          </cell>
          <cell r="N1054">
            <v>46119</v>
          </cell>
          <cell r="O1054">
            <v>46119</v>
          </cell>
          <cell r="P1054">
            <v>108123498710</v>
          </cell>
          <cell r="Q1054">
            <v>46118</v>
          </cell>
          <cell r="R1054" t="str">
            <v>No inspection</v>
          </cell>
          <cell r="S1054">
            <v>902.16</v>
          </cell>
          <cell r="T1054" t="str">
            <v>CIF</v>
          </cell>
          <cell r="U1054">
            <v>169</v>
          </cell>
        </row>
        <row r="1055">
          <cell r="D1055">
            <v>1.3</v>
          </cell>
          <cell r="F1055">
            <v>380030072085</v>
          </cell>
          <cell r="G1055" t="str">
            <v>C/O KINTETSU WORLD EXPRESS
TEXAS INSTRUMENTS ASIA LIMITED</v>
          </cell>
          <cell r="H1055" t="str">
            <v>Delivered</v>
          </cell>
          <cell r="I1055" t="str">
            <v>IC V</v>
          </cell>
          <cell r="J1055" t="str">
            <v>Fedex</v>
          </cell>
          <cell r="K1055" t="str">
            <v>VVMV</v>
          </cell>
          <cell r="L1055" t="str">
            <v>CN</v>
          </cell>
          <cell r="M1055">
            <v>46109</v>
          </cell>
          <cell r="N1055">
            <v>46119</v>
          </cell>
          <cell r="O1055">
            <v>46119</v>
          </cell>
          <cell r="P1055">
            <v>108124141310</v>
          </cell>
          <cell r="Q1055">
            <v>46118</v>
          </cell>
          <cell r="R1055" t="str">
            <v>No inspection</v>
          </cell>
          <cell r="S1055">
            <v>1500</v>
          </cell>
          <cell r="T1055" t="str">
            <v>EXW</v>
          </cell>
          <cell r="U1055" t="str">
            <v>PUR</v>
          </cell>
        </row>
        <row r="1056">
          <cell r="D1056">
            <v>56.7</v>
          </cell>
          <cell r="F1056">
            <v>518337558695</v>
          </cell>
          <cell r="G1056" t="str">
            <v>MICROCHIP TECHNOLOGY OPS PHIL CORP</v>
          </cell>
          <cell r="H1056" t="str">
            <v>Delivered</v>
          </cell>
          <cell r="I1056" t="str">
            <v>IC M</v>
          </cell>
          <cell r="J1056" t="str">
            <v>Fedex</v>
          </cell>
          <cell r="K1056" t="str">
            <v>VVMV</v>
          </cell>
          <cell r="L1056" t="str">
            <v>PH</v>
          </cell>
          <cell r="M1056">
            <v>46113</v>
          </cell>
          <cell r="N1056">
            <v>46119</v>
          </cell>
          <cell r="O1056">
            <v>46120</v>
          </cell>
          <cell r="P1056">
            <v>108124172220</v>
          </cell>
          <cell r="Q1056">
            <v>46118</v>
          </cell>
          <cell r="R1056" t="str">
            <v>No inspection</v>
          </cell>
          <cell r="S1056">
            <v>599417.59999999998</v>
          </cell>
          <cell r="T1056" t="str">
            <v>EXW</v>
          </cell>
          <cell r="U1056" t="str">
            <v>PUR</v>
          </cell>
        </row>
        <row r="1057">
          <cell r="D1057">
            <v>2.6</v>
          </cell>
          <cell r="F1057">
            <v>380138105360</v>
          </cell>
          <cell r="G1057" t="str">
            <v>TEXAS INSTRUMENTS ASIA LIMITED
C/O KWE LOGISTICS (SHENZHEN)</v>
          </cell>
          <cell r="H1057" t="str">
            <v>Delivered</v>
          </cell>
          <cell r="I1057" t="str">
            <v>IC T, IC L, IC D, IC I</v>
          </cell>
          <cell r="J1057" t="str">
            <v>Fedex</v>
          </cell>
          <cell r="K1057" t="str">
            <v>VVMV</v>
          </cell>
          <cell r="L1057" t="str">
            <v>CN</v>
          </cell>
          <cell r="M1057">
            <v>46113</v>
          </cell>
          <cell r="N1057">
            <v>46119</v>
          </cell>
          <cell r="O1057">
            <v>46119</v>
          </cell>
          <cell r="P1057">
            <v>108123568010</v>
          </cell>
          <cell r="Q1057">
            <v>46118</v>
          </cell>
          <cell r="R1057" t="str">
            <v>No inspection</v>
          </cell>
          <cell r="S1057">
            <v>13178.4</v>
          </cell>
          <cell r="T1057" t="str">
            <v>CIF</v>
          </cell>
          <cell r="U1057" t="str">
            <v>EF-</v>
          </cell>
        </row>
        <row r="1058">
          <cell r="D1058">
            <v>17.2</v>
          </cell>
          <cell r="F1058">
            <v>380166564100</v>
          </cell>
          <cell r="G1058" t="str">
            <v>c/o DHL Supply Chain SGP P/L
Texas Instruments Southeast Asia Pt</v>
          </cell>
          <cell r="H1058" t="str">
            <v>Delivered</v>
          </cell>
          <cell r="I1058" t="str">
            <v xml:space="preserve">IC  </v>
          </cell>
          <cell r="J1058" t="str">
            <v>Fedex</v>
          </cell>
          <cell r="K1058" t="str">
            <v>VVMV</v>
          </cell>
          <cell r="L1058" t="str">
            <v>SG</v>
          </cell>
          <cell r="M1058">
            <v>46114</v>
          </cell>
          <cell r="N1058">
            <v>46119</v>
          </cell>
          <cell r="O1058">
            <v>46120</v>
          </cell>
          <cell r="P1058">
            <v>108124255300</v>
          </cell>
          <cell r="Q1058">
            <v>46118</v>
          </cell>
          <cell r="R1058" t="str">
            <v>No inspection</v>
          </cell>
          <cell r="S1058">
            <v>5400</v>
          </cell>
          <cell r="T1058" t="str">
            <v>EXW</v>
          </cell>
          <cell r="U1058" t="str">
            <v>LUC</v>
          </cell>
        </row>
        <row r="1059">
          <cell r="D1059">
            <v>1.4</v>
          </cell>
          <cell r="F1059">
            <v>518908377044</v>
          </cell>
          <cell r="G1059" t="str">
            <v>MICRON SEMICONDUCTOR XIAN CO, LTD</v>
          </cell>
          <cell r="H1059" t="str">
            <v>Delivered</v>
          </cell>
          <cell r="I1059" t="str">
            <v xml:space="preserve">MEM </v>
          </cell>
          <cell r="J1059" t="str">
            <v>Fedex</v>
          </cell>
          <cell r="K1059" t="str">
            <v>VVMV</v>
          </cell>
          <cell r="L1059" t="str">
            <v>CN</v>
          </cell>
          <cell r="M1059">
            <v>46115</v>
          </cell>
          <cell r="N1059">
            <v>46119</v>
          </cell>
          <cell r="O1059">
            <v>46119</v>
          </cell>
          <cell r="P1059">
            <v>108124355400</v>
          </cell>
          <cell r="Q1059">
            <v>46118</v>
          </cell>
          <cell r="R1059" t="str">
            <v>No inspection</v>
          </cell>
          <cell r="S1059">
            <v>10065</v>
          </cell>
          <cell r="T1059" t="str">
            <v>EXW</v>
          </cell>
          <cell r="U1059" t="str">
            <v>PUR</v>
          </cell>
        </row>
        <row r="1060">
          <cell r="D1060">
            <v>4</v>
          </cell>
          <cell r="F1060">
            <v>870240935246</v>
          </cell>
          <cell r="G1060" t="str">
            <v>SUNLORD ELECTRONICS TECHNOLOGY PTE</v>
          </cell>
          <cell r="H1060" t="str">
            <v>Delivered</v>
          </cell>
          <cell r="I1060" t="str">
            <v xml:space="preserve">IND , RES </v>
          </cell>
          <cell r="J1060" t="str">
            <v>Fedex</v>
          </cell>
          <cell r="K1060" t="str">
            <v>VVMV</v>
          </cell>
          <cell r="L1060" t="str">
            <v>SG</v>
          </cell>
          <cell r="M1060">
            <v>46114</v>
          </cell>
          <cell r="N1060">
            <v>46120</v>
          </cell>
          <cell r="O1060">
            <v>46120</v>
          </cell>
          <cell r="P1060">
            <v>108126469400</v>
          </cell>
          <cell r="Q1060">
            <v>46119</v>
          </cell>
          <cell r="R1060" t="str">
            <v>No inspection</v>
          </cell>
          <cell r="S1060">
            <v>1042.2</v>
          </cell>
          <cell r="T1060" t="str">
            <v>EXW</v>
          </cell>
          <cell r="U1060" t="str">
            <v>PUR</v>
          </cell>
        </row>
        <row r="1061">
          <cell r="D1061">
            <v>48.5</v>
          </cell>
          <cell r="F1061">
            <v>870258996890</v>
          </cell>
          <cell r="G1061" t="str">
            <v>WURTH ELECTRONICS MIDCOM</v>
          </cell>
          <cell r="H1061" t="str">
            <v>Delivered</v>
          </cell>
          <cell r="I1061" t="str">
            <v>CONN</v>
          </cell>
          <cell r="J1061" t="str">
            <v>Fedex</v>
          </cell>
          <cell r="K1061" t="str">
            <v>VVMV</v>
          </cell>
          <cell r="L1061" t="str">
            <v>US</v>
          </cell>
          <cell r="M1061">
            <v>46114</v>
          </cell>
          <cell r="N1061">
            <v>46121</v>
          </cell>
          <cell r="O1061">
            <v>46121</v>
          </cell>
          <cell r="P1061">
            <v>108129641100</v>
          </cell>
          <cell r="Q1061">
            <v>46120</v>
          </cell>
          <cell r="R1061" t="str">
            <v>No inspection</v>
          </cell>
          <cell r="S1061">
            <v>6084</v>
          </cell>
          <cell r="T1061" t="str">
            <v>CIF</v>
          </cell>
          <cell r="U1061" t="str">
            <v>LUC</v>
          </cell>
        </row>
        <row r="1062">
          <cell r="D1062">
            <v>171</v>
          </cell>
          <cell r="F1062" t="str">
            <v>HWHPH2601367</v>
          </cell>
          <cell r="G1062" t="str">
            <v>SEA LINK DIE CASTING KUNSHAN CO.,LTD</v>
          </cell>
          <cell r="H1062" t="str">
            <v>Delivered</v>
          </cell>
          <cell r="I1062" t="str">
            <v>HL H</v>
          </cell>
          <cell r="J1062" t="str">
            <v>VVMV(sea)</v>
          </cell>
          <cell r="K1062" t="str">
            <v>VVMV</v>
          </cell>
          <cell r="L1062" t="str">
            <v>CN</v>
          </cell>
          <cell r="M1062">
            <v>46109</v>
          </cell>
          <cell r="N1062">
            <v>46122</v>
          </cell>
          <cell r="O1062">
            <v>46122</v>
          </cell>
          <cell r="P1062">
            <v>108132156160</v>
          </cell>
          <cell r="Q1062">
            <v>46120</v>
          </cell>
          <cell r="R1062" t="str">
            <v>No inspection</v>
          </cell>
          <cell r="S1062" t="str">
            <v>4.039,2</v>
          </cell>
          <cell r="T1062" t="str">
            <v>EXW</v>
          </cell>
          <cell r="U1062" t="str">
            <v>LUC</v>
          </cell>
        </row>
        <row r="1063">
          <cell r="D1063">
            <v>125.7</v>
          </cell>
          <cell r="F1063">
            <v>5973851354</v>
          </cell>
          <cell r="G1063" t="str">
            <v>FUTURE ELECTRONICS INC (DIST) PTE LTD</v>
          </cell>
          <cell r="H1063" t="str">
            <v>Delivered</v>
          </cell>
          <cell r="I1063" t="str">
            <v xml:space="preserve">RES , CAP , IND </v>
          </cell>
          <cell r="J1063" t="str">
            <v>DHL</v>
          </cell>
          <cell r="K1063" t="str">
            <v>VVMV</v>
          </cell>
          <cell r="L1063" t="str">
            <v>SG</v>
          </cell>
          <cell r="M1063">
            <v>46117</v>
          </cell>
          <cell r="N1063">
            <v>46120</v>
          </cell>
          <cell r="O1063">
            <v>46120</v>
          </cell>
          <cell r="P1063">
            <v>108127684230</v>
          </cell>
          <cell r="Q1063">
            <v>46119</v>
          </cell>
          <cell r="R1063" t="str">
            <v>No inspection</v>
          </cell>
          <cell r="S1063">
            <v>26538.560000000001</v>
          </cell>
          <cell r="T1063" t="str">
            <v>CIF</v>
          </cell>
          <cell r="U1063" t="str">
            <v>PUR</v>
          </cell>
        </row>
        <row r="1064">
          <cell r="D1064">
            <v>0.5</v>
          </cell>
          <cell r="F1064">
            <v>520413794146</v>
          </cell>
          <cell r="G1064" t="str">
            <v>ARROW ELECTRONICS, INC.</v>
          </cell>
          <cell r="H1064" t="str">
            <v>Delivered</v>
          </cell>
          <cell r="I1064" t="str">
            <v>FERR</v>
          </cell>
          <cell r="J1064" t="str">
            <v>Fedex</v>
          </cell>
          <cell r="K1064" t="str">
            <v>VVMV</v>
          </cell>
          <cell r="L1064" t="str">
            <v>US</v>
          </cell>
          <cell r="M1064">
            <v>46114</v>
          </cell>
          <cell r="N1064">
            <v>46120</v>
          </cell>
          <cell r="O1064">
            <v>46121</v>
          </cell>
          <cell r="P1064">
            <v>108127806730</v>
          </cell>
          <cell r="Q1064">
            <v>46119</v>
          </cell>
          <cell r="R1064" t="str">
            <v>No inspection</v>
          </cell>
          <cell r="S1064">
            <v>71.2</v>
          </cell>
          <cell r="T1064" t="str">
            <v>CIF</v>
          </cell>
          <cell r="U1064" t="str">
            <v>LUC</v>
          </cell>
        </row>
        <row r="1065">
          <cell r="D1065">
            <v>1</v>
          </cell>
          <cell r="F1065">
            <v>380125791999</v>
          </cell>
          <cell r="G1065" t="str">
            <v>c/o DHL Supply Chain SGP P/L
Texas Instruments Southeast Asia Pt</v>
          </cell>
          <cell r="H1065" t="str">
            <v>Delivered</v>
          </cell>
          <cell r="I1065" t="str">
            <v>IC S</v>
          </cell>
          <cell r="J1065" t="str">
            <v>Fedex</v>
          </cell>
          <cell r="K1065" t="str">
            <v>VVMV</v>
          </cell>
          <cell r="L1065" t="str">
            <v>SG</v>
          </cell>
          <cell r="M1065">
            <v>46113</v>
          </cell>
          <cell r="N1065">
            <v>46120</v>
          </cell>
          <cell r="O1065">
            <v>46121</v>
          </cell>
          <cell r="P1065">
            <v>108127820950</v>
          </cell>
          <cell r="Q1065">
            <v>46119</v>
          </cell>
          <cell r="R1065" t="str">
            <v>No inspection</v>
          </cell>
          <cell r="S1065">
            <v>270</v>
          </cell>
          <cell r="T1065" t="str">
            <v>EXW</v>
          </cell>
          <cell r="U1065" t="str">
            <v>PUR</v>
          </cell>
        </row>
        <row r="1066">
          <cell r="D1066">
            <v>16</v>
          </cell>
          <cell r="F1066">
            <v>119209705873</v>
          </cell>
          <cell r="G1066" t="str">
            <v>FUTURE ELECTRONICS FICE</v>
          </cell>
          <cell r="H1066" t="str">
            <v>Delivered</v>
          </cell>
          <cell r="I1066" t="str">
            <v>FUSE</v>
          </cell>
          <cell r="J1066" t="str">
            <v>Fedex</v>
          </cell>
          <cell r="K1066" t="str">
            <v>VVMV</v>
          </cell>
          <cell r="L1066" t="str">
            <v>US</v>
          </cell>
          <cell r="M1066">
            <v>46115</v>
          </cell>
          <cell r="N1066">
            <v>46120</v>
          </cell>
          <cell r="O1066">
            <v>46121</v>
          </cell>
          <cell r="P1066">
            <v>108128097450</v>
          </cell>
          <cell r="Q1066">
            <v>46119</v>
          </cell>
          <cell r="R1066" t="str">
            <v>No inspection</v>
          </cell>
          <cell r="S1066">
            <v>4900</v>
          </cell>
          <cell r="T1066" t="str">
            <v>CIF</v>
          </cell>
          <cell r="U1066" t="str">
            <v>LUC</v>
          </cell>
        </row>
        <row r="1067">
          <cell r="D1067">
            <v>0.5</v>
          </cell>
          <cell r="F1067">
            <v>380142266975</v>
          </cell>
          <cell r="G1067" t="str">
            <v>c/o DHL Supply Chain SGP P/L
Texas Instruments Southeast Asia Pt</v>
          </cell>
          <cell r="H1067" t="str">
            <v>Delivered</v>
          </cell>
          <cell r="I1067" t="str">
            <v>IC B</v>
          </cell>
          <cell r="J1067" t="str">
            <v>Fedex</v>
          </cell>
          <cell r="K1067" t="str">
            <v>VVMV</v>
          </cell>
          <cell r="L1067" t="str">
            <v>SG</v>
          </cell>
          <cell r="M1067">
            <v>46113</v>
          </cell>
          <cell r="N1067">
            <v>46120</v>
          </cell>
          <cell r="O1067">
            <v>46121</v>
          </cell>
          <cell r="P1067">
            <v>108127935750</v>
          </cell>
          <cell r="Q1067">
            <v>46119</v>
          </cell>
          <cell r="R1067" t="str">
            <v>No inspection</v>
          </cell>
          <cell r="S1067">
            <v>236</v>
          </cell>
          <cell r="T1067" t="str">
            <v>EXW</v>
          </cell>
          <cell r="U1067" t="str">
            <v>EF-</v>
          </cell>
        </row>
        <row r="1068">
          <cell r="D1068">
            <v>0.5</v>
          </cell>
          <cell r="F1068">
            <v>380201599669</v>
          </cell>
          <cell r="G1068" t="str">
            <v>TEXAS INSTRUMENTS ASIA LIMITED
C/O KWE LOGISTICS (SHENZHEN)</v>
          </cell>
          <cell r="H1068" t="str">
            <v>Delivered</v>
          </cell>
          <cell r="I1068" t="str">
            <v>IC B, IC V</v>
          </cell>
          <cell r="J1068" t="str">
            <v>Fedex</v>
          </cell>
          <cell r="K1068" t="str">
            <v>VVMV</v>
          </cell>
          <cell r="L1068" t="str">
            <v>CN</v>
          </cell>
          <cell r="M1068">
            <v>46115</v>
          </cell>
          <cell r="N1068">
            <v>46120</v>
          </cell>
          <cell r="O1068">
            <v>46121</v>
          </cell>
          <cell r="P1068">
            <v>108127884100</v>
          </cell>
          <cell r="Q1068">
            <v>46119</v>
          </cell>
          <cell r="R1068" t="str">
            <v>No inspection</v>
          </cell>
          <cell r="S1068">
            <v>245.4</v>
          </cell>
          <cell r="T1068" t="str">
            <v>CIF</v>
          </cell>
          <cell r="U1068">
            <v>111</v>
          </cell>
        </row>
        <row r="1069">
          <cell r="D1069">
            <v>36</v>
          </cell>
          <cell r="F1069">
            <v>870242612548</v>
          </cell>
          <cell r="G1069" t="str">
            <v>ESPORE CORP PTE LTD</v>
          </cell>
          <cell r="H1069" t="str">
            <v>Delivered</v>
          </cell>
          <cell r="I1069" t="str">
            <v xml:space="preserve">MEM </v>
          </cell>
          <cell r="J1069" t="str">
            <v>Fedex</v>
          </cell>
          <cell r="K1069" t="str">
            <v>VVMV</v>
          </cell>
          <cell r="L1069" t="str">
            <v>SG</v>
          </cell>
          <cell r="M1069">
            <v>46114</v>
          </cell>
          <cell r="N1069">
            <v>46126</v>
          </cell>
          <cell r="O1069">
            <v>46126</v>
          </cell>
          <cell r="P1069">
            <v>108142735630</v>
          </cell>
          <cell r="Q1069">
            <v>46125</v>
          </cell>
          <cell r="R1069" t="str">
            <v>No inspection</v>
          </cell>
          <cell r="S1069">
            <v>90182.399999999994</v>
          </cell>
          <cell r="T1069" t="str">
            <v>CPT</v>
          </cell>
          <cell r="U1069" t="str">
            <v>PUR</v>
          </cell>
        </row>
        <row r="1070">
          <cell r="D1070">
            <v>1</v>
          </cell>
          <cell r="F1070">
            <v>519884049453</v>
          </cell>
          <cell r="G1070" t="str">
            <v>MOUSER ELECTRONICS INC</v>
          </cell>
          <cell r="H1070" t="str">
            <v>Delivered</v>
          </cell>
          <cell r="I1070" t="str">
            <v>DIOD, LED , IC P, IC V</v>
          </cell>
          <cell r="J1070" t="str">
            <v>Fedex</v>
          </cell>
          <cell r="K1070" t="str">
            <v>VVMV</v>
          </cell>
          <cell r="L1070" t="str">
            <v>US</v>
          </cell>
          <cell r="M1070">
            <v>46114</v>
          </cell>
          <cell r="N1070">
            <v>46120</v>
          </cell>
          <cell r="O1070">
            <v>46121</v>
          </cell>
          <cell r="P1070">
            <v>108128202600</v>
          </cell>
          <cell r="Q1070">
            <v>46119</v>
          </cell>
          <cell r="R1070" t="str">
            <v>No inspection</v>
          </cell>
          <cell r="S1070">
            <v>1053.9000000000001</v>
          </cell>
          <cell r="T1070" t="str">
            <v>CIF</v>
          </cell>
          <cell r="U1070">
            <v>124</v>
          </cell>
        </row>
        <row r="1071">
          <cell r="D1071">
            <v>1</v>
          </cell>
          <cell r="F1071">
            <v>870334762723</v>
          </cell>
          <cell r="G1071" t="str">
            <v>Brady Technology Sdn.Bhd</v>
          </cell>
          <cell r="H1071" t="str">
            <v>Delivered</v>
          </cell>
          <cell r="I1071" t="str">
            <v>LUCI</v>
          </cell>
          <cell r="J1071" t="str">
            <v>Fedex</v>
          </cell>
          <cell r="K1071" t="str">
            <v>VVMV</v>
          </cell>
          <cell r="L1071" t="str">
            <v>MY</v>
          </cell>
          <cell r="M1071">
            <v>46118</v>
          </cell>
          <cell r="N1071">
            <v>46121</v>
          </cell>
          <cell r="O1071">
            <v>46121</v>
          </cell>
          <cell r="P1071">
            <v>108131696150</v>
          </cell>
          <cell r="Q1071">
            <v>46120</v>
          </cell>
          <cell r="R1071" t="str">
            <v>No inspection</v>
          </cell>
          <cell r="S1071">
            <v>313</v>
          </cell>
          <cell r="T1071" t="str">
            <v>EXW</v>
          </cell>
          <cell r="U1071" t="str">
            <v>LUC</v>
          </cell>
        </row>
        <row r="1072">
          <cell r="D1072">
            <v>5.9</v>
          </cell>
          <cell r="F1072">
            <v>479272029720</v>
          </cell>
          <cell r="G1072" t="str">
            <v>ARROW ELECTRONICS INC
C/O ARROW COMPONENTS (M) SDN BHD</v>
          </cell>
          <cell r="H1072" t="str">
            <v>Delivered</v>
          </cell>
          <cell r="I1072" t="str">
            <v xml:space="preserve">RES </v>
          </cell>
          <cell r="J1072" t="str">
            <v>Fedex</v>
          </cell>
          <cell r="K1072" t="str">
            <v>VVMV</v>
          </cell>
          <cell r="L1072" t="str">
            <v>MY</v>
          </cell>
          <cell r="M1072">
            <v>46116</v>
          </cell>
          <cell r="N1072">
            <v>46121</v>
          </cell>
          <cell r="O1072">
            <v>46121</v>
          </cell>
          <cell r="P1072">
            <v>108131832320</v>
          </cell>
          <cell r="Q1072">
            <v>46120</v>
          </cell>
          <cell r="R1072" t="str">
            <v>No inspection</v>
          </cell>
          <cell r="S1072">
            <v>2775</v>
          </cell>
          <cell r="T1072" t="str">
            <v>CIF</v>
          </cell>
          <cell r="U1072" t="str">
            <v>LUC</v>
          </cell>
        </row>
        <row r="1073">
          <cell r="D1073">
            <v>65.2</v>
          </cell>
          <cell r="F1073">
            <v>510007333525</v>
          </cell>
          <cell r="G1073" t="str">
            <v>SINO FAITH TECHNOLOGY  DVPT LTD</v>
          </cell>
          <cell r="H1073" t="str">
            <v>Delivered</v>
          </cell>
          <cell r="I1073" t="str">
            <v xml:space="preserve">IND , RES , CAP </v>
          </cell>
          <cell r="J1073" t="str">
            <v>Fedex</v>
          </cell>
          <cell r="K1073" t="str">
            <v>VVMV</v>
          </cell>
          <cell r="L1073" t="str">
            <v>HK</v>
          </cell>
          <cell r="M1073">
            <v>46119</v>
          </cell>
          <cell r="N1073">
            <v>46121</v>
          </cell>
          <cell r="O1073">
            <v>46122</v>
          </cell>
          <cell r="P1073">
            <v>108131233930</v>
          </cell>
          <cell r="Q1073">
            <v>46120</v>
          </cell>
          <cell r="R1073" t="str">
            <v>No inspection</v>
          </cell>
          <cell r="S1073">
            <v>6106.7</v>
          </cell>
          <cell r="T1073" t="str">
            <v>EXW</v>
          </cell>
          <cell r="U1073" t="str">
            <v>PUR</v>
          </cell>
        </row>
        <row r="1074">
          <cell r="D1074">
            <v>16.600000000000001</v>
          </cell>
          <cell r="F1074">
            <v>5973860826</v>
          </cell>
          <cell r="G1074" t="str">
            <v>FUTURE ELECTRONICS INC (DIST) PTE LTD</v>
          </cell>
          <cell r="H1074" t="str">
            <v>Delivered</v>
          </cell>
          <cell r="I1074" t="str">
            <v>IC L, 	DIO, TRAN, IC S, IC A, DIOD</v>
          </cell>
          <cell r="J1074" t="str">
            <v>DHL</v>
          </cell>
          <cell r="K1074" t="str">
            <v>VVMV</v>
          </cell>
          <cell r="L1074" t="str">
            <v>SG</v>
          </cell>
          <cell r="M1074">
            <v>46119</v>
          </cell>
          <cell r="N1074">
            <v>46122</v>
          </cell>
          <cell r="O1074">
            <v>46122</v>
          </cell>
          <cell r="P1074">
            <v>108135955760</v>
          </cell>
          <cell r="Q1074">
            <v>46121</v>
          </cell>
          <cell r="R1074" t="str">
            <v>No inspection</v>
          </cell>
          <cell r="S1074">
            <v>12554.78</v>
          </cell>
          <cell r="T1074" t="str">
            <v>CIF</v>
          </cell>
          <cell r="U1074" t="str">
            <v>PUR</v>
          </cell>
        </row>
        <row r="1075">
          <cell r="D1075">
            <v>0.3</v>
          </cell>
          <cell r="F1075">
            <v>5973859371</v>
          </cell>
          <cell r="G1075" t="str">
            <v>FUTURE ELECTRONICS INC (DIST) PTE LTD</v>
          </cell>
          <cell r="H1075" t="str">
            <v>Delivered</v>
          </cell>
          <cell r="I1075" t="str">
            <v xml:space="preserve">LED </v>
          </cell>
          <cell r="J1075" t="str">
            <v>DHL</v>
          </cell>
          <cell r="K1075" t="str">
            <v>VVMV</v>
          </cell>
          <cell r="L1075" t="str">
            <v>SG</v>
          </cell>
          <cell r="M1075">
            <v>46119</v>
          </cell>
          <cell r="N1075">
            <v>46122</v>
          </cell>
          <cell r="O1075">
            <v>46122</v>
          </cell>
          <cell r="P1075">
            <v>108135797450</v>
          </cell>
          <cell r="Q1075">
            <v>46121</v>
          </cell>
          <cell r="R1075" t="str">
            <v>No inspection</v>
          </cell>
          <cell r="S1075">
            <v>67</v>
          </cell>
          <cell r="T1075" t="str">
            <v>CIF</v>
          </cell>
          <cell r="U1075" t="str">
            <v>PUR</v>
          </cell>
        </row>
        <row r="1076">
          <cell r="D1076">
            <v>0.2</v>
          </cell>
          <cell r="F1076">
            <v>513430025814</v>
          </cell>
          <cell r="G1076" t="str">
            <v>COILCRAFT , INC</v>
          </cell>
          <cell r="H1076" t="str">
            <v>Delivered</v>
          </cell>
          <cell r="I1076" t="str">
            <v xml:space="preserve">IND </v>
          </cell>
          <cell r="J1076" t="str">
            <v>Fedex</v>
          </cell>
          <cell r="K1076" t="str">
            <v>VVMV</v>
          </cell>
          <cell r="L1076" t="str">
            <v>US</v>
          </cell>
          <cell r="M1076">
            <v>46118</v>
          </cell>
          <cell r="N1076">
            <v>46126</v>
          </cell>
          <cell r="O1076">
            <v>46126</v>
          </cell>
          <cell r="P1076">
            <v>108143193320</v>
          </cell>
          <cell r="Q1076">
            <v>46125</v>
          </cell>
          <cell r="R1076" t="str">
            <v>No inspection</v>
          </cell>
          <cell r="S1076">
            <v>185</v>
          </cell>
          <cell r="T1076" t="str">
            <v>CIF</v>
          </cell>
          <cell r="U1076">
            <v>123</v>
          </cell>
        </row>
        <row r="1077">
          <cell r="D1077">
            <v>1.2</v>
          </cell>
          <cell r="F1077">
            <v>380233975234</v>
          </cell>
          <cell r="G1077" t="str">
            <v>TEXAS INSTRUMENTS ASIA LIMITED
C/O KWE LOGISTICS (SHENZHEN)</v>
          </cell>
          <cell r="H1077" t="str">
            <v>Delivered</v>
          </cell>
          <cell r="I1077" t="str">
            <v>IC L</v>
          </cell>
          <cell r="J1077" t="str">
            <v>Fedex</v>
          </cell>
          <cell r="K1077" t="str">
            <v>VVMV</v>
          </cell>
          <cell r="L1077" t="str">
            <v>CN</v>
          </cell>
          <cell r="M1077">
            <v>46118</v>
          </cell>
          <cell r="N1077">
            <v>46122</v>
          </cell>
          <cell r="O1077">
            <v>46125</v>
          </cell>
          <cell r="P1077">
            <v>108135908310</v>
          </cell>
          <cell r="Q1077">
            <v>46121</v>
          </cell>
          <cell r="R1077" t="str">
            <v>No inspection</v>
          </cell>
          <cell r="S1077">
            <v>4428</v>
          </cell>
          <cell r="T1077" t="str">
            <v>EXW</v>
          </cell>
          <cell r="U1077" t="str">
            <v>LUC</v>
          </cell>
        </row>
        <row r="1078">
          <cell r="D1078">
            <v>13.5</v>
          </cell>
          <cell r="F1078">
            <v>493641428373</v>
          </cell>
          <cell r="G1078" t="str">
            <v>LITTELFUSE FAR EAST PTE</v>
          </cell>
          <cell r="H1078" t="str">
            <v>Delivered</v>
          </cell>
          <cell r="I1078" t="str">
            <v>DIOD</v>
          </cell>
          <cell r="J1078" t="str">
            <v>Fedex</v>
          </cell>
          <cell r="K1078" t="str">
            <v>VVMV</v>
          </cell>
          <cell r="L1078" t="str">
            <v>HK</v>
          </cell>
          <cell r="M1078">
            <v>46120</v>
          </cell>
          <cell r="N1078">
            <v>46122</v>
          </cell>
          <cell r="O1078">
            <v>46122</v>
          </cell>
          <cell r="P1078">
            <v>108134446340</v>
          </cell>
          <cell r="Q1078">
            <v>46121</v>
          </cell>
          <cell r="R1078" t="str">
            <v>No inspection</v>
          </cell>
          <cell r="S1078">
            <v>7919.4</v>
          </cell>
          <cell r="T1078" t="str">
            <v>EXW</v>
          </cell>
          <cell r="U1078" t="str">
            <v>LUC</v>
          </cell>
        </row>
        <row r="1079">
          <cell r="D1079">
            <v>1.2</v>
          </cell>
          <cell r="F1079">
            <v>520634230763</v>
          </cell>
          <cell r="G1079" t="str">
            <v>DIGI-KEY ELECTRONICS</v>
          </cell>
          <cell r="H1079" t="str">
            <v>Delivered</v>
          </cell>
          <cell r="I1079" t="str">
            <v>CAP , IC T, RES , CRYS</v>
          </cell>
          <cell r="J1079" t="str">
            <v>Fedex</v>
          </cell>
          <cell r="K1079" t="str">
            <v>VVMV</v>
          </cell>
          <cell r="L1079" t="str">
            <v>US</v>
          </cell>
          <cell r="M1079">
            <v>46118</v>
          </cell>
          <cell r="N1079">
            <v>46122</v>
          </cell>
          <cell r="O1079">
            <v>46122</v>
          </cell>
          <cell r="P1079">
            <v>108134679660</v>
          </cell>
          <cell r="Q1079">
            <v>46121</v>
          </cell>
          <cell r="R1079" t="str">
            <v>No inspection</v>
          </cell>
          <cell r="S1079">
            <v>830.49</v>
          </cell>
          <cell r="T1079" t="str">
            <v>CIF</v>
          </cell>
          <cell r="U1079">
            <v>122</v>
          </cell>
        </row>
        <row r="1080">
          <cell r="D1080">
            <v>3310</v>
          </cell>
          <cell r="F1080" t="str">
            <v>QRO0056364</v>
          </cell>
          <cell r="G1080" t="str">
            <v>TXC CORPORATION</v>
          </cell>
          <cell r="H1080" t="str">
            <v>Delivered</v>
          </cell>
          <cell r="I1080" t="str">
            <v>CRYS</v>
          </cell>
          <cell r="J1080" t="str">
            <v>DSV</v>
          </cell>
          <cell r="K1080" t="str">
            <v>VVMV</v>
          </cell>
          <cell r="L1080" t="str">
            <v>HK</v>
          </cell>
          <cell r="M1080">
            <v>46121</v>
          </cell>
          <cell r="N1080">
            <v>46126</v>
          </cell>
          <cell r="O1080">
            <v>46126</v>
          </cell>
          <cell r="P1080">
            <v>108145835820</v>
          </cell>
          <cell r="Q1080">
            <v>46125</v>
          </cell>
          <cell r="R1080" t="str">
            <v>No inspection</v>
          </cell>
          <cell r="S1080">
            <v>154491.4</v>
          </cell>
          <cell r="T1080" t="str">
            <v>DAP</v>
          </cell>
          <cell r="U1080" t="str">
            <v>EF-</v>
          </cell>
        </row>
        <row r="1081">
          <cell r="D1081">
            <v>2.2000000000000002</v>
          </cell>
          <cell r="F1081">
            <v>870425859290</v>
          </cell>
          <cell r="G1081" t="str">
            <v>BRAIN POWER</v>
          </cell>
          <cell r="H1081" t="str">
            <v>Delivered</v>
          </cell>
          <cell r="I1081" t="str">
            <v xml:space="preserve">PCB </v>
          </cell>
          <cell r="J1081" t="str">
            <v>Fedex</v>
          </cell>
          <cell r="K1081" t="str">
            <v>VVMV</v>
          </cell>
          <cell r="L1081" t="str">
            <v>HK</v>
          </cell>
          <cell r="M1081">
            <v>46120</v>
          </cell>
          <cell r="N1081">
            <v>46125</v>
          </cell>
          <cell r="O1081">
            <v>46125</v>
          </cell>
          <cell r="P1081">
            <v>108136909900</v>
          </cell>
          <cell r="Q1081">
            <v>46122</v>
          </cell>
          <cell r="R1081" t="str">
            <v>No inspection</v>
          </cell>
          <cell r="S1081">
            <v>1280.1600000000001</v>
          </cell>
          <cell r="T1081" t="str">
            <v>EXW</v>
          </cell>
          <cell r="U1081">
            <v>141</v>
          </cell>
        </row>
        <row r="1082">
          <cell r="D1082">
            <v>0.1</v>
          </cell>
          <cell r="F1082">
            <v>9185369233</v>
          </cell>
          <cell r="G1082" t="str">
            <v>MONOLITHIC POWER SYSTEM (CHENGDU) CO., LTD</v>
          </cell>
          <cell r="H1082" t="str">
            <v>Delivered</v>
          </cell>
          <cell r="I1082" t="str">
            <v>IC M</v>
          </cell>
          <cell r="J1082" t="str">
            <v>DHL</v>
          </cell>
          <cell r="K1082" t="str">
            <v>VVMV</v>
          </cell>
          <cell r="L1082" t="str">
            <v>CN</v>
          </cell>
          <cell r="M1082">
            <v>46120</v>
          </cell>
          <cell r="N1082">
            <v>46122</v>
          </cell>
          <cell r="O1082">
            <v>46125</v>
          </cell>
          <cell r="P1082">
            <v>108136906250</v>
          </cell>
          <cell r="Q1082">
            <v>46122</v>
          </cell>
          <cell r="R1082" t="str">
            <v>No inspection</v>
          </cell>
          <cell r="S1082">
            <v>18</v>
          </cell>
          <cell r="T1082" t="str">
            <v>CIF</v>
          </cell>
          <cell r="U1082">
            <v>169</v>
          </cell>
        </row>
        <row r="1083">
          <cell r="D1083">
            <v>13.9</v>
          </cell>
          <cell r="F1083">
            <v>8427869483</v>
          </cell>
          <cell r="G1083" t="str">
            <v>TTI INC</v>
          </cell>
          <cell r="H1083" t="str">
            <v>Delivered</v>
          </cell>
          <cell r="I1083" t="str">
            <v xml:space="preserve">CAP </v>
          </cell>
          <cell r="K1083" t="str">
            <v>VVMV</v>
          </cell>
          <cell r="L1083" t="str">
            <v>US</v>
          </cell>
          <cell r="M1083">
            <v>46120</v>
          </cell>
          <cell r="N1083">
            <v>46126</v>
          </cell>
          <cell r="O1083">
            <v>46126</v>
          </cell>
          <cell r="P1083">
            <v>108143387660</v>
          </cell>
          <cell r="Q1083">
            <v>46125</v>
          </cell>
          <cell r="R1083" t="str">
            <v>No inspection</v>
          </cell>
          <cell r="S1083">
            <v>2016.08</v>
          </cell>
          <cell r="T1083" t="str">
            <v>CIF</v>
          </cell>
          <cell r="U1083" t="str">
            <v>LUC</v>
          </cell>
        </row>
        <row r="1084">
          <cell r="D1084">
            <v>118.9</v>
          </cell>
          <cell r="F1084">
            <v>515199055869</v>
          </cell>
          <cell r="G1084" t="str">
            <v>AVNET ASIA PTE LTD</v>
          </cell>
          <cell r="H1084" t="str">
            <v>Delivered</v>
          </cell>
          <cell r="I1084" t="str">
            <v>RES , FERR, CAP , FUSE</v>
          </cell>
          <cell r="J1084" t="str">
            <v>Fedex</v>
          </cell>
          <cell r="K1084" t="str">
            <v>VVMV</v>
          </cell>
          <cell r="L1084" t="str">
            <v>SG</v>
          </cell>
          <cell r="M1084">
            <v>46120</v>
          </cell>
          <cell r="N1084">
            <v>46125</v>
          </cell>
          <cell r="O1084">
            <v>46125</v>
          </cell>
          <cell r="P1084">
            <v>108139416450</v>
          </cell>
          <cell r="Q1084">
            <v>46122</v>
          </cell>
          <cell r="R1084" t="str">
            <v>No inspection</v>
          </cell>
          <cell r="S1084">
            <v>12255.84</v>
          </cell>
          <cell r="T1084" t="str">
            <v>EXW</v>
          </cell>
          <cell r="U1084" t="str">
            <v>LUC</v>
          </cell>
        </row>
        <row r="1085">
          <cell r="D1085">
            <v>30</v>
          </cell>
          <cell r="F1085">
            <v>679865600885</v>
          </cell>
          <cell r="G1085" t="str">
            <v>AVNET TECH HK LTD (1602 - HX64)</v>
          </cell>
          <cell r="H1085" t="str">
            <v>Delivered</v>
          </cell>
          <cell r="I1085" t="str">
            <v>IC A</v>
          </cell>
          <cell r="J1085" t="str">
            <v>Fedex</v>
          </cell>
          <cell r="K1085" t="str">
            <v>VVMV</v>
          </cell>
          <cell r="L1085" t="str">
            <v>HK</v>
          </cell>
          <cell r="M1085">
            <v>46120</v>
          </cell>
          <cell r="N1085">
            <v>46127</v>
          </cell>
          <cell r="O1085">
            <v>46127</v>
          </cell>
          <cell r="P1085">
            <v>108147095560</v>
          </cell>
          <cell r="Q1085">
            <v>46126</v>
          </cell>
          <cell r="R1085" t="str">
            <v>No inspection</v>
          </cell>
          <cell r="S1085">
            <v>106920</v>
          </cell>
          <cell r="T1085" t="str">
            <v>EXW</v>
          </cell>
          <cell r="U1085" t="str">
            <v>LUC</v>
          </cell>
        </row>
        <row r="1086">
          <cell r="D1086">
            <v>27.2</v>
          </cell>
          <cell r="F1086">
            <v>479272031112</v>
          </cell>
          <cell r="G1086" t="str">
            <v>ARROW ELECTRONICS INC
C/O ARROW COMPONENTS (M) SDN BHD</v>
          </cell>
          <cell r="H1086" t="str">
            <v>Delivered</v>
          </cell>
          <cell r="I1086" t="str">
            <v xml:space="preserve">CAP </v>
          </cell>
          <cell r="J1086" t="str">
            <v>Fedex</v>
          </cell>
          <cell r="K1086" t="str">
            <v>VVMV</v>
          </cell>
          <cell r="L1086" t="str">
            <v>MY</v>
          </cell>
          <cell r="M1086">
            <v>46120</v>
          </cell>
          <cell r="N1086">
            <v>46125</v>
          </cell>
          <cell r="O1086">
            <v>46125</v>
          </cell>
          <cell r="P1086">
            <v>108139606260</v>
          </cell>
          <cell r="Q1086">
            <v>46122</v>
          </cell>
          <cell r="R1086" t="str">
            <v>No inspection</v>
          </cell>
          <cell r="S1086">
            <v>38630.800000000003</v>
          </cell>
          <cell r="T1086" t="str">
            <v>CIF</v>
          </cell>
          <cell r="U1086" t="str">
            <v>HLO</v>
          </cell>
        </row>
        <row r="1087">
          <cell r="D1087">
            <v>32.4</v>
          </cell>
          <cell r="F1087">
            <v>471797726483</v>
          </cell>
          <cell r="G1087" t="str">
            <v>LIPERS ENTERPRISE CO., LTD.</v>
          </cell>
          <cell r="H1087" t="str">
            <v>Delivered</v>
          </cell>
          <cell r="I1087" t="str">
            <v xml:space="preserve">CAP </v>
          </cell>
          <cell r="J1087" t="str">
            <v>Fedex</v>
          </cell>
          <cell r="K1087" t="str">
            <v>VVMV</v>
          </cell>
          <cell r="L1087" t="str">
            <v>TW</v>
          </cell>
          <cell r="M1087">
            <v>46119</v>
          </cell>
          <cell r="N1087">
            <v>46125</v>
          </cell>
          <cell r="O1087">
            <v>46125</v>
          </cell>
          <cell r="P1087">
            <v>108139678730</v>
          </cell>
          <cell r="Q1087">
            <v>46122</v>
          </cell>
          <cell r="R1087" t="str">
            <v>No inspection</v>
          </cell>
          <cell r="S1087">
            <v>2446.1</v>
          </cell>
          <cell r="T1087" t="str">
            <v>EXW</v>
          </cell>
          <cell r="U1087" t="str">
            <v>PUR</v>
          </cell>
        </row>
        <row r="1088">
          <cell r="D1088">
            <v>4.0999999999999996</v>
          </cell>
          <cell r="F1088">
            <v>380279569711</v>
          </cell>
          <cell r="G1088" t="str">
            <v>c/o DHL Supply Chain SGP P/L
Texas Instruments Southeast Asia Pt</v>
          </cell>
          <cell r="H1088" t="str">
            <v>Delivered</v>
          </cell>
          <cell r="I1088" t="str">
            <v>IC V</v>
          </cell>
          <cell r="J1088" t="str">
            <v>Fedex</v>
          </cell>
          <cell r="K1088" t="str">
            <v>VVMV</v>
          </cell>
          <cell r="L1088" t="str">
            <v>SG</v>
          </cell>
          <cell r="M1088">
            <v>46119</v>
          </cell>
          <cell r="N1088">
            <v>46125</v>
          </cell>
          <cell r="O1088">
            <v>46125</v>
          </cell>
          <cell r="P1088">
            <v>108139420800</v>
          </cell>
          <cell r="Q1088">
            <v>46122</v>
          </cell>
          <cell r="R1088" t="str">
            <v>No inspection</v>
          </cell>
          <cell r="S1088">
            <v>6750</v>
          </cell>
          <cell r="T1088" t="str">
            <v>EXW</v>
          </cell>
          <cell r="U1088" t="str">
            <v>PUR</v>
          </cell>
        </row>
        <row r="1089">
          <cell r="D1089">
            <v>15.5</v>
          </cell>
          <cell r="F1089">
            <v>518908451735</v>
          </cell>
          <cell r="G1089" t="str">
            <v>Micron Memory Malaysia Sdn. Bh</v>
          </cell>
          <cell r="H1089" t="str">
            <v>Delivered</v>
          </cell>
          <cell r="I1089" t="str">
            <v xml:space="preserve">MEM </v>
          </cell>
          <cell r="J1089" t="str">
            <v>Fedex</v>
          </cell>
          <cell r="K1089" t="str">
            <v>VVMV</v>
          </cell>
          <cell r="L1089" t="str">
            <v>MY</v>
          </cell>
          <cell r="M1089">
            <v>46121</v>
          </cell>
          <cell r="N1089">
            <v>46125</v>
          </cell>
          <cell r="O1089">
            <v>46125</v>
          </cell>
          <cell r="P1089">
            <v>108140158230</v>
          </cell>
          <cell r="Q1089">
            <v>46122</v>
          </cell>
          <cell r="R1089" t="str">
            <v>No inspection</v>
          </cell>
          <cell r="S1089">
            <v>821804.04</v>
          </cell>
          <cell r="T1089" t="str">
            <v>CIF</v>
          </cell>
          <cell r="U1089" t="str">
            <v>PUR</v>
          </cell>
        </row>
        <row r="1090">
          <cell r="D1090">
            <v>74.5</v>
          </cell>
          <cell r="F1090">
            <v>484361661333</v>
          </cell>
          <cell r="G1090" t="str">
            <v>COILCRAFT SINGAPORE PTE LTD</v>
          </cell>
          <cell r="H1090" t="str">
            <v>Delivered</v>
          </cell>
          <cell r="I1090" t="str">
            <v xml:space="preserve">IND </v>
          </cell>
          <cell r="J1090" t="str">
            <v>Fedex</v>
          </cell>
          <cell r="K1090" t="str">
            <v>VVMV</v>
          </cell>
          <cell r="L1090" t="str">
            <v>SG</v>
          </cell>
          <cell r="M1090">
            <v>46118</v>
          </cell>
          <cell r="N1090">
            <v>46126</v>
          </cell>
          <cell r="O1090">
            <v>46126</v>
          </cell>
          <cell r="P1090">
            <v>108145082510</v>
          </cell>
          <cell r="Q1090">
            <v>46125</v>
          </cell>
          <cell r="R1090" t="str">
            <v>No inspection</v>
          </cell>
          <cell r="S1090">
            <v>6750.5</v>
          </cell>
          <cell r="T1090" t="str">
            <v>EXW</v>
          </cell>
          <cell r="U1090" t="str">
            <v>LUC</v>
          </cell>
        </row>
        <row r="1091">
          <cell r="D1091">
            <v>31.7</v>
          </cell>
          <cell r="F1091">
            <v>409298916198</v>
          </cell>
          <cell r="G1091" t="str">
            <v>TTI ELECTRONICS ASIA PTE LTD</v>
          </cell>
          <cell r="H1091" t="str">
            <v>Delivered</v>
          </cell>
          <cell r="I1091" t="str">
            <v>CAP , IND , FERR</v>
          </cell>
          <cell r="J1091" t="str">
            <v>Fedex</v>
          </cell>
          <cell r="K1091" t="str">
            <v>VVMV</v>
          </cell>
          <cell r="L1091" t="str">
            <v>SG</v>
          </cell>
          <cell r="M1091">
            <v>46118</v>
          </cell>
          <cell r="N1091">
            <v>46125</v>
          </cell>
          <cell r="O1091">
            <v>46125</v>
          </cell>
          <cell r="P1091">
            <v>108139935410</v>
          </cell>
          <cell r="Q1091">
            <v>46122</v>
          </cell>
          <cell r="R1091" t="str">
            <v>No inspection</v>
          </cell>
          <cell r="S1091">
            <v>20575.95</v>
          </cell>
          <cell r="T1091" t="str">
            <v>EXW</v>
          </cell>
          <cell r="U1091" t="str">
            <v>LUC</v>
          </cell>
        </row>
        <row r="1092">
          <cell r="D1092">
            <v>96.6</v>
          </cell>
          <cell r="F1092">
            <v>3842324942</v>
          </cell>
          <cell r="G1092" t="str">
            <v>AVNET - CHANDLER</v>
          </cell>
          <cell r="H1092" t="str">
            <v>Delivered</v>
          </cell>
          <cell r="I1092" t="str">
            <v>DIOD, RES , IC A, INDU, 	RES, CAP , TRAN, IC L, IC C, FUSE</v>
          </cell>
          <cell r="J1092" t="str">
            <v>DHL</v>
          </cell>
          <cell r="K1092" t="str">
            <v>VVMV</v>
          </cell>
          <cell r="L1092" t="str">
            <v>US</v>
          </cell>
          <cell r="M1092">
            <v>46120</v>
          </cell>
          <cell r="N1092">
            <v>46126</v>
          </cell>
          <cell r="O1092">
            <v>46126</v>
          </cell>
          <cell r="P1092">
            <v>108146112760</v>
          </cell>
          <cell r="Q1092">
            <v>46125</v>
          </cell>
          <cell r="R1092" t="str">
            <v>No inspection</v>
          </cell>
          <cell r="S1092">
            <v>104700.27</v>
          </cell>
          <cell r="T1092" t="str">
            <v>CIF</v>
          </cell>
          <cell r="U1092" t="str">
            <v>LUC</v>
          </cell>
        </row>
        <row r="1093">
          <cell r="D1093">
            <v>0.4</v>
          </cell>
          <cell r="F1093">
            <v>380402668470</v>
          </cell>
          <cell r="G1093" t="str">
            <v>O/B ANALOG DEVICES INTERNATIONAL UC
DHL SUPPLY CHAIN MGMT PHILS. INC</v>
          </cell>
          <cell r="H1093" t="str">
            <v>Delivered</v>
          </cell>
          <cell r="I1093" t="str">
            <v>IC V</v>
          </cell>
          <cell r="J1093" t="str">
            <v>Fedex</v>
          </cell>
          <cell r="K1093" t="str">
            <v>VVMV</v>
          </cell>
          <cell r="L1093" t="str">
            <v>PH</v>
          </cell>
          <cell r="M1093">
            <v>46122</v>
          </cell>
          <cell r="N1093">
            <v>46126</v>
          </cell>
          <cell r="O1093">
            <v>46127</v>
          </cell>
          <cell r="P1093">
            <v>108146056760</v>
          </cell>
          <cell r="Q1093">
            <v>46125</v>
          </cell>
          <cell r="R1093" t="str">
            <v>No inspection</v>
          </cell>
          <cell r="S1093">
            <v>1230</v>
          </cell>
          <cell r="T1093" t="str">
            <v>EXW</v>
          </cell>
          <cell r="U1093" t="str">
            <v>PUR</v>
          </cell>
        </row>
        <row r="1094">
          <cell r="D1094">
            <v>0.3</v>
          </cell>
          <cell r="F1094">
            <v>493602828653</v>
          </cell>
          <cell r="G1094" t="str">
            <v>VENKEL LTD</v>
          </cell>
          <cell r="H1094" t="str">
            <v>Delivered</v>
          </cell>
          <cell r="I1094" t="str">
            <v xml:space="preserve">CAP </v>
          </cell>
          <cell r="J1094" t="str">
            <v>Fedex</v>
          </cell>
          <cell r="K1094" t="str">
            <v>VVMV</v>
          </cell>
          <cell r="L1094" t="str">
            <v>US</v>
          </cell>
          <cell r="M1094">
            <v>46118</v>
          </cell>
          <cell r="N1094">
            <v>46126</v>
          </cell>
          <cell r="O1094">
            <v>46127</v>
          </cell>
          <cell r="P1094">
            <v>108146166330</v>
          </cell>
          <cell r="Q1094">
            <v>46125</v>
          </cell>
          <cell r="R1094" t="str">
            <v>No inspection</v>
          </cell>
          <cell r="S1094">
            <v>23.8</v>
          </cell>
          <cell r="T1094" t="str">
            <v>CIF</v>
          </cell>
          <cell r="U1094" t="str">
            <v>EF-</v>
          </cell>
        </row>
        <row r="1095">
          <cell r="D1095">
            <v>0.5</v>
          </cell>
          <cell r="F1095">
            <v>380291681072</v>
          </cell>
          <cell r="G1095" t="str">
            <v>ROCHESTER ELECTRONICS</v>
          </cell>
          <cell r="H1095" t="str">
            <v>Delivered</v>
          </cell>
          <cell r="I1095" t="str">
            <v>IC H</v>
          </cell>
          <cell r="J1095" t="str">
            <v>Fedex</v>
          </cell>
          <cell r="K1095" t="str">
            <v>VVMV</v>
          </cell>
          <cell r="L1095" t="str">
            <v>US</v>
          </cell>
          <cell r="M1095">
            <v>46119</v>
          </cell>
          <cell r="N1095">
            <v>46126</v>
          </cell>
          <cell r="O1095">
            <v>46127</v>
          </cell>
          <cell r="P1095">
            <v>108146010710</v>
          </cell>
          <cell r="Q1095">
            <v>46125</v>
          </cell>
          <cell r="R1095" t="str">
            <v>No inspection</v>
          </cell>
          <cell r="S1095">
            <v>1210</v>
          </cell>
          <cell r="T1095" t="str">
            <v>CIF</v>
          </cell>
          <cell r="U1095" t="str">
            <v>EF-</v>
          </cell>
        </row>
        <row r="1096">
          <cell r="D1096">
            <v>42.4</v>
          </cell>
          <cell r="F1096">
            <v>481663284942</v>
          </cell>
          <cell r="G1096" t="str">
            <v>AMPHENOL EAST ASIA LTD</v>
          </cell>
          <cell r="H1096" t="str">
            <v>Delivered</v>
          </cell>
          <cell r="I1096" t="str">
            <v>CONN</v>
          </cell>
          <cell r="J1096" t="str">
            <v>Fedex</v>
          </cell>
          <cell r="K1096" t="str">
            <v>VVMV</v>
          </cell>
          <cell r="L1096" t="str">
            <v>HK</v>
          </cell>
          <cell r="M1096">
            <v>46121</v>
          </cell>
          <cell r="N1096">
            <v>46126</v>
          </cell>
          <cell r="O1096">
            <v>46127</v>
          </cell>
          <cell r="P1096">
            <v>108146136450</v>
          </cell>
          <cell r="Q1096">
            <v>46125</v>
          </cell>
          <cell r="R1096" t="str">
            <v>No inspection</v>
          </cell>
          <cell r="S1096">
            <v>21319.200000000001</v>
          </cell>
          <cell r="T1096" t="str">
            <v>EXW</v>
          </cell>
          <cell r="U1096" t="str">
            <v>PUR</v>
          </cell>
        </row>
        <row r="1097">
          <cell r="D1097">
            <v>0.6</v>
          </cell>
          <cell r="F1097">
            <v>469369329300</v>
          </cell>
          <cell r="G1097" t="str">
            <v>TXC CORPORATION</v>
          </cell>
          <cell r="H1097" t="str">
            <v>Delivered</v>
          </cell>
          <cell r="J1097" t="str">
            <v>Fedex</v>
          </cell>
          <cell r="K1097" t="str">
            <v>VVMV</v>
          </cell>
          <cell r="L1097" t="str">
            <v>TW</v>
          </cell>
          <cell r="M1097">
            <v>46121</v>
          </cell>
          <cell r="N1097">
            <v>46126</v>
          </cell>
          <cell r="O1097">
            <v>46127</v>
          </cell>
          <cell r="P1097">
            <v>108146224430</v>
          </cell>
          <cell r="Q1097">
            <v>46125</v>
          </cell>
          <cell r="R1097" t="str">
            <v>No inspection</v>
          </cell>
          <cell r="S1097">
            <v>270</v>
          </cell>
          <cell r="T1097" t="str">
            <v>EXW</v>
          </cell>
        </row>
        <row r="1098">
          <cell r="D1098">
            <v>46</v>
          </cell>
          <cell r="F1098">
            <v>494686575650</v>
          </cell>
          <cell r="G1098" t="str">
            <v>DONGGUANG COFAN ELECTRONIC TECHNOLO</v>
          </cell>
          <cell r="H1098" t="str">
            <v>Delivered</v>
          </cell>
          <cell r="I1098" t="str">
            <v>HEAT</v>
          </cell>
          <cell r="J1098" t="str">
            <v>Fedex</v>
          </cell>
          <cell r="K1098" t="str">
            <v>VVMV</v>
          </cell>
          <cell r="L1098" t="str">
            <v>CN</v>
          </cell>
          <cell r="M1098">
            <v>46121</v>
          </cell>
          <cell r="N1098">
            <v>46127</v>
          </cell>
          <cell r="O1098">
            <v>46128</v>
          </cell>
          <cell r="P1098">
            <v>108149853930</v>
          </cell>
          <cell r="Q1098">
            <v>46126</v>
          </cell>
          <cell r="R1098" t="str">
            <v>No inspection</v>
          </cell>
          <cell r="S1098">
            <v>4081</v>
          </cell>
          <cell r="T1098" t="str">
            <v>EXW</v>
          </cell>
          <cell r="U1098" t="str">
            <v>EF-</v>
          </cell>
        </row>
        <row r="1099">
          <cell r="D1099">
            <v>10.9</v>
          </cell>
          <cell r="F1099">
            <v>496268255928</v>
          </cell>
          <cell r="G1099" t="str">
            <v>ARROW ELECTRONICS INC
C/O ARROW COMPONENTS (M) SDN BHD</v>
          </cell>
          <cell r="H1099" t="str">
            <v>Delivered</v>
          </cell>
          <cell r="I1099" t="str">
            <v xml:space="preserve">CAP </v>
          </cell>
          <cell r="J1099" t="str">
            <v>Fedex</v>
          </cell>
          <cell r="K1099" t="str">
            <v>VVMV</v>
          </cell>
          <cell r="L1099" t="str">
            <v>MY</v>
          </cell>
          <cell r="M1099">
            <v>46121</v>
          </cell>
          <cell r="N1099">
            <v>46126</v>
          </cell>
          <cell r="O1099">
            <v>46127</v>
          </cell>
          <cell r="P1099">
            <v>108146134020</v>
          </cell>
          <cell r="Q1099">
            <v>46125</v>
          </cell>
          <cell r="R1099" t="str">
            <v>No inspection</v>
          </cell>
          <cell r="S1099">
            <v>14858</v>
          </cell>
          <cell r="T1099" t="str">
            <v>CIF</v>
          </cell>
          <cell r="U1099" t="str">
            <v>HLO</v>
          </cell>
        </row>
        <row r="1100">
          <cell r="D1100">
            <v>1.1000000000000001</v>
          </cell>
          <cell r="F1100">
            <v>500292567060</v>
          </cell>
          <cell r="G1100" t="str">
            <v>ARROW COMPONENTS MEXICO SA De CV</v>
          </cell>
          <cell r="H1100" t="str">
            <v>Delivered</v>
          </cell>
          <cell r="I1100" t="str">
            <v>IC T</v>
          </cell>
          <cell r="J1100" t="str">
            <v>Fedex</v>
          </cell>
          <cell r="K1100" t="str">
            <v>VVMV</v>
          </cell>
          <cell r="L1100" t="str">
            <v>MX</v>
          </cell>
          <cell r="M1100">
            <v>46114</v>
          </cell>
          <cell r="N1100">
            <v>46126</v>
          </cell>
          <cell r="O1100">
            <v>46127</v>
          </cell>
          <cell r="P1100">
            <v>108146461620</v>
          </cell>
          <cell r="Q1100">
            <v>46125</v>
          </cell>
          <cell r="R1100" t="str">
            <v>No inspection</v>
          </cell>
          <cell r="S1100">
            <v>11760</v>
          </cell>
          <cell r="T1100" t="str">
            <v>EXW</v>
          </cell>
          <cell r="U1100" t="str">
            <v>EF-</v>
          </cell>
        </row>
        <row r="1101">
          <cell r="D1101">
            <v>0.5</v>
          </cell>
          <cell r="F1101">
            <v>500292570640</v>
          </cell>
          <cell r="G1101" t="str">
            <v>ARROW COMPONENTS MEXICO SA De CV</v>
          </cell>
          <cell r="H1101" t="str">
            <v>Delivered</v>
          </cell>
          <cell r="I1101" t="str">
            <v xml:space="preserve">RES </v>
          </cell>
          <cell r="J1101" t="str">
            <v>Fedex</v>
          </cell>
          <cell r="K1101" t="str">
            <v>VVMV</v>
          </cell>
          <cell r="L1101" t="str">
            <v>MX</v>
          </cell>
          <cell r="M1101">
            <v>46118</v>
          </cell>
          <cell r="N1101">
            <v>46126</v>
          </cell>
          <cell r="O1101">
            <v>46127</v>
          </cell>
          <cell r="P1101">
            <v>108146255120</v>
          </cell>
          <cell r="Q1101">
            <v>46125</v>
          </cell>
          <cell r="R1101" t="str">
            <v>No inspection</v>
          </cell>
          <cell r="S1101">
            <v>11</v>
          </cell>
          <cell r="T1101" t="str">
            <v>CIF</v>
          </cell>
          <cell r="U1101" t="str">
            <v>LUC</v>
          </cell>
        </row>
        <row r="1102">
          <cell r="D1102">
            <v>4.4000000000000004</v>
          </cell>
          <cell r="F1102">
            <v>500292567530</v>
          </cell>
          <cell r="G1102" t="str">
            <v>ARROW COMPONENTS MEXICO SA De CV</v>
          </cell>
          <cell r="H1102" t="str">
            <v>Delivered</v>
          </cell>
          <cell r="I1102" t="str">
            <v>IC A</v>
          </cell>
          <cell r="J1102" t="str">
            <v>Fedex</v>
          </cell>
          <cell r="K1102" t="str">
            <v>VVMV</v>
          </cell>
          <cell r="L1102" t="str">
            <v>MX</v>
          </cell>
          <cell r="M1102">
            <v>46114</v>
          </cell>
          <cell r="N1102">
            <v>46126</v>
          </cell>
          <cell r="O1102">
            <v>46127</v>
          </cell>
          <cell r="P1102">
            <v>108146217100</v>
          </cell>
          <cell r="Q1102">
            <v>46125</v>
          </cell>
          <cell r="R1102" t="str">
            <v>No inspection</v>
          </cell>
          <cell r="S1102">
            <v>12135</v>
          </cell>
          <cell r="T1102" t="str">
            <v>CIF</v>
          </cell>
          <cell r="U1102" t="str">
            <v>EF-</v>
          </cell>
        </row>
        <row r="1103">
          <cell r="D1103">
            <v>1</v>
          </cell>
          <cell r="F1103">
            <v>500292570971</v>
          </cell>
          <cell r="G1103" t="str">
            <v>ARROW COMPONENTS MEXICO SA De CV</v>
          </cell>
          <cell r="H1103" t="str">
            <v>Delivered</v>
          </cell>
          <cell r="I1103" t="str">
            <v xml:space="preserve">RES </v>
          </cell>
          <cell r="J1103" t="str">
            <v>Fedex</v>
          </cell>
          <cell r="K1103" t="str">
            <v>VVMV</v>
          </cell>
          <cell r="L1103" t="str">
            <v>MX</v>
          </cell>
          <cell r="M1103">
            <v>46118</v>
          </cell>
          <cell r="N1103">
            <v>46126</v>
          </cell>
          <cell r="O1103">
            <v>46127</v>
          </cell>
          <cell r="P1103">
            <v>108146263300</v>
          </cell>
          <cell r="Q1103">
            <v>46125</v>
          </cell>
          <cell r="R1103" t="str">
            <v>No inspection</v>
          </cell>
          <cell r="S1103">
            <v>138</v>
          </cell>
          <cell r="T1103" t="str">
            <v>CIF</v>
          </cell>
          <cell r="U1103" t="str">
            <v>LUC</v>
          </cell>
        </row>
        <row r="1104">
          <cell r="D1104">
            <v>0.6</v>
          </cell>
          <cell r="F1104">
            <v>516007418206</v>
          </cell>
          <cell r="G1104" t="str">
            <v>Universal Global Scientific Ind Co Ltd</v>
          </cell>
          <cell r="H1104" t="str">
            <v>Delivered</v>
          </cell>
          <cell r="I1104" t="str">
            <v xml:space="preserve">RES </v>
          </cell>
          <cell r="J1104" t="str">
            <v>Fedex</v>
          </cell>
          <cell r="K1104" t="str">
            <v>VVMV</v>
          </cell>
          <cell r="L1104" t="str">
            <v>TW</v>
          </cell>
          <cell r="M1104">
            <v>46121</v>
          </cell>
          <cell r="N1104">
            <v>46126</v>
          </cell>
          <cell r="O1104">
            <v>46127</v>
          </cell>
          <cell r="P1104">
            <v>108146308650</v>
          </cell>
          <cell r="Q1104">
            <v>46125</v>
          </cell>
          <cell r="R1104" t="str">
            <v>No inspection</v>
          </cell>
          <cell r="S1104">
            <v>32.799999999999997</v>
          </cell>
          <cell r="T1104" t="str">
            <v>EXW</v>
          </cell>
          <cell r="U1104" t="str">
            <v>LUC</v>
          </cell>
        </row>
        <row r="1105">
          <cell r="D1105">
            <v>1.3</v>
          </cell>
          <cell r="F1105">
            <v>516007418217</v>
          </cell>
          <cell r="G1105" t="str">
            <v>Universal Global Scientific Ind Co Ltd</v>
          </cell>
          <cell r="H1105" t="str">
            <v>Delivered</v>
          </cell>
          <cell r="I1105" t="str">
            <v xml:space="preserve">CAP </v>
          </cell>
          <cell r="J1105" t="str">
            <v>Fedex</v>
          </cell>
          <cell r="K1105" t="str">
            <v>VVMV</v>
          </cell>
          <cell r="L1105" t="str">
            <v>TW</v>
          </cell>
          <cell r="M1105">
            <v>46121</v>
          </cell>
          <cell r="N1105">
            <v>46126</v>
          </cell>
          <cell r="O1105">
            <v>46127</v>
          </cell>
          <cell r="P1105">
            <v>108146278660</v>
          </cell>
          <cell r="Q1105">
            <v>46125</v>
          </cell>
          <cell r="R1105" t="str">
            <v>No inspection</v>
          </cell>
          <cell r="S1105">
            <v>531.75</v>
          </cell>
          <cell r="T1105" t="str">
            <v>EXW</v>
          </cell>
          <cell r="U1105" t="str">
            <v>LUC</v>
          </cell>
        </row>
        <row r="1106">
          <cell r="D1106">
            <v>7.5</v>
          </cell>
          <cell r="F1106">
            <v>520413883119</v>
          </cell>
          <cell r="G1106" t="str">
            <v>ARROW ELECTRONICS, INC.</v>
          </cell>
          <cell r="H1106" t="str">
            <v>Delivered</v>
          </cell>
          <cell r="I1106" t="str">
            <v xml:space="preserve">CAP </v>
          </cell>
          <cell r="J1106" t="str">
            <v>Fedex</v>
          </cell>
          <cell r="K1106" t="str">
            <v>VVMV</v>
          </cell>
          <cell r="L1106" t="str">
            <v>US</v>
          </cell>
          <cell r="M1106">
            <v>46119</v>
          </cell>
          <cell r="N1106">
            <v>46126</v>
          </cell>
          <cell r="O1106">
            <v>46127</v>
          </cell>
          <cell r="P1106">
            <v>108146511430</v>
          </cell>
          <cell r="Q1106">
            <v>46125</v>
          </cell>
          <cell r="R1106" t="str">
            <v>No inspection</v>
          </cell>
          <cell r="S1106">
            <v>1170</v>
          </cell>
          <cell r="T1106" t="str">
            <v>CIF</v>
          </cell>
          <cell r="U1106" t="str">
            <v>LUC</v>
          </cell>
        </row>
        <row r="1107">
          <cell r="D1107">
            <v>1.5</v>
          </cell>
          <cell r="F1107">
            <v>520413905996</v>
          </cell>
          <cell r="G1107" t="str">
            <v>ARROW ELECTRONICS, INC.</v>
          </cell>
          <cell r="H1107" t="str">
            <v>Delivered</v>
          </cell>
          <cell r="I1107" t="str">
            <v>INDU</v>
          </cell>
          <cell r="J1107" t="str">
            <v>Fedex</v>
          </cell>
          <cell r="K1107" t="str">
            <v>VVMV</v>
          </cell>
          <cell r="L1107" t="str">
            <v>US</v>
          </cell>
          <cell r="M1107">
            <v>46119</v>
          </cell>
          <cell r="N1107">
            <v>46126</v>
          </cell>
          <cell r="O1107">
            <v>46127</v>
          </cell>
          <cell r="P1107">
            <v>108146360450</v>
          </cell>
          <cell r="Q1107">
            <v>46125</v>
          </cell>
          <cell r="R1107" t="str">
            <v>No inspection</v>
          </cell>
          <cell r="S1107">
            <v>367</v>
          </cell>
          <cell r="T1107" t="str">
            <v>CIF</v>
          </cell>
          <cell r="U1107" t="str">
            <v>EF-</v>
          </cell>
        </row>
        <row r="1108">
          <cell r="D1108">
            <v>1.9</v>
          </cell>
          <cell r="F1108">
            <v>516007418228</v>
          </cell>
          <cell r="G1108" t="str">
            <v>Universal Global Scientific Ind Co Ltd</v>
          </cell>
          <cell r="H1108" t="str">
            <v>Delivered</v>
          </cell>
          <cell r="I1108" t="str">
            <v xml:space="preserve">RES </v>
          </cell>
          <cell r="J1108" t="str">
            <v>Fedex</v>
          </cell>
          <cell r="K1108" t="str">
            <v>VVMV</v>
          </cell>
          <cell r="L1108" t="str">
            <v>TW</v>
          </cell>
          <cell r="M1108">
            <v>46121</v>
          </cell>
          <cell r="N1108">
            <v>46126</v>
          </cell>
          <cell r="O1108">
            <v>46127</v>
          </cell>
          <cell r="P1108">
            <v>108146390920</v>
          </cell>
          <cell r="Q1108">
            <v>46125</v>
          </cell>
          <cell r="R1108" t="str">
            <v>No inspection</v>
          </cell>
          <cell r="S1108">
            <v>1980</v>
          </cell>
          <cell r="T1108" t="str">
            <v>EXW</v>
          </cell>
          <cell r="U1108" t="str">
            <v>LUC</v>
          </cell>
        </row>
        <row r="1109">
          <cell r="D1109">
            <v>96.8</v>
          </cell>
          <cell r="F1109">
            <v>517485617321</v>
          </cell>
          <cell r="G1109" t="str">
            <v>PENCOM LTD</v>
          </cell>
          <cell r="H1109" t="str">
            <v>Delivered</v>
          </cell>
          <cell r="I1109" t="str">
            <v>STAN, MECH, SCRE</v>
          </cell>
          <cell r="J1109" t="str">
            <v>Fedex</v>
          </cell>
          <cell r="K1109" t="str">
            <v>VVMV</v>
          </cell>
          <cell r="L1109" t="str">
            <v>HK</v>
          </cell>
          <cell r="M1109">
            <v>46122</v>
          </cell>
          <cell r="N1109">
            <v>46126</v>
          </cell>
          <cell r="O1109">
            <v>46127</v>
          </cell>
          <cell r="P1109">
            <v>108146540460</v>
          </cell>
          <cell r="Q1109">
            <v>46125</v>
          </cell>
          <cell r="R1109" t="str">
            <v>No inspection</v>
          </cell>
          <cell r="S1109">
            <v>10472</v>
          </cell>
          <cell r="T1109" t="str">
            <v>EXW</v>
          </cell>
          <cell r="U1109" t="str">
            <v>PUR</v>
          </cell>
        </row>
        <row r="1110">
          <cell r="D1110">
            <v>0.7</v>
          </cell>
          <cell r="F1110">
            <v>520857533701</v>
          </cell>
          <cell r="G1110" t="str">
            <v>MOUSER ELECTRONICS INC</v>
          </cell>
          <cell r="H1110" t="str">
            <v>Delivered</v>
          </cell>
          <cell r="I1110" t="str">
            <v xml:space="preserve">TVS </v>
          </cell>
          <cell r="J1110" t="str">
            <v>Fedex</v>
          </cell>
          <cell r="K1110" t="str">
            <v>VVMV</v>
          </cell>
          <cell r="L1110" t="str">
            <v>US</v>
          </cell>
          <cell r="M1110">
            <v>46120</v>
          </cell>
          <cell r="N1110">
            <v>46127</v>
          </cell>
          <cell r="O1110">
            <v>46128</v>
          </cell>
          <cell r="P1110">
            <v>108150324220</v>
          </cell>
          <cell r="Q1110">
            <v>46126</v>
          </cell>
          <cell r="R1110" t="str">
            <v>No inspection</v>
          </cell>
          <cell r="S1110">
            <v>4.1399999999999997</v>
          </cell>
          <cell r="T1110" t="str">
            <v>CIF</v>
          </cell>
          <cell r="U1110">
            <v>124</v>
          </cell>
        </row>
        <row r="1111">
          <cell r="D1111">
            <v>0.3</v>
          </cell>
          <cell r="F1111">
            <v>520857759578</v>
          </cell>
          <cell r="G1111" t="str">
            <v>MOUSER ELECTRONICS INC</v>
          </cell>
          <cell r="H1111" t="str">
            <v>Delivered</v>
          </cell>
          <cell r="I1111" t="str">
            <v>IC V</v>
          </cell>
          <cell r="J1111" t="str">
            <v>Fedex</v>
          </cell>
          <cell r="K1111" t="str">
            <v>VVMV</v>
          </cell>
          <cell r="L1111" t="str">
            <v>US</v>
          </cell>
          <cell r="M1111">
            <v>46121</v>
          </cell>
          <cell r="N1111">
            <v>46126</v>
          </cell>
          <cell r="O1111">
            <v>46127</v>
          </cell>
          <cell r="P1111">
            <v>108146418110</v>
          </cell>
          <cell r="Q1111">
            <v>46125</v>
          </cell>
          <cell r="R1111" t="str">
            <v>No inspection</v>
          </cell>
          <cell r="S1111">
            <v>308.7</v>
          </cell>
          <cell r="T1111" t="str">
            <v>CIF</v>
          </cell>
          <cell r="U1111">
            <v>169</v>
          </cell>
        </row>
        <row r="1112">
          <cell r="D1112">
            <v>0.1</v>
          </cell>
          <cell r="F1112">
            <v>500394744942</v>
          </cell>
          <cell r="G1112" t="str">
            <v>WURTH ELEKTRONIK EISOS GMBH</v>
          </cell>
          <cell r="H1112" t="str">
            <v>Delivered</v>
          </cell>
          <cell r="I1112" t="str">
            <v xml:space="preserve">LED </v>
          </cell>
          <cell r="J1112" t="str">
            <v>Fedex</v>
          </cell>
          <cell r="K1112" t="str">
            <v>VVMV</v>
          </cell>
          <cell r="L1112" t="str">
            <v>DE</v>
          </cell>
          <cell r="M1112">
            <v>46122</v>
          </cell>
          <cell r="N1112">
            <v>46128</v>
          </cell>
          <cell r="O1112">
            <v>46128</v>
          </cell>
          <cell r="P1112">
            <v>108152327840</v>
          </cell>
          <cell r="Q1112">
            <v>46127</v>
          </cell>
          <cell r="R1112" t="str">
            <v>No inspection</v>
          </cell>
          <cell r="S1112">
            <v>136</v>
          </cell>
          <cell r="T1112" t="str">
            <v>CIF</v>
          </cell>
          <cell r="U1112">
            <v>174</v>
          </cell>
        </row>
        <row r="1113">
          <cell r="D1113">
            <v>3</v>
          </cell>
          <cell r="F1113">
            <v>870512948185</v>
          </cell>
          <cell r="G1113" t="str">
            <v>CYMMETRIK SHENZHEN PRINTING CO., LTD</v>
          </cell>
          <cell r="H1113" t="str">
            <v>Delivered</v>
          </cell>
          <cell r="I1113" t="str">
            <v>LABE</v>
          </cell>
          <cell r="J1113" t="str">
            <v>Fedex</v>
          </cell>
          <cell r="K1113" t="str">
            <v>VVMV</v>
          </cell>
          <cell r="L1113" t="str">
            <v>CN</v>
          </cell>
          <cell r="M1113">
            <v>46122</v>
          </cell>
          <cell r="N1113">
            <v>46127</v>
          </cell>
          <cell r="O1113">
            <v>46127</v>
          </cell>
          <cell r="P1113">
            <v>108147391700</v>
          </cell>
          <cell r="Q1113">
            <v>46126</v>
          </cell>
          <cell r="R1113" t="str">
            <v>No inspection</v>
          </cell>
          <cell r="S1113">
            <v>1814.5</v>
          </cell>
          <cell r="T1113" t="str">
            <v>EXW</v>
          </cell>
          <cell r="U1113" t="str">
            <v>PUR</v>
          </cell>
        </row>
        <row r="1114">
          <cell r="D1114">
            <v>4.3</v>
          </cell>
          <cell r="F1114">
            <v>380289531086</v>
          </cell>
          <cell r="G1114" t="str">
            <v>C/O KINTETSU WORLD EXPRESS
TEXAS INSTRUMENTS ASIA LIMITED</v>
          </cell>
          <cell r="H1114" t="str">
            <v>Delivered</v>
          </cell>
          <cell r="I1114" t="str">
            <v>IC T, IC L</v>
          </cell>
          <cell r="J1114" t="str">
            <v>Fedex</v>
          </cell>
          <cell r="K1114" t="str">
            <v>VVMV</v>
          </cell>
          <cell r="L1114" t="str">
            <v>CN</v>
          </cell>
          <cell r="M1114">
            <v>46119</v>
          </cell>
          <cell r="N1114">
            <v>46127</v>
          </cell>
          <cell r="O1114">
            <v>46127</v>
          </cell>
          <cell r="P1114">
            <v>108146486450</v>
          </cell>
          <cell r="Q1114">
            <v>46125</v>
          </cell>
          <cell r="R1114" t="str">
            <v>No inspection</v>
          </cell>
          <cell r="S1114">
            <v>2797.5</v>
          </cell>
          <cell r="T1114" t="str">
            <v>EXW</v>
          </cell>
          <cell r="U1114" t="str">
            <v>PUR</v>
          </cell>
        </row>
        <row r="1115">
          <cell r="D1115">
            <v>2.9</v>
          </cell>
          <cell r="F1115">
            <v>870438628984</v>
          </cell>
          <cell r="G1115" t="str">
            <v>CHENG FWA INDUSTRIAL CO., LTD</v>
          </cell>
          <cell r="H1115" t="str">
            <v>Delivered</v>
          </cell>
          <cell r="I1115" t="str">
            <v>BOTT</v>
          </cell>
          <cell r="J1115" t="str">
            <v>Fedex</v>
          </cell>
          <cell r="K1115" t="str">
            <v>VVMV</v>
          </cell>
          <cell r="L1115" t="str">
            <v>TW</v>
          </cell>
          <cell r="M1115">
            <v>46121</v>
          </cell>
          <cell r="N1115">
            <v>46127</v>
          </cell>
          <cell r="O1115">
            <v>46127</v>
          </cell>
          <cell r="P1115">
            <v>108147103740</v>
          </cell>
          <cell r="Q1115">
            <v>46126</v>
          </cell>
          <cell r="R1115" t="str">
            <v>No inspection</v>
          </cell>
          <cell r="S1115">
            <v>10</v>
          </cell>
          <cell r="T1115" t="str">
            <v>CIF</v>
          </cell>
          <cell r="U1115" t="str">
            <v>LUC</v>
          </cell>
        </row>
        <row r="1116">
          <cell r="D1116">
            <v>13.6</v>
          </cell>
          <cell r="F1116">
            <v>518908452683</v>
          </cell>
          <cell r="G1116" t="str">
            <v>MICRON SEMICONDUCTOR XIAN CO, LTD</v>
          </cell>
          <cell r="H1116" t="str">
            <v>Delivered</v>
          </cell>
          <cell r="I1116" t="str">
            <v xml:space="preserve">MEM </v>
          </cell>
          <cell r="J1116" t="str">
            <v>Fedex</v>
          </cell>
          <cell r="K1116" t="str">
            <v>VVMV</v>
          </cell>
          <cell r="L1116" t="str">
            <v>CN</v>
          </cell>
          <cell r="M1116">
            <v>46122</v>
          </cell>
          <cell r="N1116">
            <v>46127</v>
          </cell>
          <cell r="O1116">
            <v>46127</v>
          </cell>
          <cell r="P1116">
            <v>108146584340</v>
          </cell>
          <cell r="Q1116">
            <v>46125</v>
          </cell>
          <cell r="R1116" t="str">
            <v>No inspection</v>
          </cell>
          <cell r="S1116">
            <v>134200</v>
          </cell>
          <cell r="T1116" t="str">
            <v>EXW</v>
          </cell>
          <cell r="U1116" t="str">
            <v>PUR</v>
          </cell>
        </row>
        <row r="1117">
          <cell r="D1117">
            <v>61.5</v>
          </cell>
          <cell r="F1117" t="str">
            <v>PLISGFE00199</v>
          </cell>
          <cell r="G1117" t="str">
            <v>FUTURE ELECTRONICS (ADC)</v>
          </cell>
          <cell r="H1117" t="str">
            <v>Delivered</v>
          </cell>
          <cell r="I1117" t="str">
            <v>CAP , TRAN, IC S, DIOD, IND , RES , IC V</v>
          </cell>
          <cell r="J1117" t="str">
            <v>LX PANTOS</v>
          </cell>
          <cell r="K1117" t="str">
            <v>VVMV</v>
          </cell>
          <cell r="L1117" t="str">
            <v>SG</v>
          </cell>
          <cell r="M1117">
            <v>46122</v>
          </cell>
          <cell r="N1117">
            <v>46128</v>
          </cell>
          <cell r="O1117">
            <v>46129</v>
          </cell>
          <cell r="P1117">
            <v>108153965620</v>
          </cell>
          <cell r="Q1117">
            <v>46127</v>
          </cell>
          <cell r="R1117" t="str">
            <v>No inspection</v>
          </cell>
          <cell r="S1117">
            <v>37754.35</v>
          </cell>
          <cell r="T1117" t="str">
            <v>DAP</v>
          </cell>
          <cell r="U1117" t="str">
            <v>PUR</v>
          </cell>
        </row>
        <row r="1118">
          <cell r="D1118">
            <v>0.7</v>
          </cell>
          <cell r="F1118">
            <v>870467066518</v>
          </cell>
          <cell r="G1118" t="str">
            <v>ACE Technology (Taiwan) Co., LTD.</v>
          </cell>
          <cell r="H1118" t="str">
            <v>Delivered</v>
          </cell>
          <cell r="I1118" t="str">
            <v>TRAN, IC E</v>
          </cell>
          <cell r="J1118" t="str">
            <v>Fedex</v>
          </cell>
          <cell r="K1118" t="str">
            <v>VVMV</v>
          </cell>
          <cell r="L1118" t="str">
            <v>TW</v>
          </cell>
          <cell r="M1118">
            <v>46121</v>
          </cell>
          <cell r="N1118">
            <v>46127</v>
          </cell>
          <cell r="O1118">
            <v>46128</v>
          </cell>
          <cell r="P1118">
            <v>108150384420</v>
          </cell>
          <cell r="Q1118">
            <v>46126</v>
          </cell>
          <cell r="R1118" t="str">
            <v>No inspection</v>
          </cell>
          <cell r="S1118">
            <v>1090</v>
          </cell>
          <cell r="T1118" t="str">
            <v>EXW</v>
          </cell>
          <cell r="U1118">
            <v>109</v>
          </cell>
        </row>
        <row r="1119">
          <cell r="D1119">
            <v>0.7</v>
          </cell>
          <cell r="F1119">
            <v>870434019223</v>
          </cell>
          <cell r="G1119" t="str">
            <v>Element 14 Pte Ltd</v>
          </cell>
          <cell r="H1119" t="str">
            <v>Delivered</v>
          </cell>
          <cell r="I1119" t="str">
            <v xml:space="preserve">LED </v>
          </cell>
          <cell r="J1119" t="str">
            <v>Fedex</v>
          </cell>
          <cell r="K1119" t="str">
            <v>VVMV</v>
          </cell>
          <cell r="L1119" t="str">
            <v>SG</v>
          </cell>
          <cell r="M1119">
            <v>46121</v>
          </cell>
          <cell r="N1119">
            <v>46127</v>
          </cell>
          <cell r="O1119">
            <v>46128</v>
          </cell>
          <cell r="P1119">
            <v>108150039800</v>
          </cell>
          <cell r="Q1119">
            <v>46126</v>
          </cell>
          <cell r="R1119" t="str">
            <v>No inspection</v>
          </cell>
          <cell r="S1119">
            <v>11.3</v>
          </cell>
          <cell r="T1119" t="str">
            <v>EXW</v>
          </cell>
          <cell r="U1119">
            <v>174</v>
          </cell>
        </row>
        <row r="1120">
          <cell r="D1120">
            <v>1.6</v>
          </cell>
          <cell r="F1120">
            <v>500292566199</v>
          </cell>
          <cell r="G1120" t="str">
            <v>ARROW COMPONENTS MEXICO SA De CV</v>
          </cell>
          <cell r="H1120" t="str">
            <v>Delivered</v>
          </cell>
          <cell r="I1120" t="str">
            <v>IC A</v>
          </cell>
          <cell r="J1120" t="str">
            <v>Fedex</v>
          </cell>
          <cell r="K1120" t="str">
            <v>VVMV</v>
          </cell>
          <cell r="L1120" t="str">
            <v>MX</v>
          </cell>
          <cell r="M1120">
            <v>46114</v>
          </cell>
          <cell r="N1120">
            <v>46127</v>
          </cell>
          <cell r="O1120">
            <v>46128</v>
          </cell>
          <cell r="P1120">
            <v>108150394700</v>
          </cell>
          <cell r="Q1120">
            <v>46126</v>
          </cell>
          <cell r="R1120" t="str">
            <v>No inspection</v>
          </cell>
          <cell r="S1120">
            <v>4045</v>
          </cell>
          <cell r="T1120" t="str">
            <v>CIF</v>
          </cell>
          <cell r="U1120" t="str">
            <v>EF-</v>
          </cell>
        </row>
        <row r="1121">
          <cell r="D1121">
            <v>2.9</v>
          </cell>
          <cell r="F1121">
            <v>119209709629</v>
          </cell>
          <cell r="G1121" t="str">
            <v>FUTURE ELECTRONICS FICE</v>
          </cell>
          <cell r="H1121" t="str">
            <v>Delivered</v>
          </cell>
          <cell r="I1121" t="str">
            <v>IC,V, IC S</v>
          </cell>
          <cell r="J1121" t="str">
            <v>Fedex</v>
          </cell>
          <cell r="K1121" t="str">
            <v>VVMV</v>
          </cell>
          <cell r="L1121" t="str">
            <v>US</v>
          </cell>
          <cell r="M1121">
            <v>46122</v>
          </cell>
          <cell r="N1121">
            <v>46127</v>
          </cell>
          <cell r="O1121">
            <v>46128</v>
          </cell>
          <cell r="P1121">
            <v>108150022260</v>
          </cell>
          <cell r="Q1121">
            <v>46126</v>
          </cell>
          <cell r="R1121" t="str">
            <v>No inspection</v>
          </cell>
          <cell r="S1121">
            <v>3720</v>
          </cell>
          <cell r="T1121" t="str">
            <v>CIF</v>
          </cell>
          <cell r="U1121" t="str">
            <v>PUR</v>
          </cell>
        </row>
        <row r="1122">
          <cell r="D1122">
            <v>1.1000000000000001</v>
          </cell>
          <cell r="F1122">
            <v>500292577829</v>
          </cell>
          <cell r="G1122" t="str">
            <v>ARROW COMPONENTS MEXICO SA De CV</v>
          </cell>
          <cell r="H1122" t="str">
            <v>Delivered</v>
          </cell>
          <cell r="I1122" t="str">
            <v>IC E</v>
          </cell>
          <cell r="J1122" t="str">
            <v>Fedex</v>
          </cell>
          <cell r="K1122" t="str">
            <v>VVMV</v>
          </cell>
          <cell r="L1122" t="str">
            <v>MX</v>
          </cell>
          <cell r="M1122">
            <v>46121</v>
          </cell>
          <cell r="N1122">
            <v>46127</v>
          </cell>
          <cell r="O1122">
            <v>46128</v>
          </cell>
          <cell r="P1122">
            <v>108150324810</v>
          </cell>
          <cell r="Q1122">
            <v>46126</v>
          </cell>
          <cell r="R1122" t="str">
            <v>No inspection</v>
          </cell>
          <cell r="S1122">
            <v>1150</v>
          </cell>
          <cell r="T1122" t="str">
            <v>CIF</v>
          </cell>
          <cell r="U1122" t="str">
            <v>PUR</v>
          </cell>
        </row>
        <row r="1123">
          <cell r="D1123">
            <v>1.7</v>
          </cell>
          <cell r="F1123">
            <v>500292566258</v>
          </cell>
          <cell r="G1123" t="str">
            <v>ARROW COMPONENTS MEXICO SA De CV</v>
          </cell>
          <cell r="H1123" t="str">
            <v>Delivered</v>
          </cell>
          <cell r="I1123" t="str">
            <v>IC A</v>
          </cell>
          <cell r="J1123" t="str">
            <v>Fedex</v>
          </cell>
          <cell r="K1123" t="str">
            <v>VVMV</v>
          </cell>
          <cell r="L1123" t="str">
            <v>MX</v>
          </cell>
          <cell r="M1123">
            <v>46114</v>
          </cell>
          <cell r="N1123">
            <v>46127</v>
          </cell>
          <cell r="O1123">
            <v>46128</v>
          </cell>
          <cell r="P1123">
            <v>108150442260</v>
          </cell>
          <cell r="Q1123">
            <v>46126</v>
          </cell>
          <cell r="R1123" t="str">
            <v>No inspection</v>
          </cell>
          <cell r="S1123">
            <v>4045</v>
          </cell>
          <cell r="T1123" t="str">
            <v>CIF</v>
          </cell>
          <cell r="U1123" t="str">
            <v>EF-</v>
          </cell>
        </row>
        <row r="1124">
          <cell r="D1124">
            <v>1.5</v>
          </cell>
          <cell r="F1124">
            <v>500292566269</v>
          </cell>
          <cell r="G1124" t="str">
            <v>ARROW COMPONENTS MEXICO SA De CV</v>
          </cell>
          <cell r="H1124" t="str">
            <v>Delivered</v>
          </cell>
          <cell r="I1124" t="str">
            <v>IC A</v>
          </cell>
          <cell r="J1124" t="str">
            <v>Fedex</v>
          </cell>
          <cell r="K1124" t="str">
            <v>VVMV</v>
          </cell>
          <cell r="L1124" t="str">
            <v>MX</v>
          </cell>
          <cell r="M1124">
            <v>46114</v>
          </cell>
          <cell r="N1124">
            <v>46127</v>
          </cell>
          <cell r="O1124">
            <v>46128</v>
          </cell>
          <cell r="P1124">
            <v>108150082020</v>
          </cell>
          <cell r="Q1124">
            <v>46126</v>
          </cell>
          <cell r="R1124" t="str">
            <v>No inspection</v>
          </cell>
          <cell r="S1124">
            <v>4045</v>
          </cell>
          <cell r="T1124" t="str">
            <v>CIF</v>
          </cell>
          <cell r="U1124" t="str">
            <v>EF-</v>
          </cell>
        </row>
        <row r="1125">
          <cell r="D1125">
            <v>1.5</v>
          </cell>
          <cell r="F1125">
            <v>484112424465</v>
          </cell>
          <cell r="G1125" t="str">
            <v>KIOXIA AMERICA C/O TLGA</v>
          </cell>
          <cell r="H1125" t="str">
            <v>Delivered</v>
          </cell>
          <cell r="I1125" t="str">
            <v>IC M</v>
          </cell>
          <cell r="J1125" t="str">
            <v>Fedex</v>
          </cell>
          <cell r="K1125" t="str">
            <v>VVMV</v>
          </cell>
          <cell r="L1125" t="str">
            <v>US</v>
          </cell>
          <cell r="M1125">
            <v>46122</v>
          </cell>
          <cell r="N1125">
            <v>46127</v>
          </cell>
          <cell r="O1125">
            <v>46128</v>
          </cell>
          <cell r="P1125">
            <v>108150462560</v>
          </cell>
          <cell r="Q1125">
            <v>46126</v>
          </cell>
          <cell r="R1125" t="str">
            <v>No inspection</v>
          </cell>
          <cell r="S1125">
            <v>45050</v>
          </cell>
          <cell r="T1125" t="str">
            <v>CIF</v>
          </cell>
          <cell r="U1125" t="str">
            <v>LUC</v>
          </cell>
        </row>
        <row r="1126">
          <cell r="D1126">
            <v>37.200000000000003</v>
          </cell>
          <cell r="F1126">
            <v>870472086302</v>
          </cell>
          <cell r="G1126" t="str">
            <v>WT MICROELECTRONICS SPORE P/L</v>
          </cell>
          <cell r="H1126" t="str">
            <v>Delivered</v>
          </cell>
          <cell r="I1126" t="str">
            <v>CAP , RES , IC R, IC D</v>
          </cell>
          <cell r="J1126" t="str">
            <v>Fedex</v>
          </cell>
          <cell r="K1126" t="str">
            <v>VVMV</v>
          </cell>
          <cell r="L1126" t="str">
            <v>SG</v>
          </cell>
          <cell r="M1126">
            <v>46121</v>
          </cell>
          <cell r="N1126">
            <v>46127</v>
          </cell>
          <cell r="O1126">
            <v>46128</v>
          </cell>
          <cell r="P1126">
            <v>108150642940</v>
          </cell>
          <cell r="Q1126">
            <v>46126</v>
          </cell>
          <cell r="R1126" t="str">
            <v>No inspection</v>
          </cell>
          <cell r="S1126">
            <v>123698.7</v>
          </cell>
          <cell r="T1126" t="str">
            <v>EXW</v>
          </cell>
          <cell r="U1126" t="str">
            <v>LUC</v>
          </cell>
        </row>
        <row r="1127">
          <cell r="D1127">
            <v>0.5</v>
          </cell>
          <cell r="F1127">
            <v>380380441160</v>
          </cell>
          <cell r="G1127" t="str">
            <v>c/o DHL Supply Chain SGP P/L
Texas Instruments Southeast Asia Pt</v>
          </cell>
          <cell r="H1127" t="str">
            <v>Delivered</v>
          </cell>
          <cell r="I1127" t="str">
            <v>IC I</v>
          </cell>
          <cell r="J1127" t="str">
            <v>Fedex</v>
          </cell>
          <cell r="K1127" t="str">
            <v>VVMV</v>
          </cell>
          <cell r="L1127" t="str">
            <v>SG</v>
          </cell>
          <cell r="M1127">
            <v>46122</v>
          </cell>
          <cell r="N1127">
            <v>46127</v>
          </cell>
          <cell r="O1127">
            <v>46128</v>
          </cell>
          <cell r="P1127">
            <v>108150196820</v>
          </cell>
          <cell r="Q1127">
            <v>46126</v>
          </cell>
          <cell r="R1127" t="str">
            <v>No inspection</v>
          </cell>
          <cell r="S1127">
            <v>72</v>
          </cell>
          <cell r="T1127" t="str">
            <v>EXW</v>
          </cell>
          <cell r="U1127" t="str">
            <v>EF-</v>
          </cell>
        </row>
        <row r="1128">
          <cell r="D1128">
            <v>107.5</v>
          </cell>
          <cell r="F1128">
            <v>477592558900</v>
          </cell>
          <cell r="G1128" t="str">
            <v>QUALCOMM CDMA TECHNOLOGIES ASIA-PAC</v>
          </cell>
          <cell r="H1128" t="str">
            <v>Delivered</v>
          </cell>
          <cell r="I1128" t="str">
            <v>IC P</v>
          </cell>
          <cell r="J1128" t="str">
            <v>Fedex</v>
          </cell>
          <cell r="K1128" t="str">
            <v>VVMV</v>
          </cell>
          <cell r="L1128" t="str">
            <v>SG</v>
          </cell>
          <cell r="M1128">
            <v>46122</v>
          </cell>
          <cell r="N1128">
            <v>46127</v>
          </cell>
          <cell r="O1128">
            <v>46128</v>
          </cell>
          <cell r="P1128">
            <v>108150493730</v>
          </cell>
          <cell r="Q1128">
            <v>46126</v>
          </cell>
          <cell r="R1128" t="str">
            <v>No inspection</v>
          </cell>
          <cell r="S1128">
            <v>446342.40000000002</v>
          </cell>
          <cell r="T1128" t="str">
            <v>EXW</v>
          </cell>
          <cell r="U1128" t="str">
            <v>LUC</v>
          </cell>
        </row>
        <row r="1129">
          <cell r="D1129">
            <v>11.2</v>
          </cell>
          <cell r="F1129">
            <v>409298917117</v>
          </cell>
          <cell r="G1129" t="str">
            <v>TTI ELECTRONICS ASIA PTE LTD</v>
          </cell>
          <cell r="H1129" t="str">
            <v>Delivered</v>
          </cell>
          <cell r="I1129" t="str">
            <v xml:space="preserve">CONN, CAP , RES , IND </v>
          </cell>
          <cell r="J1129" t="str">
            <v>Fedex</v>
          </cell>
          <cell r="K1129" t="str">
            <v>VVMV</v>
          </cell>
          <cell r="L1129" t="str">
            <v>SG</v>
          </cell>
          <cell r="M1129">
            <v>46122</v>
          </cell>
          <cell r="N1129">
            <v>46127</v>
          </cell>
          <cell r="O1129">
            <v>46128</v>
          </cell>
          <cell r="P1129">
            <v>108150714710</v>
          </cell>
          <cell r="Q1129">
            <v>46126</v>
          </cell>
          <cell r="R1129" t="str">
            <v>No inspection</v>
          </cell>
          <cell r="S1129">
            <v>5242.3500000000004</v>
          </cell>
          <cell r="T1129" t="str">
            <v>EXW</v>
          </cell>
          <cell r="U1129" t="str">
            <v>LUC</v>
          </cell>
        </row>
        <row r="1130">
          <cell r="D1130">
            <v>141.88</v>
          </cell>
          <cell r="F1130" t="str">
            <v>HKHPG260438</v>
          </cell>
          <cell r="G1130" t="str">
            <v>COMPEQ MANUFACTURING (HUIZHOU) CO., LTD.
C/O:FOK HEI HOLDING CO.,LTD</v>
          </cell>
          <cell r="H1130" t="str">
            <v>Delivered</v>
          </cell>
          <cell r="I1130" t="str">
            <v xml:space="preserve">PCB </v>
          </cell>
          <cell r="J1130" t="str">
            <v>VVMV(sea)</v>
          </cell>
          <cell r="K1130" t="str">
            <v>VVMV</v>
          </cell>
          <cell r="L1130" t="str">
            <v>HK</v>
          </cell>
          <cell r="M1130">
            <v>46125</v>
          </cell>
          <cell r="N1130">
            <v>46128</v>
          </cell>
          <cell r="O1130">
            <v>46129</v>
          </cell>
          <cell r="P1130">
            <v>108152504350</v>
          </cell>
          <cell r="Q1130">
            <v>46126</v>
          </cell>
          <cell r="R1130" t="str">
            <v>No inspection</v>
          </cell>
          <cell r="U1130" t="str">
            <v>PUR</v>
          </cell>
        </row>
        <row r="1131">
          <cell r="D1131">
            <v>1944.0640000000001</v>
          </cell>
          <cell r="F1131" t="str">
            <v>PSHPH2640061</v>
          </cell>
          <cell r="G1131" t="str">
            <v>COMPEQ MANUFACTURING CO., LTD</v>
          </cell>
          <cell r="H1131" t="str">
            <v>Delivered</v>
          </cell>
          <cell r="I1131" t="str">
            <v xml:space="preserve">PCB </v>
          </cell>
          <cell r="J1131" t="str">
            <v>VVMV(sea)</v>
          </cell>
          <cell r="K1131" t="str">
            <v>VVMV</v>
          </cell>
          <cell r="L1131" t="str">
            <v>TW</v>
          </cell>
          <cell r="M1131">
            <v>46124</v>
          </cell>
          <cell r="N1131">
            <v>46128</v>
          </cell>
          <cell r="O1131">
            <v>46129</v>
          </cell>
          <cell r="P1131">
            <v>108154445120</v>
          </cell>
          <cell r="Q1131">
            <v>46127</v>
          </cell>
          <cell r="R1131" t="str">
            <v>No inspection</v>
          </cell>
          <cell r="S1131">
            <v>319703.78000000003</v>
          </cell>
          <cell r="T1131" t="str">
            <v>FOB</v>
          </cell>
          <cell r="U1131" t="str">
            <v>PUR</v>
          </cell>
        </row>
        <row r="1132">
          <cell r="D1132">
            <v>705.66</v>
          </cell>
          <cell r="F1132" t="str">
            <v>HWHPH2601478</v>
          </cell>
          <cell r="G1132" t="str">
            <v>WUS INTERNATIONAL COMPANY LIMITED</v>
          </cell>
          <cell r="H1132" t="str">
            <v>Delivered</v>
          </cell>
          <cell r="I1132" t="str">
            <v xml:space="preserve">PCB </v>
          </cell>
          <cell r="J1132" t="str">
            <v>VVMV(sea)</v>
          </cell>
          <cell r="K1132" t="str">
            <v>VVMV</v>
          </cell>
          <cell r="L1132" t="str">
            <v>CN</v>
          </cell>
          <cell r="M1132">
            <v>46121</v>
          </cell>
          <cell r="N1132">
            <v>46128</v>
          </cell>
          <cell r="O1132">
            <v>46129</v>
          </cell>
          <cell r="P1132">
            <v>108155127250</v>
          </cell>
          <cell r="Q1132">
            <v>46127</v>
          </cell>
          <cell r="R1132" t="str">
            <v>No inspection</v>
          </cell>
          <cell r="U1132" t="str">
            <v>PUR</v>
          </cell>
        </row>
        <row r="1133">
          <cell r="D1133">
            <v>0.5</v>
          </cell>
          <cell r="F1133">
            <v>521948496970</v>
          </cell>
          <cell r="G1133" t="str">
            <v>DIGI-KEY ELECTRONICS</v>
          </cell>
          <cell r="H1133" t="str">
            <v>Delivered</v>
          </cell>
          <cell r="I1133" t="str">
            <v>IC F</v>
          </cell>
          <cell r="J1133" t="str">
            <v>Fedex</v>
          </cell>
          <cell r="K1133" t="str">
            <v>VVMV</v>
          </cell>
          <cell r="L1133" t="str">
            <v>US</v>
          </cell>
          <cell r="M1133">
            <v>46125</v>
          </cell>
          <cell r="N1133">
            <v>46129</v>
          </cell>
          <cell r="O1133">
            <v>46129</v>
          </cell>
          <cell r="P1133">
            <v>108155596510</v>
          </cell>
          <cell r="Q1133">
            <v>46128</v>
          </cell>
          <cell r="R1133" t="str">
            <v>No inspection</v>
          </cell>
          <cell r="S1133">
            <v>607.21</v>
          </cell>
          <cell r="T1133" t="str">
            <v>CIF</v>
          </cell>
          <cell r="U1133" t="str">
            <v>PUR</v>
          </cell>
        </row>
        <row r="1134">
          <cell r="D1134">
            <v>99.5</v>
          </cell>
          <cell r="F1134">
            <v>484361662580</v>
          </cell>
          <cell r="G1134" t="str">
            <v>COILCRAFT SINGAPORE PTE LTD</v>
          </cell>
          <cell r="H1134" t="str">
            <v>Delivered</v>
          </cell>
          <cell r="I1134" t="str">
            <v xml:space="preserve">IND </v>
          </cell>
          <cell r="J1134" t="str">
            <v>Fedex</v>
          </cell>
          <cell r="K1134" t="str">
            <v>VVMV</v>
          </cell>
          <cell r="L1134" t="str">
            <v>SG</v>
          </cell>
          <cell r="M1134">
            <v>46125</v>
          </cell>
          <cell r="N1134">
            <v>46132</v>
          </cell>
          <cell r="O1134">
            <v>46132</v>
          </cell>
          <cell r="P1134">
            <v>108162177210</v>
          </cell>
          <cell r="Q1134">
            <v>46129</v>
          </cell>
          <cell r="R1134" t="str">
            <v>No inspection</v>
          </cell>
          <cell r="S1134">
            <v>12883</v>
          </cell>
          <cell r="T1134" t="str">
            <v>EXW</v>
          </cell>
          <cell r="U1134" t="str">
            <v>LUC</v>
          </cell>
        </row>
        <row r="1135">
          <cell r="D1135">
            <v>4.5999999999999996</v>
          </cell>
          <cell r="F1135">
            <v>380432286665</v>
          </cell>
          <cell r="G1135" t="str">
            <v>c/o DHL Supply Chain SGP P/L
Texas Instruments Southeast Asia Pt</v>
          </cell>
          <cell r="H1135" t="str">
            <v>Delivered</v>
          </cell>
          <cell r="I1135" t="str">
            <v>IC V</v>
          </cell>
          <cell r="J1135" t="str">
            <v>Fedex</v>
          </cell>
          <cell r="K1135" t="str">
            <v>VVMV</v>
          </cell>
          <cell r="L1135" t="str">
            <v>SG</v>
          </cell>
          <cell r="M1135">
            <v>46125</v>
          </cell>
          <cell r="N1135">
            <v>46132</v>
          </cell>
          <cell r="O1135">
            <v>46132</v>
          </cell>
          <cell r="P1135">
            <v>108161529820</v>
          </cell>
          <cell r="Q1135">
            <v>46129</v>
          </cell>
          <cell r="R1135" t="str">
            <v>No inspection</v>
          </cell>
          <cell r="S1135">
            <v>8100</v>
          </cell>
          <cell r="T1135" t="str">
            <v>EXW</v>
          </cell>
          <cell r="U1135" t="str">
            <v>PUR</v>
          </cell>
        </row>
        <row r="1136">
          <cell r="D1136">
            <v>0.4</v>
          </cell>
          <cell r="F1136">
            <v>380472108764</v>
          </cell>
          <cell r="G1136" t="str">
            <v>DHL SUPPLY CHAIN MGMT PHILS INC
ON BEHALF OF ANALOG DEVICES INT</v>
          </cell>
          <cell r="H1136" t="str">
            <v>Delivered</v>
          </cell>
          <cell r="I1136" t="str">
            <v>IC V</v>
          </cell>
          <cell r="J1136" t="str">
            <v>Fedex</v>
          </cell>
          <cell r="K1136" t="str">
            <v>VVMV</v>
          </cell>
          <cell r="L1136" t="str">
            <v>PH</v>
          </cell>
          <cell r="M1136">
            <v>46125</v>
          </cell>
          <cell r="N1136">
            <v>46128</v>
          </cell>
          <cell r="O1136">
            <v>46133</v>
          </cell>
          <cell r="P1136">
            <v>108154130930</v>
          </cell>
          <cell r="Q1136">
            <v>46127</v>
          </cell>
          <cell r="R1136" t="str">
            <v>No inspection</v>
          </cell>
          <cell r="S1136">
            <v>1230</v>
          </cell>
          <cell r="T1136" t="str">
            <v>EXW</v>
          </cell>
          <cell r="U1136" t="str">
            <v>PUR</v>
          </cell>
        </row>
        <row r="1137">
          <cell r="D1137">
            <v>2.2000000000000002</v>
          </cell>
          <cell r="F1137">
            <v>870632083603</v>
          </cell>
          <cell r="G1137" t="str">
            <v>BRAIN POWER</v>
          </cell>
          <cell r="H1137" t="str">
            <v>Delivered</v>
          </cell>
          <cell r="I1137" t="str">
            <v xml:space="preserve">PCB </v>
          </cell>
          <cell r="J1137" t="str">
            <v>Fedex</v>
          </cell>
          <cell r="K1137" t="str">
            <v>VVMV</v>
          </cell>
          <cell r="L1137" t="str">
            <v>HK</v>
          </cell>
          <cell r="M1137">
            <v>46126</v>
          </cell>
          <cell r="N1137">
            <v>46128</v>
          </cell>
          <cell r="O1137">
            <v>46129</v>
          </cell>
          <cell r="P1137">
            <v>108154274430</v>
          </cell>
          <cell r="Q1137">
            <v>46127</v>
          </cell>
          <cell r="R1137" t="str">
            <v>No inspection</v>
          </cell>
          <cell r="S1137">
            <v>3125</v>
          </cell>
          <cell r="T1137" t="str">
            <v>EXW</v>
          </cell>
          <cell r="U1137">
            <v>141</v>
          </cell>
        </row>
        <row r="1138">
          <cell r="D1138">
            <v>0.8</v>
          </cell>
          <cell r="F1138">
            <v>870582474818</v>
          </cell>
          <cell r="G1138" t="str">
            <v>VITAL SYSTEM TECHNOLOGY PTE LTD</v>
          </cell>
          <cell r="H1138" t="str">
            <v>Delivered</v>
          </cell>
          <cell r="I1138" t="str">
            <v xml:space="preserve">RES </v>
          </cell>
          <cell r="J1138" t="str">
            <v>Fedex</v>
          </cell>
          <cell r="K1138" t="str">
            <v>VVMV</v>
          </cell>
          <cell r="L1138" t="str">
            <v>SG</v>
          </cell>
          <cell r="M1138">
            <v>46125</v>
          </cell>
          <cell r="N1138">
            <v>46128</v>
          </cell>
          <cell r="O1138">
            <v>46133</v>
          </cell>
          <cell r="P1138">
            <v>108153272620</v>
          </cell>
          <cell r="Q1138">
            <v>46127</v>
          </cell>
          <cell r="R1138" t="str">
            <v>No inspection</v>
          </cell>
          <cell r="S1138">
            <v>327</v>
          </cell>
          <cell r="T1138" t="str">
            <v>EXW</v>
          </cell>
          <cell r="U1138" t="str">
            <v>PUR</v>
          </cell>
        </row>
        <row r="1139">
          <cell r="D1139">
            <v>14.2</v>
          </cell>
          <cell r="F1139">
            <v>510007337690</v>
          </cell>
          <cell r="G1139" t="str">
            <v>SINO FAITH TECHNOLOGY  DVPT LTD</v>
          </cell>
          <cell r="H1139" t="str">
            <v>Delivered</v>
          </cell>
          <cell r="I1139" t="str">
            <v>RES , CAP , FERR</v>
          </cell>
          <cell r="J1139" t="str">
            <v>Fedex</v>
          </cell>
          <cell r="K1139" t="str">
            <v>VVMV</v>
          </cell>
          <cell r="L1139" t="str">
            <v>HK</v>
          </cell>
          <cell r="M1139">
            <v>46126</v>
          </cell>
          <cell r="N1139">
            <v>46128</v>
          </cell>
          <cell r="O1139">
            <v>46129</v>
          </cell>
          <cell r="P1139">
            <v>108154244110</v>
          </cell>
          <cell r="Q1139">
            <v>46127</v>
          </cell>
          <cell r="R1139" t="str">
            <v>No inspection</v>
          </cell>
          <cell r="S1139">
            <v>4105.5</v>
          </cell>
          <cell r="T1139" t="str">
            <v>EXW</v>
          </cell>
          <cell r="U1139" t="str">
            <v>PUR</v>
          </cell>
        </row>
        <row r="1140">
          <cell r="D1140">
            <v>1.2</v>
          </cell>
          <cell r="F1140">
            <v>380414865344</v>
          </cell>
          <cell r="G1140" t="str">
            <v>TEXAS INSTRUMENTS ASIA LIMITED
C/O KWE LOGISTICS (SHENZHEN)</v>
          </cell>
          <cell r="H1140" t="str">
            <v>Delivered</v>
          </cell>
          <cell r="I1140" t="str">
            <v>IC V</v>
          </cell>
          <cell r="J1140" t="str">
            <v>Fedex</v>
          </cell>
          <cell r="K1140" t="str">
            <v>VVMV</v>
          </cell>
          <cell r="L1140" t="str">
            <v>CN</v>
          </cell>
          <cell r="M1140">
            <v>46123</v>
          </cell>
          <cell r="N1140">
            <v>46128</v>
          </cell>
          <cell r="O1140">
            <v>46129</v>
          </cell>
          <cell r="P1140">
            <v>108154360530</v>
          </cell>
          <cell r="Q1140">
            <v>46127</v>
          </cell>
          <cell r="R1140" t="str">
            <v>No inspection</v>
          </cell>
          <cell r="S1140">
            <v>1170</v>
          </cell>
          <cell r="T1140" t="str">
            <v>EXW</v>
          </cell>
          <cell r="U1140" t="str">
            <v>LUC</v>
          </cell>
        </row>
        <row r="1141">
          <cell r="D1141">
            <v>1.6</v>
          </cell>
          <cell r="F1141">
            <v>518908487130</v>
          </cell>
          <cell r="G1141" t="str">
            <v>MICRON SEMICONDUCTOR XIAN CO, LTD</v>
          </cell>
          <cell r="H1141" t="str">
            <v>Delivered</v>
          </cell>
          <cell r="I1141" t="str">
            <v xml:space="preserve">MEM </v>
          </cell>
          <cell r="J1141" t="str">
            <v>Fedex</v>
          </cell>
          <cell r="K1141" t="str">
            <v>VVMV</v>
          </cell>
          <cell r="L1141" t="str">
            <v>CN</v>
          </cell>
          <cell r="M1141">
            <v>46125</v>
          </cell>
          <cell r="N1141">
            <v>46129</v>
          </cell>
          <cell r="O1141">
            <v>46129</v>
          </cell>
          <cell r="P1141">
            <v>108156022220</v>
          </cell>
          <cell r="Q1141">
            <v>46128</v>
          </cell>
          <cell r="R1141" t="str">
            <v>No inspection</v>
          </cell>
          <cell r="S1141">
            <v>15720</v>
          </cell>
          <cell r="T1141" t="str">
            <v>EXW</v>
          </cell>
          <cell r="U1141" t="str">
            <v>HLO</v>
          </cell>
        </row>
        <row r="1142">
          <cell r="D1142">
            <v>1.9</v>
          </cell>
          <cell r="F1142">
            <v>380421828098</v>
          </cell>
          <cell r="G1142" t="str">
            <v>c/o DHL Supply Chain SGP P/L
Texas Instruments Southeast Asia Pt</v>
          </cell>
          <cell r="H1142" t="str">
            <v>Delivered</v>
          </cell>
          <cell r="I1142" t="str">
            <v>IC S</v>
          </cell>
          <cell r="J1142" t="str">
            <v>Fedex</v>
          </cell>
          <cell r="K1142" t="str">
            <v>VVMV</v>
          </cell>
          <cell r="L1142" t="str">
            <v>SG</v>
          </cell>
          <cell r="M1142">
            <v>46125</v>
          </cell>
          <cell r="N1142">
            <v>46129</v>
          </cell>
          <cell r="O1142">
            <v>46132</v>
          </cell>
          <cell r="P1142">
            <v>108158053030</v>
          </cell>
          <cell r="Q1142">
            <v>46128</v>
          </cell>
          <cell r="R1142" t="str">
            <v>No inspection</v>
          </cell>
          <cell r="S1142">
            <v>3630</v>
          </cell>
          <cell r="T1142" t="str">
            <v>EXW</v>
          </cell>
          <cell r="U1142" t="str">
            <v>PUR</v>
          </cell>
        </row>
        <row r="1143">
          <cell r="D1143">
            <v>21.6</v>
          </cell>
          <cell r="F1143">
            <v>518027538694</v>
          </cell>
          <cell r="G1143" t="str">
            <v>MICROCHIP TECNOLOGY(TH) CO LTD</v>
          </cell>
          <cell r="H1143" t="str">
            <v>Delivered</v>
          </cell>
          <cell r="I1143" t="str">
            <v>IC Y</v>
          </cell>
          <cell r="J1143" t="str">
            <v>Fedex</v>
          </cell>
          <cell r="K1143" t="str">
            <v>VVMV</v>
          </cell>
          <cell r="L1143" t="str">
            <v>TH</v>
          </cell>
          <cell r="M1143">
            <v>46123</v>
          </cell>
          <cell r="N1143">
            <v>46129</v>
          </cell>
          <cell r="O1143">
            <v>46129</v>
          </cell>
          <cell r="P1143">
            <v>108156370820</v>
          </cell>
          <cell r="Q1143">
            <v>46128</v>
          </cell>
          <cell r="R1143" t="str">
            <v>No inspection</v>
          </cell>
          <cell r="S1143">
            <v>249267.92</v>
          </cell>
          <cell r="T1143" t="str">
            <v>EXW</v>
          </cell>
          <cell r="U1143" t="str">
            <v>PUR</v>
          </cell>
        </row>
        <row r="1144">
          <cell r="D1144">
            <v>2.9</v>
          </cell>
          <cell r="F1144">
            <v>870634834161</v>
          </cell>
          <cell r="G1144" t="str">
            <v>CYMMETRIK SHENZHEN PRINTING CO., LTD</v>
          </cell>
          <cell r="H1144" t="str">
            <v>Delivered</v>
          </cell>
          <cell r="I1144" t="str">
            <v>LABE</v>
          </cell>
          <cell r="J1144" t="str">
            <v>Fedex</v>
          </cell>
          <cell r="K1144" t="str">
            <v>VVMV</v>
          </cell>
          <cell r="L1144" t="str">
            <v>CN</v>
          </cell>
          <cell r="M1144">
            <v>46126</v>
          </cell>
          <cell r="N1144">
            <v>46129</v>
          </cell>
          <cell r="O1144">
            <v>46129</v>
          </cell>
          <cell r="P1144">
            <v>108157808730</v>
          </cell>
          <cell r="Q1144">
            <v>46128</v>
          </cell>
          <cell r="R1144" t="str">
            <v>No inspection</v>
          </cell>
          <cell r="S1144">
            <v>3200</v>
          </cell>
          <cell r="T1144" t="str">
            <v>EXW</v>
          </cell>
          <cell r="U1144" t="str">
            <v>PUR</v>
          </cell>
        </row>
        <row r="1145">
          <cell r="D1145">
            <v>2580</v>
          </cell>
          <cell r="F1145" t="str">
            <v>LSHHPH2602973</v>
          </cell>
          <cell r="G1145" t="str">
            <v>YANCHENG CHARLES POWER TECHNOLOGY GROUP CO., LTD</v>
          </cell>
          <cell r="H1145" t="str">
            <v>Delivered</v>
          </cell>
          <cell r="I1145" t="str">
            <v xml:space="preserve">BCM , GRAV, VCU </v>
          </cell>
          <cell r="J1145" t="str">
            <v>Dolphin(sea)</v>
          </cell>
          <cell r="K1145" t="str">
            <v>Dolphin</v>
          </cell>
          <cell r="L1145" t="str">
            <v>CN</v>
          </cell>
          <cell r="M1145">
            <v>46124</v>
          </cell>
          <cell r="N1145">
            <v>46134</v>
          </cell>
          <cell r="O1145">
            <v>46134</v>
          </cell>
          <cell r="P1145">
            <v>108166120860</v>
          </cell>
          <cell r="Q1145">
            <v>46132</v>
          </cell>
          <cell r="R1145" t="str">
            <v>No inspection</v>
          </cell>
          <cell r="S1145" t="str">
            <v>49.608</v>
          </cell>
          <cell r="T1145" t="str">
            <v>FOB</v>
          </cell>
          <cell r="U1145" t="str">
            <v>LUC</v>
          </cell>
        </row>
        <row r="1146">
          <cell r="D1146">
            <v>1.5</v>
          </cell>
          <cell r="F1146">
            <v>4110336065</v>
          </cell>
          <cell r="G1146" t="str">
            <v>Avnet, Inc.</v>
          </cell>
          <cell r="H1146" t="str">
            <v>Delivered</v>
          </cell>
          <cell r="I1146" t="str">
            <v>CONN</v>
          </cell>
          <cell r="J1146" t="str">
            <v>Expeditors</v>
          </cell>
          <cell r="K1146" t="str">
            <v>VVMV</v>
          </cell>
          <cell r="L1146" t="str">
            <v>US</v>
          </cell>
          <cell r="M1146">
            <v>46125</v>
          </cell>
          <cell r="N1146">
            <v>46133</v>
          </cell>
          <cell r="O1146">
            <v>46133</v>
          </cell>
          <cell r="P1146">
            <v>108165904010</v>
          </cell>
          <cell r="Q1146">
            <v>46132</v>
          </cell>
          <cell r="R1146" t="str">
            <v>No inspection</v>
          </cell>
          <cell r="S1146">
            <v>151.66999999999999</v>
          </cell>
          <cell r="T1146" t="str">
            <v>DAP</v>
          </cell>
          <cell r="U1146" t="str">
            <v>LUC</v>
          </cell>
        </row>
        <row r="1147">
          <cell r="D1147">
            <v>95.5</v>
          </cell>
          <cell r="F1147">
            <v>4110336070</v>
          </cell>
          <cell r="G1147" t="str">
            <v>Avnet, Inc.</v>
          </cell>
          <cell r="H1147" t="str">
            <v>Delivered</v>
          </cell>
          <cell r="I1147" t="str">
            <v>CONN</v>
          </cell>
          <cell r="J1147" t="str">
            <v>Expeditors</v>
          </cell>
          <cell r="K1147" t="str">
            <v>VVMV</v>
          </cell>
          <cell r="L1147" t="str">
            <v>US</v>
          </cell>
          <cell r="M1147">
            <v>46126</v>
          </cell>
          <cell r="N1147">
            <v>46133</v>
          </cell>
          <cell r="O1147">
            <v>46133</v>
          </cell>
          <cell r="P1147">
            <v>108165255000</v>
          </cell>
          <cell r="Q1147">
            <v>46132</v>
          </cell>
          <cell r="R1147" t="str">
            <v>No inspection</v>
          </cell>
          <cell r="S1147">
            <v>6938.4</v>
          </cell>
          <cell r="T1147" t="str">
            <v>DAP</v>
          </cell>
          <cell r="U1147" t="str">
            <v>LUC</v>
          </cell>
        </row>
        <row r="1148">
          <cell r="D1148">
            <v>24.2</v>
          </cell>
          <cell r="F1148" t="str">
            <v>8XN3684</v>
          </cell>
          <cell r="G1148" t="str">
            <v>KIOXIA CORPORATION C/O KIOXIA AMERICA INC</v>
          </cell>
          <cell r="H1148" t="str">
            <v>Delivered</v>
          </cell>
          <cell r="I1148" t="str">
            <v xml:space="preserve">MEM </v>
          </cell>
          <cell r="J1148" t="str">
            <v>DHL</v>
          </cell>
          <cell r="K1148" t="str">
            <v>DHL</v>
          </cell>
          <cell r="L1148" t="str">
            <v>JP</v>
          </cell>
          <cell r="M1148">
            <v>46128</v>
          </cell>
          <cell r="N1148">
            <v>46129</v>
          </cell>
          <cell r="O1148">
            <v>46129</v>
          </cell>
          <cell r="P1148">
            <v>108159416740</v>
          </cell>
          <cell r="Q1148">
            <v>46129</v>
          </cell>
          <cell r="R1148" t="str">
            <v>No inspection</v>
          </cell>
          <cell r="S1148">
            <v>767938.14</v>
          </cell>
          <cell r="T1148" t="str">
            <v>DAP</v>
          </cell>
          <cell r="U1148" t="str">
            <v>HLO</v>
          </cell>
        </row>
        <row r="1149">
          <cell r="D1149">
            <v>4</v>
          </cell>
          <cell r="F1149">
            <v>1239890584</v>
          </cell>
          <cell r="G1149" t="str">
            <v>TTI INC</v>
          </cell>
          <cell r="H1149" t="str">
            <v>Delivered</v>
          </cell>
          <cell r="I1149" t="str">
            <v xml:space="preserve">INDU, RES </v>
          </cell>
          <cell r="J1149" t="str">
            <v>DHL</v>
          </cell>
          <cell r="K1149" t="str">
            <v>VVMV</v>
          </cell>
          <cell r="L1149" t="str">
            <v>US</v>
          </cell>
          <cell r="M1149">
            <v>46128</v>
          </cell>
          <cell r="N1149">
            <v>46132</v>
          </cell>
          <cell r="O1149">
            <v>46132</v>
          </cell>
          <cell r="P1149">
            <v>108165040650</v>
          </cell>
          <cell r="Q1149">
            <v>46132</v>
          </cell>
          <cell r="R1149" t="str">
            <v>No inspection</v>
          </cell>
          <cell r="S1149">
            <v>1688</v>
          </cell>
          <cell r="T1149" t="str">
            <v>CIF</v>
          </cell>
          <cell r="U1149" t="str">
            <v>LUC</v>
          </cell>
        </row>
        <row r="1150">
          <cell r="D1150">
            <v>1</v>
          </cell>
          <cell r="F1150">
            <v>380546221141</v>
          </cell>
          <cell r="G1150" t="str">
            <v>C/O DHL Supply Chain Mgnt Phils  
 Analog Devices Gen. Trias, Inc.</v>
          </cell>
          <cell r="H1150" t="str">
            <v>Delivered</v>
          </cell>
          <cell r="I1150" t="str">
            <v>IC M</v>
          </cell>
          <cell r="J1150" t="str">
            <v>Fedex</v>
          </cell>
          <cell r="K1150" t="str">
            <v>VVMV</v>
          </cell>
          <cell r="L1150" t="str">
            <v>PH</v>
          </cell>
          <cell r="M1150">
            <v>46128</v>
          </cell>
          <cell r="N1150">
            <v>46132</v>
          </cell>
          <cell r="O1150">
            <v>46132</v>
          </cell>
          <cell r="P1150">
            <v>108160856200</v>
          </cell>
          <cell r="Q1150">
            <v>46129</v>
          </cell>
          <cell r="R1150" t="str">
            <v>No inspection</v>
          </cell>
          <cell r="S1150">
            <v>2750</v>
          </cell>
          <cell r="T1150" t="str">
            <v>EXW</v>
          </cell>
          <cell r="U1150" t="str">
            <v>LUC</v>
          </cell>
        </row>
        <row r="1151">
          <cell r="D1151">
            <v>0.4</v>
          </cell>
          <cell r="F1151">
            <v>493602830447</v>
          </cell>
          <cell r="G1151" t="str">
            <v>VENKEL LTD</v>
          </cell>
          <cell r="H1151" t="str">
            <v>Delivered</v>
          </cell>
          <cell r="I1151" t="str">
            <v xml:space="preserve">CAP </v>
          </cell>
          <cell r="J1151" t="str">
            <v>Fedex</v>
          </cell>
          <cell r="K1151" t="str">
            <v>VVMV</v>
          </cell>
          <cell r="L1151" t="str">
            <v>US</v>
          </cell>
          <cell r="M1151">
            <v>46125</v>
          </cell>
          <cell r="N1151">
            <v>46132</v>
          </cell>
          <cell r="O1151">
            <v>46132</v>
          </cell>
          <cell r="P1151">
            <v>108161217400</v>
          </cell>
          <cell r="Q1151">
            <v>46129</v>
          </cell>
          <cell r="R1151" t="str">
            <v>No inspection</v>
          </cell>
          <cell r="S1151">
            <v>99</v>
          </cell>
          <cell r="T1151" t="str">
            <v>CIF</v>
          </cell>
          <cell r="U1151" t="str">
            <v>EF-</v>
          </cell>
        </row>
        <row r="1152">
          <cell r="D1152">
            <v>0.5</v>
          </cell>
          <cell r="F1152">
            <v>500292583982</v>
          </cell>
          <cell r="G1152" t="str">
            <v>ARROW COMPONENTS MEXICO SA De CV</v>
          </cell>
          <cell r="H1152" t="str">
            <v>Delivered</v>
          </cell>
          <cell r="I1152" t="str">
            <v>IC E</v>
          </cell>
          <cell r="J1152" t="str">
            <v>Fedex</v>
          </cell>
          <cell r="K1152" t="str">
            <v>VVMV</v>
          </cell>
          <cell r="L1152" t="str">
            <v>MX</v>
          </cell>
          <cell r="M1152">
            <v>46125</v>
          </cell>
          <cell r="N1152">
            <v>46132</v>
          </cell>
          <cell r="O1152">
            <v>46132</v>
          </cell>
          <cell r="P1152">
            <v>108161175400</v>
          </cell>
          <cell r="Q1152">
            <v>46129</v>
          </cell>
          <cell r="R1152" t="str">
            <v>No inspection</v>
          </cell>
          <cell r="S1152">
            <v>575</v>
          </cell>
          <cell r="T1152" t="str">
            <v>CIF</v>
          </cell>
          <cell r="U1152" t="str">
            <v>PUR</v>
          </cell>
        </row>
        <row r="1153">
          <cell r="D1153">
            <v>11.9</v>
          </cell>
          <cell r="F1153">
            <v>870609416300</v>
          </cell>
          <cell r="G1153" t="str">
            <v>WURTH ELECTRONICS MIDCOM</v>
          </cell>
          <cell r="H1153" t="str">
            <v>Delivered</v>
          </cell>
          <cell r="I1153" t="str">
            <v xml:space="preserve">IND </v>
          </cell>
          <cell r="J1153" t="str">
            <v>Fedex</v>
          </cell>
          <cell r="K1153" t="str">
            <v>VVMV</v>
          </cell>
          <cell r="L1153" t="str">
            <v>US</v>
          </cell>
          <cell r="M1153">
            <v>46125</v>
          </cell>
          <cell r="N1153">
            <v>46132</v>
          </cell>
          <cell r="O1153">
            <v>46132</v>
          </cell>
          <cell r="P1153">
            <v>108161241200</v>
          </cell>
          <cell r="Q1153">
            <v>46129</v>
          </cell>
          <cell r="R1153" t="str">
            <v>No inspection</v>
          </cell>
          <cell r="S1153">
            <v>22680</v>
          </cell>
          <cell r="T1153" t="str">
            <v>CIF</v>
          </cell>
          <cell r="U1153" t="str">
            <v>LUC</v>
          </cell>
        </row>
        <row r="1154">
          <cell r="D1154">
            <v>5.2</v>
          </cell>
          <cell r="F1154">
            <v>870516807979</v>
          </cell>
          <cell r="G1154" t="str">
            <v>GOTREND TECHNOLOGY CO.,LTD.</v>
          </cell>
          <cell r="H1154" t="str">
            <v>Delivered</v>
          </cell>
          <cell r="I1154" t="str">
            <v xml:space="preserve">FERR, IND </v>
          </cell>
          <cell r="J1154" t="str">
            <v>Fedex</v>
          </cell>
          <cell r="K1154" t="str">
            <v>VVMV</v>
          </cell>
          <cell r="L1154" t="str">
            <v>TW</v>
          </cell>
          <cell r="M1154">
            <v>46125</v>
          </cell>
          <cell r="N1154">
            <v>46132</v>
          </cell>
          <cell r="O1154">
            <v>46132</v>
          </cell>
          <cell r="P1154">
            <v>108161452230</v>
          </cell>
          <cell r="Q1154">
            <v>46129</v>
          </cell>
          <cell r="R1154" t="str">
            <v>No inspection</v>
          </cell>
          <cell r="S1154">
            <v>2056.75</v>
          </cell>
          <cell r="T1154" t="str">
            <v>EXW</v>
          </cell>
          <cell r="U1154">
            <v>123</v>
          </cell>
        </row>
        <row r="1155">
          <cell r="D1155">
            <v>1.7</v>
          </cell>
          <cell r="F1155">
            <v>380475209729</v>
          </cell>
          <cell r="G1155" t="str">
            <v>c/o DHL Supply Chain SGP P/L
Texas Instruments Southeast Asia Pt</v>
          </cell>
          <cell r="H1155" t="str">
            <v>Delivered</v>
          </cell>
          <cell r="I1155" t="str">
            <v>IC S</v>
          </cell>
          <cell r="J1155" t="str">
            <v>Fedex</v>
          </cell>
          <cell r="K1155" t="str">
            <v>VVMV</v>
          </cell>
          <cell r="L1155" t="str">
            <v>SG</v>
          </cell>
          <cell r="M1155">
            <v>46126</v>
          </cell>
          <cell r="N1155">
            <v>46132</v>
          </cell>
          <cell r="O1155">
            <v>46132</v>
          </cell>
          <cell r="P1155">
            <v>108162394650</v>
          </cell>
          <cell r="Q1155">
            <v>46129</v>
          </cell>
          <cell r="R1155" t="str">
            <v>No inspection</v>
          </cell>
          <cell r="S1155">
            <v>2904</v>
          </cell>
          <cell r="T1155" t="str">
            <v>EXW</v>
          </cell>
          <cell r="U1155" t="str">
            <v>PUR</v>
          </cell>
        </row>
        <row r="1156">
          <cell r="D1156">
            <v>29.9</v>
          </cell>
          <cell r="F1156">
            <v>471797726921</v>
          </cell>
          <cell r="G1156" t="str">
            <v>LIPERS ENTERPRISE CO., LTD.</v>
          </cell>
          <cell r="H1156" t="str">
            <v>Delivered</v>
          </cell>
          <cell r="I1156" t="str">
            <v xml:space="preserve">CAPC, CAP </v>
          </cell>
          <cell r="J1156" t="str">
            <v>Fedex</v>
          </cell>
          <cell r="K1156" t="str">
            <v>VVMV</v>
          </cell>
          <cell r="L1156" t="str">
            <v>TW</v>
          </cell>
          <cell r="M1156">
            <v>46125</v>
          </cell>
          <cell r="N1156">
            <v>46132</v>
          </cell>
          <cell r="O1156">
            <v>46132</v>
          </cell>
          <cell r="P1156">
            <v>108161867920</v>
          </cell>
          <cell r="Q1156">
            <v>46129</v>
          </cell>
          <cell r="R1156" t="str">
            <v>No inspection</v>
          </cell>
          <cell r="S1156">
            <v>2072.6999999999998</v>
          </cell>
          <cell r="T1156" t="str">
            <v>EXW</v>
          </cell>
          <cell r="U1156" t="str">
            <v>PUR</v>
          </cell>
        </row>
        <row r="1157">
          <cell r="D1157">
            <v>26.1</v>
          </cell>
          <cell r="F1157">
            <v>870763540683</v>
          </cell>
          <cell r="G1157" t="str">
            <v>COMPEQ MANUFACTURING CO.,LTD</v>
          </cell>
          <cell r="H1157" t="str">
            <v>Delivered</v>
          </cell>
          <cell r="I1157" t="str">
            <v xml:space="preserve">PCB </v>
          </cell>
          <cell r="J1157" t="str">
            <v>Fedex</v>
          </cell>
          <cell r="K1157" t="str">
            <v>VVMV</v>
          </cell>
          <cell r="L1157" t="str">
            <v>TW</v>
          </cell>
          <cell r="M1157">
            <v>46129</v>
          </cell>
          <cell r="N1157">
            <v>46133</v>
          </cell>
          <cell r="O1157">
            <v>46133</v>
          </cell>
          <cell r="P1157">
            <v>108166212930</v>
          </cell>
          <cell r="Q1157">
            <v>46132</v>
          </cell>
          <cell r="R1157" t="str">
            <v>No inspection</v>
          </cell>
          <cell r="S1157">
            <v>5577.6</v>
          </cell>
          <cell r="T1157" t="str">
            <v>CIF</v>
          </cell>
          <cell r="U1157" t="str">
            <v>PUR</v>
          </cell>
        </row>
        <row r="1158">
          <cell r="D1158">
            <v>80</v>
          </cell>
          <cell r="F1158" t="str">
            <v>HTE26SL415</v>
          </cell>
          <cell r="G1158" t="str">
            <v>SEA LINK DIE CASTING KUNSHAN CO.,LTD</v>
          </cell>
          <cell r="H1158" t="str">
            <v>Delivered</v>
          </cell>
          <cell r="I1158" t="str">
            <v>HL H</v>
          </cell>
          <cell r="J1158" t="str">
            <v>Litri</v>
          </cell>
          <cell r="K1158" t="str">
            <v>VVMV</v>
          </cell>
          <cell r="L1158" t="str">
            <v>CN</v>
          </cell>
          <cell r="M1158">
            <v>46131</v>
          </cell>
          <cell r="N1158">
            <v>46133</v>
          </cell>
          <cell r="O1158">
            <v>46133</v>
          </cell>
          <cell r="P1158">
            <v>108167561130</v>
          </cell>
          <cell r="Q1158">
            <v>46132</v>
          </cell>
          <cell r="R1158" t="str">
            <v>No inspection</v>
          </cell>
          <cell r="S1158">
            <v>2019.6</v>
          </cell>
          <cell r="T1158" t="str">
            <v>DAP</v>
          </cell>
          <cell r="U1158" t="str">
            <v>LUC</v>
          </cell>
        </row>
        <row r="1159">
          <cell r="D1159">
            <v>2.7</v>
          </cell>
          <cell r="F1159">
            <v>870676094253</v>
          </cell>
          <cell r="G1159" t="str">
            <v>AIC INC</v>
          </cell>
          <cell r="H1159" t="str">
            <v>Delivered</v>
          </cell>
          <cell r="I1159" t="str">
            <v>IC H</v>
          </cell>
          <cell r="J1159" t="str">
            <v>Fedex</v>
          </cell>
          <cell r="K1159" t="str">
            <v>VVMV</v>
          </cell>
          <cell r="L1159" t="str">
            <v>TW</v>
          </cell>
          <cell r="M1159">
            <v>46127</v>
          </cell>
          <cell r="N1159">
            <v>46133</v>
          </cell>
          <cell r="O1159">
            <v>46133</v>
          </cell>
          <cell r="P1159">
            <v>108166118210</v>
          </cell>
          <cell r="Q1159">
            <v>46132</v>
          </cell>
          <cell r="R1159" t="str">
            <v>No inspection</v>
          </cell>
          <cell r="S1159">
            <v>982.8</v>
          </cell>
          <cell r="T1159" t="str">
            <v>EXW</v>
          </cell>
          <cell r="U1159" t="str">
            <v>AIC</v>
          </cell>
        </row>
        <row r="1160">
          <cell r="D1160">
            <v>99.3</v>
          </cell>
          <cell r="F1160">
            <v>9942471873</v>
          </cell>
          <cell r="G1160" t="str">
            <v>Avnet, Inc.</v>
          </cell>
          <cell r="H1160" t="str">
            <v>Delivered</v>
          </cell>
          <cell r="I1160" t="str">
            <v xml:space="preserve">DIOD, LED , IC P, TRAN, IC D, IC M, RES , CAP </v>
          </cell>
          <cell r="J1160" t="str">
            <v>DHL</v>
          </cell>
          <cell r="K1160" t="str">
            <v>VVMV</v>
          </cell>
          <cell r="L1160" t="str">
            <v>US</v>
          </cell>
          <cell r="M1160">
            <v>46129</v>
          </cell>
          <cell r="N1160">
            <v>46140</v>
          </cell>
          <cell r="O1160">
            <v>46135</v>
          </cell>
          <cell r="P1160">
            <v>108177455260</v>
          </cell>
          <cell r="Q1160">
            <v>46134</v>
          </cell>
          <cell r="R1160" t="str">
            <v>No inspection</v>
          </cell>
          <cell r="S1160">
            <v>176864.4</v>
          </cell>
          <cell r="T1160" t="str">
            <v>CIF</v>
          </cell>
          <cell r="U1160" t="str">
            <v>LUC</v>
          </cell>
        </row>
        <row r="1161">
          <cell r="D1161">
            <v>0.1</v>
          </cell>
          <cell r="F1161">
            <v>522511933315</v>
          </cell>
          <cell r="G1161" t="str">
            <v>DIGI-KEY ELECTRONICS</v>
          </cell>
          <cell r="H1161" t="str">
            <v>Delivered</v>
          </cell>
          <cell r="I1161" t="str">
            <v xml:space="preserve">RES </v>
          </cell>
          <cell r="J1161" t="str">
            <v>Fedex</v>
          </cell>
          <cell r="K1161" t="str">
            <v>VVMV</v>
          </cell>
          <cell r="L1161" t="str">
            <v>US</v>
          </cell>
          <cell r="M1161">
            <v>46129</v>
          </cell>
          <cell r="N1161">
            <v>46133</v>
          </cell>
          <cell r="O1161">
            <v>46133</v>
          </cell>
          <cell r="P1161">
            <v>108166555120</v>
          </cell>
          <cell r="Q1161">
            <v>46132</v>
          </cell>
          <cell r="R1161" t="str">
            <v>No inspection</v>
          </cell>
          <cell r="S1161">
            <v>54</v>
          </cell>
          <cell r="T1161" t="str">
            <v>CIF</v>
          </cell>
          <cell r="U1161" t="str">
            <v>PUR</v>
          </cell>
        </row>
        <row r="1162">
          <cell r="D1162">
            <v>0.9</v>
          </cell>
          <cell r="F1162">
            <v>500292586330</v>
          </cell>
          <cell r="G1162" t="str">
            <v>ARROW COMPONENTS MEXICO SA De CV</v>
          </cell>
          <cell r="H1162" t="str">
            <v>Delivered</v>
          </cell>
          <cell r="I1162" t="str">
            <v>IC E</v>
          </cell>
          <cell r="J1162" t="str">
            <v>Fedex</v>
          </cell>
          <cell r="K1162" t="str">
            <v>VVMV</v>
          </cell>
          <cell r="L1162" t="str">
            <v>MX</v>
          </cell>
          <cell r="M1162">
            <v>46125</v>
          </cell>
          <cell r="N1162">
            <v>46133</v>
          </cell>
          <cell r="O1162">
            <v>46133</v>
          </cell>
          <cell r="P1162">
            <v>108168160700</v>
          </cell>
          <cell r="Q1162">
            <v>46132</v>
          </cell>
          <cell r="R1162" t="str">
            <v>No inspection</v>
          </cell>
          <cell r="S1162">
            <v>575</v>
          </cell>
          <cell r="T1162" t="str">
            <v>CIF</v>
          </cell>
          <cell r="U1162" t="str">
            <v>PUR</v>
          </cell>
        </row>
        <row r="1163">
          <cell r="D1163">
            <v>3</v>
          </cell>
          <cell r="F1163">
            <v>380545523032</v>
          </cell>
          <cell r="G1163" t="str">
            <v>Analog Devices (Thailand) Co., Ltd</v>
          </cell>
          <cell r="H1163" t="str">
            <v>Delivered</v>
          </cell>
          <cell r="I1163" t="str">
            <v>IC C</v>
          </cell>
          <cell r="J1163" t="str">
            <v>Fedex</v>
          </cell>
          <cell r="K1163" t="str">
            <v>VVMV</v>
          </cell>
          <cell r="L1163" t="str">
            <v>TH</v>
          </cell>
          <cell r="M1163">
            <v>46128</v>
          </cell>
          <cell r="N1163">
            <v>46134</v>
          </cell>
          <cell r="O1163">
            <v>46075</v>
          </cell>
          <cell r="P1163">
            <v>108168210250</v>
          </cell>
          <cell r="Q1163">
            <v>46132</v>
          </cell>
          <cell r="R1163" t="str">
            <v>No inspection</v>
          </cell>
          <cell r="S1163">
            <v>43500</v>
          </cell>
          <cell r="T1163" t="str">
            <v>EXW</v>
          </cell>
          <cell r="U1163" t="str">
            <v>LUC</v>
          </cell>
        </row>
        <row r="1164">
          <cell r="D1164">
            <v>2.4</v>
          </cell>
          <cell r="F1164">
            <v>430998664082</v>
          </cell>
          <cell r="G1164" t="str">
            <v>MICROCHIP TECNOLOGY(TH) CO LTD</v>
          </cell>
          <cell r="H1164" t="str">
            <v>Delivered</v>
          </cell>
          <cell r="I1164" t="str">
            <v xml:space="preserve">OSC </v>
          </cell>
          <cell r="J1164" t="str">
            <v>Fedex</v>
          </cell>
          <cell r="K1164" t="str">
            <v>VVMV</v>
          </cell>
          <cell r="L1164" t="str">
            <v>TH</v>
          </cell>
          <cell r="M1164">
            <v>46127</v>
          </cell>
          <cell r="N1164">
            <v>46133</v>
          </cell>
          <cell r="O1164">
            <v>46133</v>
          </cell>
          <cell r="P1164">
            <v>108167905640</v>
          </cell>
          <cell r="Q1164">
            <v>46132</v>
          </cell>
          <cell r="R1164" t="str">
            <v>No inspection</v>
          </cell>
          <cell r="S1164">
            <v>2695</v>
          </cell>
          <cell r="T1164" t="str">
            <v>EXW</v>
          </cell>
          <cell r="U1164" t="str">
            <v>PUR</v>
          </cell>
        </row>
        <row r="1165">
          <cell r="D1165">
            <v>22</v>
          </cell>
          <cell r="F1165">
            <v>522040117684</v>
          </cell>
          <cell r="G1165" t="str">
            <v>Micron Memory Malaysia Sdn. Bh</v>
          </cell>
          <cell r="H1165" t="str">
            <v>Delivered</v>
          </cell>
          <cell r="I1165" t="str">
            <v xml:space="preserve">MEM </v>
          </cell>
          <cell r="J1165" t="str">
            <v>Fedex</v>
          </cell>
          <cell r="K1165" t="str">
            <v>VVMV</v>
          </cell>
          <cell r="L1165" t="str">
            <v>MY</v>
          </cell>
          <cell r="M1165">
            <v>46129</v>
          </cell>
          <cell r="N1165">
            <v>46133</v>
          </cell>
          <cell r="O1165">
            <v>46133</v>
          </cell>
          <cell r="P1165">
            <v>108167349030</v>
          </cell>
          <cell r="Q1165">
            <v>46132</v>
          </cell>
          <cell r="R1165" t="str">
            <v>No inspection</v>
          </cell>
          <cell r="S1165">
            <v>3465360</v>
          </cell>
          <cell r="T1165" t="str">
            <v>EXW</v>
          </cell>
          <cell r="U1165" t="str">
            <v>HLO</v>
          </cell>
        </row>
        <row r="1166">
          <cell r="D1166">
            <v>20</v>
          </cell>
          <cell r="F1166">
            <v>493641433410</v>
          </cell>
          <cell r="G1166" t="str">
            <v>LITTELFUSE FAR EAST PTE</v>
          </cell>
          <cell r="H1166" t="str">
            <v>Delivered</v>
          </cell>
          <cell r="I1166" t="str">
            <v>DIOD</v>
          </cell>
          <cell r="J1166" t="str">
            <v>Fedex</v>
          </cell>
          <cell r="K1166" t="str">
            <v>VVMV</v>
          </cell>
          <cell r="L1166" t="str">
            <v>HK</v>
          </cell>
          <cell r="M1166">
            <v>46129</v>
          </cell>
          <cell r="N1166">
            <v>46134</v>
          </cell>
          <cell r="O1166">
            <v>46135</v>
          </cell>
          <cell r="P1166">
            <v>108172580720</v>
          </cell>
          <cell r="Q1166">
            <v>46133</v>
          </cell>
          <cell r="R1166" t="str">
            <v>No inspection</v>
          </cell>
          <cell r="S1166">
            <v>11820</v>
          </cell>
          <cell r="T1166" t="str">
            <v>EXW</v>
          </cell>
          <cell r="U1166" t="str">
            <v>LUC</v>
          </cell>
        </row>
        <row r="1167">
          <cell r="D1167">
            <v>1030.9000000000001</v>
          </cell>
          <cell r="F1167" t="str">
            <v>LSHHPH2603593</v>
          </cell>
          <cell r="G1167" t="str">
            <v>ZHENJIANG FINEWORLD AUTOMOTIVE TECHNOLOGY CO.,LTD</v>
          </cell>
          <cell r="H1167" t="str">
            <v>Delivered</v>
          </cell>
          <cell r="I1167" t="str">
            <v>ENCL</v>
          </cell>
          <cell r="J1167" t="str">
            <v>Dolphin(sea)</v>
          </cell>
          <cell r="K1167" t="str">
            <v>Dolphin</v>
          </cell>
          <cell r="L1167" t="str">
            <v>CN</v>
          </cell>
          <cell r="M1167">
            <v>46127</v>
          </cell>
          <cell r="N1167">
            <v>46135</v>
          </cell>
          <cell r="O1167">
            <v>46135</v>
          </cell>
          <cell r="P1167">
            <v>108169861660</v>
          </cell>
          <cell r="Q1167">
            <v>46133</v>
          </cell>
          <cell r="R1167" t="str">
            <v>No inspection</v>
          </cell>
          <cell r="S1167" t="str">
            <v>7.979,65</v>
          </cell>
          <cell r="T1167" t="str">
            <v>EXW</v>
          </cell>
          <cell r="U1167" t="str">
            <v>LUC</v>
          </cell>
        </row>
        <row r="1168">
          <cell r="D1168">
            <v>137.5</v>
          </cell>
          <cell r="F1168">
            <v>4110336104</v>
          </cell>
          <cell r="G1168" t="str">
            <v>Avnet, Inc.</v>
          </cell>
          <cell r="H1168" t="str">
            <v>Delivered</v>
          </cell>
          <cell r="I1168" t="str">
            <v>CONN</v>
          </cell>
          <cell r="J1168" t="str">
            <v>Expeditors</v>
          </cell>
          <cell r="K1168" t="str">
            <v>VVMV</v>
          </cell>
          <cell r="L1168" t="str">
            <v>US</v>
          </cell>
          <cell r="M1168">
            <v>46127</v>
          </cell>
          <cell r="N1168">
            <v>46133</v>
          </cell>
          <cell r="O1168">
            <v>46133</v>
          </cell>
          <cell r="P1168">
            <v>108167432550</v>
          </cell>
          <cell r="Q1168">
            <v>46132</v>
          </cell>
          <cell r="R1168" t="str">
            <v>No inspection</v>
          </cell>
          <cell r="S1168">
            <v>9713.76</v>
          </cell>
          <cell r="T1168" t="str">
            <v>DAP</v>
          </cell>
          <cell r="U1168" t="str">
            <v>LUC</v>
          </cell>
        </row>
        <row r="1169">
          <cell r="D1169">
            <v>896</v>
          </cell>
          <cell r="F1169" t="str">
            <v>SEBL26040037</v>
          </cell>
          <cell r="G1169" t="str">
            <v>SHENNAN CIRCUITS CO.,LTD</v>
          </cell>
          <cell r="H1169" t="str">
            <v>Delivered</v>
          </cell>
          <cell r="I1169" t="str">
            <v xml:space="preserve">PCBU, PCB </v>
          </cell>
          <cell r="J1169" t="str">
            <v>Dragon(sea)</v>
          </cell>
          <cell r="K1169" t="str">
            <v>VVMV</v>
          </cell>
          <cell r="L1169" t="str">
            <v>CN</v>
          </cell>
          <cell r="M1169">
            <v>46129</v>
          </cell>
          <cell r="N1169">
            <v>46136</v>
          </cell>
          <cell r="O1169">
            <v>46136</v>
          </cell>
          <cell r="P1169">
            <v>108174577560</v>
          </cell>
          <cell r="Q1169">
            <v>46134</v>
          </cell>
          <cell r="R1169" t="str">
            <v>No inspection</v>
          </cell>
          <cell r="S1169" t="str">
            <v>44.035</v>
          </cell>
          <cell r="T1169" t="str">
            <v>DAP</v>
          </cell>
          <cell r="U1169" t="str">
            <v>LUC</v>
          </cell>
        </row>
        <row r="1170">
          <cell r="D1170">
            <v>0.3</v>
          </cell>
          <cell r="F1170">
            <v>870837351555</v>
          </cell>
          <cell r="G1170" t="str">
            <v>CYMMETRIK SHENZHEN PRINTING CO., LTD</v>
          </cell>
          <cell r="H1170" t="str">
            <v>Delivered</v>
          </cell>
          <cell r="I1170" t="str">
            <v>LABE</v>
          </cell>
          <cell r="J1170" t="str">
            <v>Fedex</v>
          </cell>
          <cell r="K1170" t="str">
            <v>VVMV</v>
          </cell>
          <cell r="L1170" t="str">
            <v>CN</v>
          </cell>
          <cell r="M1170">
            <v>46132</v>
          </cell>
          <cell r="N1170">
            <v>46135</v>
          </cell>
          <cell r="O1170">
            <v>46135</v>
          </cell>
          <cell r="P1170">
            <v>108175203030</v>
          </cell>
          <cell r="Q1170">
            <v>46134</v>
          </cell>
          <cell r="R1170" t="str">
            <v>No inspection</v>
          </cell>
          <cell r="S1170">
            <v>266.25</v>
          </cell>
          <cell r="T1170" t="str">
            <v>EXW</v>
          </cell>
          <cell r="U1170" t="str">
            <v>HLO</v>
          </cell>
        </row>
        <row r="1171">
          <cell r="D1171">
            <v>0.2</v>
          </cell>
          <cell r="F1171">
            <v>522904202500</v>
          </cell>
          <cell r="G1171" t="str">
            <v>DIGI-KEY ELECTRONICS</v>
          </cell>
          <cell r="H1171" t="str">
            <v>Delivered</v>
          </cell>
          <cell r="I1171" t="str">
            <v xml:space="preserve">CAP </v>
          </cell>
          <cell r="J1171" t="str">
            <v>Fedex</v>
          </cell>
          <cell r="K1171" t="str">
            <v>VVMV</v>
          </cell>
          <cell r="L1171" t="str">
            <v>US</v>
          </cell>
          <cell r="M1171">
            <v>46132</v>
          </cell>
          <cell r="N1171">
            <v>46136</v>
          </cell>
          <cell r="O1171">
            <v>46136</v>
          </cell>
          <cell r="P1171">
            <v>108179464300</v>
          </cell>
          <cell r="Q1171">
            <v>46135</v>
          </cell>
          <cell r="R1171" t="str">
            <v>No inspection</v>
          </cell>
          <cell r="S1171">
            <v>21</v>
          </cell>
          <cell r="T1171" t="str">
            <v>CIF</v>
          </cell>
          <cell r="U1171" t="str">
            <v>PUR</v>
          </cell>
        </row>
        <row r="1172">
          <cell r="D1172">
            <v>0.5</v>
          </cell>
          <cell r="F1172">
            <v>380568832530</v>
          </cell>
          <cell r="G1172" t="str">
            <v>O/B ANALOG DEVICES INTERNATIONAL UC
DHL SUPPLY CHAIN MANAGEMENT PHILS</v>
          </cell>
          <cell r="H1172" t="str">
            <v>Delivered</v>
          </cell>
          <cell r="I1172" t="str">
            <v>IC V</v>
          </cell>
          <cell r="J1172" t="str">
            <v>Fedex</v>
          </cell>
          <cell r="K1172" t="str">
            <v>VVMV</v>
          </cell>
          <cell r="L1172" t="str">
            <v>PH</v>
          </cell>
          <cell r="M1172">
            <v>46130</v>
          </cell>
          <cell r="N1172">
            <v>46134</v>
          </cell>
          <cell r="O1172">
            <v>46134</v>
          </cell>
          <cell r="P1172">
            <v>108171895310</v>
          </cell>
          <cell r="Q1172">
            <v>46133</v>
          </cell>
          <cell r="R1172" t="str">
            <v>No inspection</v>
          </cell>
          <cell r="S1172">
            <v>2829</v>
          </cell>
          <cell r="T1172" t="str">
            <v>EXW</v>
          </cell>
          <cell r="U1172" t="str">
            <v>HLO</v>
          </cell>
        </row>
        <row r="1173">
          <cell r="D1173">
            <v>6.6</v>
          </cell>
          <cell r="F1173">
            <v>870587680626</v>
          </cell>
          <cell r="G1173" t="str">
            <v>Element 14 Pte Ltd</v>
          </cell>
          <cell r="H1173" t="str">
            <v>Delivered</v>
          </cell>
          <cell r="I1173" t="str">
            <v xml:space="preserve">CAP </v>
          </cell>
          <cell r="J1173" t="str">
            <v>Fedex</v>
          </cell>
          <cell r="K1173" t="str">
            <v>VVMV</v>
          </cell>
          <cell r="L1173" t="str">
            <v>SG</v>
          </cell>
          <cell r="M1173">
            <v>46126</v>
          </cell>
          <cell r="N1173">
            <v>46134</v>
          </cell>
          <cell r="O1173">
            <v>46134</v>
          </cell>
          <cell r="P1173">
            <v>108171880500</v>
          </cell>
          <cell r="Q1173">
            <v>46133</v>
          </cell>
          <cell r="R1173" t="str">
            <v>No inspection</v>
          </cell>
          <cell r="S1173">
            <v>825.6</v>
          </cell>
          <cell r="T1173" t="str">
            <v>EXW</v>
          </cell>
          <cell r="U1173">
            <v>122</v>
          </cell>
        </row>
        <row r="1174">
          <cell r="D1174">
            <v>0.3</v>
          </cell>
          <cell r="F1174">
            <v>870726969119</v>
          </cell>
          <cell r="G1174" t="str">
            <v>Element 14 Pte Ltd</v>
          </cell>
          <cell r="H1174" t="str">
            <v>Delivered</v>
          </cell>
          <cell r="I1174" t="str">
            <v xml:space="preserve">IND </v>
          </cell>
          <cell r="J1174" t="str">
            <v>Fedex</v>
          </cell>
          <cell r="K1174" t="str">
            <v>VVMV</v>
          </cell>
          <cell r="L1174" t="str">
            <v>SG</v>
          </cell>
          <cell r="M1174">
            <v>46128</v>
          </cell>
          <cell r="N1174">
            <v>46134</v>
          </cell>
          <cell r="O1174">
            <v>46134</v>
          </cell>
          <cell r="P1174">
            <v>108172078600</v>
          </cell>
          <cell r="Q1174">
            <v>46133</v>
          </cell>
          <cell r="R1174" t="str">
            <v>No inspection</v>
          </cell>
          <cell r="S1174">
            <v>176.12</v>
          </cell>
          <cell r="T1174" t="str">
            <v>EXW</v>
          </cell>
          <cell r="U1174">
            <v>123</v>
          </cell>
        </row>
        <row r="1175">
          <cell r="D1175">
            <v>1.2</v>
          </cell>
          <cell r="F1175">
            <v>119209713312</v>
          </cell>
          <cell r="G1175" t="str">
            <v>FUTURE ELECTRONICS FICE</v>
          </cell>
          <cell r="H1175" t="str">
            <v>Delivered</v>
          </cell>
          <cell r="J1175" t="str">
            <v>Fedex</v>
          </cell>
          <cell r="K1175" t="str">
            <v>VVMV</v>
          </cell>
          <cell r="L1175" t="str">
            <v>US</v>
          </cell>
          <cell r="M1175">
            <v>46129</v>
          </cell>
          <cell r="N1175">
            <v>46134</v>
          </cell>
          <cell r="O1175">
            <v>46134</v>
          </cell>
          <cell r="P1175">
            <v>108172062350</v>
          </cell>
          <cell r="Q1175">
            <v>46133</v>
          </cell>
          <cell r="R1175" t="str">
            <v>No inspection</v>
          </cell>
          <cell r="S1175">
            <v>1098.96</v>
          </cell>
          <cell r="T1175" t="str">
            <v>CIF</v>
          </cell>
        </row>
        <row r="1176">
          <cell r="D1176">
            <v>10.6</v>
          </cell>
          <cell r="F1176">
            <v>481663285044</v>
          </cell>
          <cell r="G1176" t="str">
            <v>AMPHENOL EAST ASIA LTD</v>
          </cell>
          <cell r="H1176" t="str">
            <v>Delivered</v>
          </cell>
          <cell r="I1176" t="str">
            <v>CONN</v>
          </cell>
          <cell r="J1176" t="str">
            <v>Fedex</v>
          </cell>
          <cell r="K1176" t="str">
            <v>VVMV</v>
          </cell>
          <cell r="L1176" t="str">
            <v>HK</v>
          </cell>
          <cell r="M1176">
            <v>46129</v>
          </cell>
          <cell r="N1176">
            <v>46134</v>
          </cell>
          <cell r="O1176">
            <v>46134</v>
          </cell>
          <cell r="P1176">
            <v>108172201210</v>
          </cell>
          <cell r="Q1176">
            <v>46133</v>
          </cell>
          <cell r="R1176" t="str">
            <v>No inspection</v>
          </cell>
          <cell r="S1176">
            <v>5329.8</v>
          </cell>
          <cell r="T1176" t="str">
            <v>EXW</v>
          </cell>
          <cell r="U1176" t="str">
            <v>PUR</v>
          </cell>
        </row>
        <row r="1177">
          <cell r="D1177">
            <v>27.5</v>
          </cell>
          <cell r="F1177">
            <v>870727546157</v>
          </cell>
          <cell r="G1177" t="str">
            <v>SUNLORD ELECTRONICS TECHNOLOGY PTE</v>
          </cell>
          <cell r="H1177" t="str">
            <v>Delivered</v>
          </cell>
          <cell r="I1177" t="str">
            <v>RES , CAP , IC S, IC D, IC V</v>
          </cell>
          <cell r="J1177" t="str">
            <v>Fedex</v>
          </cell>
          <cell r="K1177" t="str">
            <v>VVMV</v>
          </cell>
          <cell r="L1177" t="str">
            <v>HK</v>
          </cell>
          <cell r="M1177">
            <v>46128</v>
          </cell>
          <cell r="N1177">
            <v>46136</v>
          </cell>
          <cell r="O1177">
            <v>46136</v>
          </cell>
          <cell r="P1177">
            <v>108178400150</v>
          </cell>
          <cell r="Q1177">
            <v>46135</v>
          </cell>
          <cell r="R1177" t="str">
            <v>No inspection</v>
          </cell>
          <cell r="S1177">
            <v>8178.9</v>
          </cell>
          <cell r="T1177" t="str">
            <v>EXW</v>
          </cell>
          <cell r="U1177" t="str">
            <v>PUR</v>
          </cell>
        </row>
        <row r="1178">
          <cell r="D1178">
            <v>1.4</v>
          </cell>
          <cell r="F1178">
            <v>500292589741</v>
          </cell>
          <cell r="G1178" t="str">
            <v>ARROW COMPONENTS MEXICO SA De CV</v>
          </cell>
          <cell r="H1178" t="str">
            <v>Delivered</v>
          </cell>
          <cell r="I1178" t="str">
            <v>DIOD</v>
          </cell>
          <cell r="J1178" t="str">
            <v>Fedex</v>
          </cell>
          <cell r="K1178" t="str">
            <v>VVMV</v>
          </cell>
          <cell r="L1178" t="str">
            <v>MX</v>
          </cell>
          <cell r="M1178">
            <v>46126</v>
          </cell>
          <cell r="N1178">
            <v>46134</v>
          </cell>
          <cell r="O1178">
            <v>46134</v>
          </cell>
          <cell r="P1178">
            <v>108172130510</v>
          </cell>
          <cell r="Q1178">
            <v>46133</v>
          </cell>
          <cell r="R1178" t="str">
            <v>No inspection</v>
          </cell>
          <cell r="S1178">
            <v>873</v>
          </cell>
          <cell r="T1178" t="str">
            <v>CIF</v>
          </cell>
          <cell r="U1178" t="str">
            <v>PUR</v>
          </cell>
        </row>
        <row r="1179">
          <cell r="D1179">
            <v>0.9</v>
          </cell>
          <cell r="F1179">
            <v>500292591270</v>
          </cell>
          <cell r="G1179" t="str">
            <v>ARROW COMPONENTS MEXICO SA De CV</v>
          </cell>
          <cell r="H1179" t="str">
            <v>Delivered</v>
          </cell>
          <cell r="I1179" t="str">
            <v>IC E</v>
          </cell>
          <cell r="J1179" t="str">
            <v>Fedex</v>
          </cell>
          <cell r="K1179" t="str">
            <v>VVMV</v>
          </cell>
          <cell r="L1179" t="str">
            <v>MX</v>
          </cell>
          <cell r="M1179">
            <v>46127</v>
          </cell>
          <cell r="N1179">
            <v>46134</v>
          </cell>
          <cell r="O1179">
            <v>46134</v>
          </cell>
          <cell r="P1179">
            <v>108172943910</v>
          </cell>
          <cell r="Q1179">
            <v>46133</v>
          </cell>
          <cell r="R1179" t="str">
            <v>No inspection</v>
          </cell>
          <cell r="S1179">
            <v>575</v>
          </cell>
          <cell r="T1179" t="str">
            <v>CIF</v>
          </cell>
          <cell r="U1179" t="str">
            <v>PUR</v>
          </cell>
        </row>
        <row r="1180">
          <cell r="D1180">
            <v>138.9</v>
          </cell>
          <cell r="F1180">
            <v>517485633372</v>
          </cell>
          <cell r="G1180" t="str">
            <v>PENCOM LTD</v>
          </cell>
          <cell r="H1180" t="str">
            <v>Delivered</v>
          </cell>
          <cell r="I1180" t="str">
            <v>STAN, SCRE</v>
          </cell>
          <cell r="J1180" t="str">
            <v>Fedex</v>
          </cell>
          <cell r="K1180" t="str">
            <v>VVMV</v>
          </cell>
          <cell r="L1180" t="str">
            <v>HK</v>
          </cell>
          <cell r="M1180">
            <v>46127</v>
          </cell>
          <cell r="N1180">
            <v>46135</v>
          </cell>
          <cell r="O1180">
            <v>46135</v>
          </cell>
          <cell r="P1180">
            <v>108175288060</v>
          </cell>
          <cell r="Q1180">
            <v>46134</v>
          </cell>
          <cell r="R1180" t="str">
            <v>No inspection</v>
          </cell>
          <cell r="S1180">
            <v>7080</v>
          </cell>
          <cell r="T1180" t="str">
            <v>EXW</v>
          </cell>
          <cell r="U1180" t="str">
            <v>PUR</v>
          </cell>
        </row>
        <row r="1181">
          <cell r="D1181">
            <v>0.7</v>
          </cell>
          <cell r="F1181">
            <v>522128017411</v>
          </cell>
          <cell r="G1181" t="str">
            <v>MOUSER ELECTRONICS INC</v>
          </cell>
          <cell r="H1181" t="str">
            <v>Delivered</v>
          </cell>
          <cell r="I1181" t="str">
            <v>IC C</v>
          </cell>
          <cell r="J1181" t="str">
            <v>Fedex</v>
          </cell>
          <cell r="K1181" t="str">
            <v>VVMV</v>
          </cell>
          <cell r="L1181" t="str">
            <v>US</v>
          </cell>
          <cell r="M1181">
            <v>46129</v>
          </cell>
          <cell r="N1181">
            <v>46134</v>
          </cell>
          <cell r="O1181">
            <v>46134</v>
          </cell>
          <cell r="P1181">
            <v>108172330120</v>
          </cell>
          <cell r="Q1181">
            <v>46133</v>
          </cell>
          <cell r="R1181" t="str">
            <v>No inspection</v>
          </cell>
          <cell r="S1181">
            <v>40</v>
          </cell>
          <cell r="T1181" t="str">
            <v>CIF</v>
          </cell>
          <cell r="U1181" t="str">
            <v>LUC</v>
          </cell>
        </row>
        <row r="1182">
          <cell r="D1182">
            <v>4.5999999999999996</v>
          </cell>
          <cell r="F1182">
            <v>522128128764</v>
          </cell>
          <cell r="G1182" t="str">
            <v>MOUSER ELECTRONICS INC</v>
          </cell>
          <cell r="H1182" t="str">
            <v>Delivered</v>
          </cell>
          <cell r="I1182" t="str">
            <v xml:space="preserve">IND </v>
          </cell>
          <cell r="J1182" t="str">
            <v>Fedex</v>
          </cell>
          <cell r="K1182" t="str">
            <v>VVMV</v>
          </cell>
          <cell r="L1182" t="str">
            <v>US</v>
          </cell>
          <cell r="M1182">
            <v>46129</v>
          </cell>
          <cell r="N1182">
            <v>46134</v>
          </cell>
          <cell r="O1182">
            <v>46134</v>
          </cell>
          <cell r="P1182">
            <v>108173004810</v>
          </cell>
          <cell r="Q1182">
            <v>46133</v>
          </cell>
          <cell r="R1182" t="str">
            <v>No inspection</v>
          </cell>
          <cell r="S1182">
            <v>525</v>
          </cell>
          <cell r="T1182" t="str">
            <v>CIF</v>
          </cell>
          <cell r="U1182" t="str">
            <v>EF-</v>
          </cell>
        </row>
        <row r="1183">
          <cell r="D1183">
            <v>2.9</v>
          </cell>
          <cell r="F1183">
            <v>679865602329</v>
          </cell>
          <cell r="G1183" t="str">
            <v>AVNET TECH HK LTD (1602 - HX64)</v>
          </cell>
          <cell r="H1183" t="str">
            <v>Delivered</v>
          </cell>
          <cell r="I1183" t="str">
            <v>IC A</v>
          </cell>
          <cell r="J1183" t="str">
            <v>Fedex</v>
          </cell>
          <cell r="K1183" t="str">
            <v>VVMV</v>
          </cell>
          <cell r="L1183" t="str">
            <v>HK</v>
          </cell>
          <cell r="M1183">
            <v>46129</v>
          </cell>
          <cell r="N1183">
            <v>46134</v>
          </cell>
          <cell r="O1183">
            <v>46134</v>
          </cell>
          <cell r="P1183">
            <v>108172145060</v>
          </cell>
          <cell r="Q1183">
            <v>46133</v>
          </cell>
          <cell r="R1183" t="str">
            <v>No inspection</v>
          </cell>
          <cell r="S1183">
            <v>10692</v>
          </cell>
          <cell r="T1183" t="str">
            <v>EXW</v>
          </cell>
          <cell r="U1183" t="str">
            <v>LUC</v>
          </cell>
        </row>
        <row r="1184">
          <cell r="D1184">
            <v>4.7</v>
          </cell>
          <cell r="F1184">
            <v>380484035986</v>
          </cell>
          <cell r="G1184" t="str">
            <v>C/O KINTETSU WORLD EXPRESS
TEXAS INSTRUMENTS ASIA LIMITED</v>
          </cell>
          <cell r="H1184" t="str">
            <v>Delivered</v>
          </cell>
          <cell r="I1184" t="str">
            <v>IC R</v>
          </cell>
          <cell r="J1184" t="str">
            <v>Fedex</v>
          </cell>
          <cell r="K1184" t="str">
            <v>VVMV</v>
          </cell>
          <cell r="L1184" t="str">
            <v>CN</v>
          </cell>
          <cell r="M1184">
            <v>46126</v>
          </cell>
          <cell r="N1184">
            <v>46134</v>
          </cell>
          <cell r="O1184">
            <v>46134</v>
          </cell>
          <cell r="P1184">
            <v>108172488650</v>
          </cell>
          <cell r="Q1184">
            <v>46133</v>
          </cell>
          <cell r="R1184" t="str">
            <v>No inspection</v>
          </cell>
          <cell r="S1184">
            <v>11600</v>
          </cell>
          <cell r="T1184" t="str">
            <v>EXW</v>
          </cell>
          <cell r="U1184" t="str">
            <v>LUC</v>
          </cell>
        </row>
        <row r="1185">
          <cell r="D1185">
            <v>245.2</v>
          </cell>
          <cell r="F1185">
            <v>477592560462</v>
          </cell>
          <cell r="G1185" t="str">
            <v>QUALCOMM CDMA TECHNOLOGIES ASIA-PAC</v>
          </cell>
          <cell r="H1185" t="str">
            <v>Delivered</v>
          </cell>
          <cell r="I1185" t="str">
            <v>IC C</v>
          </cell>
          <cell r="J1185" t="str">
            <v>Fedex</v>
          </cell>
          <cell r="K1185" t="str">
            <v>VVMV</v>
          </cell>
          <cell r="L1185" t="str">
            <v>SG</v>
          </cell>
          <cell r="M1185">
            <v>46126</v>
          </cell>
          <cell r="N1185">
            <v>46134</v>
          </cell>
          <cell r="O1185">
            <v>46135</v>
          </cell>
          <cell r="P1185">
            <v>108173092200</v>
          </cell>
          <cell r="Q1185">
            <v>46133</v>
          </cell>
          <cell r="R1185" t="str">
            <v>No inspection</v>
          </cell>
          <cell r="S1185">
            <v>730870.08</v>
          </cell>
          <cell r="T1185" t="str">
            <v>EXW</v>
          </cell>
          <cell r="U1185" t="str">
            <v>LUC</v>
          </cell>
        </row>
        <row r="1186">
          <cell r="D1186">
            <v>6.1</v>
          </cell>
          <cell r="F1186">
            <v>472187357962</v>
          </cell>
          <cell r="G1186" t="str">
            <v>HEILIND ASIA PACIFIC (SG) PTE LTD</v>
          </cell>
          <cell r="H1186" t="str">
            <v>Delivered</v>
          </cell>
          <cell r="I1186" t="str">
            <v xml:space="preserve">CONN, EMI </v>
          </cell>
          <cell r="J1186" t="str">
            <v>Fedex</v>
          </cell>
          <cell r="K1186" t="str">
            <v>VVMV</v>
          </cell>
          <cell r="L1186" t="str">
            <v>SG</v>
          </cell>
          <cell r="M1186">
            <v>46126</v>
          </cell>
          <cell r="N1186">
            <v>46134</v>
          </cell>
          <cell r="O1186">
            <v>46134</v>
          </cell>
          <cell r="P1186">
            <v>108172275960</v>
          </cell>
          <cell r="Q1186">
            <v>46133</v>
          </cell>
          <cell r="R1186" t="str">
            <v>No inspection</v>
          </cell>
          <cell r="S1186">
            <v>1743</v>
          </cell>
          <cell r="T1186" t="str">
            <v>EXW</v>
          </cell>
          <cell r="U1186" t="str">
            <v>EF-</v>
          </cell>
        </row>
        <row r="1187">
          <cell r="D1187">
            <v>67.8</v>
          </cell>
          <cell r="F1187">
            <v>870785221857</v>
          </cell>
          <cell r="G1187" t="str">
            <v>WURTH ELECTRONICS MIDCOM</v>
          </cell>
          <cell r="H1187" t="str">
            <v>Delivered</v>
          </cell>
          <cell r="I1187" t="str">
            <v>CONN</v>
          </cell>
          <cell r="J1187" t="str">
            <v>Fedex</v>
          </cell>
          <cell r="K1187" t="str">
            <v>VVMV</v>
          </cell>
          <cell r="L1187" t="str">
            <v>US</v>
          </cell>
          <cell r="M1187">
            <v>46129</v>
          </cell>
          <cell r="N1187">
            <v>46135</v>
          </cell>
          <cell r="O1187">
            <v>46135</v>
          </cell>
          <cell r="P1187">
            <v>108175398660</v>
          </cell>
          <cell r="Q1187">
            <v>46134</v>
          </cell>
          <cell r="R1187" t="str">
            <v>No inspection</v>
          </cell>
          <cell r="S1187">
            <v>8892</v>
          </cell>
          <cell r="T1187" t="str">
            <v>CIF</v>
          </cell>
          <cell r="U1187" t="str">
            <v>LUC</v>
          </cell>
        </row>
        <row r="1188">
          <cell r="D1188">
            <v>2227</v>
          </cell>
          <cell r="F1188" t="str">
            <v>PSHPH2640077</v>
          </cell>
          <cell r="G1188" t="str">
            <v>MIN AIK TECHNOLOGY CO., LTD</v>
          </cell>
          <cell r="H1188" t="str">
            <v>Delivered</v>
          </cell>
          <cell r="I1188" t="str">
            <v>PLAS, ASSY</v>
          </cell>
          <cell r="J1188" t="str">
            <v>VVMV(sea)</v>
          </cell>
          <cell r="K1188" t="str">
            <v>VVMV</v>
          </cell>
          <cell r="L1188" t="str">
            <v>CN</v>
          </cell>
          <cell r="M1188">
            <v>46132</v>
          </cell>
          <cell r="N1188">
            <v>46140</v>
          </cell>
          <cell r="O1188">
            <v>46140</v>
          </cell>
          <cell r="P1188">
            <v>108180915620</v>
          </cell>
          <cell r="Q1188">
            <v>46134</v>
          </cell>
          <cell r="R1188" t="str">
            <v>No inspection</v>
          </cell>
          <cell r="S1188" t="str">
            <v>114.676,96</v>
          </cell>
          <cell r="T1188" t="str">
            <v>EXW</v>
          </cell>
          <cell r="U1188" t="str">
            <v>PUR</v>
          </cell>
        </row>
        <row r="1189">
          <cell r="D1189">
            <v>235</v>
          </cell>
          <cell r="F1189" t="str">
            <v>PLISGFE00245</v>
          </cell>
          <cell r="G1189" t="str">
            <v>FUTURE ELECTRONICS (ADC)</v>
          </cell>
          <cell r="H1189" t="str">
            <v>Delivered</v>
          </cell>
          <cell r="I1189" t="str">
            <v>IC S, IC L, RES , FUSE, IND , ICFL, LED , IC R, DIOD, CAP , CRYS, FERR</v>
          </cell>
          <cell r="J1189" t="str">
            <v>LX PANTOS</v>
          </cell>
          <cell r="K1189" t="str">
            <v>VVMV</v>
          </cell>
          <cell r="L1189" t="str">
            <v>SG</v>
          </cell>
          <cell r="M1189">
            <v>46134</v>
          </cell>
          <cell r="N1189">
            <v>46135</v>
          </cell>
          <cell r="O1189">
            <v>46135</v>
          </cell>
          <cell r="P1189">
            <v>108177338840</v>
          </cell>
          <cell r="Q1189">
            <v>46134</v>
          </cell>
          <cell r="R1189" t="str">
            <v>No inspection</v>
          </cell>
          <cell r="S1189">
            <v>55105.37</v>
          </cell>
          <cell r="T1189" t="str">
            <v>DAP</v>
          </cell>
          <cell r="U1189" t="str">
            <v>PUR</v>
          </cell>
        </row>
        <row r="1190">
          <cell r="D1190">
            <v>1.6</v>
          </cell>
          <cell r="F1190">
            <v>870767118745</v>
          </cell>
          <cell r="G1190" t="str">
            <v>SUNLORD ELECTRONICS TECHNOLOGY PTE</v>
          </cell>
          <cell r="H1190" t="str">
            <v>Delivered</v>
          </cell>
          <cell r="I1190" t="str">
            <v xml:space="preserve">RES </v>
          </cell>
          <cell r="J1190" t="str">
            <v>Fedex</v>
          </cell>
          <cell r="K1190" t="str">
            <v>VVMV</v>
          </cell>
          <cell r="L1190" t="str">
            <v>SG</v>
          </cell>
          <cell r="M1190">
            <v>46129</v>
          </cell>
          <cell r="N1190">
            <v>46135</v>
          </cell>
          <cell r="O1190">
            <v>46136</v>
          </cell>
          <cell r="P1190">
            <v>108177281110</v>
          </cell>
          <cell r="Q1190">
            <v>46134</v>
          </cell>
          <cell r="R1190" t="str">
            <v>No inspection</v>
          </cell>
          <cell r="S1190">
            <v>513.70000000000005</v>
          </cell>
          <cell r="T1190" t="str">
            <v>EXW</v>
          </cell>
          <cell r="U1190" t="str">
            <v>PUR</v>
          </cell>
        </row>
        <row r="1191">
          <cell r="D1191">
            <v>13.7</v>
          </cell>
          <cell r="F1191">
            <v>484361663108</v>
          </cell>
          <cell r="G1191" t="str">
            <v>COILCRAFT SINGAPORE PTE LTD</v>
          </cell>
          <cell r="H1191" t="str">
            <v>Delivered</v>
          </cell>
          <cell r="I1191" t="str">
            <v xml:space="preserve">IND </v>
          </cell>
          <cell r="J1191" t="str">
            <v>Fedex</v>
          </cell>
          <cell r="K1191" t="str">
            <v>VVMV</v>
          </cell>
          <cell r="L1191" t="str">
            <v>SG</v>
          </cell>
          <cell r="M1191">
            <v>46129</v>
          </cell>
          <cell r="N1191">
            <v>46135</v>
          </cell>
          <cell r="O1191">
            <v>46135</v>
          </cell>
          <cell r="P1191">
            <v>108175851820</v>
          </cell>
          <cell r="Q1191">
            <v>46134</v>
          </cell>
          <cell r="R1191" t="str">
            <v>No inspection</v>
          </cell>
          <cell r="S1191">
            <v>4602.5</v>
          </cell>
          <cell r="T1191" t="str">
            <v>EXW</v>
          </cell>
          <cell r="U1191" t="str">
            <v>LUC</v>
          </cell>
        </row>
        <row r="1192">
          <cell r="D1192">
            <v>1.8</v>
          </cell>
          <cell r="F1192">
            <v>500292595390</v>
          </cell>
          <cell r="G1192" t="str">
            <v>ARROW COMPONENTS MEXICO SA De CV</v>
          </cell>
          <cell r="H1192" t="str">
            <v>Delivered</v>
          </cell>
          <cell r="I1192" t="str">
            <v>IC F</v>
          </cell>
          <cell r="J1192" t="str">
            <v>Fedex</v>
          </cell>
          <cell r="K1192" t="str">
            <v>VVMV</v>
          </cell>
          <cell r="L1192" t="str">
            <v>MX</v>
          </cell>
          <cell r="M1192">
            <v>46128</v>
          </cell>
          <cell r="N1192">
            <v>46135</v>
          </cell>
          <cell r="O1192">
            <v>46135</v>
          </cell>
          <cell r="P1192">
            <v>108176944630</v>
          </cell>
          <cell r="Q1192">
            <v>46134</v>
          </cell>
          <cell r="R1192" t="str">
            <v>No inspection</v>
          </cell>
          <cell r="S1192">
            <v>955.6</v>
          </cell>
          <cell r="T1192" t="str">
            <v>CIF</v>
          </cell>
          <cell r="U1192" t="str">
            <v>HLO</v>
          </cell>
        </row>
        <row r="1193">
          <cell r="D1193">
            <v>1.6</v>
          </cell>
          <cell r="F1193">
            <v>870806551058</v>
          </cell>
          <cell r="G1193" t="str">
            <v>WHITE HORSE LABORATORIES LTD</v>
          </cell>
          <cell r="H1193" t="str">
            <v>Delivered</v>
          </cell>
          <cell r="I1193" t="str">
            <v>IC 2</v>
          </cell>
          <cell r="J1193" t="str">
            <v>Fedex</v>
          </cell>
          <cell r="K1193" t="str">
            <v>VVMV</v>
          </cell>
          <cell r="L1193" t="str">
            <v>HK</v>
          </cell>
          <cell r="M1193">
            <v>46130</v>
          </cell>
          <cell r="N1193">
            <v>46135</v>
          </cell>
          <cell r="O1193">
            <v>46136</v>
          </cell>
          <cell r="P1193">
            <v>108177428330</v>
          </cell>
          <cell r="Q1193">
            <v>46134</v>
          </cell>
          <cell r="R1193" t="str">
            <v>No inspection</v>
          </cell>
          <cell r="S1193">
            <v>1750</v>
          </cell>
          <cell r="T1193" t="str">
            <v>CIF</v>
          </cell>
          <cell r="U1193" t="str">
            <v>EF-</v>
          </cell>
        </row>
        <row r="1194">
          <cell r="D1194">
            <v>111</v>
          </cell>
          <cell r="F1194">
            <v>514097485242</v>
          </cell>
          <cell r="G1194" t="str">
            <v>Richardson RFPD INC</v>
          </cell>
          <cell r="H1194" t="str">
            <v>Delivered</v>
          </cell>
          <cell r="I1194" t="str">
            <v xml:space="preserve">CAP </v>
          </cell>
          <cell r="J1194" t="str">
            <v>Fedex</v>
          </cell>
          <cell r="K1194" t="str">
            <v>VVMV</v>
          </cell>
          <cell r="L1194" t="str">
            <v>HK</v>
          </cell>
          <cell r="M1194">
            <v>46132</v>
          </cell>
          <cell r="N1194">
            <v>46135</v>
          </cell>
          <cell r="O1194">
            <v>46135</v>
          </cell>
          <cell r="P1194">
            <v>108177080540</v>
          </cell>
          <cell r="Q1194">
            <v>46134</v>
          </cell>
          <cell r="R1194" t="str">
            <v>No inspection</v>
          </cell>
          <cell r="S1194">
            <v>17640</v>
          </cell>
          <cell r="T1194" t="str">
            <v>EXW</v>
          </cell>
          <cell r="U1194" t="str">
            <v>PUR</v>
          </cell>
        </row>
        <row r="1195">
          <cell r="D1195">
            <v>0.9</v>
          </cell>
          <cell r="F1195">
            <v>380575796470</v>
          </cell>
          <cell r="G1195" t="str">
            <v>c/o DHL Supply Chain SGP P/L
Texas Instruments Southeast Asia Pt</v>
          </cell>
          <cell r="H1195" t="str">
            <v>Delivered</v>
          </cell>
          <cell r="I1195" t="str">
            <v>IC T</v>
          </cell>
          <cell r="J1195" t="str">
            <v>Fedex</v>
          </cell>
          <cell r="K1195" t="str">
            <v>VVMV</v>
          </cell>
          <cell r="L1195" t="str">
            <v>SG</v>
          </cell>
          <cell r="M1195">
            <v>46128</v>
          </cell>
          <cell r="N1195">
            <v>46135</v>
          </cell>
          <cell r="O1195">
            <v>46136</v>
          </cell>
          <cell r="P1195">
            <v>108177487350</v>
          </cell>
          <cell r="Q1195">
            <v>46134</v>
          </cell>
          <cell r="R1195" t="str">
            <v>No inspection</v>
          </cell>
          <cell r="S1195">
            <v>2646</v>
          </cell>
          <cell r="T1195" t="str">
            <v>EXW</v>
          </cell>
          <cell r="U1195" t="str">
            <v>PUR</v>
          </cell>
        </row>
        <row r="1196">
          <cell r="D1196">
            <v>33.700000000000003</v>
          </cell>
          <cell r="F1196">
            <v>471797727229</v>
          </cell>
          <cell r="G1196" t="str">
            <v>LIPERS ENTERPRISE CO., LTD.</v>
          </cell>
          <cell r="H1196" t="str">
            <v>Delivered</v>
          </cell>
          <cell r="I1196" t="str">
            <v xml:space="preserve">CAP </v>
          </cell>
          <cell r="J1196" t="str">
            <v>Fedex</v>
          </cell>
          <cell r="K1196" t="str">
            <v>VVMV</v>
          </cell>
          <cell r="L1196" t="str">
            <v>TW</v>
          </cell>
          <cell r="M1196">
            <v>46132</v>
          </cell>
          <cell r="N1196">
            <v>46135</v>
          </cell>
          <cell r="O1196">
            <v>46135</v>
          </cell>
          <cell r="P1196">
            <v>108176996320</v>
          </cell>
          <cell r="Q1196">
            <v>46134</v>
          </cell>
          <cell r="R1196" t="str">
            <v>No inspection</v>
          </cell>
          <cell r="S1196">
            <v>3722.1</v>
          </cell>
          <cell r="T1196" t="str">
            <v>EXW</v>
          </cell>
          <cell r="U1196" t="str">
            <v>PUR</v>
          </cell>
        </row>
        <row r="1197">
          <cell r="D1197">
            <v>10</v>
          </cell>
          <cell r="F1197">
            <v>483570645341</v>
          </cell>
          <cell r="G1197" t="str">
            <v>UNIGEN CORPORATION</v>
          </cell>
          <cell r="H1197" t="str">
            <v>Delivered</v>
          </cell>
          <cell r="J1197" t="str">
            <v>Fedex</v>
          </cell>
          <cell r="K1197" t="str">
            <v>VVMV</v>
          </cell>
          <cell r="L1197" t="str">
            <v>US</v>
          </cell>
          <cell r="M1197">
            <v>46129</v>
          </cell>
          <cell r="N1197">
            <v>46135</v>
          </cell>
          <cell r="O1197">
            <v>46136</v>
          </cell>
          <cell r="P1197">
            <v>108177198250</v>
          </cell>
          <cell r="Q1197">
            <v>46134</v>
          </cell>
          <cell r="R1197" t="str">
            <v>No inspection</v>
          </cell>
          <cell r="S1197">
            <v>30387.404999999999</v>
          </cell>
          <cell r="T1197" t="str">
            <v>CIF</v>
          </cell>
        </row>
        <row r="1198">
          <cell r="D1198">
            <v>32.4</v>
          </cell>
          <cell r="F1198">
            <v>9187825570</v>
          </cell>
          <cell r="G1198" t="str">
            <v>SHENNAN CIRCUITS CO.,LTD</v>
          </cell>
          <cell r="H1198" t="str">
            <v>Delivered</v>
          </cell>
          <cell r="I1198" t="str">
            <v>PCB/</v>
          </cell>
          <cell r="J1198" t="str">
            <v>DHL</v>
          </cell>
          <cell r="K1198" t="str">
            <v>VVMV</v>
          </cell>
          <cell r="L1198" t="str">
            <v>CN</v>
          </cell>
          <cell r="M1198">
            <v>46134</v>
          </cell>
          <cell r="N1198">
            <v>46140</v>
          </cell>
          <cell r="O1198">
            <v>46136</v>
          </cell>
          <cell r="P1198">
            <v>108180802700</v>
          </cell>
          <cell r="Q1198">
            <v>46135</v>
          </cell>
          <cell r="R1198" t="str">
            <v>No inspection</v>
          </cell>
          <cell r="S1198">
            <v>5646.5</v>
          </cell>
          <cell r="T1198" t="str">
            <v>CIF</v>
          </cell>
          <cell r="U1198" t="str">
            <v>AIC</v>
          </cell>
        </row>
        <row r="1199">
          <cell r="D1199">
            <v>5.3</v>
          </cell>
          <cell r="F1199">
            <v>1174075674</v>
          </cell>
          <cell r="G1199" t="str">
            <v>AVNET - CHANDLER</v>
          </cell>
          <cell r="H1199" t="str">
            <v>Delivered</v>
          </cell>
          <cell r="J1199" t="str">
            <v>DHL</v>
          </cell>
          <cell r="K1199" t="str">
            <v>VVMV</v>
          </cell>
          <cell r="L1199" t="str">
            <v>US</v>
          </cell>
          <cell r="M1199">
            <v>46133</v>
          </cell>
          <cell r="N1199">
            <v>46140</v>
          </cell>
          <cell r="O1199">
            <v>46140</v>
          </cell>
          <cell r="P1199">
            <v>108183271120</v>
          </cell>
          <cell r="Q1199">
            <v>46136</v>
          </cell>
          <cell r="R1199" t="str">
            <v>No inspection</v>
          </cell>
          <cell r="S1199">
            <v>11799</v>
          </cell>
          <cell r="T1199" t="str">
            <v>CIF</v>
          </cell>
        </row>
        <row r="1200">
          <cell r="D1200">
            <v>35.5</v>
          </cell>
          <cell r="F1200">
            <v>515199057405</v>
          </cell>
          <cell r="G1200" t="str">
            <v>AVNET ASIA PTE LTD</v>
          </cell>
          <cell r="H1200" t="str">
            <v>Delivered</v>
          </cell>
          <cell r="I1200" t="str">
            <v>RES , TRAN, CAP , FERR</v>
          </cell>
          <cell r="J1200" t="str">
            <v>Fedex</v>
          </cell>
          <cell r="K1200" t="str">
            <v>VVMV</v>
          </cell>
          <cell r="L1200" t="str">
            <v>SG</v>
          </cell>
          <cell r="M1200">
            <v>46132</v>
          </cell>
          <cell r="N1200">
            <v>46140</v>
          </cell>
          <cell r="O1200">
            <v>46141</v>
          </cell>
          <cell r="P1200">
            <v>108186527850</v>
          </cell>
          <cell r="Q1200">
            <v>46136</v>
          </cell>
          <cell r="R1200" t="str">
            <v>No inspection</v>
          </cell>
          <cell r="S1200" t="str">
            <v>25.670,05</v>
          </cell>
          <cell r="T1200" t="str">
            <v>EXW</v>
          </cell>
          <cell r="U1200" t="str">
            <v>LUC</v>
          </cell>
        </row>
        <row r="1201">
          <cell r="D1201">
            <v>0.6</v>
          </cell>
          <cell r="F1201">
            <v>380616663150</v>
          </cell>
          <cell r="G1201" t="str">
            <v>C/O KINTETSU WORLD EXPRESS (CHINA)
TEXAS INSTRUMENTS ASIA LIMITED</v>
          </cell>
          <cell r="H1201" t="str">
            <v>Delivered</v>
          </cell>
          <cell r="I1201" t="str">
            <v>IC M</v>
          </cell>
          <cell r="J1201" t="str">
            <v>Fedex</v>
          </cell>
          <cell r="K1201" t="str">
            <v>VVMV</v>
          </cell>
          <cell r="L1201" t="str">
            <v>CN</v>
          </cell>
          <cell r="M1201">
            <v>46132</v>
          </cell>
          <cell r="N1201">
            <v>46136</v>
          </cell>
          <cell r="O1201">
            <v>46136</v>
          </cell>
          <cell r="P1201">
            <v>108180719400</v>
          </cell>
          <cell r="Q1201">
            <v>46135</v>
          </cell>
          <cell r="R1201" t="str">
            <v>No inspection</v>
          </cell>
          <cell r="S1201">
            <v>4236</v>
          </cell>
          <cell r="T1201" t="str">
            <v>EXW</v>
          </cell>
          <cell r="U1201" t="str">
            <v>LUC</v>
          </cell>
        </row>
        <row r="1202">
          <cell r="D1202">
            <v>3.1</v>
          </cell>
          <cell r="F1202">
            <v>380623554853</v>
          </cell>
          <cell r="G1202" t="str">
            <v>c/o DHL Supply Chain SGP P/L
Texas Instruments Southeast Asia Pt</v>
          </cell>
          <cell r="H1202" t="str">
            <v>Delivered</v>
          </cell>
          <cell r="I1202" t="str">
            <v>IC V</v>
          </cell>
          <cell r="J1202" t="str">
            <v>Fedex</v>
          </cell>
          <cell r="K1202" t="str">
            <v>VVMV</v>
          </cell>
          <cell r="L1202" t="str">
            <v>SG</v>
          </cell>
          <cell r="M1202">
            <v>46132</v>
          </cell>
          <cell r="N1202">
            <v>46136</v>
          </cell>
          <cell r="O1202">
            <v>46136</v>
          </cell>
          <cell r="P1202">
            <v>108180503430</v>
          </cell>
          <cell r="Q1202">
            <v>46135</v>
          </cell>
          <cell r="R1202" t="str">
            <v>No inspection</v>
          </cell>
          <cell r="S1202">
            <v>5400</v>
          </cell>
          <cell r="T1202" t="str">
            <v>EXW</v>
          </cell>
          <cell r="U1202" t="str">
            <v>PUR</v>
          </cell>
        </row>
        <row r="1203">
          <cell r="D1203">
            <v>2100.5</v>
          </cell>
          <cell r="F1203" t="str">
            <v>SHHPH26007533</v>
          </cell>
          <cell r="G1203" t="str">
            <v>SUZHOU PIN SHINE TECHNOLOGY CO</v>
          </cell>
          <cell r="H1203" t="str">
            <v>Delivered</v>
          </cell>
          <cell r="I1203" t="str">
            <v>CONN</v>
          </cell>
          <cell r="J1203" t="str">
            <v>VVMV(sea)</v>
          </cell>
          <cell r="K1203" t="str">
            <v>VVMV</v>
          </cell>
          <cell r="L1203" t="str">
            <v>CN</v>
          </cell>
          <cell r="M1203">
            <v>46131</v>
          </cell>
          <cell r="N1203">
            <v>46140</v>
          </cell>
          <cell r="O1203">
            <v>46140</v>
          </cell>
          <cell r="P1203">
            <v>108183463620</v>
          </cell>
          <cell r="Q1203">
            <v>46136</v>
          </cell>
          <cell r="R1203" t="str">
            <v>No inspection</v>
          </cell>
          <cell r="S1203" t="str">
            <v>79.549,55</v>
          </cell>
          <cell r="T1203" t="str">
            <v>FCA</v>
          </cell>
          <cell r="U1203" t="str">
            <v>LUC</v>
          </cell>
        </row>
        <row r="1204">
          <cell r="D1204">
            <v>6.6</v>
          </cell>
          <cell r="F1204" t="str">
            <v>8XN5044</v>
          </cell>
          <cell r="G1204" t="str">
            <v>KIOXIA CORPORATION C/O KIOXIA AMERICA INC</v>
          </cell>
          <cell r="H1204" t="str">
            <v>Delivered</v>
          </cell>
          <cell r="I1204" t="str">
            <v xml:space="preserve">MEM </v>
          </cell>
          <cell r="J1204" t="str">
            <v>DHL( global)</v>
          </cell>
          <cell r="K1204" t="str">
            <v>VVMV</v>
          </cell>
          <cell r="L1204" t="str">
            <v>JP</v>
          </cell>
          <cell r="M1204">
            <v>46134</v>
          </cell>
          <cell r="N1204">
            <v>46140</v>
          </cell>
          <cell r="O1204">
            <v>46140</v>
          </cell>
          <cell r="P1204">
            <v>108189491540</v>
          </cell>
          <cell r="Q1204">
            <v>46139</v>
          </cell>
          <cell r="R1204" t="str">
            <v>No inspection</v>
          </cell>
          <cell r="S1204">
            <v>335065.5</v>
          </cell>
          <cell r="T1204" t="str">
            <v>CIP</v>
          </cell>
          <cell r="U1204" t="str">
            <v>PUR</v>
          </cell>
        </row>
        <row r="1205">
          <cell r="D1205">
            <v>6.5</v>
          </cell>
          <cell r="F1205" t="str">
            <v>8XN5045</v>
          </cell>
          <cell r="G1205" t="str">
            <v>KIOXIA CORPORATION C/O KIOXIA AMERICA INC</v>
          </cell>
          <cell r="H1205" t="str">
            <v>Delivered</v>
          </cell>
          <cell r="I1205" t="str">
            <v xml:space="preserve">MEM </v>
          </cell>
          <cell r="J1205" t="str">
            <v>DHL( global)</v>
          </cell>
          <cell r="K1205" t="str">
            <v>VVMV</v>
          </cell>
          <cell r="L1205" t="str">
            <v>JP</v>
          </cell>
          <cell r="M1205">
            <v>46138</v>
          </cell>
          <cell r="N1205">
            <v>46140</v>
          </cell>
          <cell r="O1205">
            <v>46140</v>
          </cell>
          <cell r="P1205">
            <v>108189469250</v>
          </cell>
          <cell r="Q1205">
            <v>46139</v>
          </cell>
          <cell r="R1205" t="str">
            <v>No inspection</v>
          </cell>
          <cell r="S1205">
            <v>335065.5</v>
          </cell>
          <cell r="T1205" t="str">
            <v>CIP</v>
          </cell>
          <cell r="U1205" t="str">
            <v>PUR</v>
          </cell>
        </row>
        <row r="1206">
          <cell r="D1206">
            <v>6.5</v>
          </cell>
          <cell r="F1206" t="str">
            <v>8XN5046</v>
          </cell>
          <cell r="G1206" t="str">
            <v>KIOXIA CORPORATION C/O KIOXIA AMERICA INC</v>
          </cell>
          <cell r="H1206" t="str">
            <v>Delivered</v>
          </cell>
          <cell r="I1206" t="str">
            <v xml:space="preserve">MEM </v>
          </cell>
          <cell r="J1206" t="str">
            <v>DHL( global)</v>
          </cell>
          <cell r="K1206" t="str">
            <v>VVMV</v>
          </cell>
          <cell r="L1206" t="str">
            <v>JP</v>
          </cell>
          <cell r="M1206">
            <v>46138</v>
          </cell>
          <cell r="N1206">
            <v>46140</v>
          </cell>
          <cell r="O1206">
            <v>46140</v>
          </cell>
          <cell r="P1206">
            <v>108189403600</v>
          </cell>
          <cell r="Q1206">
            <v>46139</v>
          </cell>
          <cell r="R1206" t="str">
            <v>No inspection</v>
          </cell>
          <cell r="S1206">
            <v>335065.5</v>
          </cell>
          <cell r="T1206" t="str">
            <v>CIP</v>
          </cell>
          <cell r="U1206" t="str">
            <v>PUR</v>
          </cell>
        </row>
        <row r="1207">
          <cell r="D1207">
            <v>6.6</v>
          </cell>
          <cell r="F1207" t="str">
            <v>8XN5047</v>
          </cell>
          <cell r="G1207" t="str">
            <v>KIOXIA CORPORATION C/O KIOXIA AMERICA INC</v>
          </cell>
          <cell r="H1207" t="str">
            <v>Delivered</v>
          </cell>
          <cell r="I1207" t="str">
            <v xml:space="preserve">MEM </v>
          </cell>
          <cell r="J1207" t="str">
            <v>DHL( global)</v>
          </cell>
          <cell r="K1207" t="str">
            <v>VVMV</v>
          </cell>
          <cell r="L1207" t="str">
            <v>JP</v>
          </cell>
          <cell r="M1207">
            <v>46138</v>
          </cell>
          <cell r="N1207">
            <v>46140</v>
          </cell>
          <cell r="O1207">
            <v>46140</v>
          </cell>
          <cell r="P1207">
            <v>108189399950</v>
          </cell>
          <cell r="Q1207">
            <v>46139</v>
          </cell>
          <cell r="R1207" t="str">
            <v>No inspection</v>
          </cell>
          <cell r="S1207">
            <v>335065.5</v>
          </cell>
          <cell r="T1207" t="str">
            <v>CIP</v>
          </cell>
          <cell r="U1207" t="str">
            <v>PUR</v>
          </cell>
        </row>
        <row r="1208">
          <cell r="D1208">
            <v>6.6</v>
          </cell>
          <cell r="F1208" t="str">
            <v>8XN5048</v>
          </cell>
          <cell r="G1208" t="str">
            <v>KIOXIA CORPORATION C/O KIOXIA AMERICA INC</v>
          </cell>
          <cell r="H1208" t="str">
            <v>Delivered</v>
          </cell>
          <cell r="I1208" t="str">
            <v xml:space="preserve">MEM </v>
          </cell>
          <cell r="J1208" t="str">
            <v>DHL( global)</v>
          </cell>
          <cell r="K1208" t="str">
            <v>VVMV</v>
          </cell>
          <cell r="L1208" t="str">
            <v>JP</v>
          </cell>
          <cell r="M1208">
            <v>46138</v>
          </cell>
          <cell r="N1208">
            <v>46140</v>
          </cell>
          <cell r="O1208">
            <v>46140</v>
          </cell>
          <cell r="P1208">
            <v>108189397630</v>
          </cell>
          <cell r="Q1208">
            <v>46139</v>
          </cell>
          <cell r="R1208" t="str">
            <v>No inspection</v>
          </cell>
          <cell r="S1208">
            <v>335065.5</v>
          </cell>
          <cell r="T1208" t="str">
            <v>CIP</v>
          </cell>
          <cell r="U1208" t="str">
            <v>PUR</v>
          </cell>
        </row>
        <row r="1209">
          <cell r="D1209">
            <v>6.5</v>
          </cell>
          <cell r="F1209" t="str">
            <v>8XN5049</v>
          </cell>
          <cell r="G1209" t="str">
            <v>KIOXIA CORPORATION C/O KIOXIA AMERICA INC</v>
          </cell>
          <cell r="H1209" t="str">
            <v>Delivered</v>
          </cell>
          <cell r="I1209" t="str">
            <v xml:space="preserve">MEM </v>
          </cell>
          <cell r="J1209" t="str">
            <v>DHL( global)</v>
          </cell>
          <cell r="K1209" t="str">
            <v>VVMV</v>
          </cell>
          <cell r="L1209" t="str">
            <v>JP</v>
          </cell>
          <cell r="M1209">
            <v>46138</v>
          </cell>
          <cell r="N1209">
            <v>46140</v>
          </cell>
          <cell r="O1209">
            <v>46140</v>
          </cell>
          <cell r="P1209">
            <v>108189394830</v>
          </cell>
          <cell r="Q1209">
            <v>46139</v>
          </cell>
          <cell r="R1209" t="str">
            <v>No inspection</v>
          </cell>
          <cell r="S1209">
            <v>335065.5</v>
          </cell>
          <cell r="T1209" t="str">
            <v>CIP</v>
          </cell>
          <cell r="U1209" t="str">
            <v>PUR</v>
          </cell>
        </row>
        <row r="1210">
          <cell r="D1210">
            <v>6.6</v>
          </cell>
          <cell r="F1210" t="str">
            <v>8XN5050</v>
          </cell>
          <cell r="G1210" t="str">
            <v>KIOXIA CORPORATION C/O KIOXIA AMERICA INC</v>
          </cell>
          <cell r="H1210" t="str">
            <v>Delivered</v>
          </cell>
          <cell r="I1210" t="str">
            <v xml:space="preserve">MEM </v>
          </cell>
          <cell r="J1210" t="str">
            <v>DHL( global)</v>
          </cell>
          <cell r="K1210" t="str">
            <v>VVMV</v>
          </cell>
          <cell r="L1210" t="str">
            <v>JP</v>
          </cell>
          <cell r="M1210">
            <v>46138</v>
          </cell>
          <cell r="N1210">
            <v>46140</v>
          </cell>
          <cell r="O1210">
            <v>46140</v>
          </cell>
          <cell r="P1210">
            <v>108189386540</v>
          </cell>
          <cell r="Q1210">
            <v>46139</v>
          </cell>
          <cell r="R1210" t="str">
            <v>No inspection</v>
          </cell>
          <cell r="S1210">
            <v>335065.5</v>
          </cell>
          <cell r="T1210" t="str">
            <v>CIP</v>
          </cell>
          <cell r="U1210" t="str">
            <v>PUR</v>
          </cell>
        </row>
        <row r="1211">
          <cell r="D1211">
            <v>6.5</v>
          </cell>
          <cell r="F1211" t="str">
            <v>8XN5051</v>
          </cell>
          <cell r="G1211" t="str">
            <v>KIOXIA CORPORATION C/O KIOXIA AMERICA INC</v>
          </cell>
          <cell r="H1211" t="str">
            <v>Delivered</v>
          </cell>
          <cell r="I1211" t="str">
            <v xml:space="preserve">MEM </v>
          </cell>
          <cell r="J1211" t="str">
            <v>DHL( global)</v>
          </cell>
          <cell r="K1211" t="str">
            <v>VVMV</v>
          </cell>
          <cell r="L1211" t="str">
            <v>JP</v>
          </cell>
          <cell r="M1211">
            <v>46138</v>
          </cell>
          <cell r="N1211">
            <v>46140</v>
          </cell>
          <cell r="O1211">
            <v>46140</v>
          </cell>
          <cell r="P1211">
            <v>108189375230</v>
          </cell>
          <cell r="Q1211">
            <v>46139</v>
          </cell>
          <cell r="R1211" t="str">
            <v>No inspection</v>
          </cell>
          <cell r="S1211">
            <v>335065.5</v>
          </cell>
          <cell r="T1211" t="str">
            <v>CIP</v>
          </cell>
          <cell r="U1211" t="str">
            <v>PUR</v>
          </cell>
        </row>
        <row r="1212">
          <cell r="D1212">
            <v>6.6</v>
          </cell>
          <cell r="F1212" t="str">
            <v>8XN5052</v>
          </cell>
          <cell r="G1212" t="str">
            <v>KIOXIA CORPORATION C/O KIOXIA AMERICA INC</v>
          </cell>
          <cell r="H1212" t="str">
            <v>Delivered</v>
          </cell>
          <cell r="I1212" t="str">
            <v xml:space="preserve">MEM </v>
          </cell>
          <cell r="J1212" t="str">
            <v>DHL( global)</v>
          </cell>
          <cell r="K1212" t="str">
            <v>VVMV</v>
          </cell>
          <cell r="L1212" t="str">
            <v>JP</v>
          </cell>
          <cell r="M1212">
            <v>46138</v>
          </cell>
          <cell r="N1212">
            <v>46140</v>
          </cell>
          <cell r="O1212">
            <v>46140</v>
          </cell>
          <cell r="P1212">
            <v>108189322510</v>
          </cell>
          <cell r="Q1212">
            <v>46139</v>
          </cell>
          <cell r="R1212" t="str">
            <v>No inspection</v>
          </cell>
          <cell r="S1212">
            <v>335065.5</v>
          </cell>
          <cell r="T1212" t="str">
            <v>CIP</v>
          </cell>
          <cell r="U1212" t="str">
            <v>PUR</v>
          </cell>
        </row>
        <row r="1213">
          <cell r="D1213">
            <v>6.5</v>
          </cell>
          <cell r="F1213" t="str">
            <v>8XN5053</v>
          </cell>
          <cell r="G1213" t="str">
            <v>KIOXIA CORPORATION C/O KIOXIA AMERICA INC</v>
          </cell>
          <cell r="H1213" t="str">
            <v>Delivered</v>
          </cell>
          <cell r="I1213" t="str">
            <v xml:space="preserve">MEM </v>
          </cell>
          <cell r="J1213" t="str">
            <v>DHL( global)</v>
          </cell>
          <cell r="K1213" t="str">
            <v>VVMV</v>
          </cell>
          <cell r="L1213" t="str">
            <v>JP</v>
          </cell>
          <cell r="M1213">
            <v>46138</v>
          </cell>
          <cell r="N1213">
            <v>46140</v>
          </cell>
          <cell r="O1213">
            <v>46140</v>
          </cell>
          <cell r="P1213">
            <v>108189309800</v>
          </cell>
          <cell r="Q1213">
            <v>46139</v>
          </cell>
          <cell r="R1213" t="str">
            <v>No inspection</v>
          </cell>
          <cell r="S1213">
            <v>335065.5</v>
          </cell>
          <cell r="T1213" t="str">
            <v>CIP</v>
          </cell>
          <cell r="U1213" t="str">
            <v>PUR</v>
          </cell>
        </row>
        <row r="1214">
          <cell r="D1214">
            <v>6.5</v>
          </cell>
          <cell r="F1214" t="str">
            <v>8XN5054</v>
          </cell>
          <cell r="G1214" t="str">
            <v>KIOXIA CORPORATION C/O KIOXIA AMERICA INC</v>
          </cell>
          <cell r="H1214" t="str">
            <v>Delivered</v>
          </cell>
          <cell r="I1214" t="str">
            <v xml:space="preserve">MEM </v>
          </cell>
          <cell r="J1214" t="str">
            <v>DHL( global)</v>
          </cell>
          <cell r="K1214" t="str">
            <v>VVMV</v>
          </cell>
          <cell r="L1214" t="str">
            <v>JP</v>
          </cell>
          <cell r="M1214">
            <v>46138</v>
          </cell>
          <cell r="N1214">
            <v>46140</v>
          </cell>
          <cell r="O1214">
            <v>46140</v>
          </cell>
          <cell r="P1214">
            <v>108189300330</v>
          </cell>
          <cell r="Q1214">
            <v>46139</v>
          </cell>
          <cell r="R1214" t="str">
            <v>No inspection</v>
          </cell>
          <cell r="S1214">
            <v>335065.5</v>
          </cell>
          <cell r="T1214" t="str">
            <v>CIP</v>
          </cell>
          <cell r="U1214" t="str">
            <v>PUR</v>
          </cell>
        </row>
        <row r="1215">
          <cell r="D1215">
            <v>6.5</v>
          </cell>
          <cell r="F1215" t="str">
            <v>8XN5055</v>
          </cell>
          <cell r="G1215" t="str">
            <v>KIOXIA CORPORATION C/O KIOXIA AMERICA INC</v>
          </cell>
          <cell r="H1215" t="str">
            <v>Delivered</v>
          </cell>
          <cell r="I1215" t="str">
            <v xml:space="preserve">MEM </v>
          </cell>
          <cell r="J1215" t="str">
            <v>DHL( global)</v>
          </cell>
          <cell r="K1215" t="str">
            <v>VVMV</v>
          </cell>
          <cell r="L1215" t="str">
            <v>JP</v>
          </cell>
          <cell r="M1215">
            <v>46138</v>
          </cell>
          <cell r="N1215">
            <v>46140</v>
          </cell>
          <cell r="O1215">
            <v>46140</v>
          </cell>
          <cell r="P1215">
            <v>108189092540</v>
          </cell>
          <cell r="Q1215">
            <v>46139</v>
          </cell>
          <cell r="R1215" t="str">
            <v>No inspection</v>
          </cell>
          <cell r="S1215">
            <v>335065.5</v>
          </cell>
          <cell r="T1215" t="str">
            <v>CIP</v>
          </cell>
          <cell r="U1215" t="str">
            <v>PUR</v>
          </cell>
        </row>
        <row r="1216">
          <cell r="D1216">
            <v>6.5</v>
          </cell>
          <cell r="F1216" t="str">
            <v>8XN5056</v>
          </cell>
          <cell r="G1216" t="str">
            <v>KIOXIA CORPORATION C/O KIOXIA AMERICA INC</v>
          </cell>
          <cell r="H1216" t="str">
            <v>Delivered</v>
          </cell>
          <cell r="I1216" t="str">
            <v xml:space="preserve">MEM </v>
          </cell>
          <cell r="J1216" t="str">
            <v>DHL( global)</v>
          </cell>
          <cell r="K1216" t="str">
            <v>VVMV</v>
          </cell>
          <cell r="L1216" t="str">
            <v>JP</v>
          </cell>
          <cell r="M1216">
            <v>46138</v>
          </cell>
          <cell r="N1216">
            <v>46140</v>
          </cell>
          <cell r="O1216">
            <v>46140</v>
          </cell>
          <cell r="P1216">
            <v>108189261610</v>
          </cell>
          <cell r="Q1216">
            <v>46139</v>
          </cell>
          <cell r="R1216" t="str">
            <v>No inspection</v>
          </cell>
          <cell r="S1216">
            <v>335065.5</v>
          </cell>
          <cell r="T1216" t="str">
            <v>CIP</v>
          </cell>
          <cell r="U1216" t="str">
            <v>PUR</v>
          </cell>
        </row>
        <row r="1217">
          <cell r="D1217">
            <v>6.5</v>
          </cell>
          <cell r="F1217" t="str">
            <v>8XN5057</v>
          </cell>
          <cell r="G1217" t="str">
            <v>KIOXIA CORPORATION C/O KIOXIA AMERICA INC</v>
          </cell>
          <cell r="H1217" t="str">
            <v>Delivered</v>
          </cell>
          <cell r="I1217" t="str">
            <v xml:space="preserve">MEM </v>
          </cell>
          <cell r="J1217" t="str">
            <v>DHL( global)</v>
          </cell>
          <cell r="K1217" t="str">
            <v>VVMV</v>
          </cell>
          <cell r="L1217" t="str">
            <v>JP</v>
          </cell>
          <cell r="M1217">
            <v>46138</v>
          </cell>
          <cell r="N1217">
            <v>46140</v>
          </cell>
          <cell r="O1217">
            <v>46140</v>
          </cell>
          <cell r="P1217">
            <v>108189248640</v>
          </cell>
          <cell r="Q1217">
            <v>46139</v>
          </cell>
          <cell r="R1217" t="str">
            <v>No inspection</v>
          </cell>
          <cell r="S1217">
            <v>335065.5</v>
          </cell>
          <cell r="T1217" t="str">
            <v>CIP</v>
          </cell>
          <cell r="U1217" t="str">
            <v>PUR</v>
          </cell>
        </row>
        <row r="1218">
          <cell r="D1218">
            <v>6.5</v>
          </cell>
          <cell r="F1218" t="str">
            <v>8XN5058</v>
          </cell>
          <cell r="G1218" t="str">
            <v>KIOXIA CORPORATION C/O KIOXIA AMERICA INC</v>
          </cell>
          <cell r="H1218" t="str">
            <v>Delivered</v>
          </cell>
          <cell r="I1218" t="str">
            <v xml:space="preserve">MEM </v>
          </cell>
          <cell r="J1218" t="str">
            <v>DHL( global)</v>
          </cell>
          <cell r="K1218" t="str">
            <v>VVMV</v>
          </cell>
          <cell r="L1218" t="str">
            <v>JP</v>
          </cell>
          <cell r="M1218">
            <v>46138</v>
          </cell>
          <cell r="N1218">
            <v>46140</v>
          </cell>
          <cell r="O1218">
            <v>46140</v>
          </cell>
          <cell r="P1218">
            <v>108189170720</v>
          </cell>
          <cell r="Q1218">
            <v>46139</v>
          </cell>
          <cell r="R1218" t="str">
            <v>No inspection</v>
          </cell>
          <cell r="S1218">
            <v>335065.5</v>
          </cell>
          <cell r="T1218" t="str">
            <v>CIP</v>
          </cell>
          <cell r="U1218" t="str">
            <v>PUR</v>
          </cell>
        </row>
        <row r="1219">
          <cell r="D1219">
            <v>6.5</v>
          </cell>
          <cell r="F1219" t="str">
            <v>8XN5059</v>
          </cell>
          <cell r="G1219" t="str">
            <v>KIOXIA CORPORATION C/O KIOXIA AMERICA INC</v>
          </cell>
          <cell r="H1219" t="str">
            <v>Delivered</v>
          </cell>
          <cell r="I1219" t="str">
            <v xml:space="preserve">MEM </v>
          </cell>
          <cell r="J1219" t="str">
            <v>DHL( global)</v>
          </cell>
          <cell r="K1219" t="str">
            <v>VVMV</v>
          </cell>
          <cell r="L1219" t="str">
            <v>JP</v>
          </cell>
          <cell r="M1219">
            <v>46138</v>
          </cell>
          <cell r="N1219">
            <v>46140</v>
          </cell>
          <cell r="O1219">
            <v>46140</v>
          </cell>
          <cell r="P1219">
            <v>108189150530</v>
          </cell>
          <cell r="Q1219">
            <v>46139</v>
          </cell>
          <cell r="R1219" t="str">
            <v>No inspection</v>
          </cell>
          <cell r="S1219">
            <v>335065.5</v>
          </cell>
          <cell r="T1219" t="str">
            <v>CIP</v>
          </cell>
          <cell r="U1219" t="str">
            <v>PUR</v>
          </cell>
        </row>
        <row r="1220">
          <cell r="D1220">
            <v>4.5</v>
          </cell>
          <cell r="F1220" t="str">
            <v>8XN5060</v>
          </cell>
          <cell r="G1220" t="str">
            <v>KIOXIA CORPORATION C/O KIOXIA AMERICA INC</v>
          </cell>
          <cell r="H1220" t="str">
            <v>Delivered</v>
          </cell>
          <cell r="I1220" t="str">
            <v xml:space="preserve">MEM </v>
          </cell>
          <cell r="J1220" t="str">
            <v>DHL( global)</v>
          </cell>
          <cell r="K1220" t="str">
            <v>VVMV</v>
          </cell>
          <cell r="L1220" t="str">
            <v>JP</v>
          </cell>
          <cell r="M1220">
            <v>46138</v>
          </cell>
          <cell r="N1220">
            <v>46140</v>
          </cell>
          <cell r="O1220">
            <v>46140</v>
          </cell>
          <cell r="P1220">
            <v>108189126250</v>
          </cell>
          <cell r="Q1220">
            <v>46139</v>
          </cell>
          <cell r="R1220" t="str">
            <v>No inspection</v>
          </cell>
          <cell r="S1220">
            <v>201039.3</v>
          </cell>
          <cell r="T1220" t="str">
            <v>CIP</v>
          </cell>
          <cell r="U1220" t="str">
            <v>PUR</v>
          </cell>
        </row>
        <row r="1221">
          <cell r="D1221">
            <v>6.5</v>
          </cell>
          <cell r="F1221" t="str">
            <v>8XN5061</v>
          </cell>
          <cell r="G1221" t="str">
            <v>KIOXIA CORPORATION C/O KIOXIA AMERICA INC</v>
          </cell>
          <cell r="H1221" t="str">
            <v>Delivered</v>
          </cell>
          <cell r="I1221" t="str">
            <v xml:space="preserve">MEM </v>
          </cell>
          <cell r="J1221" t="str">
            <v>DHL( global)</v>
          </cell>
          <cell r="K1221" t="str">
            <v>VVMV</v>
          </cell>
          <cell r="L1221" t="str">
            <v>JP</v>
          </cell>
          <cell r="M1221">
            <v>46134</v>
          </cell>
          <cell r="N1221">
            <v>46140</v>
          </cell>
          <cell r="O1221">
            <v>46140</v>
          </cell>
          <cell r="P1221">
            <v>108189502410</v>
          </cell>
          <cell r="Q1221">
            <v>46139</v>
          </cell>
          <cell r="R1221" t="str">
            <v>No inspection</v>
          </cell>
          <cell r="S1221">
            <v>335065.5</v>
          </cell>
          <cell r="T1221" t="str">
            <v>CIP</v>
          </cell>
          <cell r="U1221" t="str">
            <v>PUR</v>
          </cell>
        </row>
        <row r="1222">
          <cell r="D1222">
            <v>6.6</v>
          </cell>
          <cell r="F1222" t="str">
            <v>8XN5062</v>
          </cell>
          <cell r="G1222" t="str">
            <v>KIOXIA CORPORATION C/O KIOXIA AMERICA INC</v>
          </cell>
          <cell r="H1222" t="str">
            <v>Delivered</v>
          </cell>
          <cell r="I1222" t="str">
            <v xml:space="preserve">MEM </v>
          </cell>
          <cell r="J1222" t="str">
            <v>DHL( global)</v>
          </cell>
          <cell r="K1222" t="str">
            <v>VVMV</v>
          </cell>
          <cell r="L1222" t="str">
            <v>JP</v>
          </cell>
          <cell r="M1222">
            <v>46134</v>
          </cell>
          <cell r="N1222">
            <v>46140</v>
          </cell>
          <cell r="O1222">
            <v>46140</v>
          </cell>
          <cell r="P1222">
            <v>108189517440</v>
          </cell>
          <cell r="Q1222">
            <v>46139</v>
          </cell>
          <cell r="R1222" t="str">
            <v>No inspection</v>
          </cell>
          <cell r="S1222">
            <v>335065.5</v>
          </cell>
          <cell r="T1222" t="str">
            <v>CIP</v>
          </cell>
          <cell r="U1222" t="str">
            <v>PUR</v>
          </cell>
        </row>
        <row r="1223">
          <cell r="D1223">
            <v>6</v>
          </cell>
          <cell r="F1223" t="str">
            <v>8XN5063</v>
          </cell>
          <cell r="G1223" t="str">
            <v>KIOXIA CORPORATION C/O KIOXIA AMERICA INC</v>
          </cell>
          <cell r="H1223" t="str">
            <v>Delivered</v>
          </cell>
          <cell r="I1223" t="str">
            <v xml:space="preserve">MEM </v>
          </cell>
          <cell r="J1223" t="str">
            <v>DHL( global)</v>
          </cell>
          <cell r="K1223" t="str">
            <v>VVMV</v>
          </cell>
          <cell r="L1223" t="str">
            <v>JP</v>
          </cell>
          <cell r="M1223">
            <v>46134</v>
          </cell>
          <cell r="N1223">
            <v>46140</v>
          </cell>
          <cell r="O1223">
            <v>46140</v>
          </cell>
          <cell r="P1223">
            <v>108189269420</v>
          </cell>
          <cell r="Q1223">
            <v>46139</v>
          </cell>
          <cell r="R1223" t="str">
            <v>No inspection</v>
          </cell>
          <cell r="S1223">
            <v>335065.5</v>
          </cell>
          <cell r="T1223" t="str">
            <v>CIP</v>
          </cell>
          <cell r="U1223" t="str">
            <v>PUR</v>
          </cell>
        </row>
        <row r="1224">
          <cell r="D1224">
            <v>6.6</v>
          </cell>
          <cell r="F1224" t="str">
            <v>8XN5064</v>
          </cell>
          <cell r="G1224" t="str">
            <v>KIOXIA CORPORATION C/O KIOXIA AMERICA INC</v>
          </cell>
          <cell r="H1224" t="str">
            <v>Delivered</v>
          </cell>
          <cell r="I1224" t="str">
            <v xml:space="preserve">MEM </v>
          </cell>
          <cell r="J1224" t="str">
            <v>DHL( global)</v>
          </cell>
          <cell r="K1224" t="str">
            <v>VVMV</v>
          </cell>
          <cell r="L1224" t="str">
            <v>JP</v>
          </cell>
          <cell r="M1224">
            <v>46134</v>
          </cell>
          <cell r="N1224">
            <v>46140</v>
          </cell>
          <cell r="O1224">
            <v>46140</v>
          </cell>
          <cell r="P1224">
            <v>108189107610</v>
          </cell>
          <cell r="Q1224">
            <v>46139</v>
          </cell>
          <cell r="R1224" t="str">
            <v>No inspection</v>
          </cell>
          <cell r="S1224">
            <v>335065.5</v>
          </cell>
          <cell r="T1224" t="str">
            <v>CIP</v>
          </cell>
          <cell r="U1224" t="str">
            <v>PUR</v>
          </cell>
        </row>
        <row r="1225">
          <cell r="D1225">
            <v>6.6</v>
          </cell>
          <cell r="F1225" t="str">
            <v>8XN5065</v>
          </cell>
          <cell r="G1225" t="str">
            <v>KIOXIA CORPORATION C/O KIOXIA AMERICA INC</v>
          </cell>
          <cell r="H1225" t="str">
            <v>Delivered</v>
          </cell>
          <cell r="I1225" t="str">
            <v xml:space="preserve">MEM </v>
          </cell>
          <cell r="J1225" t="str">
            <v>DHL( global)</v>
          </cell>
          <cell r="K1225" t="str">
            <v>VVMV</v>
          </cell>
          <cell r="L1225" t="str">
            <v>JP</v>
          </cell>
          <cell r="M1225">
            <v>46134</v>
          </cell>
          <cell r="N1225">
            <v>46140</v>
          </cell>
          <cell r="O1225">
            <v>46140</v>
          </cell>
          <cell r="P1225">
            <v>108189283750</v>
          </cell>
          <cell r="Q1225">
            <v>46139</v>
          </cell>
          <cell r="R1225" t="str">
            <v>No inspection</v>
          </cell>
          <cell r="S1225">
            <v>335065.5</v>
          </cell>
          <cell r="T1225" t="str">
            <v>CIP</v>
          </cell>
          <cell r="U1225" t="str">
            <v>PUR</v>
          </cell>
        </row>
        <row r="1226">
          <cell r="D1226">
            <v>2.1</v>
          </cell>
          <cell r="F1226">
            <v>870935991886</v>
          </cell>
          <cell r="G1226" t="str">
            <v>FLEXTRONICS INTERNATIONAL GMBH</v>
          </cell>
          <cell r="H1226" t="str">
            <v>Delivered</v>
          </cell>
          <cell r="I1226" t="str">
            <v>IC D</v>
          </cell>
          <cell r="J1226" t="str">
            <v>Fedex</v>
          </cell>
          <cell r="K1226" t="str">
            <v>VVMV</v>
          </cell>
          <cell r="L1226" t="str">
            <v>AT</v>
          </cell>
          <cell r="M1226">
            <v>46134</v>
          </cell>
          <cell r="N1226">
            <v>46141</v>
          </cell>
          <cell r="O1226">
            <v>46148</v>
          </cell>
          <cell r="P1226">
            <v>108193438250</v>
          </cell>
          <cell r="Q1226">
            <v>46140</v>
          </cell>
          <cell r="R1226" t="str">
            <v>No inspection</v>
          </cell>
          <cell r="S1226">
            <v>8275</v>
          </cell>
          <cell r="T1226" t="str">
            <v>CIF</v>
          </cell>
          <cell r="U1226" t="str">
            <v>LUC</v>
          </cell>
        </row>
        <row r="1227">
          <cell r="D1227">
            <v>7.3</v>
          </cell>
          <cell r="F1227" t="str">
            <v>8XN5082</v>
          </cell>
          <cell r="G1227" t="str">
            <v>KIOXIA CORPORATION C/O KIOXIA AMERICA INC</v>
          </cell>
          <cell r="H1227" t="str">
            <v>Delivered</v>
          </cell>
          <cell r="I1227" t="str">
            <v xml:space="preserve">MEM </v>
          </cell>
          <cell r="J1227" t="str">
            <v>DHL( global)</v>
          </cell>
          <cell r="K1227" t="str">
            <v>VVMV</v>
          </cell>
          <cell r="L1227" t="str">
            <v>JP</v>
          </cell>
          <cell r="M1227">
            <v>46137</v>
          </cell>
          <cell r="N1227">
            <v>46140</v>
          </cell>
          <cell r="O1227">
            <v>46140</v>
          </cell>
          <cell r="P1227">
            <v>108189531920</v>
          </cell>
          <cell r="Q1227">
            <v>46139</v>
          </cell>
          <cell r="R1227" t="str">
            <v>No inspection</v>
          </cell>
          <cell r="S1227">
            <v>529502.4</v>
          </cell>
          <cell r="T1227" t="str">
            <v>DAP</v>
          </cell>
          <cell r="U1227" t="str">
            <v>PUR</v>
          </cell>
        </row>
        <row r="1228">
          <cell r="D1228">
            <v>7.3</v>
          </cell>
          <cell r="F1228" t="str">
            <v>8XN5083</v>
          </cell>
          <cell r="G1228" t="str">
            <v>KIOXIA CORPORATION C/O KIOXIA AMERICA INC</v>
          </cell>
          <cell r="H1228" t="str">
            <v>Delivered</v>
          </cell>
          <cell r="I1228" t="str">
            <v xml:space="preserve">MEM </v>
          </cell>
          <cell r="J1228" t="str">
            <v>DHL( global)</v>
          </cell>
          <cell r="K1228" t="str">
            <v>VVMV</v>
          </cell>
          <cell r="L1228" t="str">
            <v>JP</v>
          </cell>
          <cell r="M1228">
            <v>46137</v>
          </cell>
          <cell r="N1228">
            <v>46140</v>
          </cell>
          <cell r="O1228">
            <v>46140</v>
          </cell>
          <cell r="P1228">
            <v>108189545660</v>
          </cell>
          <cell r="Q1228">
            <v>46139</v>
          </cell>
          <cell r="R1228" t="str">
            <v>No inspection</v>
          </cell>
          <cell r="S1228">
            <v>529502.4</v>
          </cell>
          <cell r="T1228" t="str">
            <v>DAP</v>
          </cell>
          <cell r="U1228" t="str">
            <v>PUR</v>
          </cell>
        </row>
        <row r="1229">
          <cell r="D1229">
            <v>7.3</v>
          </cell>
          <cell r="F1229" t="str">
            <v>8XN5084</v>
          </cell>
          <cell r="G1229" t="str">
            <v>KIOXIA CORPORATION C/O KIOXIA AMERICA INC</v>
          </cell>
          <cell r="H1229" t="str">
            <v>Delivered</v>
          </cell>
          <cell r="I1229" t="str">
            <v xml:space="preserve">MEM </v>
          </cell>
          <cell r="J1229" t="str">
            <v>DHL( global)</v>
          </cell>
          <cell r="K1229" t="str">
            <v>VVMV</v>
          </cell>
          <cell r="L1229" t="str">
            <v>JP</v>
          </cell>
          <cell r="M1229">
            <v>46137</v>
          </cell>
          <cell r="N1229">
            <v>46140</v>
          </cell>
          <cell r="O1229">
            <v>46140</v>
          </cell>
          <cell r="P1229">
            <v>108189564450</v>
          </cell>
          <cell r="Q1229">
            <v>46139</v>
          </cell>
          <cell r="R1229" t="str">
            <v>No inspection</v>
          </cell>
          <cell r="S1229">
            <v>529502.4</v>
          </cell>
          <cell r="T1229" t="str">
            <v>DAP</v>
          </cell>
          <cell r="U1229" t="str">
            <v>PUR</v>
          </cell>
        </row>
        <row r="1230">
          <cell r="D1230">
            <v>7.3</v>
          </cell>
          <cell r="F1230" t="str">
            <v>8XN5085</v>
          </cell>
          <cell r="G1230" t="str">
            <v>KIOXIA CORPORATION C/O KIOXIA AMERICA INC</v>
          </cell>
          <cell r="H1230" t="str">
            <v>Delivered</v>
          </cell>
          <cell r="I1230" t="str">
            <v xml:space="preserve">MEM </v>
          </cell>
          <cell r="J1230" t="str">
            <v>DHL( global)</v>
          </cell>
          <cell r="K1230" t="str">
            <v>VVMV</v>
          </cell>
          <cell r="L1230" t="str">
            <v>JP</v>
          </cell>
          <cell r="M1230">
            <v>46137</v>
          </cell>
          <cell r="N1230">
            <v>46140</v>
          </cell>
          <cell r="O1230">
            <v>46140</v>
          </cell>
          <cell r="P1230">
            <v>108189623510</v>
          </cell>
          <cell r="Q1230">
            <v>46139</v>
          </cell>
          <cell r="R1230" t="str">
            <v>No inspection</v>
          </cell>
          <cell r="S1230">
            <v>529502.4</v>
          </cell>
          <cell r="T1230" t="str">
            <v>DAP</v>
          </cell>
          <cell r="U1230" t="str">
            <v>PUR</v>
          </cell>
        </row>
        <row r="1231">
          <cell r="D1231">
            <v>7.3</v>
          </cell>
          <cell r="F1231" t="str">
            <v>8XN5086</v>
          </cell>
          <cell r="G1231" t="str">
            <v>KIOXIA CORPORATION C/O KIOXIA AMERICA INC</v>
          </cell>
          <cell r="H1231" t="str">
            <v>Delivered</v>
          </cell>
          <cell r="I1231" t="str">
            <v xml:space="preserve">MEM </v>
          </cell>
          <cell r="J1231" t="str">
            <v>DHL( global)</v>
          </cell>
          <cell r="K1231" t="str">
            <v>VVMV</v>
          </cell>
          <cell r="L1231" t="str">
            <v>JP</v>
          </cell>
          <cell r="M1231">
            <v>46137</v>
          </cell>
          <cell r="N1231">
            <v>46140</v>
          </cell>
          <cell r="O1231">
            <v>46140</v>
          </cell>
          <cell r="P1231">
            <v>108189651840</v>
          </cell>
          <cell r="Q1231">
            <v>46139</v>
          </cell>
          <cell r="R1231" t="str">
            <v>No inspection</v>
          </cell>
          <cell r="S1231">
            <v>529502.4</v>
          </cell>
          <cell r="T1231" t="str">
            <v>DAP</v>
          </cell>
          <cell r="U1231" t="str">
            <v>PUR</v>
          </cell>
        </row>
        <row r="1232">
          <cell r="D1232">
            <v>7.3</v>
          </cell>
          <cell r="F1232" t="str">
            <v>8XN5087</v>
          </cell>
          <cell r="G1232" t="str">
            <v>KIOXIA CORPORATION C/O KIOXIA AMERICA INC</v>
          </cell>
          <cell r="H1232" t="str">
            <v>Delivered</v>
          </cell>
          <cell r="I1232" t="str">
            <v xml:space="preserve">MEM </v>
          </cell>
          <cell r="J1232" t="str">
            <v>DHL( global)</v>
          </cell>
          <cell r="K1232" t="str">
            <v>VVMV</v>
          </cell>
          <cell r="L1232" t="str">
            <v>JP</v>
          </cell>
          <cell r="M1232">
            <v>46137</v>
          </cell>
          <cell r="N1232">
            <v>46140</v>
          </cell>
          <cell r="O1232">
            <v>46140</v>
          </cell>
          <cell r="P1232">
            <v>108189673100</v>
          </cell>
          <cell r="Q1232">
            <v>46139</v>
          </cell>
          <cell r="R1232" t="str">
            <v>No inspection</v>
          </cell>
          <cell r="S1232">
            <v>529502.4</v>
          </cell>
          <cell r="T1232" t="str">
            <v>DAP</v>
          </cell>
          <cell r="U1232" t="str">
            <v>PUR</v>
          </cell>
        </row>
        <row r="1233">
          <cell r="D1233">
            <v>7.3</v>
          </cell>
          <cell r="F1233" t="str">
            <v>8XN5088</v>
          </cell>
          <cell r="G1233" t="str">
            <v>KIOXIA CORPORATION C/O KIOXIA AMERICA INC</v>
          </cell>
          <cell r="H1233" t="str">
            <v>Delivered</v>
          </cell>
          <cell r="I1233" t="str">
            <v xml:space="preserve">MEM </v>
          </cell>
          <cell r="J1233" t="str">
            <v>DHL( global)</v>
          </cell>
          <cell r="K1233" t="str">
            <v>VVMV</v>
          </cell>
          <cell r="L1233" t="str">
            <v>JP</v>
          </cell>
          <cell r="M1233">
            <v>46137</v>
          </cell>
          <cell r="N1233">
            <v>46140</v>
          </cell>
          <cell r="O1233">
            <v>46140</v>
          </cell>
          <cell r="P1233">
            <v>108189704120</v>
          </cell>
          <cell r="Q1233">
            <v>46139</v>
          </cell>
          <cell r="R1233" t="str">
            <v>No inspection</v>
          </cell>
          <cell r="S1233">
            <v>529502.4</v>
          </cell>
          <cell r="T1233" t="str">
            <v>DAP</v>
          </cell>
          <cell r="U1233" t="str">
            <v>PUR</v>
          </cell>
        </row>
        <row r="1234">
          <cell r="D1234">
            <v>7.3</v>
          </cell>
          <cell r="F1234" t="str">
            <v>8XN5089</v>
          </cell>
          <cell r="G1234" t="str">
            <v>KIOXIA CORPORATION C/O KIOXIA AMERICA INC</v>
          </cell>
          <cell r="H1234" t="str">
            <v>Delivered</v>
          </cell>
          <cell r="I1234" t="str">
            <v xml:space="preserve">MEM </v>
          </cell>
          <cell r="J1234" t="str">
            <v>DHL( global)</v>
          </cell>
          <cell r="K1234" t="str">
            <v>VVMV</v>
          </cell>
          <cell r="L1234" t="str">
            <v>JP</v>
          </cell>
          <cell r="M1234">
            <v>46137</v>
          </cell>
          <cell r="N1234">
            <v>46140</v>
          </cell>
          <cell r="O1234">
            <v>46140</v>
          </cell>
          <cell r="P1234">
            <v>108189733410</v>
          </cell>
          <cell r="Q1234">
            <v>46139</v>
          </cell>
          <cell r="R1234" t="str">
            <v>No inspection</v>
          </cell>
          <cell r="S1234">
            <v>529502.4</v>
          </cell>
          <cell r="T1234" t="str">
            <v>DAP</v>
          </cell>
          <cell r="U1234" t="str">
            <v>PUR</v>
          </cell>
        </row>
        <row r="1235">
          <cell r="D1235">
            <v>7.3</v>
          </cell>
          <cell r="F1235" t="str">
            <v>8XN5090</v>
          </cell>
          <cell r="G1235" t="str">
            <v>KIOXIA CORPORATION C/O KIOXIA AMERICA INC</v>
          </cell>
          <cell r="H1235" t="str">
            <v>Delivered</v>
          </cell>
          <cell r="I1235" t="str">
            <v xml:space="preserve">MEM </v>
          </cell>
          <cell r="J1235" t="str">
            <v>DHL( global)</v>
          </cell>
          <cell r="K1235" t="str">
            <v>VVMV</v>
          </cell>
          <cell r="L1235" t="str">
            <v>JP</v>
          </cell>
          <cell r="M1235">
            <v>46137</v>
          </cell>
          <cell r="N1235">
            <v>46140</v>
          </cell>
          <cell r="O1235">
            <v>46140</v>
          </cell>
          <cell r="P1235">
            <v>108189752750</v>
          </cell>
          <cell r="Q1235">
            <v>46139</v>
          </cell>
          <cell r="R1235" t="str">
            <v>No inspection</v>
          </cell>
          <cell r="S1235">
            <v>529502.4</v>
          </cell>
          <cell r="T1235" t="str">
            <v>DAP</v>
          </cell>
          <cell r="U1235" t="str">
            <v>PUR</v>
          </cell>
        </row>
        <row r="1236">
          <cell r="D1236">
            <v>7.3</v>
          </cell>
          <cell r="F1236" t="str">
            <v>8XN5091</v>
          </cell>
          <cell r="G1236" t="str">
            <v>KIOXIA CORPORATION C/O KIOXIA AMERICA INC</v>
          </cell>
          <cell r="H1236" t="str">
            <v>Delivered</v>
          </cell>
          <cell r="I1236" t="str">
            <v xml:space="preserve">MEM </v>
          </cell>
          <cell r="J1236" t="str">
            <v>DHL( global)</v>
          </cell>
          <cell r="K1236" t="str">
            <v>VVMV</v>
          </cell>
          <cell r="L1236" t="str">
            <v>JP</v>
          </cell>
          <cell r="M1236">
            <v>46137</v>
          </cell>
          <cell r="N1236">
            <v>46140</v>
          </cell>
          <cell r="O1236">
            <v>46140</v>
          </cell>
          <cell r="P1236">
            <v>108189772940</v>
          </cell>
          <cell r="Q1236">
            <v>46139</v>
          </cell>
          <cell r="R1236" t="str">
            <v>No inspection</v>
          </cell>
          <cell r="S1236">
            <v>529502.4</v>
          </cell>
          <cell r="T1236" t="str">
            <v>DAP</v>
          </cell>
          <cell r="U1236" t="str">
            <v>PUR</v>
          </cell>
        </row>
        <row r="1237">
          <cell r="D1237">
            <v>7.3</v>
          </cell>
          <cell r="F1237" t="str">
            <v>8XN5092</v>
          </cell>
          <cell r="G1237" t="str">
            <v>KIOXIA CORPORATION C/O KIOXIA AMERICA INC</v>
          </cell>
          <cell r="H1237" t="str">
            <v>Delivered</v>
          </cell>
          <cell r="I1237" t="str">
            <v xml:space="preserve">MEM </v>
          </cell>
          <cell r="J1237" t="str">
            <v>DHL( global)</v>
          </cell>
          <cell r="K1237" t="str">
            <v>VVMV</v>
          </cell>
          <cell r="L1237" t="str">
            <v>JP</v>
          </cell>
          <cell r="M1237">
            <v>46137</v>
          </cell>
          <cell r="N1237">
            <v>46140</v>
          </cell>
          <cell r="O1237">
            <v>46140</v>
          </cell>
          <cell r="P1237">
            <v>108189786720</v>
          </cell>
          <cell r="Q1237">
            <v>46139</v>
          </cell>
          <cell r="R1237" t="str">
            <v>No inspection</v>
          </cell>
          <cell r="S1237">
            <v>529502.4</v>
          </cell>
          <cell r="T1237" t="str">
            <v>DAP</v>
          </cell>
          <cell r="U1237" t="str">
            <v>PUR</v>
          </cell>
        </row>
        <row r="1238">
          <cell r="D1238">
            <v>7.3</v>
          </cell>
          <cell r="F1238" t="str">
            <v>8XN5093</v>
          </cell>
          <cell r="G1238" t="str">
            <v>KIOXIA CORPORATION C/O KIOXIA AMERICA INC</v>
          </cell>
          <cell r="H1238" t="str">
            <v>Delivered</v>
          </cell>
          <cell r="I1238" t="str">
            <v xml:space="preserve">MEM </v>
          </cell>
          <cell r="J1238" t="str">
            <v>DHL( global)</v>
          </cell>
          <cell r="K1238" t="str">
            <v>VVMV</v>
          </cell>
          <cell r="L1238" t="str">
            <v>JP</v>
          </cell>
          <cell r="M1238">
            <v>46137</v>
          </cell>
          <cell r="N1238">
            <v>46140</v>
          </cell>
          <cell r="O1238">
            <v>46140</v>
          </cell>
          <cell r="P1238">
            <v>108189796040</v>
          </cell>
          <cell r="Q1238">
            <v>46139</v>
          </cell>
          <cell r="R1238" t="str">
            <v>No inspection</v>
          </cell>
          <cell r="S1238">
            <v>529502.4</v>
          </cell>
          <cell r="T1238" t="str">
            <v>DAP</v>
          </cell>
          <cell r="U1238" t="str">
            <v>PUR</v>
          </cell>
        </row>
        <row r="1239">
          <cell r="D1239">
            <v>7.3</v>
          </cell>
          <cell r="F1239" t="str">
            <v>8XN5094</v>
          </cell>
          <cell r="G1239" t="str">
            <v>KIOXIA CORPORATION C/O KIOXIA AMERICA INC</v>
          </cell>
          <cell r="H1239" t="str">
            <v>Delivered</v>
          </cell>
          <cell r="I1239" t="str">
            <v xml:space="preserve">MEM </v>
          </cell>
          <cell r="J1239" t="str">
            <v>DHL( global)</v>
          </cell>
          <cell r="K1239" t="str">
            <v>VVMV</v>
          </cell>
          <cell r="L1239" t="str">
            <v>JP</v>
          </cell>
          <cell r="M1239">
            <v>46137</v>
          </cell>
          <cell r="N1239">
            <v>46140</v>
          </cell>
          <cell r="O1239">
            <v>46140</v>
          </cell>
          <cell r="P1239">
            <v>108189731860</v>
          </cell>
          <cell r="Q1239">
            <v>46139</v>
          </cell>
          <cell r="R1239" t="str">
            <v>No inspection</v>
          </cell>
          <cell r="S1239">
            <v>529502.4</v>
          </cell>
          <cell r="T1239" t="str">
            <v>DAP</v>
          </cell>
          <cell r="U1239" t="str">
            <v>PUR</v>
          </cell>
        </row>
        <row r="1240">
          <cell r="D1240">
            <v>7.3</v>
          </cell>
          <cell r="F1240" t="str">
            <v>8XN5095</v>
          </cell>
          <cell r="G1240" t="str">
            <v>KIOXIA CORPORATION C/O KIOXIA AMERICA INC</v>
          </cell>
          <cell r="H1240" t="str">
            <v>Delivered</v>
          </cell>
          <cell r="I1240" t="str">
            <v xml:space="preserve">MEM </v>
          </cell>
          <cell r="J1240" t="str">
            <v>DHL( global)</v>
          </cell>
          <cell r="K1240" t="str">
            <v>VVMV</v>
          </cell>
          <cell r="L1240" t="str">
            <v>JP</v>
          </cell>
          <cell r="M1240">
            <v>46137</v>
          </cell>
          <cell r="N1240">
            <v>46140</v>
          </cell>
          <cell r="O1240">
            <v>46140</v>
          </cell>
          <cell r="P1240">
            <v>108189729430</v>
          </cell>
          <cell r="Q1240">
            <v>46139</v>
          </cell>
          <cell r="R1240" t="str">
            <v>No inspection</v>
          </cell>
          <cell r="S1240">
            <v>529502.4</v>
          </cell>
          <cell r="T1240" t="str">
            <v>DAP</v>
          </cell>
          <cell r="U1240" t="str">
            <v>PUR</v>
          </cell>
        </row>
        <row r="1241">
          <cell r="D1241">
            <v>7.3</v>
          </cell>
          <cell r="F1241" t="str">
            <v>8XN5096</v>
          </cell>
          <cell r="G1241" t="str">
            <v>KIOXIA CORPORATION C/O KIOXIA AMERICA INC</v>
          </cell>
          <cell r="H1241" t="str">
            <v>Delivered</v>
          </cell>
          <cell r="I1241" t="str">
            <v xml:space="preserve">MEM </v>
          </cell>
          <cell r="J1241" t="str">
            <v>DHL( global)</v>
          </cell>
          <cell r="K1241" t="str">
            <v>VVMV</v>
          </cell>
          <cell r="L1241" t="str">
            <v>JP</v>
          </cell>
          <cell r="M1241">
            <v>46137</v>
          </cell>
          <cell r="N1241">
            <v>46140</v>
          </cell>
          <cell r="O1241">
            <v>46140</v>
          </cell>
          <cell r="P1241">
            <v>108189727330</v>
          </cell>
          <cell r="Q1241">
            <v>46139</v>
          </cell>
          <cell r="R1241" t="str">
            <v>No inspection</v>
          </cell>
          <cell r="S1241">
            <v>529502.4</v>
          </cell>
          <cell r="T1241" t="str">
            <v>DAP</v>
          </cell>
          <cell r="U1241" t="str">
            <v>PUR</v>
          </cell>
        </row>
        <row r="1242">
          <cell r="D1242">
            <v>7.3</v>
          </cell>
          <cell r="F1242" t="str">
            <v>8XN5097</v>
          </cell>
          <cell r="G1242" t="str">
            <v>KIOXIA CORPORATION C/O KIOXIA AMERICA INC</v>
          </cell>
          <cell r="H1242" t="str">
            <v>Delivered</v>
          </cell>
          <cell r="I1242" t="str">
            <v xml:space="preserve">MEM </v>
          </cell>
          <cell r="J1242" t="str">
            <v>DHL( global)</v>
          </cell>
          <cell r="K1242" t="str">
            <v>VVMV</v>
          </cell>
          <cell r="L1242" t="str">
            <v>JP</v>
          </cell>
          <cell r="M1242">
            <v>46137</v>
          </cell>
          <cell r="N1242">
            <v>46140</v>
          </cell>
          <cell r="O1242">
            <v>46140</v>
          </cell>
          <cell r="P1242">
            <v>108189725230</v>
          </cell>
          <cell r="Q1242">
            <v>46139</v>
          </cell>
          <cell r="R1242" t="str">
            <v>No inspection</v>
          </cell>
          <cell r="S1242">
            <v>529502.4</v>
          </cell>
          <cell r="T1242" t="str">
            <v>DAP</v>
          </cell>
          <cell r="U1242" t="str">
            <v>PUR</v>
          </cell>
        </row>
        <row r="1243">
          <cell r="D1243">
            <v>7.3</v>
          </cell>
          <cell r="F1243" t="str">
            <v>8XN5098</v>
          </cell>
          <cell r="G1243" t="str">
            <v>KIOXIA CORPORATION C/O KIOXIA AMERICA INC</v>
          </cell>
          <cell r="H1243" t="str">
            <v>Delivered</v>
          </cell>
          <cell r="I1243" t="str">
            <v xml:space="preserve">MEM </v>
          </cell>
          <cell r="J1243" t="str">
            <v>DHL( global)</v>
          </cell>
          <cell r="K1243" t="str">
            <v>VVMV</v>
          </cell>
          <cell r="L1243" t="str">
            <v>JP</v>
          </cell>
          <cell r="M1243">
            <v>46137</v>
          </cell>
          <cell r="N1243">
            <v>46140</v>
          </cell>
          <cell r="O1243">
            <v>46140</v>
          </cell>
          <cell r="P1243">
            <v>108189722910</v>
          </cell>
          <cell r="Q1243">
            <v>46139</v>
          </cell>
          <cell r="R1243" t="str">
            <v>No inspection</v>
          </cell>
          <cell r="S1243">
            <v>529502.4</v>
          </cell>
          <cell r="T1243" t="str">
            <v>DAP</v>
          </cell>
          <cell r="U1243" t="str">
            <v>PUR</v>
          </cell>
        </row>
        <row r="1244">
          <cell r="D1244">
            <v>7.3</v>
          </cell>
          <cell r="F1244" t="str">
            <v>8XN5099</v>
          </cell>
          <cell r="G1244" t="str">
            <v>KIOXIA CORPORATION C/O KIOXIA AMERICA INC</v>
          </cell>
          <cell r="H1244" t="str">
            <v>Delivered</v>
          </cell>
          <cell r="I1244" t="str">
            <v xml:space="preserve">MEM </v>
          </cell>
          <cell r="J1244" t="str">
            <v>DHL( global)</v>
          </cell>
          <cell r="K1244" t="str">
            <v>VVMV</v>
          </cell>
          <cell r="L1244" t="str">
            <v>JP</v>
          </cell>
          <cell r="M1244">
            <v>46137</v>
          </cell>
          <cell r="N1244">
            <v>46140</v>
          </cell>
          <cell r="O1244">
            <v>46140</v>
          </cell>
          <cell r="P1244">
            <v>108189718560</v>
          </cell>
          <cell r="Q1244">
            <v>46139</v>
          </cell>
          <cell r="R1244" t="str">
            <v>No inspection</v>
          </cell>
          <cell r="S1244">
            <v>529502.4</v>
          </cell>
          <cell r="T1244" t="str">
            <v>DAP</v>
          </cell>
          <cell r="U1244" t="str">
            <v>PUR</v>
          </cell>
        </row>
        <row r="1245">
          <cell r="D1245">
            <v>7.3</v>
          </cell>
          <cell r="F1245" t="str">
            <v>8XN5100</v>
          </cell>
          <cell r="G1245" t="str">
            <v>KIOXIA CORPORATION C/O KIOXIA AMERICA INC</v>
          </cell>
          <cell r="H1245" t="str">
            <v>Delivered</v>
          </cell>
          <cell r="I1245" t="str">
            <v xml:space="preserve">MEM </v>
          </cell>
          <cell r="J1245" t="str">
            <v>DHL( global)</v>
          </cell>
          <cell r="K1245" t="str">
            <v>VVMV</v>
          </cell>
          <cell r="L1245" t="str">
            <v>JP</v>
          </cell>
          <cell r="M1245">
            <v>46137</v>
          </cell>
          <cell r="N1245">
            <v>46140</v>
          </cell>
          <cell r="O1245">
            <v>46140</v>
          </cell>
          <cell r="P1245">
            <v>108189790920</v>
          </cell>
          <cell r="Q1245">
            <v>46139</v>
          </cell>
          <cell r="R1245" t="str">
            <v>No inspection</v>
          </cell>
          <cell r="S1245">
            <v>529502.4</v>
          </cell>
          <cell r="T1245" t="str">
            <v>DAP</v>
          </cell>
          <cell r="U1245" t="str">
            <v>PUR</v>
          </cell>
        </row>
        <row r="1246">
          <cell r="D1246">
            <v>7.3</v>
          </cell>
          <cell r="F1246" t="str">
            <v>8XN5101</v>
          </cell>
          <cell r="G1246" t="str">
            <v>KIOXIA CORPORATION C/O KIOXIA AMERICA INC</v>
          </cell>
          <cell r="H1246" t="str">
            <v>Delivered</v>
          </cell>
          <cell r="I1246" t="str">
            <v xml:space="preserve">MEM </v>
          </cell>
          <cell r="J1246" t="str">
            <v>DHL( global)</v>
          </cell>
          <cell r="K1246" t="str">
            <v>VVMV</v>
          </cell>
          <cell r="L1246" t="str">
            <v>JP</v>
          </cell>
          <cell r="M1246">
            <v>46137</v>
          </cell>
          <cell r="N1246">
            <v>46140</v>
          </cell>
          <cell r="O1246">
            <v>46140</v>
          </cell>
          <cell r="P1246">
            <v>108189779240</v>
          </cell>
          <cell r="Q1246">
            <v>46139</v>
          </cell>
          <cell r="R1246" t="str">
            <v>No inspection</v>
          </cell>
          <cell r="S1246">
            <v>529502.4</v>
          </cell>
          <cell r="T1246" t="str">
            <v>DAP</v>
          </cell>
          <cell r="U1246" t="str">
            <v>PUR</v>
          </cell>
        </row>
        <row r="1247">
          <cell r="D1247">
            <v>7.3</v>
          </cell>
          <cell r="F1247" t="str">
            <v>8XN5102</v>
          </cell>
          <cell r="G1247" t="str">
            <v>KIOXIA CORPORATION C/O KIOXIA AMERICA INC</v>
          </cell>
          <cell r="H1247" t="str">
            <v>Delivered</v>
          </cell>
          <cell r="I1247" t="str">
            <v xml:space="preserve">MEM </v>
          </cell>
          <cell r="J1247" t="str">
            <v>DHL( global)</v>
          </cell>
          <cell r="K1247" t="str">
            <v>VVMV</v>
          </cell>
          <cell r="L1247" t="str">
            <v>JP</v>
          </cell>
          <cell r="M1247">
            <v>46137</v>
          </cell>
          <cell r="N1247">
            <v>46140</v>
          </cell>
          <cell r="O1247">
            <v>46140</v>
          </cell>
          <cell r="P1247">
            <v>108189764430</v>
          </cell>
          <cell r="Q1247">
            <v>46139</v>
          </cell>
          <cell r="R1247" t="str">
            <v>No inspection</v>
          </cell>
          <cell r="S1247">
            <v>529502.4</v>
          </cell>
          <cell r="T1247" t="str">
            <v>DAP</v>
          </cell>
          <cell r="U1247" t="str">
            <v>PUR</v>
          </cell>
        </row>
        <row r="1248">
          <cell r="D1248">
            <v>7.3</v>
          </cell>
          <cell r="F1248" t="str">
            <v>8XN5103</v>
          </cell>
          <cell r="G1248" t="str">
            <v>KIOXIA CORPORATION C/O KIOXIA AMERICA INC</v>
          </cell>
          <cell r="H1248" t="str">
            <v>Delivered</v>
          </cell>
          <cell r="I1248" t="str">
            <v xml:space="preserve">MEM </v>
          </cell>
          <cell r="J1248" t="str">
            <v>DHL( global)</v>
          </cell>
          <cell r="K1248" t="str">
            <v>VVMV</v>
          </cell>
          <cell r="L1248" t="str">
            <v>JP</v>
          </cell>
          <cell r="M1248">
            <v>46137</v>
          </cell>
          <cell r="N1248">
            <v>46140</v>
          </cell>
          <cell r="O1248">
            <v>46140</v>
          </cell>
          <cell r="P1248">
            <v>108189744460</v>
          </cell>
          <cell r="Q1248">
            <v>46139</v>
          </cell>
          <cell r="R1248" t="str">
            <v>No inspection</v>
          </cell>
          <cell r="S1248">
            <v>529502.4</v>
          </cell>
          <cell r="T1248" t="str">
            <v>DAP</v>
          </cell>
          <cell r="U1248" t="str">
            <v>PUR</v>
          </cell>
        </row>
        <row r="1249">
          <cell r="D1249">
            <v>7.3</v>
          </cell>
          <cell r="F1249" t="str">
            <v>8XN5104</v>
          </cell>
          <cell r="G1249" t="str">
            <v>KIOXIA CORPORATION C/O KIOXIA AMERICA INC</v>
          </cell>
          <cell r="H1249" t="str">
            <v>Delivered</v>
          </cell>
          <cell r="I1249" t="str">
            <v xml:space="preserve">MEM </v>
          </cell>
          <cell r="J1249" t="str">
            <v>DHL( global)</v>
          </cell>
          <cell r="K1249" t="str">
            <v>VVMV</v>
          </cell>
          <cell r="L1249" t="str">
            <v>JP</v>
          </cell>
          <cell r="M1249">
            <v>46137</v>
          </cell>
          <cell r="N1249">
            <v>46140</v>
          </cell>
          <cell r="O1249">
            <v>46140</v>
          </cell>
          <cell r="P1249">
            <v>108189712410</v>
          </cell>
          <cell r="Q1249">
            <v>46139</v>
          </cell>
          <cell r="R1249" t="str">
            <v>No inspection</v>
          </cell>
          <cell r="S1249">
            <v>529502.4</v>
          </cell>
          <cell r="T1249" t="str">
            <v>DAP</v>
          </cell>
          <cell r="U1249" t="str">
            <v>PUR</v>
          </cell>
        </row>
        <row r="1250">
          <cell r="D1250">
            <v>7.3</v>
          </cell>
          <cell r="F1250" t="str">
            <v>8XN5105</v>
          </cell>
          <cell r="G1250" t="str">
            <v>KIOXIA CORPORATION C/O KIOXIA AMERICA INC</v>
          </cell>
          <cell r="H1250" t="str">
            <v>Delivered</v>
          </cell>
          <cell r="I1250" t="str">
            <v xml:space="preserve">MEM </v>
          </cell>
          <cell r="J1250" t="str">
            <v>DHL( global)</v>
          </cell>
          <cell r="K1250" t="str">
            <v>VVMV</v>
          </cell>
          <cell r="L1250" t="str">
            <v>JP</v>
          </cell>
          <cell r="M1250">
            <v>46137</v>
          </cell>
          <cell r="N1250">
            <v>46140</v>
          </cell>
          <cell r="O1250">
            <v>46140</v>
          </cell>
          <cell r="P1250">
            <v>108189693400</v>
          </cell>
          <cell r="Q1250">
            <v>46139</v>
          </cell>
          <cell r="R1250" t="str">
            <v>No inspection</v>
          </cell>
          <cell r="S1250">
            <v>529502.4</v>
          </cell>
          <cell r="T1250" t="str">
            <v>DAP</v>
          </cell>
          <cell r="U1250" t="str">
            <v>PUR</v>
          </cell>
        </row>
        <row r="1251">
          <cell r="D1251">
            <v>7.3</v>
          </cell>
          <cell r="F1251" t="str">
            <v>8XN5106</v>
          </cell>
          <cell r="G1251" t="str">
            <v>KIOXIA CORPORATION C/O KIOXIA AMERICA INC</v>
          </cell>
          <cell r="H1251" t="str">
            <v>Delivered</v>
          </cell>
          <cell r="I1251" t="str">
            <v xml:space="preserve">MEM </v>
          </cell>
          <cell r="J1251" t="str">
            <v>DHL( global)</v>
          </cell>
          <cell r="K1251" t="str">
            <v>VVMV</v>
          </cell>
          <cell r="L1251" t="str">
            <v>JP</v>
          </cell>
          <cell r="M1251">
            <v>46137</v>
          </cell>
          <cell r="N1251">
            <v>46140</v>
          </cell>
          <cell r="O1251">
            <v>46140</v>
          </cell>
          <cell r="P1251">
            <v>108189685220</v>
          </cell>
          <cell r="Q1251">
            <v>46139</v>
          </cell>
          <cell r="R1251" t="str">
            <v>No inspection</v>
          </cell>
          <cell r="S1251">
            <v>529502.4</v>
          </cell>
          <cell r="T1251" t="str">
            <v>DAP</v>
          </cell>
          <cell r="U1251" t="str">
            <v>PUR</v>
          </cell>
        </row>
        <row r="1252">
          <cell r="D1252">
            <v>7.3</v>
          </cell>
          <cell r="F1252" t="str">
            <v>8XN5107</v>
          </cell>
          <cell r="G1252" t="str">
            <v>KIOXIA CORPORATION C/O KIOXIA AMERICA INC</v>
          </cell>
          <cell r="H1252" t="str">
            <v>Delivered</v>
          </cell>
          <cell r="I1252" t="str">
            <v xml:space="preserve">MEM </v>
          </cell>
          <cell r="J1252" t="str">
            <v>DHL( global)</v>
          </cell>
          <cell r="K1252" t="str">
            <v>VVMV</v>
          </cell>
          <cell r="L1252" t="str">
            <v>JP</v>
          </cell>
          <cell r="M1252">
            <v>46137</v>
          </cell>
          <cell r="N1252">
            <v>46140</v>
          </cell>
          <cell r="O1252">
            <v>46140</v>
          </cell>
          <cell r="P1252">
            <v>108189661050</v>
          </cell>
          <cell r="Q1252">
            <v>46139</v>
          </cell>
          <cell r="R1252" t="str">
            <v>No inspection</v>
          </cell>
          <cell r="S1252">
            <v>529502.4</v>
          </cell>
          <cell r="T1252" t="str">
            <v>DAP</v>
          </cell>
          <cell r="U1252" t="str">
            <v>PUR</v>
          </cell>
        </row>
        <row r="1253">
          <cell r="D1253">
            <v>7.3</v>
          </cell>
          <cell r="F1253" t="str">
            <v>8XN5108</v>
          </cell>
          <cell r="G1253" t="str">
            <v>KIOXIA CORPORATION C/O KIOXIA AMERICA INC</v>
          </cell>
          <cell r="H1253" t="str">
            <v>Delivered</v>
          </cell>
          <cell r="I1253" t="str">
            <v xml:space="preserve">MEM </v>
          </cell>
          <cell r="J1253" t="str">
            <v>DHL( global)</v>
          </cell>
          <cell r="K1253" t="str">
            <v>VVMV</v>
          </cell>
          <cell r="L1253" t="str">
            <v>JP</v>
          </cell>
          <cell r="M1253">
            <v>46137</v>
          </cell>
          <cell r="N1253">
            <v>46140</v>
          </cell>
          <cell r="O1253">
            <v>46140</v>
          </cell>
          <cell r="P1253">
            <v>108189637030</v>
          </cell>
          <cell r="Q1253">
            <v>46139</v>
          </cell>
          <cell r="R1253" t="str">
            <v>No inspection</v>
          </cell>
          <cell r="S1253">
            <v>529502.4</v>
          </cell>
          <cell r="T1253" t="str">
            <v>DAP</v>
          </cell>
          <cell r="U1253" t="str">
            <v>PUR</v>
          </cell>
        </row>
        <row r="1254">
          <cell r="D1254">
            <v>7.3</v>
          </cell>
          <cell r="F1254" t="str">
            <v>8XN5109</v>
          </cell>
          <cell r="G1254" t="str">
            <v>KIOXIA CORPORATION C/O KIOXIA AMERICA INC</v>
          </cell>
          <cell r="H1254" t="str">
            <v>Delivered</v>
          </cell>
          <cell r="I1254" t="str">
            <v xml:space="preserve">MEM </v>
          </cell>
          <cell r="J1254" t="str">
            <v>DHL( global)</v>
          </cell>
          <cell r="K1254" t="str">
            <v>VVMV</v>
          </cell>
          <cell r="L1254" t="str">
            <v>JP</v>
          </cell>
          <cell r="M1254">
            <v>46137</v>
          </cell>
          <cell r="N1254">
            <v>46140</v>
          </cell>
          <cell r="O1254">
            <v>46140</v>
          </cell>
          <cell r="P1254">
            <v>108189616030</v>
          </cell>
          <cell r="Q1254">
            <v>46139</v>
          </cell>
          <cell r="R1254" t="str">
            <v>No inspection</v>
          </cell>
          <cell r="S1254">
            <v>529502.4</v>
          </cell>
          <cell r="T1254" t="str">
            <v>DAP</v>
          </cell>
          <cell r="U1254" t="str">
            <v>PUR</v>
          </cell>
        </row>
        <row r="1255">
          <cell r="D1255">
            <v>7.3</v>
          </cell>
          <cell r="F1255" t="str">
            <v>8XN5110</v>
          </cell>
          <cell r="G1255" t="str">
            <v>KIOXIA CORPORATION C/O KIOXIA AMERICA INC</v>
          </cell>
          <cell r="H1255" t="str">
            <v>Delivered</v>
          </cell>
          <cell r="I1255" t="str">
            <v xml:space="preserve">MEM </v>
          </cell>
          <cell r="J1255" t="str">
            <v>DHL( global)</v>
          </cell>
          <cell r="K1255" t="str">
            <v>VVMV</v>
          </cell>
          <cell r="L1255" t="str">
            <v>JP</v>
          </cell>
          <cell r="M1255">
            <v>46137</v>
          </cell>
          <cell r="N1255">
            <v>46140</v>
          </cell>
          <cell r="O1255">
            <v>46140</v>
          </cell>
          <cell r="P1255">
            <v>108189607520</v>
          </cell>
          <cell r="Q1255">
            <v>46139</v>
          </cell>
          <cell r="R1255" t="str">
            <v>No inspection</v>
          </cell>
          <cell r="S1255">
            <v>529502.4</v>
          </cell>
          <cell r="T1255" t="str">
            <v>DAP</v>
          </cell>
          <cell r="U1255" t="str">
            <v>PUR</v>
          </cell>
        </row>
        <row r="1256">
          <cell r="D1256">
            <v>3.8</v>
          </cell>
          <cell r="F1256" t="str">
            <v>8XN5111</v>
          </cell>
          <cell r="G1256" t="str">
            <v>KIOXIA CORPORATION C/O KIOXIA AMERICA INC</v>
          </cell>
          <cell r="H1256" t="str">
            <v>Delivered</v>
          </cell>
          <cell r="I1256" t="str">
            <v xml:space="preserve">MEM </v>
          </cell>
          <cell r="J1256" t="str">
            <v>DHL( global)</v>
          </cell>
          <cell r="K1256" t="str">
            <v>VVMV</v>
          </cell>
          <cell r="L1256" t="str">
            <v>JP</v>
          </cell>
          <cell r="M1256">
            <v>46137</v>
          </cell>
          <cell r="N1256">
            <v>46140</v>
          </cell>
          <cell r="O1256">
            <v>46140</v>
          </cell>
          <cell r="P1256">
            <v>108189599010</v>
          </cell>
          <cell r="Q1256">
            <v>46139</v>
          </cell>
          <cell r="R1256" t="str">
            <v>No inspection</v>
          </cell>
          <cell r="S1256">
            <v>205059.61</v>
          </cell>
          <cell r="T1256" t="str">
            <v>DAP</v>
          </cell>
          <cell r="U1256" t="str">
            <v>PUR</v>
          </cell>
        </row>
        <row r="1257">
          <cell r="D1257">
            <v>4.9000000000000004</v>
          </cell>
          <cell r="F1257">
            <v>5451856185</v>
          </cell>
          <cell r="G1257" t="str">
            <v>TTI INC</v>
          </cell>
          <cell r="H1257" t="str">
            <v>Delivered</v>
          </cell>
          <cell r="I1257" t="str">
            <v xml:space="preserve">INDU, RES , CAP </v>
          </cell>
          <cell r="J1257" t="str">
            <v>DHL</v>
          </cell>
          <cell r="K1257" t="str">
            <v>VVMV</v>
          </cell>
          <cell r="L1257" t="str">
            <v>US</v>
          </cell>
          <cell r="M1257">
            <v>46134</v>
          </cell>
          <cell r="N1257">
            <v>46141</v>
          </cell>
          <cell r="O1257">
            <v>46141</v>
          </cell>
          <cell r="P1257">
            <v>108189808050</v>
          </cell>
          <cell r="Q1257">
            <v>46139</v>
          </cell>
          <cell r="R1257" t="str">
            <v>No inspection</v>
          </cell>
          <cell r="S1257">
            <v>4118</v>
          </cell>
          <cell r="T1257" t="str">
            <v>CIF</v>
          </cell>
          <cell r="U1257" t="str">
            <v>LUC</v>
          </cell>
        </row>
        <row r="1258">
          <cell r="D1258">
            <v>279.8</v>
          </cell>
          <cell r="F1258">
            <v>7303228365</v>
          </cell>
          <cell r="G1258" t="str">
            <v>AVNET - CHANDLER</v>
          </cell>
          <cell r="H1258" t="str">
            <v>Delivered</v>
          </cell>
          <cell r="I1258" t="str">
            <v xml:space="preserve">TRAN, DIOD, CONN, CAP , IC H, RES , IC L, IC M, IND , LED , COMM, NTC </v>
          </cell>
          <cell r="J1258" t="str">
            <v>DHL</v>
          </cell>
          <cell r="K1258" t="str">
            <v>VVMV</v>
          </cell>
          <cell r="L1258" t="str">
            <v>US</v>
          </cell>
          <cell r="M1258">
            <v>46134</v>
          </cell>
          <cell r="N1258">
            <v>46141</v>
          </cell>
          <cell r="O1258">
            <v>46140</v>
          </cell>
          <cell r="P1258">
            <v>108189825550</v>
          </cell>
          <cell r="Q1258">
            <v>46139</v>
          </cell>
          <cell r="R1258" t="str">
            <v>No inspection</v>
          </cell>
          <cell r="S1258">
            <v>148275.69</v>
          </cell>
          <cell r="T1258" t="str">
            <v>CIF</v>
          </cell>
          <cell r="U1258" t="str">
            <v>LUC</v>
          </cell>
        </row>
        <row r="1259">
          <cell r="D1259">
            <v>2.6</v>
          </cell>
          <cell r="F1259">
            <v>380673836239</v>
          </cell>
          <cell r="G1259" t="str">
            <v>TEXAS INSTRUMENTS ASIA LIMITED
C/O KWE LOGISTICS (SHENZHEN)</v>
          </cell>
          <cell r="H1259" t="str">
            <v>Delivered</v>
          </cell>
          <cell r="I1259" t="str">
            <v>IC S</v>
          </cell>
          <cell r="J1259" t="str">
            <v>Fedex</v>
          </cell>
          <cell r="K1259" t="str">
            <v>VVMV</v>
          </cell>
          <cell r="L1259" t="str">
            <v>CN</v>
          </cell>
          <cell r="M1259">
            <v>46133</v>
          </cell>
          <cell r="N1259">
            <v>46141</v>
          </cell>
          <cell r="O1259">
            <v>46147</v>
          </cell>
          <cell r="P1259">
            <v>108187696850</v>
          </cell>
          <cell r="Q1259">
            <v>46137</v>
          </cell>
          <cell r="R1259" t="str">
            <v>No inspection</v>
          </cell>
          <cell r="S1259">
            <v>4440</v>
          </cell>
          <cell r="T1259" t="str">
            <v>EXW</v>
          </cell>
          <cell r="U1259" t="str">
            <v>PUR</v>
          </cell>
        </row>
        <row r="1260">
          <cell r="D1260">
            <v>0.7</v>
          </cell>
          <cell r="F1260">
            <v>870887371070</v>
          </cell>
          <cell r="G1260" t="str">
            <v>Brady Technology Sdn.Bhd</v>
          </cell>
          <cell r="H1260" t="str">
            <v>Delivered</v>
          </cell>
          <cell r="I1260" t="str">
            <v>LUCI</v>
          </cell>
          <cell r="J1260" t="str">
            <v>Fedex</v>
          </cell>
          <cell r="K1260" t="str">
            <v>VVMV</v>
          </cell>
          <cell r="L1260" t="str">
            <v>MY</v>
          </cell>
          <cell r="M1260">
            <v>46133</v>
          </cell>
          <cell r="N1260">
            <v>46141</v>
          </cell>
          <cell r="O1260">
            <v>46147</v>
          </cell>
          <cell r="P1260">
            <v>108187630130</v>
          </cell>
          <cell r="Q1260">
            <v>46137</v>
          </cell>
          <cell r="R1260" t="str">
            <v>No inspection</v>
          </cell>
          <cell r="S1260">
            <v>313</v>
          </cell>
          <cell r="T1260" t="str">
            <v>EXW</v>
          </cell>
          <cell r="U1260" t="str">
            <v>LUC</v>
          </cell>
        </row>
        <row r="1261">
          <cell r="D1261">
            <v>23.3</v>
          </cell>
          <cell r="F1261">
            <v>522040164955</v>
          </cell>
          <cell r="G1261" t="str">
            <v>Micron Memory Malaysia Sdn. Bh</v>
          </cell>
          <cell r="H1261" t="str">
            <v>Delivered</v>
          </cell>
          <cell r="I1261" t="str">
            <v xml:space="preserve">MEM </v>
          </cell>
          <cell r="J1261" t="str">
            <v>Fedex</v>
          </cell>
          <cell r="K1261" t="str">
            <v>VVMV</v>
          </cell>
          <cell r="L1261" t="str">
            <v>MY</v>
          </cell>
          <cell r="M1261">
            <v>46134</v>
          </cell>
          <cell r="N1261">
            <v>46141</v>
          </cell>
          <cell r="O1261">
            <v>46141</v>
          </cell>
          <cell r="P1261">
            <v>108188017230</v>
          </cell>
          <cell r="Q1261">
            <v>46137</v>
          </cell>
          <cell r="R1261" t="str">
            <v>No inspection</v>
          </cell>
          <cell r="S1261">
            <v>2489280</v>
          </cell>
          <cell r="T1261" t="str">
            <v>EXW</v>
          </cell>
          <cell r="U1261" t="str">
            <v>PUR</v>
          </cell>
        </row>
        <row r="1262">
          <cell r="D1262">
            <v>1.7</v>
          </cell>
          <cell r="F1262">
            <v>870939080592</v>
          </cell>
          <cell r="G1262" t="str">
            <v>WPG SOUTH ASIA PTE LTD.</v>
          </cell>
          <cell r="H1262" t="str">
            <v>Delivered</v>
          </cell>
          <cell r="I1262" t="str">
            <v>IC M</v>
          </cell>
          <cell r="J1262" t="str">
            <v>Fedex</v>
          </cell>
          <cell r="K1262" t="str">
            <v>VVMV</v>
          </cell>
          <cell r="L1262" t="str">
            <v>HK</v>
          </cell>
          <cell r="M1262">
            <v>46134</v>
          </cell>
          <cell r="N1262">
            <v>46141</v>
          </cell>
          <cell r="O1262">
            <v>46149</v>
          </cell>
          <cell r="P1262">
            <v>108187761140</v>
          </cell>
          <cell r="Q1262">
            <v>46137</v>
          </cell>
          <cell r="R1262" t="str">
            <v>No inspection</v>
          </cell>
          <cell r="S1262">
            <v>18975</v>
          </cell>
          <cell r="T1262" t="str">
            <v>EXW</v>
          </cell>
          <cell r="U1262" t="str">
            <v>LUC</v>
          </cell>
        </row>
        <row r="1263">
          <cell r="D1263">
            <v>36.700000000000003</v>
          </cell>
          <cell r="F1263">
            <v>870934353194</v>
          </cell>
          <cell r="G1263" t="str">
            <v>ISU PETASYS HUNAN</v>
          </cell>
          <cell r="H1263" t="str">
            <v>Delivered</v>
          </cell>
          <cell r="I1263" t="str">
            <v xml:space="preserve">PCB </v>
          </cell>
          <cell r="J1263" t="str">
            <v>Fedex</v>
          </cell>
          <cell r="K1263" t="str">
            <v>VVMV</v>
          </cell>
          <cell r="L1263" t="str">
            <v>CN</v>
          </cell>
          <cell r="M1263">
            <v>46134</v>
          </cell>
          <cell r="N1263">
            <v>46141</v>
          </cell>
          <cell r="O1263">
            <v>46150</v>
          </cell>
          <cell r="P1263">
            <v>108187675520</v>
          </cell>
          <cell r="Q1263">
            <v>46137</v>
          </cell>
          <cell r="R1263" t="str">
            <v>No inspection</v>
          </cell>
          <cell r="S1263">
            <v>4152.0600000000004</v>
          </cell>
          <cell r="T1263" t="str">
            <v>EXW</v>
          </cell>
          <cell r="U1263" t="str">
            <v>PUR</v>
          </cell>
        </row>
        <row r="1264">
          <cell r="D1264">
            <v>12.1</v>
          </cell>
          <cell r="F1264">
            <v>518027570506</v>
          </cell>
          <cell r="G1264" t="str">
            <v>MICROCHIP TECNOLOGY(TH) CO LTD</v>
          </cell>
          <cell r="H1264" t="str">
            <v>Delivered</v>
          </cell>
          <cell r="I1264" t="str">
            <v>IC Y</v>
          </cell>
          <cell r="J1264" t="str">
            <v>Fedex</v>
          </cell>
          <cell r="K1264" t="str">
            <v>VVMV</v>
          </cell>
          <cell r="L1264" t="str">
            <v>TH</v>
          </cell>
          <cell r="M1264">
            <v>46134</v>
          </cell>
          <cell r="N1264">
            <v>46141</v>
          </cell>
          <cell r="O1264">
            <v>46146</v>
          </cell>
          <cell r="P1264">
            <v>108187826830</v>
          </cell>
          <cell r="Q1264">
            <v>46137</v>
          </cell>
          <cell r="R1264" t="str">
            <v>No inspection</v>
          </cell>
          <cell r="S1264">
            <v>147870.79999999999</v>
          </cell>
          <cell r="T1264" t="str">
            <v>EXW</v>
          </cell>
          <cell r="U1264" t="str">
            <v>HLO</v>
          </cell>
        </row>
        <row r="1265">
          <cell r="D1265">
            <v>37</v>
          </cell>
          <cell r="F1265">
            <v>870890842100</v>
          </cell>
          <cell r="G1265" t="str">
            <v>AMPHENOL FCI ASIA PTE LTD</v>
          </cell>
          <cell r="H1265" t="str">
            <v>Delivered</v>
          </cell>
          <cell r="I1265" t="str">
            <v>CONN</v>
          </cell>
          <cell r="J1265" t="str">
            <v>Fedex</v>
          </cell>
          <cell r="K1265" t="str">
            <v>VVMV</v>
          </cell>
          <cell r="L1265" t="str">
            <v>SG</v>
          </cell>
          <cell r="M1265">
            <v>46134</v>
          </cell>
          <cell r="N1265">
            <v>46141</v>
          </cell>
          <cell r="O1265">
            <v>46150</v>
          </cell>
          <cell r="P1265">
            <v>108187917240</v>
          </cell>
          <cell r="Q1265">
            <v>46137</v>
          </cell>
          <cell r="R1265" t="str">
            <v>No inspection</v>
          </cell>
          <cell r="S1265">
            <v>7833.5</v>
          </cell>
          <cell r="T1265" t="str">
            <v>EXW</v>
          </cell>
          <cell r="U1265" t="str">
            <v>LUC</v>
          </cell>
        </row>
        <row r="1266">
          <cell r="D1266">
            <v>0.3</v>
          </cell>
          <cell r="F1266">
            <v>513933432706</v>
          </cell>
          <cell r="G1266" t="str">
            <v>SMITH &amp; ASSOCIATES FAR EAST LTD</v>
          </cell>
          <cell r="H1266" t="str">
            <v>Delivered</v>
          </cell>
          <cell r="I1266" t="str">
            <v>DIOD</v>
          </cell>
          <cell r="J1266" t="str">
            <v>Fedex</v>
          </cell>
          <cell r="K1266" t="str">
            <v>VVMV</v>
          </cell>
          <cell r="L1266" t="str">
            <v>HK</v>
          </cell>
          <cell r="M1266">
            <v>46135</v>
          </cell>
          <cell r="N1266">
            <v>46141</v>
          </cell>
          <cell r="O1266">
            <v>46148</v>
          </cell>
          <cell r="P1266">
            <v>108187870820</v>
          </cell>
          <cell r="Q1266">
            <v>46137</v>
          </cell>
          <cell r="R1266" t="str">
            <v>No inspection</v>
          </cell>
          <cell r="S1266">
            <v>1347.3</v>
          </cell>
          <cell r="T1266" t="str">
            <v>EXW</v>
          </cell>
          <cell r="U1266" t="str">
            <v>LUC</v>
          </cell>
        </row>
        <row r="1267">
          <cell r="D1267">
            <v>2.8</v>
          </cell>
          <cell r="F1267">
            <v>494686578762</v>
          </cell>
          <cell r="G1267" t="str">
            <v>DONGGUANG COFAN ELECTRONIC TECHNOLO</v>
          </cell>
          <cell r="H1267" t="str">
            <v>Delivered</v>
          </cell>
          <cell r="I1267" t="str">
            <v>HEAT</v>
          </cell>
          <cell r="J1267" t="str">
            <v>Fedex</v>
          </cell>
          <cell r="K1267" t="str">
            <v>VVMV</v>
          </cell>
          <cell r="L1267" t="str">
            <v>CN</v>
          </cell>
          <cell r="M1267">
            <v>46134</v>
          </cell>
          <cell r="N1267">
            <v>46141</v>
          </cell>
          <cell r="O1267">
            <v>46148</v>
          </cell>
          <cell r="P1267">
            <v>108187997150</v>
          </cell>
          <cell r="Q1267">
            <v>46137</v>
          </cell>
          <cell r="R1267" t="str">
            <v>No inspection</v>
          </cell>
          <cell r="S1267">
            <v>231</v>
          </cell>
          <cell r="T1267" t="str">
            <v>EXW</v>
          </cell>
          <cell r="U1267" t="str">
            <v>EF-</v>
          </cell>
        </row>
        <row r="1268">
          <cell r="D1268">
            <v>0.8</v>
          </cell>
          <cell r="F1268">
            <v>380710893656</v>
          </cell>
          <cell r="G1268" t="str">
            <v>C/O KINTETSU WORLD EXPRESS
TEXAS INSTRUMENTS ASIA LIMITED</v>
          </cell>
          <cell r="H1268" t="str">
            <v>Delivered</v>
          </cell>
          <cell r="I1268" t="str">
            <v>IC L</v>
          </cell>
          <cell r="J1268" t="str">
            <v>Fedex</v>
          </cell>
          <cell r="K1268" t="str">
            <v>VVMV</v>
          </cell>
          <cell r="L1268" t="str">
            <v>CN</v>
          </cell>
          <cell r="M1268">
            <v>46134</v>
          </cell>
          <cell r="N1268">
            <v>46148</v>
          </cell>
          <cell r="O1268">
            <v>46155</v>
          </cell>
          <cell r="P1268">
            <v>108203087860</v>
          </cell>
          <cell r="Q1268">
            <v>46146</v>
          </cell>
          <cell r="R1268" t="str">
            <v>No inspection</v>
          </cell>
          <cell r="S1268">
            <v>420</v>
          </cell>
          <cell r="T1268" t="str">
            <v>EXW</v>
          </cell>
          <cell r="U1268" t="str">
            <v>LUC</v>
          </cell>
        </row>
        <row r="1269">
          <cell r="D1269">
            <v>1.5</v>
          </cell>
          <cell r="F1269">
            <v>380737371996</v>
          </cell>
          <cell r="G1269" t="str">
            <v>c/o DHL Supply Chain SGP P/L
Texas Instruments Southeast Asia Pt</v>
          </cell>
          <cell r="H1269" t="str">
            <v>Delivered</v>
          </cell>
          <cell r="I1269" t="str">
            <v>IC S</v>
          </cell>
          <cell r="J1269" t="str">
            <v>Fedex</v>
          </cell>
          <cell r="K1269" t="str">
            <v>VVMV</v>
          </cell>
          <cell r="L1269" t="str">
            <v>SG</v>
          </cell>
          <cell r="M1269">
            <v>46135</v>
          </cell>
          <cell r="N1269">
            <v>46162</v>
          </cell>
          <cell r="O1269">
            <v>46164</v>
          </cell>
          <cell r="P1269">
            <v>108252341630</v>
          </cell>
          <cell r="Q1269">
            <v>46160</v>
          </cell>
          <cell r="R1269" t="str">
            <v>No inspection</v>
          </cell>
          <cell r="S1269">
            <v>540</v>
          </cell>
          <cell r="T1269" t="str">
            <v>EXW</v>
          </cell>
          <cell r="U1269" t="str">
            <v>PUR</v>
          </cell>
        </row>
        <row r="1270">
          <cell r="D1270">
            <v>5.7</v>
          </cell>
          <cell r="F1270">
            <v>871029418886</v>
          </cell>
          <cell r="G1270" t="str">
            <v>WT MICROELECTRONICS CO., LTD</v>
          </cell>
          <cell r="H1270" t="str">
            <v>Delivered</v>
          </cell>
          <cell r="I1270" t="str">
            <v xml:space="preserve">RES , CAP </v>
          </cell>
          <cell r="J1270" t="str">
            <v>Fedex</v>
          </cell>
          <cell r="K1270" t="str">
            <v>VVMV</v>
          </cell>
          <cell r="L1270" t="str">
            <v>SG</v>
          </cell>
          <cell r="M1270">
            <v>46136</v>
          </cell>
          <cell r="N1270">
            <v>46150</v>
          </cell>
          <cell r="O1270">
            <v>46169</v>
          </cell>
          <cell r="P1270">
            <v>108218306120</v>
          </cell>
          <cell r="Q1270">
            <v>46149</v>
          </cell>
          <cell r="R1270" t="str">
            <v>No inspection</v>
          </cell>
          <cell r="S1270">
            <v>274.2</v>
          </cell>
          <cell r="T1270" t="str">
            <v>EXW</v>
          </cell>
          <cell r="U1270" t="str">
            <v>PUR</v>
          </cell>
        </row>
        <row r="1271">
          <cell r="D1271">
            <v>0.4</v>
          </cell>
          <cell r="F1271">
            <v>380744222026</v>
          </cell>
          <cell r="G1271" t="str">
            <v>C/O KINTETSU WORLD EXPRESS
TEXAS INSTRUMENTS ASIA LIMITED</v>
          </cell>
          <cell r="H1271" t="str">
            <v>Delivered</v>
          </cell>
          <cell r="I1271" t="str">
            <v>IC L</v>
          </cell>
          <cell r="J1271" t="str">
            <v>Fedex</v>
          </cell>
          <cell r="K1271" t="str">
            <v>VVMV</v>
          </cell>
          <cell r="L1271" t="str">
            <v>CN</v>
          </cell>
          <cell r="M1271">
            <v>46135</v>
          </cell>
          <cell r="N1271">
            <v>46148</v>
          </cell>
          <cell r="O1271">
            <v>46155</v>
          </cell>
          <cell r="P1271">
            <v>108203224400</v>
          </cell>
          <cell r="Q1271">
            <v>46146</v>
          </cell>
          <cell r="R1271" t="str">
            <v>No inspection</v>
          </cell>
          <cell r="S1271">
            <v>198</v>
          </cell>
          <cell r="T1271" t="str">
            <v>EXW</v>
          </cell>
          <cell r="U1271" t="str">
            <v>LUC</v>
          </cell>
        </row>
        <row r="1272">
          <cell r="D1272">
            <v>2.2000000000000002</v>
          </cell>
          <cell r="F1272">
            <v>522040184578</v>
          </cell>
          <cell r="G1272" t="str">
            <v>Micron Memory Malaysia Sdn. Bh, đã AN</v>
          </cell>
          <cell r="H1272" t="str">
            <v>Delivered</v>
          </cell>
          <cell r="I1272" t="str">
            <v xml:space="preserve">MEM </v>
          </cell>
          <cell r="J1272" t="str">
            <v>Fedex</v>
          </cell>
          <cell r="K1272" t="str">
            <v>VVMV</v>
          </cell>
          <cell r="L1272" t="str">
            <v>MY</v>
          </cell>
          <cell r="M1272">
            <v>46136</v>
          </cell>
          <cell r="N1272">
            <v>46141</v>
          </cell>
          <cell r="O1272">
            <v>46150</v>
          </cell>
          <cell r="P1272">
            <v>108194355030</v>
          </cell>
          <cell r="Q1272">
            <v>46140</v>
          </cell>
          <cell r="R1272" t="str">
            <v>No inspection</v>
          </cell>
          <cell r="S1272">
            <v>143760</v>
          </cell>
          <cell r="T1272" t="str">
            <v>CIF</v>
          </cell>
          <cell r="U1272" t="str">
            <v>PUR</v>
          </cell>
        </row>
        <row r="1273">
          <cell r="D1273">
            <v>2.9</v>
          </cell>
          <cell r="F1273">
            <v>380677046564</v>
          </cell>
          <cell r="G1273" t="str">
            <v>C/O KINTETSU WORLD EXPRESS
TEXAS INSTRUMENTS ASIA LIMITED</v>
          </cell>
          <cell r="H1273" t="str">
            <v>Delivered</v>
          </cell>
          <cell r="I1273" t="str">
            <v>IC D, IC S, IC L</v>
          </cell>
          <cell r="J1273" t="str">
            <v>Fedex</v>
          </cell>
          <cell r="K1273" t="str">
            <v>VVMV</v>
          </cell>
          <cell r="L1273" t="str">
            <v>CN</v>
          </cell>
          <cell r="M1273">
            <v>46133</v>
          </cell>
          <cell r="N1273">
            <v>46150</v>
          </cell>
          <cell r="O1273">
            <v>46163</v>
          </cell>
          <cell r="P1273">
            <v>108218398740</v>
          </cell>
          <cell r="Q1273">
            <v>46149</v>
          </cell>
          <cell r="R1273" t="str">
            <v>No inspection</v>
          </cell>
          <cell r="S1273">
            <v>3714</v>
          </cell>
          <cell r="T1273" t="str">
            <v>EXW</v>
          </cell>
          <cell r="U1273" t="str">
            <v>LUC</v>
          </cell>
        </row>
        <row r="1274">
          <cell r="D1274">
            <v>6.7</v>
          </cell>
          <cell r="F1274">
            <v>871025572115</v>
          </cell>
          <cell r="G1274" t="str">
            <v>SUNLORD ELECTRONICS TECHNOLOGY PTE</v>
          </cell>
          <cell r="H1274" t="str">
            <v>Delivered</v>
          </cell>
          <cell r="I1274" t="str">
            <v>IND , RES , FERR</v>
          </cell>
          <cell r="J1274" t="str">
            <v>Fedex</v>
          </cell>
          <cell r="K1274" t="str">
            <v>VVMV</v>
          </cell>
          <cell r="L1274" t="str">
            <v>SG</v>
          </cell>
          <cell r="M1274">
            <v>46136</v>
          </cell>
          <cell r="N1274">
            <v>46150</v>
          </cell>
          <cell r="O1274">
            <v>46170</v>
          </cell>
          <cell r="P1274">
            <v>108218135060</v>
          </cell>
          <cell r="Q1274">
            <v>46149</v>
          </cell>
          <cell r="R1274" t="str">
            <v>No inspection</v>
          </cell>
          <cell r="S1274">
            <v>3346.8</v>
          </cell>
          <cell r="T1274" t="str">
            <v>EXW</v>
          </cell>
          <cell r="U1274" t="str">
            <v>HLO</v>
          </cell>
        </row>
        <row r="1275">
          <cell r="D1275">
            <v>15.1</v>
          </cell>
          <cell r="F1275">
            <v>472187608517</v>
          </cell>
          <cell r="G1275" t="str">
            <v>HEILIND ASIA PACIFIC</v>
          </cell>
          <cell r="H1275" t="str">
            <v>Delivered</v>
          </cell>
          <cell r="I1275" t="str">
            <v>CONN</v>
          </cell>
          <cell r="J1275" t="str">
            <v>Fedex</v>
          </cell>
          <cell r="K1275" t="str">
            <v>VVMV</v>
          </cell>
          <cell r="L1275" t="str">
            <v>HK</v>
          </cell>
          <cell r="M1275">
            <v>46136</v>
          </cell>
          <cell r="N1275">
            <v>46148</v>
          </cell>
          <cell r="O1275">
            <v>46154</v>
          </cell>
          <cell r="P1275">
            <v>108203516410</v>
          </cell>
          <cell r="Q1275">
            <v>46146</v>
          </cell>
          <cell r="R1275" t="str">
            <v>No inspection</v>
          </cell>
          <cell r="S1275">
            <v>2193</v>
          </cell>
          <cell r="T1275" t="str">
            <v>CIF</v>
          </cell>
          <cell r="U1275" t="str">
            <v>EF-</v>
          </cell>
        </row>
        <row r="1276">
          <cell r="D1276">
            <v>99</v>
          </cell>
          <cell r="F1276">
            <v>871027945538</v>
          </cell>
          <cell r="G1276" t="str">
            <v>FUSION TRADE PTE LTD</v>
          </cell>
          <cell r="H1276" t="str">
            <v>Delivered</v>
          </cell>
          <cell r="I1276" t="str">
            <v xml:space="preserve">MEM </v>
          </cell>
          <cell r="J1276" t="str">
            <v>Fedex</v>
          </cell>
          <cell r="K1276" t="str">
            <v>VVMV</v>
          </cell>
          <cell r="L1276" t="str">
            <v>SG</v>
          </cell>
          <cell r="M1276">
            <v>46136</v>
          </cell>
          <cell r="N1276">
            <v>46148</v>
          </cell>
          <cell r="O1276">
            <v>46153</v>
          </cell>
          <cell r="P1276">
            <v>108203116560</v>
          </cell>
          <cell r="Q1276">
            <v>46146</v>
          </cell>
          <cell r="R1276" t="str">
            <v>No inspection</v>
          </cell>
          <cell r="S1276">
            <v>2722980</v>
          </cell>
          <cell r="T1276" t="str">
            <v>CIF</v>
          </cell>
          <cell r="U1276" t="str">
            <v>PUR</v>
          </cell>
        </row>
        <row r="1277">
          <cell r="D1277">
            <v>19.399999999999999</v>
          </cell>
          <cell r="F1277">
            <v>409298919304</v>
          </cell>
          <cell r="G1277" t="str">
            <v>TTI ELECTRONICS ASIA PTE LTD</v>
          </cell>
          <cell r="H1277" t="str">
            <v>Delivered</v>
          </cell>
          <cell r="I1277" t="str">
            <v xml:space="preserve">IND , CAP , RES </v>
          </cell>
          <cell r="J1277" t="str">
            <v>Fedex</v>
          </cell>
          <cell r="K1277" t="str">
            <v>VVMV</v>
          </cell>
          <cell r="L1277" t="str">
            <v>SG</v>
          </cell>
          <cell r="M1277">
            <v>46136</v>
          </cell>
          <cell r="N1277">
            <v>46150</v>
          </cell>
          <cell r="O1277">
            <v>46163</v>
          </cell>
          <cell r="P1277">
            <v>108218222010</v>
          </cell>
          <cell r="Q1277">
            <v>46149</v>
          </cell>
          <cell r="R1277" t="str">
            <v>No inspection</v>
          </cell>
          <cell r="S1277">
            <v>7828.2</v>
          </cell>
          <cell r="T1277" t="str">
            <v>EXW</v>
          </cell>
          <cell r="U1277" t="str">
            <v>LUC</v>
          </cell>
        </row>
        <row r="1278">
          <cell r="D1278">
            <v>31.8</v>
          </cell>
          <cell r="F1278">
            <v>481663285103</v>
          </cell>
          <cell r="G1278" t="str">
            <v>AMPHENOL EAST ASIA LTD</v>
          </cell>
          <cell r="H1278" t="str">
            <v>Delivered</v>
          </cell>
          <cell r="I1278" t="str">
            <v>CONN</v>
          </cell>
          <cell r="J1278" t="str">
            <v>Fedex</v>
          </cell>
          <cell r="K1278" t="str">
            <v>VVMV</v>
          </cell>
          <cell r="L1278" t="str">
            <v>HK</v>
          </cell>
          <cell r="M1278">
            <v>46136</v>
          </cell>
          <cell r="N1278">
            <v>46148</v>
          </cell>
          <cell r="O1278">
            <v>46155</v>
          </cell>
          <cell r="P1278">
            <v>108203365060</v>
          </cell>
          <cell r="Q1278">
            <v>46146</v>
          </cell>
          <cell r="R1278" t="str">
            <v>No inspection</v>
          </cell>
          <cell r="S1278">
            <v>15989.4</v>
          </cell>
          <cell r="T1278" t="str">
            <v>EXW</v>
          </cell>
          <cell r="U1278" t="str">
            <v>PUR</v>
          </cell>
        </row>
        <row r="1279">
          <cell r="D1279">
            <v>0.5</v>
          </cell>
          <cell r="F1279">
            <v>522157974669</v>
          </cell>
          <cell r="G1279" t="str">
            <v>ARROW ELECTRONICS, INC.</v>
          </cell>
          <cell r="H1279" t="str">
            <v>Delivered</v>
          </cell>
          <cell r="I1279" t="str">
            <v>DIOD</v>
          </cell>
          <cell r="J1279" t="str">
            <v>Fedex</v>
          </cell>
          <cell r="K1279" t="str">
            <v>VVMV</v>
          </cell>
          <cell r="L1279" t="str">
            <v>US</v>
          </cell>
          <cell r="M1279">
            <v>46133</v>
          </cell>
          <cell r="N1279">
            <v>46148</v>
          </cell>
          <cell r="O1279">
            <v>46153</v>
          </cell>
          <cell r="P1279">
            <v>108203333820</v>
          </cell>
          <cell r="Q1279">
            <v>46146</v>
          </cell>
          <cell r="R1279" t="str">
            <v>No inspection</v>
          </cell>
          <cell r="S1279">
            <v>145.5</v>
          </cell>
          <cell r="T1279" t="str">
            <v>CIF</v>
          </cell>
          <cell r="U1279" t="str">
            <v>HLO</v>
          </cell>
        </row>
        <row r="1280">
          <cell r="D1280">
            <v>53.4</v>
          </cell>
          <cell r="F1280">
            <v>515199058191</v>
          </cell>
          <cell r="G1280" t="str">
            <v>AVNET ASIA PTE LTD</v>
          </cell>
          <cell r="H1280" t="str">
            <v>Delivered</v>
          </cell>
          <cell r="I1280" t="str">
            <v>RES , IND , CAP , TRAN</v>
          </cell>
          <cell r="J1280" t="str">
            <v>Fedex</v>
          </cell>
          <cell r="K1280" t="str">
            <v>VVMV</v>
          </cell>
          <cell r="L1280" t="str">
            <v>SG</v>
          </cell>
          <cell r="M1280">
            <v>46136</v>
          </cell>
          <cell r="N1280">
            <v>46155</v>
          </cell>
          <cell r="O1280">
            <v>46167</v>
          </cell>
          <cell r="P1280">
            <v>108222763500</v>
          </cell>
          <cell r="Q1280">
            <v>46150</v>
          </cell>
          <cell r="R1280" t="str">
            <v>No inspection</v>
          </cell>
          <cell r="S1280">
            <v>13817.6</v>
          </cell>
          <cell r="T1280" t="str">
            <v>EXW</v>
          </cell>
          <cell r="U1280" t="str">
            <v>PUR</v>
          </cell>
        </row>
        <row r="1281">
          <cell r="D1281">
            <v>1687</v>
          </cell>
          <cell r="F1281" t="str">
            <v>LNBHPH262125</v>
          </cell>
          <cell r="G1281" t="str">
            <v>NINGBO XUSHENG GROUP CO.,LTD</v>
          </cell>
          <cell r="H1281" t="str">
            <v>Delivered</v>
          </cell>
          <cell r="I1281" t="str">
            <v xml:space="preserve">TOP </v>
          </cell>
          <cell r="J1281" t="str">
            <v>Dolphin(sea)</v>
          </cell>
          <cell r="K1281" t="str">
            <v>Dolphin</v>
          </cell>
          <cell r="L1281" t="str">
            <v>CN</v>
          </cell>
          <cell r="M1281">
            <v>46135</v>
          </cell>
          <cell r="N1281">
            <v>46146</v>
          </cell>
          <cell r="O1281">
            <v>46141</v>
          </cell>
          <cell r="P1281">
            <v>108192186650</v>
          </cell>
          <cell r="Q1281">
            <v>46140</v>
          </cell>
          <cell r="R1281" t="str">
            <v>No inspection</v>
          </cell>
          <cell r="S1281">
            <v>20008.8</v>
          </cell>
          <cell r="T1281" t="str">
            <v>EXW</v>
          </cell>
          <cell r="U1281" t="str">
            <v>LUC</v>
          </cell>
        </row>
        <row r="1282">
          <cell r="D1282">
            <v>0.5</v>
          </cell>
          <cell r="F1282">
            <v>522157974599</v>
          </cell>
          <cell r="G1282" t="str">
            <v>ARROW ELECTRONICS, INC.</v>
          </cell>
          <cell r="H1282" t="str">
            <v>Delivered</v>
          </cell>
          <cell r="I1282" t="str">
            <v>DIOD</v>
          </cell>
          <cell r="J1282" t="str">
            <v>Fedex</v>
          </cell>
          <cell r="K1282" t="str">
            <v>VVMV</v>
          </cell>
          <cell r="L1282" t="str">
            <v>US</v>
          </cell>
          <cell r="M1282">
            <v>46133</v>
          </cell>
          <cell r="N1282">
            <v>46148</v>
          </cell>
          <cell r="O1282">
            <v>46149</v>
          </cell>
          <cell r="P1282">
            <v>108203655710</v>
          </cell>
          <cell r="Q1282">
            <v>46146</v>
          </cell>
          <cell r="R1282" t="str">
            <v>No inspection</v>
          </cell>
          <cell r="S1282">
            <v>145.5</v>
          </cell>
          <cell r="T1282" t="str">
            <v>CIF</v>
          </cell>
          <cell r="U1282" t="str">
            <v>HLO</v>
          </cell>
        </row>
        <row r="1283">
          <cell r="D1283">
            <v>4.0999999999999996</v>
          </cell>
          <cell r="F1283">
            <v>522157975850</v>
          </cell>
          <cell r="G1283" t="str">
            <v>ARROW ELECTRONICS, INC.</v>
          </cell>
          <cell r="H1283" t="str">
            <v>Delivered</v>
          </cell>
          <cell r="I1283" t="str">
            <v>CAP , IC S</v>
          </cell>
          <cell r="J1283" t="str">
            <v>Fedex</v>
          </cell>
          <cell r="K1283" t="str">
            <v>VVMV</v>
          </cell>
          <cell r="L1283" t="str">
            <v>US</v>
          </cell>
          <cell r="M1283">
            <v>46133</v>
          </cell>
          <cell r="N1283">
            <v>46148</v>
          </cell>
          <cell r="O1283">
            <v>46153</v>
          </cell>
          <cell r="P1283">
            <v>108204423020</v>
          </cell>
          <cell r="Q1283">
            <v>46146</v>
          </cell>
          <cell r="R1283" t="str">
            <v>No inspection</v>
          </cell>
          <cell r="S1283">
            <v>11125.2</v>
          </cell>
          <cell r="T1283" t="str">
            <v>CIF</v>
          </cell>
          <cell r="U1283" t="str">
            <v>EF-</v>
          </cell>
        </row>
        <row r="1284">
          <cell r="D1284">
            <v>53</v>
          </cell>
          <cell r="F1284">
            <v>871012960443</v>
          </cell>
          <cell r="G1284" t="str">
            <v>WURTH ELECTRONICS MIDCOM</v>
          </cell>
          <cell r="H1284" t="str">
            <v>Delivered</v>
          </cell>
          <cell r="I1284" t="str">
            <v>CONN</v>
          </cell>
          <cell r="J1284" t="str">
            <v>Fedex</v>
          </cell>
          <cell r="K1284" t="str">
            <v>VVMV</v>
          </cell>
          <cell r="L1284" t="str">
            <v>US</v>
          </cell>
          <cell r="M1284">
            <v>46135</v>
          </cell>
          <cell r="N1284">
            <v>46148</v>
          </cell>
          <cell r="O1284">
            <v>46157</v>
          </cell>
          <cell r="P1284">
            <v>108203100240</v>
          </cell>
          <cell r="Q1284">
            <v>46146</v>
          </cell>
          <cell r="R1284" t="str">
            <v>No inspection</v>
          </cell>
          <cell r="S1284">
            <v>6550.4</v>
          </cell>
          <cell r="T1284" t="str">
            <v>CIF</v>
          </cell>
          <cell r="U1284" t="str">
            <v>LUC</v>
          </cell>
        </row>
        <row r="1285">
          <cell r="D1285">
            <v>1</v>
          </cell>
          <cell r="F1285">
            <v>119209717650</v>
          </cell>
          <cell r="G1285" t="str">
            <v>FUTURE ELECTRONICS FICE</v>
          </cell>
          <cell r="H1285" t="str">
            <v>Delivered</v>
          </cell>
          <cell r="I1285" t="str">
            <v>IC,V</v>
          </cell>
          <cell r="J1285" t="str">
            <v>Fedex</v>
          </cell>
          <cell r="K1285" t="str">
            <v>VVMV</v>
          </cell>
          <cell r="L1285" t="str">
            <v>US</v>
          </cell>
          <cell r="M1285">
            <v>46136</v>
          </cell>
          <cell r="N1285">
            <v>46148</v>
          </cell>
          <cell r="O1285">
            <v>46155</v>
          </cell>
          <cell r="P1285">
            <v>108206522060</v>
          </cell>
          <cell r="Q1285">
            <v>46146</v>
          </cell>
          <cell r="R1285" t="str">
            <v>No inspection</v>
          </cell>
          <cell r="S1285">
            <v>1160</v>
          </cell>
          <cell r="T1285" t="str">
            <v>CIF</v>
          </cell>
          <cell r="U1285" t="str">
            <v>PUR</v>
          </cell>
        </row>
        <row r="1286">
          <cell r="D1286">
            <v>27</v>
          </cell>
          <cell r="F1286">
            <v>871025563224</v>
          </cell>
          <cell r="G1286" t="str">
            <v>SUNLORD ELECTRONICS TECHNOLOGY PTE</v>
          </cell>
          <cell r="H1286" t="str">
            <v>Delivered</v>
          </cell>
          <cell r="I1286" t="str">
            <v>TRAN, CAP , CONN, RES , IC V</v>
          </cell>
          <cell r="J1286" t="str">
            <v>Fedex</v>
          </cell>
          <cell r="K1286" t="str">
            <v>VVMV</v>
          </cell>
          <cell r="L1286" t="str">
            <v>HK</v>
          </cell>
          <cell r="M1286">
            <v>46136</v>
          </cell>
          <cell r="N1286">
            <v>46148</v>
          </cell>
          <cell r="O1286">
            <v>46155</v>
          </cell>
          <cell r="P1286">
            <v>108203886450</v>
          </cell>
          <cell r="Q1286">
            <v>46146</v>
          </cell>
          <cell r="R1286" t="str">
            <v>No inspection</v>
          </cell>
          <cell r="S1286">
            <v>10372.66</v>
          </cell>
          <cell r="T1286" t="str">
            <v>EXW</v>
          </cell>
          <cell r="U1286" t="str">
            <v>PUR</v>
          </cell>
        </row>
        <row r="1287">
          <cell r="D1287">
            <v>18.3</v>
          </cell>
          <cell r="F1287">
            <v>380748019795</v>
          </cell>
          <cell r="G1287" t="str">
            <v>WURTH ELECTRONICS MIDCOM</v>
          </cell>
          <cell r="H1287" t="str">
            <v>Delivered</v>
          </cell>
          <cell r="I1287" t="str">
            <v>CONN</v>
          </cell>
          <cell r="J1287" t="str">
            <v>Fedex</v>
          </cell>
          <cell r="K1287" t="str">
            <v>VVMV</v>
          </cell>
          <cell r="L1287" t="str">
            <v>US</v>
          </cell>
          <cell r="M1287">
            <v>46135</v>
          </cell>
          <cell r="N1287">
            <v>46148</v>
          </cell>
          <cell r="O1287">
            <v>46155</v>
          </cell>
          <cell r="P1287">
            <v>108204856320</v>
          </cell>
          <cell r="Q1287">
            <v>46146</v>
          </cell>
          <cell r="R1287" t="str">
            <v>No inspection</v>
          </cell>
          <cell r="S1287">
            <v>2260.6</v>
          </cell>
          <cell r="T1287" t="str">
            <v>CIF</v>
          </cell>
          <cell r="U1287" t="str">
            <v>LUC</v>
          </cell>
        </row>
        <row r="1288">
          <cell r="D1288">
            <v>0.5</v>
          </cell>
          <cell r="F1288">
            <v>521201295514</v>
          </cell>
          <cell r="G1288" t="str">
            <v>FUTURE ELECTRONICS</v>
          </cell>
          <cell r="H1288" t="str">
            <v>Delivered</v>
          </cell>
          <cell r="I1288" t="str">
            <v>IC E</v>
          </cell>
          <cell r="J1288" t="str">
            <v>Fedex</v>
          </cell>
          <cell r="K1288" t="str">
            <v>VVMV</v>
          </cell>
          <cell r="L1288" t="str">
            <v>US</v>
          </cell>
          <cell r="M1288">
            <v>46136</v>
          </cell>
          <cell r="N1288">
            <v>46148</v>
          </cell>
          <cell r="O1288">
            <v>46155</v>
          </cell>
          <cell r="P1288">
            <v>108203279000</v>
          </cell>
          <cell r="Q1288">
            <v>46146</v>
          </cell>
          <cell r="R1288" t="str">
            <v>No inspection</v>
          </cell>
          <cell r="S1288">
            <v>1035</v>
          </cell>
          <cell r="T1288" t="str">
            <v>CIF</v>
          </cell>
          <cell r="U1288" t="str">
            <v>PUR</v>
          </cell>
        </row>
        <row r="1289">
          <cell r="D1289">
            <v>13.5</v>
          </cell>
          <cell r="F1289">
            <v>510589907311</v>
          </cell>
          <cell r="G1289" t="str">
            <v>FUSION TRADE HK LTD</v>
          </cell>
          <cell r="H1289" t="str">
            <v>Delivered</v>
          </cell>
          <cell r="I1289" t="str">
            <v xml:space="preserve">MEM </v>
          </cell>
          <cell r="J1289" t="str">
            <v>Fedex</v>
          </cell>
          <cell r="K1289" t="str">
            <v>VVMV</v>
          </cell>
          <cell r="L1289" t="str">
            <v>HK</v>
          </cell>
          <cell r="M1289">
            <v>46137</v>
          </cell>
          <cell r="N1289">
            <v>46148</v>
          </cell>
          <cell r="O1289">
            <v>46150</v>
          </cell>
          <cell r="P1289">
            <v>108203765350</v>
          </cell>
          <cell r="Q1289">
            <v>46146</v>
          </cell>
          <cell r="R1289" t="str">
            <v>No inspection</v>
          </cell>
          <cell r="S1289">
            <v>332540</v>
          </cell>
          <cell r="T1289" t="str">
            <v>CIF</v>
          </cell>
          <cell r="U1289" t="str">
            <v>PUR</v>
          </cell>
        </row>
        <row r="1290">
          <cell r="D1290">
            <v>1</v>
          </cell>
          <cell r="F1290">
            <v>380734997890</v>
          </cell>
          <cell r="G1290" t="str">
            <v>c/o DHL Supply Chain SGP P/L
Texas Instruments Southeast Asia Pt</v>
          </cell>
          <cell r="H1290" t="str">
            <v>Delivered</v>
          </cell>
          <cell r="I1290" t="str">
            <v>IC A</v>
          </cell>
          <cell r="J1290" t="str">
            <v>Fedex</v>
          </cell>
          <cell r="K1290" t="str">
            <v>VVMV</v>
          </cell>
          <cell r="L1290" t="str">
            <v>SG</v>
          </cell>
          <cell r="M1290">
            <v>46135</v>
          </cell>
          <cell r="N1290">
            <v>46169</v>
          </cell>
          <cell r="O1290">
            <v>46175</v>
          </cell>
          <cell r="P1290">
            <v>108279353560</v>
          </cell>
          <cell r="Q1290">
            <v>46168</v>
          </cell>
          <cell r="R1290" t="str">
            <v>No inspection</v>
          </cell>
          <cell r="S1290">
            <v>665</v>
          </cell>
          <cell r="T1290" t="str">
            <v>EXW</v>
          </cell>
          <cell r="U1290" t="str">
            <v>LUC</v>
          </cell>
        </row>
        <row r="1291">
          <cell r="D1291">
            <v>12.9</v>
          </cell>
          <cell r="F1291">
            <v>870936243572</v>
          </cell>
          <cell r="G1291" t="str">
            <v>TECHFORD INTERNATIONAL LIMITED</v>
          </cell>
          <cell r="H1291" t="str">
            <v>Delivered</v>
          </cell>
          <cell r="I1291" t="str">
            <v>MECH</v>
          </cell>
          <cell r="J1291" t="str">
            <v>Fedex</v>
          </cell>
          <cell r="K1291" t="str">
            <v>VVMV</v>
          </cell>
          <cell r="L1291" t="str">
            <v>HK</v>
          </cell>
          <cell r="M1291">
            <v>46135</v>
          </cell>
          <cell r="N1291">
            <v>46148</v>
          </cell>
          <cell r="O1291">
            <v>46150</v>
          </cell>
          <cell r="P1291">
            <v>108203837120</v>
          </cell>
          <cell r="Q1291">
            <v>46146</v>
          </cell>
          <cell r="R1291" t="str">
            <v>No inspection</v>
          </cell>
          <cell r="S1291">
            <v>4350</v>
          </cell>
          <cell r="T1291" t="str">
            <v>EXW</v>
          </cell>
          <cell r="U1291" t="str">
            <v>PUR</v>
          </cell>
        </row>
        <row r="1292">
          <cell r="D1292">
            <v>1</v>
          </cell>
          <cell r="F1292">
            <v>870942188710</v>
          </cell>
          <cell r="G1292" t="str">
            <v>GOTREND TECHNOLOGY CO.,LTD.</v>
          </cell>
          <cell r="H1292" t="str">
            <v>Delivered</v>
          </cell>
          <cell r="I1292" t="str">
            <v xml:space="preserve">IND </v>
          </cell>
          <cell r="J1292" t="str">
            <v>Fedex</v>
          </cell>
          <cell r="K1292" t="str">
            <v>VVMV</v>
          </cell>
          <cell r="L1292" t="str">
            <v>TW</v>
          </cell>
          <cell r="M1292">
            <v>46135</v>
          </cell>
          <cell r="N1292">
            <v>46148</v>
          </cell>
          <cell r="O1292">
            <v>46157</v>
          </cell>
          <cell r="P1292">
            <v>108204416130</v>
          </cell>
          <cell r="Q1292">
            <v>46146</v>
          </cell>
          <cell r="R1292" t="str">
            <v>No inspection</v>
          </cell>
          <cell r="S1292">
            <v>251.9</v>
          </cell>
          <cell r="T1292" t="str">
            <v>EXW</v>
          </cell>
          <cell r="U1292">
            <v>123</v>
          </cell>
        </row>
        <row r="1293">
          <cell r="D1293">
            <v>1.6</v>
          </cell>
          <cell r="F1293">
            <v>522040164028</v>
          </cell>
          <cell r="G1293" t="str">
            <v>MICRON SEMICONDUCTOR XIAN CO, LTD</v>
          </cell>
          <cell r="H1293" t="str">
            <v>Delivered</v>
          </cell>
          <cell r="I1293" t="str">
            <v xml:space="preserve">MEM </v>
          </cell>
          <cell r="J1293" t="str">
            <v>Fedex</v>
          </cell>
          <cell r="K1293" t="str">
            <v>VVMV</v>
          </cell>
          <cell r="L1293" t="str">
            <v>CN</v>
          </cell>
          <cell r="M1293">
            <v>46135</v>
          </cell>
          <cell r="N1293">
            <v>46148</v>
          </cell>
          <cell r="O1293">
            <v>46150</v>
          </cell>
          <cell r="P1293">
            <v>108203907120</v>
          </cell>
          <cell r="Q1293">
            <v>46146</v>
          </cell>
          <cell r="R1293" t="str">
            <v>No inspection</v>
          </cell>
          <cell r="S1293">
            <v>13420</v>
          </cell>
          <cell r="T1293" t="str">
            <v>EXW</v>
          </cell>
          <cell r="U1293" t="str">
            <v>PUR</v>
          </cell>
        </row>
        <row r="1294">
          <cell r="D1294">
            <v>5.5</v>
          </cell>
          <cell r="F1294">
            <v>523808780585</v>
          </cell>
          <cell r="G1294" t="str">
            <v>DIGI-KEY ELECTRONICS</v>
          </cell>
          <cell r="H1294" t="str">
            <v>Delivered</v>
          </cell>
          <cell r="J1294" t="str">
            <v>Fedex</v>
          </cell>
          <cell r="K1294" t="str">
            <v>VVMV</v>
          </cell>
          <cell r="L1294" t="str">
            <v>US</v>
          </cell>
          <cell r="M1294">
            <v>46139</v>
          </cell>
          <cell r="N1294">
            <v>46157</v>
          </cell>
          <cell r="O1294">
            <v>46157</v>
          </cell>
          <cell r="P1294">
            <v>108237962710</v>
          </cell>
          <cell r="Q1294">
            <v>46155</v>
          </cell>
          <cell r="R1294" t="str">
            <v>No inspection</v>
          </cell>
          <cell r="S1294">
            <v>5460.56</v>
          </cell>
          <cell r="T1294" t="str">
            <v>CIF</v>
          </cell>
        </row>
        <row r="1295">
          <cell r="D1295">
            <v>0.8</v>
          </cell>
          <cell r="F1295">
            <v>380766564459</v>
          </cell>
          <cell r="G1295" t="str">
            <v>c/o DHL Supply Chain SGP P/L
Texas Instruments Southeast Asia Pt</v>
          </cell>
          <cell r="H1295" t="str">
            <v>Delivered</v>
          </cell>
          <cell r="I1295" t="str">
            <v>IC T</v>
          </cell>
          <cell r="J1295" t="str">
            <v>Fedex</v>
          </cell>
          <cell r="K1295" t="str">
            <v>VVMV</v>
          </cell>
          <cell r="L1295" t="str">
            <v>SG</v>
          </cell>
          <cell r="M1295">
            <v>46136</v>
          </cell>
          <cell r="N1295">
            <v>46162</v>
          </cell>
          <cell r="O1295">
            <v>46164</v>
          </cell>
          <cell r="P1295">
            <v>108253210440</v>
          </cell>
          <cell r="Q1295">
            <v>46160</v>
          </cell>
          <cell r="R1295" t="str">
            <v>No inspection</v>
          </cell>
          <cell r="S1295">
            <v>2646</v>
          </cell>
          <cell r="T1295" t="str">
            <v>EXW</v>
          </cell>
          <cell r="U1295" t="str">
            <v>PUR</v>
          </cell>
        </row>
        <row r="1296">
          <cell r="D1296">
            <v>0.6</v>
          </cell>
          <cell r="F1296">
            <v>871105062361</v>
          </cell>
          <cell r="G1296" t="str">
            <v>EFI CRETAPRINT</v>
          </cell>
          <cell r="H1296" t="str">
            <v>Delivered</v>
          </cell>
          <cell r="I1296" t="str">
            <v>IC S</v>
          </cell>
          <cell r="J1296" t="str">
            <v>Fedex</v>
          </cell>
          <cell r="K1296" t="str">
            <v>VVMV</v>
          </cell>
          <cell r="L1296" t="str">
            <v>ES</v>
          </cell>
          <cell r="M1296">
            <v>46139</v>
          </cell>
          <cell r="N1296">
            <v>46148</v>
          </cell>
          <cell r="O1296">
            <v>46155</v>
          </cell>
          <cell r="P1296">
            <v>108206105560</v>
          </cell>
          <cell r="Q1296">
            <v>46146</v>
          </cell>
          <cell r="R1296" t="str">
            <v>No inspection</v>
          </cell>
          <cell r="S1296">
            <v>840</v>
          </cell>
          <cell r="T1296" t="str">
            <v>CIF</v>
          </cell>
          <cell r="U1296" t="str">
            <v>EF-</v>
          </cell>
        </row>
        <row r="1297">
          <cell r="D1297">
            <v>2071.62</v>
          </cell>
          <cell r="F1297" t="str">
            <v>SHDY260401495</v>
          </cell>
          <cell r="G1297" t="str">
            <v>Kunshan Eson Precision Engineering Co.,Ltd.</v>
          </cell>
          <cell r="H1297" t="str">
            <v>Delivered</v>
          </cell>
          <cell r="I1297" t="str">
            <v xml:space="preserve">BOTT, TOP , USB </v>
          </cell>
          <cell r="J1297" t="str">
            <v>GATELINK(SEA)</v>
          </cell>
          <cell r="K1297" t="str">
            <v>VVMV</v>
          </cell>
          <cell r="L1297" t="str">
            <v>CN</v>
          </cell>
          <cell r="M1297">
            <v>46132</v>
          </cell>
          <cell r="N1297">
            <v>46141</v>
          </cell>
          <cell r="O1297">
            <v>46141</v>
          </cell>
          <cell r="P1297">
            <v>108193017220</v>
          </cell>
          <cell r="Q1297">
            <v>46140</v>
          </cell>
          <cell r="R1297" t="str">
            <v>No inspection</v>
          </cell>
          <cell r="S1297">
            <v>65587.259999999995</v>
          </cell>
          <cell r="T1297" t="str">
            <v>DAP</v>
          </cell>
          <cell r="U1297" t="str">
            <v>LUC</v>
          </cell>
        </row>
        <row r="1298">
          <cell r="D1298">
            <v>1534.56</v>
          </cell>
          <cell r="F1298" t="str">
            <v>BHJSH0092965</v>
          </cell>
          <cell r="G1298" t="str">
            <v>Kunshan Eson Precision Engineering Co.,Ltd.</v>
          </cell>
          <cell r="H1298" t="str">
            <v>Delivered</v>
          </cell>
          <cell r="I1298" t="str">
            <v xml:space="preserve">TOP </v>
          </cell>
          <cell r="J1298" t="str">
            <v>Dolphin(sea)</v>
          </cell>
          <cell r="K1298" t="str">
            <v>Dolphin</v>
          </cell>
          <cell r="M1298">
            <v>46135</v>
          </cell>
          <cell r="N1298">
            <v>46148</v>
          </cell>
          <cell r="O1298">
            <v>46148</v>
          </cell>
          <cell r="P1298">
            <v>108202904460</v>
          </cell>
          <cell r="Q1298">
            <v>46146</v>
          </cell>
          <cell r="R1298" t="str">
            <v>No inspection</v>
          </cell>
          <cell r="S1298">
            <v>35.520000000000003</v>
          </cell>
          <cell r="T1298" t="str">
            <v>EXW</v>
          </cell>
          <cell r="U1298" t="str">
            <v>LUC</v>
          </cell>
        </row>
        <row r="1299">
          <cell r="D1299">
            <v>219.24</v>
          </cell>
          <cell r="F1299" t="str">
            <v>MNN/HPH/01155</v>
          </cell>
          <cell r="G1299" t="str">
            <v>Readore MFG Phils Corp</v>
          </cell>
          <cell r="H1299" t="str">
            <v>Delivered</v>
          </cell>
          <cell r="J1299" t="str">
            <v>Dolphin(sea)</v>
          </cell>
          <cell r="K1299" t="str">
            <v>Dolphin</v>
          </cell>
          <cell r="M1299">
            <v>46135</v>
          </cell>
          <cell r="N1299">
            <v>46147</v>
          </cell>
          <cell r="O1299">
            <v>46147</v>
          </cell>
          <cell r="P1299">
            <v>108197144530</v>
          </cell>
          <cell r="Q1299">
            <v>46141</v>
          </cell>
          <cell r="R1299" t="str">
            <v>No inspection</v>
          </cell>
          <cell r="S1299" t="str">
            <v>21.463,87</v>
          </cell>
          <cell r="T1299" t="str">
            <v>FOB</v>
          </cell>
        </row>
        <row r="1300">
          <cell r="D1300">
            <v>211.5</v>
          </cell>
          <cell r="F1300">
            <v>4110336518</v>
          </cell>
          <cell r="G1300" t="str">
            <v>Avnet, Inc.</v>
          </cell>
          <cell r="H1300" t="str">
            <v>Delivered</v>
          </cell>
          <cell r="I1300" t="str">
            <v>CONN</v>
          </cell>
          <cell r="J1300" t="str">
            <v>Expeditors</v>
          </cell>
          <cell r="K1300" t="str">
            <v>VVMV</v>
          </cell>
          <cell r="L1300" t="str">
            <v>US</v>
          </cell>
          <cell r="M1300">
            <v>46135</v>
          </cell>
          <cell r="N1300">
            <v>46141</v>
          </cell>
          <cell r="O1300">
            <v>46141</v>
          </cell>
          <cell r="P1300">
            <v>108192061350</v>
          </cell>
          <cell r="Q1300">
            <v>46140</v>
          </cell>
          <cell r="R1300" t="str">
            <v>No inspection</v>
          </cell>
          <cell r="S1300">
            <v>14570.64</v>
          </cell>
          <cell r="T1300" t="str">
            <v>DAP</v>
          </cell>
          <cell r="U1300" t="str">
            <v>LUC</v>
          </cell>
        </row>
        <row r="1301">
          <cell r="D1301">
            <v>1118.4000000000001</v>
          </cell>
          <cell r="F1301" t="str">
            <v>LNBHPH262075</v>
          </cell>
          <cell r="G1301" t="str">
            <v>ENNOVI ADVANCED MOBILITY SOLUTIONS HANGZHOU CO., LTD.</v>
          </cell>
          <cell r="H1301" t="str">
            <v>Delivered</v>
          </cell>
          <cell r="I1301" t="str">
            <v>ENCL, CONN</v>
          </cell>
          <cell r="J1301" t="str">
            <v>VVMV(sea)</v>
          </cell>
          <cell r="K1301" t="str">
            <v>VVMV</v>
          </cell>
          <cell r="L1301" t="str">
            <v>CN</v>
          </cell>
          <cell r="M1301">
            <v>46135</v>
          </cell>
          <cell r="N1301">
            <v>46141</v>
          </cell>
          <cell r="O1301">
            <v>46141</v>
          </cell>
          <cell r="P1301">
            <v>108194048100</v>
          </cell>
          <cell r="Q1301">
            <v>46140</v>
          </cell>
          <cell r="R1301" t="str">
            <v>No inspection</v>
          </cell>
          <cell r="S1301">
            <v>46219.85</v>
          </cell>
          <cell r="T1301" t="str">
            <v>EXW</v>
          </cell>
          <cell r="U1301" t="str">
            <v>LUC</v>
          </cell>
        </row>
        <row r="1302">
          <cell r="D1302">
            <v>0.9</v>
          </cell>
          <cell r="F1302">
            <v>5774495602</v>
          </cell>
          <cell r="G1302" t="str">
            <v>FUTURE ELECTRONICS (ADC)</v>
          </cell>
          <cell r="H1302" t="str">
            <v>Delivered</v>
          </cell>
          <cell r="J1302" t="str">
            <v>DHL</v>
          </cell>
          <cell r="K1302" t="str">
            <v>VVMV</v>
          </cell>
          <cell r="L1302" t="str">
            <v>SG</v>
          </cell>
          <cell r="M1302">
            <v>46135</v>
          </cell>
          <cell r="N1302">
            <v>46147</v>
          </cell>
          <cell r="O1302">
            <v>46149</v>
          </cell>
          <cell r="P1302">
            <v>108197426630</v>
          </cell>
          <cell r="Q1302">
            <v>46141</v>
          </cell>
          <cell r="R1302" t="str">
            <v>No inspection</v>
          </cell>
          <cell r="S1302">
            <v>205</v>
          </cell>
          <cell r="T1302" t="str">
            <v>CIF</v>
          </cell>
          <cell r="U1302" t="str">
            <v>HLO</v>
          </cell>
        </row>
        <row r="1303">
          <cell r="D1303">
            <v>80.099999999999994</v>
          </cell>
          <cell r="F1303">
            <v>471797728052</v>
          </cell>
          <cell r="G1303" t="str">
            <v>LIPERS ENTERPRISE CO., LTD.</v>
          </cell>
          <cell r="H1303" t="str">
            <v>Delivered</v>
          </cell>
          <cell r="I1303" t="str">
            <v xml:space="preserve">CAP , RES </v>
          </cell>
          <cell r="J1303" t="str">
            <v>Fedex</v>
          </cell>
          <cell r="K1303" t="str">
            <v>VVMV</v>
          </cell>
          <cell r="L1303" t="str">
            <v>TW</v>
          </cell>
          <cell r="M1303">
            <v>46140</v>
          </cell>
          <cell r="N1303">
            <v>46148</v>
          </cell>
          <cell r="O1303">
            <v>46163</v>
          </cell>
          <cell r="P1303">
            <v>108206521030</v>
          </cell>
          <cell r="Q1303">
            <v>46146</v>
          </cell>
          <cell r="R1303" t="str">
            <v>No inspection</v>
          </cell>
          <cell r="S1303">
            <v>6123.7</v>
          </cell>
          <cell r="T1303" t="str">
            <v>EXW</v>
          </cell>
          <cell r="U1303" t="str">
            <v>LUC</v>
          </cell>
        </row>
        <row r="1304">
          <cell r="D1304">
            <v>21</v>
          </cell>
          <cell r="F1304">
            <v>510007345529</v>
          </cell>
          <cell r="G1304" t="str">
            <v>Sino Faith Technology Development</v>
          </cell>
          <cell r="H1304" t="str">
            <v>Delivered</v>
          </cell>
          <cell r="I1304" t="str">
            <v xml:space="preserve">FERR, RES , CAP </v>
          </cell>
          <cell r="J1304" t="str">
            <v>Fedex</v>
          </cell>
          <cell r="K1304" t="str">
            <v>VVMV</v>
          </cell>
          <cell r="L1304" t="str">
            <v>HK</v>
          </cell>
          <cell r="M1304">
            <v>46140</v>
          </cell>
          <cell r="N1304">
            <v>46148</v>
          </cell>
          <cell r="O1304">
            <v>46155</v>
          </cell>
          <cell r="P1304">
            <v>108206730220</v>
          </cell>
          <cell r="Q1304">
            <v>46146</v>
          </cell>
          <cell r="R1304" t="str">
            <v>No inspection</v>
          </cell>
          <cell r="S1304">
            <v>3438.55</v>
          </cell>
          <cell r="T1304" t="str">
            <v>EXW</v>
          </cell>
          <cell r="U1304" t="str">
            <v>PUR</v>
          </cell>
        </row>
        <row r="1305">
          <cell r="D1305">
            <v>0.5</v>
          </cell>
          <cell r="F1305">
            <v>871151009006</v>
          </cell>
          <cell r="G1305" t="str">
            <v>CYMMETRIK SHENZHEN PRINTING CO., LTD</v>
          </cell>
          <cell r="H1305" t="str">
            <v>Delivered</v>
          </cell>
          <cell r="I1305" t="str">
            <v>LABE</v>
          </cell>
          <cell r="J1305" t="str">
            <v>Fedex</v>
          </cell>
          <cell r="K1305" t="str">
            <v>VVMV</v>
          </cell>
          <cell r="L1305" t="str">
            <v>CN</v>
          </cell>
          <cell r="M1305">
            <v>46140</v>
          </cell>
          <cell r="N1305">
            <v>46148</v>
          </cell>
          <cell r="O1305">
            <v>46156</v>
          </cell>
          <cell r="P1305">
            <v>108205367760</v>
          </cell>
          <cell r="Q1305">
            <v>46146</v>
          </cell>
          <cell r="R1305" t="str">
            <v>No inspection</v>
          </cell>
          <cell r="S1305">
            <v>535</v>
          </cell>
          <cell r="T1305" t="str">
            <v>EXW</v>
          </cell>
          <cell r="U1305" t="str">
            <v>PUR</v>
          </cell>
        </row>
        <row r="1306">
          <cell r="D1306">
            <v>1.7</v>
          </cell>
          <cell r="F1306">
            <v>871146130406</v>
          </cell>
          <cell r="G1306" t="str">
            <v>M&amp;Partners CO ., LTD (Suntsu Agent)</v>
          </cell>
          <cell r="H1306" t="str">
            <v>Delivered</v>
          </cell>
          <cell r="I1306" t="str">
            <v>CRYS</v>
          </cell>
          <cell r="J1306" t="str">
            <v>Fedex</v>
          </cell>
          <cell r="K1306" t="str">
            <v>VVMV</v>
          </cell>
          <cell r="L1306" t="str">
            <v>KR</v>
          </cell>
          <cell r="M1306">
            <v>46141</v>
          </cell>
          <cell r="N1306">
            <v>46148</v>
          </cell>
          <cell r="O1306">
            <v>46160</v>
          </cell>
          <cell r="P1306">
            <v>108205931150</v>
          </cell>
          <cell r="Q1306">
            <v>46146</v>
          </cell>
          <cell r="R1306" t="str">
            <v>No inspection</v>
          </cell>
          <cell r="S1306">
            <v>700</v>
          </cell>
          <cell r="T1306" t="str">
            <v>CIF</v>
          </cell>
          <cell r="U1306" t="str">
            <v>EF-</v>
          </cell>
        </row>
        <row r="1307">
          <cell r="D1307">
            <v>7.3</v>
          </cell>
          <cell r="F1307">
            <v>493602834236</v>
          </cell>
          <cell r="G1307" t="str">
            <v>VENKEL LTD</v>
          </cell>
          <cell r="H1307" t="str">
            <v>Delivered</v>
          </cell>
          <cell r="I1307" t="str">
            <v xml:space="preserve">CAP </v>
          </cell>
          <cell r="J1307" t="str">
            <v>Fedex</v>
          </cell>
          <cell r="K1307" t="str">
            <v>VVMV</v>
          </cell>
          <cell r="L1307" t="str">
            <v>US</v>
          </cell>
          <cell r="M1307">
            <v>46139</v>
          </cell>
          <cell r="N1307">
            <v>46148</v>
          </cell>
          <cell r="O1307">
            <v>46154</v>
          </cell>
          <cell r="P1307">
            <v>108206753910</v>
          </cell>
          <cell r="Q1307">
            <v>46146</v>
          </cell>
          <cell r="R1307" t="str">
            <v>No inspection</v>
          </cell>
          <cell r="S1307">
            <v>2001.8</v>
          </cell>
          <cell r="T1307" t="str">
            <v>CIF</v>
          </cell>
          <cell r="U1307" t="str">
            <v>EF-</v>
          </cell>
        </row>
        <row r="1308">
          <cell r="D1308">
            <v>75</v>
          </cell>
          <cell r="F1308">
            <v>380932312821</v>
          </cell>
          <cell r="G1308" t="str">
            <v>ROSENBERGER HOCHFREQUENZTECHNIK</v>
          </cell>
          <cell r="H1308" t="str">
            <v>Delivered</v>
          </cell>
          <cell r="I1308" t="str">
            <v>CONN</v>
          </cell>
          <cell r="J1308" t="str">
            <v>Fedex</v>
          </cell>
          <cell r="K1308" t="str">
            <v>VVMV</v>
          </cell>
          <cell r="L1308" t="str">
            <v>DE</v>
          </cell>
          <cell r="M1308">
            <v>46142</v>
          </cell>
          <cell r="N1308">
            <v>46157</v>
          </cell>
          <cell r="O1308">
            <v>46169</v>
          </cell>
          <cell r="P1308">
            <v>108233062450</v>
          </cell>
          <cell r="Q1308">
            <v>46154</v>
          </cell>
          <cell r="R1308" t="str">
            <v>No inspection</v>
          </cell>
          <cell r="S1308">
            <v>7355.04</v>
          </cell>
          <cell r="T1308" t="str">
            <v>CIF</v>
          </cell>
          <cell r="U1308" t="str">
            <v>LUC</v>
          </cell>
        </row>
        <row r="1309">
          <cell r="D1309" t="str">
            <v>x</v>
          </cell>
          <cell r="F1309">
            <v>500292603212</v>
          </cell>
          <cell r="G1309" t="str">
            <v>MOUSER ELECTRONICS INC</v>
          </cell>
          <cell r="H1309" t="str">
            <v>Delivered</v>
          </cell>
          <cell r="I1309" t="str">
            <v>ID</v>
          </cell>
          <cell r="J1309" t="str">
            <v>Fedex</v>
          </cell>
          <cell r="K1309" t="str">
            <v>VVMV</v>
          </cell>
          <cell r="L1309" t="str">
            <v>US</v>
          </cell>
          <cell r="M1309" t="str">
            <v>x</v>
          </cell>
          <cell r="N1309" t="str">
            <v>x</v>
          </cell>
          <cell r="O1309">
            <v>46141</v>
          </cell>
          <cell r="P1309" t="str">
            <v>hàng phát thẳng</v>
          </cell>
          <cell r="Q1309" t="str">
            <v>x</v>
          </cell>
          <cell r="R1309" t="str">
            <v>x</v>
          </cell>
          <cell r="S1309" t="str">
            <v>x</v>
          </cell>
          <cell r="T1309" t="str">
            <v>CIF</v>
          </cell>
          <cell r="U1309" t="str">
            <v>PUR</v>
          </cell>
        </row>
        <row r="1310">
          <cell r="D1310">
            <v>6</v>
          </cell>
          <cell r="F1310">
            <v>871195834350</v>
          </cell>
          <cell r="G1310" t="str">
            <v>STEADFAST INDUSTRIAL PTE LTD</v>
          </cell>
          <cell r="H1310" t="str">
            <v>Delivered</v>
          </cell>
          <cell r="I1310" t="str">
            <v>STAN</v>
          </cell>
          <cell r="J1310" t="str">
            <v>Fedex</v>
          </cell>
          <cell r="K1310" t="str">
            <v>VVMV</v>
          </cell>
          <cell r="L1310" t="str">
            <v>SG</v>
          </cell>
          <cell r="M1310">
            <v>46141</v>
          </cell>
          <cell r="N1310">
            <v>46148</v>
          </cell>
          <cell r="O1310">
            <v>46160</v>
          </cell>
          <cell r="P1310">
            <v>108205814140</v>
          </cell>
          <cell r="Q1310">
            <v>46146</v>
          </cell>
          <cell r="R1310" t="str">
            <v>No inspection</v>
          </cell>
          <cell r="S1310">
            <v>360</v>
          </cell>
          <cell r="T1310" t="str">
            <v>EXW</v>
          </cell>
          <cell r="U1310" t="str">
            <v>EF-</v>
          </cell>
        </row>
        <row r="1311">
          <cell r="D1311">
            <v>8</v>
          </cell>
          <cell r="F1311">
            <v>871195402262</v>
          </cell>
          <cell r="G1311" t="str">
            <v>AMPHENOL FCI ASIA PTE LTD</v>
          </cell>
          <cell r="H1311" t="str">
            <v>Delivered</v>
          </cell>
          <cell r="I1311" t="str">
            <v>CONN</v>
          </cell>
          <cell r="J1311" t="str">
            <v>Fedex</v>
          </cell>
          <cell r="K1311" t="str">
            <v>VVMV</v>
          </cell>
          <cell r="L1311" t="str">
            <v>SG</v>
          </cell>
          <cell r="M1311">
            <v>46141</v>
          </cell>
          <cell r="N1311">
            <v>46148</v>
          </cell>
          <cell r="O1311">
            <v>46160</v>
          </cell>
          <cell r="P1311">
            <v>108206780360</v>
          </cell>
          <cell r="Q1311">
            <v>46146</v>
          </cell>
          <cell r="R1311" t="str">
            <v>No inspection</v>
          </cell>
          <cell r="S1311">
            <v>2889</v>
          </cell>
          <cell r="T1311" t="str">
            <v>EXW</v>
          </cell>
          <cell r="U1311" t="str">
            <v>PUR</v>
          </cell>
        </row>
        <row r="1312">
          <cell r="D1312">
            <v>21.8</v>
          </cell>
          <cell r="F1312">
            <v>871199101940</v>
          </cell>
          <cell r="G1312" t="str">
            <v>MING CHIANG PRECISION CO., LTD</v>
          </cell>
          <cell r="H1312" t="str">
            <v>Delivered</v>
          </cell>
          <cell r="I1312" t="str">
            <v>LONG</v>
          </cell>
          <cell r="J1312" t="str">
            <v>Fedex</v>
          </cell>
          <cell r="K1312" t="str">
            <v>VVMV</v>
          </cell>
          <cell r="L1312" t="str">
            <v>TW</v>
          </cell>
          <cell r="M1312">
            <v>46141</v>
          </cell>
          <cell r="N1312">
            <v>46148</v>
          </cell>
          <cell r="O1312">
            <v>46160</v>
          </cell>
          <cell r="P1312">
            <v>108206155740</v>
          </cell>
          <cell r="Q1312">
            <v>46146</v>
          </cell>
          <cell r="R1312" t="str">
            <v>No inspection</v>
          </cell>
          <cell r="S1312">
            <v>1135.5999999999999</v>
          </cell>
          <cell r="T1312" t="str">
            <v>EXW</v>
          </cell>
          <cell r="U1312" t="str">
            <v>LUC</v>
          </cell>
        </row>
        <row r="1313">
          <cell r="D1313">
            <v>134.1</v>
          </cell>
          <cell r="F1313">
            <v>871203060211</v>
          </cell>
          <cell r="G1313" t="str">
            <v>WT MICROELECTRONICS SPORE P/L</v>
          </cell>
          <cell r="H1313" t="str">
            <v>Delivered</v>
          </cell>
          <cell r="I1313" t="str">
            <v xml:space="preserve">IC 9, IC R, IC A, CAP , RES </v>
          </cell>
          <cell r="J1313" t="str">
            <v>Fedex</v>
          </cell>
          <cell r="K1313" t="str">
            <v>VVMV</v>
          </cell>
          <cell r="L1313" t="str">
            <v>SG</v>
          </cell>
          <cell r="M1313">
            <v>46141</v>
          </cell>
          <cell r="N1313">
            <v>46149</v>
          </cell>
          <cell r="O1313">
            <v>46157</v>
          </cell>
          <cell r="P1313">
            <v>108209791540</v>
          </cell>
          <cell r="Q1313">
            <v>46147</v>
          </cell>
          <cell r="R1313" t="str">
            <v>No inspection</v>
          </cell>
          <cell r="S1313" t="str">
            <v>395.409,83</v>
          </cell>
          <cell r="T1313" t="str">
            <v>EXW</v>
          </cell>
          <cell r="U1313" t="str">
            <v>EF-</v>
          </cell>
        </row>
        <row r="1314">
          <cell r="D1314">
            <v>6.3</v>
          </cell>
          <cell r="F1314">
            <v>515511012869</v>
          </cell>
          <cell r="G1314" t="str">
            <v>SAMTEC ASIA PACIFIC PTE LTD</v>
          </cell>
          <cell r="H1314" t="str">
            <v>Delivered</v>
          </cell>
          <cell r="I1314" t="str">
            <v>CONN</v>
          </cell>
          <cell r="J1314" t="str">
            <v>Fedex</v>
          </cell>
          <cell r="K1314" t="str">
            <v>VVMV</v>
          </cell>
          <cell r="L1314" t="str">
            <v>SG</v>
          </cell>
          <cell r="M1314">
            <v>46141</v>
          </cell>
          <cell r="N1314">
            <v>46157</v>
          </cell>
          <cell r="O1314">
            <v>46163</v>
          </cell>
          <cell r="P1314">
            <v>108237672100</v>
          </cell>
          <cell r="Q1314">
            <v>46155</v>
          </cell>
          <cell r="R1314" t="str">
            <v>No inspection</v>
          </cell>
          <cell r="S1314">
            <v>666</v>
          </cell>
          <cell r="T1314" t="str">
            <v>CIF</v>
          </cell>
          <cell r="U1314" t="str">
            <v>EF-</v>
          </cell>
        </row>
        <row r="1315">
          <cell r="D1315">
            <v>1.6</v>
          </cell>
          <cell r="F1315">
            <v>5774504960</v>
          </cell>
          <cell r="G1315" t="str">
            <v>FUTURE ELECTRONICS (ADC)</v>
          </cell>
          <cell r="H1315" t="str">
            <v>Delivered</v>
          </cell>
          <cell r="I1315" t="str">
            <v xml:space="preserve">LED </v>
          </cell>
          <cell r="J1315" t="str">
            <v>DHL</v>
          </cell>
          <cell r="K1315" t="str">
            <v>VVMV</v>
          </cell>
          <cell r="L1315" t="str">
            <v>SG</v>
          </cell>
          <cell r="M1315">
            <v>46140</v>
          </cell>
          <cell r="N1315">
            <v>46147</v>
          </cell>
          <cell r="O1315">
            <v>46147</v>
          </cell>
          <cell r="P1315">
            <v>108204270530</v>
          </cell>
          <cell r="Q1315">
            <v>46146</v>
          </cell>
          <cell r="R1315" t="str">
            <v>No inspection</v>
          </cell>
          <cell r="S1315">
            <v>542</v>
          </cell>
          <cell r="T1315" t="str">
            <v>CIF</v>
          </cell>
          <cell r="U1315" t="str">
            <v>PUR</v>
          </cell>
        </row>
        <row r="1316">
          <cell r="D1316">
            <v>11.4</v>
          </cell>
          <cell r="F1316">
            <v>522962232219</v>
          </cell>
          <cell r="G1316" t="str">
            <v>SAMSUNG ELECTRONICS CO LTD</v>
          </cell>
          <cell r="H1316" t="str">
            <v>Delivered</v>
          </cell>
          <cell r="I1316" t="str">
            <v>IC F</v>
          </cell>
          <cell r="J1316" t="str">
            <v>Fedex</v>
          </cell>
          <cell r="K1316" t="str">
            <v>VVMV</v>
          </cell>
          <cell r="L1316" t="str">
            <v>KR</v>
          </cell>
          <cell r="M1316">
            <v>46142</v>
          </cell>
          <cell r="N1316">
            <v>46175</v>
          </cell>
          <cell r="O1316">
            <v>46175</v>
          </cell>
          <cell r="P1316">
            <v>108287416860</v>
          </cell>
          <cell r="Q1316">
            <v>46170</v>
          </cell>
          <cell r="R1316" t="str">
            <v>No inspection</v>
          </cell>
          <cell r="S1316">
            <v>105435</v>
          </cell>
          <cell r="T1316" t="str">
            <v>CIF</v>
          </cell>
          <cell r="U1316" t="str">
            <v>LUC</v>
          </cell>
        </row>
        <row r="1317">
          <cell r="D1317">
            <v>1</v>
          </cell>
          <cell r="F1317" t="str">
            <v>1ZB600R50419367007</v>
          </cell>
          <cell r="G1317" t="str">
            <v>WHALE FEATHER INTERNATIONAL TRADE</v>
          </cell>
          <cell r="H1317" t="str">
            <v>Delivered</v>
          </cell>
          <cell r="I1317" t="str">
            <v xml:space="preserve">LED </v>
          </cell>
          <cell r="J1317" t="str">
            <v>UPS</v>
          </cell>
          <cell r="K1317" t="str">
            <v>VVMV</v>
          </cell>
          <cell r="L1317" t="str">
            <v>CN</v>
          </cell>
          <cell r="M1317">
            <v>46141</v>
          </cell>
          <cell r="N1317">
            <v>46150</v>
          </cell>
          <cell r="O1317">
            <v>46150</v>
          </cell>
          <cell r="P1317">
            <v>108216831700</v>
          </cell>
          <cell r="Q1317">
            <v>46208.44734953704</v>
          </cell>
          <cell r="R1317" t="str">
            <v>No inspection</v>
          </cell>
          <cell r="S1317">
            <v>172.8</v>
          </cell>
          <cell r="T1317" t="str">
            <v>CIF</v>
          </cell>
          <cell r="U1317">
            <v>174</v>
          </cell>
        </row>
        <row r="1318">
          <cell r="D1318">
            <v>1.1000000000000001</v>
          </cell>
          <cell r="F1318">
            <v>521201342822</v>
          </cell>
          <cell r="G1318" t="str">
            <v>FUTURE ELECTRONICS</v>
          </cell>
          <cell r="H1318" t="str">
            <v>Delivered</v>
          </cell>
          <cell r="I1318" t="str">
            <v xml:space="preserve">RES </v>
          </cell>
          <cell r="J1318" t="str">
            <v>Fedex</v>
          </cell>
          <cell r="K1318" t="str">
            <v>VVMV</v>
          </cell>
          <cell r="L1318" t="str">
            <v>US</v>
          </cell>
          <cell r="M1318">
            <v>46143</v>
          </cell>
          <cell r="N1318">
            <v>46149</v>
          </cell>
          <cell r="O1318">
            <v>46155</v>
          </cell>
          <cell r="P1318">
            <v>108210052750</v>
          </cell>
          <cell r="Q1318">
            <v>46147.621365740742</v>
          </cell>
          <cell r="R1318" t="str">
            <v>No inspection</v>
          </cell>
          <cell r="S1318">
            <v>82.4</v>
          </cell>
          <cell r="T1318" t="str">
            <v>CIF</v>
          </cell>
          <cell r="U1318" t="str">
            <v>FMC</v>
          </cell>
        </row>
        <row r="1319">
          <cell r="D1319">
            <v>1</v>
          </cell>
          <cell r="F1319">
            <v>492522503025</v>
          </cell>
          <cell r="G1319" t="str">
            <v>Quest Components, Inc.</v>
          </cell>
          <cell r="H1319" t="str">
            <v>Delivered</v>
          </cell>
          <cell r="I1319" t="str">
            <v xml:space="preserve">CAP </v>
          </cell>
          <cell r="J1319" t="str">
            <v>Fedex</v>
          </cell>
          <cell r="K1319" t="str">
            <v>VVMV</v>
          </cell>
          <cell r="L1319" t="str">
            <v>US</v>
          </cell>
          <cell r="M1319">
            <v>46143</v>
          </cell>
          <cell r="N1319">
            <v>46157</v>
          </cell>
          <cell r="O1319">
            <v>46160</v>
          </cell>
          <cell r="P1319">
            <v>108233190810</v>
          </cell>
          <cell r="Q1319">
            <v>46154</v>
          </cell>
          <cell r="R1319" t="str">
            <v>No inspection</v>
          </cell>
          <cell r="S1319">
            <v>1950</v>
          </cell>
          <cell r="T1319" t="str">
            <v>CIF</v>
          </cell>
          <cell r="U1319">
            <v>122</v>
          </cell>
        </row>
        <row r="1320">
          <cell r="D1320">
            <v>2.7</v>
          </cell>
          <cell r="F1320">
            <v>523364168404</v>
          </cell>
          <cell r="G1320" t="str">
            <v>MOUSER ELECTRONICS INC</v>
          </cell>
          <cell r="H1320" t="str">
            <v>Delivered</v>
          </cell>
          <cell r="I1320" t="str">
            <v>RES , CRYS, IC M, ULTR</v>
          </cell>
          <cell r="J1320" t="str">
            <v>Fedex</v>
          </cell>
          <cell r="K1320" t="str">
            <v>VVMV</v>
          </cell>
          <cell r="L1320" t="str">
            <v>US</v>
          </cell>
          <cell r="M1320">
            <v>46142</v>
          </cell>
          <cell r="N1320">
            <v>46149</v>
          </cell>
          <cell r="O1320">
            <v>46160</v>
          </cell>
          <cell r="P1320">
            <v>108210397960</v>
          </cell>
          <cell r="Q1320">
            <v>46147.649513888886</v>
          </cell>
          <cell r="R1320" t="str">
            <v>No inspection</v>
          </cell>
          <cell r="S1320">
            <v>9629.7199999999993</v>
          </cell>
          <cell r="T1320" t="str">
            <v>CIF</v>
          </cell>
          <cell r="U1320" t="str">
            <v>FMC</v>
          </cell>
        </row>
        <row r="1321">
          <cell r="D1321">
            <v>2.1</v>
          </cell>
          <cell r="F1321">
            <v>523364163825</v>
          </cell>
          <cell r="G1321" t="str">
            <v>MOUSER ELECTRONICS INC</v>
          </cell>
          <cell r="H1321" t="str">
            <v>Delivered</v>
          </cell>
          <cell r="I1321" t="str">
            <v>IC V</v>
          </cell>
          <cell r="J1321" t="str">
            <v>Fedex</v>
          </cell>
          <cell r="K1321" t="str">
            <v>VVMV</v>
          </cell>
          <cell r="L1321" t="str">
            <v>US</v>
          </cell>
          <cell r="M1321">
            <v>46142</v>
          </cell>
          <cell r="N1321">
            <v>46149</v>
          </cell>
          <cell r="O1321">
            <v>46153</v>
          </cell>
          <cell r="P1321">
            <v>108208212710</v>
          </cell>
          <cell r="Q1321">
            <v>46147.432233796295</v>
          </cell>
          <cell r="R1321" t="str">
            <v>No inspection</v>
          </cell>
          <cell r="S1321">
            <v>4448.72</v>
          </cell>
          <cell r="T1321" t="str">
            <v>CIF</v>
          </cell>
          <cell r="U1321" t="str">
            <v>PUR</v>
          </cell>
        </row>
        <row r="1322">
          <cell r="D1322">
            <v>8.6999999999999993</v>
          </cell>
          <cell r="F1322">
            <v>524130580751</v>
          </cell>
          <cell r="G1322" t="str">
            <v>ARROW ELECTRONICS, INC.</v>
          </cell>
          <cell r="H1322" t="str">
            <v>Delivered</v>
          </cell>
          <cell r="I1322" t="str">
            <v>IC F</v>
          </cell>
          <cell r="J1322" t="str">
            <v>Fedex</v>
          </cell>
          <cell r="K1322" t="str">
            <v>VVMV</v>
          </cell>
          <cell r="L1322" t="str">
            <v>US</v>
          </cell>
          <cell r="M1322">
            <v>46140</v>
          </cell>
          <cell r="N1322">
            <v>46149</v>
          </cell>
          <cell r="O1322">
            <v>46155</v>
          </cell>
          <cell r="P1322">
            <v>108209356140</v>
          </cell>
          <cell r="Q1322">
            <v>46147.562754629631</v>
          </cell>
          <cell r="R1322" t="str">
            <v>No inspection</v>
          </cell>
          <cell r="S1322">
            <v>18268.8</v>
          </cell>
          <cell r="T1322" t="str">
            <v>CIF</v>
          </cell>
          <cell r="U1322" t="str">
            <v>EF-</v>
          </cell>
        </row>
        <row r="1323">
          <cell r="D1323">
            <v>0.5</v>
          </cell>
          <cell r="F1323">
            <v>500292617491</v>
          </cell>
          <cell r="G1323" t="str">
            <v>ARROW COMPONENTS MEXICO SA De CV</v>
          </cell>
          <cell r="H1323" t="str">
            <v>Delivered</v>
          </cell>
          <cell r="I1323" t="str">
            <v>DIOD</v>
          </cell>
          <cell r="J1323" t="str">
            <v>Fedex</v>
          </cell>
          <cell r="K1323" t="str">
            <v>VVMV</v>
          </cell>
          <cell r="L1323" t="str">
            <v>MX</v>
          </cell>
          <cell r="M1323">
            <v>46141</v>
          </cell>
          <cell r="N1323">
            <v>46149</v>
          </cell>
          <cell r="O1323">
            <v>46155</v>
          </cell>
          <cell r="P1323">
            <v>108209401310</v>
          </cell>
          <cell r="Q1323">
            <v>46147.569664351853</v>
          </cell>
          <cell r="R1323" t="str">
            <v>No inspection</v>
          </cell>
          <cell r="S1323">
            <v>145.5</v>
          </cell>
          <cell r="T1323" t="str">
            <v>CIF</v>
          </cell>
          <cell r="U1323" t="str">
            <v>HLO</v>
          </cell>
        </row>
        <row r="1324">
          <cell r="D1324">
            <v>1.8</v>
          </cell>
          <cell r="F1324">
            <v>500292615488</v>
          </cell>
          <cell r="G1324" t="str">
            <v>ARROW COMPONENTS MEXICO SA De CV</v>
          </cell>
          <cell r="H1324" t="str">
            <v>Delivered</v>
          </cell>
          <cell r="I1324" t="str">
            <v>IC C</v>
          </cell>
          <cell r="J1324" t="str">
            <v>Fedex</v>
          </cell>
          <cell r="K1324" t="str">
            <v>VVMV</v>
          </cell>
          <cell r="L1324" t="str">
            <v>MX</v>
          </cell>
          <cell r="M1324">
            <v>46139</v>
          </cell>
          <cell r="N1324">
            <v>46149</v>
          </cell>
          <cell r="O1324">
            <v>46155</v>
          </cell>
          <cell r="P1324">
            <v>108208546720</v>
          </cell>
          <cell r="Q1324">
            <v>46147.451365740744</v>
          </cell>
          <cell r="R1324" t="str">
            <v>No inspection</v>
          </cell>
          <cell r="S1324">
            <v>34100</v>
          </cell>
          <cell r="T1324" t="str">
            <v>CIF</v>
          </cell>
          <cell r="U1324" t="str">
            <v>PUR</v>
          </cell>
        </row>
        <row r="1325">
          <cell r="D1325">
            <v>2.7</v>
          </cell>
          <cell r="F1325">
            <v>380902290669</v>
          </cell>
          <cell r="G1325" t="str">
            <v>C/O KINTETSU WORLD EXPRESS
TEXAS INSTRUMENTS ASIA LIMITED</v>
          </cell>
          <cell r="H1325" t="str">
            <v>Delivered</v>
          </cell>
          <cell r="I1325" t="str">
            <v>IC D</v>
          </cell>
          <cell r="J1325" t="str">
            <v>Fedex</v>
          </cell>
          <cell r="K1325" t="str">
            <v>VVMV</v>
          </cell>
          <cell r="L1325" t="str">
            <v>CN</v>
          </cell>
          <cell r="M1325">
            <v>46141</v>
          </cell>
          <cell r="N1325">
            <v>46149</v>
          </cell>
          <cell r="O1325">
            <v>46155</v>
          </cell>
          <cell r="P1325">
            <v>108209331420</v>
          </cell>
          <cell r="Q1325">
            <v>46147.559745370374</v>
          </cell>
          <cell r="R1325" t="str">
            <v>No inspection</v>
          </cell>
          <cell r="S1325">
            <v>3186</v>
          </cell>
          <cell r="T1325" t="str">
            <v>EXW</v>
          </cell>
          <cell r="U1325" t="str">
            <v>LUC</v>
          </cell>
        </row>
        <row r="1326">
          <cell r="D1326">
            <v>1.7</v>
          </cell>
          <cell r="F1326">
            <v>500394884559</v>
          </cell>
          <cell r="G1326" t="str">
            <v>WURTH ELEKTRONIK EISOS GMBH &amp; CO. KG</v>
          </cell>
          <cell r="H1326" t="str">
            <v>Delivered</v>
          </cell>
          <cell r="I1326" t="str">
            <v>INDU</v>
          </cell>
          <cell r="J1326" t="str">
            <v>Fedex</v>
          </cell>
          <cell r="K1326" t="str">
            <v>VVMV</v>
          </cell>
          <cell r="L1326" t="str">
            <v>DE</v>
          </cell>
          <cell r="M1326">
            <v>46141</v>
          </cell>
          <cell r="N1326">
            <v>46149</v>
          </cell>
          <cell r="O1326">
            <v>46156</v>
          </cell>
          <cell r="P1326">
            <v>108212636120</v>
          </cell>
          <cell r="Q1326">
            <v>46148</v>
          </cell>
          <cell r="R1326" t="str">
            <v>No inspection</v>
          </cell>
          <cell r="S1326">
            <v>768</v>
          </cell>
          <cell r="T1326" t="str">
            <v>CIF</v>
          </cell>
          <cell r="U1326" t="str">
            <v>EF-</v>
          </cell>
        </row>
        <row r="1327">
          <cell r="D1327">
            <v>3.2</v>
          </cell>
          <cell r="F1327">
            <v>524130577137</v>
          </cell>
          <cell r="G1327" t="str">
            <v>ARROW ELECTRONICS, INC.</v>
          </cell>
          <cell r="H1327" t="str">
            <v>Delivered</v>
          </cell>
          <cell r="I1327" t="str">
            <v xml:space="preserve">CAP </v>
          </cell>
          <cell r="J1327" t="str">
            <v>Fedex</v>
          </cell>
          <cell r="K1327" t="str">
            <v>VVMV</v>
          </cell>
          <cell r="L1327" t="str">
            <v>US</v>
          </cell>
          <cell r="M1327">
            <v>46140</v>
          </cell>
          <cell r="N1327">
            <v>46149</v>
          </cell>
          <cell r="O1327">
            <v>46156</v>
          </cell>
          <cell r="P1327">
            <v>108210435060</v>
          </cell>
          <cell r="Q1327">
            <v>46147.652928240743</v>
          </cell>
          <cell r="R1327" t="str">
            <v>No inspection</v>
          </cell>
          <cell r="S1327">
            <v>1680.5</v>
          </cell>
          <cell r="T1327" t="str">
            <v>CIF</v>
          </cell>
          <cell r="U1327" t="str">
            <v>LUC</v>
          </cell>
        </row>
        <row r="1328">
          <cell r="D1328">
            <v>2.7</v>
          </cell>
          <cell r="F1328">
            <v>480304817102</v>
          </cell>
          <cell r="G1328" t="str">
            <v>KIOXIA AMERICA C/O TLGA</v>
          </cell>
          <cell r="H1328" t="str">
            <v>Delivered</v>
          </cell>
          <cell r="I1328" t="str">
            <v>IC M</v>
          </cell>
          <cell r="J1328" t="str">
            <v>Fedex</v>
          </cell>
          <cell r="K1328" t="str">
            <v>VVMV</v>
          </cell>
          <cell r="L1328" t="str">
            <v>US</v>
          </cell>
          <cell r="M1328">
            <v>46141</v>
          </cell>
          <cell r="N1328">
            <v>46149</v>
          </cell>
          <cell r="O1328">
            <v>46161</v>
          </cell>
          <cell r="P1328">
            <v>108208656840</v>
          </cell>
          <cell r="Q1328">
            <v>46147.46435185185</v>
          </cell>
          <cell r="R1328" t="str">
            <v>No inspection</v>
          </cell>
          <cell r="S1328">
            <v>90100</v>
          </cell>
          <cell r="T1328" t="str">
            <v>CIF</v>
          </cell>
          <cell r="U1328" t="str">
            <v>LUC</v>
          </cell>
        </row>
        <row r="1329">
          <cell r="D1329">
            <v>12.8</v>
          </cell>
          <cell r="F1329">
            <v>5828565676</v>
          </cell>
          <cell r="G1329" t="str">
            <v>TTI INC</v>
          </cell>
          <cell r="H1329" t="str">
            <v>Delivered</v>
          </cell>
          <cell r="I1329" t="str">
            <v>CAP , INDU, RES , CONN</v>
          </cell>
          <cell r="J1329" t="str">
            <v>DHL</v>
          </cell>
          <cell r="K1329" t="str">
            <v>VVMV</v>
          </cell>
          <cell r="L1329" t="str">
            <v>US</v>
          </cell>
          <cell r="M1329">
            <v>46141</v>
          </cell>
          <cell r="N1329">
            <v>46149</v>
          </cell>
          <cell r="O1329">
            <v>46148</v>
          </cell>
          <cell r="P1329">
            <v>108210768040</v>
          </cell>
          <cell r="Q1329">
            <v>46147.46435185185</v>
          </cell>
          <cell r="R1329" t="str">
            <v>No inspection</v>
          </cell>
          <cell r="S1329">
            <v>4.3789999999999996</v>
          </cell>
          <cell r="T1329" t="str">
            <v>CIF</v>
          </cell>
          <cell r="U1329" t="str">
            <v>LUC</v>
          </cell>
        </row>
        <row r="1330">
          <cell r="D1330">
            <v>254.9</v>
          </cell>
          <cell r="F1330">
            <v>4568693286</v>
          </cell>
          <cell r="G1330" t="str">
            <v>AVNET - CHANDLER</v>
          </cell>
          <cell r="H1330" t="str">
            <v>Delivered</v>
          </cell>
          <cell r="I1330" t="str">
            <v>IC L, DIOD, CONN, RES , 	RES, IC H, IC M, IC D, CAP , TRAN, IC C, NTC , IND , IC P, FILT, CRYS</v>
          </cell>
          <cell r="J1330" t="str">
            <v>DHL</v>
          </cell>
          <cell r="K1330" t="str">
            <v>VVMV</v>
          </cell>
          <cell r="L1330" t="str">
            <v>US</v>
          </cell>
          <cell r="M1330">
            <v>46141</v>
          </cell>
          <cell r="N1330">
            <v>46149</v>
          </cell>
          <cell r="O1330">
            <v>46149</v>
          </cell>
          <cell r="P1330" t="str">
            <v>108212943310
108212990540</v>
          </cell>
          <cell r="Q1330">
            <v>46148</v>
          </cell>
          <cell r="R1330" t="str">
            <v>No inspection</v>
          </cell>
          <cell r="S1330">
            <v>574965.22</v>
          </cell>
          <cell r="T1330" t="str">
            <v>CIF</v>
          </cell>
          <cell r="U1330" t="str">
            <v>LUC</v>
          </cell>
        </row>
        <row r="1331">
          <cell r="D1331">
            <v>3.9</v>
          </cell>
          <cell r="F1331">
            <v>522962232193</v>
          </cell>
          <cell r="G1331" t="str">
            <v>SAMSUNG ELECTRONICS CO LTD</v>
          </cell>
          <cell r="H1331" t="str">
            <v>Delivered</v>
          </cell>
          <cell r="I1331" t="str">
            <v>IC F</v>
          </cell>
          <cell r="J1331" t="str">
            <v>Fedex</v>
          </cell>
          <cell r="K1331" t="str">
            <v>VVMV</v>
          </cell>
          <cell r="L1331" t="str">
            <v>KR</v>
          </cell>
          <cell r="M1331">
            <v>46142</v>
          </cell>
          <cell r="N1331">
            <v>46175</v>
          </cell>
          <cell r="O1331">
            <v>46175</v>
          </cell>
          <cell r="P1331">
            <v>108287492020</v>
          </cell>
          <cell r="Q1331">
            <v>46170</v>
          </cell>
          <cell r="R1331" t="str">
            <v>No inspection</v>
          </cell>
          <cell r="S1331">
            <v>35145</v>
          </cell>
          <cell r="T1331" t="str">
            <v>CIF</v>
          </cell>
          <cell r="U1331" t="str">
            <v>LUC</v>
          </cell>
        </row>
        <row r="1332">
          <cell r="D1332">
            <v>151.5</v>
          </cell>
          <cell r="F1332">
            <v>871249101662</v>
          </cell>
          <cell r="G1332" t="str">
            <v>ACTON TECHNOLOGY PTE LTD</v>
          </cell>
          <cell r="H1332" t="str">
            <v>Delivered</v>
          </cell>
          <cell r="I1332" t="str">
            <v>ENCL, DASH</v>
          </cell>
          <cell r="J1332" t="str">
            <v>Fedex</v>
          </cell>
          <cell r="K1332" t="str">
            <v>VVMV</v>
          </cell>
          <cell r="L1332" t="str">
            <v>SG</v>
          </cell>
          <cell r="M1332">
            <v>46142</v>
          </cell>
          <cell r="N1332">
            <v>46148</v>
          </cell>
          <cell r="O1332">
            <v>46157</v>
          </cell>
          <cell r="P1332">
            <v>108206488020</v>
          </cell>
          <cell r="Q1332">
            <v>46146</v>
          </cell>
          <cell r="R1332" t="str">
            <v>No inspection</v>
          </cell>
          <cell r="S1332">
            <v>51610</v>
          </cell>
          <cell r="T1332" t="str">
            <v>EXW</v>
          </cell>
          <cell r="U1332" t="str">
            <v>LUC</v>
          </cell>
        </row>
        <row r="1333">
          <cell r="D1333">
            <v>1.2</v>
          </cell>
          <cell r="F1333">
            <v>871250905685</v>
          </cell>
          <cell r="G1333" t="str">
            <v>WHITE HORSE LABORATORIES LTD</v>
          </cell>
          <cell r="H1333" t="str">
            <v>Delivered</v>
          </cell>
          <cell r="I1333" t="str">
            <v>TRAN</v>
          </cell>
          <cell r="J1333" t="str">
            <v>Fedex</v>
          </cell>
          <cell r="K1333" t="str">
            <v>VVMV</v>
          </cell>
          <cell r="L1333" t="str">
            <v>HK</v>
          </cell>
          <cell r="M1333">
            <v>46142</v>
          </cell>
          <cell r="N1333">
            <v>46148</v>
          </cell>
          <cell r="O1333">
            <v>46155</v>
          </cell>
          <cell r="P1333">
            <v>108206410210</v>
          </cell>
          <cell r="Q1333">
            <v>46146</v>
          </cell>
          <cell r="R1333" t="str">
            <v>No inspection</v>
          </cell>
          <cell r="S1333">
            <v>272.61</v>
          </cell>
          <cell r="T1333" t="str">
            <v>EXW</v>
          </cell>
          <cell r="U1333" t="str">
            <v>LUC</v>
          </cell>
        </row>
        <row r="1334">
          <cell r="D1334">
            <v>68</v>
          </cell>
          <cell r="F1334" t="str">
            <v>PLISGFE00304</v>
          </cell>
          <cell r="G1334" t="str">
            <v>FUTURE ELECTRONICS (ADC)</v>
          </cell>
          <cell r="H1334" t="str">
            <v>Delivered</v>
          </cell>
          <cell r="I1334" t="str">
            <v>cap..</v>
          </cell>
          <cell r="J1334" t="str">
            <v>LX</v>
          </cell>
          <cell r="K1334" t="str">
            <v>VVMV</v>
          </cell>
          <cell r="L1334" t="str">
            <v>SG</v>
          </cell>
          <cell r="M1334">
            <v>46145</v>
          </cell>
          <cell r="N1334">
            <v>46148</v>
          </cell>
          <cell r="O1334">
            <v>46147</v>
          </cell>
          <cell r="P1334">
            <v>108207503130</v>
          </cell>
          <cell r="Q1334">
            <v>46147.371770833335</v>
          </cell>
          <cell r="R1334" t="str">
            <v>No inspection</v>
          </cell>
          <cell r="S1334">
            <v>30617.599999999999</v>
          </cell>
          <cell r="T1334" t="str">
            <v>DAP</v>
          </cell>
        </row>
        <row r="1335">
          <cell r="D1335">
            <v>1.3</v>
          </cell>
          <cell r="F1335">
            <v>380929090270</v>
          </cell>
          <cell r="G1335" t="str">
            <v>O/B ANALOG DEVICES INTERNATIONAL UC
DHL SUPPLY CHAIN MANAGEMENT PHILS</v>
          </cell>
          <cell r="H1335" t="str">
            <v>Delivered</v>
          </cell>
          <cell r="I1335" t="str">
            <v>IC F</v>
          </cell>
          <cell r="J1335" t="str">
            <v>Fedex</v>
          </cell>
          <cell r="K1335" t="str">
            <v>VVMV</v>
          </cell>
          <cell r="L1335" t="str">
            <v>PH</v>
          </cell>
          <cell r="M1335">
            <v>46142</v>
          </cell>
          <cell r="N1335">
            <v>46148</v>
          </cell>
          <cell r="O1335">
            <v>46160</v>
          </cell>
          <cell r="P1335">
            <v>108206413340</v>
          </cell>
          <cell r="Q1335">
            <v>46146</v>
          </cell>
          <cell r="R1335" t="str">
            <v>No inspection</v>
          </cell>
          <cell r="S1335">
            <v>6442.8</v>
          </cell>
          <cell r="T1335" t="str">
            <v>EXW</v>
          </cell>
          <cell r="U1335" t="str">
            <v>EF-</v>
          </cell>
        </row>
        <row r="1336">
          <cell r="D1336">
            <v>3.9</v>
          </cell>
          <cell r="F1336">
            <v>522040240089</v>
          </cell>
          <cell r="G1336" t="str">
            <v>Micron Memory Malaysia Sdn. Bh</v>
          </cell>
          <cell r="H1336" t="str">
            <v>Delivered</v>
          </cell>
          <cell r="I1336" t="str">
            <v>ic</v>
          </cell>
          <cell r="J1336" t="str">
            <v>Fedex</v>
          </cell>
          <cell r="K1336" t="str">
            <v>VVMV</v>
          </cell>
          <cell r="L1336" t="str">
            <v>MY</v>
          </cell>
          <cell r="M1336">
            <v>46141</v>
          </cell>
          <cell r="N1336">
            <v>46148</v>
          </cell>
          <cell r="O1336">
            <v>46156</v>
          </cell>
          <cell r="P1336">
            <v>108206000340</v>
          </cell>
          <cell r="Q1336">
            <v>46146</v>
          </cell>
          <cell r="R1336" t="str">
            <v>No inspection</v>
          </cell>
          <cell r="S1336">
            <v>368200</v>
          </cell>
          <cell r="T1336" t="str">
            <v>EXW</v>
          </cell>
          <cell r="U1336" t="str">
            <v>PUR</v>
          </cell>
        </row>
        <row r="1337">
          <cell r="D1337">
            <v>10.3</v>
          </cell>
          <cell r="F1337">
            <v>615498854917</v>
          </cell>
          <cell r="G1337" t="str">
            <v>FUTURE ELECTRONICS LTD.</v>
          </cell>
          <cell r="H1337" t="str">
            <v>Delivered</v>
          </cell>
          <cell r="I1337" t="str">
            <v xml:space="preserve">CAP , IND </v>
          </cell>
          <cell r="J1337" t="str">
            <v>Fedex</v>
          </cell>
          <cell r="K1337" t="str">
            <v>VVMV</v>
          </cell>
          <cell r="L1337" t="str">
            <v>DE</v>
          </cell>
          <cell r="M1337">
            <v>46140</v>
          </cell>
          <cell r="N1337">
            <v>46149</v>
          </cell>
          <cell r="O1337">
            <v>46155</v>
          </cell>
          <cell r="P1337">
            <v>108210492020</v>
          </cell>
          <cell r="Q1337">
            <v>46147.657048611109</v>
          </cell>
          <cell r="R1337" t="str">
            <v>No inspection</v>
          </cell>
          <cell r="S1337">
            <v>961.44</v>
          </cell>
          <cell r="T1337" t="str">
            <v>CIF</v>
          </cell>
          <cell r="U1337" t="str">
            <v>EF-</v>
          </cell>
        </row>
        <row r="1338">
          <cell r="D1338">
            <v>0.6</v>
          </cell>
          <cell r="F1338">
            <v>484361665626</v>
          </cell>
          <cell r="G1338" t="str">
            <v>COILCRAFT SINGAPORE PTE LTD</v>
          </cell>
          <cell r="H1338" t="str">
            <v>Delivered</v>
          </cell>
          <cell r="I1338" t="str">
            <v>INDU</v>
          </cell>
          <cell r="J1338" t="str">
            <v>Fedex</v>
          </cell>
          <cell r="K1338" t="str">
            <v>VVMV</v>
          </cell>
          <cell r="L1338" t="str">
            <v>SG</v>
          </cell>
          <cell r="M1338">
            <v>46142</v>
          </cell>
          <cell r="N1338">
            <v>46149</v>
          </cell>
          <cell r="O1338">
            <v>46160</v>
          </cell>
          <cell r="P1338">
            <v>108209484830</v>
          </cell>
          <cell r="Q1338">
            <v>46147.575486111113</v>
          </cell>
          <cell r="R1338" t="str">
            <v>No inspection</v>
          </cell>
          <cell r="S1338">
            <v>315</v>
          </cell>
          <cell r="T1338" t="str">
            <v>EXW</v>
          </cell>
          <cell r="U1338" t="str">
            <v>EF-</v>
          </cell>
        </row>
        <row r="1339">
          <cell r="D1339">
            <v>21</v>
          </cell>
          <cell r="F1339">
            <v>493641441131</v>
          </cell>
          <cell r="G1339" t="str">
            <v>LITTELFUSE FAR EAST PTE</v>
          </cell>
          <cell r="H1339" t="str">
            <v>Delivered</v>
          </cell>
          <cell r="I1339" t="str">
            <v>DIOD</v>
          </cell>
          <cell r="J1339" t="str">
            <v>Fedex</v>
          </cell>
          <cell r="K1339" t="str">
            <v>VVMV</v>
          </cell>
          <cell r="L1339" t="str">
            <v>HK</v>
          </cell>
          <cell r="M1339">
            <v>46141</v>
          </cell>
          <cell r="N1339">
            <v>46148</v>
          </cell>
          <cell r="O1339">
            <v>46155</v>
          </cell>
          <cell r="P1339">
            <v>108206673520</v>
          </cell>
          <cell r="Q1339">
            <v>46146</v>
          </cell>
          <cell r="R1339" t="str">
            <v>No inspection</v>
          </cell>
          <cell r="S1339">
            <v>12765.6</v>
          </cell>
          <cell r="T1339" t="str">
            <v>EXW</v>
          </cell>
          <cell r="U1339" t="str">
            <v>LUC</v>
          </cell>
        </row>
        <row r="1340">
          <cell r="D1340">
            <v>2.7</v>
          </cell>
          <cell r="F1340">
            <v>524130536814</v>
          </cell>
          <cell r="G1340" t="str">
            <v>ARROW ELECTRONICS, INC.</v>
          </cell>
          <cell r="H1340" t="str">
            <v>Delivered</v>
          </cell>
          <cell r="I1340" t="str">
            <v>INDU</v>
          </cell>
          <cell r="J1340" t="str">
            <v>Fedex</v>
          </cell>
          <cell r="K1340" t="str">
            <v>VVMV</v>
          </cell>
          <cell r="L1340" t="str">
            <v>US</v>
          </cell>
          <cell r="M1340">
            <v>46139</v>
          </cell>
          <cell r="N1340">
            <v>46148</v>
          </cell>
          <cell r="O1340">
            <v>46156</v>
          </cell>
          <cell r="P1340">
            <v>108206202900</v>
          </cell>
          <cell r="Q1340">
            <v>46146</v>
          </cell>
          <cell r="R1340" t="str">
            <v>No inspection</v>
          </cell>
          <cell r="S1340">
            <v>734</v>
          </cell>
          <cell r="T1340" t="str">
            <v>CIF</v>
          </cell>
          <cell r="U1340" t="str">
            <v>EF-</v>
          </cell>
        </row>
        <row r="1341">
          <cell r="D1341">
            <v>15.9</v>
          </cell>
          <cell r="F1341">
            <v>514097487657</v>
          </cell>
          <cell r="G1341" t="str">
            <v>RICHARDSON RFPD HONG KONG LIMITED</v>
          </cell>
          <cell r="H1341" t="str">
            <v>Delivered</v>
          </cell>
          <cell r="I1341" t="str">
            <v xml:space="preserve">CAP </v>
          </cell>
          <cell r="J1341" t="str">
            <v>Fedex</v>
          </cell>
          <cell r="K1341" t="str">
            <v>VVMV</v>
          </cell>
          <cell r="L1341" t="str">
            <v>HK</v>
          </cell>
          <cell r="M1341">
            <v>46140</v>
          </cell>
          <cell r="N1341">
            <v>46148</v>
          </cell>
          <cell r="O1341">
            <v>46155</v>
          </cell>
          <cell r="P1341">
            <v>108206054240</v>
          </cell>
          <cell r="Q1341">
            <v>46146</v>
          </cell>
          <cell r="R1341" t="str">
            <v>No inspection</v>
          </cell>
          <cell r="S1341">
            <v>2520</v>
          </cell>
          <cell r="T1341" t="str">
            <v>EXW</v>
          </cell>
          <cell r="U1341" t="str">
            <v>PUR</v>
          </cell>
        </row>
        <row r="1342">
          <cell r="D1342">
            <v>207</v>
          </cell>
          <cell r="F1342" t="str">
            <v>LPGPENHPH2604019-01</v>
          </cell>
          <cell r="G1342" t="str">
            <v>BOSSARD (M) SDN BHD</v>
          </cell>
          <cell r="H1342" t="str">
            <v>Delivered</v>
          </cell>
          <cell r="I1342" t="str">
            <v>REV , SCRE</v>
          </cell>
          <cell r="J1342" t="str">
            <v>VVMV(sea)</v>
          </cell>
          <cell r="K1342" t="str">
            <v>VVMV</v>
          </cell>
          <cell r="L1342" t="str">
            <v>MY</v>
          </cell>
          <cell r="M1342">
            <v>46134</v>
          </cell>
          <cell r="N1342">
            <v>46150</v>
          </cell>
          <cell r="O1342">
            <v>46150</v>
          </cell>
          <cell r="P1342">
            <v>108210698520</v>
          </cell>
          <cell r="Q1342">
            <v>46147</v>
          </cell>
          <cell r="R1342" t="str">
            <v>No inspection</v>
          </cell>
          <cell r="S1342">
            <v>26.1</v>
          </cell>
          <cell r="T1342" t="str">
            <v>EXW</v>
          </cell>
          <cell r="U1342" t="str">
            <v>LUC</v>
          </cell>
        </row>
        <row r="1343">
          <cell r="D1343">
            <v>27.7</v>
          </cell>
          <cell r="F1343">
            <v>871353982550</v>
          </cell>
          <cell r="G1343" t="str">
            <v>STEADFAST INDUSTRIAL PTE LTD</v>
          </cell>
          <cell r="H1343" t="str">
            <v>Delivered</v>
          </cell>
          <cell r="I1343" t="str">
            <v>STAN</v>
          </cell>
          <cell r="J1343" t="str">
            <v>Fedex</v>
          </cell>
          <cell r="K1343" t="str">
            <v>VVMV</v>
          </cell>
          <cell r="L1343" t="str">
            <v>SG</v>
          </cell>
          <cell r="M1343">
            <v>46146</v>
          </cell>
          <cell r="N1343">
            <v>46157</v>
          </cell>
          <cell r="O1343">
            <v>46163</v>
          </cell>
          <cell r="P1343">
            <v>108233315150</v>
          </cell>
          <cell r="Q1343">
            <v>46154</v>
          </cell>
          <cell r="R1343" t="str">
            <v>No inspection</v>
          </cell>
          <cell r="S1343">
            <v>1056</v>
          </cell>
          <cell r="T1343" t="str">
            <v>EXW</v>
          </cell>
          <cell r="U1343" t="str">
            <v>PUR</v>
          </cell>
        </row>
        <row r="1344">
          <cell r="D1344">
            <v>625</v>
          </cell>
          <cell r="F1344">
            <v>871351679243</v>
          </cell>
          <cell r="G1344" t="str">
            <v>FUSION TRADE PTE LTD</v>
          </cell>
          <cell r="H1344" t="str">
            <v>Delivered</v>
          </cell>
          <cell r="I1344" t="str">
            <v xml:space="preserve">MEM </v>
          </cell>
          <cell r="J1344" t="str">
            <v>Fedex</v>
          </cell>
          <cell r="K1344" t="str">
            <v>VVMV</v>
          </cell>
          <cell r="L1344" t="str">
            <v>SG</v>
          </cell>
          <cell r="M1344">
            <v>46146</v>
          </cell>
          <cell r="N1344">
            <v>46157</v>
          </cell>
          <cell r="O1344">
            <v>46160</v>
          </cell>
          <cell r="P1344">
            <v>108233528060</v>
          </cell>
          <cell r="Q1344">
            <v>46154</v>
          </cell>
          <cell r="R1344" t="str">
            <v>No inspection</v>
          </cell>
          <cell r="S1344">
            <v>1675627.91</v>
          </cell>
          <cell r="T1344" t="str">
            <v>CIF</v>
          </cell>
          <cell r="U1344" t="str">
            <v>PUR</v>
          </cell>
        </row>
        <row r="1345">
          <cell r="D1345">
            <v>0.3</v>
          </cell>
          <cell r="F1345">
            <v>518027622080</v>
          </cell>
          <cell r="G1345" t="str">
            <v>MICROCHIP TECNOLOGY(TH) CO LTD</v>
          </cell>
          <cell r="H1345" t="str">
            <v>Delivered</v>
          </cell>
          <cell r="I1345" t="str">
            <v>CRYS</v>
          </cell>
          <cell r="J1345" t="str">
            <v>Fedex</v>
          </cell>
          <cell r="K1345" t="str">
            <v>VVMV</v>
          </cell>
          <cell r="L1345" t="str">
            <v>TH</v>
          </cell>
          <cell r="M1345">
            <v>46146</v>
          </cell>
          <cell r="N1345">
            <v>46149</v>
          </cell>
          <cell r="O1345">
            <v>46161</v>
          </cell>
          <cell r="P1345">
            <v>108209555530</v>
          </cell>
          <cell r="Q1345">
            <v>46147.582488425927</v>
          </cell>
          <cell r="R1345" t="str">
            <v>No inspection</v>
          </cell>
          <cell r="S1345">
            <v>638</v>
          </cell>
          <cell r="T1345" t="str">
            <v>EXW</v>
          </cell>
          <cell r="U1345" t="str">
            <v>LUC</v>
          </cell>
        </row>
        <row r="1346">
          <cell r="D1346">
            <v>0.8</v>
          </cell>
          <cell r="F1346">
            <v>380927201970</v>
          </cell>
          <cell r="G1346" t="str">
            <v>c/o DHL Supply Chain SGP P/L
Texas Instruments Southeast Asia Pt</v>
          </cell>
          <cell r="H1346" t="str">
            <v>Delivered</v>
          </cell>
          <cell r="I1346" t="str">
            <v>IC M</v>
          </cell>
          <cell r="J1346" t="str">
            <v>Fedex</v>
          </cell>
          <cell r="K1346" t="str">
            <v>VVMV</v>
          </cell>
          <cell r="L1346" t="str">
            <v>SG</v>
          </cell>
          <cell r="M1346">
            <v>46142</v>
          </cell>
          <cell r="N1346">
            <v>46149</v>
          </cell>
          <cell r="O1346">
            <v>46156</v>
          </cell>
          <cell r="P1346">
            <v>108210338130</v>
          </cell>
          <cell r="Q1346">
            <v>46147.645173611112</v>
          </cell>
          <cell r="R1346" t="str">
            <v>No inspection</v>
          </cell>
          <cell r="S1346">
            <v>176</v>
          </cell>
          <cell r="T1346" t="str">
            <v>EXW</v>
          </cell>
          <cell r="U1346" t="str">
            <v>LUC</v>
          </cell>
        </row>
        <row r="1347">
          <cell r="D1347">
            <v>2.2999999999999998</v>
          </cell>
          <cell r="F1347">
            <v>380926570099</v>
          </cell>
          <cell r="G1347" t="str">
            <v>c/o DHL Supply Chain SGP P/L
Texas Instruments Southeast Asia Pt</v>
          </cell>
          <cell r="H1347" t="str">
            <v>Delivered</v>
          </cell>
          <cell r="I1347" t="str">
            <v>IC P, IC M</v>
          </cell>
          <cell r="J1347" t="str">
            <v>Fedex</v>
          </cell>
          <cell r="K1347" t="str">
            <v>VVMV</v>
          </cell>
          <cell r="L1347" t="str">
            <v>SG</v>
          </cell>
          <cell r="M1347">
            <v>46142</v>
          </cell>
          <cell r="N1347">
            <v>46149</v>
          </cell>
          <cell r="O1347">
            <v>46155</v>
          </cell>
          <cell r="P1347">
            <v>108210205720</v>
          </cell>
          <cell r="Q1347">
            <v>46147.639189814814</v>
          </cell>
          <cell r="R1347" t="str">
            <v>No inspection</v>
          </cell>
          <cell r="S1347">
            <v>7770</v>
          </cell>
          <cell r="T1347" t="str">
            <v>EXW</v>
          </cell>
          <cell r="U1347" t="str">
            <v>LUC</v>
          </cell>
        </row>
        <row r="1348">
          <cell r="D1348">
            <v>0.5</v>
          </cell>
          <cell r="F1348">
            <v>522224445188</v>
          </cell>
          <cell r="G1348" t="str">
            <v>MOUSER ELECTRONICS INC</v>
          </cell>
          <cell r="H1348" t="str">
            <v>Delivered</v>
          </cell>
          <cell r="I1348" t="str">
            <v>res</v>
          </cell>
          <cell r="J1348" t="str">
            <v>Fedex</v>
          </cell>
          <cell r="K1348" t="str">
            <v>x</v>
          </cell>
          <cell r="L1348" t="str">
            <v>US</v>
          </cell>
          <cell r="M1348" t="str">
            <v>x</v>
          </cell>
          <cell r="N1348" t="str">
            <v>x</v>
          </cell>
          <cell r="O1348">
            <v>46146</v>
          </cell>
          <cell r="P1348" t="str">
            <v>hàng phát thẳng</v>
          </cell>
          <cell r="Q1348" t="str">
            <v>x</v>
          </cell>
          <cell r="R1348" t="str">
            <v>x</v>
          </cell>
          <cell r="S1348" t="str">
            <v>x</v>
          </cell>
          <cell r="T1348" t="str">
            <v>CIF</v>
          </cell>
          <cell r="U1348" t="str">
            <v>PUR</v>
          </cell>
        </row>
        <row r="1349">
          <cell r="D1349">
            <v>2.1</v>
          </cell>
          <cell r="F1349">
            <v>522040299492</v>
          </cell>
          <cell r="G1349" t="str">
            <v>Micron Memory Malaysia Sdn. Bh</v>
          </cell>
          <cell r="H1349" t="str">
            <v>Delivered</v>
          </cell>
          <cell r="I1349" t="str">
            <v xml:space="preserve">MEM </v>
          </cell>
          <cell r="J1349" t="str">
            <v>Fedex</v>
          </cell>
          <cell r="K1349" t="str">
            <v>VVMV</v>
          </cell>
          <cell r="L1349" t="str">
            <v>MY</v>
          </cell>
          <cell r="M1349">
            <v>46146</v>
          </cell>
          <cell r="N1349">
            <v>46157</v>
          </cell>
          <cell r="O1349">
            <v>46163</v>
          </cell>
          <cell r="P1349">
            <v>108233428110</v>
          </cell>
          <cell r="Q1349">
            <v>46154</v>
          </cell>
          <cell r="R1349" t="str">
            <v>No inspection</v>
          </cell>
          <cell r="S1349">
            <v>92050</v>
          </cell>
          <cell r="T1349" t="str">
            <v>EXW</v>
          </cell>
          <cell r="U1349" t="str">
            <v>PUR</v>
          </cell>
        </row>
        <row r="1350">
          <cell r="D1350">
            <v>1.3</v>
          </cell>
          <cell r="F1350">
            <v>524725886104</v>
          </cell>
          <cell r="G1350" t="str">
            <v>DIGI-KEY ELECTRONICS</v>
          </cell>
          <cell r="H1350" t="str">
            <v>Delivered</v>
          </cell>
          <cell r="I1350" t="str">
            <v>CAP , IC V, IC M</v>
          </cell>
          <cell r="J1350" t="str">
            <v>Fedex</v>
          </cell>
          <cell r="K1350" t="str">
            <v>VVMV</v>
          </cell>
          <cell r="L1350" t="str">
            <v>US</v>
          </cell>
          <cell r="M1350">
            <v>46146</v>
          </cell>
          <cell r="N1350">
            <v>46157</v>
          </cell>
          <cell r="O1350">
            <v>46160</v>
          </cell>
          <cell r="P1350">
            <v>108233666110</v>
          </cell>
          <cell r="Q1350">
            <v>46154</v>
          </cell>
          <cell r="R1350" t="str">
            <v>No inspection</v>
          </cell>
          <cell r="S1350">
            <v>1557.01</v>
          </cell>
          <cell r="T1350" t="str">
            <v>CIF</v>
          </cell>
          <cell r="U1350">
            <v>122</v>
          </cell>
        </row>
        <row r="1351">
          <cell r="D1351">
            <v>1.4</v>
          </cell>
          <cell r="F1351">
            <v>119209722063</v>
          </cell>
          <cell r="G1351" t="str">
            <v>FUTURE ELECTRONICS FICE</v>
          </cell>
          <cell r="H1351" t="str">
            <v>Delivered</v>
          </cell>
          <cell r="I1351" t="str">
            <v>CAP , DIOD</v>
          </cell>
          <cell r="J1351" t="str">
            <v>Fedex</v>
          </cell>
          <cell r="K1351" t="str">
            <v>VVMV</v>
          </cell>
          <cell r="L1351" t="str">
            <v>US</v>
          </cell>
          <cell r="M1351">
            <v>46143</v>
          </cell>
          <cell r="N1351">
            <v>46149</v>
          </cell>
          <cell r="O1351">
            <v>46155</v>
          </cell>
          <cell r="P1351">
            <v>108209794930</v>
          </cell>
          <cell r="Q1351">
            <v>46147.602013888885</v>
          </cell>
          <cell r="R1351" t="str">
            <v>No inspection</v>
          </cell>
          <cell r="S1351">
            <v>406.5</v>
          </cell>
          <cell r="T1351" t="str">
            <v>CIF</v>
          </cell>
          <cell r="U1351" t="str">
            <v>FMC</v>
          </cell>
        </row>
        <row r="1352">
          <cell r="D1352">
            <v>11.4</v>
          </cell>
          <cell r="F1352">
            <v>679865603370</v>
          </cell>
          <cell r="G1352" t="str">
            <v>AVNET TECH HK LTD (1602 - HX64)</v>
          </cell>
          <cell r="H1352" t="str">
            <v>Delivered</v>
          </cell>
          <cell r="I1352" t="str">
            <v>IC A</v>
          </cell>
          <cell r="J1352" t="str">
            <v>Fedex</v>
          </cell>
          <cell r="K1352" t="str">
            <v>VVMV</v>
          </cell>
          <cell r="L1352" t="str">
            <v>HK</v>
          </cell>
          <cell r="M1352">
            <v>46146</v>
          </cell>
          <cell r="N1352">
            <v>46149</v>
          </cell>
          <cell r="O1352">
            <v>46161</v>
          </cell>
          <cell r="P1352">
            <v>108210006110</v>
          </cell>
          <cell r="Q1352">
            <v>46147.602013888885</v>
          </cell>
          <cell r="R1352" t="str">
            <v>No inspection</v>
          </cell>
          <cell r="S1352">
            <v>42.768000000000001</v>
          </cell>
          <cell r="T1352" t="str">
            <v>EXW</v>
          </cell>
          <cell r="U1352" t="str">
            <v>LUC</v>
          </cell>
        </row>
        <row r="1353">
          <cell r="D1353">
            <v>14.6</v>
          </cell>
          <cell r="F1353">
            <v>380867018834</v>
          </cell>
          <cell r="G1353" t="str">
            <v>C/O KINTETSU WORLD EXPRESS
TEXAS INSTRUMENTS ASIA LIMITED</v>
          </cell>
          <cell r="H1353" t="str">
            <v>Delivered</v>
          </cell>
          <cell r="I1353" t="str">
            <v>IC A, IC D, IC I</v>
          </cell>
          <cell r="J1353" t="str">
            <v>Fedex</v>
          </cell>
          <cell r="K1353" t="str">
            <v>VVMV</v>
          </cell>
          <cell r="L1353" t="str">
            <v>CN</v>
          </cell>
          <cell r="M1353">
            <v>46140</v>
          </cell>
          <cell r="N1353">
            <v>46149</v>
          </cell>
          <cell r="O1353">
            <v>46161</v>
          </cell>
          <cell r="P1353">
            <v>108210339860</v>
          </cell>
          <cell r="Q1353">
            <v>46147.64502314815</v>
          </cell>
          <cell r="R1353" t="str">
            <v>No inspection</v>
          </cell>
          <cell r="S1353">
            <v>25052.5</v>
          </cell>
          <cell r="T1353" t="str">
            <v>EXW</v>
          </cell>
          <cell r="U1353" t="str">
            <v>LUC</v>
          </cell>
        </row>
        <row r="1354">
          <cell r="D1354">
            <v>0.9</v>
          </cell>
          <cell r="F1354">
            <v>380966340315</v>
          </cell>
          <cell r="G1354" t="str">
            <v>C/O KINTETSU WORLD EXPRESS
TEXAS INSTRUMENTS ASIA LIMITED</v>
          </cell>
          <cell r="H1354" t="str">
            <v>Delivered</v>
          </cell>
          <cell r="I1354" t="str">
            <v>IC S, IC V</v>
          </cell>
          <cell r="J1354" t="str">
            <v>Fedex</v>
          </cell>
          <cell r="K1354" t="str">
            <v>VVMV</v>
          </cell>
          <cell r="L1354" t="str">
            <v>CN</v>
          </cell>
          <cell r="M1354">
            <v>46143</v>
          </cell>
          <cell r="N1354">
            <v>46149</v>
          </cell>
          <cell r="O1354">
            <v>46161</v>
          </cell>
          <cell r="P1354">
            <v>108210526800</v>
          </cell>
          <cell r="Q1354">
            <v>46147.661631944444</v>
          </cell>
          <cell r="R1354" t="str">
            <v>No inspection</v>
          </cell>
          <cell r="S1354">
            <v>1326</v>
          </cell>
          <cell r="T1354" t="str">
            <v>EXW</v>
          </cell>
          <cell r="U1354" t="str">
            <v>PUR</v>
          </cell>
        </row>
        <row r="1355">
          <cell r="D1355">
            <v>6.7</v>
          </cell>
          <cell r="F1355">
            <v>493602836320</v>
          </cell>
          <cell r="G1355" t="str">
            <v>VENKEL LTD</v>
          </cell>
          <cell r="H1355" t="str">
            <v>Delivered</v>
          </cell>
          <cell r="I1355" t="str">
            <v xml:space="preserve">CAP , LED </v>
          </cell>
          <cell r="J1355" t="str">
            <v>Fedex</v>
          </cell>
          <cell r="K1355" t="str">
            <v>VVMV</v>
          </cell>
          <cell r="L1355" t="str">
            <v>US</v>
          </cell>
          <cell r="M1355">
            <v>46146</v>
          </cell>
          <cell r="N1355">
            <v>46157</v>
          </cell>
          <cell r="O1355">
            <v>46175</v>
          </cell>
          <cell r="P1355">
            <v>108233682320</v>
          </cell>
          <cell r="Q1355">
            <v>46154</v>
          </cell>
          <cell r="R1355" t="str">
            <v>No inspection</v>
          </cell>
          <cell r="S1355">
            <v>2245.5300000000002</v>
          </cell>
          <cell r="T1355" t="str">
            <v>CIF</v>
          </cell>
          <cell r="U1355" t="str">
            <v>EF-</v>
          </cell>
        </row>
        <row r="1356">
          <cell r="D1356">
            <v>0.4</v>
          </cell>
          <cell r="F1356">
            <v>871358463221</v>
          </cell>
          <cell r="G1356" t="str">
            <v>Allied Devices (s) Pte Ltd</v>
          </cell>
          <cell r="H1356" t="str">
            <v>Delivered</v>
          </cell>
          <cell r="I1356" t="str">
            <v>CRYS</v>
          </cell>
          <cell r="J1356" t="str">
            <v>Fedex</v>
          </cell>
          <cell r="K1356" t="str">
            <v>VVMV</v>
          </cell>
          <cell r="L1356" t="str">
            <v>SG</v>
          </cell>
          <cell r="M1356">
            <v>46147</v>
          </cell>
          <cell r="N1356">
            <v>46157</v>
          </cell>
          <cell r="O1356">
            <v>46163</v>
          </cell>
          <cell r="P1356">
            <v>108233581260</v>
          </cell>
          <cell r="Q1356">
            <v>46154</v>
          </cell>
          <cell r="R1356" t="str">
            <v>No inspection</v>
          </cell>
          <cell r="S1356">
            <v>360</v>
          </cell>
          <cell r="T1356" t="str">
            <v>EXW</v>
          </cell>
          <cell r="U1356">
            <v>134</v>
          </cell>
        </row>
        <row r="1357">
          <cell r="D1357">
            <v>5.5</v>
          </cell>
          <cell r="F1357">
            <v>871356908160</v>
          </cell>
          <cell r="G1357" t="str">
            <v>YUEN CHANG INTL CO., LTD</v>
          </cell>
          <cell r="H1357" t="str">
            <v>Delivered</v>
          </cell>
          <cell r="I1357" t="str">
            <v>WATE</v>
          </cell>
          <cell r="J1357" t="str">
            <v>Fedex</v>
          </cell>
          <cell r="K1357" t="str">
            <v>VVMV</v>
          </cell>
          <cell r="L1357" t="str">
            <v>TW</v>
          </cell>
          <cell r="M1357">
            <v>46147</v>
          </cell>
          <cell r="N1357">
            <v>46157</v>
          </cell>
          <cell r="O1357">
            <v>46164</v>
          </cell>
          <cell r="P1357">
            <v>108233860600</v>
          </cell>
          <cell r="Q1357">
            <v>46154</v>
          </cell>
          <cell r="R1357" t="str">
            <v>No inspection</v>
          </cell>
          <cell r="S1357">
            <v>3000</v>
          </cell>
          <cell r="T1357" t="str">
            <v>EXW</v>
          </cell>
          <cell r="U1357" t="str">
            <v>LUC</v>
          </cell>
        </row>
        <row r="1358">
          <cell r="D1358">
            <v>2.5</v>
          </cell>
          <cell r="F1358">
            <v>481663285283</v>
          </cell>
          <cell r="G1358" t="str">
            <v>AMPHENOL EAST ASIA LTD</v>
          </cell>
          <cell r="H1358" t="str">
            <v>Delivered</v>
          </cell>
          <cell r="I1358" t="str">
            <v>CONN</v>
          </cell>
          <cell r="J1358" t="str">
            <v>Fedex</v>
          </cell>
          <cell r="K1358" t="str">
            <v>VVMV</v>
          </cell>
          <cell r="L1358" t="str">
            <v>HK</v>
          </cell>
          <cell r="M1358">
            <v>46147</v>
          </cell>
          <cell r="N1358">
            <v>46157</v>
          </cell>
          <cell r="O1358">
            <v>46160</v>
          </cell>
          <cell r="P1358">
            <v>108234459650</v>
          </cell>
          <cell r="Q1358">
            <v>46154</v>
          </cell>
          <cell r="R1358" t="str">
            <v>No inspection</v>
          </cell>
          <cell r="S1358">
            <v>980</v>
          </cell>
          <cell r="T1358" t="str">
            <v>EXW</v>
          </cell>
          <cell r="U1358">
            <v>120</v>
          </cell>
        </row>
        <row r="1359">
          <cell r="D1359">
            <v>11</v>
          </cell>
          <cell r="F1359">
            <v>522040305539</v>
          </cell>
          <cell r="G1359" t="str">
            <v>Micron Memory Malaysia Sdn. Bh</v>
          </cell>
          <cell r="H1359" t="str">
            <v>Delivered</v>
          </cell>
          <cell r="I1359" t="str">
            <v xml:space="preserve">MEM </v>
          </cell>
          <cell r="J1359" t="str">
            <v>Fedex</v>
          </cell>
          <cell r="K1359" t="str">
            <v>VVMV</v>
          </cell>
          <cell r="L1359" t="str">
            <v>MY</v>
          </cell>
          <cell r="M1359">
            <v>46147</v>
          </cell>
          <cell r="N1359">
            <v>46157</v>
          </cell>
          <cell r="O1359">
            <v>46164</v>
          </cell>
          <cell r="P1359">
            <v>108233992900</v>
          </cell>
          <cell r="Q1359">
            <v>46154</v>
          </cell>
          <cell r="R1359" t="str">
            <v>No inspection</v>
          </cell>
          <cell r="S1359">
            <v>718800</v>
          </cell>
          <cell r="T1359" t="str">
            <v>CIF</v>
          </cell>
          <cell r="U1359" t="str">
            <v>PUR</v>
          </cell>
        </row>
        <row r="1360">
          <cell r="D1360">
            <v>2</v>
          </cell>
          <cell r="F1360">
            <v>871325076858</v>
          </cell>
          <cell r="G1360" t="str">
            <v>WHITE HORSE LABORATORIES LTD</v>
          </cell>
          <cell r="H1360" t="str">
            <v>Delivered</v>
          </cell>
          <cell r="I1360" t="str">
            <v>IC 2</v>
          </cell>
          <cell r="J1360" t="str">
            <v>Fedex</v>
          </cell>
          <cell r="K1360" t="str">
            <v>VVMV</v>
          </cell>
          <cell r="L1360" t="str">
            <v>HK</v>
          </cell>
          <cell r="M1360">
            <v>46144</v>
          </cell>
          <cell r="N1360">
            <v>46157</v>
          </cell>
          <cell r="O1360">
            <v>46157</v>
          </cell>
          <cell r="P1360">
            <v>108236134420</v>
          </cell>
          <cell r="Q1360">
            <v>46155</v>
          </cell>
          <cell r="R1360" t="str">
            <v>No inspection</v>
          </cell>
          <cell r="S1360">
            <v>3500</v>
          </cell>
          <cell r="T1360" t="str">
            <v>CIF</v>
          </cell>
          <cell r="U1360" t="str">
            <v>EF-</v>
          </cell>
        </row>
        <row r="1361">
          <cell r="D1361">
            <v>23.6</v>
          </cell>
          <cell r="F1361">
            <v>5774538070</v>
          </cell>
          <cell r="G1361" t="str">
            <v>FUTURE ELECTRONICS INC (DIST) PTE LTD</v>
          </cell>
          <cell r="H1361" t="str">
            <v>Delivered</v>
          </cell>
          <cell r="I1361" t="str">
            <v xml:space="preserve">DIOD, RES , IC L, TRAN, CAP </v>
          </cell>
          <cell r="J1361" t="str">
            <v>DHL</v>
          </cell>
          <cell r="K1361" t="str">
            <v>VVMV</v>
          </cell>
          <cell r="L1361" t="str">
            <v>SG</v>
          </cell>
          <cell r="M1361">
            <v>46146</v>
          </cell>
          <cell r="N1361">
            <v>46149</v>
          </cell>
          <cell r="O1361">
            <v>46149</v>
          </cell>
          <cell r="P1361">
            <v>108213104420</v>
          </cell>
          <cell r="Q1361">
            <v>46148</v>
          </cell>
          <cell r="R1361" t="str">
            <v>No inspection</v>
          </cell>
          <cell r="S1361">
            <v>4979.7700000000004</v>
          </cell>
          <cell r="T1361" t="str">
            <v>CIF</v>
          </cell>
          <cell r="U1361" t="str">
            <v>EF-</v>
          </cell>
        </row>
        <row r="1362">
          <cell r="D1362">
            <v>41.3</v>
          </cell>
          <cell r="F1362">
            <v>485149832159</v>
          </cell>
          <cell r="G1362" t="str">
            <v>NANYA TECHNOLOGY CORP.</v>
          </cell>
          <cell r="H1362" t="str">
            <v>Delivered</v>
          </cell>
          <cell r="I1362" t="str">
            <v xml:space="preserve">MEM </v>
          </cell>
          <cell r="J1362" t="str">
            <v>Fedex</v>
          </cell>
          <cell r="K1362" t="str">
            <v>VVMV</v>
          </cell>
          <cell r="L1362" t="str">
            <v>TW</v>
          </cell>
          <cell r="M1362">
            <v>46142</v>
          </cell>
          <cell r="N1362">
            <v>46157</v>
          </cell>
          <cell r="O1362">
            <v>46164</v>
          </cell>
          <cell r="P1362">
            <v>108234286420</v>
          </cell>
          <cell r="Q1362">
            <v>46154</v>
          </cell>
          <cell r="R1362" t="str">
            <v>No inspection</v>
          </cell>
          <cell r="S1362">
            <v>322080</v>
          </cell>
          <cell r="T1362" t="str">
            <v>CIF</v>
          </cell>
          <cell r="U1362" t="str">
            <v>PUR</v>
          </cell>
        </row>
        <row r="1363">
          <cell r="D1363">
            <v>9.9</v>
          </cell>
          <cell r="F1363">
            <v>517485646935</v>
          </cell>
          <cell r="G1363" t="str">
            <v>PENCOM LTD</v>
          </cell>
          <cell r="H1363" t="str">
            <v>Delivered</v>
          </cell>
          <cell r="I1363" t="str">
            <v>SCRE</v>
          </cell>
          <cell r="J1363" t="str">
            <v>Fedex</v>
          </cell>
          <cell r="K1363" t="str">
            <v>VVMV</v>
          </cell>
          <cell r="L1363" t="str">
            <v>HK</v>
          </cell>
          <cell r="M1363">
            <v>46147</v>
          </cell>
          <cell r="N1363">
            <v>46157</v>
          </cell>
          <cell r="O1363">
            <v>46160</v>
          </cell>
          <cell r="P1363">
            <v>108234939740</v>
          </cell>
          <cell r="Q1363">
            <v>46154</v>
          </cell>
          <cell r="R1363" t="str">
            <v>No inspection</v>
          </cell>
          <cell r="S1363">
            <v>400</v>
          </cell>
          <cell r="T1363" t="str">
            <v>EXW</v>
          </cell>
          <cell r="U1363" t="str">
            <v>PUR</v>
          </cell>
        </row>
        <row r="1364">
          <cell r="D1364">
            <v>7.7</v>
          </cell>
          <cell r="F1364">
            <v>524130727881</v>
          </cell>
          <cell r="G1364" t="str">
            <v>ARROW ELECTRONICS, INC.</v>
          </cell>
          <cell r="H1364" t="str">
            <v>Delivered</v>
          </cell>
          <cell r="I1364" t="str">
            <v xml:space="preserve">CAP </v>
          </cell>
          <cell r="J1364" t="str">
            <v>Fedex</v>
          </cell>
          <cell r="K1364" t="str">
            <v>VVMV</v>
          </cell>
          <cell r="L1364" t="str">
            <v>US</v>
          </cell>
          <cell r="M1364">
            <v>46147</v>
          </cell>
          <cell r="N1364">
            <v>46157</v>
          </cell>
          <cell r="O1364">
            <v>46160</v>
          </cell>
          <cell r="P1364">
            <v>108234182560</v>
          </cell>
          <cell r="Q1364">
            <v>46154</v>
          </cell>
          <cell r="R1364" t="str">
            <v>No inspection</v>
          </cell>
          <cell r="S1364">
            <v>3456</v>
          </cell>
          <cell r="T1364" t="str">
            <v>CIF</v>
          </cell>
          <cell r="U1364">
            <v>122</v>
          </cell>
        </row>
        <row r="1365">
          <cell r="D1365">
            <v>0.5</v>
          </cell>
          <cell r="F1365" t="str">
            <v>1Z75A9570473446345</v>
          </cell>
          <cell r="G1365" t="str">
            <v>BV ARROW ELECTRONICS</v>
          </cell>
          <cell r="H1365" t="str">
            <v>Delivered</v>
          </cell>
          <cell r="I1365" t="str">
            <v>TRAN</v>
          </cell>
          <cell r="J1365" t="str">
            <v>UPS</v>
          </cell>
          <cell r="K1365" t="str">
            <v>VVMV</v>
          </cell>
          <cell r="L1365" t="str">
            <v>DE</v>
          </cell>
          <cell r="M1365">
            <v>46142</v>
          </cell>
          <cell r="N1365">
            <v>46150</v>
          </cell>
          <cell r="O1365">
            <v>46150</v>
          </cell>
          <cell r="P1365">
            <v>108215736530</v>
          </cell>
          <cell r="Q1365">
            <v>46149</v>
          </cell>
          <cell r="R1365" t="str">
            <v>No inspection</v>
          </cell>
          <cell r="S1365">
            <v>142.5</v>
          </cell>
          <cell r="T1365" t="str">
            <v>CIF</v>
          </cell>
          <cell r="U1365" t="str">
            <v>FMC</v>
          </cell>
        </row>
        <row r="1366">
          <cell r="D1366">
            <v>43.2</v>
          </cell>
          <cell r="F1366">
            <v>39341598101</v>
          </cell>
          <cell r="G1366" t="str">
            <v>NANYA TECHNOLOGY CORP.</v>
          </cell>
          <cell r="H1366" t="str">
            <v>Delivered</v>
          </cell>
          <cell r="I1366" t="str">
            <v xml:space="preserve">MEM </v>
          </cell>
          <cell r="J1366" t="str">
            <v>TNT</v>
          </cell>
          <cell r="K1366" t="str">
            <v>VVMV</v>
          </cell>
          <cell r="L1366" t="str">
            <v>TW</v>
          </cell>
          <cell r="M1366">
            <v>46147</v>
          </cell>
          <cell r="N1366">
            <v>46169</v>
          </cell>
          <cell r="O1366">
            <v>46178</v>
          </cell>
          <cell r="P1366">
            <v>108282461450</v>
          </cell>
          <cell r="Q1366">
            <v>46169</v>
          </cell>
          <cell r="R1366" t="str">
            <v>No inspection</v>
          </cell>
          <cell r="S1366">
            <v>348920</v>
          </cell>
          <cell r="T1366" t="str">
            <v>CIF</v>
          </cell>
          <cell r="U1366" t="str">
            <v>PUR</v>
          </cell>
        </row>
        <row r="1367">
          <cell r="D1367">
            <v>4.2</v>
          </cell>
          <cell r="F1367">
            <v>871461013935</v>
          </cell>
          <cell r="G1367" t="str">
            <v>STEADFAST INDUSTRIAL PTE LTD</v>
          </cell>
          <cell r="H1367" t="str">
            <v>Delivered</v>
          </cell>
          <cell r="I1367" t="str">
            <v>STAN</v>
          </cell>
          <cell r="J1367" t="str">
            <v>Fedex</v>
          </cell>
          <cell r="K1367" t="str">
            <v>VVMV</v>
          </cell>
          <cell r="L1367" t="str">
            <v>SG</v>
          </cell>
          <cell r="M1367">
            <v>46148</v>
          </cell>
          <cell r="N1367">
            <v>46157</v>
          </cell>
          <cell r="O1367">
            <v>46163</v>
          </cell>
          <cell r="P1367">
            <v>108234800330</v>
          </cell>
          <cell r="Q1367">
            <v>46154</v>
          </cell>
          <cell r="R1367" t="str">
            <v>No inspection</v>
          </cell>
          <cell r="S1367">
            <v>240</v>
          </cell>
          <cell r="T1367" t="str">
            <v>EXW</v>
          </cell>
          <cell r="U1367" t="str">
            <v>EF-</v>
          </cell>
        </row>
        <row r="1368">
          <cell r="D1368">
            <v>2.5</v>
          </cell>
          <cell r="F1368">
            <v>871462909521</v>
          </cell>
          <cell r="G1368" t="str">
            <v>CYMMETRIK SHENZHEN PRINTING CO., LTD</v>
          </cell>
          <cell r="H1368" t="str">
            <v>Delivered</v>
          </cell>
          <cell r="I1368" t="str">
            <v>LABE</v>
          </cell>
          <cell r="J1368" t="str">
            <v>Fedex</v>
          </cell>
          <cell r="K1368" t="str">
            <v>VVMV</v>
          </cell>
          <cell r="L1368" t="str">
            <v>CN</v>
          </cell>
          <cell r="M1368">
            <v>46148</v>
          </cell>
          <cell r="N1368">
            <v>46157</v>
          </cell>
          <cell r="O1368">
            <v>46167</v>
          </cell>
          <cell r="P1368">
            <v>108234776860</v>
          </cell>
          <cell r="Q1368">
            <v>46154</v>
          </cell>
          <cell r="R1368" t="str">
            <v>No inspection</v>
          </cell>
          <cell r="S1368">
            <v>2365</v>
          </cell>
          <cell r="T1368" t="str">
            <v>EXW</v>
          </cell>
          <cell r="U1368" t="str">
            <v>PUR</v>
          </cell>
        </row>
        <row r="1369">
          <cell r="D1369">
            <v>1.9</v>
          </cell>
          <cell r="F1369">
            <v>500394939397</v>
          </cell>
          <cell r="G1369" t="str">
            <v>WURTH ELEKTRONIK EISOS GMBH</v>
          </cell>
          <cell r="H1369" t="str">
            <v>Delivered</v>
          </cell>
          <cell r="I1369" t="str">
            <v>INDU</v>
          </cell>
          <cell r="J1369" t="str">
            <v>Fedex</v>
          </cell>
          <cell r="K1369" t="str">
            <v>VVMV</v>
          </cell>
          <cell r="L1369" t="str">
            <v>DE</v>
          </cell>
          <cell r="M1369">
            <v>46148</v>
          </cell>
          <cell r="N1369">
            <v>46157</v>
          </cell>
          <cell r="O1369">
            <v>46164</v>
          </cell>
          <cell r="P1369">
            <v>108234856920</v>
          </cell>
          <cell r="Q1369">
            <v>46154</v>
          </cell>
          <cell r="R1369" t="str">
            <v>No inspection</v>
          </cell>
          <cell r="S1369">
            <v>360</v>
          </cell>
          <cell r="T1369" t="str">
            <v>CIF</v>
          </cell>
          <cell r="U1369" t="str">
            <v>EF-</v>
          </cell>
        </row>
        <row r="1370">
          <cell r="D1370">
            <v>22</v>
          </cell>
          <cell r="F1370">
            <v>4110336886</v>
          </cell>
          <cell r="G1370" t="str">
            <v>AVNET - CHANDLER</v>
          </cell>
          <cell r="H1370" t="str">
            <v>Delivered</v>
          </cell>
          <cell r="I1370" t="str">
            <v xml:space="preserve">CON </v>
          </cell>
          <cell r="J1370" t="str">
            <v>Expeditors</v>
          </cell>
          <cell r="K1370" t="str">
            <v>VVMV</v>
          </cell>
          <cell r="L1370" t="str">
            <v>US</v>
          </cell>
          <cell r="M1370">
            <v>46147</v>
          </cell>
          <cell r="N1370">
            <v>46153</v>
          </cell>
          <cell r="O1370">
            <v>46153</v>
          </cell>
          <cell r="P1370">
            <v>108226912510</v>
          </cell>
          <cell r="Q1370">
            <v>46153</v>
          </cell>
          <cell r="R1370" t="str">
            <v>No inspection</v>
          </cell>
          <cell r="S1370">
            <v>2856</v>
          </cell>
          <cell r="T1370" t="str">
            <v>DAP</v>
          </cell>
          <cell r="U1370" t="str">
            <v>LUC</v>
          </cell>
        </row>
        <row r="1371">
          <cell r="D1371">
            <v>14.5</v>
          </cell>
          <cell r="F1371">
            <v>4110336885</v>
          </cell>
          <cell r="G1371" t="str">
            <v>AVNET - CHANDLER</v>
          </cell>
          <cell r="H1371" t="str">
            <v>Delivered</v>
          </cell>
          <cell r="I1371" t="str">
            <v xml:space="preserve">CON </v>
          </cell>
          <cell r="J1371" t="str">
            <v>Expeditors</v>
          </cell>
          <cell r="K1371" t="str">
            <v>VVMV</v>
          </cell>
          <cell r="L1371" t="str">
            <v>US</v>
          </cell>
          <cell r="M1371">
            <v>46147</v>
          </cell>
          <cell r="N1371">
            <v>46153</v>
          </cell>
          <cell r="O1371">
            <v>46153</v>
          </cell>
          <cell r="P1371">
            <v>108226444540</v>
          </cell>
          <cell r="Q1371">
            <v>46153</v>
          </cell>
          <cell r="R1371" t="str">
            <v>No inspection</v>
          </cell>
          <cell r="S1371">
            <v>1904</v>
          </cell>
          <cell r="T1371" t="str">
            <v>DAP</v>
          </cell>
          <cell r="U1371" t="str">
            <v>LUC</v>
          </cell>
        </row>
        <row r="1372">
          <cell r="D1372">
            <v>61.5</v>
          </cell>
          <cell r="F1372">
            <v>4110336887</v>
          </cell>
          <cell r="G1372" t="str">
            <v>AVNET - CHANDLER</v>
          </cell>
          <cell r="H1372" t="str">
            <v>Delivered</v>
          </cell>
          <cell r="I1372" t="str">
            <v xml:space="preserve">CON </v>
          </cell>
          <cell r="J1372" t="str">
            <v>Expeditors</v>
          </cell>
          <cell r="K1372" t="str">
            <v>VVMV</v>
          </cell>
          <cell r="L1372" t="str">
            <v>US</v>
          </cell>
          <cell r="M1372">
            <v>46147</v>
          </cell>
          <cell r="N1372">
            <v>46153</v>
          </cell>
          <cell r="O1372">
            <v>46153</v>
          </cell>
          <cell r="P1372">
            <v>108227034420</v>
          </cell>
          <cell r="Q1372">
            <v>46153</v>
          </cell>
          <cell r="R1372" t="str">
            <v>No inspection</v>
          </cell>
          <cell r="S1372">
            <v>8568</v>
          </cell>
          <cell r="T1372" t="str">
            <v>DAP</v>
          </cell>
          <cell r="U1372" t="str">
            <v>LUC</v>
          </cell>
        </row>
        <row r="1373">
          <cell r="D1373">
            <v>2.6</v>
          </cell>
          <cell r="F1373">
            <v>525343638101</v>
          </cell>
          <cell r="G1373" t="str">
            <v>Micron Memory Malaysia Sdn. Bh</v>
          </cell>
          <cell r="H1373" t="str">
            <v>Delivered</v>
          </cell>
          <cell r="I1373" t="str">
            <v xml:space="preserve">MEM </v>
          </cell>
          <cell r="J1373" t="str">
            <v>Fedex</v>
          </cell>
          <cell r="K1373" t="str">
            <v>VVMV</v>
          </cell>
          <cell r="L1373" t="str">
            <v>MY</v>
          </cell>
          <cell r="M1373">
            <v>46148</v>
          </cell>
          <cell r="N1373">
            <v>46157</v>
          </cell>
          <cell r="O1373">
            <v>46163</v>
          </cell>
          <cell r="P1373">
            <v>108234831940</v>
          </cell>
          <cell r="Q1373">
            <v>46154</v>
          </cell>
          <cell r="R1373" t="str">
            <v>No inspection</v>
          </cell>
          <cell r="S1373">
            <v>143760</v>
          </cell>
          <cell r="T1373" t="str">
            <v>CIF</v>
          </cell>
          <cell r="U1373" t="str">
            <v>PUR</v>
          </cell>
        </row>
        <row r="1374">
          <cell r="D1374">
            <v>5.5</v>
          </cell>
          <cell r="F1374">
            <v>481663285294</v>
          </cell>
          <cell r="G1374" t="str">
            <v>AMPHENOL EAST ASIA LTD</v>
          </cell>
          <cell r="H1374" t="str">
            <v>Delivered</v>
          </cell>
          <cell r="I1374" t="str">
            <v>CONN</v>
          </cell>
          <cell r="J1374" t="str">
            <v>Fedex</v>
          </cell>
          <cell r="K1374" t="str">
            <v>VVMV</v>
          </cell>
          <cell r="L1374" t="str">
            <v>HK</v>
          </cell>
          <cell r="M1374">
            <v>46149</v>
          </cell>
          <cell r="N1374">
            <v>46157</v>
          </cell>
          <cell r="O1374">
            <v>46164</v>
          </cell>
          <cell r="P1374">
            <v>108234390240</v>
          </cell>
          <cell r="Q1374">
            <v>46154</v>
          </cell>
          <cell r="R1374" t="str">
            <v>No inspection</v>
          </cell>
          <cell r="S1374">
            <v>3072</v>
          </cell>
          <cell r="T1374" t="str">
            <v>EXW</v>
          </cell>
          <cell r="U1374" t="str">
            <v>HLO</v>
          </cell>
        </row>
        <row r="1375">
          <cell r="D1375">
            <v>3</v>
          </cell>
          <cell r="F1375">
            <v>871508756402</v>
          </cell>
          <cell r="G1375" t="str">
            <v>VITAL SYSTEM TECHNOLOGY PTE LTD</v>
          </cell>
          <cell r="H1375" t="str">
            <v>Delivered</v>
          </cell>
          <cell r="I1375" t="str">
            <v xml:space="preserve">RES , DIOD, CAP </v>
          </cell>
          <cell r="J1375" t="str">
            <v>Fedex</v>
          </cell>
          <cell r="K1375" t="str">
            <v>VVMV</v>
          </cell>
          <cell r="L1375" t="str">
            <v>SG</v>
          </cell>
          <cell r="M1375">
            <v>46149</v>
          </cell>
          <cell r="N1375">
            <v>46157</v>
          </cell>
          <cell r="O1375">
            <v>46164</v>
          </cell>
          <cell r="P1375">
            <v>108234555700</v>
          </cell>
          <cell r="Q1375">
            <v>46154</v>
          </cell>
          <cell r="R1375" t="str">
            <v>No inspection</v>
          </cell>
          <cell r="S1375">
            <v>642.82000000000005</v>
          </cell>
          <cell r="T1375" t="str">
            <v>EXW</v>
          </cell>
          <cell r="U1375" t="str">
            <v>EF-</v>
          </cell>
        </row>
        <row r="1376">
          <cell r="D1376">
            <v>34.9</v>
          </cell>
          <cell r="F1376">
            <v>871507065560</v>
          </cell>
          <cell r="G1376" t="str">
            <v>Techford International Ltd</v>
          </cell>
          <cell r="H1376" t="str">
            <v>Delivered</v>
          </cell>
          <cell r="I1376" t="str">
            <v>MECH</v>
          </cell>
          <cell r="J1376" t="str">
            <v>Fedex</v>
          </cell>
          <cell r="K1376" t="str">
            <v>VVMV</v>
          </cell>
          <cell r="L1376" t="str">
            <v>HK</v>
          </cell>
          <cell r="M1376">
            <v>46149</v>
          </cell>
          <cell r="N1376">
            <v>46157</v>
          </cell>
          <cell r="O1376">
            <v>46167</v>
          </cell>
          <cell r="P1376">
            <v>108234886910</v>
          </cell>
          <cell r="Q1376">
            <v>46154</v>
          </cell>
          <cell r="R1376" t="str">
            <v>No inspection</v>
          </cell>
          <cell r="S1376">
            <v>3860</v>
          </cell>
          <cell r="T1376" t="str">
            <v>EXW</v>
          </cell>
          <cell r="U1376" t="str">
            <v>PUR</v>
          </cell>
        </row>
        <row r="1377">
          <cell r="D1377">
            <v>1.8</v>
          </cell>
          <cell r="F1377">
            <v>871509868530</v>
          </cell>
          <cell r="G1377" t="str">
            <v>WEIKENG TECHNOLOGY PTE LTD</v>
          </cell>
          <cell r="H1377" t="str">
            <v>Delivered</v>
          </cell>
          <cell r="I1377" t="str">
            <v>IC F</v>
          </cell>
          <cell r="J1377" t="str">
            <v>Fedex</v>
          </cell>
          <cell r="K1377" t="str">
            <v>VVMV</v>
          </cell>
          <cell r="L1377" t="str">
            <v>SG</v>
          </cell>
          <cell r="M1377">
            <v>46149</v>
          </cell>
          <cell r="N1377">
            <v>46160</v>
          </cell>
          <cell r="O1377">
            <v>46162</v>
          </cell>
          <cell r="P1377">
            <v>108241930160</v>
          </cell>
          <cell r="Q1377">
            <v>46156</v>
          </cell>
          <cell r="R1377" t="str">
            <v>No inspection</v>
          </cell>
          <cell r="S1377">
            <v>3330</v>
          </cell>
          <cell r="T1377" t="str">
            <v>EXW</v>
          </cell>
          <cell r="U1377" t="str">
            <v>AIC</v>
          </cell>
        </row>
        <row r="1378">
          <cell r="D1378">
            <v>4</v>
          </cell>
          <cell r="F1378">
            <v>522040307667</v>
          </cell>
          <cell r="G1378" t="str">
            <v>MICRON SEMICONDUCTOR XIAN CO, LTD</v>
          </cell>
          <cell r="H1378" t="str">
            <v>Delivered</v>
          </cell>
          <cell r="I1378" t="str">
            <v xml:space="preserve">MEM </v>
          </cell>
          <cell r="J1378" t="str">
            <v>Fedex</v>
          </cell>
          <cell r="K1378" t="str">
            <v>VVMV</v>
          </cell>
          <cell r="L1378" t="str">
            <v>CN</v>
          </cell>
          <cell r="M1378">
            <v>46148</v>
          </cell>
          <cell r="N1378">
            <v>46157</v>
          </cell>
          <cell r="O1378">
            <v>46164</v>
          </cell>
          <cell r="P1378">
            <v>108234640620</v>
          </cell>
          <cell r="Q1378">
            <v>46154</v>
          </cell>
          <cell r="R1378" t="str">
            <v>No inspection</v>
          </cell>
          <cell r="S1378">
            <v>39300</v>
          </cell>
          <cell r="T1378" t="str">
            <v>EXW</v>
          </cell>
          <cell r="U1378" t="str">
            <v>HLO</v>
          </cell>
        </row>
        <row r="1379">
          <cell r="D1379">
            <v>17.899999999999999</v>
          </cell>
          <cell r="F1379">
            <v>525343665469</v>
          </cell>
          <cell r="G1379" t="str">
            <v>Micron Memory Malaysia Sdn. Bh</v>
          </cell>
          <cell r="H1379" t="str">
            <v>Delivered</v>
          </cell>
          <cell r="I1379" t="str">
            <v xml:space="preserve">MEM </v>
          </cell>
          <cell r="J1379" t="str">
            <v>Fedex</v>
          </cell>
          <cell r="K1379" t="str">
            <v>VVMV</v>
          </cell>
          <cell r="L1379" t="str">
            <v>MY</v>
          </cell>
          <cell r="M1379">
            <v>46150</v>
          </cell>
          <cell r="N1379">
            <v>46157</v>
          </cell>
          <cell r="O1379">
            <v>46167</v>
          </cell>
          <cell r="P1379">
            <v>108237837260</v>
          </cell>
          <cell r="Q1379">
            <v>46155</v>
          </cell>
          <cell r="R1379" t="str">
            <v>No inspection</v>
          </cell>
          <cell r="S1379">
            <v>1656900</v>
          </cell>
          <cell r="T1379" t="str">
            <v>CIF</v>
          </cell>
          <cell r="U1379" t="str">
            <v>PUR</v>
          </cell>
        </row>
        <row r="1380">
          <cell r="D1380">
            <v>63.3</v>
          </cell>
          <cell r="F1380">
            <v>525343671270</v>
          </cell>
          <cell r="G1380" t="str">
            <v>Micron Memory Malaysia Sdn. Bh</v>
          </cell>
          <cell r="H1380" t="str">
            <v>Delivered</v>
          </cell>
          <cell r="I1380" t="str">
            <v xml:space="preserve">MEM </v>
          </cell>
          <cell r="J1380" t="str">
            <v>Fedex</v>
          </cell>
          <cell r="K1380" t="str">
            <v>VVMV</v>
          </cell>
          <cell r="L1380" t="str">
            <v>MY</v>
          </cell>
          <cell r="M1380">
            <v>46150</v>
          </cell>
          <cell r="N1380">
            <v>46157</v>
          </cell>
          <cell r="O1380">
            <v>46162</v>
          </cell>
          <cell r="P1380">
            <v>108237694500</v>
          </cell>
          <cell r="Q1380">
            <v>46155</v>
          </cell>
          <cell r="R1380" t="str">
            <v>No inspection</v>
          </cell>
          <cell r="S1380">
            <v>5891200</v>
          </cell>
          <cell r="T1380" t="str">
            <v>CIF</v>
          </cell>
          <cell r="U1380" t="str">
            <v>PUR</v>
          </cell>
        </row>
        <row r="1381">
          <cell r="D1381">
            <v>3368.99</v>
          </cell>
          <cell r="F1381" t="str">
            <v xml:space="preserve">BHJSH0093093B </v>
          </cell>
          <cell r="G1381" t="str">
            <v>Kunshan Eson Precision Engineering Co.,Ltd.</v>
          </cell>
          <cell r="H1381" t="str">
            <v>Delivered</v>
          </cell>
          <cell r="I1381" t="str">
            <v xml:space="preserve">BOTT, TOP </v>
          </cell>
          <cell r="J1381" t="str">
            <v>Dolphin(sea)</v>
          </cell>
          <cell r="K1381" t="str">
            <v>Dolphin</v>
          </cell>
          <cell r="L1381" t="str">
            <v>CN</v>
          </cell>
          <cell r="M1381">
            <v>46146</v>
          </cell>
          <cell r="N1381">
            <v>46155</v>
          </cell>
          <cell r="O1381">
            <v>46155</v>
          </cell>
          <cell r="P1381">
            <v>108228141560</v>
          </cell>
          <cell r="Q1381">
            <v>46331.484479166669</v>
          </cell>
          <cell r="R1381" t="str">
            <v>No inspection</v>
          </cell>
          <cell r="S1381">
            <v>65892</v>
          </cell>
          <cell r="T1381" t="str">
            <v>EXW</v>
          </cell>
          <cell r="U1381" t="str">
            <v>LUC</v>
          </cell>
        </row>
        <row r="1382">
          <cell r="D1382">
            <v>0.6</v>
          </cell>
          <cell r="F1382">
            <v>2009881031</v>
          </cell>
          <cell r="G1382" t="str">
            <v>TTI INC</v>
          </cell>
          <cell r="H1382" t="str">
            <v>Delivered</v>
          </cell>
          <cell r="I1382" t="str">
            <v xml:space="preserve">RES </v>
          </cell>
          <cell r="J1382" t="str">
            <v>DHL</v>
          </cell>
          <cell r="K1382" t="str">
            <v>VVMV</v>
          </cell>
          <cell r="L1382" t="str">
            <v>US</v>
          </cell>
          <cell r="M1382">
            <v>46150</v>
          </cell>
          <cell r="N1382">
            <v>46154</v>
          </cell>
          <cell r="O1382">
            <v>46154</v>
          </cell>
          <cell r="P1382">
            <v>108230268200</v>
          </cell>
          <cell r="Q1382">
            <v>46153</v>
          </cell>
          <cell r="R1382" t="str">
            <v>No inspection</v>
          </cell>
          <cell r="S1382">
            <v>202.5</v>
          </cell>
          <cell r="T1382" t="str">
            <v>CIF</v>
          </cell>
          <cell r="U1382">
            <v>121</v>
          </cell>
        </row>
        <row r="1383">
          <cell r="D1383">
            <v>5.9</v>
          </cell>
          <cell r="F1383">
            <v>4685772420</v>
          </cell>
          <cell r="G1383" t="str">
            <v>TTI INC</v>
          </cell>
          <cell r="H1383" t="str">
            <v>Delivered</v>
          </cell>
          <cell r="I1383" t="str">
            <v>RES , CAP , FERR</v>
          </cell>
          <cell r="J1383" t="str">
            <v>DHL</v>
          </cell>
          <cell r="K1383" t="str">
            <v>VVMV</v>
          </cell>
          <cell r="L1383" t="str">
            <v>US</v>
          </cell>
          <cell r="M1383">
            <v>46149</v>
          </cell>
          <cell r="N1383">
            <v>46154</v>
          </cell>
          <cell r="O1383">
            <v>46154</v>
          </cell>
          <cell r="P1383">
            <v>108230027510</v>
          </cell>
          <cell r="Q1383">
            <v>46153</v>
          </cell>
          <cell r="R1383" t="str">
            <v>No inspection</v>
          </cell>
          <cell r="S1383">
            <v>1482.88</v>
          </cell>
          <cell r="T1383" t="str">
            <v>CIF</v>
          </cell>
          <cell r="U1383" t="str">
            <v>LUC</v>
          </cell>
        </row>
        <row r="1384">
          <cell r="D1384">
            <v>0.2</v>
          </cell>
          <cell r="F1384">
            <v>4525174146</v>
          </cell>
          <cell r="G1384" t="str">
            <v>INTEGRATED SILICON SOLUTION (CAYMAN), INC</v>
          </cell>
          <cell r="H1384" t="str">
            <v>Delivered</v>
          </cell>
          <cell r="I1384" t="str">
            <v>ic</v>
          </cell>
          <cell r="J1384" t="str">
            <v>DHL</v>
          </cell>
          <cell r="K1384" t="str">
            <v>VVMV</v>
          </cell>
          <cell r="L1384" t="str">
            <v>TW</v>
          </cell>
          <cell r="M1384">
            <v>46150</v>
          </cell>
          <cell r="N1384">
            <v>46154</v>
          </cell>
          <cell r="O1384">
            <v>46154</v>
          </cell>
          <cell r="P1384" t="str">
            <v>hàng mẫu, phát thẳng</v>
          </cell>
          <cell r="Q1384" t="str">
            <v>x</v>
          </cell>
          <cell r="R1384" t="str">
            <v>No inspection</v>
          </cell>
          <cell r="S1384" t="str">
            <v>x</v>
          </cell>
          <cell r="T1384" t="str">
            <v>x</v>
          </cell>
          <cell r="U1384" t="str">
            <v>x</v>
          </cell>
        </row>
        <row r="1385">
          <cell r="D1385">
            <v>106.5</v>
          </cell>
          <cell r="F1385" t="str">
            <v>PLISGFE00329</v>
          </cell>
          <cell r="G1385" t="str">
            <v>FUTURE ELECTRONICS INC (DIST) PTE LTD</v>
          </cell>
          <cell r="H1385" t="str">
            <v>Delivered</v>
          </cell>
          <cell r="I1385" t="str">
            <v>INDU</v>
          </cell>
          <cell r="J1385" t="str">
            <v>LX PANTOS</v>
          </cell>
          <cell r="K1385" t="str">
            <v>VVMV</v>
          </cell>
          <cell r="L1385" t="str">
            <v>SG</v>
          </cell>
          <cell r="M1385">
            <v>46152</v>
          </cell>
          <cell r="N1385">
            <v>46155</v>
          </cell>
          <cell r="O1385">
            <v>46154</v>
          </cell>
          <cell r="P1385">
            <v>108230500710</v>
          </cell>
          <cell r="Q1385">
            <v>46153</v>
          </cell>
          <cell r="R1385" t="str">
            <v>No inspection</v>
          </cell>
          <cell r="S1385">
            <v>63992.27</v>
          </cell>
          <cell r="T1385" t="str">
            <v>DAP</v>
          </cell>
        </row>
        <row r="1386">
          <cell r="D1386">
            <v>191</v>
          </cell>
          <cell r="F1386">
            <v>4110336913</v>
          </cell>
          <cell r="G1386" t="str">
            <v>AVNET, INC</v>
          </cell>
          <cell r="H1386" t="str">
            <v>Delivered</v>
          </cell>
          <cell r="I1386" t="str">
            <v>CONN</v>
          </cell>
          <cell r="J1386" t="str">
            <v>Expeditors</v>
          </cell>
          <cell r="K1386" t="str">
            <v>VVMV</v>
          </cell>
          <cell r="L1386" t="str">
            <v>US</v>
          </cell>
          <cell r="M1386">
            <v>46148</v>
          </cell>
          <cell r="N1386">
            <v>46156</v>
          </cell>
          <cell r="O1386">
            <v>46156</v>
          </cell>
          <cell r="P1386">
            <v>108236007350</v>
          </cell>
          <cell r="Q1386">
            <v>46155</v>
          </cell>
          <cell r="R1386" t="str">
            <v>No inspection</v>
          </cell>
          <cell r="S1386">
            <v>9376.5</v>
          </cell>
          <cell r="T1386" t="str">
            <v>DAP</v>
          </cell>
          <cell r="U1386" t="str">
            <v>LUC</v>
          </cell>
        </row>
        <row r="1387">
          <cell r="D1387">
            <v>23</v>
          </cell>
          <cell r="F1387">
            <v>4110336955</v>
          </cell>
          <cell r="G1387" t="str">
            <v>AVNET, INC</v>
          </cell>
          <cell r="H1387" t="str">
            <v>Delivered</v>
          </cell>
          <cell r="I1387" t="str">
            <v>CONN</v>
          </cell>
          <cell r="J1387" t="str">
            <v>Expeditors</v>
          </cell>
          <cell r="K1387" t="str">
            <v>VVMV</v>
          </cell>
          <cell r="L1387" t="str">
            <v>US</v>
          </cell>
          <cell r="M1387">
            <v>46149</v>
          </cell>
          <cell r="N1387">
            <v>46156</v>
          </cell>
          <cell r="O1387">
            <v>46156</v>
          </cell>
          <cell r="P1387">
            <v>108236640260</v>
          </cell>
          <cell r="Q1387">
            <v>46155</v>
          </cell>
          <cell r="R1387" t="str">
            <v>No inspection</v>
          </cell>
          <cell r="S1387">
            <v>2779.27</v>
          </cell>
          <cell r="T1387" t="str">
            <v>DAP</v>
          </cell>
          <cell r="U1387" t="str">
            <v>LUC</v>
          </cell>
        </row>
        <row r="1388">
          <cell r="D1388">
            <v>13.5</v>
          </cell>
          <cell r="F1388">
            <v>4110336954</v>
          </cell>
          <cell r="G1388" t="str">
            <v>AVNET, INC</v>
          </cell>
          <cell r="H1388" t="str">
            <v>Delivered</v>
          </cell>
          <cell r="I1388" t="str">
            <v>CONN</v>
          </cell>
          <cell r="J1388" t="str">
            <v>Expeditors</v>
          </cell>
          <cell r="K1388" t="str">
            <v>VVMV</v>
          </cell>
          <cell r="L1388" t="str">
            <v>US</v>
          </cell>
          <cell r="M1388">
            <v>46149</v>
          </cell>
          <cell r="N1388">
            <v>46156</v>
          </cell>
          <cell r="O1388">
            <v>46156</v>
          </cell>
          <cell r="P1388">
            <v>108236290260</v>
          </cell>
          <cell r="Q1388">
            <v>46155</v>
          </cell>
          <cell r="R1388" t="str">
            <v>No inspection</v>
          </cell>
          <cell r="S1388">
            <v>1628.64</v>
          </cell>
          <cell r="T1388" t="str">
            <v>DAP</v>
          </cell>
          <cell r="U1388" t="str">
            <v>LUC</v>
          </cell>
        </row>
        <row r="1389">
          <cell r="D1389">
            <v>88.5</v>
          </cell>
          <cell r="F1389">
            <v>4110336953</v>
          </cell>
          <cell r="G1389" t="str">
            <v>AVNET, INC</v>
          </cell>
          <cell r="H1389" t="str">
            <v>Delivered</v>
          </cell>
          <cell r="I1389" t="str">
            <v xml:space="preserve">CON </v>
          </cell>
          <cell r="J1389" t="str">
            <v>Expeditors</v>
          </cell>
          <cell r="K1389" t="str">
            <v>VVMV</v>
          </cell>
          <cell r="L1389" t="str">
            <v>US</v>
          </cell>
          <cell r="M1389">
            <v>46149</v>
          </cell>
          <cell r="N1389">
            <v>46156</v>
          </cell>
          <cell r="O1389">
            <v>46156</v>
          </cell>
          <cell r="P1389">
            <v>108236737230</v>
          </cell>
          <cell r="Q1389">
            <v>46155</v>
          </cell>
          <cell r="R1389" t="str">
            <v>No inspection</v>
          </cell>
          <cell r="S1389">
            <v>11424</v>
          </cell>
          <cell r="T1389" t="str">
            <v>DAP</v>
          </cell>
          <cell r="U1389" t="str">
            <v>LUC</v>
          </cell>
        </row>
        <row r="1390">
          <cell r="D1390">
            <v>0.4</v>
          </cell>
          <cell r="F1390">
            <v>615498856118</v>
          </cell>
          <cell r="G1390" t="str">
            <v>FUTURE ELECTRONICS LTD.</v>
          </cell>
          <cell r="H1390" t="str">
            <v>Delivered</v>
          </cell>
          <cell r="I1390" t="str">
            <v xml:space="preserve">CAP </v>
          </cell>
          <cell r="J1390" t="str">
            <v>Fedex</v>
          </cell>
          <cell r="K1390" t="str">
            <v>VVMV</v>
          </cell>
          <cell r="L1390" t="str">
            <v>DE</v>
          </cell>
          <cell r="M1390">
            <v>46149</v>
          </cell>
          <cell r="N1390">
            <v>46155</v>
          </cell>
          <cell r="O1390">
            <v>46156</v>
          </cell>
          <cell r="P1390">
            <v>108229470860</v>
          </cell>
          <cell r="Q1390">
            <v>46154</v>
          </cell>
          <cell r="R1390" t="str">
            <v>No inspection</v>
          </cell>
          <cell r="S1390">
            <v>19.2</v>
          </cell>
          <cell r="T1390" t="str">
            <v>CIF</v>
          </cell>
          <cell r="U1390">
            <v>122</v>
          </cell>
        </row>
        <row r="1391">
          <cell r="D1391">
            <v>0.5</v>
          </cell>
          <cell r="F1391">
            <v>381164370055</v>
          </cell>
          <cell r="G1391" t="str">
            <v>O/B ANALOG DEVICES INTERNATIONAL UC
DHL SUPPLY CHAIN MANAGEMENT PHILS</v>
          </cell>
          <cell r="H1391" t="str">
            <v>Delivered</v>
          </cell>
          <cell r="I1391" t="str">
            <v>IC F</v>
          </cell>
          <cell r="J1391" t="str">
            <v>Fedex</v>
          </cell>
          <cell r="K1391" t="str">
            <v>VVMV</v>
          </cell>
          <cell r="L1391" t="str">
            <v>PH</v>
          </cell>
          <cell r="M1391">
            <v>46150</v>
          </cell>
          <cell r="N1391">
            <v>46160</v>
          </cell>
          <cell r="O1391">
            <v>46160</v>
          </cell>
          <cell r="P1391">
            <v>108230421610</v>
          </cell>
          <cell r="Q1391">
            <v>46153</v>
          </cell>
          <cell r="R1391" t="str">
            <v>No inspection</v>
          </cell>
          <cell r="S1391">
            <v>966.42</v>
          </cell>
          <cell r="T1391" t="str">
            <v>EXW</v>
          </cell>
          <cell r="U1391" t="str">
            <v>EF-</v>
          </cell>
        </row>
        <row r="1392">
          <cell r="D1392">
            <v>50</v>
          </cell>
          <cell r="F1392" t="str">
            <v>8XN5171</v>
          </cell>
          <cell r="G1392" t="str">
            <v>KIOXIA CORPORATION C/O KIOXIA AMERICA INC</v>
          </cell>
          <cell r="H1392" t="str">
            <v>Delivered</v>
          </cell>
          <cell r="I1392" t="str">
            <v xml:space="preserve">MEM </v>
          </cell>
          <cell r="J1392" t="str">
            <v>DHL( global)</v>
          </cell>
          <cell r="K1392" t="str">
            <v>VVMV</v>
          </cell>
          <cell r="L1392" t="str">
            <v>JP</v>
          </cell>
          <cell r="M1392">
            <v>46155</v>
          </cell>
          <cell r="N1392">
            <v>46160</v>
          </cell>
          <cell r="O1392">
            <v>46160</v>
          </cell>
          <cell r="P1392">
            <v>108243824840</v>
          </cell>
          <cell r="Q1392">
            <v>46157</v>
          </cell>
          <cell r="R1392" t="str">
            <v>No inspection</v>
          </cell>
          <cell r="S1392">
            <v>1815410.82</v>
          </cell>
          <cell r="T1392" t="str">
            <v>DAP</v>
          </cell>
          <cell r="U1392" t="str">
            <v>HLO</v>
          </cell>
        </row>
        <row r="1393">
          <cell r="D1393">
            <v>7.3</v>
          </cell>
          <cell r="F1393" t="str">
            <v>8XN5172</v>
          </cell>
          <cell r="G1393" t="str">
            <v>KIOXIA CORPORATION C/O KIOXIA AMERICA INC</v>
          </cell>
          <cell r="H1393" t="str">
            <v>Delivered</v>
          </cell>
          <cell r="I1393" t="str">
            <v xml:space="preserve">MEM </v>
          </cell>
          <cell r="J1393" t="str">
            <v>DHL( global)</v>
          </cell>
          <cell r="K1393" t="str">
            <v>VVMV</v>
          </cell>
          <cell r="L1393" t="str">
            <v>JP</v>
          </cell>
          <cell r="M1393">
            <v>46155</v>
          </cell>
          <cell r="N1393">
            <v>46160</v>
          </cell>
          <cell r="O1393">
            <v>46160</v>
          </cell>
          <cell r="P1393">
            <v>108243921440</v>
          </cell>
          <cell r="Q1393">
            <v>46157</v>
          </cell>
          <cell r="R1393" t="str">
            <v>No inspection</v>
          </cell>
          <cell r="S1393">
            <v>529502.4</v>
          </cell>
          <cell r="T1393" t="str">
            <v>DAP</v>
          </cell>
          <cell r="U1393" t="str">
            <v>PUR</v>
          </cell>
        </row>
        <row r="1394">
          <cell r="D1394">
            <v>7.3</v>
          </cell>
          <cell r="F1394" t="str">
            <v>8XN5173</v>
          </cell>
          <cell r="G1394" t="str">
            <v>KIOXIA CORPORATION C/O KIOXIA AMERICA INC</v>
          </cell>
          <cell r="H1394" t="str">
            <v>Delivered</v>
          </cell>
          <cell r="I1394" t="str">
            <v xml:space="preserve">MEM </v>
          </cell>
          <cell r="J1394" t="str">
            <v>DHL( global)</v>
          </cell>
          <cell r="K1394" t="str">
            <v>VVMV</v>
          </cell>
          <cell r="L1394" t="str">
            <v>JP</v>
          </cell>
          <cell r="M1394">
            <v>46155</v>
          </cell>
          <cell r="N1394">
            <v>46160</v>
          </cell>
          <cell r="O1394">
            <v>46160</v>
          </cell>
          <cell r="P1394">
            <v>108244009640</v>
          </cell>
          <cell r="Q1394">
            <v>46157</v>
          </cell>
          <cell r="R1394" t="str">
            <v>No inspection</v>
          </cell>
          <cell r="S1394">
            <v>529502.4</v>
          </cell>
          <cell r="T1394" t="str">
            <v>DAP</v>
          </cell>
          <cell r="U1394" t="str">
            <v>PUR</v>
          </cell>
        </row>
        <row r="1395">
          <cell r="D1395">
            <v>7.3</v>
          </cell>
          <cell r="F1395" t="str">
            <v>8XN5174</v>
          </cell>
          <cell r="G1395" t="str">
            <v>KIOXIA CORPORATION C/O KIOXIA AMERICA INC</v>
          </cell>
          <cell r="H1395" t="str">
            <v>Delivered</v>
          </cell>
          <cell r="I1395" t="str">
            <v xml:space="preserve">MEM </v>
          </cell>
          <cell r="J1395" t="str">
            <v>DHL( global)</v>
          </cell>
          <cell r="K1395" t="str">
            <v>VVMV</v>
          </cell>
          <cell r="L1395" t="str">
            <v>JP</v>
          </cell>
          <cell r="M1395">
            <v>46155</v>
          </cell>
          <cell r="N1395">
            <v>46160</v>
          </cell>
          <cell r="O1395">
            <v>46160</v>
          </cell>
          <cell r="P1395">
            <v>108244031600</v>
          </cell>
          <cell r="Q1395">
            <v>46157</v>
          </cell>
          <cell r="R1395" t="str">
            <v>No inspection</v>
          </cell>
          <cell r="S1395">
            <v>529502.4</v>
          </cell>
          <cell r="T1395" t="str">
            <v>DAP</v>
          </cell>
          <cell r="U1395" t="str">
            <v>PUR</v>
          </cell>
        </row>
        <row r="1396">
          <cell r="D1396">
            <v>7.3</v>
          </cell>
          <cell r="F1396" t="str">
            <v>8XN5175</v>
          </cell>
          <cell r="G1396" t="str">
            <v>KIOXIA CORPORATION C/O KIOXIA AMERICA INC</v>
          </cell>
          <cell r="H1396" t="str">
            <v>Delivered</v>
          </cell>
          <cell r="I1396" t="str">
            <v xml:space="preserve">MEM </v>
          </cell>
          <cell r="J1396" t="str">
            <v>DHL( global)</v>
          </cell>
          <cell r="K1396" t="str">
            <v>VVMV</v>
          </cell>
          <cell r="L1396" t="str">
            <v>JP</v>
          </cell>
          <cell r="M1396">
            <v>46155</v>
          </cell>
          <cell r="N1396">
            <v>46160</v>
          </cell>
          <cell r="O1396">
            <v>46160</v>
          </cell>
          <cell r="P1396">
            <v>108244198420</v>
          </cell>
          <cell r="Q1396">
            <v>46157</v>
          </cell>
          <cell r="R1396" t="str">
            <v>No inspection</v>
          </cell>
          <cell r="S1396">
            <v>529502.4</v>
          </cell>
          <cell r="T1396" t="str">
            <v>DAP</v>
          </cell>
          <cell r="U1396" t="str">
            <v>PUR</v>
          </cell>
        </row>
        <row r="1397">
          <cell r="D1397">
            <v>7.3</v>
          </cell>
          <cell r="F1397" t="str">
            <v>8XN5176</v>
          </cell>
          <cell r="G1397" t="str">
            <v>KIOXIA CORPORATION C/O KIOXIA AMERICA INC</v>
          </cell>
          <cell r="H1397" t="str">
            <v>Delivered</v>
          </cell>
          <cell r="I1397" t="str">
            <v xml:space="preserve">MEM </v>
          </cell>
          <cell r="J1397" t="str">
            <v>DHL( global)</v>
          </cell>
          <cell r="K1397" t="str">
            <v>VVMV</v>
          </cell>
          <cell r="L1397" t="str">
            <v>JP</v>
          </cell>
          <cell r="M1397">
            <v>46155</v>
          </cell>
          <cell r="N1397">
            <v>46160</v>
          </cell>
          <cell r="O1397">
            <v>46160</v>
          </cell>
          <cell r="P1397">
            <v>108244360710</v>
          </cell>
          <cell r="Q1397">
            <v>46157</v>
          </cell>
          <cell r="R1397" t="str">
            <v>No inspection</v>
          </cell>
          <cell r="S1397">
            <v>529502.4</v>
          </cell>
          <cell r="T1397" t="str">
            <v>DAP</v>
          </cell>
          <cell r="U1397" t="str">
            <v>PUR</v>
          </cell>
        </row>
        <row r="1398">
          <cell r="D1398">
            <v>7.3</v>
          </cell>
          <cell r="F1398" t="str">
            <v>8XN5177</v>
          </cell>
          <cell r="G1398" t="str">
            <v>KIOXIA CORPORATION C/O KIOXIA AMERICA INC</v>
          </cell>
          <cell r="H1398" t="str">
            <v>Delivered</v>
          </cell>
          <cell r="I1398" t="str">
            <v xml:space="preserve">MEM </v>
          </cell>
          <cell r="J1398" t="str">
            <v>DHL( global)</v>
          </cell>
          <cell r="K1398" t="str">
            <v>VVMV</v>
          </cell>
          <cell r="L1398" t="str">
            <v>JP</v>
          </cell>
          <cell r="M1398">
            <v>46155</v>
          </cell>
          <cell r="N1398">
            <v>46160</v>
          </cell>
          <cell r="O1398">
            <v>46160</v>
          </cell>
          <cell r="P1398">
            <v>108244340040</v>
          </cell>
          <cell r="Q1398">
            <v>46157</v>
          </cell>
          <cell r="R1398" t="str">
            <v>No inspection</v>
          </cell>
          <cell r="S1398">
            <v>529502.4</v>
          </cell>
          <cell r="T1398" t="str">
            <v>DAP</v>
          </cell>
          <cell r="U1398" t="str">
            <v>PUR</v>
          </cell>
        </row>
        <row r="1399">
          <cell r="D1399">
            <v>7.3</v>
          </cell>
          <cell r="F1399" t="str">
            <v>8XN5178</v>
          </cell>
          <cell r="G1399" t="str">
            <v>KIOXIA CORPORATION C/O KIOXIA AMERICA INC</v>
          </cell>
          <cell r="H1399" t="str">
            <v>Delivered</v>
          </cell>
          <cell r="I1399" t="str">
            <v xml:space="preserve">MEM </v>
          </cell>
          <cell r="J1399" t="str">
            <v>DHL( global)</v>
          </cell>
          <cell r="K1399" t="str">
            <v>VVMV</v>
          </cell>
          <cell r="L1399" t="str">
            <v>JP</v>
          </cell>
          <cell r="M1399">
            <v>46155</v>
          </cell>
          <cell r="N1399">
            <v>46160</v>
          </cell>
          <cell r="O1399">
            <v>46160</v>
          </cell>
          <cell r="P1399">
            <v>108244496400</v>
          </cell>
          <cell r="Q1399">
            <v>46157</v>
          </cell>
          <cell r="R1399" t="str">
            <v>No inspection</v>
          </cell>
          <cell r="S1399">
            <v>529502.4</v>
          </cell>
          <cell r="T1399" t="str">
            <v>DAP</v>
          </cell>
          <cell r="U1399" t="str">
            <v>PUR</v>
          </cell>
        </row>
        <row r="1400">
          <cell r="D1400">
            <v>7.3</v>
          </cell>
          <cell r="F1400" t="str">
            <v>8XN5179</v>
          </cell>
          <cell r="G1400" t="str">
            <v>KIOXIA CORPORATION C/O KIOXIA AMERICA INC</v>
          </cell>
          <cell r="H1400" t="str">
            <v>Delivered</v>
          </cell>
          <cell r="I1400" t="str">
            <v xml:space="preserve">MEM </v>
          </cell>
          <cell r="J1400" t="str">
            <v>DHL( global)</v>
          </cell>
          <cell r="K1400" t="str">
            <v>VVMV</v>
          </cell>
          <cell r="L1400" t="str">
            <v>JP</v>
          </cell>
          <cell r="M1400">
            <v>46155</v>
          </cell>
          <cell r="N1400">
            <v>46160</v>
          </cell>
          <cell r="O1400">
            <v>46160</v>
          </cell>
          <cell r="P1400">
            <v>108244415050</v>
          </cell>
          <cell r="Q1400">
            <v>46157</v>
          </cell>
          <cell r="R1400" t="str">
            <v>No inspection</v>
          </cell>
          <cell r="S1400">
            <v>529502.4</v>
          </cell>
          <cell r="T1400" t="str">
            <v>DAP</v>
          </cell>
          <cell r="U1400" t="str">
            <v>PUR</v>
          </cell>
        </row>
        <row r="1401">
          <cell r="D1401">
            <v>7.3</v>
          </cell>
          <cell r="F1401" t="str">
            <v>8XN5180</v>
          </cell>
          <cell r="G1401" t="str">
            <v>KIOXIA CORPORATION C/O KIOXIA AMERICA INC</v>
          </cell>
          <cell r="H1401" t="str">
            <v>Delivered</v>
          </cell>
          <cell r="I1401" t="str">
            <v xml:space="preserve">MEM </v>
          </cell>
          <cell r="J1401" t="str">
            <v>DHL( global)</v>
          </cell>
          <cell r="K1401" t="str">
            <v>VVMV</v>
          </cell>
          <cell r="L1401" t="str">
            <v>JP</v>
          </cell>
          <cell r="M1401">
            <v>46155</v>
          </cell>
          <cell r="N1401">
            <v>46160</v>
          </cell>
          <cell r="O1401">
            <v>46160</v>
          </cell>
          <cell r="P1401">
            <v>108244684550</v>
          </cell>
          <cell r="Q1401">
            <v>46157</v>
          </cell>
          <cell r="R1401" t="str">
            <v>No inspection</v>
          </cell>
          <cell r="S1401">
            <v>529502.4</v>
          </cell>
          <cell r="T1401" t="str">
            <v>DAP</v>
          </cell>
          <cell r="U1401" t="str">
            <v>PUR</v>
          </cell>
        </row>
        <row r="1402">
          <cell r="D1402">
            <v>7.3</v>
          </cell>
          <cell r="F1402" t="str">
            <v>8XN5181</v>
          </cell>
          <cell r="G1402" t="str">
            <v>KIOXIA CORPORATION C/O KIOXIA AMERICA INC</v>
          </cell>
          <cell r="H1402" t="str">
            <v>Delivered</v>
          </cell>
          <cell r="I1402" t="str">
            <v xml:space="preserve">MEM </v>
          </cell>
          <cell r="J1402" t="str">
            <v>DHL( global)</v>
          </cell>
          <cell r="K1402" t="str">
            <v>VVMV</v>
          </cell>
          <cell r="L1402" t="str">
            <v>JP</v>
          </cell>
          <cell r="M1402">
            <v>46155</v>
          </cell>
          <cell r="N1402">
            <v>46160</v>
          </cell>
          <cell r="O1402">
            <v>46160</v>
          </cell>
          <cell r="P1402">
            <v>108244521230</v>
          </cell>
          <cell r="Q1402">
            <v>46157</v>
          </cell>
          <cell r="R1402" t="str">
            <v>No inspection</v>
          </cell>
          <cell r="S1402">
            <v>529502.4</v>
          </cell>
          <cell r="T1402" t="str">
            <v>DAP</v>
          </cell>
          <cell r="U1402" t="str">
            <v>PUR</v>
          </cell>
        </row>
        <row r="1403">
          <cell r="D1403">
            <v>49.4</v>
          </cell>
          <cell r="F1403" t="str">
            <v>8XN5157</v>
          </cell>
          <cell r="G1403" t="str">
            <v>KIOXIA CORPORATION C/O KIOXIA AMERICA INC</v>
          </cell>
          <cell r="H1403" t="str">
            <v>Delivered</v>
          </cell>
          <cell r="I1403" t="str">
            <v xml:space="preserve">MEM </v>
          </cell>
          <cell r="J1403" t="str">
            <v>DHL( global)</v>
          </cell>
          <cell r="K1403" t="str">
            <v>VVMV</v>
          </cell>
          <cell r="L1403" t="str">
            <v>JP</v>
          </cell>
          <cell r="M1403">
            <v>46154</v>
          </cell>
          <cell r="N1403">
            <v>46157</v>
          </cell>
          <cell r="O1403">
            <v>46157</v>
          </cell>
          <cell r="P1403">
            <v>108242159320</v>
          </cell>
          <cell r="Q1403">
            <v>46156</v>
          </cell>
          <cell r="R1403" t="str">
            <v>No inspection</v>
          </cell>
          <cell r="S1403">
            <v>1629631.14</v>
          </cell>
          <cell r="T1403" t="str">
            <v>DAP</v>
          </cell>
          <cell r="U1403" t="str">
            <v>HLO</v>
          </cell>
        </row>
        <row r="1404">
          <cell r="D1404">
            <v>11.4</v>
          </cell>
          <cell r="F1404" t="str">
            <v>8XN5155</v>
          </cell>
          <cell r="G1404" t="str">
            <v>KIOXIA CORPORATION C/O KIOXIA AMERICA INC</v>
          </cell>
          <cell r="H1404" t="str">
            <v>Delivered</v>
          </cell>
          <cell r="I1404" t="str">
            <v xml:space="preserve">MEM </v>
          </cell>
          <cell r="J1404" t="str">
            <v>DHL( global)</v>
          </cell>
          <cell r="K1404" t="str">
            <v>VVMV</v>
          </cell>
          <cell r="L1404" t="str">
            <v>JP</v>
          </cell>
          <cell r="M1404">
            <v>46154</v>
          </cell>
          <cell r="N1404">
            <v>46157</v>
          </cell>
          <cell r="O1404">
            <v>46157</v>
          </cell>
          <cell r="P1404">
            <v>108242996850</v>
          </cell>
          <cell r="Q1404">
            <v>46156</v>
          </cell>
          <cell r="R1404" t="str">
            <v>No inspection</v>
          </cell>
          <cell r="S1404">
            <v>335627.76</v>
          </cell>
          <cell r="T1404" t="str">
            <v>DAP</v>
          </cell>
          <cell r="U1404" t="str">
            <v>HLO</v>
          </cell>
        </row>
        <row r="1405">
          <cell r="D1405">
            <v>53.6</v>
          </cell>
          <cell r="F1405" t="str">
            <v>8XN5156</v>
          </cell>
          <cell r="G1405" t="str">
            <v>KIOXIA CORPORATION C/O KIOXIA AMERICA INC</v>
          </cell>
          <cell r="H1405" t="str">
            <v>Delivered</v>
          </cell>
          <cell r="I1405" t="str">
            <v xml:space="preserve">MEM </v>
          </cell>
          <cell r="J1405" t="str">
            <v>DHL( global)</v>
          </cell>
          <cell r="K1405" t="str">
            <v>VVMV</v>
          </cell>
          <cell r="L1405" t="str">
            <v>JP</v>
          </cell>
          <cell r="M1405">
            <v>46154</v>
          </cell>
          <cell r="N1405">
            <v>46157</v>
          </cell>
          <cell r="O1405">
            <v>46157</v>
          </cell>
          <cell r="P1405">
            <v>108242228510</v>
          </cell>
          <cell r="Q1405">
            <v>46156</v>
          </cell>
          <cell r="R1405" t="str">
            <v>No inspection</v>
          </cell>
          <cell r="S1405">
            <v>1760648.4</v>
          </cell>
          <cell r="T1405" t="str">
            <v>DAP</v>
          </cell>
          <cell r="U1405" t="str">
            <v>HLO</v>
          </cell>
        </row>
        <row r="1406">
          <cell r="D1406">
            <v>111.5</v>
          </cell>
          <cell r="F1406">
            <v>7878947263</v>
          </cell>
          <cell r="G1406" t="str">
            <v>AVNET - CHANDLER</v>
          </cell>
          <cell r="H1406" t="str">
            <v>Delivered</v>
          </cell>
          <cell r="I1406" t="str">
            <v xml:space="preserve">RES , TRAN, DIOD, THER, CAP , IC D, INDU, IND , IC C, CRYS, FERR, MEM </v>
          </cell>
          <cell r="J1406" t="str">
            <v>DHL</v>
          </cell>
          <cell r="K1406" t="str">
            <v>VVMV</v>
          </cell>
          <cell r="L1406" t="str">
            <v>US</v>
          </cell>
          <cell r="M1406">
            <v>46148</v>
          </cell>
          <cell r="N1406">
            <v>46157</v>
          </cell>
          <cell r="O1406">
            <v>46160</v>
          </cell>
          <cell r="P1406" t="str">
            <v>108242990920
108242994160</v>
          </cell>
          <cell r="Q1406">
            <v>46156</v>
          </cell>
          <cell r="R1406" t="str">
            <v>No inspection</v>
          </cell>
          <cell r="S1406">
            <v>104005.41</v>
          </cell>
          <cell r="T1406" t="str">
            <v>CIF</v>
          </cell>
          <cell r="U1406" t="str">
            <v>LUC</v>
          </cell>
        </row>
        <row r="1407">
          <cell r="D1407">
            <v>1.5</v>
          </cell>
          <cell r="F1407">
            <v>524978941052</v>
          </cell>
          <cell r="G1407" t="str">
            <v>MOUSER ELECTRONICS INC</v>
          </cell>
          <cell r="H1407" t="str">
            <v>Delivered</v>
          </cell>
          <cell r="I1407" t="str">
            <v>IC V, TRAN, FERR</v>
          </cell>
          <cell r="J1407" t="str">
            <v>Fedex</v>
          </cell>
          <cell r="K1407" t="str">
            <v>VVMV</v>
          </cell>
          <cell r="L1407" t="str">
            <v>US</v>
          </cell>
          <cell r="M1407">
            <v>46149</v>
          </cell>
          <cell r="N1407">
            <v>46157</v>
          </cell>
          <cell r="O1407">
            <v>46160</v>
          </cell>
          <cell r="P1407">
            <v>108237612230</v>
          </cell>
          <cell r="Q1407">
            <v>46155</v>
          </cell>
          <cell r="R1407" t="str">
            <v>No inspection</v>
          </cell>
          <cell r="S1407">
            <v>2271.84</v>
          </cell>
          <cell r="T1407" t="str">
            <v>CIF</v>
          </cell>
          <cell r="U1407" t="str">
            <v>FMC</v>
          </cell>
        </row>
        <row r="1408">
          <cell r="D1408">
            <v>1.5</v>
          </cell>
          <cell r="F1408">
            <v>381054297320</v>
          </cell>
          <cell r="G1408" t="str">
            <v>MASTER ELECTRONICS</v>
          </cell>
          <cell r="H1408" t="str">
            <v>Delivered</v>
          </cell>
          <cell r="I1408" t="str">
            <v>CONN</v>
          </cell>
          <cell r="J1408" t="str">
            <v>Fedex</v>
          </cell>
          <cell r="K1408" t="str">
            <v>VVMV</v>
          </cell>
          <cell r="L1408" t="str">
            <v>US</v>
          </cell>
          <cell r="M1408">
            <v>46147</v>
          </cell>
          <cell r="N1408">
            <v>46157</v>
          </cell>
          <cell r="O1408">
            <v>46160</v>
          </cell>
          <cell r="P1408">
            <v>108239308700</v>
          </cell>
          <cell r="Q1408">
            <v>46156</v>
          </cell>
          <cell r="R1408" t="str">
            <v>No inspection</v>
          </cell>
          <cell r="S1408">
            <v>297</v>
          </cell>
          <cell r="T1408" t="str">
            <v>CIF</v>
          </cell>
          <cell r="U1408" t="str">
            <v>FMC</v>
          </cell>
        </row>
        <row r="1409">
          <cell r="D1409">
            <v>0.5</v>
          </cell>
          <cell r="F1409">
            <v>524130753981</v>
          </cell>
          <cell r="G1409" t="str">
            <v>ARROW ELECTRONICS, INC.</v>
          </cell>
          <cell r="H1409" t="str">
            <v>Delivered</v>
          </cell>
          <cell r="I1409" t="str">
            <v>CRYT</v>
          </cell>
          <cell r="J1409" t="str">
            <v>Fedex</v>
          </cell>
          <cell r="K1409" t="str">
            <v>VVMV</v>
          </cell>
          <cell r="L1409" t="str">
            <v>US</v>
          </cell>
          <cell r="M1409">
            <v>46148</v>
          </cell>
          <cell r="N1409">
            <v>46157</v>
          </cell>
          <cell r="O1409">
            <v>46160</v>
          </cell>
          <cell r="P1409">
            <v>108240109130</v>
          </cell>
          <cell r="Q1409">
            <v>46156</v>
          </cell>
          <cell r="R1409" t="str">
            <v>No inspection</v>
          </cell>
          <cell r="S1409">
            <v>549.29999999999995</v>
          </cell>
          <cell r="T1409" t="str">
            <v>CIF</v>
          </cell>
          <cell r="U1409" t="str">
            <v>FMC</v>
          </cell>
        </row>
        <row r="1410">
          <cell r="D1410">
            <v>19.5</v>
          </cell>
          <cell r="F1410">
            <v>871556588025</v>
          </cell>
          <cell r="G1410" t="str">
            <v>SUNLORD ELECTRONICS TECHNOLOGY PTE</v>
          </cell>
          <cell r="H1410" t="str">
            <v>Delivered</v>
          </cell>
          <cell r="I1410" t="str">
            <v>CAP , RES , TRAN</v>
          </cell>
          <cell r="J1410" t="str">
            <v>Fedex</v>
          </cell>
          <cell r="K1410" t="str">
            <v>VVMV</v>
          </cell>
          <cell r="L1410" t="str">
            <v>HK</v>
          </cell>
          <cell r="M1410">
            <v>46151</v>
          </cell>
          <cell r="N1410">
            <v>46157</v>
          </cell>
          <cell r="O1410">
            <v>46163</v>
          </cell>
          <cell r="P1410">
            <v>108242269110</v>
          </cell>
          <cell r="Q1410">
            <v>46156</v>
          </cell>
          <cell r="R1410" t="str">
            <v>No inspection</v>
          </cell>
          <cell r="S1410">
            <v>1539.88</v>
          </cell>
          <cell r="T1410" t="str">
            <v>EXW</v>
          </cell>
          <cell r="U1410" t="str">
            <v>EF-</v>
          </cell>
        </row>
        <row r="1411">
          <cell r="D1411">
            <v>1.7</v>
          </cell>
          <cell r="F1411">
            <v>525343654704</v>
          </cell>
          <cell r="G1411" t="str">
            <v>Micron Memory Malaysia Sdn. Bh</v>
          </cell>
          <cell r="H1411" t="str">
            <v>Delivered</v>
          </cell>
          <cell r="I1411" t="str">
            <v xml:space="preserve">MEM </v>
          </cell>
          <cell r="J1411" t="str">
            <v>Fedex</v>
          </cell>
          <cell r="K1411" t="str">
            <v>VVMV</v>
          </cell>
          <cell r="L1411" t="str">
            <v>MY</v>
          </cell>
          <cell r="M1411">
            <v>46149</v>
          </cell>
          <cell r="N1411">
            <v>46157</v>
          </cell>
          <cell r="O1411">
            <v>46160</v>
          </cell>
          <cell r="P1411">
            <v>108238763140</v>
          </cell>
          <cell r="Q1411">
            <v>46155</v>
          </cell>
          <cell r="R1411" t="str">
            <v>No inspection</v>
          </cell>
          <cell r="S1411">
            <v>71880</v>
          </cell>
          <cell r="T1411" t="str">
            <v>CIF</v>
          </cell>
          <cell r="U1411" t="str">
            <v>PUR</v>
          </cell>
        </row>
        <row r="1412">
          <cell r="D1412">
            <v>63.4</v>
          </cell>
          <cell r="F1412">
            <v>477592563597</v>
          </cell>
          <cell r="G1412" t="str">
            <v>QUALCOMM GLOBAL TRADING PTE LTD</v>
          </cell>
          <cell r="H1412" t="str">
            <v>Delivered</v>
          </cell>
          <cell r="I1412" t="str">
            <v>IC C</v>
          </cell>
          <cell r="J1412" t="str">
            <v>Fedex</v>
          </cell>
          <cell r="K1412" t="str">
            <v>VVMV</v>
          </cell>
          <cell r="L1412" t="str">
            <v>SG</v>
          </cell>
          <cell r="M1412">
            <v>46148</v>
          </cell>
          <cell r="N1412">
            <v>46157</v>
          </cell>
          <cell r="O1412">
            <v>46157</v>
          </cell>
          <cell r="P1412">
            <v>108238474740</v>
          </cell>
          <cell r="Q1412">
            <v>46155</v>
          </cell>
          <cell r="R1412" t="str">
            <v>No inspection</v>
          </cell>
          <cell r="S1412">
            <v>190661.76000000001</v>
          </cell>
          <cell r="T1412" t="str">
            <v>EXW</v>
          </cell>
          <cell r="U1412" t="str">
            <v>LUC</v>
          </cell>
        </row>
        <row r="1413">
          <cell r="D1413">
            <v>29</v>
          </cell>
          <cell r="F1413">
            <v>518337586515</v>
          </cell>
          <cell r="G1413" t="str">
            <v>MICROCHIP TECHNOLOGY OPS PHIL CORP</v>
          </cell>
          <cell r="H1413" t="str">
            <v>Delivered</v>
          </cell>
          <cell r="I1413" t="str">
            <v>IC E</v>
          </cell>
          <cell r="J1413" t="str">
            <v>Fedex</v>
          </cell>
          <cell r="K1413" t="str">
            <v>VVMV</v>
          </cell>
          <cell r="L1413" t="str">
            <v>PH</v>
          </cell>
          <cell r="M1413">
            <v>46146</v>
          </cell>
          <cell r="N1413">
            <v>46157</v>
          </cell>
          <cell r="O1413">
            <v>46167</v>
          </cell>
          <cell r="P1413">
            <v>108238781450</v>
          </cell>
          <cell r="Q1413">
            <v>46155</v>
          </cell>
          <cell r="R1413" t="str">
            <v>No inspection</v>
          </cell>
          <cell r="S1413">
            <v>221760</v>
          </cell>
          <cell r="T1413" t="str">
            <v>EXW</v>
          </cell>
          <cell r="U1413" t="str">
            <v>PUR</v>
          </cell>
        </row>
        <row r="1414">
          <cell r="D1414">
            <v>4.0999999999999996</v>
          </cell>
          <cell r="F1414">
            <v>524130716108</v>
          </cell>
          <cell r="G1414" t="str">
            <v>ARROW ELECTRONICS, INC.</v>
          </cell>
          <cell r="H1414" t="str">
            <v>Delivered</v>
          </cell>
          <cell r="I1414" t="str">
            <v xml:space="preserve">CAP </v>
          </cell>
          <cell r="J1414" t="str">
            <v>Fedex</v>
          </cell>
          <cell r="K1414" t="str">
            <v>VVMV</v>
          </cell>
          <cell r="L1414" t="str">
            <v>US</v>
          </cell>
          <cell r="M1414">
            <v>46147</v>
          </cell>
          <cell r="N1414">
            <v>46157</v>
          </cell>
          <cell r="O1414">
            <v>46160</v>
          </cell>
          <cell r="P1414">
            <v>108238538550</v>
          </cell>
          <cell r="Q1414">
            <v>46155</v>
          </cell>
          <cell r="R1414" t="str">
            <v>No inspection</v>
          </cell>
          <cell r="S1414">
            <v>702</v>
          </cell>
          <cell r="T1414" t="str">
            <v>CIF</v>
          </cell>
          <cell r="U1414" t="str">
            <v>LUC</v>
          </cell>
        </row>
        <row r="1415">
          <cell r="D1415">
            <v>1.1000000000000001</v>
          </cell>
          <cell r="F1415">
            <v>489101270912</v>
          </cell>
          <cell r="G1415" t="str">
            <v>ARROW GERMANY C/O Arrow Central Europe</v>
          </cell>
          <cell r="H1415" t="str">
            <v>Delivered</v>
          </cell>
          <cell r="I1415" t="str">
            <v>SWIT</v>
          </cell>
          <cell r="J1415" t="str">
            <v>Fedex</v>
          </cell>
          <cell r="K1415" t="str">
            <v>VVMV</v>
          </cell>
          <cell r="L1415" t="str">
            <v>NL</v>
          </cell>
          <cell r="M1415">
            <v>46147</v>
          </cell>
          <cell r="N1415">
            <v>46157</v>
          </cell>
          <cell r="O1415">
            <v>46157</v>
          </cell>
          <cell r="P1415">
            <v>108238614410</v>
          </cell>
          <cell r="Q1415">
            <v>46155</v>
          </cell>
          <cell r="R1415" t="str">
            <v>No inspection</v>
          </cell>
          <cell r="S1415">
            <v>227.22</v>
          </cell>
          <cell r="T1415" t="str">
            <v>CIF</v>
          </cell>
          <cell r="U1415" t="str">
            <v>EF-</v>
          </cell>
        </row>
        <row r="1416">
          <cell r="D1416">
            <v>6.3</v>
          </cell>
          <cell r="F1416">
            <v>381117292853</v>
          </cell>
          <cell r="G1416" t="str">
            <v>O/B ANALOG DEVICES INTERNATIONAL UC
DHL SUPPLY CHAIN MANAGEMENT PHILS</v>
          </cell>
          <cell r="H1416" t="str">
            <v>Delivered</v>
          </cell>
          <cell r="I1416" t="str">
            <v>IC M</v>
          </cell>
          <cell r="J1416" t="str">
            <v>Fedex</v>
          </cell>
          <cell r="K1416" t="str">
            <v>VVMV</v>
          </cell>
          <cell r="L1416" t="str">
            <v>PH</v>
          </cell>
          <cell r="M1416">
            <v>46149</v>
          </cell>
          <cell r="N1416">
            <v>46157</v>
          </cell>
          <cell r="O1416">
            <v>46164</v>
          </cell>
          <cell r="P1416">
            <v>108238842460</v>
          </cell>
          <cell r="Q1416">
            <v>46155</v>
          </cell>
          <cell r="R1416" t="str">
            <v>No inspection</v>
          </cell>
          <cell r="S1416">
            <v>38240</v>
          </cell>
          <cell r="T1416" t="str">
            <v>EXW</v>
          </cell>
          <cell r="U1416" t="str">
            <v>LUC</v>
          </cell>
        </row>
        <row r="1417">
          <cell r="D1417">
            <v>1.8</v>
          </cell>
          <cell r="F1417">
            <v>500394945278</v>
          </cell>
          <cell r="G1417" t="str">
            <v>WURTH ELEKTRONIK EISOS GMBH &amp; CO. KG</v>
          </cell>
          <cell r="H1417" t="str">
            <v>Delivered</v>
          </cell>
          <cell r="I1417" t="str">
            <v>INDU</v>
          </cell>
          <cell r="J1417" t="str">
            <v>Fedex</v>
          </cell>
          <cell r="K1417" t="str">
            <v>VVMV</v>
          </cell>
          <cell r="L1417" t="str">
            <v>DE</v>
          </cell>
          <cell r="M1417">
            <v>46149</v>
          </cell>
          <cell r="N1417">
            <v>46157</v>
          </cell>
          <cell r="O1417">
            <v>46167</v>
          </cell>
          <cell r="P1417">
            <v>108238887960</v>
          </cell>
          <cell r="Q1417">
            <v>46155</v>
          </cell>
          <cell r="R1417" t="str">
            <v>No inspection</v>
          </cell>
          <cell r="S1417">
            <v>360</v>
          </cell>
          <cell r="T1417" t="str">
            <v>CIF</v>
          </cell>
          <cell r="U1417" t="str">
            <v>EF-</v>
          </cell>
        </row>
        <row r="1418">
          <cell r="D1418">
            <v>108</v>
          </cell>
          <cell r="F1418">
            <v>381051768903</v>
          </cell>
          <cell r="G1418" t="str">
            <v>ROSENBERGER HOCHFREQUENZTECHNIK</v>
          </cell>
          <cell r="H1418" t="str">
            <v>Delivered</v>
          </cell>
          <cell r="I1418" t="str">
            <v>CONN</v>
          </cell>
          <cell r="J1418" t="str">
            <v>Fedex</v>
          </cell>
          <cell r="K1418" t="str">
            <v>VVMV</v>
          </cell>
          <cell r="L1418" t="str">
            <v>HU</v>
          </cell>
          <cell r="M1418">
            <v>46147</v>
          </cell>
          <cell r="N1418">
            <v>46157</v>
          </cell>
          <cell r="O1418">
            <v>46161</v>
          </cell>
          <cell r="P1418">
            <v>108238713110</v>
          </cell>
          <cell r="Q1418">
            <v>46155</v>
          </cell>
          <cell r="R1418" t="str">
            <v>No inspection</v>
          </cell>
          <cell r="S1418">
            <v>9116.1</v>
          </cell>
          <cell r="T1418" t="str">
            <v>CIF</v>
          </cell>
          <cell r="U1418" t="str">
            <v>LUC</v>
          </cell>
        </row>
        <row r="1419">
          <cell r="D1419">
            <v>127</v>
          </cell>
          <cell r="F1419">
            <v>381048998868</v>
          </cell>
          <cell r="G1419" t="str">
            <v>ROSENBERGER HOCHFREQUENZTECHNIK</v>
          </cell>
          <cell r="H1419" t="str">
            <v>Delivered</v>
          </cell>
          <cell r="I1419" t="str">
            <v>CONN</v>
          </cell>
          <cell r="J1419" t="str">
            <v>Fedex</v>
          </cell>
          <cell r="K1419" t="str">
            <v>VVMV</v>
          </cell>
          <cell r="L1419" t="str">
            <v>HU</v>
          </cell>
          <cell r="M1419">
            <v>46147</v>
          </cell>
          <cell r="N1419">
            <v>46157</v>
          </cell>
          <cell r="O1419">
            <v>46168</v>
          </cell>
          <cell r="P1419">
            <v>108238915150</v>
          </cell>
          <cell r="Q1419">
            <v>46155</v>
          </cell>
          <cell r="R1419" t="str">
            <v>No inspection</v>
          </cell>
          <cell r="S1419">
            <v>10939.32</v>
          </cell>
          <cell r="T1419" t="str">
            <v>CIF</v>
          </cell>
          <cell r="U1419" t="str">
            <v>LUC</v>
          </cell>
        </row>
        <row r="1420">
          <cell r="D1420">
            <v>1790.2660000000001</v>
          </cell>
          <cell r="F1420" t="str">
            <v>PSHPH2650040</v>
          </cell>
          <cell r="G1420" t="str">
            <v>COMPEQ MANUFACTURING CO., LTD</v>
          </cell>
          <cell r="H1420" t="str">
            <v>Delivered</v>
          </cell>
          <cell r="I1420" t="str">
            <v>PCB , 	PCB</v>
          </cell>
          <cell r="J1420" t="str">
            <v>VVMV(sea)</v>
          </cell>
          <cell r="K1420" t="str">
            <v>VVMV</v>
          </cell>
          <cell r="L1420" t="str">
            <v>TW</v>
          </cell>
          <cell r="M1420">
            <v>46152</v>
          </cell>
          <cell r="N1420">
            <v>46160</v>
          </cell>
          <cell r="O1420">
            <v>46160</v>
          </cell>
          <cell r="P1420">
            <v>108242047060</v>
          </cell>
          <cell r="Q1420">
            <v>46156</v>
          </cell>
          <cell r="R1420" t="str">
            <v>No inspection</v>
          </cell>
          <cell r="S1420">
            <v>288992.94</v>
          </cell>
          <cell r="T1420" t="str">
            <v>FOB</v>
          </cell>
          <cell r="U1420" t="str">
            <v>PUR</v>
          </cell>
        </row>
        <row r="1421">
          <cell r="D1421">
            <v>0.9</v>
          </cell>
          <cell r="F1421">
            <v>871503358284</v>
          </cell>
          <cell r="G1421" t="str">
            <v>Pure Storage, Inc</v>
          </cell>
          <cell r="H1421" t="str">
            <v>Delivered</v>
          </cell>
          <cell r="I1421" t="str">
            <v>IC F</v>
          </cell>
          <cell r="J1421" t="str">
            <v>Fedex</v>
          </cell>
          <cell r="K1421" t="str">
            <v>VVMV</v>
          </cell>
          <cell r="L1421" t="str">
            <v>US</v>
          </cell>
          <cell r="M1421">
            <v>46148</v>
          </cell>
          <cell r="N1421">
            <v>46160</v>
          </cell>
          <cell r="O1421">
            <v>46167</v>
          </cell>
          <cell r="P1421">
            <v>108250175940</v>
          </cell>
          <cell r="Q1421">
            <v>46160</v>
          </cell>
          <cell r="R1421" t="str">
            <v>No inspection</v>
          </cell>
          <cell r="S1421">
            <v>19.11</v>
          </cell>
          <cell r="T1421" t="str">
            <v>DAP</v>
          </cell>
          <cell r="U1421" t="str">
            <v>PUR</v>
          </cell>
        </row>
        <row r="1422">
          <cell r="D1422">
            <v>70</v>
          </cell>
          <cell r="F1422">
            <v>4812916206</v>
          </cell>
          <cell r="G1422" t="str">
            <v>LIPERS ENTERPRISE CO LTD</v>
          </cell>
          <cell r="H1422" t="str">
            <v>Delivered</v>
          </cell>
          <cell r="I1422" t="str">
            <v xml:space="preserve">CAP </v>
          </cell>
          <cell r="J1422" t="str">
            <v>Expeditors</v>
          </cell>
          <cell r="K1422" t="str">
            <v>VVMV</v>
          </cell>
          <cell r="L1422" t="str">
            <v>TW</v>
          </cell>
          <cell r="M1422">
            <v>46154</v>
          </cell>
          <cell r="N1422">
            <v>46156</v>
          </cell>
          <cell r="O1422">
            <v>46156</v>
          </cell>
          <cell r="P1422">
            <v>108238994140</v>
          </cell>
          <cell r="Q1422">
            <v>46155</v>
          </cell>
          <cell r="R1422" t="str">
            <v>No inspection</v>
          </cell>
          <cell r="S1422">
            <v>9861.2999999999993</v>
          </cell>
          <cell r="T1422" t="str">
            <v>FOB</v>
          </cell>
          <cell r="U1422" t="str">
            <v>PUR</v>
          </cell>
        </row>
        <row r="1423">
          <cell r="D1423">
            <v>5</v>
          </cell>
          <cell r="F1423">
            <v>737415968777</v>
          </cell>
          <cell r="G1423" t="str">
            <v>ARROW COMPONENTS (M) SDN BHD</v>
          </cell>
          <cell r="H1423" t="str">
            <v>Delivered</v>
          </cell>
          <cell r="I1423" t="str">
            <v>RES , DIOD, CAP , SWIT, SERI</v>
          </cell>
          <cell r="J1423" t="str">
            <v>Fedex</v>
          </cell>
          <cell r="K1423" t="str">
            <v>VVMV</v>
          </cell>
          <cell r="L1423" t="str">
            <v>MY</v>
          </cell>
          <cell r="M1423">
            <v>46140</v>
          </cell>
          <cell r="N1423">
            <v>46157</v>
          </cell>
          <cell r="O1423">
            <v>46160</v>
          </cell>
          <cell r="P1423">
            <v>108239266000</v>
          </cell>
          <cell r="Q1423">
            <v>46156</v>
          </cell>
          <cell r="R1423" t="str">
            <v>No inspection</v>
          </cell>
          <cell r="S1423">
            <v>23505.759999999998</v>
          </cell>
          <cell r="T1423" t="str">
            <v>EXW</v>
          </cell>
          <cell r="U1423" t="str">
            <v>LUC</v>
          </cell>
        </row>
        <row r="1424">
          <cell r="D1424">
            <v>1.9</v>
          </cell>
          <cell r="F1424">
            <v>510007349877</v>
          </cell>
          <cell r="G1424" t="str">
            <v>Sino Faith Technology Development</v>
          </cell>
          <cell r="H1424" t="str">
            <v>Delivered</v>
          </cell>
          <cell r="I1424" t="str">
            <v>RES , FERR</v>
          </cell>
          <cell r="J1424" t="str">
            <v>Fedex</v>
          </cell>
          <cell r="K1424" t="str">
            <v>VVMV</v>
          </cell>
          <cell r="L1424" t="str">
            <v>HK</v>
          </cell>
          <cell r="M1424">
            <v>46150</v>
          </cell>
          <cell r="N1424">
            <v>46160</v>
          </cell>
          <cell r="O1424">
            <v>46163</v>
          </cell>
          <cell r="P1424">
            <v>108242718950</v>
          </cell>
          <cell r="Q1424">
            <v>46156</v>
          </cell>
          <cell r="R1424" t="str">
            <v>No inspection</v>
          </cell>
          <cell r="S1424">
            <v>64.7</v>
          </cell>
          <cell r="T1424" t="str">
            <v>EXW</v>
          </cell>
          <cell r="U1424" t="str">
            <v>FMC</v>
          </cell>
        </row>
        <row r="1425">
          <cell r="D1425">
            <v>5.5</v>
          </cell>
          <cell r="F1425">
            <v>451257570485</v>
          </cell>
          <cell r="G1425" t="str">
            <v>COILCRAFT SINGAPORE PTE LTD</v>
          </cell>
          <cell r="H1425" t="str">
            <v>Delivered</v>
          </cell>
          <cell r="I1425" t="str">
            <v xml:space="preserve">IND </v>
          </cell>
          <cell r="J1425" t="str">
            <v>Fedex</v>
          </cell>
          <cell r="K1425" t="str">
            <v>VVMV</v>
          </cell>
          <cell r="L1425" t="str">
            <v>SG</v>
          </cell>
          <cell r="M1425">
            <v>46150</v>
          </cell>
          <cell r="N1425">
            <v>46157</v>
          </cell>
          <cell r="O1425">
            <v>46164</v>
          </cell>
          <cell r="P1425">
            <v>108238948420</v>
          </cell>
          <cell r="Q1425">
            <v>46155</v>
          </cell>
          <cell r="R1425" t="str">
            <v>No inspection</v>
          </cell>
          <cell r="S1425">
            <v>3184.5</v>
          </cell>
          <cell r="T1425" t="str">
            <v>EXW</v>
          </cell>
          <cell r="U1425" t="str">
            <v>LUC</v>
          </cell>
        </row>
        <row r="1426">
          <cell r="D1426">
            <v>10.3</v>
          </cell>
          <cell r="F1426">
            <v>871565642855</v>
          </cell>
          <cell r="G1426" t="str">
            <v>WURTH ELECTRONICS MIDCOM</v>
          </cell>
          <cell r="H1426" t="str">
            <v>Delivered</v>
          </cell>
          <cell r="I1426" t="str">
            <v xml:space="preserve">IND </v>
          </cell>
          <cell r="J1426" t="str">
            <v>Fedex</v>
          </cell>
          <cell r="K1426" t="str">
            <v>VVMV</v>
          </cell>
          <cell r="L1426" t="str">
            <v>US</v>
          </cell>
          <cell r="M1426">
            <v>46150</v>
          </cell>
          <cell r="N1426">
            <v>46160</v>
          </cell>
          <cell r="O1426">
            <v>46163</v>
          </cell>
          <cell r="P1426">
            <v>108247010760</v>
          </cell>
          <cell r="Q1426">
            <v>46157</v>
          </cell>
          <cell r="R1426" t="str">
            <v>No inspection</v>
          </cell>
          <cell r="S1426">
            <v>18900</v>
          </cell>
          <cell r="T1426" t="str">
            <v>CIF</v>
          </cell>
          <cell r="U1426" t="str">
            <v>LUC</v>
          </cell>
        </row>
        <row r="1427">
          <cell r="D1427">
            <v>1.7</v>
          </cell>
          <cell r="F1427">
            <v>417969495244</v>
          </cell>
          <cell r="G1427" t="str">
            <v>ASE ELECTRONICS (M) SDN BHD</v>
          </cell>
          <cell r="H1427" t="str">
            <v>Delivered</v>
          </cell>
          <cell r="I1427" t="str">
            <v>PCIE</v>
          </cell>
          <cell r="J1427" t="str">
            <v>Fedex</v>
          </cell>
          <cell r="K1427" t="str">
            <v>VVMV</v>
          </cell>
          <cell r="L1427" t="str">
            <v>MY</v>
          </cell>
          <cell r="M1427">
            <v>46153</v>
          </cell>
          <cell r="N1427">
            <v>46160</v>
          </cell>
          <cell r="O1427">
            <v>46162</v>
          </cell>
          <cell r="P1427">
            <v>108242372820</v>
          </cell>
          <cell r="Q1427">
            <v>46156</v>
          </cell>
          <cell r="R1427" t="str">
            <v>No inspection</v>
          </cell>
          <cell r="S1427">
            <v>1842.4</v>
          </cell>
          <cell r="T1427" t="str">
            <v>EXW</v>
          </cell>
          <cell r="U1427" t="str">
            <v>EF-</v>
          </cell>
        </row>
        <row r="1428">
          <cell r="D1428">
            <v>125.1</v>
          </cell>
          <cell r="F1428">
            <v>477592562774</v>
          </cell>
          <cell r="G1428" t="str">
            <v>QUALCOMM CDMA TECHNOLOGIES ASIA-PAC</v>
          </cell>
          <cell r="H1428" t="str">
            <v>Delivered</v>
          </cell>
          <cell r="I1428" t="str">
            <v>IC P</v>
          </cell>
          <cell r="J1428" t="str">
            <v>Fedex</v>
          </cell>
          <cell r="K1428" t="str">
            <v>VVMV</v>
          </cell>
          <cell r="L1428" t="str">
            <v>SG</v>
          </cell>
          <cell r="M1428">
            <v>46150</v>
          </cell>
          <cell r="N1428">
            <v>46160</v>
          </cell>
          <cell r="O1428">
            <v>46163</v>
          </cell>
          <cell r="P1428">
            <v>108242558210</v>
          </cell>
          <cell r="Q1428">
            <v>46156</v>
          </cell>
          <cell r="R1428" t="str">
            <v>No inspection</v>
          </cell>
          <cell r="S1428">
            <v>522547.20000000001</v>
          </cell>
          <cell r="T1428" t="str">
            <v>EXW</v>
          </cell>
          <cell r="U1428" t="str">
            <v>LUC</v>
          </cell>
        </row>
        <row r="1429">
          <cell r="D1429">
            <v>12.4</v>
          </cell>
          <cell r="F1429">
            <v>871633572370</v>
          </cell>
          <cell r="G1429" t="str">
            <v>CYMMETRIK SHENZHEN PRINTING CO., LTD</v>
          </cell>
          <cell r="H1429" t="str">
            <v>Delivered</v>
          </cell>
          <cell r="I1429" t="str">
            <v>LABE</v>
          </cell>
          <cell r="J1429" t="str">
            <v>Fedex</v>
          </cell>
          <cell r="K1429" t="str">
            <v>VVMV</v>
          </cell>
          <cell r="L1429" t="str">
            <v>CN</v>
          </cell>
          <cell r="M1429">
            <v>46153</v>
          </cell>
          <cell r="N1429">
            <v>46160</v>
          </cell>
          <cell r="O1429">
            <v>46163</v>
          </cell>
          <cell r="P1429">
            <v>108242612110</v>
          </cell>
          <cell r="Q1429">
            <v>46156</v>
          </cell>
          <cell r="R1429" t="str">
            <v>No inspection</v>
          </cell>
          <cell r="S1429">
            <v>3460</v>
          </cell>
          <cell r="T1429" t="str">
            <v>EXW</v>
          </cell>
          <cell r="U1429" t="str">
            <v>PUR</v>
          </cell>
        </row>
        <row r="1430">
          <cell r="D1430">
            <v>1</v>
          </cell>
          <cell r="F1430">
            <v>381146363168</v>
          </cell>
          <cell r="G1430" t="str">
            <v>C/O DHL SUPPLY CHAIN THAILAND LIMIT
ANALOG DEVICES (THAILAND) CO., LTD.</v>
          </cell>
          <cell r="H1430" t="str">
            <v>Delivered</v>
          </cell>
          <cell r="I1430" t="str">
            <v>IC,V</v>
          </cell>
          <cell r="J1430" t="str">
            <v>Fedex</v>
          </cell>
          <cell r="K1430" t="str">
            <v>VVMV</v>
          </cell>
          <cell r="L1430" t="str">
            <v>TH</v>
          </cell>
          <cell r="M1430">
            <v>46149</v>
          </cell>
          <cell r="N1430">
            <v>46160</v>
          </cell>
          <cell r="O1430">
            <v>46162</v>
          </cell>
          <cell r="P1430">
            <v>108242804020</v>
          </cell>
          <cell r="Q1430">
            <v>46156</v>
          </cell>
          <cell r="R1430" t="str">
            <v>No inspection</v>
          </cell>
          <cell r="S1430">
            <v>1450</v>
          </cell>
          <cell r="T1430" t="str">
            <v>EXW</v>
          </cell>
          <cell r="U1430" t="str">
            <v>PUR</v>
          </cell>
        </row>
        <row r="1431">
          <cell r="D1431">
            <v>1.7</v>
          </cell>
          <cell r="F1431">
            <v>381233349086</v>
          </cell>
          <cell r="G1431" t="str">
            <v>O/B ANALOG DEVICES INTERNATIONAL UC
DHL SUPPLY CHAIN MANAGEMENT PHILS</v>
          </cell>
          <cell r="H1431" t="str">
            <v>Delivered</v>
          </cell>
          <cell r="I1431" t="str">
            <v>IC P</v>
          </cell>
          <cell r="J1431" t="str">
            <v>Fedex</v>
          </cell>
          <cell r="K1431" t="str">
            <v>VVMV</v>
          </cell>
          <cell r="L1431" t="str">
            <v>PH</v>
          </cell>
          <cell r="M1431">
            <v>46153</v>
          </cell>
          <cell r="N1431">
            <v>46160</v>
          </cell>
          <cell r="O1431">
            <v>46162</v>
          </cell>
          <cell r="P1431">
            <v>108243074220</v>
          </cell>
          <cell r="Q1431">
            <v>46156</v>
          </cell>
          <cell r="R1431" t="str">
            <v>No inspection</v>
          </cell>
          <cell r="S1431">
            <v>6305</v>
          </cell>
          <cell r="T1431" t="str">
            <v>EXW</v>
          </cell>
          <cell r="U1431" t="str">
            <v>FMC</v>
          </cell>
        </row>
        <row r="1432">
          <cell r="D1432">
            <v>3.1</v>
          </cell>
          <cell r="F1432">
            <v>523488274549</v>
          </cell>
          <cell r="G1432" t="str">
            <v>WPG SOUTH ASIA PTE LTD</v>
          </cell>
          <cell r="H1432" t="str">
            <v>Delivered</v>
          </cell>
          <cell r="I1432" t="str">
            <v>TRAN</v>
          </cell>
          <cell r="J1432" t="str">
            <v>Fedex</v>
          </cell>
          <cell r="K1432" t="str">
            <v>VVMV</v>
          </cell>
          <cell r="L1432" t="str">
            <v>SG</v>
          </cell>
          <cell r="M1432">
            <v>46153</v>
          </cell>
          <cell r="N1432">
            <v>46160</v>
          </cell>
          <cell r="O1432">
            <v>46161</v>
          </cell>
          <cell r="P1432">
            <v>108242915320</v>
          </cell>
          <cell r="Q1432">
            <v>46156</v>
          </cell>
          <cell r="R1432" t="str">
            <v>No inspection</v>
          </cell>
          <cell r="S1432">
            <v>830.7</v>
          </cell>
          <cell r="T1432" t="str">
            <v>EXW</v>
          </cell>
          <cell r="U1432" t="str">
            <v>LUC</v>
          </cell>
        </row>
        <row r="1433">
          <cell r="D1433">
            <v>24</v>
          </cell>
          <cell r="F1433">
            <v>871508538463</v>
          </cell>
          <cell r="G1433" t="str">
            <v>AMPHENOL FCI ASIA PTE LTD</v>
          </cell>
          <cell r="H1433" t="str">
            <v>Delivered</v>
          </cell>
          <cell r="I1433" t="str">
            <v>CONN</v>
          </cell>
          <cell r="J1433" t="str">
            <v>Fedex</v>
          </cell>
          <cell r="K1433" t="str">
            <v>VVMV</v>
          </cell>
          <cell r="L1433" t="str">
            <v>SG</v>
          </cell>
          <cell r="M1433">
            <v>46150</v>
          </cell>
          <cell r="N1433">
            <v>46160</v>
          </cell>
          <cell r="O1433">
            <v>46163</v>
          </cell>
          <cell r="P1433">
            <v>108243069910</v>
          </cell>
          <cell r="Q1433">
            <v>46156</v>
          </cell>
          <cell r="R1433" t="str">
            <v>No inspection</v>
          </cell>
          <cell r="S1433">
            <v>8667</v>
          </cell>
          <cell r="T1433" t="str">
            <v>EXW</v>
          </cell>
          <cell r="U1433" t="str">
            <v>PUR</v>
          </cell>
        </row>
        <row r="1434">
          <cell r="D1434">
            <v>3</v>
          </cell>
          <cell r="F1434">
            <v>871555821601</v>
          </cell>
          <cell r="G1434" t="str">
            <v>WPG SOUTH ASIA PTE LTD.</v>
          </cell>
          <cell r="H1434" t="str">
            <v>Delivered</v>
          </cell>
          <cell r="I1434" t="str">
            <v>IC M</v>
          </cell>
          <cell r="J1434" t="str">
            <v>Fedex</v>
          </cell>
          <cell r="K1434" t="str">
            <v>VVMV</v>
          </cell>
          <cell r="L1434" t="str">
            <v>HK</v>
          </cell>
          <cell r="M1434">
            <v>46150</v>
          </cell>
          <cell r="N1434">
            <v>46160</v>
          </cell>
          <cell r="O1434">
            <v>46162</v>
          </cell>
          <cell r="P1434">
            <v>108242648730</v>
          </cell>
          <cell r="Q1434">
            <v>46156</v>
          </cell>
          <cell r="R1434" t="str">
            <v>No inspection</v>
          </cell>
          <cell r="S1434">
            <v>18975</v>
          </cell>
          <cell r="T1434" t="str">
            <v>EXW</v>
          </cell>
          <cell r="U1434" t="str">
            <v>LUC</v>
          </cell>
        </row>
        <row r="1435">
          <cell r="D1435">
            <v>1.7</v>
          </cell>
          <cell r="F1435">
            <v>871552641540</v>
          </cell>
          <cell r="G1435" t="str">
            <v>SUNLORD ELECTRONICS TECHNOLOGY PTE</v>
          </cell>
          <cell r="H1435" t="str">
            <v>Delivered</v>
          </cell>
          <cell r="I1435" t="str">
            <v xml:space="preserve">CAP , RES </v>
          </cell>
          <cell r="J1435" t="str">
            <v>Fedex</v>
          </cell>
          <cell r="K1435" t="str">
            <v>VVMV</v>
          </cell>
          <cell r="L1435" t="str">
            <v>SG</v>
          </cell>
          <cell r="M1435">
            <v>46150</v>
          </cell>
          <cell r="N1435">
            <v>46160</v>
          </cell>
          <cell r="O1435">
            <v>46162</v>
          </cell>
          <cell r="P1435">
            <v>108242960560</v>
          </cell>
          <cell r="Q1435">
            <v>46156</v>
          </cell>
          <cell r="R1435" t="str">
            <v>No inspection</v>
          </cell>
          <cell r="S1435">
            <v>767.9</v>
          </cell>
          <cell r="T1435" t="str">
            <v>EXW</v>
          </cell>
          <cell r="U1435" t="str">
            <v>EF-</v>
          </cell>
        </row>
        <row r="1436">
          <cell r="D1436">
            <v>0.5</v>
          </cell>
          <cell r="F1436">
            <v>469369338728</v>
          </cell>
          <cell r="G1436" t="str">
            <v>TXC CORPORATION</v>
          </cell>
          <cell r="H1436" t="str">
            <v>Delivered</v>
          </cell>
          <cell r="I1436" t="str">
            <v>CRYS</v>
          </cell>
          <cell r="J1436" t="str">
            <v>Fedex</v>
          </cell>
          <cell r="K1436" t="str">
            <v>VVMV</v>
          </cell>
          <cell r="L1436" t="str">
            <v>TW</v>
          </cell>
          <cell r="M1436">
            <v>46153</v>
          </cell>
          <cell r="N1436">
            <v>46160</v>
          </cell>
          <cell r="O1436">
            <v>46163</v>
          </cell>
          <cell r="P1436">
            <v>108243054950</v>
          </cell>
          <cell r="Q1436">
            <v>46156</v>
          </cell>
          <cell r="R1436" t="str">
            <v>No inspection</v>
          </cell>
          <cell r="S1436">
            <v>270</v>
          </cell>
          <cell r="T1436" t="str">
            <v>EXW</v>
          </cell>
          <cell r="U1436" t="str">
            <v>EF-</v>
          </cell>
        </row>
        <row r="1437">
          <cell r="D1437">
            <v>4.5</v>
          </cell>
          <cell r="F1437">
            <v>381181286878</v>
          </cell>
          <cell r="G1437" t="str">
            <v>MASTER ELECTRONICS</v>
          </cell>
          <cell r="H1437" t="str">
            <v>Delivered</v>
          </cell>
          <cell r="I1437" t="str">
            <v xml:space="preserve">IND </v>
          </cell>
          <cell r="J1437" t="str">
            <v>Fedex</v>
          </cell>
          <cell r="K1437" t="str">
            <v>VVMV</v>
          </cell>
          <cell r="L1437" t="str">
            <v>US</v>
          </cell>
          <cell r="M1437">
            <v>46151</v>
          </cell>
          <cell r="N1437">
            <v>46160</v>
          </cell>
          <cell r="O1437">
            <v>46162</v>
          </cell>
          <cell r="P1437">
            <v>108246813620</v>
          </cell>
          <cell r="Q1437">
            <v>46157</v>
          </cell>
          <cell r="R1437" t="str">
            <v>No inspection</v>
          </cell>
          <cell r="S1437">
            <v>606</v>
          </cell>
          <cell r="T1437" t="str">
            <v>CIF</v>
          </cell>
          <cell r="U1437" t="str">
            <v>FMC</v>
          </cell>
        </row>
        <row r="1438">
          <cell r="D1438">
            <v>42.4</v>
          </cell>
          <cell r="F1438">
            <v>481663285401</v>
          </cell>
          <cell r="G1438" t="str">
            <v>AMPHENOL EAST ASIA LTD</v>
          </cell>
          <cell r="H1438" t="str">
            <v>Delivered</v>
          </cell>
          <cell r="I1438" t="str">
            <v>CONN</v>
          </cell>
          <cell r="J1438" t="str">
            <v>Fedex</v>
          </cell>
          <cell r="K1438" t="str">
            <v>VVMV</v>
          </cell>
          <cell r="L1438" t="str">
            <v>HK</v>
          </cell>
          <cell r="M1438">
            <v>46153</v>
          </cell>
          <cell r="N1438">
            <v>46160</v>
          </cell>
          <cell r="O1438">
            <v>46163</v>
          </cell>
          <cell r="P1438">
            <v>108242977730</v>
          </cell>
          <cell r="Q1438">
            <v>46156</v>
          </cell>
          <cell r="R1438" t="str">
            <v>No inspection</v>
          </cell>
          <cell r="S1438">
            <v>21319.200000000001</v>
          </cell>
          <cell r="T1438" t="str">
            <v>EXW</v>
          </cell>
          <cell r="U1438" t="str">
            <v>PUR</v>
          </cell>
        </row>
        <row r="1439">
          <cell r="D1439">
            <v>0.3</v>
          </cell>
          <cell r="F1439">
            <v>496860955473</v>
          </cell>
          <cell r="G1439" t="str">
            <v>STARS MICROELECTRONICS (THAILAND)</v>
          </cell>
          <cell r="H1439" t="str">
            <v>Delivered</v>
          </cell>
          <cell r="I1439" t="str">
            <v>IC M</v>
          </cell>
          <cell r="J1439" t="str">
            <v>Fedex</v>
          </cell>
          <cell r="K1439" t="str">
            <v>VVMV</v>
          </cell>
          <cell r="L1439" t="str">
            <v>TH</v>
          </cell>
          <cell r="M1439">
            <v>46150</v>
          </cell>
          <cell r="N1439">
            <v>46160</v>
          </cell>
          <cell r="O1439">
            <v>46162</v>
          </cell>
          <cell r="P1439">
            <v>108243346150</v>
          </cell>
          <cell r="Q1439">
            <v>46157</v>
          </cell>
          <cell r="R1439" t="str">
            <v>No inspection</v>
          </cell>
          <cell r="S1439">
            <v>300</v>
          </cell>
          <cell r="T1439" t="str">
            <v>EXW</v>
          </cell>
          <cell r="U1439" t="str">
            <v>EF-</v>
          </cell>
        </row>
        <row r="1440">
          <cell r="D1440">
            <v>4</v>
          </cell>
          <cell r="F1440">
            <v>871682517684</v>
          </cell>
          <cell r="G1440" t="str">
            <v>FUTURETECH COMPONENTS LTD</v>
          </cell>
          <cell r="H1440" t="str">
            <v>Delivered</v>
          </cell>
          <cell r="I1440" t="str">
            <v>TRAN, DIOD</v>
          </cell>
          <cell r="J1440" t="str">
            <v>Fedex</v>
          </cell>
          <cell r="K1440" t="str">
            <v>VVMV</v>
          </cell>
          <cell r="L1440" t="str">
            <v>HK</v>
          </cell>
          <cell r="M1440">
            <v>46154</v>
          </cell>
          <cell r="N1440">
            <v>46160</v>
          </cell>
          <cell r="O1440">
            <v>46162</v>
          </cell>
          <cell r="P1440">
            <v>108243056240</v>
          </cell>
          <cell r="Q1440">
            <v>46156</v>
          </cell>
          <cell r="R1440" t="str">
            <v>No inspection</v>
          </cell>
          <cell r="S1440">
            <v>25794.06</v>
          </cell>
          <cell r="T1440" t="str">
            <v>EXW</v>
          </cell>
          <cell r="U1440" t="str">
            <v>LUC</v>
          </cell>
        </row>
        <row r="1441">
          <cell r="D1441">
            <v>40</v>
          </cell>
          <cell r="F1441">
            <v>871631953568</v>
          </cell>
          <cell r="G1441" t="str">
            <v>STEADFAST INDUSTRIAL PTE LTD</v>
          </cell>
          <cell r="H1441" t="str">
            <v>Delivered</v>
          </cell>
          <cell r="I1441" t="str">
            <v>STAN</v>
          </cell>
          <cell r="J1441" t="str">
            <v>Fedex</v>
          </cell>
          <cell r="K1441" t="str">
            <v>VVMV</v>
          </cell>
          <cell r="L1441" t="str">
            <v>SG</v>
          </cell>
          <cell r="M1441">
            <v>46153</v>
          </cell>
          <cell r="N1441">
            <v>46160</v>
          </cell>
          <cell r="O1441">
            <v>46161</v>
          </cell>
          <cell r="P1441">
            <v>108243060810</v>
          </cell>
          <cell r="Q1441">
            <v>46156</v>
          </cell>
          <cell r="R1441" t="str">
            <v>No inspection</v>
          </cell>
          <cell r="S1441">
            <v>1536</v>
          </cell>
          <cell r="T1441" t="str">
            <v>EXW</v>
          </cell>
          <cell r="U1441" t="str">
            <v>PUR</v>
          </cell>
        </row>
        <row r="1442">
          <cell r="D1442">
            <v>2.1</v>
          </cell>
          <cell r="F1442">
            <v>381174961702</v>
          </cell>
          <cell r="G1442" t="str">
            <v>c/o DHL Supply Chain SGP P/L
Texas Instruments Southeast Asia Pt</v>
          </cell>
          <cell r="H1442" t="str">
            <v>Delivered</v>
          </cell>
          <cell r="I1442" t="str">
            <v>IC T, IC S</v>
          </cell>
          <cell r="J1442" t="str">
            <v>Fedex</v>
          </cell>
          <cell r="K1442" t="str">
            <v>VVMV</v>
          </cell>
          <cell r="L1442" t="str">
            <v>SG</v>
          </cell>
          <cell r="M1442">
            <v>46151</v>
          </cell>
          <cell r="N1442">
            <v>46160</v>
          </cell>
          <cell r="O1442">
            <v>46162</v>
          </cell>
          <cell r="P1442">
            <v>108243015640</v>
          </cell>
          <cell r="Q1442">
            <v>46156</v>
          </cell>
          <cell r="R1442" t="str">
            <v>No inspection</v>
          </cell>
          <cell r="S1442">
            <v>4428</v>
          </cell>
          <cell r="T1442" t="str">
            <v>EXW</v>
          </cell>
          <cell r="U1442" t="str">
            <v>PUR</v>
          </cell>
        </row>
        <row r="1443">
          <cell r="D1443">
            <v>24.2</v>
          </cell>
          <cell r="F1443">
            <v>525343719110</v>
          </cell>
          <cell r="G1443" t="str">
            <v>Micron Memory Malaysia Sdn. Bh</v>
          </cell>
          <cell r="H1443" t="str">
            <v>Delivered</v>
          </cell>
          <cell r="I1443" t="str">
            <v xml:space="preserve">MEM </v>
          </cell>
          <cell r="J1443" t="str">
            <v>Fedex</v>
          </cell>
          <cell r="K1443" t="str">
            <v>VVMV</v>
          </cell>
          <cell r="L1443" t="str">
            <v>MY</v>
          </cell>
          <cell r="M1443">
            <v>46154</v>
          </cell>
          <cell r="N1443">
            <v>46162</v>
          </cell>
          <cell r="O1443">
            <v>46161</v>
          </cell>
          <cell r="P1443">
            <v>108249964760</v>
          </cell>
          <cell r="Q1443">
            <v>46160</v>
          </cell>
          <cell r="R1443" t="str">
            <v>No inspection</v>
          </cell>
          <cell r="S1443">
            <v>1940544.7</v>
          </cell>
          <cell r="T1443" t="str">
            <v>CIF</v>
          </cell>
          <cell r="U1443" t="str">
            <v>PUR</v>
          </cell>
        </row>
        <row r="1444">
          <cell r="D1444">
            <v>0.5</v>
          </cell>
          <cell r="F1444" t="str">
            <v>1Z75A9570473454818</v>
          </cell>
          <cell r="G1444" t="str">
            <v>BV ARROW ELECTRONICS</v>
          </cell>
          <cell r="H1444" t="str">
            <v>Delivered</v>
          </cell>
          <cell r="I1444" t="str">
            <v xml:space="preserve">RES </v>
          </cell>
          <cell r="J1444" t="str">
            <v>UPS</v>
          </cell>
          <cell r="K1444" t="str">
            <v>VVMV</v>
          </cell>
          <cell r="M1444">
            <v>46151</v>
          </cell>
          <cell r="N1444">
            <v>46160</v>
          </cell>
          <cell r="O1444">
            <v>46160</v>
          </cell>
          <cell r="P1444">
            <v>108246770220</v>
          </cell>
          <cell r="Q1444">
            <v>46157</v>
          </cell>
          <cell r="R1444" t="str">
            <v>No inspection</v>
          </cell>
          <cell r="S1444">
            <v>6.11</v>
          </cell>
          <cell r="T1444" t="str">
            <v>CIF</v>
          </cell>
          <cell r="U1444" t="str">
            <v>FMC</v>
          </cell>
        </row>
        <row r="1445">
          <cell r="D1445">
            <v>0.5</v>
          </cell>
          <cell r="F1445" t="str">
            <v>1Z75A9570473454649</v>
          </cell>
          <cell r="G1445" t="str">
            <v>BV ARROW ELECTRONICS</v>
          </cell>
          <cell r="H1445" t="str">
            <v>Delivered</v>
          </cell>
          <cell r="I1445" t="str">
            <v xml:space="preserve">RES </v>
          </cell>
          <cell r="J1445" t="str">
            <v>UPS</v>
          </cell>
          <cell r="K1445" t="str">
            <v>VVMV</v>
          </cell>
          <cell r="M1445">
            <v>46151</v>
          </cell>
          <cell r="N1445">
            <v>46160</v>
          </cell>
          <cell r="O1445">
            <v>46160</v>
          </cell>
          <cell r="P1445">
            <v>108246784110</v>
          </cell>
          <cell r="Q1445">
            <v>46157</v>
          </cell>
          <cell r="R1445" t="str">
            <v>No inspection</v>
          </cell>
          <cell r="S1445">
            <v>22.11</v>
          </cell>
          <cell r="T1445" t="str">
            <v>CIF</v>
          </cell>
          <cell r="U1445" t="str">
            <v>FMC</v>
          </cell>
        </row>
        <row r="1446">
          <cell r="D1446">
            <v>0.2</v>
          </cell>
          <cell r="F1446">
            <v>381222427308</v>
          </cell>
          <cell r="G1446" t="str">
            <v>WURTH ELECTRONICS MIDCOM</v>
          </cell>
          <cell r="H1446" t="str">
            <v>Delivered</v>
          </cell>
          <cell r="I1446" t="str">
            <v>FERR</v>
          </cell>
          <cell r="J1446" t="str">
            <v>Fedex</v>
          </cell>
          <cell r="K1446" t="str">
            <v>VVMV</v>
          </cell>
          <cell r="L1446" t="str">
            <v>US</v>
          </cell>
          <cell r="M1446">
            <v>46153</v>
          </cell>
          <cell r="N1446">
            <v>46162</v>
          </cell>
          <cell r="O1446">
            <v>46163</v>
          </cell>
          <cell r="P1446">
            <v>108246765100</v>
          </cell>
          <cell r="Q1446">
            <v>46157</v>
          </cell>
          <cell r="R1446" t="str">
            <v>No inspection</v>
          </cell>
          <cell r="S1446">
            <v>135</v>
          </cell>
          <cell r="T1446" t="str">
            <v>CIF</v>
          </cell>
          <cell r="U1446" t="str">
            <v>LUC</v>
          </cell>
        </row>
        <row r="1447">
          <cell r="D1447">
            <v>1.6</v>
          </cell>
          <cell r="F1447" t="str">
            <v>8XN5154</v>
          </cell>
          <cell r="G1447" t="str">
            <v>KIOXIA CORPORATION C/O KIOXIA AMERICA INC</v>
          </cell>
          <cell r="H1447" t="str">
            <v>Delivered</v>
          </cell>
          <cell r="I1447" t="str">
            <v xml:space="preserve">MEM </v>
          </cell>
          <cell r="J1447" t="str">
            <v>DHL( global)</v>
          </cell>
          <cell r="K1447" t="str">
            <v>VVMV</v>
          </cell>
          <cell r="L1447" t="str">
            <v>JP</v>
          </cell>
          <cell r="M1447">
            <v>46154</v>
          </cell>
          <cell r="N1447">
            <v>46157</v>
          </cell>
          <cell r="O1447">
            <v>46157</v>
          </cell>
          <cell r="P1447">
            <v>108242135850</v>
          </cell>
          <cell r="Q1447">
            <v>46156</v>
          </cell>
          <cell r="R1447" t="str">
            <v>No inspection</v>
          </cell>
          <cell r="S1447">
            <v>10078.08</v>
          </cell>
          <cell r="T1447" t="str">
            <v>CIP</v>
          </cell>
          <cell r="U1447" t="str">
            <v>PUR</v>
          </cell>
        </row>
        <row r="1448">
          <cell r="D1448">
            <v>21</v>
          </cell>
          <cell r="F1448">
            <v>4110337049</v>
          </cell>
          <cell r="G1448" t="str">
            <v>Avnet, Inc.</v>
          </cell>
          <cell r="H1448" t="str">
            <v>Delivered</v>
          </cell>
          <cell r="I1448" t="str">
            <v>CONN</v>
          </cell>
          <cell r="J1448" t="str">
            <v>Expeditors</v>
          </cell>
          <cell r="K1448" t="str">
            <v>VVMV</v>
          </cell>
          <cell r="L1448" t="str">
            <v>US</v>
          </cell>
          <cell r="M1448">
            <v>46154</v>
          </cell>
          <cell r="N1448">
            <v>46161</v>
          </cell>
          <cell r="O1448">
            <v>46161</v>
          </cell>
          <cell r="P1448">
            <v>108248588710</v>
          </cell>
          <cell r="Q1448">
            <v>46158</v>
          </cell>
          <cell r="R1448" t="str">
            <v>No inspection</v>
          </cell>
          <cell r="S1448">
            <v>3304.8</v>
          </cell>
          <cell r="T1448" t="str">
            <v>DAP</v>
          </cell>
          <cell r="U1448" t="str">
            <v>LUC</v>
          </cell>
        </row>
        <row r="1449">
          <cell r="D1449" t="str">
            <v>x</v>
          </cell>
          <cell r="F1449">
            <v>6422833211</v>
          </cell>
          <cell r="G1449" t="str">
            <v>AIC</v>
          </cell>
          <cell r="H1449" t="str">
            <v>Delivered</v>
          </cell>
          <cell r="I1449" t="str">
            <v>AIC</v>
          </cell>
          <cell r="J1449" t="str">
            <v>DHL</v>
          </cell>
          <cell r="K1449" t="str">
            <v>VVMV</v>
          </cell>
          <cell r="L1449" t="str">
            <v>CN</v>
          </cell>
          <cell r="M1449" t="str">
            <v>x</v>
          </cell>
          <cell r="N1449" t="str">
            <v>x</v>
          </cell>
          <cell r="O1449">
            <v>46162</v>
          </cell>
          <cell r="P1449" t="str">
            <v>x</v>
          </cell>
          <cell r="Q1449" t="str">
            <v>x</v>
          </cell>
          <cell r="R1449" t="str">
            <v>No inspection</v>
          </cell>
          <cell r="S1449" t="str">
            <v>x</v>
          </cell>
          <cell r="T1449" t="str">
            <v>x</v>
          </cell>
          <cell r="U1449" t="str">
            <v>AIC</v>
          </cell>
        </row>
        <row r="1450">
          <cell r="D1450">
            <v>301</v>
          </cell>
          <cell r="F1450" t="str">
            <v>SAE26050106</v>
          </cell>
          <cell r="G1450" t="str">
            <v>ROSENBERGER HOCHFREQUENZTECHNIK</v>
          </cell>
          <cell r="H1450" t="str">
            <v>Delivered</v>
          </cell>
          <cell r="I1450" t="str">
            <v>CONN</v>
          </cell>
          <cell r="J1450" t="str">
            <v>FDI</v>
          </cell>
          <cell r="K1450" t="str">
            <v>VVMV</v>
          </cell>
          <cell r="L1450" t="str">
            <v>HU</v>
          </cell>
          <cell r="M1450">
            <v>46156</v>
          </cell>
          <cell r="N1450">
            <v>46163</v>
          </cell>
          <cell r="O1450">
            <v>46163</v>
          </cell>
          <cell r="P1450">
            <v>108262237160</v>
          </cell>
          <cell r="Q1450">
            <v>46163</v>
          </cell>
          <cell r="R1450" t="str">
            <v>No inspection</v>
          </cell>
          <cell r="S1450">
            <v>24613.47</v>
          </cell>
          <cell r="T1450" t="str">
            <v>CIF</v>
          </cell>
          <cell r="U1450" t="str">
            <v>LUC</v>
          </cell>
        </row>
        <row r="1451">
          <cell r="D1451">
            <v>277</v>
          </cell>
          <cell r="F1451">
            <v>4915117718</v>
          </cell>
          <cell r="G1451" t="str">
            <v>RICHARDSON RFPD HONG KONG LIMITED</v>
          </cell>
          <cell r="H1451" t="str">
            <v>Delivered</v>
          </cell>
          <cell r="I1451" t="str">
            <v xml:space="preserve">CAP </v>
          </cell>
          <cell r="J1451" t="str">
            <v>Expeditors</v>
          </cell>
          <cell r="K1451" t="str">
            <v>VVMV</v>
          </cell>
          <cell r="L1451" t="str">
            <v>HK</v>
          </cell>
          <cell r="M1451">
            <v>46159</v>
          </cell>
          <cell r="N1451">
            <v>46162</v>
          </cell>
          <cell r="O1451">
            <v>46162</v>
          </cell>
          <cell r="P1451">
            <v>108255506810</v>
          </cell>
          <cell r="Q1451">
            <v>46161</v>
          </cell>
          <cell r="R1451" t="str">
            <v>No inspection</v>
          </cell>
          <cell r="S1451">
            <v>37800</v>
          </cell>
          <cell r="T1451" t="str">
            <v>EXW</v>
          </cell>
          <cell r="U1451" t="str">
            <v>PUR</v>
          </cell>
        </row>
        <row r="1452">
          <cell r="D1452">
            <v>1</v>
          </cell>
          <cell r="F1452">
            <v>489101274870</v>
          </cell>
          <cell r="G1452" t="str">
            <v>ARROW GERMANY C/O Arrow Central Europe</v>
          </cell>
          <cell r="H1452" t="str">
            <v>Delivered</v>
          </cell>
          <cell r="I1452" t="str">
            <v xml:space="preserve">LED </v>
          </cell>
          <cell r="J1452" t="str">
            <v>Fedex</v>
          </cell>
          <cell r="K1452" t="str">
            <v>VVMV</v>
          </cell>
          <cell r="L1452" t="str">
            <v>NL</v>
          </cell>
          <cell r="M1452">
            <v>46155</v>
          </cell>
          <cell r="N1452">
            <v>46162</v>
          </cell>
          <cell r="O1452">
            <v>46164</v>
          </cell>
          <cell r="P1452">
            <v>108253143720</v>
          </cell>
          <cell r="Q1452">
            <v>46160</v>
          </cell>
          <cell r="R1452" t="str">
            <v>No inspection</v>
          </cell>
          <cell r="S1452">
            <v>240</v>
          </cell>
          <cell r="T1452" t="str">
            <v>CIF</v>
          </cell>
          <cell r="U1452" t="str">
            <v>FMC</v>
          </cell>
        </row>
        <row r="1453">
          <cell r="D1453">
            <v>0.5</v>
          </cell>
          <cell r="F1453">
            <v>489101272488</v>
          </cell>
          <cell r="G1453" t="str">
            <v>ARROW GERMANY C/O Arrow Central Europe</v>
          </cell>
          <cell r="H1453" t="str">
            <v>Delivered</v>
          </cell>
          <cell r="I1453" t="str">
            <v xml:space="preserve">RES </v>
          </cell>
          <cell r="J1453" t="str">
            <v>Fedex</v>
          </cell>
          <cell r="K1453" t="str">
            <v>VVMV</v>
          </cell>
          <cell r="L1453" t="str">
            <v>NL</v>
          </cell>
          <cell r="M1453">
            <v>46151</v>
          </cell>
          <cell r="N1453">
            <v>46162</v>
          </cell>
          <cell r="O1453">
            <v>46164</v>
          </cell>
          <cell r="P1453">
            <v>108252617430</v>
          </cell>
          <cell r="Q1453">
            <v>46160</v>
          </cell>
          <cell r="R1453" t="str">
            <v>No inspection</v>
          </cell>
          <cell r="S1453">
            <v>7.2</v>
          </cell>
          <cell r="T1453" t="str">
            <v>CIF</v>
          </cell>
          <cell r="U1453" t="str">
            <v>FMC</v>
          </cell>
        </row>
        <row r="1454">
          <cell r="D1454">
            <v>4.9000000000000004</v>
          </cell>
          <cell r="F1454">
            <v>3752160086</v>
          </cell>
          <cell r="G1454" t="str">
            <v>TTI INC</v>
          </cell>
          <cell r="H1454" t="str">
            <v>Delivered</v>
          </cell>
          <cell r="I1454" t="str">
            <v xml:space="preserve">RES , CAP </v>
          </cell>
          <cell r="J1454" t="str">
            <v>DHL</v>
          </cell>
          <cell r="K1454" t="str">
            <v>VVMV</v>
          </cell>
          <cell r="L1454" t="str">
            <v>US</v>
          </cell>
          <cell r="M1454">
            <v>46155</v>
          </cell>
          <cell r="N1454">
            <v>46160</v>
          </cell>
          <cell r="O1454">
            <v>46161</v>
          </cell>
          <cell r="P1454">
            <v>108248579830</v>
          </cell>
          <cell r="Q1454">
            <v>46158</v>
          </cell>
          <cell r="R1454" t="str">
            <v>No inspection</v>
          </cell>
          <cell r="S1454">
            <v>5062</v>
          </cell>
          <cell r="T1454" t="str">
            <v>CIF</v>
          </cell>
          <cell r="U1454" t="str">
            <v>LUC</v>
          </cell>
        </row>
        <row r="1455">
          <cell r="D1455">
            <v>2.1</v>
          </cell>
          <cell r="F1455">
            <v>5774579985</v>
          </cell>
          <cell r="G1455" t="str">
            <v>FUTURE ELECTRONICS (ADC)</v>
          </cell>
          <cell r="H1455" t="str">
            <v>Delivered</v>
          </cell>
          <cell r="I1455" t="str">
            <v xml:space="preserve">LED </v>
          </cell>
          <cell r="J1455" t="str">
            <v>DHL</v>
          </cell>
          <cell r="K1455" t="str">
            <v>VVMV</v>
          </cell>
          <cell r="L1455" t="str">
            <v>SG</v>
          </cell>
          <cell r="M1455">
            <v>46155</v>
          </cell>
          <cell r="N1455">
            <v>46160</v>
          </cell>
          <cell r="O1455">
            <v>46162</v>
          </cell>
          <cell r="P1455">
            <v>108248616230</v>
          </cell>
          <cell r="Q1455">
            <v>46158</v>
          </cell>
          <cell r="R1455" t="str">
            <v>No inspection</v>
          </cell>
          <cell r="S1455">
            <v>680</v>
          </cell>
          <cell r="T1455" t="str">
            <v>CIF</v>
          </cell>
          <cell r="U1455" t="str">
            <v>PUR</v>
          </cell>
        </row>
        <row r="1456">
          <cell r="D1456">
            <v>972.06500000000005</v>
          </cell>
          <cell r="F1456" t="str">
            <v>ASPHPHE14702212</v>
          </cell>
          <cell r="G1456" t="str">
            <v>HEILIND ASIA PACIFIC (SG) PTE LTD</v>
          </cell>
          <cell r="H1456" t="str">
            <v>Delivered</v>
          </cell>
          <cell r="I1456" t="str">
            <v>CONN</v>
          </cell>
          <cell r="J1456" t="str">
            <v>VVMV(sea)</v>
          </cell>
          <cell r="K1456" t="str">
            <v>VVMV</v>
          </cell>
          <cell r="L1456" t="str">
            <v>SG</v>
          </cell>
          <cell r="M1456">
            <v>46156</v>
          </cell>
          <cell r="N1456">
            <v>46162</v>
          </cell>
          <cell r="O1456">
            <v>46162</v>
          </cell>
          <cell r="P1456">
            <v>108254538930</v>
          </cell>
          <cell r="Q1456" t="str">
            <v>19/05/2026 10:09:25</v>
          </cell>
          <cell r="R1456" t="str">
            <v>No inspection</v>
          </cell>
          <cell r="S1456">
            <v>46981.2</v>
          </cell>
          <cell r="T1456" t="str">
            <v>EXW</v>
          </cell>
          <cell r="U1456" t="str">
            <v>LUC</v>
          </cell>
        </row>
        <row r="1457">
          <cell r="D1457">
            <v>213.5</v>
          </cell>
          <cell r="F1457">
            <v>451257569220</v>
          </cell>
          <cell r="G1457" t="str">
            <v>COILCRAFT SINGAPORE PTE LTD</v>
          </cell>
          <cell r="H1457" t="str">
            <v>Delivered</v>
          </cell>
          <cell r="I1457" t="str">
            <v>IND , INDU</v>
          </cell>
          <cell r="J1457" t="str">
            <v>Fedex</v>
          </cell>
          <cell r="K1457" t="str">
            <v>VVMV</v>
          </cell>
          <cell r="L1457" t="str">
            <v>SG</v>
          </cell>
          <cell r="M1457">
            <v>46139</v>
          </cell>
          <cell r="N1457">
            <v>46162</v>
          </cell>
          <cell r="O1457">
            <v>46170</v>
          </cell>
          <cell r="P1457">
            <v>108248598620</v>
          </cell>
          <cell r="Q1457">
            <v>46158</v>
          </cell>
          <cell r="R1457" t="str">
            <v>No inspection</v>
          </cell>
          <cell r="S1457">
            <v>41998.1</v>
          </cell>
          <cell r="T1457" t="str">
            <v>EXW</v>
          </cell>
          <cell r="U1457" t="str">
            <v>LUC</v>
          </cell>
        </row>
        <row r="1458">
          <cell r="D1458">
            <v>92</v>
          </cell>
          <cell r="F1458" t="str">
            <v>PLISGFE00364</v>
          </cell>
          <cell r="G1458" t="str">
            <v>FUTURE ELECTRONICS INC (DIST) PTE LTD</v>
          </cell>
          <cell r="H1458" t="str">
            <v>Delivered</v>
          </cell>
          <cell r="I1458" t="str">
            <v>CONN, LED , TRAN, RES , DIOD, FUSE, CAP , IND , IC S</v>
          </cell>
          <cell r="J1458" t="str">
            <v>LX</v>
          </cell>
          <cell r="K1458" t="str">
            <v>VVMV</v>
          </cell>
          <cell r="L1458" t="str">
            <v>SG</v>
          </cell>
          <cell r="M1458">
            <v>46158</v>
          </cell>
          <cell r="N1458">
            <v>46161</v>
          </cell>
          <cell r="O1458">
            <v>46161</v>
          </cell>
          <cell r="P1458">
            <v>108248658230</v>
          </cell>
          <cell r="Q1458">
            <v>46158</v>
          </cell>
          <cell r="R1458" t="str">
            <v>No inspection</v>
          </cell>
          <cell r="S1458">
            <v>27247.46</v>
          </cell>
          <cell r="T1458" t="str">
            <v>DAP</v>
          </cell>
          <cell r="U1458" t="str">
            <v>PUR</v>
          </cell>
        </row>
        <row r="1459">
          <cell r="D1459">
            <v>41.8</v>
          </cell>
          <cell r="F1459">
            <v>871631098639</v>
          </cell>
          <cell r="G1459" t="str">
            <v>WT MICROELECTRONICS CO., LTD</v>
          </cell>
          <cell r="H1459" t="str">
            <v>Delivered</v>
          </cell>
          <cell r="I1459" t="str">
            <v xml:space="preserve">CAP , RES </v>
          </cell>
          <cell r="J1459" t="str">
            <v>Fedex</v>
          </cell>
          <cell r="K1459" t="str">
            <v>VVMV</v>
          </cell>
          <cell r="L1459" t="str">
            <v>SG</v>
          </cell>
          <cell r="M1459">
            <v>46153</v>
          </cell>
          <cell r="N1459">
            <v>46162</v>
          </cell>
          <cell r="O1459">
            <v>46168</v>
          </cell>
          <cell r="P1459">
            <v>108257363060</v>
          </cell>
          <cell r="Q1459">
            <v>46161</v>
          </cell>
          <cell r="R1459" t="str">
            <v>No inspection</v>
          </cell>
          <cell r="S1459">
            <v>2878.12</v>
          </cell>
          <cell r="T1459" t="str">
            <v>EXW</v>
          </cell>
          <cell r="U1459" t="str">
            <v>LUC</v>
          </cell>
        </row>
        <row r="1460">
          <cell r="D1460">
            <v>12.4</v>
          </cell>
          <cell r="F1460">
            <v>518027666436</v>
          </cell>
          <cell r="G1460" t="str">
            <v>MICROCHIP TECNOLOGY(TH) CO LTD</v>
          </cell>
          <cell r="H1460" t="str">
            <v>Delivered</v>
          </cell>
          <cell r="I1460" t="str">
            <v>IC M</v>
          </cell>
          <cell r="J1460" t="str">
            <v>Fedex</v>
          </cell>
          <cell r="K1460" t="str">
            <v>VVMV</v>
          </cell>
          <cell r="L1460" t="str">
            <v>TH</v>
          </cell>
          <cell r="M1460">
            <v>46160</v>
          </cell>
          <cell r="N1460">
            <v>46162</v>
          </cell>
          <cell r="O1460">
            <v>46167</v>
          </cell>
          <cell r="P1460">
            <v>108248619250</v>
          </cell>
          <cell r="Q1460">
            <v>46158</v>
          </cell>
          <cell r="R1460" t="str">
            <v>No inspection</v>
          </cell>
          <cell r="S1460">
            <v>102640</v>
          </cell>
          <cell r="T1460" t="str">
            <v>EXW</v>
          </cell>
          <cell r="U1460" t="str">
            <v>PUR</v>
          </cell>
        </row>
        <row r="1461">
          <cell r="D1461">
            <v>2.2000000000000002</v>
          </cell>
          <cell r="F1461">
            <v>380995720630</v>
          </cell>
          <cell r="G1461" t="str">
            <v>c/o DHL Supply Chain SGP P/L
Texas Instruments Southeast Asia Pt</v>
          </cell>
          <cell r="H1461" t="str">
            <v>Delivered</v>
          </cell>
          <cell r="I1461" t="str">
            <v>IC V</v>
          </cell>
          <cell r="J1461" t="str">
            <v>Fedex</v>
          </cell>
          <cell r="K1461" t="str">
            <v>VVMV</v>
          </cell>
          <cell r="L1461" t="str">
            <v>SG</v>
          </cell>
          <cell r="M1461">
            <v>46146</v>
          </cell>
          <cell r="N1461">
            <v>46181</v>
          </cell>
          <cell r="O1461">
            <v>46181</v>
          </cell>
          <cell r="P1461">
            <v>108313813310</v>
          </cell>
          <cell r="Q1461">
            <v>46178</v>
          </cell>
          <cell r="R1461" t="str">
            <v>No inspection</v>
          </cell>
          <cell r="S1461">
            <v>4050</v>
          </cell>
          <cell r="T1461" t="str">
            <v>EXW</v>
          </cell>
          <cell r="U1461" t="str">
            <v>PUR</v>
          </cell>
        </row>
        <row r="1462">
          <cell r="D1462">
            <v>8.1999999999999993</v>
          </cell>
          <cell r="F1462">
            <v>380817564887</v>
          </cell>
          <cell r="G1462" t="str">
            <v>c/o DHL Supply Chain SGP P/L
Texas Instruments Southeast Asia Pt</v>
          </cell>
          <cell r="H1462" t="str">
            <v>Delivered</v>
          </cell>
          <cell r="I1462" t="str">
            <v>IC S, IC V</v>
          </cell>
          <cell r="J1462" t="str">
            <v>Fedex</v>
          </cell>
          <cell r="K1462" t="str">
            <v>VVMV</v>
          </cell>
          <cell r="L1462" t="str">
            <v>SG</v>
          </cell>
          <cell r="M1462">
            <v>46139</v>
          </cell>
          <cell r="N1462">
            <v>46181</v>
          </cell>
          <cell r="O1462">
            <v>46181</v>
          </cell>
          <cell r="P1462">
            <v>108313665610</v>
          </cell>
          <cell r="Q1462">
            <v>46178</v>
          </cell>
          <cell r="R1462" t="str">
            <v>No inspection</v>
          </cell>
          <cell r="S1462">
            <v>10836</v>
          </cell>
          <cell r="T1462" t="str">
            <v>EXW</v>
          </cell>
          <cell r="U1462" t="str">
            <v>PUR</v>
          </cell>
        </row>
        <row r="1463">
          <cell r="D1463">
            <v>0.8</v>
          </cell>
          <cell r="F1463">
            <v>871555159672</v>
          </cell>
          <cell r="G1463" t="str">
            <v>GOTREND TECHNOLOGY CO.,LTD.</v>
          </cell>
          <cell r="H1463" t="str">
            <v>Delivered</v>
          </cell>
          <cell r="I1463" t="str">
            <v xml:space="preserve">FERR, IND </v>
          </cell>
          <cell r="J1463" t="str">
            <v>Fedex</v>
          </cell>
          <cell r="K1463" t="str">
            <v>VVMV</v>
          </cell>
          <cell r="L1463" t="str">
            <v>TW</v>
          </cell>
          <cell r="M1463">
            <v>46150</v>
          </cell>
          <cell r="N1463">
            <v>46162</v>
          </cell>
          <cell r="O1463">
            <v>46164</v>
          </cell>
          <cell r="P1463">
            <v>108253212540</v>
          </cell>
          <cell r="Q1463">
            <v>46160</v>
          </cell>
          <cell r="R1463" t="str">
            <v>No inspection</v>
          </cell>
          <cell r="S1463">
            <v>181.94</v>
          </cell>
          <cell r="T1463" t="str">
            <v>EXW</v>
          </cell>
          <cell r="U1463">
            <v>123</v>
          </cell>
        </row>
        <row r="1464">
          <cell r="D1464">
            <v>12.2</v>
          </cell>
          <cell r="F1464">
            <v>525934305022</v>
          </cell>
          <cell r="G1464" t="str">
            <v>DIGI-KEY ELECTRONICS</v>
          </cell>
          <cell r="H1464" t="str">
            <v>Delivered</v>
          </cell>
          <cell r="I1464" t="str">
            <v xml:space="preserve">IC R, DIOD, CAP , RES , LED , IND </v>
          </cell>
          <cell r="J1464" t="str">
            <v>Fedex</v>
          </cell>
          <cell r="K1464" t="str">
            <v>VVMV</v>
          </cell>
          <cell r="L1464" t="str">
            <v>US</v>
          </cell>
          <cell r="M1464">
            <v>46153</v>
          </cell>
          <cell r="N1464">
            <v>46162</v>
          </cell>
          <cell r="O1464">
            <v>46164</v>
          </cell>
          <cell r="P1464">
            <v>108256659230</v>
          </cell>
          <cell r="Q1464">
            <v>46161</v>
          </cell>
          <cell r="R1464" t="str">
            <v>No inspection</v>
          </cell>
          <cell r="S1464">
            <v>12007.82</v>
          </cell>
          <cell r="T1464" t="str">
            <v>CIF</v>
          </cell>
          <cell r="U1464" t="str">
            <v>FMC</v>
          </cell>
        </row>
        <row r="1465">
          <cell r="D1465">
            <v>0.5</v>
          </cell>
          <cell r="F1465">
            <v>381241252993</v>
          </cell>
          <cell r="G1465" t="str">
            <v>ROCHESTER ELECTRONICS</v>
          </cell>
          <cell r="H1465" t="str">
            <v>Delivered</v>
          </cell>
          <cell r="I1465" t="str">
            <v>TRAN</v>
          </cell>
          <cell r="J1465" t="str">
            <v>Fedex</v>
          </cell>
          <cell r="K1465" t="str">
            <v>VVMV</v>
          </cell>
          <cell r="L1465" t="str">
            <v>US</v>
          </cell>
          <cell r="M1465">
            <v>46154</v>
          </cell>
          <cell r="N1465">
            <v>46162</v>
          </cell>
          <cell r="O1465">
            <v>46164</v>
          </cell>
          <cell r="P1465">
            <v>108253254320</v>
          </cell>
          <cell r="Q1465">
            <v>46160</v>
          </cell>
          <cell r="R1465" t="str">
            <v>No inspection</v>
          </cell>
          <cell r="S1465">
            <v>196</v>
          </cell>
          <cell r="T1465" t="str">
            <v>CIF</v>
          </cell>
          <cell r="U1465" t="str">
            <v>EF-</v>
          </cell>
        </row>
        <row r="1466">
          <cell r="D1466">
            <v>0.9</v>
          </cell>
          <cell r="F1466">
            <v>381265714548</v>
          </cell>
          <cell r="G1466" t="str">
            <v>VELOCITY ELECTRONICS ASIA PTE LTD</v>
          </cell>
          <cell r="H1466" t="str">
            <v>Delivered</v>
          </cell>
          <cell r="I1466" t="str">
            <v>TRAN</v>
          </cell>
          <cell r="J1466" t="str">
            <v>Fedex</v>
          </cell>
          <cell r="K1466" t="str">
            <v>VVMV</v>
          </cell>
          <cell r="L1466" t="str">
            <v>SG</v>
          </cell>
          <cell r="M1466">
            <v>46155</v>
          </cell>
          <cell r="N1466">
            <v>46162</v>
          </cell>
          <cell r="O1466">
            <v>46164</v>
          </cell>
          <cell r="P1466">
            <v>108257005730</v>
          </cell>
          <cell r="Q1466">
            <v>46161</v>
          </cell>
          <cell r="R1466" t="str">
            <v>No inspection</v>
          </cell>
          <cell r="S1466">
            <v>454.32</v>
          </cell>
          <cell r="T1466" t="str">
            <v>CIF</v>
          </cell>
          <cell r="U1466" t="str">
            <v>LUC</v>
          </cell>
        </row>
        <row r="1467">
          <cell r="D1467">
            <v>19.5</v>
          </cell>
          <cell r="F1467">
            <v>492830056179</v>
          </cell>
          <cell r="G1467" t="str">
            <v>ARROW ELECTRONICS, INC.</v>
          </cell>
          <cell r="H1467" t="str">
            <v>Delivered</v>
          </cell>
          <cell r="I1467" t="str">
            <v xml:space="preserve">CAP , IND </v>
          </cell>
          <cell r="J1467" t="str">
            <v>Fedex</v>
          </cell>
          <cell r="K1467" t="str">
            <v>VVMV</v>
          </cell>
          <cell r="L1467" t="str">
            <v>US</v>
          </cell>
          <cell r="M1467">
            <v>46154</v>
          </cell>
          <cell r="N1467">
            <v>46162</v>
          </cell>
          <cell r="O1467">
            <v>46167</v>
          </cell>
          <cell r="P1467">
            <v>108257271840</v>
          </cell>
          <cell r="Q1467">
            <v>46161</v>
          </cell>
          <cell r="R1467" t="str">
            <v>No inspection</v>
          </cell>
          <cell r="S1467">
            <v>1502.9</v>
          </cell>
          <cell r="T1467" t="str">
            <v>CIF</v>
          </cell>
          <cell r="U1467" t="str">
            <v>FMC</v>
          </cell>
        </row>
        <row r="1468">
          <cell r="D1468">
            <v>1.8</v>
          </cell>
          <cell r="F1468">
            <v>492830024688</v>
          </cell>
          <cell r="G1468" t="str">
            <v>ARROW ELECTRONICS, INC.</v>
          </cell>
          <cell r="H1468" t="str">
            <v>Delivered</v>
          </cell>
          <cell r="I1468" t="str">
            <v>DIOD</v>
          </cell>
          <cell r="J1468" t="str">
            <v>Fedex</v>
          </cell>
          <cell r="K1468" t="str">
            <v>VVMV</v>
          </cell>
          <cell r="L1468" t="str">
            <v>US</v>
          </cell>
          <cell r="M1468">
            <v>46153</v>
          </cell>
          <cell r="N1468">
            <v>46162</v>
          </cell>
          <cell r="O1468">
            <v>46164</v>
          </cell>
          <cell r="P1468">
            <v>108257090320</v>
          </cell>
          <cell r="Q1468">
            <v>46161</v>
          </cell>
          <cell r="R1468" t="str">
            <v>No inspection</v>
          </cell>
          <cell r="S1468">
            <v>3011.1</v>
          </cell>
          <cell r="T1468" t="str">
            <v>CIF</v>
          </cell>
          <cell r="U1468" t="str">
            <v>FMC</v>
          </cell>
        </row>
        <row r="1469">
          <cell r="D1469">
            <v>7.4</v>
          </cell>
          <cell r="F1469" t="str">
            <v>8XN5223</v>
          </cell>
          <cell r="G1469" t="str">
            <v>KIOXIA CORPORATION C/O KIOXIA AMERICA INC</v>
          </cell>
          <cell r="H1469" t="str">
            <v>Delivered</v>
          </cell>
          <cell r="I1469" t="str">
            <v xml:space="preserve">MEM </v>
          </cell>
          <cell r="J1469" t="str">
            <v>DHL( global)</v>
          </cell>
          <cell r="K1469" t="str">
            <v>VVMV</v>
          </cell>
          <cell r="L1469" t="str">
            <v>JP</v>
          </cell>
          <cell r="M1469">
            <v>46127</v>
          </cell>
          <cell r="N1469">
            <v>46163</v>
          </cell>
          <cell r="O1469">
            <v>46163</v>
          </cell>
          <cell r="P1469">
            <v>108260593450</v>
          </cell>
          <cell r="Q1469">
            <v>46162</v>
          </cell>
          <cell r="R1469" t="str">
            <v>No inspection</v>
          </cell>
          <cell r="S1469">
            <v>479969.28000000003</v>
          </cell>
          <cell r="T1469" t="str">
            <v>DAP</v>
          </cell>
          <cell r="U1469" t="str">
            <v>HLO</v>
          </cell>
        </row>
        <row r="1470">
          <cell r="D1470">
            <v>5.5</v>
          </cell>
          <cell r="F1470" t="str">
            <v>8XN5224</v>
          </cell>
          <cell r="G1470" t="str">
            <v>KIOXIA CORPORATION C/O KIOXIA AMERICA INC</v>
          </cell>
          <cell r="H1470" t="str">
            <v>Delivered</v>
          </cell>
          <cell r="I1470" t="str">
            <v xml:space="preserve">MEM </v>
          </cell>
          <cell r="J1470" t="str">
            <v>DHL( global)</v>
          </cell>
          <cell r="K1470" t="str">
            <v>VVMV</v>
          </cell>
          <cell r="L1470" t="str">
            <v>JP</v>
          </cell>
          <cell r="M1470">
            <v>46127</v>
          </cell>
          <cell r="N1470">
            <v>46163</v>
          </cell>
          <cell r="O1470">
            <v>46163</v>
          </cell>
          <cell r="P1470">
            <v>108259790220</v>
          </cell>
          <cell r="Q1470">
            <v>46162</v>
          </cell>
          <cell r="R1470" t="str">
            <v>No inspection</v>
          </cell>
          <cell r="S1470">
            <v>347750.40000000002</v>
          </cell>
          <cell r="T1470" t="str">
            <v>DAP</v>
          </cell>
          <cell r="U1470" t="str">
            <v>HLO</v>
          </cell>
        </row>
        <row r="1471">
          <cell r="D1471">
            <v>6</v>
          </cell>
          <cell r="F1471" t="str">
            <v>8XN5225</v>
          </cell>
          <cell r="G1471" t="str">
            <v>KIOXIA CORPORATION C/O KIOXIA AMERICA INC</v>
          </cell>
          <cell r="H1471" t="str">
            <v>Delivered</v>
          </cell>
          <cell r="I1471" t="str">
            <v xml:space="preserve">MEM </v>
          </cell>
          <cell r="J1471" t="str">
            <v>DHL( global)</v>
          </cell>
          <cell r="K1471" t="str">
            <v>VVMV</v>
          </cell>
          <cell r="L1471" t="str">
            <v>JP</v>
          </cell>
          <cell r="M1471">
            <v>46127</v>
          </cell>
          <cell r="N1471">
            <v>46163</v>
          </cell>
          <cell r="O1471">
            <v>46163</v>
          </cell>
          <cell r="P1471">
            <v>108260641750</v>
          </cell>
          <cell r="Q1471">
            <v>46162</v>
          </cell>
          <cell r="R1471" t="str">
            <v>No inspection</v>
          </cell>
          <cell r="S1471">
            <v>360038.40000000002</v>
          </cell>
          <cell r="T1471" t="str">
            <v>DAP</v>
          </cell>
          <cell r="U1471" t="str">
            <v>HLO</v>
          </cell>
        </row>
        <row r="1472">
          <cell r="D1472">
            <v>9.8000000000000007</v>
          </cell>
          <cell r="F1472" t="str">
            <v>8XN5226</v>
          </cell>
          <cell r="G1472" t="str">
            <v>KIOXIA CORPORATION C/O KIOXIA AMERICA INC</v>
          </cell>
          <cell r="H1472" t="str">
            <v>Delivered</v>
          </cell>
          <cell r="I1472" t="str">
            <v xml:space="preserve">MEM </v>
          </cell>
          <cell r="J1472" t="str">
            <v>DHL( global)</v>
          </cell>
          <cell r="K1472" t="str">
            <v>VVMV</v>
          </cell>
          <cell r="L1472" t="str">
            <v>JP</v>
          </cell>
          <cell r="M1472">
            <v>46127</v>
          </cell>
          <cell r="N1472">
            <v>46163</v>
          </cell>
          <cell r="O1472">
            <v>46163</v>
          </cell>
          <cell r="P1472">
            <v>108259886120</v>
          </cell>
          <cell r="Q1472">
            <v>46162</v>
          </cell>
          <cell r="R1472" t="str">
            <v>No inspection</v>
          </cell>
          <cell r="S1472">
            <v>612188.16000000003</v>
          </cell>
          <cell r="T1472" t="str">
            <v>DAP</v>
          </cell>
          <cell r="U1472" t="str">
            <v>HLO</v>
          </cell>
        </row>
        <row r="1473">
          <cell r="D1473">
            <v>0.6</v>
          </cell>
          <cell r="F1473">
            <v>381228856071</v>
          </cell>
          <cell r="G1473" t="str">
            <v>MASTER ELECTRONICS</v>
          </cell>
          <cell r="H1473" t="str">
            <v>Delivered</v>
          </cell>
          <cell r="I1473" t="str">
            <v>CONN</v>
          </cell>
          <cell r="J1473" t="str">
            <v>Fedex</v>
          </cell>
          <cell r="K1473" t="str">
            <v>VVMV</v>
          </cell>
          <cell r="L1473" t="str">
            <v>US</v>
          </cell>
          <cell r="M1473">
            <v>46153</v>
          </cell>
          <cell r="N1473">
            <v>46176</v>
          </cell>
          <cell r="O1473">
            <v>46181</v>
          </cell>
          <cell r="P1473">
            <v>108301533760</v>
          </cell>
          <cell r="Q1473">
            <v>46175</v>
          </cell>
          <cell r="R1473" t="str">
            <v>No inspection</v>
          </cell>
          <cell r="S1473">
            <v>188</v>
          </cell>
          <cell r="T1473" t="str">
            <v>CIF</v>
          </cell>
          <cell r="U1473">
            <v>120</v>
          </cell>
        </row>
        <row r="1474">
          <cell r="D1474">
            <v>219.9</v>
          </cell>
          <cell r="F1474">
            <v>6003134653</v>
          </cell>
          <cell r="G1474" t="str">
            <v>AVNET - CHANDLER</v>
          </cell>
          <cell r="H1474" t="str">
            <v>Delivered</v>
          </cell>
          <cell r="I1474" t="str">
            <v>CONN, DIOD, CAP , CRYS, IC D, RES , IC S, IC C, IC M, TRAN, FERR, IC A, IC I</v>
          </cell>
          <cell r="J1474" t="str">
            <v>DHL</v>
          </cell>
          <cell r="K1474" t="str">
            <v>VVMV</v>
          </cell>
          <cell r="L1474" t="str">
            <v>US</v>
          </cell>
          <cell r="M1474">
            <v>46155</v>
          </cell>
          <cell r="N1474">
            <v>46167</v>
          </cell>
          <cell r="O1474">
            <v>46167</v>
          </cell>
          <cell r="P1474" t="str">
            <v>108267646430
108267683860</v>
          </cell>
          <cell r="Q1474">
            <v>46164</v>
          </cell>
          <cell r="R1474" t="str">
            <v>No inspection</v>
          </cell>
          <cell r="S1474">
            <v>408312.39</v>
          </cell>
          <cell r="T1474" t="str">
            <v>CIF</v>
          </cell>
          <cell r="U1474" t="str">
            <v>LUC</v>
          </cell>
        </row>
        <row r="1475">
          <cell r="D1475">
            <v>1.4</v>
          </cell>
          <cell r="F1475">
            <v>500292598930</v>
          </cell>
          <cell r="G1475" t="str">
            <v>ARROW COMPONENTS MEXICO SA De CV</v>
          </cell>
          <cell r="H1475" t="str">
            <v>Delivered</v>
          </cell>
          <cell r="I1475" t="str">
            <v>IC S</v>
          </cell>
          <cell r="J1475" t="str">
            <v>Fedex</v>
          </cell>
          <cell r="K1475" t="str">
            <v>VVMV</v>
          </cell>
          <cell r="L1475" t="str">
            <v>MX</v>
          </cell>
          <cell r="M1475">
            <v>46132</v>
          </cell>
          <cell r="N1475">
            <v>46162</v>
          </cell>
          <cell r="O1475">
            <v>46167</v>
          </cell>
          <cell r="P1475">
            <v>108253287220</v>
          </cell>
          <cell r="Q1475">
            <v>46160</v>
          </cell>
          <cell r="R1475" t="str">
            <v>No inspection</v>
          </cell>
          <cell r="S1475">
            <v>4429.6000000000004</v>
          </cell>
          <cell r="T1475" t="str">
            <v>CIF</v>
          </cell>
          <cell r="U1475" t="str">
            <v>EF-</v>
          </cell>
        </row>
        <row r="1476">
          <cell r="D1476">
            <v>5.4</v>
          </cell>
          <cell r="F1476" t="str">
            <v>8XN5202</v>
          </cell>
          <cell r="G1476" t="str">
            <v>KIOXIA CORPORATION C/O KIOXIA AMERICA INC</v>
          </cell>
          <cell r="H1476" t="str">
            <v>Delivered</v>
          </cell>
          <cell r="I1476" t="str">
            <v xml:space="preserve">MEM </v>
          </cell>
          <cell r="J1476" t="str">
            <v>DHL( global)</v>
          </cell>
          <cell r="K1476" t="str">
            <v>VVMV</v>
          </cell>
          <cell r="L1476" t="str">
            <v>JP</v>
          </cell>
          <cell r="M1476">
            <v>46159</v>
          </cell>
          <cell r="N1476">
            <v>46161</v>
          </cell>
          <cell r="O1476">
            <v>46161</v>
          </cell>
          <cell r="P1476">
            <v>108251096920</v>
          </cell>
          <cell r="Q1476">
            <v>46160</v>
          </cell>
          <cell r="R1476" t="str">
            <v>No inspection</v>
          </cell>
          <cell r="S1476">
            <v>643150.80000000005</v>
          </cell>
          <cell r="T1476" t="str">
            <v>CIP</v>
          </cell>
          <cell r="U1476" t="str">
            <v>PUR</v>
          </cell>
        </row>
        <row r="1477">
          <cell r="D1477">
            <v>3.4</v>
          </cell>
          <cell r="F1477" t="str">
            <v>8XN5195</v>
          </cell>
          <cell r="G1477" t="str">
            <v>KIOXIA CORPORATION C/O KIOXIA AMERICA INC</v>
          </cell>
          <cell r="H1477" t="str">
            <v>Delivered</v>
          </cell>
          <cell r="I1477" t="str">
            <v xml:space="preserve">MEM </v>
          </cell>
          <cell r="J1477" t="str">
            <v>DHL( global)</v>
          </cell>
          <cell r="K1477" t="str">
            <v>VVMV</v>
          </cell>
          <cell r="L1477" t="str">
            <v>JP</v>
          </cell>
          <cell r="M1477">
            <v>46159</v>
          </cell>
          <cell r="N1477">
            <v>46161</v>
          </cell>
          <cell r="O1477">
            <v>46161</v>
          </cell>
          <cell r="P1477">
            <v>108250825210</v>
          </cell>
          <cell r="Q1477">
            <v>46160</v>
          </cell>
          <cell r="R1477" t="str">
            <v>No inspection</v>
          </cell>
          <cell r="S1477">
            <v>553248</v>
          </cell>
          <cell r="T1477" t="str">
            <v>CIP</v>
          </cell>
          <cell r="U1477" t="str">
            <v>PUR</v>
          </cell>
        </row>
        <row r="1478">
          <cell r="D1478">
            <v>3.4</v>
          </cell>
          <cell r="F1478" t="str">
            <v>8XN5196</v>
          </cell>
          <cell r="G1478" t="str">
            <v>KIOXIA CORPORATION C/O KIOXIA AMERICA INC</v>
          </cell>
          <cell r="H1478" t="str">
            <v>Delivered</v>
          </cell>
          <cell r="I1478" t="str">
            <v xml:space="preserve">MEM </v>
          </cell>
          <cell r="J1478" t="str">
            <v>DHL( global)</v>
          </cell>
          <cell r="K1478" t="str">
            <v>VVMV</v>
          </cell>
          <cell r="L1478" t="str">
            <v>JP</v>
          </cell>
          <cell r="M1478">
            <v>46159</v>
          </cell>
          <cell r="N1478">
            <v>46161</v>
          </cell>
          <cell r="O1478">
            <v>46161</v>
          </cell>
          <cell r="P1478">
            <v>108251157010</v>
          </cell>
          <cell r="Q1478">
            <v>46160</v>
          </cell>
          <cell r="R1478" t="str">
            <v>No inspection</v>
          </cell>
          <cell r="S1478">
            <v>553248</v>
          </cell>
          <cell r="T1478" t="str">
            <v>CIP</v>
          </cell>
          <cell r="U1478" t="str">
            <v>PUR</v>
          </cell>
        </row>
        <row r="1479">
          <cell r="D1479">
            <v>3.4</v>
          </cell>
          <cell r="F1479" t="str">
            <v>8XN5197</v>
          </cell>
          <cell r="G1479" t="str">
            <v>KIOXIA CORPORATION C/O KIOXIA AMERICA INC</v>
          </cell>
          <cell r="H1479" t="str">
            <v>Delivered</v>
          </cell>
          <cell r="I1479" t="str">
            <v xml:space="preserve">MEM </v>
          </cell>
          <cell r="J1479" t="str">
            <v>DHL( global)</v>
          </cell>
          <cell r="K1479" t="str">
            <v>VVMV</v>
          </cell>
          <cell r="L1479" t="str">
            <v>JP</v>
          </cell>
          <cell r="M1479">
            <v>46159</v>
          </cell>
          <cell r="N1479">
            <v>46161</v>
          </cell>
          <cell r="O1479">
            <v>46161</v>
          </cell>
          <cell r="P1479">
            <v>108250921110</v>
          </cell>
          <cell r="Q1479">
            <v>46160</v>
          </cell>
          <cell r="R1479" t="str">
            <v>No inspection</v>
          </cell>
          <cell r="S1479">
            <v>553248</v>
          </cell>
          <cell r="T1479" t="str">
            <v>CIP</v>
          </cell>
          <cell r="U1479" t="str">
            <v>PUR</v>
          </cell>
        </row>
        <row r="1480">
          <cell r="D1480">
            <v>3.4</v>
          </cell>
          <cell r="F1480" t="str">
            <v>8XN5198</v>
          </cell>
          <cell r="G1480" t="str">
            <v>KIOXIA CORPORATION C/O KIOXIA AMERICA INC</v>
          </cell>
          <cell r="H1480" t="str">
            <v>Delivered</v>
          </cell>
          <cell r="I1480" t="str">
            <v xml:space="preserve">MEM </v>
          </cell>
          <cell r="J1480" t="str">
            <v>DHL( global)</v>
          </cell>
          <cell r="K1480" t="str">
            <v>VVMV</v>
          </cell>
          <cell r="L1480" t="str">
            <v>JP</v>
          </cell>
          <cell r="M1480">
            <v>46159</v>
          </cell>
          <cell r="N1480">
            <v>46161</v>
          </cell>
          <cell r="O1480">
            <v>46161</v>
          </cell>
          <cell r="P1480">
            <v>108251166330</v>
          </cell>
          <cell r="Q1480">
            <v>46160</v>
          </cell>
          <cell r="R1480" t="str">
            <v>No inspection</v>
          </cell>
          <cell r="S1480">
            <v>553248</v>
          </cell>
          <cell r="T1480" t="str">
            <v>CIP</v>
          </cell>
          <cell r="U1480" t="str">
            <v>PUR</v>
          </cell>
        </row>
        <row r="1481">
          <cell r="D1481">
            <v>3.4</v>
          </cell>
          <cell r="F1481" t="str">
            <v>8XN5199</v>
          </cell>
          <cell r="G1481" t="str">
            <v>KIOXIA CORPORATION C/O KIOXIA AMERICA INC</v>
          </cell>
          <cell r="H1481" t="str">
            <v>Delivered</v>
          </cell>
          <cell r="I1481" t="str">
            <v xml:space="preserve">MEM </v>
          </cell>
          <cell r="J1481" t="str">
            <v>DHL( global)</v>
          </cell>
          <cell r="K1481" t="str">
            <v>VVMV</v>
          </cell>
          <cell r="L1481" t="str">
            <v>JP</v>
          </cell>
          <cell r="M1481">
            <v>46159</v>
          </cell>
          <cell r="N1481">
            <v>46161</v>
          </cell>
          <cell r="O1481">
            <v>46161</v>
          </cell>
          <cell r="P1481">
            <v>108251839730</v>
          </cell>
          <cell r="Q1481">
            <v>46160</v>
          </cell>
          <cell r="R1481" t="str">
            <v>No inspection</v>
          </cell>
          <cell r="S1481">
            <v>553248</v>
          </cell>
          <cell r="T1481" t="str">
            <v>CIP</v>
          </cell>
          <cell r="U1481" t="str">
            <v>PUR</v>
          </cell>
        </row>
        <row r="1482">
          <cell r="D1482">
            <v>3.4</v>
          </cell>
          <cell r="F1482" t="str">
            <v>8XN5200</v>
          </cell>
          <cell r="G1482" t="str">
            <v>KIOXIA CORPORATION C/O KIOXIA AMERICA INC</v>
          </cell>
          <cell r="H1482" t="str">
            <v>Delivered</v>
          </cell>
          <cell r="I1482" t="str">
            <v xml:space="preserve">MEM </v>
          </cell>
          <cell r="J1482" t="str">
            <v>DHL( global)</v>
          </cell>
          <cell r="K1482" t="str">
            <v>VVMV</v>
          </cell>
          <cell r="L1482" t="str">
            <v>JP</v>
          </cell>
          <cell r="M1482">
            <v>46159</v>
          </cell>
          <cell r="N1482">
            <v>46161</v>
          </cell>
          <cell r="O1482">
            <v>46161</v>
          </cell>
          <cell r="P1482">
            <v>108251172260</v>
          </cell>
          <cell r="Q1482">
            <v>46160</v>
          </cell>
          <cell r="R1482" t="str">
            <v>No inspection</v>
          </cell>
          <cell r="S1482">
            <v>553248</v>
          </cell>
          <cell r="T1482" t="str">
            <v>CIP</v>
          </cell>
          <cell r="U1482" t="str">
            <v>PUR</v>
          </cell>
        </row>
        <row r="1483">
          <cell r="D1483">
            <v>3.4</v>
          </cell>
          <cell r="F1483" t="str">
            <v>8XN5201</v>
          </cell>
          <cell r="G1483" t="str">
            <v>KIOXIA CORPORATION C/O KIOXIA AMERICA INC</v>
          </cell>
          <cell r="H1483" t="str">
            <v>Delivered</v>
          </cell>
          <cell r="I1483" t="str">
            <v xml:space="preserve">MEM </v>
          </cell>
          <cell r="J1483" t="str">
            <v>DHL( global)</v>
          </cell>
          <cell r="K1483" t="str">
            <v>VVMV</v>
          </cell>
          <cell r="L1483" t="str">
            <v>JP</v>
          </cell>
          <cell r="M1483">
            <v>46159</v>
          </cell>
          <cell r="N1483">
            <v>46161</v>
          </cell>
          <cell r="O1483">
            <v>46161</v>
          </cell>
          <cell r="P1483">
            <v>108252060710</v>
          </cell>
          <cell r="Q1483">
            <v>46160</v>
          </cell>
          <cell r="R1483" t="str">
            <v>No inspection</v>
          </cell>
          <cell r="S1483">
            <v>553248</v>
          </cell>
          <cell r="T1483" t="str">
            <v>CIP</v>
          </cell>
          <cell r="U1483" t="str">
            <v>PUR</v>
          </cell>
        </row>
        <row r="1484">
          <cell r="D1484">
            <v>31.3</v>
          </cell>
          <cell r="F1484">
            <v>493891687562</v>
          </cell>
          <cell r="G1484" t="str">
            <v>FIERY, LLC.</v>
          </cell>
          <cell r="H1484" t="str">
            <v>Delivered</v>
          </cell>
          <cell r="I1484" t="str">
            <v>IC A</v>
          </cell>
          <cell r="J1484" t="str">
            <v>Fedex</v>
          </cell>
          <cell r="K1484" t="str">
            <v>VVMV</v>
          </cell>
          <cell r="L1484" t="str">
            <v>US</v>
          </cell>
          <cell r="M1484">
            <v>46132</v>
          </cell>
          <cell r="N1484">
            <v>46162</v>
          </cell>
          <cell r="O1484">
            <v>46164</v>
          </cell>
          <cell r="P1484">
            <v>108253749810</v>
          </cell>
          <cell r="Q1484">
            <v>46161</v>
          </cell>
          <cell r="R1484" t="str">
            <v>No inspection</v>
          </cell>
          <cell r="S1484">
            <v>85307.85</v>
          </cell>
          <cell r="T1484" t="str">
            <v>CIF</v>
          </cell>
          <cell r="U1484" t="str">
            <v>EF-</v>
          </cell>
        </row>
        <row r="1485">
          <cell r="D1485">
            <v>2.6</v>
          </cell>
          <cell r="F1485">
            <v>380679845654</v>
          </cell>
          <cell r="G1485" t="str">
            <v>TEXAS INSTRUMENTS ASIA LIMITED
C/O KWE LOGISTICS (SHENZHEN)</v>
          </cell>
          <cell r="H1485" t="str">
            <v>Delivered</v>
          </cell>
          <cell r="I1485" t="str">
            <v>IC R, IC L, IC 4</v>
          </cell>
          <cell r="J1485" t="str">
            <v>Fedex</v>
          </cell>
          <cell r="K1485" t="str">
            <v>VVMV</v>
          </cell>
          <cell r="L1485" t="str">
            <v>CN</v>
          </cell>
          <cell r="M1485">
            <v>46133</v>
          </cell>
          <cell r="N1485">
            <v>46162</v>
          </cell>
          <cell r="O1485">
            <v>46169</v>
          </cell>
          <cell r="P1485">
            <v>108254178650</v>
          </cell>
          <cell r="Q1485">
            <v>46161</v>
          </cell>
          <cell r="R1485" t="str">
            <v>No inspection</v>
          </cell>
          <cell r="S1485">
            <v>6757</v>
          </cell>
          <cell r="T1485" t="str">
            <v>CIF</v>
          </cell>
          <cell r="U1485" t="str">
            <v>EF-</v>
          </cell>
        </row>
        <row r="1486">
          <cell r="D1486">
            <v>1.7</v>
          </cell>
          <cell r="F1486">
            <v>380796822269</v>
          </cell>
          <cell r="G1486" t="str">
            <v>TEXAS INSTRUMENTS ASIA LIMITED
C/O KWE LOGISTICS (SHENZHEN)</v>
          </cell>
          <cell r="H1486" t="str">
            <v>Delivered</v>
          </cell>
          <cell r="I1486" t="str">
            <v>IC V, DIOD, IC D, IC S</v>
          </cell>
          <cell r="J1486" t="str">
            <v>Fedex</v>
          </cell>
          <cell r="K1486" t="str">
            <v>VVMV</v>
          </cell>
          <cell r="L1486" t="str">
            <v>CN</v>
          </cell>
          <cell r="M1486">
            <v>46137</v>
          </cell>
          <cell r="N1486">
            <v>46162</v>
          </cell>
          <cell r="O1486">
            <v>46164</v>
          </cell>
          <cell r="P1486">
            <v>108254201900</v>
          </cell>
          <cell r="Q1486">
            <v>46161</v>
          </cell>
          <cell r="R1486" t="str">
            <v>No inspection</v>
          </cell>
          <cell r="S1486">
            <v>5964.95</v>
          </cell>
          <cell r="T1486" t="str">
            <v>CIF</v>
          </cell>
          <cell r="U1486" t="str">
            <v>FMC</v>
          </cell>
        </row>
        <row r="1487">
          <cell r="D1487">
            <v>1.3</v>
          </cell>
          <cell r="F1487">
            <v>5336036462</v>
          </cell>
          <cell r="G1487" t="str">
            <v>c/o DHL Supply Chain SGP P/L
Texas Instruments Southeast Asia Pt</v>
          </cell>
          <cell r="H1487" t="str">
            <v>Delivered</v>
          </cell>
          <cell r="I1487" t="str">
            <v>IC E</v>
          </cell>
          <cell r="J1487" t="str">
            <v>DHL</v>
          </cell>
          <cell r="K1487" t="str">
            <v>VVMV</v>
          </cell>
          <cell r="L1487" t="str">
            <v>SG</v>
          </cell>
          <cell r="M1487">
            <v>46158</v>
          </cell>
          <cell r="N1487">
            <v>46162</v>
          </cell>
          <cell r="O1487">
            <v>46162</v>
          </cell>
          <cell r="P1487">
            <v>108255865210</v>
          </cell>
          <cell r="Q1487">
            <v>46161</v>
          </cell>
          <cell r="R1487" t="str">
            <v>No inspection</v>
          </cell>
          <cell r="S1487">
            <v>120.6</v>
          </cell>
          <cell r="T1487" t="str">
            <v>DAP</v>
          </cell>
          <cell r="U1487">
            <v>132</v>
          </cell>
        </row>
        <row r="1488">
          <cell r="D1488">
            <v>7.9</v>
          </cell>
          <cell r="F1488">
            <v>493602838183</v>
          </cell>
          <cell r="G1488" t="str">
            <v>VENKEL LTD</v>
          </cell>
          <cell r="H1488" t="str">
            <v>Delivered</v>
          </cell>
          <cell r="I1488" t="str">
            <v xml:space="preserve">CAP , RES </v>
          </cell>
          <cell r="J1488" t="str">
            <v>Fedex</v>
          </cell>
          <cell r="K1488" t="str">
            <v>VVMV</v>
          </cell>
          <cell r="L1488" t="str">
            <v>US</v>
          </cell>
          <cell r="M1488">
            <v>46153</v>
          </cell>
          <cell r="N1488">
            <v>46177</v>
          </cell>
          <cell r="O1488">
            <v>46177</v>
          </cell>
          <cell r="P1488">
            <v>108301788340</v>
          </cell>
          <cell r="Q1488">
            <v>46175</v>
          </cell>
          <cell r="R1488" t="str">
            <v>No inspection</v>
          </cell>
          <cell r="S1488">
            <v>3590.58</v>
          </cell>
          <cell r="T1488" t="str">
            <v>CIF</v>
          </cell>
          <cell r="U1488" t="str">
            <v>EF-</v>
          </cell>
        </row>
        <row r="1489">
          <cell r="D1489">
            <v>2.2999999999999998</v>
          </cell>
          <cell r="F1489">
            <v>119209725257</v>
          </cell>
          <cell r="G1489" t="str">
            <v>FUTURE ELECTRONICS FICE</v>
          </cell>
          <cell r="H1489" t="str">
            <v>Delivered</v>
          </cell>
          <cell r="I1489" t="str">
            <v xml:space="preserve">CAP </v>
          </cell>
          <cell r="J1489" t="str">
            <v>Fedex</v>
          </cell>
          <cell r="K1489" t="str">
            <v>VVMV</v>
          </cell>
          <cell r="L1489" t="str">
            <v>US</v>
          </cell>
          <cell r="M1489">
            <v>46150</v>
          </cell>
          <cell r="N1489">
            <v>46175</v>
          </cell>
          <cell r="O1489">
            <v>46176</v>
          </cell>
          <cell r="P1489">
            <v>108300127460</v>
          </cell>
          <cell r="Q1489">
            <v>46175</v>
          </cell>
          <cell r="R1489" t="str">
            <v>No inspection</v>
          </cell>
          <cell r="S1489">
            <v>2788.8</v>
          </cell>
          <cell r="T1489" t="str">
            <v>CIF</v>
          </cell>
          <cell r="U1489">
            <v>122</v>
          </cell>
        </row>
        <row r="1490">
          <cell r="D1490">
            <v>81</v>
          </cell>
          <cell r="F1490">
            <v>381090339009</v>
          </cell>
          <cell r="G1490" t="str">
            <v>ROSENBERGER HOCHFREQUENZTECHNIK</v>
          </cell>
          <cell r="H1490" t="str">
            <v>Delivered</v>
          </cell>
          <cell r="I1490" t="str">
            <v>CONN</v>
          </cell>
          <cell r="J1490" t="str">
            <v>Fedex</v>
          </cell>
          <cell r="K1490" t="str">
            <v>VVMV</v>
          </cell>
          <cell r="L1490" t="str">
            <v>DE</v>
          </cell>
          <cell r="M1490">
            <v>46148</v>
          </cell>
          <cell r="N1490">
            <v>46183</v>
          </cell>
          <cell r="O1490">
            <v>46184</v>
          </cell>
          <cell r="P1490">
            <v>108324322040</v>
          </cell>
          <cell r="Q1490">
            <v>46182</v>
          </cell>
          <cell r="R1490" t="str">
            <v>No inspection</v>
          </cell>
          <cell r="S1490">
            <v>8069.55</v>
          </cell>
          <cell r="T1490" t="str">
            <v>CIF</v>
          </cell>
          <cell r="U1490" t="str">
            <v>LUC</v>
          </cell>
        </row>
        <row r="1491">
          <cell r="D1491">
            <v>0.9</v>
          </cell>
          <cell r="F1491">
            <v>381239475257</v>
          </cell>
          <cell r="G1491" t="str">
            <v>ROCHESTER ELECTRONICS</v>
          </cell>
          <cell r="H1491" t="str">
            <v>Delivered</v>
          </cell>
          <cell r="I1491" t="str">
            <v>TRAN</v>
          </cell>
          <cell r="J1491" t="str">
            <v>Fedex</v>
          </cell>
          <cell r="K1491" t="str">
            <v>VVMV</v>
          </cell>
          <cell r="L1491" t="str">
            <v>US</v>
          </cell>
          <cell r="M1491">
            <v>46154</v>
          </cell>
          <cell r="N1491">
            <v>46167</v>
          </cell>
          <cell r="O1491">
            <v>46175</v>
          </cell>
          <cell r="P1491">
            <v>108268687660</v>
          </cell>
          <cell r="Q1491">
            <v>46164</v>
          </cell>
          <cell r="R1491" t="str">
            <v>No inspection</v>
          </cell>
          <cell r="S1491">
            <v>490.5</v>
          </cell>
          <cell r="T1491" t="str">
            <v>CIF</v>
          </cell>
          <cell r="U1491" t="str">
            <v>FMC</v>
          </cell>
        </row>
        <row r="1492">
          <cell r="D1492">
            <v>0.8</v>
          </cell>
          <cell r="F1492">
            <v>381352210471</v>
          </cell>
          <cell r="G1492" t="str">
            <v>Analog Devices (Thailand) Co., Ltd</v>
          </cell>
          <cell r="H1492" t="str">
            <v>Delivered</v>
          </cell>
          <cell r="I1492" t="str">
            <v>IC,V</v>
          </cell>
          <cell r="J1492" t="str">
            <v>Fedex</v>
          </cell>
          <cell r="K1492" t="str">
            <v>VVMV</v>
          </cell>
          <cell r="L1492" t="str">
            <v>TH</v>
          </cell>
          <cell r="M1492">
            <v>46157</v>
          </cell>
          <cell r="N1492">
            <v>46175</v>
          </cell>
          <cell r="O1492">
            <v>46175</v>
          </cell>
          <cell r="P1492">
            <v>108291395810</v>
          </cell>
          <cell r="Q1492">
            <v>46171</v>
          </cell>
          <cell r="R1492" t="str">
            <v>No inspection</v>
          </cell>
          <cell r="S1492">
            <v>1160</v>
          </cell>
          <cell r="T1492" t="str">
            <v>EXW</v>
          </cell>
          <cell r="U1492" t="str">
            <v>PUR</v>
          </cell>
        </row>
        <row r="1493">
          <cell r="D1493">
            <v>2.2000000000000002</v>
          </cell>
          <cell r="F1493">
            <v>527159048238</v>
          </cell>
          <cell r="G1493" t="str">
            <v>ARROW ELECTRONICS, INC.</v>
          </cell>
          <cell r="H1493" t="str">
            <v>Delivered</v>
          </cell>
          <cell r="I1493" t="str">
            <v xml:space="preserve">CAP </v>
          </cell>
          <cell r="J1493" t="str">
            <v>Fedex</v>
          </cell>
          <cell r="K1493" t="str">
            <v>VVMV</v>
          </cell>
          <cell r="L1493" t="str">
            <v>US</v>
          </cell>
          <cell r="M1493">
            <v>46171</v>
          </cell>
          <cell r="N1493">
            <v>46178</v>
          </cell>
          <cell r="O1493">
            <v>46178</v>
          </cell>
          <cell r="P1493">
            <v>108305248920</v>
          </cell>
          <cell r="Q1493">
            <v>46176</v>
          </cell>
          <cell r="R1493" t="str">
            <v>No inspection</v>
          </cell>
          <cell r="S1493">
            <v>3229</v>
          </cell>
          <cell r="T1493" t="str">
            <v>CIF</v>
          </cell>
          <cell r="U1493" t="str">
            <v>FMC</v>
          </cell>
        </row>
        <row r="1494">
          <cell r="D1494">
            <v>8.4</v>
          </cell>
          <cell r="F1494">
            <v>3752160742</v>
          </cell>
          <cell r="G1494" t="str">
            <v>TTI INC</v>
          </cell>
          <cell r="H1494" t="str">
            <v>Delivered</v>
          </cell>
          <cell r="I1494" t="str">
            <v xml:space="preserve">INDU, RES , CAP </v>
          </cell>
          <cell r="J1494" t="str">
            <v>DHL</v>
          </cell>
          <cell r="K1494" t="str">
            <v>VVMV</v>
          </cell>
          <cell r="L1494" t="str">
            <v>US</v>
          </cell>
          <cell r="M1494">
            <v>46159</v>
          </cell>
          <cell r="N1494">
            <v>46162</v>
          </cell>
          <cell r="O1494">
            <v>46162</v>
          </cell>
          <cell r="P1494">
            <v>108257286800</v>
          </cell>
          <cell r="Q1494">
            <v>46161</v>
          </cell>
          <cell r="R1494" t="str">
            <v>No inspection</v>
          </cell>
          <cell r="S1494">
            <v>2317</v>
          </cell>
          <cell r="T1494" t="str">
            <v>CIF</v>
          </cell>
          <cell r="U1494" t="str">
            <v>FMC</v>
          </cell>
        </row>
        <row r="1495">
          <cell r="D1495">
            <v>44</v>
          </cell>
          <cell r="F1495">
            <v>4711936301</v>
          </cell>
          <cell r="G1495" t="str">
            <v>AVNET ASIA PTE LTD</v>
          </cell>
          <cell r="H1495" t="str">
            <v>Delivered</v>
          </cell>
          <cell r="I1495" t="str">
            <v xml:space="preserve">CAP </v>
          </cell>
          <cell r="J1495" t="str">
            <v>Expeditors</v>
          </cell>
          <cell r="K1495" t="str">
            <v>VVMV</v>
          </cell>
          <cell r="L1495" t="str">
            <v>SG</v>
          </cell>
          <cell r="M1495">
            <v>46162</v>
          </cell>
          <cell r="N1495">
            <v>46163</v>
          </cell>
          <cell r="O1495">
            <v>46163</v>
          </cell>
          <cell r="P1495">
            <v>108262321640</v>
          </cell>
          <cell r="Q1495">
            <v>46163</v>
          </cell>
          <cell r="R1495" t="str">
            <v>No inspection</v>
          </cell>
          <cell r="S1495">
            <v>6196.5</v>
          </cell>
          <cell r="T1495" t="str">
            <v>FCA</v>
          </cell>
          <cell r="U1495" t="str">
            <v>PUR</v>
          </cell>
        </row>
        <row r="1496">
          <cell r="D1496">
            <v>184.75</v>
          </cell>
          <cell r="F1496" t="str">
            <v>LSZHPH2604065</v>
          </cell>
          <cell r="G1496" t="str">
            <v>ISU PETASYS INTERNATIONAL (HONGKONG) LIMITED</v>
          </cell>
          <cell r="H1496" t="str">
            <v>Delivered</v>
          </cell>
          <cell r="I1496" t="str">
            <v xml:space="preserve">PCB </v>
          </cell>
          <cell r="J1496" t="str">
            <v>VVMV(sea)</v>
          </cell>
          <cell r="K1496" t="str">
            <v>VVMV</v>
          </cell>
          <cell r="M1496">
            <v>46158</v>
          </cell>
          <cell r="N1496">
            <v>46162</v>
          </cell>
          <cell r="O1496">
            <v>46162</v>
          </cell>
          <cell r="R1496" t="str">
            <v>No inspection</v>
          </cell>
          <cell r="U1496" t="str">
            <v>PUR</v>
          </cell>
        </row>
        <row r="1497">
          <cell r="D1497">
            <v>117</v>
          </cell>
          <cell r="F1497" t="str">
            <v>ASPHPHE14702308</v>
          </cell>
          <cell r="G1497" t="str">
            <v>TTI ELECTRONICS ASIA PTE LTD</v>
          </cell>
          <cell r="H1497" t="str">
            <v>Delivered</v>
          </cell>
          <cell r="I1497" t="str">
            <v>IND , CAP , RES , 	CAP</v>
          </cell>
          <cell r="J1497" t="str">
            <v>VVMV(sea)</v>
          </cell>
          <cell r="K1497" t="str">
            <v>VVMV</v>
          </cell>
          <cell r="L1497" t="str">
            <v>SG</v>
          </cell>
          <cell r="M1497">
            <v>46164</v>
          </cell>
          <cell r="N1497">
            <v>46171</v>
          </cell>
          <cell r="O1497">
            <v>46175</v>
          </cell>
          <cell r="P1497">
            <v>108284349940</v>
          </cell>
          <cell r="Q1497">
            <v>46170</v>
          </cell>
          <cell r="R1497" t="str">
            <v>No inspection</v>
          </cell>
          <cell r="S1497">
            <v>39123.65</v>
          </cell>
          <cell r="T1497" t="str">
            <v>EXW</v>
          </cell>
          <cell r="U1497" t="str">
            <v>LUC</v>
          </cell>
        </row>
        <row r="1498">
          <cell r="D1498">
            <v>8.5</v>
          </cell>
          <cell r="F1498">
            <v>4110337266</v>
          </cell>
          <cell r="G1498" t="str">
            <v>AVNET, INC</v>
          </cell>
          <cell r="H1498" t="str">
            <v>Delivered</v>
          </cell>
          <cell r="I1498" t="str">
            <v>CONN</v>
          </cell>
          <cell r="J1498" t="str">
            <v>Expeditors</v>
          </cell>
          <cell r="K1498" t="str">
            <v>VVMV</v>
          </cell>
          <cell r="L1498" t="str">
            <v>US</v>
          </cell>
          <cell r="M1498">
            <v>46156</v>
          </cell>
          <cell r="N1498">
            <v>46167</v>
          </cell>
          <cell r="O1498">
            <v>46167</v>
          </cell>
          <cell r="P1498">
            <v>108268037510</v>
          </cell>
          <cell r="Q1498">
            <v>46164</v>
          </cell>
          <cell r="R1498" t="str">
            <v>No inspection</v>
          </cell>
          <cell r="S1498">
            <v>1259.75</v>
          </cell>
          <cell r="T1498" t="str">
            <v>DAP</v>
          </cell>
          <cell r="U1498" t="str">
            <v>LUC</v>
          </cell>
        </row>
        <row r="1499">
          <cell r="D1499">
            <v>58</v>
          </cell>
          <cell r="F1499">
            <v>4915117717</v>
          </cell>
          <cell r="G1499" t="str">
            <v>PENCOM LTD</v>
          </cell>
          <cell r="H1499" t="str">
            <v>Delivered</v>
          </cell>
          <cell r="I1499" t="str">
            <v>STAN, SCRE</v>
          </cell>
          <cell r="J1499" t="str">
            <v>Expeditors</v>
          </cell>
          <cell r="K1499" t="str">
            <v>VVMV</v>
          </cell>
          <cell r="L1499" t="str">
            <v>HK</v>
          </cell>
          <cell r="M1499">
            <v>46152</v>
          </cell>
          <cell r="N1499">
            <v>46162</v>
          </cell>
          <cell r="O1499">
            <v>46162</v>
          </cell>
          <cell r="P1499">
            <v>108256908100</v>
          </cell>
          <cell r="Q1499">
            <v>46161</v>
          </cell>
          <cell r="R1499" t="str">
            <v>No inspection</v>
          </cell>
          <cell r="S1499">
            <v>2992</v>
          </cell>
          <cell r="T1499" t="str">
            <v>EXW</v>
          </cell>
          <cell r="U1499" t="str">
            <v>PUR</v>
          </cell>
        </row>
        <row r="1500">
          <cell r="D1500">
            <v>143.6</v>
          </cell>
          <cell r="F1500">
            <v>497354649867</v>
          </cell>
          <cell r="G1500" t="str">
            <v>A&amp;E RISING TECHNOLOGIES LTD</v>
          </cell>
          <cell r="H1500" t="str">
            <v>Delivered</v>
          </cell>
          <cell r="I1500" t="str">
            <v xml:space="preserve">PCB </v>
          </cell>
          <cell r="J1500" t="str">
            <v>Fedex</v>
          </cell>
          <cell r="K1500" t="str">
            <v>VVMV</v>
          </cell>
          <cell r="L1500" t="str">
            <v>HK</v>
          </cell>
          <cell r="M1500">
            <v>46135</v>
          </cell>
          <cell r="N1500">
            <v>46183</v>
          </cell>
          <cell r="O1500">
            <v>46184</v>
          </cell>
          <cell r="P1500">
            <v>108324685930</v>
          </cell>
          <cell r="Q1500">
            <v>46182</v>
          </cell>
          <cell r="R1500" t="str">
            <v>No inspection</v>
          </cell>
          <cell r="S1500">
            <v>16932.04</v>
          </cell>
          <cell r="T1500" t="str">
            <v>EXW</v>
          </cell>
          <cell r="U1500" t="str">
            <v>EF-</v>
          </cell>
        </row>
        <row r="1501">
          <cell r="D1501">
            <v>28</v>
          </cell>
          <cell r="F1501">
            <v>510007344202</v>
          </cell>
          <cell r="G1501" t="str">
            <v>SINO FAITH TECHNOLOGY  DVPT LTD</v>
          </cell>
          <cell r="H1501" t="str">
            <v>Delivered</v>
          </cell>
          <cell r="I1501" t="str">
            <v xml:space="preserve">FERR, RES , CAP </v>
          </cell>
          <cell r="J1501" t="str">
            <v>Fedex</v>
          </cell>
          <cell r="K1501" t="str">
            <v>VVMV</v>
          </cell>
          <cell r="L1501" t="str">
            <v>HK</v>
          </cell>
          <cell r="M1501">
            <v>46134</v>
          </cell>
          <cell r="N1501">
            <v>46169</v>
          </cell>
          <cell r="O1501">
            <v>46175</v>
          </cell>
          <cell r="P1501">
            <v>108279340410</v>
          </cell>
          <cell r="Q1501">
            <v>46168</v>
          </cell>
          <cell r="R1501" t="str">
            <v>No inspection</v>
          </cell>
          <cell r="S1501">
            <v>5268.45</v>
          </cell>
          <cell r="T1501" t="str">
            <v>EXW</v>
          </cell>
          <cell r="U1501" t="str">
            <v>PUR</v>
          </cell>
        </row>
        <row r="1502">
          <cell r="D1502">
            <v>162</v>
          </cell>
          <cell r="F1502">
            <v>4915119417</v>
          </cell>
          <cell r="G1502" t="str">
            <v>Sino Faith Technology Development</v>
          </cell>
          <cell r="H1502" t="str">
            <v>Delivered</v>
          </cell>
          <cell r="I1502" t="str">
            <v>IND , CAP , RES , CAPC</v>
          </cell>
          <cell r="J1502" t="str">
            <v>Expeditors</v>
          </cell>
          <cell r="K1502" t="str">
            <v>VVMV</v>
          </cell>
          <cell r="L1502" t="str">
            <v>HK</v>
          </cell>
          <cell r="M1502">
            <v>46161</v>
          </cell>
          <cell r="N1502">
            <v>46163</v>
          </cell>
          <cell r="O1502">
            <v>46164</v>
          </cell>
          <cell r="P1502" t="str">
            <v>108267543900
108267600010
108267606530
108267614560</v>
          </cell>
          <cell r="Q1502">
            <v>46164</v>
          </cell>
          <cell r="R1502" t="str">
            <v>No inspection</v>
          </cell>
          <cell r="S1502">
            <v>27644.400000000001</v>
          </cell>
          <cell r="T1502" t="str">
            <v>EXW</v>
          </cell>
          <cell r="U1502">
            <v>121</v>
          </cell>
        </row>
        <row r="1503">
          <cell r="D1503">
            <v>129</v>
          </cell>
          <cell r="F1503" t="str">
            <v>SAE26050273</v>
          </cell>
          <cell r="G1503" t="str">
            <v>ROSENBERGER HOCHFREQUENZTECHNIK</v>
          </cell>
          <cell r="H1503" t="str">
            <v>Delivered</v>
          </cell>
          <cell r="I1503" t="str">
            <v>CONN</v>
          </cell>
          <cell r="J1503" t="str">
            <v>FDI</v>
          </cell>
          <cell r="K1503" t="str">
            <v>VVMV</v>
          </cell>
          <cell r="L1503" t="str">
            <v>HU</v>
          </cell>
          <cell r="M1503">
            <v>46163</v>
          </cell>
          <cell r="N1503">
            <v>46169</v>
          </cell>
          <cell r="O1503">
            <v>46169</v>
          </cell>
          <cell r="P1503">
            <v>108278553830</v>
          </cell>
          <cell r="Q1503">
            <v>46168</v>
          </cell>
          <cell r="R1503" t="str">
            <v>No inspection</v>
          </cell>
          <cell r="S1503">
            <v>10939.32</v>
          </cell>
          <cell r="T1503" t="str">
            <v>CIF</v>
          </cell>
          <cell r="U1503" t="str">
            <v>LUC</v>
          </cell>
        </row>
        <row r="1504">
          <cell r="D1504">
            <v>11.1</v>
          </cell>
          <cell r="F1504">
            <v>381294284087</v>
          </cell>
          <cell r="G1504" t="str">
            <v>ROSENBERGER HOCHFREQUENZTECHNIK</v>
          </cell>
          <cell r="H1504" t="str">
            <v>Delivered</v>
          </cell>
          <cell r="I1504" t="str">
            <v>CONN</v>
          </cell>
          <cell r="J1504" t="str">
            <v>Fedex</v>
          </cell>
          <cell r="K1504" t="str">
            <v>VVMV</v>
          </cell>
          <cell r="L1504" t="str">
            <v>DE</v>
          </cell>
          <cell r="M1504">
            <v>46156</v>
          </cell>
          <cell r="N1504">
            <v>46169</v>
          </cell>
          <cell r="O1504">
            <v>46170</v>
          </cell>
          <cell r="P1504">
            <v>108280084620</v>
          </cell>
          <cell r="Q1504">
            <v>46168</v>
          </cell>
          <cell r="R1504" t="str">
            <v>No inspection</v>
          </cell>
          <cell r="S1504">
            <v>1516.26</v>
          </cell>
          <cell r="T1504" t="str">
            <v>CIF</v>
          </cell>
          <cell r="U1504" t="str">
            <v>LUC</v>
          </cell>
        </row>
        <row r="1505">
          <cell r="D1505">
            <v>0.1</v>
          </cell>
          <cell r="F1505">
            <v>525457924282</v>
          </cell>
          <cell r="G1505" t="str">
            <v>MOUSER ELECTRONICS INC</v>
          </cell>
          <cell r="H1505" t="str">
            <v>Delivered</v>
          </cell>
          <cell r="I1505" t="str">
            <v xml:space="preserve">TVS </v>
          </cell>
          <cell r="J1505" t="str">
            <v>Fedex</v>
          </cell>
          <cell r="K1505" t="str">
            <v>VVMV</v>
          </cell>
          <cell r="L1505" t="str">
            <v>US</v>
          </cell>
          <cell r="M1505">
            <v>46158</v>
          </cell>
          <cell r="N1505">
            <v>46167</v>
          </cell>
          <cell r="O1505">
            <v>46171</v>
          </cell>
          <cell r="P1505">
            <v>108260894120</v>
          </cell>
          <cell r="Q1505">
            <v>46162</v>
          </cell>
          <cell r="R1505" t="str">
            <v>No inspection</v>
          </cell>
          <cell r="S1505">
            <v>41.86</v>
          </cell>
          <cell r="T1505" t="str">
            <v>CIF</v>
          </cell>
          <cell r="U1505">
            <v>124</v>
          </cell>
        </row>
        <row r="1506">
          <cell r="D1506">
            <v>1</v>
          </cell>
          <cell r="F1506">
            <v>500292644900</v>
          </cell>
          <cell r="G1506" t="str">
            <v>ARROW COMPONENTS MEXICO SA De CV</v>
          </cell>
          <cell r="H1506" t="str">
            <v>Delivered</v>
          </cell>
          <cell r="I1506" t="str">
            <v>TRAN</v>
          </cell>
          <cell r="J1506" t="str">
            <v>Fedex</v>
          </cell>
          <cell r="K1506" t="str">
            <v>VVMV</v>
          </cell>
          <cell r="L1506" t="str">
            <v>MX</v>
          </cell>
          <cell r="M1506">
            <v>46156</v>
          </cell>
          <cell r="N1506">
            <v>46167</v>
          </cell>
          <cell r="O1506">
            <v>46175</v>
          </cell>
          <cell r="P1506">
            <v>108261095720</v>
          </cell>
          <cell r="Q1506">
            <v>46162</v>
          </cell>
          <cell r="R1506" t="str">
            <v>No inspection</v>
          </cell>
          <cell r="S1506">
            <v>950</v>
          </cell>
          <cell r="T1506" t="str">
            <v>CIF</v>
          </cell>
          <cell r="U1506" t="str">
            <v>PUR</v>
          </cell>
        </row>
        <row r="1507">
          <cell r="D1507">
            <v>8</v>
          </cell>
          <cell r="F1507">
            <v>871832889351</v>
          </cell>
          <cell r="G1507" t="str">
            <v>VITAL SYSTEM TECHNOLOGY PTE LTD</v>
          </cell>
          <cell r="H1507" t="str">
            <v>Delivered</v>
          </cell>
          <cell r="I1507" t="str">
            <v xml:space="preserve">CAP , RES </v>
          </cell>
          <cell r="J1507" t="str">
            <v>Fedex</v>
          </cell>
          <cell r="K1507" t="str">
            <v>VVMV</v>
          </cell>
          <cell r="L1507" t="str">
            <v>SG</v>
          </cell>
          <cell r="M1507">
            <v>46157</v>
          </cell>
          <cell r="N1507">
            <v>46167</v>
          </cell>
          <cell r="O1507">
            <v>46171</v>
          </cell>
          <cell r="P1507">
            <v>108261027340</v>
          </cell>
          <cell r="Q1507">
            <v>46162</v>
          </cell>
          <cell r="R1507" t="str">
            <v>No inspection</v>
          </cell>
          <cell r="S1507">
            <v>933</v>
          </cell>
          <cell r="T1507" t="str">
            <v>EXW</v>
          </cell>
          <cell r="U1507">
            <v>122</v>
          </cell>
        </row>
        <row r="1508">
          <cell r="D1508">
            <v>1.4</v>
          </cell>
          <cell r="F1508">
            <v>484112424811</v>
          </cell>
          <cell r="G1508" t="str">
            <v>KIOXIA   AMERICA INC C/O TLGA</v>
          </cell>
          <cell r="H1508" t="str">
            <v>Delivered</v>
          </cell>
          <cell r="I1508" t="str">
            <v>IC M</v>
          </cell>
          <cell r="J1508" t="str">
            <v>Fedex</v>
          </cell>
          <cell r="K1508" t="str">
            <v>VVMV</v>
          </cell>
          <cell r="L1508" t="str">
            <v>US</v>
          </cell>
          <cell r="M1508">
            <v>46155</v>
          </cell>
          <cell r="N1508">
            <v>46167</v>
          </cell>
          <cell r="O1508">
            <v>46170</v>
          </cell>
          <cell r="P1508">
            <v>108261154520</v>
          </cell>
          <cell r="Q1508">
            <v>46162</v>
          </cell>
          <cell r="R1508" t="str">
            <v>No inspection</v>
          </cell>
          <cell r="S1508">
            <v>45050</v>
          </cell>
          <cell r="T1508" t="str">
            <v>CIF</v>
          </cell>
          <cell r="U1508" t="str">
            <v>LUC</v>
          </cell>
        </row>
        <row r="1509">
          <cell r="D1509">
            <v>0.5</v>
          </cell>
          <cell r="F1509">
            <v>500292647141</v>
          </cell>
          <cell r="G1509" t="str">
            <v>ARROW COMPONENTS MEXICO SA De CV</v>
          </cell>
          <cell r="H1509" t="str">
            <v>Delivered</v>
          </cell>
          <cell r="I1509" t="str">
            <v>TRAN</v>
          </cell>
          <cell r="J1509" t="str">
            <v>Fedex</v>
          </cell>
          <cell r="K1509" t="str">
            <v>VVMV</v>
          </cell>
          <cell r="L1509" t="str">
            <v>MX</v>
          </cell>
          <cell r="M1509">
            <v>46157</v>
          </cell>
          <cell r="N1509">
            <v>46167</v>
          </cell>
          <cell r="O1509">
            <v>46175</v>
          </cell>
          <cell r="P1509">
            <v>108261308150</v>
          </cell>
          <cell r="Q1509">
            <v>46162</v>
          </cell>
          <cell r="R1509" t="str">
            <v>No inspection</v>
          </cell>
          <cell r="S1509">
            <v>201.6</v>
          </cell>
          <cell r="T1509" t="str">
            <v>CIF</v>
          </cell>
          <cell r="U1509" t="str">
            <v>EF-</v>
          </cell>
        </row>
        <row r="1510">
          <cell r="D1510">
            <v>0.5</v>
          </cell>
          <cell r="F1510">
            <v>707296336851</v>
          </cell>
          <cell r="G1510" t="str">
            <v>ARROW COMPONENTS MEXICO SA De CV</v>
          </cell>
          <cell r="H1510" t="str">
            <v>Delivered</v>
          </cell>
          <cell r="I1510" t="str">
            <v>FERR</v>
          </cell>
          <cell r="J1510" t="str">
            <v>Fedex</v>
          </cell>
          <cell r="K1510" t="str">
            <v>VVMV</v>
          </cell>
          <cell r="L1510" t="str">
            <v>MX</v>
          </cell>
          <cell r="M1510">
            <v>46154</v>
          </cell>
          <cell r="N1510">
            <v>46167</v>
          </cell>
          <cell r="O1510">
            <v>46170</v>
          </cell>
          <cell r="P1510">
            <v>108261241430</v>
          </cell>
          <cell r="Q1510">
            <v>46162</v>
          </cell>
          <cell r="R1510" t="str">
            <v>No inspection</v>
          </cell>
          <cell r="S1510">
            <v>36</v>
          </cell>
          <cell r="T1510" t="str">
            <v>CIF</v>
          </cell>
          <cell r="U1510" t="str">
            <v>PUR</v>
          </cell>
        </row>
        <row r="1511">
          <cell r="D1511">
            <v>1</v>
          </cell>
          <cell r="F1511">
            <v>381332073549</v>
          </cell>
          <cell r="G1511" t="str">
            <v>WURTH ELECTRONICS MIDCOM</v>
          </cell>
          <cell r="H1511" t="str">
            <v>Delivered</v>
          </cell>
          <cell r="I1511" t="str">
            <v>CONN</v>
          </cell>
          <cell r="J1511" t="str">
            <v>Fedex</v>
          </cell>
          <cell r="K1511" t="str">
            <v>VVMV</v>
          </cell>
          <cell r="L1511" t="str">
            <v>US</v>
          </cell>
          <cell r="M1511">
            <v>46157</v>
          </cell>
          <cell r="N1511">
            <v>46167</v>
          </cell>
          <cell r="O1511">
            <v>46175</v>
          </cell>
          <cell r="P1511">
            <v>108261370450</v>
          </cell>
          <cell r="Q1511">
            <v>46162</v>
          </cell>
          <cell r="R1511" t="str">
            <v>No inspection</v>
          </cell>
          <cell r="S1511">
            <v>396</v>
          </cell>
          <cell r="T1511" t="str">
            <v>CIF</v>
          </cell>
          <cell r="U1511" t="str">
            <v>EF-</v>
          </cell>
        </row>
        <row r="1512">
          <cell r="D1512">
            <v>1</v>
          </cell>
          <cell r="F1512">
            <v>381339679629</v>
          </cell>
          <cell r="G1512" t="str">
            <v>WURTH ELECTRONICS MIDCOM</v>
          </cell>
          <cell r="H1512" t="str">
            <v>Delivered</v>
          </cell>
          <cell r="I1512" t="str">
            <v>CONN</v>
          </cell>
          <cell r="J1512" t="str">
            <v>Fedex</v>
          </cell>
          <cell r="K1512" t="str">
            <v>VVMV</v>
          </cell>
          <cell r="L1512" t="str">
            <v>US</v>
          </cell>
          <cell r="M1512">
            <v>46157</v>
          </cell>
          <cell r="N1512">
            <v>46167</v>
          </cell>
          <cell r="O1512">
            <v>46167</v>
          </cell>
          <cell r="P1512">
            <v>108263184740</v>
          </cell>
          <cell r="Q1512">
            <v>46163</v>
          </cell>
          <cell r="R1512" t="str">
            <v>No inspection</v>
          </cell>
          <cell r="S1512">
            <v>396</v>
          </cell>
          <cell r="T1512" t="str">
            <v>CIF</v>
          </cell>
          <cell r="U1512" t="str">
            <v>EF-</v>
          </cell>
        </row>
        <row r="1513">
          <cell r="D1513">
            <v>25.2</v>
          </cell>
          <cell r="F1513">
            <v>871858109171</v>
          </cell>
          <cell r="G1513" t="str">
            <v>WURTH ELECTRONICS MIDCOM</v>
          </cell>
          <cell r="H1513" t="str">
            <v>Delivered</v>
          </cell>
          <cell r="I1513" t="str">
            <v xml:space="preserve">IND , CONN, LED </v>
          </cell>
          <cell r="J1513" t="str">
            <v>Fedex</v>
          </cell>
          <cell r="K1513" t="str">
            <v>VVMV</v>
          </cell>
          <cell r="L1513" t="str">
            <v>US</v>
          </cell>
          <cell r="M1513">
            <v>46157</v>
          </cell>
          <cell r="N1513">
            <v>46167</v>
          </cell>
          <cell r="O1513">
            <v>46170</v>
          </cell>
          <cell r="P1513">
            <v>108261341900</v>
          </cell>
          <cell r="Q1513">
            <v>46162</v>
          </cell>
          <cell r="R1513" t="str">
            <v>No inspection</v>
          </cell>
          <cell r="S1513">
            <v>2775</v>
          </cell>
          <cell r="T1513" t="str">
            <v>CIF</v>
          </cell>
          <cell r="U1513">
            <v>174</v>
          </cell>
        </row>
        <row r="1514">
          <cell r="D1514">
            <v>0.4</v>
          </cell>
          <cell r="F1514">
            <v>524560536016</v>
          </cell>
          <cell r="G1514" t="str">
            <v>SAMTEC ASIA PACIFIC PTE LTD</v>
          </cell>
          <cell r="H1514" t="str">
            <v>Delivered</v>
          </cell>
          <cell r="I1514" t="str">
            <v>CONN</v>
          </cell>
          <cell r="J1514" t="str">
            <v>Fedex</v>
          </cell>
          <cell r="K1514" t="str">
            <v>VVMV</v>
          </cell>
          <cell r="L1514" t="str">
            <v>SG</v>
          </cell>
          <cell r="M1514">
            <v>46157</v>
          </cell>
          <cell r="N1514">
            <v>46167</v>
          </cell>
          <cell r="O1514">
            <v>46175</v>
          </cell>
          <cell r="P1514">
            <v>108261341160</v>
          </cell>
          <cell r="Q1514">
            <v>46162</v>
          </cell>
          <cell r="R1514" t="str">
            <v>No inspection</v>
          </cell>
          <cell r="S1514">
            <v>122.5</v>
          </cell>
          <cell r="T1514" t="str">
            <v>CIF</v>
          </cell>
          <cell r="U1514" t="str">
            <v>EF-</v>
          </cell>
        </row>
        <row r="1515">
          <cell r="D1515">
            <v>5.4</v>
          </cell>
          <cell r="F1515">
            <v>871835099990</v>
          </cell>
          <cell r="G1515" t="str">
            <v>WT MICROELECTRONICS SPORE P/L</v>
          </cell>
          <cell r="H1515" t="str">
            <v>Delivered</v>
          </cell>
          <cell r="I1515" t="str">
            <v xml:space="preserve">CAP </v>
          </cell>
          <cell r="J1515" t="str">
            <v>Fedex</v>
          </cell>
          <cell r="K1515" t="str">
            <v>VVMV</v>
          </cell>
          <cell r="L1515" t="str">
            <v>SG</v>
          </cell>
          <cell r="M1515">
            <v>46157</v>
          </cell>
          <cell r="N1515">
            <v>46167</v>
          </cell>
          <cell r="O1515">
            <v>46170</v>
          </cell>
          <cell r="P1515">
            <v>108263037850</v>
          </cell>
          <cell r="Q1515">
            <v>46163</v>
          </cell>
          <cell r="R1515" t="str">
            <v>No inspection</v>
          </cell>
          <cell r="S1515">
            <v>231.3</v>
          </cell>
          <cell r="T1515" t="str">
            <v>EXW</v>
          </cell>
          <cell r="U1515" t="str">
            <v>EF-</v>
          </cell>
        </row>
        <row r="1516">
          <cell r="D1516">
            <v>6.4</v>
          </cell>
          <cell r="F1516">
            <v>493891688606</v>
          </cell>
          <cell r="G1516" t="str">
            <v>FIERY, LLC.</v>
          </cell>
          <cell r="H1516" t="str">
            <v>Delivered</v>
          </cell>
          <cell r="I1516" t="str">
            <v>IC F</v>
          </cell>
          <cell r="J1516" t="str">
            <v>Fedex</v>
          </cell>
          <cell r="K1516" t="str">
            <v>VVMV</v>
          </cell>
          <cell r="L1516" t="str">
            <v>US</v>
          </cell>
          <cell r="M1516">
            <v>46157</v>
          </cell>
          <cell r="N1516">
            <v>46167</v>
          </cell>
          <cell r="O1516">
            <v>46169</v>
          </cell>
          <cell r="P1516">
            <v>108265530000</v>
          </cell>
          <cell r="Q1516">
            <v>46163</v>
          </cell>
          <cell r="R1516" t="str">
            <v>No inspection</v>
          </cell>
          <cell r="S1516">
            <v>52423.8</v>
          </cell>
          <cell r="T1516" t="str">
            <v>CIF</v>
          </cell>
          <cell r="U1516" t="str">
            <v>EF-</v>
          </cell>
        </row>
        <row r="1517">
          <cell r="D1517">
            <v>11.3</v>
          </cell>
          <cell r="F1517">
            <v>493891688661</v>
          </cell>
          <cell r="G1517" t="str">
            <v>FIERY, LLC.</v>
          </cell>
          <cell r="H1517" t="str">
            <v>Delivered</v>
          </cell>
          <cell r="I1517" t="str">
            <v>IC P</v>
          </cell>
          <cell r="J1517" t="str">
            <v>Fedex</v>
          </cell>
          <cell r="K1517" t="str">
            <v>VVMV</v>
          </cell>
          <cell r="L1517" t="str">
            <v>US</v>
          </cell>
          <cell r="M1517">
            <v>46157</v>
          </cell>
          <cell r="N1517">
            <v>46167</v>
          </cell>
          <cell r="O1517">
            <v>46171</v>
          </cell>
          <cell r="P1517">
            <v>108265498350</v>
          </cell>
          <cell r="Q1517">
            <v>46163</v>
          </cell>
          <cell r="R1517" t="str">
            <v>No inspection</v>
          </cell>
          <cell r="S1517">
            <v>82063.070000000007</v>
          </cell>
          <cell r="T1517" t="str">
            <v>CIF</v>
          </cell>
          <cell r="U1517" t="str">
            <v>EF-</v>
          </cell>
        </row>
        <row r="1518">
          <cell r="D1518">
            <v>1941.5</v>
          </cell>
          <cell r="F1518" t="str">
            <v>PSHPH2650073</v>
          </cell>
          <cell r="G1518" t="str">
            <v>MIN AIK TECHNOLOGY CO., LTD</v>
          </cell>
          <cell r="H1518" t="str">
            <v>Delivered</v>
          </cell>
          <cell r="I1518" t="str">
            <v>ASSY, PLAS</v>
          </cell>
          <cell r="J1518" t="str">
            <v>VVMV(sea)</v>
          </cell>
          <cell r="K1518" t="str">
            <v>VVMV</v>
          </cell>
          <cell r="L1518" t="str">
            <v>TW</v>
          </cell>
          <cell r="M1518">
            <v>46159</v>
          </cell>
          <cell r="N1518">
            <v>46167</v>
          </cell>
          <cell r="O1518">
            <v>46167</v>
          </cell>
          <cell r="P1518">
            <v>108262405640</v>
          </cell>
          <cell r="Q1518">
            <v>46163</v>
          </cell>
          <cell r="R1518" t="str">
            <v>No inspection</v>
          </cell>
          <cell r="S1518">
            <v>100080.8</v>
          </cell>
          <cell r="T1518" t="str">
            <v>EXW</v>
          </cell>
          <cell r="U1518" t="str">
            <v>PUR</v>
          </cell>
        </row>
        <row r="1519">
          <cell r="D1519">
            <v>1.1000000000000001</v>
          </cell>
          <cell r="F1519">
            <v>2835604590</v>
          </cell>
          <cell r="G1519" t="str">
            <v>FUSION TRADE PTE LTD</v>
          </cell>
          <cell r="H1519" t="str">
            <v>Delivered</v>
          </cell>
          <cell r="I1519" t="str">
            <v>TRAN</v>
          </cell>
          <cell r="J1519" t="str">
            <v>DHL</v>
          </cell>
          <cell r="K1519" t="str">
            <v>VVMV</v>
          </cell>
          <cell r="L1519" t="str">
            <v>SG</v>
          </cell>
          <cell r="M1519">
            <v>46161</v>
          </cell>
          <cell r="N1519">
            <v>46167</v>
          </cell>
          <cell r="O1519">
            <v>46167</v>
          </cell>
          <cell r="P1519">
            <v>108264583010</v>
          </cell>
          <cell r="Q1519">
            <v>46163</v>
          </cell>
          <cell r="R1519" t="str">
            <v>No inspection</v>
          </cell>
          <cell r="S1519">
            <v>1798.2</v>
          </cell>
          <cell r="T1519" t="str">
            <v>CIF</v>
          </cell>
          <cell r="U1519" t="str">
            <v>EF-</v>
          </cell>
        </row>
        <row r="1520">
          <cell r="D1520">
            <v>3.6</v>
          </cell>
          <cell r="F1520">
            <v>525343781722</v>
          </cell>
          <cell r="G1520" t="str">
            <v>MICRON SEMICONDUCTOR XIAN CO, LTD</v>
          </cell>
          <cell r="H1520" t="str">
            <v>Delivered</v>
          </cell>
          <cell r="I1520" t="str">
            <v xml:space="preserve">MEM </v>
          </cell>
          <cell r="J1520" t="str">
            <v>Fedex</v>
          </cell>
          <cell r="K1520" t="str">
            <v>VVMV</v>
          </cell>
          <cell r="L1520" t="str">
            <v>CN</v>
          </cell>
          <cell r="M1520">
            <v>46160</v>
          </cell>
          <cell r="N1520">
            <v>46167</v>
          </cell>
          <cell r="O1520">
            <v>46171</v>
          </cell>
          <cell r="P1520">
            <v>108265406910</v>
          </cell>
          <cell r="Q1520">
            <v>46163</v>
          </cell>
          <cell r="R1520" t="str">
            <v>No inspection</v>
          </cell>
          <cell r="S1520">
            <v>31440</v>
          </cell>
          <cell r="T1520" t="str">
            <v>EXW</v>
          </cell>
          <cell r="U1520" t="str">
            <v>HLO</v>
          </cell>
        </row>
        <row r="1521">
          <cell r="D1521">
            <v>93.6</v>
          </cell>
          <cell r="F1521">
            <v>525343804473</v>
          </cell>
          <cell r="G1521" t="str">
            <v>Micron Memory Malaysia Sdn. Bh</v>
          </cell>
          <cell r="H1521" t="str">
            <v>Delivered</v>
          </cell>
          <cell r="I1521" t="str">
            <v xml:space="preserve">MEM </v>
          </cell>
          <cell r="J1521" t="str">
            <v>Fedex</v>
          </cell>
          <cell r="K1521" t="str">
            <v>VVMV</v>
          </cell>
          <cell r="L1521" t="str">
            <v>MY</v>
          </cell>
          <cell r="M1521">
            <v>46161</v>
          </cell>
          <cell r="N1521">
            <v>46167</v>
          </cell>
          <cell r="O1521">
            <v>46175</v>
          </cell>
          <cell r="P1521">
            <v>108265481810</v>
          </cell>
          <cell r="Q1521">
            <v>46163</v>
          </cell>
          <cell r="R1521" t="str">
            <v>No inspection</v>
          </cell>
          <cell r="S1521">
            <v>7787960</v>
          </cell>
          <cell r="T1521" t="str">
            <v>CIF</v>
          </cell>
          <cell r="U1521" t="str">
            <v>PUR</v>
          </cell>
        </row>
        <row r="1522">
          <cell r="D1522">
            <v>2.2000000000000002</v>
          </cell>
          <cell r="F1522">
            <v>871900877860</v>
          </cell>
          <cell r="G1522" t="str">
            <v>EMI STOP CORP</v>
          </cell>
          <cell r="H1522" t="str">
            <v>Delivered</v>
          </cell>
          <cell r="I1522" t="str">
            <v xml:space="preserve">CON </v>
          </cell>
          <cell r="J1522" t="str">
            <v>Fedex</v>
          </cell>
          <cell r="K1522" t="str">
            <v>VVMV</v>
          </cell>
          <cell r="L1522" t="str">
            <v>TW</v>
          </cell>
          <cell r="M1522">
            <v>46160</v>
          </cell>
          <cell r="N1522">
            <v>46167</v>
          </cell>
          <cell r="O1522">
            <v>46175</v>
          </cell>
          <cell r="P1522">
            <v>108263548850</v>
          </cell>
          <cell r="Q1522">
            <v>46163</v>
          </cell>
          <cell r="R1522" t="str">
            <v>No inspection</v>
          </cell>
          <cell r="S1522">
            <v>1512</v>
          </cell>
          <cell r="T1522" t="str">
            <v>EXW</v>
          </cell>
          <cell r="U1522" t="str">
            <v>LUC</v>
          </cell>
        </row>
        <row r="1523">
          <cell r="D1523">
            <v>6.6</v>
          </cell>
          <cell r="F1523">
            <v>512718301003</v>
          </cell>
          <cell r="G1523" t="str">
            <v>SILICON MOTION INC</v>
          </cell>
          <cell r="H1523" t="str">
            <v>Delivered</v>
          </cell>
          <cell r="I1523" t="str">
            <v>IC M</v>
          </cell>
          <cell r="J1523" t="str">
            <v>Fedex</v>
          </cell>
          <cell r="K1523" t="str">
            <v>VVMV</v>
          </cell>
          <cell r="L1523" t="str">
            <v>TW</v>
          </cell>
          <cell r="M1523">
            <v>46161</v>
          </cell>
          <cell r="N1523">
            <v>46167</v>
          </cell>
          <cell r="O1523">
            <v>46175</v>
          </cell>
          <cell r="P1523">
            <v>108263921730</v>
          </cell>
          <cell r="Q1523">
            <v>46163</v>
          </cell>
          <cell r="R1523" t="str">
            <v>No inspection</v>
          </cell>
          <cell r="S1523">
            <v>56520</v>
          </cell>
          <cell r="T1523" t="str">
            <v>EXW</v>
          </cell>
          <cell r="U1523" t="str">
            <v>PUR</v>
          </cell>
        </row>
        <row r="1524">
          <cell r="D1524">
            <v>2.2999999999999998</v>
          </cell>
          <cell r="F1524">
            <v>871907578288</v>
          </cell>
          <cell r="G1524" t="str">
            <v>Element 14 Pte Ltd</v>
          </cell>
          <cell r="H1524" t="str">
            <v>Delivered</v>
          </cell>
          <cell r="I1524" t="str">
            <v>IND , RES , CAP , CRYS</v>
          </cell>
          <cell r="J1524" t="str">
            <v>Fedex</v>
          </cell>
          <cell r="K1524" t="str">
            <v>VVMV</v>
          </cell>
          <cell r="L1524" t="str">
            <v>SG</v>
          </cell>
          <cell r="M1524">
            <v>46160</v>
          </cell>
          <cell r="N1524">
            <v>46167</v>
          </cell>
          <cell r="O1524">
            <v>46175</v>
          </cell>
          <cell r="P1524">
            <v>108265456020</v>
          </cell>
          <cell r="Q1524">
            <v>46163</v>
          </cell>
          <cell r="R1524" t="str">
            <v>No inspection</v>
          </cell>
          <cell r="S1524">
            <v>4043.9</v>
          </cell>
          <cell r="T1524" t="str">
            <v>EXW</v>
          </cell>
          <cell r="U1524" t="str">
            <v>FMC</v>
          </cell>
        </row>
        <row r="1525">
          <cell r="D1525">
            <v>3.3</v>
          </cell>
          <cell r="F1525">
            <v>523488275340</v>
          </cell>
          <cell r="G1525" t="str">
            <v>WPG SOUTH ASIA PTE LTD</v>
          </cell>
          <cell r="H1525" t="str">
            <v>Delivered</v>
          </cell>
          <cell r="I1525" t="str">
            <v>IC M, DIOD, IC V</v>
          </cell>
          <cell r="J1525" t="str">
            <v>Fedex</v>
          </cell>
          <cell r="K1525" t="str">
            <v>VVMV</v>
          </cell>
          <cell r="L1525" t="str">
            <v>SG</v>
          </cell>
          <cell r="M1525">
            <v>46157</v>
          </cell>
          <cell r="N1525">
            <v>46167</v>
          </cell>
          <cell r="O1525">
            <v>46169</v>
          </cell>
          <cell r="P1525">
            <v>108265519940</v>
          </cell>
          <cell r="Q1525">
            <v>46163</v>
          </cell>
          <cell r="R1525" t="str">
            <v>No inspection</v>
          </cell>
          <cell r="S1525">
            <v>8472.7999999999993</v>
          </cell>
          <cell r="T1525" t="str">
            <v>EXW</v>
          </cell>
          <cell r="U1525" t="str">
            <v>LUC</v>
          </cell>
        </row>
        <row r="1526">
          <cell r="D1526">
            <v>17.399999999999999</v>
          </cell>
          <cell r="F1526">
            <v>409298922447</v>
          </cell>
          <cell r="G1526" t="str">
            <v>TTI ELECTRONICS ASIA PTE LTD</v>
          </cell>
          <cell r="H1526" t="str">
            <v>Delivered</v>
          </cell>
          <cell r="I1526" t="str">
            <v xml:space="preserve">IND , CAP , RES </v>
          </cell>
          <cell r="J1526" t="str">
            <v>Fedex</v>
          </cell>
          <cell r="K1526" t="str">
            <v>VVMV</v>
          </cell>
          <cell r="L1526" t="str">
            <v>SG</v>
          </cell>
          <cell r="M1526">
            <v>46160</v>
          </cell>
          <cell r="N1526">
            <v>46167</v>
          </cell>
          <cell r="O1526">
            <v>46167</v>
          </cell>
          <cell r="P1526">
            <v>108265470940</v>
          </cell>
          <cell r="Q1526">
            <v>46163</v>
          </cell>
          <cell r="R1526" t="str">
            <v>No inspection</v>
          </cell>
          <cell r="S1526">
            <v>5039.5</v>
          </cell>
          <cell r="T1526" t="str">
            <v>EXW</v>
          </cell>
          <cell r="U1526" t="str">
            <v>LUC</v>
          </cell>
        </row>
        <row r="1527">
          <cell r="D1527">
            <v>0.5</v>
          </cell>
          <cell r="F1527">
            <v>381402078080</v>
          </cell>
          <cell r="G1527" t="str">
            <v>MASTER ELECTRONICS</v>
          </cell>
          <cell r="H1527" t="str">
            <v>Delivered</v>
          </cell>
          <cell r="I1527" t="str">
            <v xml:space="preserve">RES </v>
          </cell>
          <cell r="J1527" t="str">
            <v>Fedex</v>
          </cell>
          <cell r="K1527" t="str">
            <v>VVMV</v>
          </cell>
          <cell r="L1527" t="str">
            <v>US</v>
          </cell>
          <cell r="M1527">
            <v>46160</v>
          </cell>
          <cell r="N1527">
            <v>46167</v>
          </cell>
          <cell r="O1527">
            <v>46167</v>
          </cell>
          <cell r="P1527">
            <v>108264055800</v>
          </cell>
          <cell r="Q1527">
            <v>46163</v>
          </cell>
          <cell r="R1527" t="str">
            <v>No inspection</v>
          </cell>
          <cell r="S1527">
            <v>30</v>
          </cell>
          <cell r="T1527" t="str">
            <v>CIF</v>
          </cell>
          <cell r="U1527" t="str">
            <v>FMC</v>
          </cell>
        </row>
        <row r="1528">
          <cell r="D1528">
            <v>13.6</v>
          </cell>
          <cell r="F1528">
            <v>526750129650</v>
          </cell>
          <cell r="G1528" t="str">
            <v>DIGI-KEY ELECTRONICS</v>
          </cell>
          <cell r="H1528" t="str">
            <v>Delivered</v>
          </cell>
          <cell r="I1528" t="str">
            <v xml:space="preserve">TRAN, CONN, FERR, CAP , OSC , DIOD, IC D, IND , LED </v>
          </cell>
          <cell r="J1528" t="str">
            <v>Fedex</v>
          </cell>
          <cell r="K1528" t="str">
            <v>VVMV</v>
          </cell>
          <cell r="L1528" t="str">
            <v>US</v>
          </cell>
          <cell r="M1528">
            <v>46160</v>
          </cell>
          <cell r="N1528">
            <v>46167</v>
          </cell>
          <cell r="O1528">
            <v>46170</v>
          </cell>
          <cell r="P1528">
            <v>108265523440</v>
          </cell>
          <cell r="Q1528">
            <v>46163</v>
          </cell>
          <cell r="R1528" t="str">
            <v>No inspection</v>
          </cell>
          <cell r="S1528">
            <v>9907.98</v>
          </cell>
          <cell r="T1528" t="str">
            <v>CIF</v>
          </cell>
          <cell r="U1528" t="str">
            <v>FMC</v>
          </cell>
        </row>
        <row r="1529">
          <cell r="D1529">
            <v>0.9</v>
          </cell>
          <cell r="F1529">
            <v>4688805310</v>
          </cell>
          <cell r="G1529" t="str">
            <v>Shenzhen Jiechuangxin Technology Co.,Ltd.</v>
          </cell>
          <cell r="H1529" t="str">
            <v>Delivered</v>
          </cell>
          <cell r="I1529" t="str">
            <v>IC S, IC F</v>
          </cell>
          <cell r="J1529" t="str">
            <v>DHL</v>
          </cell>
          <cell r="K1529" t="str">
            <v>VVMV</v>
          </cell>
          <cell r="L1529" t="str">
            <v>CN</v>
          </cell>
          <cell r="M1529">
            <v>46160</v>
          </cell>
          <cell r="N1529">
            <v>46167</v>
          </cell>
          <cell r="O1529">
            <v>46167</v>
          </cell>
          <cell r="P1529">
            <v>108265515960</v>
          </cell>
          <cell r="Q1529">
            <v>46163</v>
          </cell>
          <cell r="R1529" t="str">
            <v>No inspection</v>
          </cell>
          <cell r="S1529">
            <v>450</v>
          </cell>
          <cell r="T1529" t="str">
            <v>CIF</v>
          </cell>
          <cell r="U1529">
            <v>103</v>
          </cell>
        </row>
        <row r="1530">
          <cell r="D1530">
            <v>3100</v>
          </cell>
          <cell r="F1530" t="str">
            <v>LSHHPH2604572</v>
          </cell>
          <cell r="G1530" t="str">
            <v>YANCHENG CHARLES POWER TECHNOLOGY GROUP CO., LTD</v>
          </cell>
          <cell r="H1530" t="str">
            <v>Delivered</v>
          </cell>
          <cell r="I1530" t="str">
            <v xml:space="preserve">BCM , GRAV, VCU </v>
          </cell>
          <cell r="J1530" t="str">
            <v>Dolphin(sea)</v>
          </cell>
          <cell r="K1530" t="str">
            <v>Dolphin</v>
          </cell>
          <cell r="L1530" t="str">
            <v>CN</v>
          </cell>
          <cell r="M1530">
            <v>46159</v>
          </cell>
          <cell r="N1530">
            <v>46167</v>
          </cell>
          <cell r="O1530">
            <v>46167</v>
          </cell>
          <cell r="P1530">
            <v>108263337010</v>
          </cell>
          <cell r="Q1530">
            <v>46163</v>
          </cell>
          <cell r="R1530" t="str">
            <v>No inspection</v>
          </cell>
          <cell r="S1530">
            <v>60.552</v>
          </cell>
          <cell r="T1530" t="str">
            <v>FOB</v>
          </cell>
          <cell r="U1530" t="str">
            <v>LUC</v>
          </cell>
        </row>
        <row r="1531">
          <cell r="D1531">
            <v>0.3</v>
          </cell>
          <cell r="F1531">
            <v>493602840058</v>
          </cell>
          <cell r="G1531" t="str">
            <v>VENKEL LTD</v>
          </cell>
          <cell r="H1531" t="str">
            <v>Delivered</v>
          </cell>
          <cell r="I1531" t="str">
            <v xml:space="preserve">RES </v>
          </cell>
          <cell r="J1531" t="str">
            <v>Fedex</v>
          </cell>
          <cell r="K1531" t="str">
            <v>VVMV</v>
          </cell>
          <cell r="L1531" t="str">
            <v>US</v>
          </cell>
          <cell r="M1531">
            <v>46160</v>
          </cell>
          <cell r="N1531">
            <v>46167</v>
          </cell>
          <cell r="O1531">
            <v>46175</v>
          </cell>
          <cell r="P1531">
            <v>108264645900</v>
          </cell>
          <cell r="Q1531">
            <v>46163</v>
          </cell>
          <cell r="R1531" t="str">
            <v>No inspection</v>
          </cell>
          <cell r="S1531">
            <v>4.2</v>
          </cell>
          <cell r="T1531" t="str">
            <v>CIF</v>
          </cell>
          <cell r="U1531" t="str">
            <v>EF-</v>
          </cell>
        </row>
        <row r="1532">
          <cell r="D1532">
            <v>31.7</v>
          </cell>
          <cell r="F1532">
            <v>525343808582</v>
          </cell>
          <cell r="G1532" t="str">
            <v>MICRON SEMICONDUCTOR XIAN CO, LTD</v>
          </cell>
          <cell r="H1532" t="str">
            <v>Delivered</v>
          </cell>
          <cell r="I1532" t="str">
            <v xml:space="preserve">MEM </v>
          </cell>
          <cell r="J1532" t="str">
            <v>Fedex</v>
          </cell>
          <cell r="K1532" t="str">
            <v>VVMV</v>
          </cell>
          <cell r="L1532" t="str">
            <v>CN</v>
          </cell>
          <cell r="M1532">
            <v>46162</v>
          </cell>
          <cell r="N1532">
            <v>46167</v>
          </cell>
          <cell r="O1532">
            <v>46170</v>
          </cell>
          <cell r="P1532">
            <v>108268771920</v>
          </cell>
          <cell r="Q1532">
            <v>46164</v>
          </cell>
          <cell r="R1532" t="str">
            <v>No inspection</v>
          </cell>
          <cell r="S1532">
            <v>306103.49</v>
          </cell>
          <cell r="T1532" t="str">
            <v>CIF</v>
          </cell>
          <cell r="U1532" t="str">
            <v>PUR</v>
          </cell>
        </row>
        <row r="1533">
          <cell r="D1533">
            <v>0.4</v>
          </cell>
          <cell r="F1533">
            <v>518904176610</v>
          </cell>
          <cell r="G1533" t="str">
            <v>TTI ELECTRONICS ASIA PTE LTD-TTI HK</v>
          </cell>
          <cell r="H1533" t="str">
            <v>Delivered</v>
          </cell>
          <cell r="I1533" t="str">
            <v xml:space="preserve">CAP </v>
          </cell>
          <cell r="J1533" t="str">
            <v>Fedex</v>
          </cell>
          <cell r="K1533" t="str">
            <v>VVMV</v>
          </cell>
          <cell r="L1533" t="str">
            <v>HK</v>
          </cell>
          <cell r="M1533">
            <v>46161</v>
          </cell>
          <cell r="N1533">
            <v>46167</v>
          </cell>
          <cell r="O1533">
            <v>46175</v>
          </cell>
          <cell r="P1533">
            <v>108265503950</v>
          </cell>
          <cell r="Q1533">
            <v>46163</v>
          </cell>
          <cell r="R1533" t="str">
            <v>No inspection</v>
          </cell>
          <cell r="S1533">
            <v>510</v>
          </cell>
          <cell r="T1533" t="str">
            <v>EXW</v>
          </cell>
          <cell r="U1533" t="str">
            <v>FMC</v>
          </cell>
        </row>
        <row r="1534">
          <cell r="D1534">
            <v>1.4</v>
          </cell>
          <cell r="F1534">
            <v>492830205059</v>
          </cell>
          <cell r="G1534" t="str">
            <v>ARROW ELECTRONICS, INC.</v>
          </cell>
          <cell r="H1534" t="str">
            <v>Delivered</v>
          </cell>
          <cell r="I1534" t="str">
            <v xml:space="preserve">CAP </v>
          </cell>
          <cell r="J1534" t="str">
            <v>Fedex</v>
          </cell>
          <cell r="K1534" t="str">
            <v>VVMV</v>
          </cell>
          <cell r="L1534" t="str">
            <v>US</v>
          </cell>
          <cell r="M1534">
            <v>46161</v>
          </cell>
          <cell r="N1534">
            <v>46167</v>
          </cell>
          <cell r="O1534">
            <v>46167</v>
          </cell>
          <cell r="P1534">
            <v>108265533720</v>
          </cell>
          <cell r="Q1534">
            <v>46163</v>
          </cell>
          <cell r="R1534" t="str">
            <v>No inspection</v>
          </cell>
          <cell r="S1534">
            <v>707.6</v>
          </cell>
          <cell r="T1534" t="str">
            <v>CIF</v>
          </cell>
          <cell r="U1534" t="str">
            <v>LUC</v>
          </cell>
        </row>
        <row r="1535">
          <cell r="D1535">
            <v>34</v>
          </cell>
          <cell r="F1535">
            <v>4110337329</v>
          </cell>
          <cell r="G1535" t="str">
            <v>AVNET, INC</v>
          </cell>
          <cell r="H1535" t="str">
            <v>Delivered</v>
          </cell>
          <cell r="I1535" t="str">
            <v xml:space="preserve">CON </v>
          </cell>
          <cell r="J1535" t="str">
            <v>Expeditors</v>
          </cell>
          <cell r="K1535" t="str">
            <v>VVMV</v>
          </cell>
          <cell r="L1535" t="str">
            <v>US</v>
          </cell>
          <cell r="M1535">
            <v>46160</v>
          </cell>
          <cell r="N1535">
            <v>46167</v>
          </cell>
          <cell r="O1535">
            <v>46175</v>
          </cell>
          <cell r="P1535">
            <v>108298940630</v>
          </cell>
          <cell r="Q1535">
            <v>46059.364652777775</v>
          </cell>
          <cell r="R1535" t="str">
            <v>No inspection</v>
          </cell>
          <cell r="S1535">
            <v>4760</v>
          </cell>
          <cell r="T1535" t="str">
            <v>DAP</v>
          </cell>
          <cell r="U1535" t="str">
            <v>LUC</v>
          </cell>
        </row>
        <row r="1536">
          <cell r="D1536">
            <v>4.0999999999999996</v>
          </cell>
          <cell r="F1536">
            <v>492830077795</v>
          </cell>
          <cell r="G1536" t="str">
            <v>ARROW ELECTRONICS, INC.</v>
          </cell>
          <cell r="H1536" t="str">
            <v>Delivered</v>
          </cell>
          <cell r="I1536" t="str">
            <v xml:space="preserve">IC S, CAP </v>
          </cell>
          <cell r="J1536" t="str">
            <v>Fedex</v>
          </cell>
          <cell r="K1536" t="str">
            <v>VVMV</v>
          </cell>
          <cell r="L1536" t="str">
            <v>US</v>
          </cell>
          <cell r="M1536">
            <v>46154</v>
          </cell>
          <cell r="N1536">
            <v>46167</v>
          </cell>
          <cell r="O1536">
            <v>46175</v>
          </cell>
          <cell r="P1536">
            <v>108271894950</v>
          </cell>
          <cell r="Q1536">
            <v>46167</v>
          </cell>
          <cell r="R1536" t="str">
            <v>No inspection</v>
          </cell>
          <cell r="S1536">
            <v>6745.6</v>
          </cell>
          <cell r="T1536" t="str">
            <v>CIF</v>
          </cell>
          <cell r="U1536" t="str">
            <v>EF-</v>
          </cell>
        </row>
        <row r="1537">
          <cell r="D1537">
            <v>7.3</v>
          </cell>
          <cell r="F1537" t="str">
            <v>8XN5900</v>
          </cell>
          <cell r="G1537" t="str">
            <v>KIOXIA CORPORATION C/O KIOXIA AMERICA INC</v>
          </cell>
          <cell r="H1537" t="str">
            <v>Delivered</v>
          </cell>
          <cell r="I1537" t="str">
            <v xml:space="preserve">MEM </v>
          </cell>
          <cell r="J1537" t="str">
            <v>DHL( global)</v>
          </cell>
          <cell r="K1537" t="str">
            <v>VVMV</v>
          </cell>
          <cell r="L1537" t="str">
            <v>JP</v>
          </cell>
          <cell r="M1537">
            <v>46165</v>
          </cell>
          <cell r="N1537">
            <v>46168</v>
          </cell>
          <cell r="O1537">
            <v>46168</v>
          </cell>
          <cell r="P1537">
            <v>108275794910</v>
          </cell>
          <cell r="Q1537">
            <v>46167</v>
          </cell>
          <cell r="R1537" t="str">
            <v>No inspection</v>
          </cell>
          <cell r="S1537">
            <v>529502.4</v>
          </cell>
          <cell r="T1537" t="str">
            <v>DAP</v>
          </cell>
          <cell r="U1537" t="str">
            <v>PUR</v>
          </cell>
        </row>
        <row r="1538">
          <cell r="D1538">
            <v>9.1999999999999993</v>
          </cell>
          <cell r="F1538" t="str">
            <v>8XN5901</v>
          </cell>
          <cell r="G1538" t="str">
            <v>KIOXIA CORPORATION C/O KIOXIA AMERICA INC</v>
          </cell>
          <cell r="H1538" t="str">
            <v>Delivered</v>
          </cell>
          <cell r="I1538" t="str">
            <v xml:space="preserve">MEM </v>
          </cell>
          <cell r="J1538" t="str">
            <v>DHL( global)</v>
          </cell>
          <cell r="K1538" t="str">
            <v>VVMV</v>
          </cell>
          <cell r="L1538" t="str">
            <v>JP</v>
          </cell>
          <cell r="M1538">
            <v>46165</v>
          </cell>
          <cell r="N1538">
            <v>46168</v>
          </cell>
          <cell r="O1538">
            <v>46168</v>
          </cell>
          <cell r="P1538">
            <v>108275887750</v>
          </cell>
          <cell r="Q1538">
            <v>46167</v>
          </cell>
          <cell r="R1538" t="str">
            <v>No inspection</v>
          </cell>
          <cell r="S1538">
            <v>573627.6</v>
          </cell>
          <cell r="T1538" t="str">
            <v>CIP</v>
          </cell>
          <cell r="U1538" t="str">
            <v>PUR</v>
          </cell>
        </row>
        <row r="1539">
          <cell r="D1539">
            <v>60</v>
          </cell>
          <cell r="F1539">
            <v>5142139704</v>
          </cell>
          <cell r="G1539" t="str">
            <v>ROSENBERGER HOCHFREQUENZTECHNIK</v>
          </cell>
          <cell r="H1539" t="str">
            <v>Delivered</v>
          </cell>
          <cell r="I1539" t="str">
            <v>CONN</v>
          </cell>
          <cell r="J1539" t="str">
            <v>DHL</v>
          </cell>
          <cell r="K1539" t="str">
            <v>VVMV</v>
          </cell>
          <cell r="L1539" t="str">
            <v>DE</v>
          </cell>
          <cell r="M1539">
            <v>46162</v>
          </cell>
          <cell r="N1539">
            <v>46167</v>
          </cell>
          <cell r="O1539">
            <v>46168</v>
          </cell>
          <cell r="P1539">
            <v>108267266440</v>
          </cell>
          <cell r="Q1539">
            <v>46164</v>
          </cell>
          <cell r="R1539" t="str">
            <v>No inspection</v>
          </cell>
          <cell r="S1539">
            <v>5926.02</v>
          </cell>
          <cell r="T1539" t="str">
            <v>EXW</v>
          </cell>
          <cell r="U1539" t="str">
            <v>LUC</v>
          </cell>
        </row>
        <row r="1540">
          <cell r="D1540">
            <v>0.1</v>
          </cell>
          <cell r="F1540">
            <v>5726634023</v>
          </cell>
          <cell r="G1540" t="str">
            <v>UNIGEN CORPORATION</v>
          </cell>
          <cell r="H1540" t="str">
            <v>Delivered</v>
          </cell>
          <cell r="I1540" t="str">
            <v>IC F</v>
          </cell>
          <cell r="J1540" t="str">
            <v>DHL</v>
          </cell>
          <cell r="K1540" t="str">
            <v>VVMV</v>
          </cell>
          <cell r="L1540" t="str">
            <v>US</v>
          </cell>
          <cell r="M1540">
            <v>46162</v>
          </cell>
          <cell r="N1540">
            <v>46167</v>
          </cell>
          <cell r="O1540">
            <v>46167</v>
          </cell>
          <cell r="P1540">
            <v>108267273700</v>
          </cell>
          <cell r="Q1540">
            <v>46164</v>
          </cell>
          <cell r="R1540" t="str">
            <v>No inspection</v>
          </cell>
          <cell r="S1540">
            <v>43479.6</v>
          </cell>
          <cell r="T1540" t="str">
            <v>CIF</v>
          </cell>
          <cell r="U1540" t="str">
            <v>EF-</v>
          </cell>
        </row>
        <row r="1541">
          <cell r="D1541">
            <v>3.1</v>
          </cell>
          <cell r="F1541">
            <v>3254330553</v>
          </cell>
          <cell r="G1541" t="str">
            <v>TTI INC</v>
          </cell>
          <cell r="H1541" t="str">
            <v>Delivered</v>
          </cell>
          <cell r="I1541" t="str">
            <v>RES , DIOD</v>
          </cell>
          <cell r="J1541" t="str">
            <v>DHL</v>
          </cell>
          <cell r="K1541" t="str">
            <v>VVMV</v>
          </cell>
          <cell r="L1541" t="str">
            <v>US</v>
          </cell>
          <cell r="M1541">
            <v>46162</v>
          </cell>
          <cell r="N1541">
            <v>46168</v>
          </cell>
          <cell r="O1541">
            <v>46167</v>
          </cell>
          <cell r="P1541">
            <v>108272217760</v>
          </cell>
          <cell r="Q1541">
            <v>46167</v>
          </cell>
          <cell r="R1541" t="str">
            <v>No inspection</v>
          </cell>
          <cell r="S1541">
            <v>2582.6</v>
          </cell>
          <cell r="T1541" t="str">
            <v>CIF</v>
          </cell>
          <cell r="U1541" t="str">
            <v>FMC</v>
          </cell>
        </row>
        <row r="1542">
          <cell r="D1542">
            <v>0.4</v>
          </cell>
          <cell r="F1542">
            <v>9198224560</v>
          </cell>
          <cell r="G1542" t="str">
            <v>UNIGEN TECHNOLOGY SDN BHD</v>
          </cell>
          <cell r="H1542" t="str">
            <v>Delivered</v>
          </cell>
          <cell r="I1542" t="str">
            <v>IC S</v>
          </cell>
          <cell r="J1542" t="str">
            <v>DHL</v>
          </cell>
          <cell r="K1542" t="str">
            <v>VVMV</v>
          </cell>
          <cell r="L1542" t="str">
            <v>MY</v>
          </cell>
          <cell r="M1542">
            <v>46163</v>
          </cell>
          <cell r="N1542">
            <v>46167</v>
          </cell>
          <cell r="O1542">
            <v>46167</v>
          </cell>
          <cell r="P1542">
            <v>108269435260</v>
          </cell>
          <cell r="Q1542">
            <v>46164</v>
          </cell>
          <cell r="R1542" t="str">
            <v>No inspection</v>
          </cell>
          <cell r="S1542">
            <v>5</v>
          </cell>
          <cell r="T1542" t="str">
            <v>CIF</v>
          </cell>
          <cell r="U1542">
            <v>102</v>
          </cell>
        </row>
        <row r="1543">
          <cell r="D1543">
            <v>1.3</v>
          </cell>
          <cell r="F1543">
            <v>381471618942</v>
          </cell>
          <cell r="G1543" t="str">
            <v>O/B ANALOG DEVICES INTERNATIONAL UC
DHL SUPPLY CHAIN MANAGEMENT PHILS</v>
          </cell>
          <cell r="H1543" t="str">
            <v>Delivered</v>
          </cell>
          <cell r="I1543" t="str">
            <v>IC C</v>
          </cell>
          <cell r="J1543" t="str">
            <v>Fedex</v>
          </cell>
          <cell r="K1543" t="str">
            <v>VVMV</v>
          </cell>
          <cell r="L1543" t="str">
            <v>PH</v>
          </cell>
          <cell r="M1543">
            <v>46162</v>
          </cell>
          <cell r="N1543">
            <v>46167</v>
          </cell>
          <cell r="O1543">
            <v>46167</v>
          </cell>
          <cell r="P1543">
            <v>108268110640</v>
          </cell>
          <cell r="Q1543">
            <v>46164</v>
          </cell>
          <cell r="R1543" t="str">
            <v>No inspection</v>
          </cell>
          <cell r="S1543">
            <v>15350</v>
          </cell>
          <cell r="T1543" t="str">
            <v>EXW</v>
          </cell>
          <cell r="U1543" t="str">
            <v>PUR</v>
          </cell>
        </row>
        <row r="1544">
          <cell r="D1544">
            <v>4</v>
          </cell>
          <cell r="F1544">
            <v>871914884033</v>
          </cell>
          <cell r="G1544" t="str">
            <v>ARROW COMPONENTS (M) SDN BHD
C/O ARROW COMPONENTS (M) SDN BHD</v>
          </cell>
          <cell r="H1544" t="str">
            <v>Delivered</v>
          </cell>
          <cell r="I1544" t="str">
            <v xml:space="preserve">IC C, RES </v>
          </cell>
          <cell r="J1544" t="str">
            <v>Fedex</v>
          </cell>
          <cell r="K1544" t="str">
            <v>VVMV</v>
          </cell>
          <cell r="L1544" t="str">
            <v>MY</v>
          </cell>
          <cell r="M1544">
            <v>46137</v>
          </cell>
          <cell r="N1544">
            <v>46167</v>
          </cell>
          <cell r="O1544">
            <v>46168</v>
          </cell>
          <cell r="P1544">
            <v>108268513140</v>
          </cell>
          <cell r="Q1544">
            <v>46164</v>
          </cell>
          <cell r="R1544" t="str">
            <v>No inspection</v>
          </cell>
          <cell r="S1544">
            <v>5382.7</v>
          </cell>
          <cell r="T1544" t="str">
            <v>EXW</v>
          </cell>
          <cell r="U1544" t="str">
            <v>LUC</v>
          </cell>
        </row>
        <row r="1545">
          <cell r="D1545">
            <v>29.5</v>
          </cell>
          <cell r="F1545">
            <v>518027698111</v>
          </cell>
          <cell r="G1545" t="str">
            <v>MICROCHIP TECNOLOGY(TH) CO LTD</v>
          </cell>
          <cell r="H1545" t="str">
            <v>Delivered</v>
          </cell>
          <cell r="I1545" t="str">
            <v>IC M</v>
          </cell>
          <cell r="J1545" t="str">
            <v>Fedex</v>
          </cell>
          <cell r="K1545" t="str">
            <v>VVMV</v>
          </cell>
          <cell r="L1545" t="str">
            <v>TH</v>
          </cell>
          <cell r="M1545">
            <v>46162</v>
          </cell>
          <cell r="N1545">
            <v>46167</v>
          </cell>
          <cell r="O1545">
            <v>46168</v>
          </cell>
          <cell r="P1545">
            <v>108268222310</v>
          </cell>
          <cell r="Q1545">
            <v>46164</v>
          </cell>
          <cell r="R1545" t="str">
            <v>No inspection</v>
          </cell>
          <cell r="S1545">
            <v>324342.40000000002</v>
          </cell>
          <cell r="T1545" t="str">
            <v>EXW</v>
          </cell>
          <cell r="U1545" t="str">
            <v>PUR</v>
          </cell>
        </row>
        <row r="1546">
          <cell r="D1546">
            <v>57.1</v>
          </cell>
          <cell r="F1546">
            <v>871965623931</v>
          </cell>
          <cell r="G1546" t="str">
            <v>TECHFORD INT LTD</v>
          </cell>
          <cell r="H1546" t="str">
            <v>Delivered</v>
          </cell>
          <cell r="I1546" t="str">
            <v>MECH</v>
          </cell>
          <cell r="J1546" t="str">
            <v>Fedex</v>
          </cell>
          <cell r="K1546" t="str">
            <v>VVMV</v>
          </cell>
          <cell r="L1546" t="str">
            <v>HK</v>
          </cell>
          <cell r="M1546">
            <v>46162</v>
          </cell>
          <cell r="N1546">
            <v>46169</v>
          </cell>
          <cell r="O1546">
            <v>46175</v>
          </cell>
          <cell r="P1546">
            <v>108279100750</v>
          </cell>
          <cell r="Q1546">
            <v>46168</v>
          </cell>
          <cell r="R1546" t="str">
            <v>No inspection</v>
          </cell>
          <cell r="S1546">
            <v>6435</v>
          </cell>
          <cell r="T1546" t="str">
            <v>EXW</v>
          </cell>
          <cell r="U1546" t="str">
            <v>HLO</v>
          </cell>
        </row>
        <row r="1547">
          <cell r="D1547">
            <v>85.6</v>
          </cell>
          <cell r="F1547">
            <v>1802284271</v>
          </cell>
          <cell r="G1547" t="str">
            <v>KYOCERA AVX COMPONENTS CORPORATION</v>
          </cell>
          <cell r="H1547" t="str">
            <v>Delivered</v>
          </cell>
          <cell r="I1547" t="str">
            <v xml:space="preserve">CAP </v>
          </cell>
          <cell r="J1547" t="str">
            <v>DHL</v>
          </cell>
          <cell r="K1547" t="str">
            <v>VVMV</v>
          </cell>
          <cell r="L1547" t="str">
            <v>US</v>
          </cell>
          <cell r="M1547">
            <v>46159</v>
          </cell>
          <cell r="N1547">
            <v>46167</v>
          </cell>
          <cell r="O1547">
            <v>46167</v>
          </cell>
          <cell r="P1547">
            <v>108267328150</v>
          </cell>
          <cell r="Q1547">
            <v>46164</v>
          </cell>
          <cell r="R1547" t="str">
            <v>No inspection</v>
          </cell>
          <cell r="S1547">
            <v>115304</v>
          </cell>
          <cell r="T1547" t="str">
            <v>CIF</v>
          </cell>
          <cell r="U1547" t="str">
            <v>HLO</v>
          </cell>
        </row>
        <row r="1548">
          <cell r="D1548">
            <v>1.5</v>
          </cell>
          <cell r="F1548">
            <v>871789217180</v>
          </cell>
          <cell r="G1548" t="str">
            <v>Element 14 Pte Ltd</v>
          </cell>
          <cell r="H1548" t="str">
            <v>Delivered</v>
          </cell>
          <cell r="I1548" t="str">
            <v>INDU, IND , IC V</v>
          </cell>
          <cell r="J1548" t="str">
            <v>Fedex</v>
          </cell>
          <cell r="K1548" t="str">
            <v>VVMV</v>
          </cell>
          <cell r="L1548" t="str">
            <v>SG</v>
          </cell>
          <cell r="M1548">
            <v>46156</v>
          </cell>
          <cell r="N1548">
            <v>46167</v>
          </cell>
          <cell r="O1548">
            <v>46175</v>
          </cell>
          <cell r="P1548">
            <v>108269465950</v>
          </cell>
          <cell r="Q1548">
            <v>46167</v>
          </cell>
          <cell r="R1548" t="str">
            <v>No inspection</v>
          </cell>
          <cell r="S1548">
            <v>330.97</v>
          </cell>
          <cell r="T1548" t="str">
            <v>EXW</v>
          </cell>
          <cell r="U1548" t="str">
            <v>EF-</v>
          </cell>
        </row>
        <row r="1549">
          <cell r="D1549">
            <v>0.5</v>
          </cell>
          <cell r="F1549">
            <v>707296341861</v>
          </cell>
          <cell r="G1549" t="str">
            <v>ARROW COMPONENTS MEXICO SA De CV</v>
          </cell>
          <cell r="H1549" t="str">
            <v>Delivered</v>
          </cell>
          <cell r="I1549" t="str">
            <v>FERR</v>
          </cell>
          <cell r="J1549" t="str">
            <v>Fedex</v>
          </cell>
          <cell r="K1549" t="str">
            <v>VVMV</v>
          </cell>
          <cell r="L1549" t="str">
            <v>MX</v>
          </cell>
          <cell r="M1549">
            <v>46161</v>
          </cell>
          <cell r="N1549">
            <v>46167</v>
          </cell>
          <cell r="O1549">
            <v>46167</v>
          </cell>
          <cell r="P1549">
            <v>108268728260</v>
          </cell>
          <cell r="Q1549">
            <v>46164</v>
          </cell>
          <cell r="R1549" t="str">
            <v>No inspection</v>
          </cell>
          <cell r="S1549">
            <v>36</v>
          </cell>
          <cell r="T1549" t="str">
            <v>CIF</v>
          </cell>
          <cell r="U1549" t="str">
            <v>PUR</v>
          </cell>
        </row>
        <row r="1550">
          <cell r="D1550">
            <v>37</v>
          </cell>
          <cell r="F1550" t="str">
            <v>HVSZ26055635</v>
          </cell>
          <cell r="G1550" t="str">
            <v>SHENZHEN KERAIMEI PRECISION HARDWARE CO.,LTD</v>
          </cell>
          <cell r="H1550" t="str">
            <v>Delivered</v>
          </cell>
          <cell r="I1550" t="str">
            <v>ENCL, SCRE</v>
          </cell>
          <cell r="J1550" t="str">
            <v>VVMV</v>
          </cell>
          <cell r="K1550" t="str">
            <v>VVMV</v>
          </cell>
          <cell r="L1550" t="str">
            <v>CN</v>
          </cell>
          <cell r="M1550">
            <v>46164</v>
          </cell>
          <cell r="N1550">
            <v>46167</v>
          </cell>
          <cell r="O1550">
            <v>46167</v>
          </cell>
          <cell r="P1550">
            <v>108269406010</v>
          </cell>
          <cell r="Q1550">
            <v>46164</v>
          </cell>
          <cell r="R1550" t="str">
            <v>No inspection</v>
          </cell>
          <cell r="S1550">
            <v>9632.32</v>
          </cell>
          <cell r="T1550" t="str">
            <v>EXW</v>
          </cell>
          <cell r="U1550">
            <v>188</v>
          </cell>
        </row>
        <row r="1551">
          <cell r="D1551">
            <v>110.6</v>
          </cell>
          <cell r="F1551">
            <v>4689431342</v>
          </cell>
          <cell r="G1551" t="str">
            <v>SHENNAN CIRCUITS CO.,LTD</v>
          </cell>
          <cell r="H1551" t="str">
            <v>Delivered</v>
          </cell>
          <cell r="I1551" t="str">
            <v>PCB/</v>
          </cell>
          <cell r="J1551" t="str">
            <v>DHL</v>
          </cell>
          <cell r="K1551" t="str">
            <v>VVMV</v>
          </cell>
          <cell r="L1551" t="str">
            <v>CN</v>
          </cell>
          <cell r="M1551">
            <v>46163</v>
          </cell>
          <cell r="N1551">
            <v>46169</v>
          </cell>
          <cell r="O1551">
            <v>46170</v>
          </cell>
          <cell r="P1551">
            <v>108280088930</v>
          </cell>
          <cell r="Q1551">
            <v>46168</v>
          </cell>
          <cell r="R1551" t="str">
            <v>No inspection</v>
          </cell>
          <cell r="S1551">
            <v>19640</v>
          </cell>
          <cell r="T1551" t="str">
            <v>CIF</v>
          </cell>
          <cell r="U1551" t="str">
            <v>AIC</v>
          </cell>
        </row>
        <row r="1552">
          <cell r="D1552">
            <v>3.4</v>
          </cell>
          <cell r="F1552" t="str">
            <v>8XN5252</v>
          </cell>
          <cell r="G1552" t="str">
            <v>KIOXIA CORPORATION C/O KIOXIA AMERICA INC</v>
          </cell>
          <cell r="H1552" t="str">
            <v>Delivered</v>
          </cell>
          <cell r="I1552" t="str">
            <v xml:space="preserve">MEM </v>
          </cell>
          <cell r="J1552" t="str">
            <v>DHL( global)</v>
          </cell>
          <cell r="K1552" t="str">
            <v>VVMV</v>
          </cell>
          <cell r="L1552" t="str">
            <v>JP</v>
          </cell>
          <cell r="M1552">
            <v>46166</v>
          </cell>
          <cell r="N1552">
            <v>46168</v>
          </cell>
          <cell r="O1552">
            <v>46168</v>
          </cell>
          <cell r="P1552">
            <v>108275454120</v>
          </cell>
          <cell r="Q1552">
            <v>46167</v>
          </cell>
          <cell r="R1552" t="str">
            <v>No inspection</v>
          </cell>
          <cell r="S1552">
            <v>553248</v>
          </cell>
          <cell r="T1552" t="str">
            <v>CIP</v>
          </cell>
          <cell r="U1552" t="str">
            <v>PUR</v>
          </cell>
        </row>
        <row r="1553">
          <cell r="D1553">
            <v>3.4</v>
          </cell>
          <cell r="F1553" t="str">
            <v>8XN5253</v>
          </cell>
          <cell r="G1553" t="str">
            <v>KIOXIA CORPORATION C/O KIOXIA AMERICA INC</v>
          </cell>
          <cell r="H1553" t="str">
            <v>Delivered</v>
          </cell>
          <cell r="I1553" t="str">
            <v xml:space="preserve">MEM </v>
          </cell>
          <cell r="J1553" t="str">
            <v>DHL( global)</v>
          </cell>
          <cell r="K1553" t="str">
            <v>VVMV</v>
          </cell>
          <cell r="L1553" t="str">
            <v>JP</v>
          </cell>
          <cell r="M1553">
            <v>46166</v>
          </cell>
          <cell r="N1553">
            <v>46168</v>
          </cell>
          <cell r="O1553">
            <v>46168</v>
          </cell>
          <cell r="P1553">
            <v>108275492360</v>
          </cell>
          <cell r="Q1553">
            <v>46167</v>
          </cell>
          <cell r="R1553" t="str">
            <v>No inspection</v>
          </cell>
          <cell r="S1553">
            <v>553248</v>
          </cell>
          <cell r="T1553" t="str">
            <v>CIP</v>
          </cell>
          <cell r="U1553" t="str">
            <v>PUR</v>
          </cell>
        </row>
        <row r="1554">
          <cell r="D1554">
            <v>3.4</v>
          </cell>
          <cell r="F1554" t="str">
            <v>8XN5254</v>
          </cell>
          <cell r="G1554" t="str">
            <v>KIOXIA CORPORATION C/O KIOXIA AMERICA INC</v>
          </cell>
          <cell r="H1554" t="str">
            <v>Delivered</v>
          </cell>
          <cell r="I1554" t="str">
            <v xml:space="preserve">MEM </v>
          </cell>
          <cell r="J1554" t="str">
            <v>DHL( global)</v>
          </cell>
          <cell r="K1554" t="str">
            <v>VVMV</v>
          </cell>
          <cell r="L1554" t="str">
            <v>JP</v>
          </cell>
          <cell r="M1554">
            <v>46166</v>
          </cell>
          <cell r="N1554">
            <v>46168</v>
          </cell>
          <cell r="O1554">
            <v>46168</v>
          </cell>
          <cell r="P1554">
            <v>108275208420</v>
          </cell>
          <cell r="Q1554">
            <v>46167</v>
          </cell>
          <cell r="R1554" t="str">
            <v>No inspection</v>
          </cell>
          <cell r="S1554">
            <v>553248</v>
          </cell>
          <cell r="T1554" t="str">
            <v>CIP</v>
          </cell>
          <cell r="U1554" t="str">
            <v>PUR</v>
          </cell>
        </row>
        <row r="1555">
          <cell r="D1555">
            <v>3.4</v>
          </cell>
          <cell r="F1555" t="str">
            <v>8XN5255</v>
          </cell>
          <cell r="G1555" t="str">
            <v>KIOXIA CORPORATION C/O KIOXIA AMERICA INC</v>
          </cell>
          <cell r="H1555" t="str">
            <v>Delivered</v>
          </cell>
          <cell r="I1555" t="str">
            <v xml:space="preserve">MEM </v>
          </cell>
          <cell r="J1555" t="str">
            <v>DHL( global)</v>
          </cell>
          <cell r="K1555" t="str">
            <v>VVMV</v>
          </cell>
          <cell r="L1555" t="str">
            <v>JP</v>
          </cell>
          <cell r="M1555">
            <v>46166</v>
          </cell>
          <cell r="N1555">
            <v>46168</v>
          </cell>
          <cell r="O1555">
            <v>46168</v>
          </cell>
          <cell r="P1555">
            <v>108275340830</v>
          </cell>
          <cell r="Q1555">
            <v>46167</v>
          </cell>
          <cell r="R1555" t="str">
            <v>No inspection</v>
          </cell>
          <cell r="S1555">
            <v>553248</v>
          </cell>
          <cell r="T1555" t="str">
            <v>CIP</v>
          </cell>
          <cell r="U1555" t="str">
            <v>PUR</v>
          </cell>
        </row>
        <row r="1556">
          <cell r="D1556">
            <v>3.4</v>
          </cell>
          <cell r="F1556" t="str">
            <v>8XN5256</v>
          </cell>
          <cell r="G1556" t="str">
            <v>KIOXIA CORPORATION C/O KIOXIA AMERICA INC</v>
          </cell>
          <cell r="H1556" t="str">
            <v>Delivered</v>
          </cell>
          <cell r="I1556" t="str">
            <v xml:space="preserve">MEM </v>
          </cell>
          <cell r="J1556" t="str">
            <v>DHL( global)</v>
          </cell>
          <cell r="K1556" t="str">
            <v>VVMV</v>
          </cell>
          <cell r="L1556" t="str">
            <v>JP</v>
          </cell>
          <cell r="M1556">
            <v>46166</v>
          </cell>
          <cell r="N1556">
            <v>46168</v>
          </cell>
          <cell r="O1556">
            <v>46168</v>
          </cell>
          <cell r="P1556">
            <v>108275044140</v>
          </cell>
          <cell r="Q1556">
            <v>46167</v>
          </cell>
          <cell r="R1556" t="str">
            <v>No inspection</v>
          </cell>
          <cell r="S1556">
            <v>553248</v>
          </cell>
          <cell r="T1556" t="str">
            <v>CIP</v>
          </cell>
          <cell r="U1556" t="str">
            <v>PUR</v>
          </cell>
        </row>
        <row r="1557">
          <cell r="D1557">
            <v>3.8</v>
          </cell>
          <cell r="F1557" t="str">
            <v>8XN5257</v>
          </cell>
          <cell r="G1557" t="str">
            <v>KIOXIA CORPORATION C/O KIOXIA AMERICA INC</v>
          </cell>
          <cell r="H1557" t="str">
            <v>Delivered</v>
          </cell>
          <cell r="I1557" t="str">
            <v xml:space="preserve">MEM </v>
          </cell>
          <cell r="J1557" t="str">
            <v>DHL( global)</v>
          </cell>
          <cell r="K1557" t="str">
            <v>VVMV</v>
          </cell>
          <cell r="L1557" t="str">
            <v>JP</v>
          </cell>
          <cell r="M1557">
            <v>46166</v>
          </cell>
          <cell r="N1557">
            <v>46168</v>
          </cell>
          <cell r="O1557">
            <v>46168</v>
          </cell>
          <cell r="P1557">
            <v>108275574740</v>
          </cell>
          <cell r="Q1557">
            <v>46167</v>
          </cell>
          <cell r="R1557" t="str">
            <v>No inspection</v>
          </cell>
          <cell r="S1557">
            <v>556705.80000000005</v>
          </cell>
          <cell r="T1557" t="str">
            <v>CIP</v>
          </cell>
          <cell r="U1557" t="str">
            <v>PUR</v>
          </cell>
        </row>
        <row r="1558">
          <cell r="D1558">
            <v>3.4</v>
          </cell>
          <cell r="F1558" t="str">
            <v>8XN5258</v>
          </cell>
          <cell r="G1558" t="str">
            <v>KIOXIA CORPORATION C/O KIOXIA AMERICA INC</v>
          </cell>
          <cell r="H1558" t="str">
            <v>Delivered</v>
          </cell>
          <cell r="I1558" t="str">
            <v xml:space="preserve">MEM </v>
          </cell>
          <cell r="J1558" t="str">
            <v>DHL( global)</v>
          </cell>
          <cell r="K1558" t="str">
            <v>VVMV</v>
          </cell>
          <cell r="L1558" t="str">
            <v>JP</v>
          </cell>
          <cell r="M1558">
            <v>46166</v>
          </cell>
          <cell r="N1558">
            <v>46168</v>
          </cell>
          <cell r="O1558">
            <v>46168</v>
          </cell>
          <cell r="P1558">
            <v>108275530420</v>
          </cell>
          <cell r="Q1558">
            <v>46167</v>
          </cell>
          <cell r="R1558" t="str">
            <v>No inspection</v>
          </cell>
          <cell r="S1558">
            <v>553248</v>
          </cell>
          <cell r="T1558" t="str">
            <v>CIP</v>
          </cell>
          <cell r="U1558" t="str">
            <v>PUR</v>
          </cell>
        </row>
        <row r="1559">
          <cell r="D1559">
            <v>3.4</v>
          </cell>
          <cell r="F1559" t="str">
            <v>8XN5259</v>
          </cell>
          <cell r="G1559" t="str">
            <v>KIOXIA CORPORATION C/O KIOXIA AMERICA INC</v>
          </cell>
          <cell r="H1559" t="str">
            <v>Delivered</v>
          </cell>
          <cell r="I1559" t="str">
            <v xml:space="preserve">MEM </v>
          </cell>
          <cell r="J1559" t="str">
            <v>DHL( global)</v>
          </cell>
          <cell r="K1559" t="str">
            <v>VVMV</v>
          </cell>
          <cell r="L1559" t="str">
            <v>JP</v>
          </cell>
          <cell r="M1559">
            <v>46166</v>
          </cell>
          <cell r="N1559">
            <v>46168</v>
          </cell>
          <cell r="O1559">
            <v>46168</v>
          </cell>
          <cell r="P1559">
            <v>108275280630</v>
          </cell>
          <cell r="Q1559">
            <v>46167</v>
          </cell>
          <cell r="R1559" t="str">
            <v>No inspection</v>
          </cell>
          <cell r="S1559">
            <v>553248</v>
          </cell>
          <cell r="T1559" t="str">
            <v>CIP</v>
          </cell>
          <cell r="U1559" t="str">
            <v>PUR</v>
          </cell>
        </row>
        <row r="1560">
          <cell r="D1560">
            <v>3.4</v>
          </cell>
          <cell r="F1560" t="str">
            <v>8XN5260</v>
          </cell>
          <cell r="G1560" t="str">
            <v>KIOXIA CORPORATION C/O KIOXIA AMERICA INC</v>
          </cell>
          <cell r="H1560" t="str">
            <v>Delivered</v>
          </cell>
          <cell r="I1560" t="str">
            <v xml:space="preserve">MEM </v>
          </cell>
          <cell r="J1560" t="str">
            <v>DHL( global)</v>
          </cell>
          <cell r="K1560" t="str">
            <v>VVMV</v>
          </cell>
          <cell r="L1560" t="str">
            <v>JP</v>
          </cell>
          <cell r="M1560">
            <v>46163</v>
          </cell>
          <cell r="N1560">
            <v>46168</v>
          </cell>
          <cell r="O1560">
            <v>46168</v>
          </cell>
          <cell r="P1560">
            <v>108275872130</v>
          </cell>
          <cell r="Q1560">
            <v>46167</v>
          </cell>
          <cell r="R1560" t="str">
            <v>No inspection</v>
          </cell>
          <cell r="S1560">
            <v>549790.19999999995</v>
          </cell>
          <cell r="T1560" t="str">
            <v>CIP</v>
          </cell>
          <cell r="U1560" t="str">
            <v>PUR</v>
          </cell>
        </row>
        <row r="1561">
          <cell r="D1561">
            <v>3.4</v>
          </cell>
          <cell r="F1561" t="str">
            <v>8XN5261</v>
          </cell>
          <cell r="G1561" t="str">
            <v>KIOXIA CORPORATION C/O KIOXIA AMERICA INC</v>
          </cell>
          <cell r="H1561" t="str">
            <v>Delivered</v>
          </cell>
          <cell r="I1561" t="str">
            <v xml:space="preserve">MEM </v>
          </cell>
          <cell r="J1561" t="str">
            <v>DHL( global)</v>
          </cell>
          <cell r="K1561" t="str">
            <v>VVMV</v>
          </cell>
          <cell r="L1561" t="str">
            <v>JP</v>
          </cell>
          <cell r="M1561">
            <v>46163</v>
          </cell>
          <cell r="N1561">
            <v>46168</v>
          </cell>
          <cell r="O1561">
            <v>46168</v>
          </cell>
          <cell r="P1561">
            <v>108275861630</v>
          </cell>
          <cell r="Q1561">
            <v>46167</v>
          </cell>
          <cell r="R1561" t="str">
            <v>No inspection</v>
          </cell>
          <cell r="S1561">
            <v>553248</v>
          </cell>
          <cell r="T1561" t="str">
            <v>CIP</v>
          </cell>
          <cell r="U1561" t="str">
            <v>PUR</v>
          </cell>
        </row>
        <row r="1562">
          <cell r="D1562">
            <v>3.4</v>
          </cell>
          <cell r="F1562" t="str">
            <v>8XN5262</v>
          </cell>
          <cell r="G1562" t="str">
            <v>KIOXIA CORPORATION C/O KIOXIA AMERICA INC</v>
          </cell>
          <cell r="H1562" t="str">
            <v>Delivered</v>
          </cell>
          <cell r="I1562" t="str">
            <v xml:space="preserve">MEM </v>
          </cell>
          <cell r="J1562" t="str">
            <v>DHL( global)</v>
          </cell>
          <cell r="K1562" t="str">
            <v>VVMV</v>
          </cell>
          <cell r="L1562" t="str">
            <v>JP</v>
          </cell>
          <cell r="M1562">
            <v>46163</v>
          </cell>
          <cell r="N1562">
            <v>46168</v>
          </cell>
          <cell r="O1562">
            <v>46168</v>
          </cell>
          <cell r="P1562">
            <v>108275053500</v>
          </cell>
          <cell r="Q1562">
            <v>46167</v>
          </cell>
          <cell r="R1562" t="str">
            <v>No inspection</v>
          </cell>
          <cell r="S1562">
            <v>553248</v>
          </cell>
          <cell r="T1562" t="str">
            <v>CIP</v>
          </cell>
          <cell r="U1562" t="str">
            <v>PUR</v>
          </cell>
        </row>
        <row r="1563">
          <cell r="D1563">
            <v>3.4</v>
          </cell>
          <cell r="F1563" t="str">
            <v>8XN5263</v>
          </cell>
          <cell r="G1563" t="str">
            <v>KIOXIA CORPORATION C/O KIOXIA AMERICA INC</v>
          </cell>
          <cell r="H1563" t="str">
            <v>Delivered</v>
          </cell>
          <cell r="I1563" t="str">
            <v xml:space="preserve">MEM </v>
          </cell>
          <cell r="J1563" t="str">
            <v>DHL( global)</v>
          </cell>
          <cell r="K1563" t="str">
            <v>VVMV</v>
          </cell>
          <cell r="L1563" t="str">
            <v>JP</v>
          </cell>
          <cell r="M1563">
            <v>46163</v>
          </cell>
          <cell r="N1563">
            <v>46168</v>
          </cell>
          <cell r="O1563">
            <v>46168</v>
          </cell>
          <cell r="P1563">
            <v>108275696320</v>
          </cell>
          <cell r="Q1563">
            <v>46167</v>
          </cell>
          <cell r="R1563" t="str">
            <v>No inspection</v>
          </cell>
          <cell r="S1563">
            <v>553248</v>
          </cell>
          <cell r="T1563" t="str">
            <v>CIP</v>
          </cell>
          <cell r="U1563" t="str">
            <v>PUR</v>
          </cell>
        </row>
        <row r="1564">
          <cell r="D1564">
            <v>3.4</v>
          </cell>
          <cell r="F1564" t="str">
            <v>8XN5264</v>
          </cell>
          <cell r="G1564" t="str">
            <v>KIOXIA CORPORATION C/O KIOXIA AMERICA INC</v>
          </cell>
          <cell r="H1564" t="str">
            <v>Delivered</v>
          </cell>
          <cell r="I1564" t="str">
            <v xml:space="preserve">MEM </v>
          </cell>
          <cell r="J1564" t="str">
            <v>DHL( global)</v>
          </cell>
          <cell r="K1564" t="str">
            <v>VVMV</v>
          </cell>
          <cell r="L1564" t="str">
            <v>JP</v>
          </cell>
          <cell r="M1564">
            <v>46163</v>
          </cell>
          <cell r="N1564">
            <v>46168</v>
          </cell>
          <cell r="O1564">
            <v>46168</v>
          </cell>
          <cell r="P1564">
            <v>108275509160</v>
          </cell>
          <cell r="Q1564">
            <v>46167</v>
          </cell>
          <cell r="R1564" t="str">
            <v>No inspection</v>
          </cell>
          <cell r="S1564">
            <v>553248</v>
          </cell>
          <cell r="T1564" t="str">
            <v>CIP</v>
          </cell>
          <cell r="U1564" t="str">
            <v>PUR</v>
          </cell>
        </row>
        <row r="1565">
          <cell r="D1565">
            <v>3.4</v>
          </cell>
          <cell r="F1565" t="str">
            <v>8XN5265</v>
          </cell>
          <cell r="G1565" t="str">
            <v>KIOXIA CORPORATION C/O KIOXIA AMERICA INC</v>
          </cell>
          <cell r="H1565" t="str">
            <v>Delivered</v>
          </cell>
          <cell r="I1565" t="str">
            <v xml:space="preserve">MEM </v>
          </cell>
          <cell r="J1565" t="str">
            <v>DHL( global)</v>
          </cell>
          <cell r="K1565" t="str">
            <v>VVMV</v>
          </cell>
          <cell r="L1565" t="str">
            <v>JP</v>
          </cell>
          <cell r="M1565">
            <v>46163</v>
          </cell>
          <cell r="N1565">
            <v>46168</v>
          </cell>
          <cell r="O1565">
            <v>46168</v>
          </cell>
          <cell r="P1565">
            <v>108275703100</v>
          </cell>
          <cell r="Q1565">
            <v>46167</v>
          </cell>
          <cell r="R1565" t="str">
            <v>No inspection</v>
          </cell>
          <cell r="S1565">
            <v>553248</v>
          </cell>
          <cell r="T1565" t="str">
            <v>CIP</v>
          </cell>
          <cell r="U1565" t="str">
            <v>PUR</v>
          </cell>
        </row>
        <row r="1566">
          <cell r="D1566">
            <v>3.4</v>
          </cell>
          <cell r="F1566" t="str">
            <v>8XN5266</v>
          </cell>
          <cell r="G1566" t="str">
            <v>KIOXIA CORPORATION C/O KIOXIA AMERICA INC</v>
          </cell>
          <cell r="H1566" t="str">
            <v>Delivered</v>
          </cell>
          <cell r="I1566" t="str">
            <v xml:space="preserve">MEM </v>
          </cell>
          <cell r="J1566" t="str">
            <v>DHL( global)</v>
          </cell>
          <cell r="K1566" t="str">
            <v>VVMV</v>
          </cell>
          <cell r="L1566" t="str">
            <v>JP</v>
          </cell>
          <cell r="M1566">
            <v>46163</v>
          </cell>
          <cell r="N1566">
            <v>46168</v>
          </cell>
          <cell r="O1566">
            <v>46168</v>
          </cell>
          <cell r="P1566">
            <v>108275447120</v>
          </cell>
          <cell r="Q1566">
            <v>46167</v>
          </cell>
          <cell r="R1566" t="str">
            <v>No inspection</v>
          </cell>
          <cell r="S1566">
            <v>553248</v>
          </cell>
          <cell r="T1566" t="str">
            <v>CIP</v>
          </cell>
          <cell r="U1566" t="str">
            <v>PUR</v>
          </cell>
        </row>
        <row r="1567">
          <cell r="D1567">
            <v>3.4</v>
          </cell>
          <cell r="F1567" t="str">
            <v>8XN5267</v>
          </cell>
          <cell r="G1567" t="str">
            <v>KIOXIA CORPORATION C/O KIOXIA AMERICA INC</v>
          </cell>
          <cell r="H1567" t="str">
            <v>Delivered</v>
          </cell>
          <cell r="I1567" t="str">
            <v xml:space="preserve">MEM </v>
          </cell>
          <cell r="J1567" t="str">
            <v>DHL( global)</v>
          </cell>
          <cell r="K1567" t="str">
            <v>VVMV</v>
          </cell>
          <cell r="L1567" t="str">
            <v>JP</v>
          </cell>
          <cell r="M1567">
            <v>46163</v>
          </cell>
          <cell r="N1567">
            <v>46168</v>
          </cell>
          <cell r="O1567">
            <v>46168</v>
          </cell>
          <cell r="P1567">
            <v>108275668760</v>
          </cell>
          <cell r="Q1567">
            <v>46167</v>
          </cell>
          <cell r="R1567" t="str">
            <v>No inspection</v>
          </cell>
          <cell r="S1567">
            <v>553248</v>
          </cell>
          <cell r="T1567" t="str">
            <v>CIP</v>
          </cell>
          <cell r="U1567" t="str">
            <v>PUR</v>
          </cell>
        </row>
        <row r="1568">
          <cell r="D1568">
            <v>3.4</v>
          </cell>
          <cell r="F1568" t="str">
            <v>8XN5268</v>
          </cell>
          <cell r="G1568" t="str">
            <v>KIOXIA CORPORATION C/O KIOXIA AMERICA INC</v>
          </cell>
          <cell r="H1568" t="str">
            <v>Delivered</v>
          </cell>
          <cell r="I1568" t="str">
            <v xml:space="preserve">MEM </v>
          </cell>
          <cell r="J1568" t="str">
            <v>DHL( global)</v>
          </cell>
          <cell r="K1568" t="str">
            <v>VVMV</v>
          </cell>
          <cell r="L1568" t="str">
            <v>JP</v>
          </cell>
          <cell r="M1568">
            <v>46163</v>
          </cell>
          <cell r="N1568">
            <v>46168</v>
          </cell>
          <cell r="O1568">
            <v>46168</v>
          </cell>
          <cell r="P1568">
            <v>108275582660</v>
          </cell>
          <cell r="Q1568">
            <v>46167</v>
          </cell>
          <cell r="R1568" t="str">
            <v>No inspection</v>
          </cell>
          <cell r="S1568">
            <v>553248</v>
          </cell>
          <cell r="T1568" t="str">
            <v>CIP</v>
          </cell>
          <cell r="U1568" t="str">
            <v>PUR</v>
          </cell>
        </row>
        <row r="1569">
          <cell r="D1569">
            <v>3.4</v>
          </cell>
          <cell r="F1569" t="str">
            <v>8XN5269</v>
          </cell>
          <cell r="G1569" t="str">
            <v>KIOXIA CORPORATION C/O KIOXIA AMERICA INC</v>
          </cell>
          <cell r="H1569" t="str">
            <v>Delivered</v>
          </cell>
          <cell r="I1569" t="str">
            <v xml:space="preserve">MEM </v>
          </cell>
          <cell r="J1569" t="str">
            <v>DHL( global)</v>
          </cell>
          <cell r="K1569" t="str">
            <v>VVMV</v>
          </cell>
          <cell r="L1569" t="str">
            <v>JP</v>
          </cell>
          <cell r="M1569">
            <v>46163</v>
          </cell>
          <cell r="N1569">
            <v>46168</v>
          </cell>
          <cell r="O1569">
            <v>46168</v>
          </cell>
          <cell r="P1569">
            <v>108275898250</v>
          </cell>
          <cell r="Q1569">
            <v>46167</v>
          </cell>
          <cell r="R1569" t="str">
            <v>No inspection</v>
          </cell>
          <cell r="S1569">
            <v>553248</v>
          </cell>
          <cell r="T1569" t="str">
            <v>CIP</v>
          </cell>
          <cell r="U1569" t="str">
            <v>PUR</v>
          </cell>
        </row>
        <row r="1570">
          <cell r="D1570">
            <v>3.4</v>
          </cell>
          <cell r="F1570" t="str">
            <v>8XN5270</v>
          </cell>
          <cell r="G1570" t="str">
            <v>KIOXIA CORPORATION C/O KIOXIA AMERICA INC</v>
          </cell>
          <cell r="H1570" t="str">
            <v>Delivered</v>
          </cell>
          <cell r="I1570" t="str">
            <v xml:space="preserve">MEM </v>
          </cell>
          <cell r="J1570" t="str">
            <v>DHL( global)</v>
          </cell>
          <cell r="K1570" t="str">
            <v>VVMV</v>
          </cell>
          <cell r="L1570" t="str">
            <v>JP</v>
          </cell>
          <cell r="M1570">
            <v>46163</v>
          </cell>
          <cell r="N1570">
            <v>46168</v>
          </cell>
          <cell r="O1570">
            <v>46168</v>
          </cell>
          <cell r="P1570">
            <v>108275293120</v>
          </cell>
          <cell r="Q1570">
            <v>46167</v>
          </cell>
          <cell r="R1570" t="str">
            <v>No inspection</v>
          </cell>
          <cell r="S1570">
            <v>553248</v>
          </cell>
          <cell r="T1570" t="str">
            <v>CIP</v>
          </cell>
          <cell r="U1570" t="str">
            <v>PUR</v>
          </cell>
        </row>
        <row r="1571">
          <cell r="D1571">
            <v>3.4</v>
          </cell>
          <cell r="F1571" t="str">
            <v>8XN5271</v>
          </cell>
          <cell r="G1571" t="str">
            <v>KIOXIA CORPORATION C/O KIOXIA AMERICA INC</v>
          </cell>
          <cell r="H1571" t="str">
            <v>Delivered</v>
          </cell>
          <cell r="I1571" t="str">
            <v xml:space="preserve">MEM </v>
          </cell>
          <cell r="J1571" t="str">
            <v>DHL( global)</v>
          </cell>
          <cell r="K1571" t="str">
            <v>VVMV</v>
          </cell>
          <cell r="L1571" t="str">
            <v>JP</v>
          </cell>
          <cell r="M1571">
            <v>46163</v>
          </cell>
          <cell r="N1571">
            <v>46168</v>
          </cell>
          <cell r="O1571">
            <v>46168</v>
          </cell>
          <cell r="P1571">
            <v>108275605540</v>
          </cell>
          <cell r="Q1571">
            <v>46167</v>
          </cell>
          <cell r="R1571" t="str">
            <v>No inspection</v>
          </cell>
          <cell r="S1571">
            <v>553248</v>
          </cell>
          <cell r="T1571" t="str">
            <v>CIP</v>
          </cell>
          <cell r="U1571" t="str">
            <v>PUR</v>
          </cell>
        </row>
        <row r="1572">
          <cell r="D1572">
            <v>3.4</v>
          </cell>
          <cell r="F1572" t="str">
            <v>8XN5272</v>
          </cell>
          <cell r="G1572" t="str">
            <v>KIOXIA CORPORATION C/O KIOXIA AMERICA INC</v>
          </cell>
          <cell r="H1572" t="str">
            <v>Delivered</v>
          </cell>
          <cell r="I1572" t="str">
            <v xml:space="preserve">MEM </v>
          </cell>
          <cell r="J1572" t="str">
            <v>DHL( global)</v>
          </cell>
          <cell r="K1572" t="str">
            <v>VVMV</v>
          </cell>
          <cell r="L1572" t="str">
            <v>JP</v>
          </cell>
          <cell r="M1572">
            <v>46163</v>
          </cell>
          <cell r="N1572">
            <v>46168</v>
          </cell>
          <cell r="O1572">
            <v>46168</v>
          </cell>
          <cell r="P1572">
            <v>108275623740</v>
          </cell>
          <cell r="Q1572">
            <v>46167</v>
          </cell>
          <cell r="R1572" t="str">
            <v>No inspection</v>
          </cell>
          <cell r="S1572">
            <v>553248</v>
          </cell>
          <cell r="T1572" t="str">
            <v>CIP</v>
          </cell>
          <cell r="U1572" t="str">
            <v>PUR</v>
          </cell>
        </row>
        <row r="1573">
          <cell r="D1573">
            <v>3.4</v>
          </cell>
          <cell r="F1573" t="str">
            <v>8XN5273</v>
          </cell>
          <cell r="G1573" t="str">
            <v>KIOXIA CORPORATION C/O KIOXIA AMERICA INC</v>
          </cell>
          <cell r="H1573" t="str">
            <v>Delivered</v>
          </cell>
          <cell r="I1573" t="str">
            <v xml:space="preserve">MEM </v>
          </cell>
          <cell r="J1573" t="str">
            <v>DHL( global)</v>
          </cell>
          <cell r="K1573" t="str">
            <v>VVMV</v>
          </cell>
          <cell r="L1573" t="str">
            <v>JP</v>
          </cell>
          <cell r="M1573">
            <v>46166</v>
          </cell>
          <cell r="N1573">
            <v>46168</v>
          </cell>
          <cell r="O1573">
            <v>46168</v>
          </cell>
          <cell r="P1573">
            <v>108275443950</v>
          </cell>
          <cell r="Q1573">
            <v>46167</v>
          </cell>
          <cell r="R1573" t="str">
            <v>No inspection</v>
          </cell>
          <cell r="S1573">
            <v>553248</v>
          </cell>
          <cell r="T1573" t="str">
            <v>CIP</v>
          </cell>
          <cell r="U1573" t="str">
            <v>PUR</v>
          </cell>
        </row>
        <row r="1574">
          <cell r="D1574">
            <v>3.4</v>
          </cell>
          <cell r="F1574" t="str">
            <v>8XN5274</v>
          </cell>
          <cell r="G1574" t="str">
            <v>KIOXIA CORPORATION C/O KIOXIA AMERICA INC</v>
          </cell>
          <cell r="H1574" t="str">
            <v>Delivered</v>
          </cell>
          <cell r="I1574" t="str">
            <v xml:space="preserve">MEM </v>
          </cell>
          <cell r="J1574" t="str">
            <v>DHL( global)</v>
          </cell>
          <cell r="K1574" t="str">
            <v>VVMV</v>
          </cell>
          <cell r="L1574" t="str">
            <v>JP</v>
          </cell>
          <cell r="M1574">
            <v>46163</v>
          </cell>
          <cell r="N1574">
            <v>46168</v>
          </cell>
          <cell r="O1574">
            <v>46168</v>
          </cell>
          <cell r="P1574">
            <v>108275741820</v>
          </cell>
          <cell r="Q1574">
            <v>46167</v>
          </cell>
          <cell r="R1574" t="str">
            <v>No inspection</v>
          </cell>
          <cell r="S1574">
            <v>553248</v>
          </cell>
          <cell r="T1574" t="str">
            <v>CIP</v>
          </cell>
          <cell r="U1574" t="str">
            <v>PUR</v>
          </cell>
        </row>
        <row r="1575">
          <cell r="D1575">
            <v>2.7</v>
          </cell>
          <cell r="F1575" t="str">
            <v>8XN5275</v>
          </cell>
          <cell r="G1575" t="str">
            <v>KIOXIA CORPORATION C/O KIOXIA AMERICA INC</v>
          </cell>
          <cell r="H1575" t="str">
            <v>Delivered</v>
          </cell>
          <cell r="I1575" t="str">
            <v xml:space="preserve">MEM </v>
          </cell>
          <cell r="J1575" t="str">
            <v>DHL( global)</v>
          </cell>
          <cell r="K1575" t="str">
            <v>VVMV</v>
          </cell>
          <cell r="L1575" t="str">
            <v>JP</v>
          </cell>
          <cell r="M1575">
            <v>46163</v>
          </cell>
          <cell r="N1575">
            <v>46168</v>
          </cell>
          <cell r="O1575">
            <v>46168</v>
          </cell>
          <cell r="P1575">
            <v>108275486100</v>
          </cell>
          <cell r="Q1575">
            <v>46167</v>
          </cell>
          <cell r="R1575" t="str">
            <v>No inspection</v>
          </cell>
          <cell r="S1575">
            <v>307744.2</v>
          </cell>
          <cell r="T1575" t="str">
            <v>CIP</v>
          </cell>
          <cell r="U1575" t="str">
            <v>PUR</v>
          </cell>
        </row>
        <row r="1576">
          <cell r="D1576">
            <v>2.5</v>
          </cell>
          <cell r="F1576">
            <v>522040181189</v>
          </cell>
          <cell r="G1576" t="str">
            <v>Micron Memory Malaysia Sdn. Bhd</v>
          </cell>
          <cell r="H1576" t="str">
            <v>Delivered</v>
          </cell>
          <cell r="I1576" t="str">
            <v xml:space="preserve">MEM </v>
          </cell>
          <cell r="J1576" t="str">
            <v>Fedex</v>
          </cell>
          <cell r="K1576" t="str">
            <v>VVMV</v>
          </cell>
          <cell r="L1576" t="str">
            <v>MY</v>
          </cell>
          <cell r="M1576">
            <v>46135</v>
          </cell>
          <cell r="N1576">
            <v>46183</v>
          </cell>
          <cell r="O1576">
            <v>46185</v>
          </cell>
          <cell r="P1576">
            <v>108324703800</v>
          </cell>
          <cell r="Q1576">
            <v>46182</v>
          </cell>
          <cell r="R1576" t="str">
            <v>No inspection</v>
          </cell>
          <cell r="S1576">
            <v>22270.49</v>
          </cell>
          <cell r="T1576" t="str">
            <v>EXW</v>
          </cell>
          <cell r="U1576" t="str">
            <v>PUR</v>
          </cell>
        </row>
        <row r="1577">
          <cell r="D1577">
            <v>3.4</v>
          </cell>
          <cell r="F1577" t="str">
            <v>8XN5907</v>
          </cell>
          <cell r="G1577" t="str">
            <v>KIOXIA CORPORATION C/O KIOXIA AMERICA INC</v>
          </cell>
          <cell r="H1577" t="str">
            <v>Delivered</v>
          </cell>
          <cell r="I1577" t="str">
            <v xml:space="preserve">MEM </v>
          </cell>
          <cell r="J1577" t="str">
            <v>DHL( global)</v>
          </cell>
          <cell r="K1577" t="str">
            <v>VVMV</v>
          </cell>
          <cell r="L1577" t="str">
            <v>JP</v>
          </cell>
          <cell r="M1577">
            <v>46165</v>
          </cell>
          <cell r="N1577">
            <v>46168</v>
          </cell>
          <cell r="O1577">
            <v>46168</v>
          </cell>
          <cell r="P1577">
            <v>108275655020</v>
          </cell>
          <cell r="Q1577">
            <v>46167</v>
          </cell>
          <cell r="R1577" t="str">
            <v>No inspection</v>
          </cell>
          <cell r="S1577">
            <v>553248</v>
          </cell>
          <cell r="T1577" t="str">
            <v>CIP</v>
          </cell>
          <cell r="U1577" t="str">
            <v>PUR</v>
          </cell>
        </row>
        <row r="1578">
          <cell r="D1578">
            <v>3.4</v>
          </cell>
          <cell r="F1578" t="str">
            <v>8XN5906</v>
          </cell>
          <cell r="G1578" t="str">
            <v>KIOXIA CORPORATION C/O KIOXIA AMERICA INC</v>
          </cell>
          <cell r="H1578" t="str">
            <v>Delivered</v>
          </cell>
          <cell r="I1578" t="str">
            <v xml:space="preserve">MEM </v>
          </cell>
          <cell r="J1578" t="str">
            <v>DHL( global)</v>
          </cell>
          <cell r="K1578" t="str">
            <v>VVMV</v>
          </cell>
          <cell r="L1578" t="str">
            <v>JP</v>
          </cell>
          <cell r="M1578">
            <v>46163</v>
          </cell>
          <cell r="N1578">
            <v>46168</v>
          </cell>
          <cell r="O1578">
            <v>46168</v>
          </cell>
          <cell r="P1578">
            <v>108275660360</v>
          </cell>
          <cell r="Q1578">
            <v>46167</v>
          </cell>
          <cell r="R1578" t="str">
            <v>No inspection</v>
          </cell>
          <cell r="S1578">
            <v>553248</v>
          </cell>
          <cell r="T1578" t="str">
            <v>CIP</v>
          </cell>
          <cell r="U1578" t="str">
            <v>PUR</v>
          </cell>
        </row>
        <row r="1579">
          <cell r="D1579">
            <v>11.8</v>
          </cell>
          <cell r="F1579" t="str">
            <v>8XN5902</v>
          </cell>
          <cell r="G1579" t="str">
            <v>KIOXIA CORPORATION C/O KIOXIA AMERICA INC</v>
          </cell>
          <cell r="H1579" t="str">
            <v>Delivered</v>
          </cell>
          <cell r="I1579" t="str">
            <v xml:space="preserve">MEM </v>
          </cell>
          <cell r="J1579" t="str">
            <v>DHL( global)</v>
          </cell>
          <cell r="K1579" t="str">
            <v>VVMV</v>
          </cell>
          <cell r="L1579" t="str">
            <v>JP</v>
          </cell>
          <cell r="M1579">
            <v>46163</v>
          </cell>
          <cell r="N1579">
            <v>46168</v>
          </cell>
          <cell r="O1579">
            <v>46168</v>
          </cell>
          <cell r="P1579">
            <v>108276189930</v>
          </cell>
          <cell r="Q1579">
            <v>46167</v>
          </cell>
          <cell r="R1579" t="str">
            <v>No inspection</v>
          </cell>
          <cell r="S1579">
            <v>783712.58</v>
          </cell>
          <cell r="T1579" t="str">
            <v>CIP</v>
          </cell>
          <cell r="U1579" t="str">
            <v>PUR</v>
          </cell>
        </row>
        <row r="1580">
          <cell r="D1580">
            <v>4.8</v>
          </cell>
          <cell r="F1580" t="str">
            <v>8XN5912</v>
          </cell>
          <cell r="G1580" t="str">
            <v>KIOXIA CORPORATION C/O KIOXIA AMERICA INC</v>
          </cell>
          <cell r="H1580" t="str">
            <v>Delivered</v>
          </cell>
          <cell r="I1580" t="str">
            <v xml:space="preserve">MEM </v>
          </cell>
          <cell r="J1580" t="str">
            <v>DHL( global)</v>
          </cell>
          <cell r="K1580" t="str">
            <v>VVMV</v>
          </cell>
          <cell r="L1580" t="str">
            <v>JP</v>
          </cell>
          <cell r="M1580">
            <v>46165</v>
          </cell>
          <cell r="N1580">
            <v>46168</v>
          </cell>
          <cell r="O1580">
            <v>46168</v>
          </cell>
          <cell r="P1580">
            <v>108275392150</v>
          </cell>
          <cell r="Q1580">
            <v>46167</v>
          </cell>
          <cell r="R1580" t="str">
            <v>No inspection</v>
          </cell>
          <cell r="S1580">
            <v>528659.19999999995</v>
          </cell>
          <cell r="T1580" t="str">
            <v>CIP</v>
          </cell>
          <cell r="U1580" t="str">
            <v>PUR</v>
          </cell>
        </row>
        <row r="1581">
          <cell r="D1581">
            <v>3.4</v>
          </cell>
          <cell r="F1581" t="str">
            <v>8XN5904</v>
          </cell>
          <cell r="G1581" t="str">
            <v>KIOXIA CORPORATION C/O KIOXIA AMERICA INC</v>
          </cell>
          <cell r="H1581" t="str">
            <v>Delivered</v>
          </cell>
          <cell r="I1581" t="str">
            <v xml:space="preserve">MEM </v>
          </cell>
          <cell r="J1581" t="str">
            <v>DHL( global)</v>
          </cell>
          <cell r="K1581" t="str">
            <v>VVMV</v>
          </cell>
          <cell r="L1581" t="str">
            <v>JP</v>
          </cell>
          <cell r="M1581">
            <v>46163</v>
          </cell>
          <cell r="N1581">
            <v>46168</v>
          </cell>
          <cell r="O1581">
            <v>46168</v>
          </cell>
          <cell r="P1581">
            <v>108275640430</v>
          </cell>
          <cell r="Q1581">
            <v>46167</v>
          </cell>
          <cell r="R1581" t="str">
            <v>No inspection</v>
          </cell>
          <cell r="S1581">
            <v>553248</v>
          </cell>
          <cell r="T1581" t="str">
            <v>CIP</v>
          </cell>
          <cell r="U1581" t="str">
            <v>PUR</v>
          </cell>
        </row>
        <row r="1582">
          <cell r="D1582">
            <v>3.4</v>
          </cell>
          <cell r="F1582" t="str">
            <v>8XN5909</v>
          </cell>
          <cell r="G1582" t="str">
            <v>KIOXIA CORPORATION C/O KIOXIA AMERICA INC</v>
          </cell>
          <cell r="H1582" t="str">
            <v>Delivered</v>
          </cell>
          <cell r="I1582" t="str">
            <v xml:space="preserve">MEM </v>
          </cell>
          <cell r="J1582" t="str">
            <v>DHL( global)</v>
          </cell>
          <cell r="K1582" t="str">
            <v>VVMV</v>
          </cell>
          <cell r="L1582" t="str">
            <v>JP</v>
          </cell>
          <cell r="M1582">
            <v>46163</v>
          </cell>
          <cell r="N1582">
            <v>46168</v>
          </cell>
          <cell r="O1582">
            <v>46168</v>
          </cell>
          <cell r="P1582">
            <v>108275788610</v>
          </cell>
          <cell r="Q1582">
            <v>46167</v>
          </cell>
          <cell r="R1582" t="str">
            <v>No inspection</v>
          </cell>
          <cell r="S1582">
            <v>553248</v>
          </cell>
          <cell r="T1582" t="str">
            <v>CIP</v>
          </cell>
          <cell r="U1582" t="str">
            <v>PUR</v>
          </cell>
        </row>
        <row r="1583">
          <cell r="D1583">
            <v>6.5</v>
          </cell>
          <cell r="F1583" t="str">
            <v>8XN5277</v>
          </cell>
          <cell r="G1583" t="str">
            <v>KIOXIA CORPORATION C/O KIOXIA AMERICA INC</v>
          </cell>
          <cell r="H1583" t="str">
            <v>Delivered</v>
          </cell>
          <cell r="I1583" t="str">
            <v xml:space="preserve">MEM </v>
          </cell>
          <cell r="J1583" t="str">
            <v>DHL( global)</v>
          </cell>
          <cell r="K1583" t="str">
            <v>VVMV</v>
          </cell>
          <cell r="L1583" t="str">
            <v>JP</v>
          </cell>
          <cell r="M1583">
            <v>46163</v>
          </cell>
          <cell r="N1583">
            <v>46168</v>
          </cell>
          <cell r="O1583">
            <v>46168</v>
          </cell>
          <cell r="P1583">
            <v>108275821250</v>
          </cell>
          <cell r="Q1583">
            <v>46167</v>
          </cell>
          <cell r="R1583" t="str">
            <v>No inspection</v>
          </cell>
          <cell r="S1583">
            <v>330687</v>
          </cell>
          <cell r="T1583" t="str">
            <v>CIP</v>
          </cell>
          <cell r="U1583" t="str">
            <v>PUR</v>
          </cell>
        </row>
        <row r="1584">
          <cell r="D1584">
            <v>3.4</v>
          </cell>
          <cell r="F1584" t="str">
            <v>8XN5908</v>
          </cell>
          <cell r="G1584" t="str">
            <v>KIOXIA CORPORATION C/O KIOXIA AMERICA INC</v>
          </cell>
          <cell r="H1584" t="str">
            <v>Delivered</v>
          </cell>
          <cell r="I1584" t="str">
            <v xml:space="preserve">MEM </v>
          </cell>
          <cell r="J1584" t="str">
            <v>DHL( global)</v>
          </cell>
          <cell r="K1584" t="str">
            <v>VVMV</v>
          </cell>
          <cell r="L1584" t="str">
            <v>JP</v>
          </cell>
          <cell r="M1584">
            <v>46163</v>
          </cell>
          <cell r="N1584">
            <v>46168</v>
          </cell>
          <cell r="O1584">
            <v>46168</v>
          </cell>
          <cell r="P1584">
            <v>108275745060</v>
          </cell>
          <cell r="Q1584">
            <v>46167</v>
          </cell>
          <cell r="R1584" t="str">
            <v>No inspection</v>
          </cell>
          <cell r="S1584">
            <v>553248</v>
          </cell>
          <cell r="T1584" t="str">
            <v>CIP</v>
          </cell>
          <cell r="U1584" t="str">
            <v>PUR</v>
          </cell>
        </row>
        <row r="1585">
          <cell r="D1585">
            <v>3.4</v>
          </cell>
          <cell r="F1585" t="str">
            <v>8XN5910</v>
          </cell>
          <cell r="G1585" t="str">
            <v>KIOXIA CORPORATION C/O KIOXIA AMERICA INC</v>
          </cell>
          <cell r="H1585" t="str">
            <v>Delivered</v>
          </cell>
          <cell r="I1585" t="str">
            <v xml:space="preserve">MEM </v>
          </cell>
          <cell r="J1585" t="str">
            <v>DHL( global)</v>
          </cell>
          <cell r="K1585" t="str">
            <v>VVMV</v>
          </cell>
          <cell r="L1585" t="str">
            <v>JP</v>
          </cell>
          <cell r="M1585">
            <v>46163</v>
          </cell>
          <cell r="N1585">
            <v>46168</v>
          </cell>
          <cell r="O1585">
            <v>46168</v>
          </cell>
          <cell r="P1585">
            <v>108275730510</v>
          </cell>
          <cell r="Q1585">
            <v>46167</v>
          </cell>
          <cell r="R1585" t="str">
            <v>No inspection</v>
          </cell>
          <cell r="S1585">
            <v>553248</v>
          </cell>
          <cell r="T1585" t="str">
            <v>CIP</v>
          </cell>
          <cell r="U1585" t="str">
            <v>PUR</v>
          </cell>
        </row>
        <row r="1586">
          <cell r="D1586">
            <v>67</v>
          </cell>
          <cell r="F1586" t="str">
            <v>PLISGFE00379</v>
          </cell>
          <cell r="G1586" t="str">
            <v>FUTURE ELECTRONICS INC (DIST) PTE LTD</v>
          </cell>
          <cell r="H1586" t="str">
            <v>Delivered</v>
          </cell>
          <cell r="I1586" t="str">
            <v>TRAN, IND , OSC , CAP , RES , LED , DIOD</v>
          </cell>
          <cell r="J1586" t="str">
            <v>LX</v>
          </cell>
          <cell r="K1586" t="str">
            <v>VVMV</v>
          </cell>
          <cell r="L1586" t="str">
            <v>SG</v>
          </cell>
          <cell r="M1586">
            <v>46165</v>
          </cell>
          <cell r="N1586">
            <v>46169</v>
          </cell>
          <cell r="O1586">
            <v>46169</v>
          </cell>
          <cell r="P1586">
            <v>108280003900</v>
          </cell>
          <cell r="Q1586">
            <v>46168</v>
          </cell>
          <cell r="R1586" t="str">
            <v>No inspection</v>
          </cell>
          <cell r="S1586">
            <v>20534.8</v>
          </cell>
          <cell r="T1586" t="str">
            <v>DAP</v>
          </cell>
          <cell r="U1586" t="str">
            <v>PUR</v>
          </cell>
        </row>
        <row r="1587">
          <cell r="D1587">
            <v>6.5</v>
          </cell>
          <cell r="F1587" t="str">
            <v>8XN5279</v>
          </cell>
          <cell r="G1587" t="str">
            <v>KIOXIA CORPORATION C/O KIOXIA AMERICA INC</v>
          </cell>
          <cell r="H1587" t="str">
            <v>Delivered</v>
          </cell>
          <cell r="I1587" t="str">
            <v xml:space="preserve">MEM </v>
          </cell>
          <cell r="J1587" t="str">
            <v>DHL( global)</v>
          </cell>
          <cell r="K1587" t="str">
            <v>VVMV</v>
          </cell>
          <cell r="L1587" t="str">
            <v>JP</v>
          </cell>
          <cell r="M1587">
            <v>46163</v>
          </cell>
          <cell r="N1587">
            <v>46168</v>
          </cell>
          <cell r="O1587">
            <v>46168</v>
          </cell>
          <cell r="P1587">
            <v>108275769010</v>
          </cell>
          <cell r="Q1587">
            <v>46167</v>
          </cell>
          <cell r="R1587" t="str">
            <v>No inspection</v>
          </cell>
          <cell r="S1587">
            <v>330687</v>
          </cell>
          <cell r="T1587" t="str">
            <v>CIP</v>
          </cell>
          <cell r="U1587" t="str">
            <v>PUR</v>
          </cell>
        </row>
        <row r="1588">
          <cell r="D1588">
            <v>3.4</v>
          </cell>
          <cell r="F1588" t="str">
            <v>8XN5911</v>
          </cell>
          <cell r="G1588" t="str">
            <v>KIOXIA CORPORATION C/O KIOXIA AMERICA INC</v>
          </cell>
          <cell r="H1588" t="str">
            <v>Delivered</v>
          </cell>
          <cell r="I1588" t="str">
            <v xml:space="preserve">MEM </v>
          </cell>
          <cell r="J1588" t="str">
            <v>DHL( global)</v>
          </cell>
          <cell r="K1588" t="str">
            <v>VVMV</v>
          </cell>
          <cell r="L1588" t="str">
            <v>JP</v>
          </cell>
          <cell r="M1588">
            <v>46163</v>
          </cell>
          <cell r="N1588">
            <v>46168</v>
          </cell>
          <cell r="O1588">
            <v>46168</v>
          </cell>
          <cell r="P1588">
            <v>108276180720</v>
          </cell>
          <cell r="Q1588">
            <v>46167</v>
          </cell>
          <cell r="R1588" t="str">
            <v>No inspection</v>
          </cell>
          <cell r="S1588">
            <v>553248</v>
          </cell>
          <cell r="T1588" t="str">
            <v>CIP</v>
          </cell>
          <cell r="U1588" t="str">
            <v>PUR</v>
          </cell>
        </row>
        <row r="1589">
          <cell r="D1589">
            <v>6.5</v>
          </cell>
          <cell r="F1589" t="str">
            <v>8XN5276</v>
          </cell>
          <cell r="G1589" t="str">
            <v>KIOXIA CORPORATION C/O KIOXIA AMERICA INC</v>
          </cell>
          <cell r="H1589" t="str">
            <v>Delivered</v>
          </cell>
          <cell r="I1589" t="str">
            <v xml:space="preserve">MEM </v>
          </cell>
          <cell r="J1589" t="str">
            <v>DHL( global)</v>
          </cell>
          <cell r="K1589" t="str">
            <v>VVMV</v>
          </cell>
          <cell r="L1589" t="str">
            <v>JP</v>
          </cell>
          <cell r="M1589">
            <v>46163</v>
          </cell>
          <cell r="N1589">
            <v>46168</v>
          </cell>
          <cell r="O1589">
            <v>46168</v>
          </cell>
          <cell r="P1589">
            <v>108276175230</v>
          </cell>
          <cell r="Q1589">
            <v>46167</v>
          </cell>
          <cell r="R1589" t="str">
            <v>No inspection</v>
          </cell>
          <cell r="S1589">
            <v>330687</v>
          </cell>
          <cell r="T1589" t="str">
            <v>CIP</v>
          </cell>
          <cell r="U1589" t="str">
            <v>PUR</v>
          </cell>
        </row>
        <row r="1590">
          <cell r="D1590">
            <v>3.4</v>
          </cell>
          <cell r="F1590" t="str">
            <v>8XN5905</v>
          </cell>
          <cell r="G1590" t="str">
            <v>KIOXIA CORPORATION C/O KIOXIA AMERICA INC</v>
          </cell>
          <cell r="H1590" t="str">
            <v>Delivered</v>
          </cell>
          <cell r="I1590" t="str">
            <v xml:space="preserve">MEM </v>
          </cell>
          <cell r="J1590" t="str">
            <v>DHL( global)</v>
          </cell>
          <cell r="K1590" t="str">
            <v>VVMV</v>
          </cell>
          <cell r="L1590" t="str">
            <v>JP</v>
          </cell>
          <cell r="M1590">
            <v>46165</v>
          </cell>
          <cell r="N1590">
            <v>46168</v>
          </cell>
          <cell r="O1590">
            <v>46168</v>
          </cell>
          <cell r="P1590">
            <v>108276159350</v>
          </cell>
          <cell r="Q1590">
            <v>46167</v>
          </cell>
          <cell r="R1590" t="str">
            <v>No inspection</v>
          </cell>
          <cell r="S1590">
            <v>553248</v>
          </cell>
          <cell r="T1590" t="str">
            <v>CIP</v>
          </cell>
          <cell r="U1590" t="str">
            <v>PUR</v>
          </cell>
        </row>
        <row r="1591">
          <cell r="D1591">
            <v>2.2999999999999998</v>
          </cell>
          <cell r="F1591" t="str">
            <v>8XN5282</v>
          </cell>
          <cell r="G1591" t="str">
            <v>KIOXIA CORPORATION C/O KIOXIA AMERICA INC</v>
          </cell>
          <cell r="H1591" t="str">
            <v>Delivered</v>
          </cell>
          <cell r="I1591" t="str">
            <v xml:space="preserve">MEM </v>
          </cell>
          <cell r="J1591" t="str">
            <v>DHL( global)</v>
          </cell>
          <cell r="K1591" t="str">
            <v>VVMV</v>
          </cell>
          <cell r="L1591" t="str">
            <v>JP</v>
          </cell>
          <cell r="M1591">
            <v>46164</v>
          </cell>
          <cell r="N1591">
            <v>46168</v>
          </cell>
          <cell r="O1591">
            <v>46168</v>
          </cell>
          <cell r="P1591">
            <v>108276114700</v>
          </cell>
          <cell r="Q1591">
            <v>46167</v>
          </cell>
          <cell r="R1591" t="str">
            <v>No inspection</v>
          </cell>
          <cell r="S1591">
            <v>60993.38</v>
          </cell>
          <cell r="T1591" t="str">
            <v>CIP</v>
          </cell>
          <cell r="U1591" t="str">
            <v>PUR</v>
          </cell>
        </row>
        <row r="1592">
          <cell r="D1592">
            <v>6.5</v>
          </cell>
          <cell r="F1592" t="str">
            <v>8XN5280</v>
          </cell>
          <cell r="G1592" t="str">
            <v>KIOXIA CORPORATION C/O KIOXIA AMERICA INC</v>
          </cell>
          <cell r="H1592" t="str">
            <v>Delivered</v>
          </cell>
          <cell r="I1592" t="str">
            <v xml:space="preserve">MEM </v>
          </cell>
          <cell r="J1592" t="str">
            <v>DHL( global)</v>
          </cell>
          <cell r="K1592" t="str">
            <v>VVMV</v>
          </cell>
          <cell r="L1592" t="str">
            <v>JP</v>
          </cell>
          <cell r="M1592">
            <v>46164</v>
          </cell>
          <cell r="N1592">
            <v>46168</v>
          </cell>
          <cell r="O1592">
            <v>46168</v>
          </cell>
          <cell r="P1592">
            <v>108276113960</v>
          </cell>
          <cell r="Q1592">
            <v>46167</v>
          </cell>
          <cell r="R1592" t="str">
            <v>No inspection</v>
          </cell>
          <cell r="S1592">
            <v>330687</v>
          </cell>
          <cell r="T1592" t="str">
            <v>CIP</v>
          </cell>
          <cell r="U1592" t="str">
            <v>PUR</v>
          </cell>
        </row>
        <row r="1593">
          <cell r="D1593">
            <v>3.4</v>
          </cell>
          <cell r="F1593" t="str">
            <v>8XN5903</v>
          </cell>
          <cell r="G1593" t="str">
            <v>KIOXIA CORPORATION C/O KIOXIA AMERICA INC</v>
          </cell>
          <cell r="H1593" t="str">
            <v>Delivered</v>
          </cell>
          <cell r="I1593" t="str">
            <v xml:space="preserve">MEM </v>
          </cell>
          <cell r="J1593" t="str">
            <v>DHL( global)</v>
          </cell>
          <cell r="K1593" t="str">
            <v>VVMV</v>
          </cell>
          <cell r="L1593" t="str">
            <v>JP</v>
          </cell>
          <cell r="M1593">
            <v>46165</v>
          </cell>
          <cell r="N1593">
            <v>46168</v>
          </cell>
          <cell r="O1593">
            <v>46168</v>
          </cell>
          <cell r="P1593">
            <v>108276197040</v>
          </cell>
          <cell r="Q1593">
            <v>46167</v>
          </cell>
          <cell r="R1593" t="str">
            <v>No inspection</v>
          </cell>
          <cell r="S1593">
            <v>553248</v>
          </cell>
          <cell r="T1593" t="str">
            <v>CIP</v>
          </cell>
          <cell r="U1593" t="str">
            <v>PUR</v>
          </cell>
        </row>
        <row r="1594">
          <cell r="D1594">
            <v>6.5</v>
          </cell>
          <cell r="F1594" t="str">
            <v>8XN5278</v>
          </cell>
          <cell r="G1594" t="str">
            <v>KIOXIA CORPORATION C/O KIOXIA AMERICA INC</v>
          </cell>
          <cell r="H1594" t="str">
            <v>Delivered</v>
          </cell>
          <cell r="I1594" t="str">
            <v xml:space="preserve">MEM </v>
          </cell>
          <cell r="J1594" t="str">
            <v>DHL( global)</v>
          </cell>
          <cell r="K1594" t="str">
            <v>VVMV</v>
          </cell>
          <cell r="L1594" t="str">
            <v>JP</v>
          </cell>
          <cell r="M1594">
            <v>46164</v>
          </cell>
          <cell r="N1594">
            <v>46168</v>
          </cell>
          <cell r="O1594">
            <v>46168</v>
          </cell>
          <cell r="P1594">
            <v>108276136950</v>
          </cell>
          <cell r="Q1594">
            <v>46167</v>
          </cell>
          <cell r="R1594" t="str">
            <v>No inspection</v>
          </cell>
          <cell r="S1594">
            <v>330687</v>
          </cell>
          <cell r="T1594" t="str">
            <v>CIP</v>
          </cell>
          <cell r="U1594" t="str">
            <v>PUR</v>
          </cell>
        </row>
        <row r="1595">
          <cell r="D1595">
            <v>6.5</v>
          </cell>
          <cell r="F1595" t="str">
            <v>8XN5281</v>
          </cell>
          <cell r="G1595" t="str">
            <v>KIOXIA CORPORATION C/O KIOXIA AMERICA INC</v>
          </cell>
          <cell r="H1595" t="str">
            <v>Delivered</v>
          </cell>
          <cell r="I1595" t="str">
            <v xml:space="preserve">MEM </v>
          </cell>
          <cell r="J1595" t="str">
            <v>DHL( global)</v>
          </cell>
          <cell r="K1595" t="str">
            <v>VVMV</v>
          </cell>
          <cell r="L1595" t="str">
            <v>JP</v>
          </cell>
          <cell r="M1595">
            <v>46164</v>
          </cell>
          <cell r="N1595">
            <v>46168</v>
          </cell>
          <cell r="O1595">
            <v>46168</v>
          </cell>
          <cell r="P1595">
            <v>108276176300</v>
          </cell>
          <cell r="Q1595">
            <v>46167</v>
          </cell>
          <cell r="R1595" t="str">
            <v>No inspection</v>
          </cell>
          <cell r="S1595">
            <v>330687</v>
          </cell>
          <cell r="T1595" t="str">
            <v>CIP</v>
          </cell>
          <cell r="U1595" t="str">
            <v>PUR</v>
          </cell>
        </row>
        <row r="1596">
          <cell r="D1596">
            <v>117.1</v>
          </cell>
          <cell r="F1596" t="str">
            <v>ASPHPHE14702318</v>
          </cell>
          <cell r="G1596" t="str">
            <v>AVNET ASIA PTE LTD</v>
          </cell>
          <cell r="H1596" t="str">
            <v>Delivered</v>
          </cell>
          <cell r="I1596" t="str">
            <v xml:space="preserve">CAP , RES , DIOD, TRAN, IND , INDU, OSC </v>
          </cell>
          <cell r="J1596" t="str">
            <v>VVMV(sea)</v>
          </cell>
          <cell r="K1596" t="str">
            <v>VVMV</v>
          </cell>
          <cell r="L1596" t="str">
            <v>SG</v>
          </cell>
          <cell r="M1596">
            <v>46159</v>
          </cell>
          <cell r="N1596">
            <v>46171</v>
          </cell>
          <cell r="O1596">
            <v>46175</v>
          </cell>
          <cell r="P1596">
            <v>108283587160</v>
          </cell>
          <cell r="Q1596">
            <v>46169</v>
          </cell>
          <cell r="R1596" t="str">
            <v>No inspection</v>
          </cell>
          <cell r="S1596">
            <v>33955.99</v>
          </cell>
          <cell r="T1596" t="str">
            <v>FCA</v>
          </cell>
          <cell r="U1596" t="str">
            <v>LUC</v>
          </cell>
        </row>
        <row r="1597">
          <cell r="D1597">
            <v>71.3</v>
          </cell>
          <cell r="F1597">
            <v>525343868132</v>
          </cell>
          <cell r="G1597" t="str">
            <v>Micron Memory Malaysia Sdn. Bh</v>
          </cell>
          <cell r="H1597" t="str">
            <v>Delivered</v>
          </cell>
          <cell r="I1597" t="str">
            <v xml:space="preserve">MEM </v>
          </cell>
          <cell r="J1597" t="str">
            <v>Fedex</v>
          </cell>
          <cell r="K1597" t="str">
            <v>VVMV</v>
          </cell>
          <cell r="L1597" t="str">
            <v>MY</v>
          </cell>
          <cell r="M1597">
            <v>46164</v>
          </cell>
          <cell r="N1597">
            <v>46169</v>
          </cell>
          <cell r="O1597">
            <v>46177</v>
          </cell>
          <cell r="P1597">
            <v>108280081930</v>
          </cell>
          <cell r="Q1597">
            <v>46168</v>
          </cell>
          <cell r="R1597" t="str">
            <v>No inspection</v>
          </cell>
          <cell r="S1597">
            <v>6627600</v>
          </cell>
          <cell r="T1597" t="str">
            <v>CIF</v>
          </cell>
          <cell r="U1597" t="str">
            <v>PUR</v>
          </cell>
        </row>
        <row r="1598">
          <cell r="D1598">
            <v>30.5</v>
          </cell>
          <cell r="F1598">
            <v>510007355769</v>
          </cell>
          <cell r="G1598" t="str">
            <v>SINO FAITH TECHNOLOGY  DVPT LTD</v>
          </cell>
          <cell r="H1598" t="str">
            <v>Delivered</v>
          </cell>
          <cell r="I1598" t="str">
            <v xml:space="preserve">CAP , RES </v>
          </cell>
          <cell r="J1598" t="str">
            <v>Fedex</v>
          </cell>
          <cell r="K1598" t="str">
            <v>VVMV</v>
          </cell>
          <cell r="L1598" t="str">
            <v>HK</v>
          </cell>
          <cell r="M1598">
            <v>46163</v>
          </cell>
          <cell r="N1598">
            <v>46182</v>
          </cell>
          <cell r="O1598">
            <v>46183</v>
          </cell>
          <cell r="P1598" t="str">
            <v>108320090060
108320093120</v>
          </cell>
          <cell r="Q1598">
            <v>46240.66815972222</v>
          </cell>
          <cell r="R1598" t="str">
            <v>No inspection</v>
          </cell>
          <cell r="S1598">
            <v>1688.35</v>
          </cell>
          <cell r="T1598" t="str">
            <v>EXW</v>
          </cell>
          <cell r="U1598">
            <v>121</v>
          </cell>
        </row>
        <row r="1599">
          <cell r="D1599">
            <v>169</v>
          </cell>
          <cell r="F1599">
            <v>381371161854</v>
          </cell>
          <cell r="G1599" t="str">
            <v>ROSENBERGER HOCHFREQUENZTECHNIK</v>
          </cell>
          <cell r="H1599" t="str">
            <v>Delivered</v>
          </cell>
          <cell r="I1599" t="str">
            <v>CONN</v>
          </cell>
          <cell r="J1599" t="str">
            <v>Fedex</v>
          </cell>
          <cell r="K1599" t="str">
            <v>VVMV</v>
          </cell>
          <cell r="L1599" t="str">
            <v>HU</v>
          </cell>
          <cell r="M1599">
            <v>46160</v>
          </cell>
          <cell r="N1599">
            <v>46169</v>
          </cell>
          <cell r="O1599">
            <v>46170</v>
          </cell>
          <cell r="P1599">
            <v>108280071430</v>
          </cell>
          <cell r="Q1599">
            <v>46168</v>
          </cell>
          <cell r="R1599" t="str">
            <v>No inspection</v>
          </cell>
          <cell r="S1599">
            <v>13674.15</v>
          </cell>
          <cell r="T1599" t="str">
            <v>CIF</v>
          </cell>
          <cell r="U1599" t="str">
            <v>LUC</v>
          </cell>
        </row>
        <row r="1600">
          <cell r="D1600">
            <v>5.9</v>
          </cell>
          <cell r="F1600">
            <v>492830230119</v>
          </cell>
          <cell r="G1600" t="str">
            <v>ARROW ELECTRONICS, INC.</v>
          </cell>
          <cell r="H1600" t="str">
            <v>Delivered</v>
          </cell>
          <cell r="I1600" t="str">
            <v>CONN</v>
          </cell>
          <cell r="J1600" t="str">
            <v>Fedex</v>
          </cell>
          <cell r="K1600" t="str">
            <v>VVMV</v>
          </cell>
          <cell r="L1600" t="str">
            <v>US</v>
          </cell>
          <cell r="M1600">
            <v>46162</v>
          </cell>
          <cell r="N1600">
            <v>46169</v>
          </cell>
          <cell r="O1600">
            <v>46175</v>
          </cell>
          <cell r="P1600">
            <v>108277197450</v>
          </cell>
          <cell r="Q1600">
            <v>46168</v>
          </cell>
          <cell r="R1600" t="str">
            <v>No inspection</v>
          </cell>
          <cell r="S1600">
            <v>2624.4</v>
          </cell>
          <cell r="T1600" t="str">
            <v>CIF</v>
          </cell>
          <cell r="U1600" t="str">
            <v>FMC</v>
          </cell>
        </row>
        <row r="1601">
          <cell r="D1601">
            <v>2.2000000000000002</v>
          </cell>
          <cell r="F1601">
            <v>381501224770</v>
          </cell>
          <cell r="G1601" t="str">
            <v>DHL SUPPLY CHAIN MGMT PHILS INC
ON BEHALF OF ANALOG DEVICES INT</v>
          </cell>
          <cell r="H1601" t="str">
            <v>Delivered</v>
          </cell>
          <cell r="I1601" t="str">
            <v>IC C</v>
          </cell>
          <cell r="J1601" t="str">
            <v>Fedex</v>
          </cell>
          <cell r="K1601" t="str">
            <v>VVMV</v>
          </cell>
          <cell r="L1601" t="str">
            <v>PH</v>
          </cell>
          <cell r="M1601">
            <v>46163</v>
          </cell>
          <cell r="N1601">
            <v>46169</v>
          </cell>
          <cell r="O1601">
            <v>46170</v>
          </cell>
          <cell r="P1601">
            <v>108278448830</v>
          </cell>
          <cell r="Q1601">
            <v>46168</v>
          </cell>
          <cell r="R1601" t="str">
            <v>No inspection</v>
          </cell>
          <cell r="S1601">
            <v>30700</v>
          </cell>
          <cell r="T1601" t="str">
            <v>EXW</v>
          </cell>
          <cell r="U1601" t="str">
            <v>PUR</v>
          </cell>
        </row>
        <row r="1602">
          <cell r="D1602">
            <v>0.5</v>
          </cell>
          <cell r="F1602">
            <v>707296342982</v>
          </cell>
          <cell r="G1602" t="str">
            <v>ARROW COMPONENTS MEXICO SA De CV</v>
          </cell>
          <cell r="H1602" t="str">
            <v>Delivered</v>
          </cell>
          <cell r="I1602" t="str">
            <v>FERR</v>
          </cell>
          <cell r="J1602" t="str">
            <v>Fedex</v>
          </cell>
          <cell r="K1602" t="str">
            <v>VVMV</v>
          </cell>
          <cell r="L1602" t="str">
            <v>MX</v>
          </cell>
          <cell r="M1602">
            <v>46161</v>
          </cell>
          <cell r="N1602">
            <v>46169</v>
          </cell>
          <cell r="O1602">
            <v>46175</v>
          </cell>
          <cell r="P1602">
            <v>108277141340</v>
          </cell>
          <cell r="Q1602">
            <v>46168</v>
          </cell>
          <cell r="R1602" t="str">
            <v>No inspection</v>
          </cell>
          <cell r="S1602">
            <v>36</v>
          </cell>
          <cell r="T1602" t="str">
            <v>CIF</v>
          </cell>
          <cell r="U1602" t="str">
            <v>PUR</v>
          </cell>
        </row>
        <row r="1603">
          <cell r="D1603">
            <v>0.9</v>
          </cell>
          <cell r="F1603">
            <v>872115753797</v>
          </cell>
          <cell r="G1603" t="str">
            <v>CYMMETRIK SHENZHEN PRINTING CO., LTD</v>
          </cell>
          <cell r="H1603" t="str">
            <v>Delivered</v>
          </cell>
          <cell r="I1603" t="str">
            <v>LABE</v>
          </cell>
          <cell r="J1603" t="str">
            <v>Fedex</v>
          </cell>
          <cell r="K1603" t="str">
            <v>VVMV</v>
          </cell>
          <cell r="L1603" t="str">
            <v>CN</v>
          </cell>
          <cell r="M1603">
            <v>46164</v>
          </cell>
          <cell r="N1603">
            <v>46169</v>
          </cell>
          <cell r="O1603">
            <v>46170</v>
          </cell>
          <cell r="P1603">
            <v>108277159320</v>
          </cell>
          <cell r="Q1603">
            <v>46168</v>
          </cell>
          <cell r="R1603" t="str">
            <v>No inspection</v>
          </cell>
          <cell r="S1603">
            <v>805</v>
          </cell>
          <cell r="T1603" t="str">
            <v>EXW</v>
          </cell>
          <cell r="U1603" t="str">
            <v>PUR</v>
          </cell>
        </row>
        <row r="1604">
          <cell r="D1604">
            <v>0.2</v>
          </cell>
          <cell r="F1604">
            <v>526750324069</v>
          </cell>
          <cell r="G1604" t="str">
            <v>DIGI-KEY ELECTRONICS</v>
          </cell>
          <cell r="H1604" t="str">
            <v>Delivered</v>
          </cell>
          <cell r="I1604" t="str">
            <v>IC R</v>
          </cell>
          <cell r="J1604" t="str">
            <v>Fedex</v>
          </cell>
          <cell r="K1604" t="str">
            <v>VVMV</v>
          </cell>
          <cell r="L1604" t="str">
            <v>US</v>
          </cell>
          <cell r="M1604">
            <v>46163</v>
          </cell>
          <cell r="N1604">
            <v>46169</v>
          </cell>
          <cell r="O1604">
            <v>46170</v>
          </cell>
          <cell r="P1604">
            <v>108278127640</v>
          </cell>
          <cell r="Q1604">
            <v>46168</v>
          </cell>
          <cell r="R1604" t="str">
            <v>No inspection</v>
          </cell>
          <cell r="S1604">
            <v>410</v>
          </cell>
          <cell r="T1604" t="str">
            <v>CIF</v>
          </cell>
          <cell r="U1604" t="str">
            <v>EF-</v>
          </cell>
        </row>
        <row r="1605">
          <cell r="D1605">
            <v>1.8</v>
          </cell>
          <cell r="F1605">
            <v>500292657094</v>
          </cell>
          <cell r="G1605" t="str">
            <v>ARROW COMPONENTS MEXICO SA De CV</v>
          </cell>
          <cell r="H1605" t="str">
            <v>Delivered</v>
          </cell>
          <cell r="I1605" t="str">
            <v>IC S</v>
          </cell>
          <cell r="J1605" t="str">
            <v>Fedex</v>
          </cell>
          <cell r="K1605" t="str">
            <v>VVMV</v>
          </cell>
          <cell r="L1605" t="str">
            <v>MX</v>
          </cell>
          <cell r="M1605">
            <v>46161</v>
          </cell>
          <cell r="N1605">
            <v>46169</v>
          </cell>
          <cell r="O1605">
            <v>46175</v>
          </cell>
          <cell r="P1605">
            <v>108277316230</v>
          </cell>
          <cell r="Q1605">
            <v>46168</v>
          </cell>
          <cell r="R1605" t="str">
            <v>No inspection</v>
          </cell>
          <cell r="S1605">
            <v>8859.2000000000007</v>
          </cell>
          <cell r="T1605" t="str">
            <v>CIF</v>
          </cell>
          <cell r="U1605" t="str">
            <v>EF-</v>
          </cell>
        </row>
        <row r="1606">
          <cell r="D1606">
            <v>0.5</v>
          </cell>
          <cell r="F1606">
            <v>500292656878</v>
          </cell>
          <cell r="G1606" t="str">
            <v>ARROW COMPONENTS MEXICO SA De CV</v>
          </cell>
          <cell r="H1606" t="str">
            <v>Delivered</v>
          </cell>
          <cell r="I1606" t="str">
            <v>IC S</v>
          </cell>
          <cell r="J1606" t="str">
            <v>Fedex</v>
          </cell>
          <cell r="K1606" t="str">
            <v>VVMV</v>
          </cell>
          <cell r="L1606" t="str">
            <v>MX</v>
          </cell>
          <cell r="M1606">
            <v>46161</v>
          </cell>
          <cell r="N1606">
            <v>46169</v>
          </cell>
          <cell r="O1606">
            <v>46175</v>
          </cell>
          <cell r="P1606">
            <v>108277360110</v>
          </cell>
          <cell r="Q1606">
            <v>46168</v>
          </cell>
          <cell r="R1606" t="str">
            <v>No inspection</v>
          </cell>
          <cell r="S1606">
            <v>63.9</v>
          </cell>
          <cell r="T1606" t="str">
            <v>CIF</v>
          </cell>
          <cell r="U1606" t="str">
            <v>EF-</v>
          </cell>
        </row>
        <row r="1607">
          <cell r="D1607">
            <v>0.6</v>
          </cell>
          <cell r="F1607">
            <v>500292660572</v>
          </cell>
          <cell r="G1607" t="str">
            <v>ARROW COMPONENTS MEXICO SA De CV</v>
          </cell>
          <cell r="H1607" t="str">
            <v>Delivered</v>
          </cell>
          <cell r="I1607" t="str">
            <v>DIOD</v>
          </cell>
          <cell r="J1607" t="str">
            <v>Fedex</v>
          </cell>
          <cell r="K1607" t="str">
            <v>VVMV</v>
          </cell>
          <cell r="L1607" t="str">
            <v>MX</v>
          </cell>
          <cell r="M1607">
            <v>46162</v>
          </cell>
          <cell r="N1607">
            <v>46169</v>
          </cell>
          <cell r="O1607">
            <v>46175</v>
          </cell>
          <cell r="P1607">
            <v>108278214920</v>
          </cell>
          <cell r="Q1607">
            <v>46168</v>
          </cell>
          <cell r="R1607" t="str">
            <v>No inspection</v>
          </cell>
          <cell r="S1607">
            <v>145.5</v>
          </cell>
          <cell r="T1607" t="str">
            <v>CIF</v>
          </cell>
          <cell r="U1607" t="str">
            <v>PUR</v>
          </cell>
        </row>
        <row r="1608">
          <cell r="D1608">
            <v>0.5</v>
          </cell>
          <cell r="F1608">
            <v>500292661362</v>
          </cell>
          <cell r="G1608" t="str">
            <v>ARROW COMPONENTS MEXICO SA De CV</v>
          </cell>
          <cell r="H1608" t="str">
            <v>Delivered</v>
          </cell>
          <cell r="I1608" t="str">
            <v>DIOD</v>
          </cell>
          <cell r="J1608" t="str">
            <v>Fedex</v>
          </cell>
          <cell r="K1608" t="str">
            <v>VVMV</v>
          </cell>
          <cell r="L1608" t="str">
            <v>MX</v>
          </cell>
          <cell r="M1608">
            <v>46163</v>
          </cell>
          <cell r="N1608">
            <v>46169</v>
          </cell>
          <cell r="O1608">
            <v>46175</v>
          </cell>
          <cell r="P1608">
            <v>108277380260</v>
          </cell>
          <cell r="Q1608">
            <v>46168</v>
          </cell>
          <cell r="R1608" t="str">
            <v>No inspection</v>
          </cell>
          <cell r="S1608">
            <v>145.5</v>
          </cell>
          <cell r="T1608" t="str">
            <v>CIF</v>
          </cell>
          <cell r="U1608" t="str">
            <v>PUR</v>
          </cell>
        </row>
        <row r="1609">
          <cell r="D1609">
            <v>0.5</v>
          </cell>
          <cell r="F1609">
            <v>489101278063</v>
          </cell>
          <cell r="G1609" t="str">
            <v>ARROW GERMANY C/O Arrow Central Europe</v>
          </cell>
          <cell r="H1609" t="str">
            <v>Delivered</v>
          </cell>
          <cell r="I1609" t="str">
            <v xml:space="preserve">CAP </v>
          </cell>
          <cell r="J1609" t="str">
            <v>Fedex</v>
          </cell>
          <cell r="K1609" t="str">
            <v>VVMV</v>
          </cell>
          <cell r="L1609" t="str">
            <v>NL</v>
          </cell>
          <cell r="M1609">
            <v>46162</v>
          </cell>
          <cell r="N1609">
            <v>46169</v>
          </cell>
          <cell r="O1609">
            <v>46170</v>
          </cell>
          <cell r="P1609">
            <v>108279137850</v>
          </cell>
          <cell r="Q1609">
            <v>46168</v>
          </cell>
          <cell r="R1609" t="str">
            <v>No inspection</v>
          </cell>
          <cell r="S1609">
            <v>19.2</v>
          </cell>
          <cell r="T1609" t="str">
            <v>CIF</v>
          </cell>
          <cell r="U1609" t="str">
            <v>EF-</v>
          </cell>
        </row>
        <row r="1610">
          <cell r="D1610">
            <v>56.7</v>
          </cell>
          <cell r="F1610">
            <v>2263557170</v>
          </cell>
          <cell r="G1610" t="str">
            <v>AVNET - CHANDLER</v>
          </cell>
          <cell r="H1610" t="str">
            <v>Delivered</v>
          </cell>
          <cell r="I1610" t="str">
            <v>CAP , TRAN, IC A, IC S, PCIE</v>
          </cell>
          <cell r="J1610" t="str">
            <v>DHL</v>
          </cell>
          <cell r="K1610" t="str">
            <v>VVMV</v>
          </cell>
          <cell r="L1610" t="str">
            <v>US</v>
          </cell>
          <cell r="M1610">
            <v>46162</v>
          </cell>
          <cell r="N1610">
            <v>46171</v>
          </cell>
          <cell r="O1610">
            <v>46170</v>
          </cell>
          <cell r="P1610">
            <v>108284045440</v>
          </cell>
          <cell r="Q1610">
            <v>46169</v>
          </cell>
          <cell r="R1610" t="str">
            <v>No inspection</v>
          </cell>
          <cell r="S1610">
            <v>76995.740000000005</v>
          </cell>
          <cell r="T1610" t="str">
            <v>CIF</v>
          </cell>
          <cell r="U1610" t="str">
            <v>LUC</v>
          </cell>
        </row>
        <row r="1611">
          <cell r="D1611">
            <v>2.7</v>
          </cell>
          <cell r="F1611">
            <v>500292607983</v>
          </cell>
          <cell r="G1611" t="str">
            <v>ARROW COMPONENTS MEXICO SA De CV</v>
          </cell>
          <cell r="H1611" t="str">
            <v>Delivered</v>
          </cell>
          <cell r="I1611" t="str">
            <v>INDU</v>
          </cell>
          <cell r="J1611" t="str">
            <v>Fedex</v>
          </cell>
          <cell r="K1611" t="str">
            <v>VVMV</v>
          </cell>
          <cell r="L1611" t="str">
            <v>MX</v>
          </cell>
          <cell r="M1611">
            <v>46134</v>
          </cell>
          <cell r="N1611">
            <v>46169</v>
          </cell>
          <cell r="O1611">
            <v>46175</v>
          </cell>
          <cell r="P1611">
            <v>108279205050</v>
          </cell>
          <cell r="Q1611">
            <v>46168</v>
          </cell>
          <cell r="R1611" t="str">
            <v>No inspection</v>
          </cell>
          <cell r="S1611">
            <v>428.02</v>
          </cell>
          <cell r="T1611" t="str">
            <v>CIF</v>
          </cell>
          <cell r="U1611" t="str">
            <v>EF-</v>
          </cell>
        </row>
        <row r="1612">
          <cell r="D1612">
            <v>15.5</v>
          </cell>
          <cell r="F1612">
            <v>494686583305</v>
          </cell>
          <cell r="G1612" t="str">
            <v>DONGGUANG COFAN ELECTRONIC TECHNOLO</v>
          </cell>
          <cell r="H1612" t="str">
            <v>Delivered</v>
          </cell>
          <cell r="I1612" t="str">
            <v>HEAT</v>
          </cell>
          <cell r="J1612" t="str">
            <v>Fedex</v>
          </cell>
          <cell r="K1612" t="str">
            <v>VVMV</v>
          </cell>
          <cell r="L1612" t="str">
            <v>CN</v>
          </cell>
          <cell r="M1612">
            <v>46163</v>
          </cell>
          <cell r="N1612">
            <v>46169</v>
          </cell>
          <cell r="O1612">
            <v>46175</v>
          </cell>
          <cell r="P1612">
            <v>108279462320</v>
          </cell>
          <cell r="Q1612">
            <v>46168</v>
          </cell>
          <cell r="R1612" t="str">
            <v>No inspection</v>
          </cell>
          <cell r="S1612">
            <v>1386</v>
          </cell>
          <cell r="T1612" t="str">
            <v>EXW</v>
          </cell>
          <cell r="U1612" t="str">
            <v>EF-</v>
          </cell>
        </row>
        <row r="1613">
          <cell r="D1613">
            <v>1.4</v>
          </cell>
          <cell r="F1613">
            <v>5774621694</v>
          </cell>
          <cell r="G1613" t="str">
            <v>FUTURE ELECTRONICS (ADC)</v>
          </cell>
          <cell r="H1613" t="str">
            <v>Delivered</v>
          </cell>
          <cell r="I1613" t="str">
            <v xml:space="preserve">LED </v>
          </cell>
          <cell r="J1613" t="str">
            <v>DHL</v>
          </cell>
          <cell r="K1613" t="str">
            <v>VVMV</v>
          </cell>
          <cell r="L1613" t="str">
            <v>SG</v>
          </cell>
          <cell r="M1613">
            <v>46164</v>
          </cell>
          <cell r="N1613">
            <v>46169</v>
          </cell>
          <cell r="O1613">
            <v>46170</v>
          </cell>
          <cell r="P1613">
            <v>108280584310</v>
          </cell>
          <cell r="Q1613">
            <v>46169</v>
          </cell>
          <cell r="R1613" t="str">
            <v>No inspection</v>
          </cell>
          <cell r="S1613">
            <v>335</v>
          </cell>
          <cell r="T1613" t="str">
            <v>CIF</v>
          </cell>
          <cell r="U1613" t="str">
            <v>HLO</v>
          </cell>
        </row>
        <row r="1614">
          <cell r="D1614">
            <v>0.7</v>
          </cell>
          <cell r="F1614">
            <v>2189144263</v>
          </cell>
          <cell r="G1614" t="str">
            <v>FUTURETECH COMPONENTS LIMITED</v>
          </cell>
          <cell r="H1614" t="str">
            <v>Delivered</v>
          </cell>
          <cell r="I1614" t="str">
            <v>TRAN</v>
          </cell>
          <cell r="J1614" t="str">
            <v>DHL</v>
          </cell>
          <cell r="K1614" t="str">
            <v>VVMV</v>
          </cell>
          <cell r="L1614" t="str">
            <v>CN</v>
          </cell>
          <cell r="M1614">
            <v>46163</v>
          </cell>
          <cell r="N1614">
            <v>46169</v>
          </cell>
          <cell r="O1614">
            <v>46170</v>
          </cell>
          <cell r="P1614">
            <v>108279739520</v>
          </cell>
          <cell r="Q1614">
            <v>46168</v>
          </cell>
          <cell r="R1614" t="str">
            <v>No inspection</v>
          </cell>
          <cell r="S1614">
            <v>2174.5700000000002</v>
          </cell>
          <cell r="T1614" t="str">
            <v>CIF</v>
          </cell>
          <cell r="U1614" t="str">
            <v>EF-</v>
          </cell>
        </row>
        <row r="1615">
          <cell r="D1615">
            <v>46.1</v>
          </cell>
          <cell r="F1615">
            <v>9779973022</v>
          </cell>
          <cell r="G1615" t="str">
            <v>BERECHIAH ENTERPRISE CO.,LTD</v>
          </cell>
          <cell r="H1615" t="str">
            <v>Delivered</v>
          </cell>
          <cell r="I1615" t="str">
            <v xml:space="preserve">CAP </v>
          </cell>
          <cell r="J1615" t="str">
            <v>DHL</v>
          </cell>
          <cell r="K1615" t="str">
            <v>VVMV</v>
          </cell>
          <cell r="L1615" t="str">
            <v>TW</v>
          </cell>
          <cell r="M1615">
            <v>46164</v>
          </cell>
          <cell r="N1615">
            <v>46169</v>
          </cell>
          <cell r="O1615">
            <v>46170</v>
          </cell>
          <cell r="P1615">
            <v>108280052160</v>
          </cell>
          <cell r="Q1615">
            <v>46168</v>
          </cell>
          <cell r="R1615" t="str">
            <v>No inspection</v>
          </cell>
          <cell r="S1615">
            <v>2776.4</v>
          </cell>
          <cell r="T1615" t="str">
            <v>CIF</v>
          </cell>
          <cell r="U1615">
            <v>122</v>
          </cell>
        </row>
        <row r="1616">
          <cell r="D1616">
            <v>0.5</v>
          </cell>
          <cell r="F1616">
            <v>492830072680</v>
          </cell>
          <cell r="G1616" t="str">
            <v>ARROW ELECTRONICS, INC.</v>
          </cell>
          <cell r="H1616" t="str">
            <v>Delivered</v>
          </cell>
          <cell r="I1616" t="str">
            <v xml:space="preserve">CAP </v>
          </cell>
          <cell r="K1616" t="str">
            <v>VVMV</v>
          </cell>
          <cell r="L1616" t="str">
            <v>US</v>
          </cell>
          <cell r="M1616">
            <v>46154</v>
          </cell>
          <cell r="N1616">
            <v>46176</v>
          </cell>
          <cell r="O1616">
            <v>46177</v>
          </cell>
          <cell r="P1616">
            <v>108302103930</v>
          </cell>
          <cell r="Q1616">
            <v>46175</v>
          </cell>
          <cell r="R1616" t="str">
            <v>No inspection</v>
          </cell>
          <cell r="S1616">
            <v>1038</v>
          </cell>
          <cell r="T1616" t="str">
            <v>CIF</v>
          </cell>
          <cell r="U1616">
            <v>122</v>
          </cell>
        </row>
        <row r="1617">
          <cell r="D1617">
            <v>794.6</v>
          </cell>
          <cell r="F1617" t="str">
            <v>LSHHPH2605036</v>
          </cell>
          <cell r="G1617" t="str">
            <v>ZHENJIANG FINEWORLD AUTOMOTIVE TECHNOLOGY CO.,LTD</v>
          </cell>
          <cell r="H1617" t="str">
            <v>Delivered</v>
          </cell>
          <cell r="I1617" t="str">
            <v>ENCL</v>
          </cell>
          <cell r="J1617" t="str">
            <v>Dolphin(sea)</v>
          </cell>
          <cell r="K1617" t="str">
            <v>Dolphin</v>
          </cell>
          <cell r="L1617" t="str">
            <v>CN</v>
          </cell>
          <cell r="M1617">
            <v>46164</v>
          </cell>
          <cell r="N1617">
            <v>46171</v>
          </cell>
          <cell r="O1617">
            <v>46175</v>
          </cell>
          <cell r="P1617">
            <v>108282851460</v>
          </cell>
          <cell r="Q1617">
            <v>46169</v>
          </cell>
          <cell r="R1617" t="str">
            <v>No inspection</v>
          </cell>
          <cell r="S1617">
            <v>6166.33</v>
          </cell>
          <cell r="T1617" t="str">
            <v>EXW</v>
          </cell>
          <cell r="U1617" t="str">
            <v>LUC</v>
          </cell>
        </row>
        <row r="1618">
          <cell r="D1618">
            <v>340.5</v>
          </cell>
          <cell r="F1618" t="str">
            <v>MNN/HPH/01186</v>
          </cell>
          <cell r="G1618" t="str">
            <v>Readore MFG Phils Corp</v>
          </cell>
          <cell r="H1618" t="str">
            <v>Delivered</v>
          </cell>
          <cell r="I1618" t="str">
            <v>HEAT</v>
          </cell>
          <cell r="J1618" t="str">
            <v>Dolphin(sea)</v>
          </cell>
          <cell r="K1618" t="str">
            <v>Dolphin</v>
          </cell>
          <cell r="L1618" t="str">
            <v>PH</v>
          </cell>
          <cell r="M1618">
            <v>46163</v>
          </cell>
          <cell r="N1618">
            <v>46171</v>
          </cell>
          <cell r="O1618">
            <v>46170</v>
          </cell>
          <cell r="P1618">
            <v>108279516110</v>
          </cell>
          <cell r="Q1618">
            <v>46169</v>
          </cell>
          <cell r="R1618" t="str">
            <v>No inspection</v>
          </cell>
          <cell r="S1618">
            <v>28074.776000000002</v>
          </cell>
          <cell r="T1618" t="str">
            <v>FOB</v>
          </cell>
          <cell r="U1618" t="str">
            <v>PUR</v>
          </cell>
        </row>
        <row r="1619">
          <cell r="D1619">
            <v>0.2</v>
          </cell>
          <cell r="F1619">
            <v>4689943985</v>
          </cell>
          <cell r="G1619" t="str">
            <v>Shenzhen Jiechuangxin Technology Co.,Ltd.</v>
          </cell>
          <cell r="H1619" t="str">
            <v>Delivered</v>
          </cell>
          <cell r="I1619" t="str">
            <v>IC S</v>
          </cell>
          <cell r="J1619" t="str">
            <v>DHL</v>
          </cell>
          <cell r="K1619" t="str">
            <v>VVMV</v>
          </cell>
          <cell r="L1619" t="str">
            <v>CN</v>
          </cell>
          <cell r="M1619">
            <v>46167</v>
          </cell>
          <cell r="N1619">
            <v>46170</v>
          </cell>
          <cell r="O1619">
            <v>46170</v>
          </cell>
          <cell r="P1619">
            <v>108282760610</v>
          </cell>
          <cell r="Q1619">
            <v>46169</v>
          </cell>
          <cell r="R1619" t="str">
            <v>No inspection</v>
          </cell>
          <cell r="S1619">
            <v>90</v>
          </cell>
          <cell r="T1619" t="str">
            <v>CIF</v>
          </cell>
          <cell r="U1619">
            <v>103</v>
          </cell>
        </row>
        <row r="1620">
          <cell r="D1620">
            <v>933.55</v>
          </cell>
          <cell r="F1620" t="str">
            <v>PSHPH2650097</v>
          </cell>
          <cell r="G1620" t="str">
            <v>CHENG FWA INDUSTRIAL CO., LTD</v>
          </cell>
          <cell r="H1620" t="str">
            <v>Delivered</v>
          </cell>
          <cell r="I1620" t="str">
            <v>BOTT</v>
          </cell>
          <cell r="J1620" t="str">
            <v>VVMV(sea)</v>
          </cell>
          <cell r="K1620" t="str">
            <v>VVMV</v>
          </cell>
          <cell r="M1620">
            <v>46167</v>
          </cell>
          <cell r="N1620">
            <v>46175</v>
          </cell>
          <cell r="O1620">
            <v>46175</v>
          </cell>
          <cell r="R1620" t="str">
            <v>No inspection</v>
          </cell>
          <cell r="U1620" t="str">
            <v>LUC</v>
          </cell>
        </row>
        <row r="1621">
          <cell r="D1621">
            <v>85</v>
          </cell>
          <cell r="F1621">
            <v>4711938288</v>
          </cell>
          <cell r="G1621" t="str">
            <v>AVNET ASIA PTE LTD</v>
          </cell>
          <cell r="H1621" t="str">
            <v>Delivered</v>
          </cell>
          <cell r="I1621" t="str">
            <v>CAP , RES , TRAN, IND , FUSE</v>
          </cell>
          <cell r="J1621" t="str">
            <v>Expeditors</v>
          </cell>
          <cell r="K1621" t="str">
            <v>VVMV</v>
          </cell>
          <cell r="L1621" t="str">
            <v>SG</v>
          </cell>
          <cell r="M1621">
            <v>46169</v>
          </cell>
          <cell r="N1621">
            <v>46170</v>
          </cell>
          <cell r="O1621">
            <v>46170</v>
          </cell>
          <cell r="P1621">
            <v>108284738440</v>
          </cell>
          <cell r="Q1621">
            <v>46170</v>
          </cell>
          <cell r="R1621" t="str">
            <v>No inspection</v>
          </cell>
          <cell r="S1621">
            <v>38188.49</v>
          </cell>
          <cell r="T1621" t="str">
            <v>FCA</v>
          </cell>
          <cell r="U1621" t="str">
            <v>LUC</v>
          </cell>
        </row>
        <row r="1622">
          <cell r="D1622">
            <v>28.5</v>
          </cell>
          <cell r="F1622">
            <v>3774718220</v>
          </cell>
          <cell r="G1622" t="str">
            <v>SUNLORD ELECTRONICS TECHNOLOGY PTE</v>
          </cell>
          <cell r="H1622" t="str">
            <v>Delivered</v>
          </cell>
          <cell r="I1622" t="str">
            <v>TRAN, RES , CAP , IC V, DIOD, IC H, IC S</v>
          </cell>
          <cell r="J1622" t="str">
            <v>DHL</v>
          </cell>
          <cell r="K1622" t="str">
            <v>VVMV</v>
          </cell>
          <cell r="L1622" t="str">
            <v>CN</v>
          </cell>
          <cell r="M1622">
            <v>46168</v>
          </cell>
          <cell r="N1622">
            <v>46170</v>
          </cell>
          <cell r="O1622">
            <v>46175</v>
          </cell>
          <cell r="P1622">
            <v>108286731010</v>
          </cell>
          <cell r="Q1622">
            <v>46170</v>
          </cell>
          <cell r="R1622" t="str">
            <v>No inspection</v>
          </cell>
          <cell r="S1622">
            <v>15440.3</v>
          </cell>
          <cell r="T1622" t="str">
            <v>EXW</v>
          </cell>
          <cell r="U1622">
            <v>169</v>
          </cell>
        </row>
        <row r="1623">
          <cell r="D1623">
            <v>92</v>
          </cell>
          <cell r="F1623">
            <v>4812920786</v>
          </cell>
          <cell r="G1623" t="str">
            <v>LIPERS ENTERPRISE CO LTD</v>
          </cell>
          <cell r="H1623" t="str">
            <v>Delivered</v>
          </cell>
          <cell r="I1623" t="str">
            <v xml:space="preserve">CAP , CAPC, RES </v>
          </cell>
          <cell r="J1623" t="str">
            <v>Expeditors</v>
          </cell>
          <cell r="K1623" t="str">
            <v>VVMV</v>
          </cell>
          <cell r="L1623" t="str">
            <v>TW</v>
          </cell>
          <cell r="M1623">
            <v>46167</v>
          </cell>
          <cell r="N1623">
            <v>46170</v>
          </cell>
          <cell r="O1623">
            <v>46170</v>
          </cell>
          <cell r="P1623">
            <v>108284114410</v>
          </cell>
          <cell r="Q1623">
            <v>46169</v>
          </cell>
          <cell r="R1623" t="str">
            <v>No inspection</v>
          </cell>
          <cell r="S1623">
            <v>9295.76</v>
          </cell>
          <cell r="T1623" t="str">
            <v>FOB</v>
          </cell>
          <cell r="U1623" t="str">
            <v>PUR</v>
          </cell>
        </row>
        <row r="1624">
          <cell r="D1624">
            <v>45.9</v>
          </cell>
          <cell r="F1624">
            <v>526208721604</v>
          </cell>
          <cell r="G1624" t="str">
            <v>MOUSER ELECTRONICS INC</v>
          </cell>
          <cell r="H1624" t="str">
            <v>Delivered</v>
          </cell>
          <cell r="I1624" t="str">
            <v>IC V, CAP , DIOD, ULTR, TRAN, IC P, IND , THER, IC C</v>
          </cell>
          <cell r="J1624" t="str">
            <v>Fedex</v>
          </cell>
          <cell r="K1624" t="str">
            <v>VVMV</v>
          </cell>
          <cell r="L1624" t="str">
            <v>US</v>
          </cell>
          <cell r="M1624">
            <v>46163</v>
          </cell>
          <cell r="N1624">
            <v>46177</v>
          </cell>
          <cell r="O1624">
            <v>46178</v>
          </cell>
          <cell r="P1624">
            <v>108301127060</v>
          </cell>
          <cell r="Q1624">
            <v>46175</v>
          </cell>
          <cell r="R1624" t="str">
            <v>No inspection</v>
          </cell>
          <cell r="S1624">
            <v>25227.661700000001</v>
          </cell>
          <cell r="T1624" t="str">
            <v>CIF</v>
          </cell>
          <cell r="U1624" t="str">
            <v>FMC</v>
          </cell>
        </row>
        <row r="1625">
          <cell r="D1625">
            <v>0.8</v>
          </cell>
          <cell r="F1625">
            <v>381526009264</v>
          </cell>
          <cell r="G1625" t="str">
            <v>C/O DHL Supply Chain Thailand Limit
Analog Devices (Thailand) Co., Ltd</v>
          </cell>
          <cell r="H1625" t="str">
            <v>Delivered</v>
          </cell>
          <cell r="I1625" t="str">
            <v>IC,V</v>
          </cell>
          <cell r="J1625" t="str">
            <v>Fedex</v>
          </cell>
          <cell r="K1625" t="str">
            <v>VVMV</v>
          </cell>
          <cell r="L1625" t="str">
            <v>TH</v>
          </cell>
          <cell r="M1625">
            <v>46164</v>
          </cell>
          <cell r="N1625">
            <v>46170</v>
          </cell>
          <cell r="O1625">
            <v>46175</v>
          </cell>
          <cell r="P1625">
            <v>108283683800</v>
          </cell>
          <cell r="Q1625">
            <v>46169</v>
          </cell>
          <cell r="R1625" t="str">
            <v>No inspection</v>
          </cell>
          <cell r="S1625">
            <v>1160</v>
          </cell>
          <cell r="T1625" t="str">
            <v>EXW</v>
          </cell>
          <cell r="U1625" t="str">
            <v>PUR</v>
          </cell>
        </row>
        <row r="1626">
          <cell r="D1626">
            <v>1.6</v>
          </cell>
          <cell r="F1626">
            <v>527390492292</v>
          </cell>
          <cell r="G1626" t="str">
            <v>MICRON SEMICONDUCTOR XIAN CO, LTD</v>
          </cell>
          <cell r="H1626" t="str">
            <v>Delivered</v>
          </cell>
          <cell r="I1626" t="str">
            <v xml:space="preserve">MEM </v>
          </cell>
          <cell r="J1626" t="str">
            <v>Fedex</v>
          </cell>
          <cell r="K1626" t="str">
            <v>VVMV</v>
          </cell>
          <cell r="L1626" t="str">
            <v>CN</v>
          </cell>
          <cell r="M1626">
            <v>46168</v>
          </cell>
          <cell r="N1626">
            <v>46170</v>
          </cell>
          <cell r="O1626">
            <v>46175</v>
          </cell>
          <cell r="P1626">
            <v>108283742710</v>
          </cell>
          <cell r="Q1626">
            <v>46169</v>
          </cell>
          <cell r="R1626" t="str">
            <v>No inspection</v>
          </cell>
          <cell r="S1626">
            <v>15720</v>
          </cell>
          <cell r="T1626" t="str">
            <v>EXW</v>
          </cell>
          <cell r="U1626" t="str">
            <v>HLO</v>
          </cell>
        </row>
        <row r="1627">
          <cell r="D1627">
            <v>5.7</v>
          </cell>
          <cell r="F1627" t="str">
            <v>SF1545026977131</v>
          </cell>
          <cell r="G1627" t="str">
            <v>Xing Yu Hu</v>
          </cell>
          <cell r="H1627" t="str">
            <v>Delivered</v>
          </cell>
          <cell r="I1627" t="str">
            <v>CONN</v>
          </cell>
          <cell r="J1627" t="str">
            <v>SF Express</v>
          </cell>
          <cell r="K1627" t="str">
            <v>VVMV</v>
          </cell>
          <cell r="L1627" t="str">
            <v>CN</v>
          </cell>
          <cell r="M1627">
            <v>46163</v>
          </cell>
          <cell r="N1627">
            <v>46170</v>
          </cell>
          <cell r="O1627">
            <v>46171</v>
          </cell>
          <cell r="P1627">
            <v>108284068430</v>
          </cell>
          <cell r="Q1627">
            <v>46170</v>
          </cell>
          <cell r="R1627" t="str">
            <v>No inspection</v>
          </cell>
          <cell r="S1627">
            <v>33.537999999999997</v>
          </cell>
          <cell r="T1627" t="str">
            <v>CIF</v>
          </cell>
          <cell r="U1627" t="str">
            <v>OEM</v>
          </cell>
        </row>
        <row r="1628">
          <cell r="D1628">
            <v>27.9</v>
          </cell>
          <cell r="F1628">
            <v>1725908612</v>
          </cell>
          <cell r="G1628" t="str">
            <v>SINO FAITH TECHNOLOGY  DVPT LTD</v>
          </cell>
          <cell r="H1628" t="str">
            <v>Delivered</v>
          </cell>
          <cell r="I1628" t="str">
            <v>res, cap..</v>
          </cell>
          <cell r="J1628" t="str">
            <v>DHL</v>
          </cell>
          <cell r="K1628" t="str">
            <v>VVMV</v>
          </cell>
          <cell r="L1628" t="str">
            <v>HK</v>
          </cell>
          <cell r="N1628">
            <v>46175</v>
          </cell>
          <cell r="O1628">
            <v>46175</v>
          </cell>
          <cell r="P1628">
            <v>108288050840</v>
          </cell>
          <cell r="Q1628">
            <v>46170</v>
          </cell>
          <cell r="R1628" t="str">
            <v>No inspection</v>
          </cell>
          <cell r="S1628">
            <v>4837.8</v>
          </cell>
          <cell r="T1628" t="str">
            <v>EXW</v>
          </cell>
        </row>
        <row r="1629">
          <cell r="D1629">
            <v>0.2</v>
          </cell>
          <cell r="F1629">
            <v>8010373066</v>
          </cell>
          <cell r="G1629" t="str">
            <v>Texas Instruments Southeast Asia PL</v>
          </cell>
          <cell r="H1629" t="str">
            <v>Delivered</v>
          </cell>
          <cell r="I1629" t="str">
            <v>IC S</v>
          </cell>
          <cell r="J1629" t="str">
            <v>DHL</v>
          </cell>
          <cell r="K1629" t="str">
            <v>VVMV</v>
          </cell>
          <cell r="L1629" t="str">
            <v>SG</v>
          </cell>
          <cell r="M1629">
            <v>46169</v>
          </cell>
          <cell r="N1629">
            <v>46175</v>
          </cell>
          <cell r="O1629">
            <v>46175</v>
          </cell>
          <cell r="P1629">
            <v>108284628320</v>
          </cell>
          <cell r="Q1629">
            <v>46170</v>
          </cell>
          <cell r="R1629" t="str">
            <v>No inspection</v>
          </cell>
          <cell r="S1629">
            <v>304.88</v>
          </cell>
          <cell r="T1629" t="str">
            <v>CIF</v>
          </cell>
          <cell r="U1629" t="str">
            <v>FMC</v>
          </cell>
        </row>
        <row r="1630">
          <cell r="D1630">
            <v>3.4</v>
          </cell>
          <cell r="F1630">
            <v>1291245782</v>
          </cell>
          <cell r="G1630" t="str">
            <v>TTI INC</v>
          </cell>
          <cell r="H1630" t="str">
            <v>Delivered</v>
          </cell>
          <cell r="I1630" t="str">
            <v>CONN</v>
          </cell>
          <cell r="J1630" t="str">
            <v>DHL</v>
          </cell>
          <cell r="K1630" t="str">
            <v>VVMV</v>
          </cell>
          <cell r="L1630" t="str">
            <v>US</v>
          </cell>
          <cell r="M1630">
            <v>46168</v>
          </cell>
          <cell r="N1630">
            <v>46175</v>
          </cell>
          <cell r="O1630">
            <v>46175</v>
          </cell>
          <cell r="P1630">
            <v>108290724400</v>
          </cell>
          <cell r="Q1630">
            <v>46171</v>
          </cell>
          <cell r="R1630" t="str">
            <v>No inspection</v>
          </cell>
          <cell r="S1630">
            <v>960</v>
          </cell>
          <cell r="T1630" t="str">
            <v>CIF</v>
          </cell>
          <cell r="U1630" t="str">
            <v>LUC</v>
          </cell>
        </row>
        <row r="1631">
          <cell r="D1631">
            <v>288</v>
          </cell>
          <cell r="F1631">
            <v>4915119423</v>
          </cell>
          <cell r="G1631" t="str">
            <v>RICHARDSON RFPD HONG KONG LIMITED</v>
          </cell>
          <cell r="H1631" t="str">
            <v>Delivered</v>
          </cell>
          <cell r="I1631" t="str">
            <v xml:space="preserve">CAP </v>
          </cell>
          <cell r="J1631" t="str">
            <v>Expeditors</v>
          </cell>
          <cell r="K1631" t="str">
            <v>VVMV</v>
          </cell>
          <cell r="L1631" t="str">
            <v>HK</v>
          </cell>
          <cell r="M1631">
            <v>46169</v>
          </cell>
          <cell r="N1631">
            <v>46171</v>
          </cell>
          <cell r="O1631">
            <v>46171</v>
          </cell>
          <cell r="P1631">
            <v>108285265100</v>
          </cell>
          <cell r="Q1631">
            <v>46170</v>
          </cell>
          <cell r="R1631" t="str">
            <v>No inspection</v>
          </cell>
          <cell r="S1631">
            <v>40320</v>
          </cell>
          <cell r="T1631" t="str">
            <v>EXW</v>
          </cell>
          <cell r="U1631" t="str">
            <v>PUR</v>
          </cell>
        </row>
        <row r="1632">
          <cell r="D1632">
            <v>100</v>
          </cell>
          <cell r="F1632">
            <v>4915119421</v>
          </cell>
          <cell r="G1632" t="str">
            <v>PENCOM LTD</v>
          </cell>
          <cell r="H1632" t="str">
            <v>Delivered</v>
          </cell>
          <cell r="I1632" t="str">
            <v>STAN, MECH, SCRE</v>
          </cell>
          <cell r="J1632" t="str">
            <v>Expeditors</v>
          </cell>
          <cell r="K1632" t="str">
            <v>VVMV</v>
          </cell>
          <cell r="L1632" t="str">
            <v>HK</v>
          </cell>
          <cell r="M1632">
            <v>46169</v>
          </cell>
          <cell r="N1632">
            <v>46171</v>
          </cell>
          <cell r="O1632">
            <v>46171</v>
          </cell>
          <cell r="P1632">
            <v>108285268010</v>
          </cell>
          <cell r="Q1632">
            <v>46170</v>
          </cell>
          <cell r="R1632" t="str">
            <v>No inspection</v>
          </cell>
          <cell r="S1632">
            <v>10472</v>
          </cell>
          <cell r="T1632" t="str">
            <v>EXW</v>
          </cell>
          <cell r="U1632" t="str">
            <v>PUR</v>
          </cell>
        </row>
        <row r="1633">
          <cell r="D1633">
            <v>14.5</v>
          </cell>
          <cell r="F1633">
            <v>527158915040</v>
          </cell>
          <cell r="G1633" t="str">
            <v>ARROW ELECTRONICS, INC.</v>
          </cell>
          <cell r="H1633" t="str">
            <v>Delivered</v>
          </cell>
          <cell r="I1633" t="str">
            <v>IC F</v>
          </cell>
          <cell r="J1633" t="str">
            <v>Fedex</v>
          </cell>
          <cell r="K1633" t="str">
            <v>VVMV</v>
          </cell>
          <cell r="L1633" t="str">
            <v>US</v>
          </cell>
          <cell r="M1633">
            <v>46163</v>
          </cell>
          <cell r="N1633">
            <v>46175</v>
          </cell>
          <cell r="O1633">
            <v>46175</v>
          </cell>
          <cell r="P1633">
            <v>108288062740</v>
          </cell>
          <cell r="Q1633">
            <v>46170</v>
          </cell>
          <cell r="R1633" t="str">
            <v>No inspection</v>
          </cell>
          <cell r="S1633">
            <v>23816</v>
          </cell>
          <cell r="T1633" t="str">
            <v>CIF</v>
          </cell>
          <cell r="U1633" t="str">
            <v>PUR</v>
          </cell>
        </row>
        <row r="1634">
          <cell r="D1634">
            <v>176.4</v>
          </cell>
          <cell r="F1634" t="str">
            <v>HKHPG2605166</v>
          </cell>
          <cell r="G1634" t="str">
            <v>COMPEQ MANUFACTURING (HUIZHOU) CO., LTD.
C/O:FOK HEI HOLDING CO.,LTD</v>
          </cell>
          <cell r="H1634" t="str">
            <v>Delivered</v>
          </cell>
          <cell r="I1634" t="str">
            <v xml:space="preserve">PCB </v>
          </cell>
          <cell r="J1634" t="str">
            <v>VVMV(sea)</v>
          </cell>
          <cell r="K1634" t="str">
            <v>VVMV</v>
          </cell>
          <cell r="L1634" t="str">
            <v>HK</v>
          </cell>
          <cell r="M1634">
            <v>46168</v>
          </cell>
          <cell r="N1634">
            <v>46175</v>
          </cell>
          <cell r="O1634">
            <v>46175</v>
          </cell>
          <cell r="P1634">
            <v>108289740310</v>
          </cell>
          <cell r="Q1634">
            <v>46171</v>
          </cell>
          <cell r="R1634" t="str">
            <v>No inspection</v>
          </cell>
          <cell r="S1634">
            <v>118435.2</v>
          </cell>
          <cell r="T1634" t="str">
            <v>FOB</v>
          </cell>
          <cell r="U1634" t="str">
            <v>PUR</v>
          </cell>
        </row>
        <row r="1635">
          <cell r="D1635">
            <v>633.55600000000004</v>
          </cell>
          <cell r="F1635" t="str">
            <v>PSHPH2650109</v>
          </cell>
          <cell r="G1635" t="str">
            <v>COMPEQ MANUFACTURING CO., LTD</v>
          </cell>
          <cell r="H1635" t="str">
            <v>Delivered</v>
          </cell>
          <cell r="I1635" t="str">
            <v>PCB , 	PCB</v>
          </cell>
          <cell r="J1635" t="str">
            <v>VVMV(sea)</v>
          </cell>
          <cell r="K1635" t="str">
            <v>VVMV</v>
          </cell>
          <cell r="L1635" t="str">
            <v>TW</v>
          </cell>
          <cell r="M1635">
            <v>46167</v>
          </cell>
          <cell r="N1635">
            <v>46175</v>
          </cell>
          <cell r="O1635">
            <v>46175</v>
          </cell>
          <cell r="P1635">
            <v>108290351040</v>
          </cell>
          <cell r="Q1635">
            <v>46171</v>
          </cell>
          <cell r="R1635" t="str">
            <v>No inspection</v>
          </cell>
          <cell r="S1635">
            <v>122058.11</v>
          </cell>
          <cell r="T1635" t="str">
            <v>FOB</v>
          </cell>
          <cell r="U1635" t="str">
            <v>PUR</v>
          </cell>
        </row>
        <row r="1636">
          <cell r="D1636">
            <v>100.5</v>
          </cell>
          <cell r="F1636" t="str">
            <v>PSHPH2650111</v>
          </cell>
          <cell r="G1636" t="str">
            <v>CHIA CHANG CO., LTD</v>
          </cell>
          <cell r="H1636" t="str">
            <v>Delivered</v>
          </cell>
          <cell r="I1636" t="str">
            <v>SHEI</v>
          </cell>
          <cell r="J1636" t="str">
            <v>VVMV(sea)</v>
          </cell>
          <cell r="K1636" t="str">
            <v>VVMV</v>
          </cell>
          <cell r="L1636" t="str">
            <v>TW</v>
          </cell>
          <cell r="M1636">
            <v>46156</v>
          </cell>
          <cell r="N1636">
            <v>46175</v>
          </cell>
          <cell r="O1636">
            <v>46175</v>
          </cell>
          <cell r="P1636">
            <v>108288532660</v>
          </cell>
          <cell r="Q1636">
            <v>46171</v>
          </cell>
          <cell r="R1636" t="str">
            <v>No inspection</v>
          </cell>
          <cell r="S1636">
            <v>2836.4</v>
          </cell>
          <cell r="T1636" t="str">
            <v>EXW</v>
          </cell>
          <cell r="U1636" t="str">
            <v>LUC</v>
          </cell>
        </row>
        <row r="1637">
          <cell r="D1637">
            <v>88.7</v>
          </cell>
          <cell r="F1637">
            <v>527390520469</v>
          </cell>
          <cell r="G1637" t="str">
            <v>Micron Memory Malaysia Sdn. Bh</v>
          </cell>
          <cell r="H1637" t="str">
            <v>Delivered</v>
          </cell>
          <cell r="I1637" t="str">
            <v xml:space="preserve">MEM </v>
          </cell>
          <cell r="J1637" t="str">
            <v>Fedex</v>
          </cell>
          <cell r="K1637" t="str">
            <v>VVMV</v>
          </cell>
          <cell r="L1637" t="str">
            <v>MY</v>
          </cell>
          <cell r="M1637">
            <v>46169</v>
          </cell>
          <cell r="N1637">
            <v>46175</v>
          </cell>
          <cell r="O1637">
            <v>46175</v>
          </cell>
          <cell r="P1637">
            <v>108289607530</v>
          </cell>
          <cell r="Q1637">
            <v>46171</v>
          </cell>
          <cell r="R1637" t="str">
            <v>No inspection</v>
          </cell>
          <cell r="S1637">
            <v>7456050</v>
          </cell>
          <cell r="T1637" t="str">
            <v>CIF</v>
          </cell>
          <cell r="U1637" t="str">
            <v>PUR</v>
          </cell>
        </row>
        <row r="1638">
          <cell r="D1638">
            <v>2.4</v>
          </cell>
          <cell r="F1638">
            <v>872208878165</v>
          </cell>
          <cell r="G1638" t="str">
            <v>BRAIN POWER</v>
          </cell>
          <cell r="H1638" t="str">
            <v>Delivered</v>
          </cell>
          <cell r="I1638" t="str">
            <v xml:space="preserve">PCB </v>
          </cell>
          <cell r="J1638" t="str">
            <v>Fedex</v>
          </cell>
          <cell r="K1638" t="str">
            <v>VVMV</v>
          </cell>
          <cell r="L1638" t="str">
            <v>HK</v>
          </cell>
          <cell r="M1638">
            <v>46168</v>
          </cell>
          <cell r="N1638">
            <v>46175</v>
          </cell>
          <cell r="O1638">
            <v>46175</v>
          </cell>
          <cell r="P1638">
            <v>108287540060</v>
          </cell>
          <cell r="Q1638">
            <v>46170</v>
          </cell>
          <cell r="R1638" t="str">
            <v>No inspection</v>
          </cell>
          <cell r="S1638">
            <v>1785</v>
          </cell>
          <cell r="T1638" t="str">
            <v>EXW</v>
          </cell>
          <cell r="U1638">
            <v>141</v>
          </cell>
        </row>
        <row r="1639">
          <cell r="D1639">
            <v>0.3</v>
          </cell>
          <cell r="F1639">
            <v>872167182452</v>
          </cell>
          <cell r="G1639" t="str">
            <v>M&amp;Partners CO ., LTD (Suntsu Agent)</v>
          </cell>
          <cell r="H1639" t="str">
            <v>Delivered</v>
          </cell>
          <cell r="I1639" t="str">
            <v xml:space="preserve">OSC </v>
          </cell>
          <cell r="J1639" t="str">
            <v>Fedex</v>
          </cell>
          <cell r="K1639" t="str">
            <v>VVMV</v>
          </cell>
          <cell r="L1639" t="str">
            <v>KR</v>
          </cell>
          <cell r="M1639">
            <v>46168</v>
          </cell>
          <cell r="N1639">
            <v>46175</v>
          </cell>
          <cell r="O1639">
            <v>46175</v>
          </cell>
          <cell r="P1639">
            <v>108288041630</v>
          </cell>
          <cell r="Q1639">
            <v>46170</v>
          </cell>
          <cell r="R1639" t="str">
            <v>No inspection</v>
          </cell>
          <cell r="S1639">
            <v>4320</v>
          </cell>
          <cell r="T1639" t="str">
            <v>CIF</v>
          </cell>
          <cell r="U1639" t="str">
            <v>EF-</v>
          </cell>
        </row>
        <row r="1640">
          <cell r="D1640">
            <v>33</v>
          </cell>
          <cell r="F1640">
            <v>381459220583</v>
          </cell>
          <cell r="G1640" t="str">
            <v>ROSENBERGER HOCHFREQUENZTECHNIK</v>
          </cell>
          <cell r="H1640" t="str">
            <v>Delivered</v>
          </cell>
          <cell r="J1640" t="str">
            <v>Fedex</v>
          </cell>
          <cell r="K1640" t="str">
            <v>VVMV</v>
          </cell>
          <cell r="L1640" t="str">
            <v>DE</v>
          </cell>
          <cell r="N1640">
            <v>46185</v>
          </cell>
          <cell r="O1640">
            <v>46185</v>
          </cell>
          <cell r="P1640">
            <v>108328575350</v>
          </cell>
          <cell r="Q1640">
            <v>46301.711157407408</v>
          </cell>
          <cell r="R1640" t="str">
            <v>No inspection</v>
          </cell>
          <cell r="S1640">
            <v>4548.78</v>
          </cell>
          <cell r="T1640" t="str">
            <v>CIF</v>
          </cell>
        </row>
        <row r="1641">
          <cell r="D1641">
            <v>3.1</v>
          </cell>
          <cell r="F1641">
            <v>872177506511</v>
          </cell>
          <cell r="G1641" t="str">
            <v>SUNLORD ELECTRONICS TECHNOLOGY PTE</v>
          </cell>
          <cell r="H1641" t="str">
            <v>Delivered</v>
          </cell>
          <cell r="I1641" t="str">
            <v xml:space="preserve">RES </v>
          </cell>
          <cell r="J1641" t="str">
            <v>Fedex</v>
          </cell>
          <cell r="K1641" t="str">
            <v>VVMV</v>
          </cell>
          <cell r="L1641" t="str">
            <v>SG</v>
          </cell>
          <cell r="M1641">
            <v>46167</v>
          </cell>
          <cell r="N1641">
            <v>46175</v>
          </cell>
          <cell r="O1641">
            <v>46176</v>
          </cell>
          <cell r="P1641">
            <v>108287496330</v>
          </cell>
          <cell r="Q1641">
            <v>46170</v>
          </cell>
          <cell r="R1641" t="str">
            <v>No inspection</v>
          </cell>
          <cell r="S1641">
            <v>1379.25</v>
          </cell>
          <cell r="T1641" t="str">
            <v>EXW</v>
          </cell>
          <cell r="U1641" t="str">
            <v>HLO</v>
          </cell>
        </row>
        <row r="1642">
          <cell r="D1642">
            <v>9</v>
          </cell>
          <cell r="F1642">
            <v>872204578996</v>
          </cell>
          <cell r="G1642" t="str">
            <v>ARROW ELECTRONICS ASIA (S) PTE LTD
C/O ARROW COMPONENTS (M) SDN BHD</v>
          </cell>
          <cell r="H1642" t="str">
            <v>Delivered</v>
          </cell>
          <cell r="I1642" t="str">
            <v>RES , TRAN, IC E, CAP , IC S, SERI</v>
          </cell>
          <cell r="J1642" t="str">
            <v>Fedex</v>
          </cell>
          <cell r="K1642" t="str">
            <v>VVMV</v>
          </cell>
          <cell r="L1642" t="str">
            <v>MY</v>
          </cell>
          <cell r="M1642">
            <v>46156</v>
          </cell>
          <cell r="N1642">
            <v>46175</v>
          </cell>
          <cell r="O1642">
            <v>46175</v>
          </cell>
          <cell r="P1642">
            <v>108287997900</v>
          </cell>
          <cell r="Q1642">
            <v>46170</v>
          </cell>
          <cell r="R1642" t="str">
            <v>No inspection</v>
          </cell>
          <cell r="S1642">
            <v>25141.26</v>
          </cell>
          <cell r="T1642" t="str">
            <v>EXW</v>
          </cell>
          <cell r="U1642" t="str">
            <v>LUC</v>
          </cell>
        </row>
        <row r="1643">
          <cell r="D1643">
            <v>2.7</v>
          </cell>
          <cell r="F1643">
            <v>381600540944</v>
          </cell>
          <cell r="G1643" t="str">
            <v>O/B ANALOG DEVICES INTERNATIONAL UC
DHL SUPPLY CHAIN MANAGEMENT PHILS</v>
          </cell>
          <cell r="H1643" t="str">
            <v>Delivered</v>
          </cell>
          <cell r="I1643" t="str">
            <v>IC O</v>
          </cell>
          <cell r="J1643" t="str">
            <v>Fedex</v>
          </cell>
          <cell r="K1643" t="str">
            <v>VVMV</v>
          </cell>
          <cell r="L1643" t="str">
            <v>PH</v>
          </cell>
          <cell r="M1643">
            <v>46168</v>
          </cell>
          <cell r="N1643">
            <v>46175</v>
          </cell>
          <cell r="O1643">
            <v>46175</v>
          </cell>
          <cell r="P1643">
            <v>108287392510</v>
          </cell>
          <cell r="Q1643">
            <v>46170</v>
          </cell>
          <cell r="R1643" t="str">
            <v>No inspection</v>
          </cell>
          <cell r="S1643">
            <v>7716</v>
          </cell>
          <cell r="T1643" t="str">
            <v>EXW</v>
          </cell>
          <cell r="U1643" t="str">
            <v>EF-</v>
          </cell>
        </row>
        <row r="1644">
          <cell r="D1644">
            <v>9.4</v>
          </cell>
          <cell r="F1644">
            <v>527390496666</v>
          </cell>
          <cell r="G1644" t="str">
            <v>Micron Memory Malaysia Sdn. Bh</v>
          </cell>
          <cell r="H1644" t="str">
            <v>Delivered</v>
          </cell>
          <cell r="I1644" t="str">
            <v xml:space="preserve">MEM </v>
          </cell>
          <cell r="J1644" t="str">
            <v>Fedex</v>
          </cell>
          <cell r="K1644" t="str">
            <v>VVMV</v>
          </cell>
          <cell r="L1644" t="str">
            <v>MY</v>
          </cell>
          <cell r="M1644">
            <v>46168</v>
          </cell>
          <cell r="N1644">
            <v>46175</v>
          </cell>
          <cell r="O1644">
            <v>46175</v>
          </cell>
          <cell r="P1644">
            <v>108288020040</v>
          </cell>
          <cell r="Q1644">
            <v>46170</v>
          </cell>
          <cell r="R1644" t="str">
            <v>No inspection</v>
          </cell>
          <cell r="S1644">
            <v>431280</v>
          </cell>
          <cell r="T1644" t="str">
            <v>CIF</v>
          </cell>
          <cell r="U1644" t="str">
            <v>PUR</v>
          </cell>
        </row>
        <row r="1645">
          <cell r="D1645">
            <v>10.3</v>
          </cell>
          <cell r="F1645">
            <v>409298923568</v>
          </cell>
          <cell r="G1645" t="str">
            <v>TTI ELECTRONICS ASIA PTE LTD</v>
          </cell>
          <cell r="H1645" t="str">
            <v>Delivered</v>
          </cell>
          <cell r="I1645" t="str">
            <v>IND , CAP , RES , 	CAP</v>
          </cell>
          <cell r="J1645" t="str">
            <v>Fedex</v>
          </cell>
          <cell r="K1645" t="str">
            <v>VVMV</v>
          </cell>
          <cell r="L1645" t="str">
            <v>SG</v>
          </cell>
          <cell r="M1645">
            <v>46167</v>
          </cell>
          <cell r="N1645">
            <v>46175</v>
          </cell>
          <cell r="O1645">
            <v>46175</v>
          </cell>
          <cell r="P1645">
            <v>108288030100</v>
          </cell>
          <cell r="Q1645">
            <v>46170</v>
          </cell>
          <cell r="R1645" t="str">
            <v>No inspection</v>
          </cell>
          <cell r="S1645">
            <v>6045</v>
          </cell>
          <cell r="T1645" t="str">
            <v>EXW</v>
          </cell>
          <cell r="U1645" t="str">
            <v>LUC</v>
          </cell>
        </row>
        <row r="1646">
          <cell r="D1646">
            <v>3.2</v>
          </cell>
          <cell r="F1646">
            <v>872180293048</v>
          </cell>
          <cell r="G1646" t="str">
            <v>KEL CORPORATION</v>
          </cell>
          <cell r="H1646" t="str">
            <v>Delivered</v>
          </cell>
          <cell r="I1646" t="str">
            <v>CONN</v>
          </cell>
          <cell r="J1646" t="str">
            <v>Fedex</v>
          </cell>
          <cell r="K1646" t="str">
            <v>VVMV</v>
          </cell>
          <cell r="L1646" t="str">
            <v>JP</v>
          </cell>
          <cell r="M1646">
            <v>46167</v>
          </cell>
          <cell r="N1646">
            <v>46175</v>
          </cell>
          <cell r="O1646">
            <v>46175</v>
          </cell>
          <cell r="P1646">
            <v>108287560250</v>
          </cell>
          <cell r="Q1646">
            <v>46170</v>
          </cell>
          <cell r="R1646" t="str">
            <v>No inspection</v>
          </cell>
          <cell r="S1646">
            <v>1440</v>
          </cell>
          <cell r="T1646" t="str">
            <v>EXW</v>
          </cell>
          <cell r="U1646" t="str">
            <v>EF-</v>
          </cell>
        </row>
        <row r="1647">
          <cell r="D1647">
            <v>0.2</v>
          </cell>
          <cell r="F1647">
            <v>526910755792</v>
          </cell>
          <cell r="G1647" t="str">
            <v>ARROW ELECTRONICS, INC.</v>
          </cell>
          <cell r="H1647" t="str">
            <v>Delivered</v>
          </cell>
          <cell r="I1647" t="str">
            <v>DIOD</v>
          </cell>
          <cell r="J1647" t="str">
            <v>Fedex</v>
          </cell>
          <cell r="K1647" t="str">
            <v>VVMV</v>
          </cell>
          <cell r="L1647" t="str">
            <v>HK</v>
          </cell>
          <cell r="M1647">
            <v>46168</v>
          </cell>
          <cell r="N1647">
            <v>46175</v>
          </cell>
          <cell r="O1647">
            <v>46175</v>
          </cell>
          <cell r="P1647">
            <v>108288042660</v>
          </cell>
          <cell r="Q1647">
            <v>46170</v>
          </cell>
          <cell r="R1647" t="str">
            <v>No inspection</v>
          </cell>
          <cell r="S1647">
            <v>65.23</v>
          </cell>
          <cell r="T1647" t="str">
            <v>CIF</v>
          </cell>
          <cell r="U1647" t="str">
            <v>PUR</v>
          </cell>
        </row>
        <row r="1648">
          <cell r="D1648">
            <v>29.4</v>
          </cell>
          <cell r="F1648">
            <v>518337606988</v>
          </cell>
          <cell r="G1648" t="str">
            <v>MICROCHIP TECHNOLOGY OPS PHIL CORP</v>
          </cell>
          <cell r="H1648" t="str">
            <v>Delivered</v>
          </cell>
          <cell r="I1648" t="str">
            <v>IC E</v>
          </cell>
          <cell r="J1648" t="str">
            <v>Fedex</v>
          </cell>
          <cell r="K1648" t="str">
            <v>VVMV</v>
          </cell>
          <cell r="L1648" t="str">
            <v>PH</v>
          </cell>
          <cell r="M1648">
            <v>46199</v>
          </cell>
          <cell r="N1648">
            <v>46175</v>
          </cell>
          <cell r="O1648">
            <v>46175</v>
          </cell>
          <cell r="P1648">
            <v>108287600740</v>
          </cell>
          <cell r="Q1648">
            <v>46170</v>
          </cell>
          <cell r="R1648" t="str">
            <v>No inspection</v>
          </cell>
          <cell r="S1648">
            <v>228690</v>
          </cell>
          <cell r="T1648" t="str">
            <v>EXW</v>
          </cell>
          <cell r="U1648" t="str">
            <v>PUR</v>
          </cell>
        </row>
        <row r="1649">
          <cell r="D1649">
            <v>4.3</v>
          </cell>
          <cell r="F1649">
            <v>488289385820</v>
          </cell>
          <cell r="G1649" t="str">
            <v>ARROW VERICAL</v>
          </cell>
          <cell r="H1649" t="str">
            <v>Delivered</v>
          </cell>
          <cell r="I1649" t="str">
            <v>CONN</v>
          </cell>
          <cell r="J1649" t="str">
            <v>Fedex</v>
          </cell>
          <cell r="K1649" t="str">
            <v>VVMV</v>
          </cell>
          <cell r="L1649" t="str">
            <v>US</v>
          </cell>
          <cell r="M1649">
            <v>46164</v>
          </cell>
          <cell r="N1649">
            <v>46175</v>
          </cell>
          <cell r="O1649">
            <v>46175</v>
          </cell>
          <cell r="P1649">
            <v>108291010920</v>
          </cell>
          <cell r="Q1649">
            <v>46171</v>
          </cell>
          <cell r="R1649" t="str">
            <v>No inspection</v>
          </cell>
          <cell r="S1649">
            <v>2006</v>
          </cell>
          <cell r="T1649" t="str">
            <v>DAP</v>
          </cell>
          <cell r="U1649" t="str">
            <v>FMC</v>
          </cell>
        </row>
        <row r="1650">
          <cell r="D1650">
            <v>6.6</v>
          </cell>
          <cell r="F1650">
            <v>527158954183</v>
          </cell>
          <cell r="G1650" t="str">
            <v>ARROW ELECTRONICS, INC.</v>
          </cell>
          <cell r="H1650" t="str">
            <v>Delivered</v>
          </cell>
          <cell r="I1650" t="str">
            <v>IC F</v>
          </cell>
          <cell r="J1650" t="str">
            <v>Fedex</v>
          </cell>
          <cell r="K1650" t="str">
            <v>VVMV</v>
          </cell>
          <cell r="L1650" t="str">
            <v>US</v>
          </cell>
          <cell r="M1650">
            <v>46168</v>
          </cell>
          <cell r="N1650">
            <v>46175</v>
          </cell>
          <cell r="O1650">
            <v>46176</v>
          </cell>
          <cell r="P1650">
            <v>108291119900</v>
          </cell>
          <cell r="Q1650">
            <v>46171</v>
          </cell>
          <cell r="R1650" t="str">
            <v>No inspection</v>
          </cell>
          <cell r="S1650">
            <v>5733.6</v>
          </cell>
          <cell r="T1650" t="str">
            <v>CIF</v>
          </cell>
          <cell r="U1650" t="str">
            <v>PUR</v>
          </cell>
        </row>
        <row r="1651">
          <cell r="D1651">
            <v>8.1999999999999993</v>
          </cell>
          <cell r="F1651">
            <v>527557160332</v>
          </cell>
          <cell r="G1651" t="str">
            <v>DIGI-KEY ELECTRONICS</v>
          </cell>
          <cell r="H1651" t="str">
            <v>Delivered</v>
          </cell>
          <cell r="I1651" t="str">
            <v xml:space="preserve">TRAN, IND , IC V, CAP , RES </v>
          </cell>
          <cell r="J1651" t="str">
            <v>Fedex</v>
          </cell>
          <cell r="K1651" t="str">
            <v>VVMV</v>
          </cell>
          <cell r="L1651" t="str">
            <v>US</v>
          </cell>
          <cell r="M1651">
            <v>46167</v>
          </cell>
          <cell r="N1651">
            <v>46176</v>
          </cell>
          <cell r="O1651">
            <v>46177</v>
          </cell>
          <cell r="P1651">
            <v>108300854540</v>
          </cell>
          <cell r="Q1651">
            <v>46175</v>
          </cell>
          <cell r="R1651" t="str">
            <v>No inspection</v>
          </cell>
          <cell r="S1651">
            <v>10029.530000000001</v>
          </cell>
          <cell r="T1651" t="str">
            <v>CIF</v>
          </cell>
          <cell r="U1651" t="str">
            <v>EF-</v>
          </cell>
        </row>
        <row r="1652">
          <cell r="D1652">
            <v>0.9</v>
          </cell>
          <cell r="F1652">
            <v>500292632609</v>
          </cell>
          <cell r="G1652" t="str">
            <v>ARROW COMPONENTS MEXICO SA De CV</v>
          </cell>
          <cell r="H1652" t="str">
            <v>Delivered</v>
          </cell>
          <cell r="I1652" t="str">
            <v>IC L</v>
          </cell>
          <cell r="J1652" t="str">
            <v>Fedex</v>
          </cell>
          <cell r="K1652" t="str">
            <v>VVMV</v>
          </cell>
          <cell r="L1652" t="str">
            <v>MX</v>
          </cell>
          <cell r="M1652">
            <v>46150</v>
          </cell>
          <cell r="N1652">
            <v>46176</v>
          </cell>
          <cell r="O1652">
            <v>46177</v>
          </cell>
          <cell r="P1652">
            <v>108301736800</v>
          </cell>
          <cell r="Q1652">
            <v>46175</v>
          </cell>
          <cell r="R1652" t="str">
            <v>No inspection</v>
          </cell>
          <cell r="S1652">
            <v>8365</v>
          </cell>
          <cell r="T1652" t="str">
            <v>CIF</v>
          </cell>
          <cell r="U1652" t="str">
            <v>EF-</v>
          </cell>
        </row>
        <row r="1653">
          <cell r="D1653">
            <v>0.5</v>
          </cell>
          <cell r="F1653">
            <v>500292670780</v>
          </cell>
          <cell r="G1653" t="str">
            <v>ARROW COMPONENTS MEXICO SA De CV</v>
          </cell>
          <cell r="H1653" t="str">
            <v>Delivered</v>
          </cell>
          <cell r="I1653" t="str">
            <v>IC S</v>
          </cell>
          <cell r="J1653" t="str">
            <v>Fedex</v>
          </cell>
          <cell r="K1653" t="str">
            <v>VVMV</v>
          </cell>
          <cell r="L1653" t="str">
            <v>MX</v>
          </cell>
          <cell r="M1653">
            <v>46167</v>
          </cell>
          <cell r="N1653">
            <v>46175</v>
          </cell>
          <cell r="O1653">
            <v>46175</v>
          </cell>
          <cell r="P1653">
            <v>108291238900</v>
          </cell>
          <cell r="Q1653">
            <v>46171</v>
          </cell>
          <cell r="R1653" t="str">
            <v>No inspection</v>
          </cell>
          <cell r="S1653">
            <v>63.9</v>
          </cell>
          <cell r="T1653" t="str">
            <v>CIF</v>
          </cell>
          <cell r="U1653" t="str">
            <v>EF-</v>
          </cell>
        </row>
        <row r="1654">
          <cell r="D1654">
            <v>54.3</v>
          </cell>
          <cell r="F1654">
            <v>872219166799</v>
          </cell>
          <cell r="G1654" t="str">
            <v>WHITE HORSE LABORATORIES LTD</v>
          </cell>
          <cell r="H1654" t="str">
            <v>Delivered</v>
          </cell>
          <cell r="I1654" t="str">
            <v>IC F</v>
          </cell>
          <cell r="J1654" t="str">
            <v>Fedex</v>
          </cell>
          <cell r="K1654" t="str">
            <v>VVMV</v>
          </cell>
          <cell r="L1654" t="str">
            <v>HK</v>
          </cell>
          <cell r="M1654">
            <v>46168</v>
          </cell>
          <cell r="N1654">
            <v>46177</v>
          </cell>
          <cell r="O1654">
            <v>46178</v>
          </cell>
          <cell r="P1654">
            <v>108302854810</v>
          </cell>
          <cell r="Q1654">
            <v>46176</v>
          </cell>
          <cell r="R1654" t="str">
            <v>No inspection</v>
          </cell>
          <cell r="S1654">
            <v>178875.84</v>
          </cell>
          <cell r="T1654" t="str">
            <v>CIF</v>
          </cell>
          <cell r="U1654" t="str">
            <v>EF-</v>
          </cell>
        </row>
        <row r="1655">
          <cell r="D1655">
            <v>0.5</v>
          </cell>
          <cell r="F1655">
            <v>500292664020</v>
          </cell>
          <cell r="G1655" t="str">
            <v>ARROW COMPONENTS MEXICO SA De CV</v>
          </cell>
          <cell r="H1655" t="str">
            <v>Delivered</v>
          </cell>
          <cell r="I1655" t="str">
            <v>DIOD</v>
          </cell>
          <cell r="J1655" t="str">
            <v>Fedex</v>
          </cell>
          <cell r="K1655" t="str">
            <v>VVMV</v>
          </cell>
          <cell r="L1655" t="str">
            <v>MX</v>
          </cell>
          <cell r="M1655">
            <v>46163</v>
          </cell>
          <cell r="N1655">
            <v>46175</v>
          </cell>
          <cell r="O1655">
            <v>46175</v>
          </cell>
          <cell r="P1655">
            <v>108291373300</v>
          </cell>
          <cell r="Q1655">
            <v>46171</v>
          </cell>
          <cell r="R1655" t="str">
            <v>No inspection</v>
          </cell>
          <cell r="S1655">
            <v>145.5</v>
          </cell>
          <cell r="T1655" t="str">
            <v>CIF</v>
          </cell>
          <cell r="U1655" t="str">
            <v>HLO</v>
          </cell>
        </row>
        <row r="1656">
          <cell r="D1656">
            <v>2.2000000000000002</v>
          </cell>
          <cell r="F1656">
            <v>872210066814</v>
          </cell>
          <cell r="G1656" t="str">
            <v>AIC INC</v>
          </cell>
          <cell r="H1656" t="str">
            <v>Delivered</v>
          </cell>
          <cell r="I1656" t="str">
            <v>IC L</v>
          </cell>
          <cell r="J1656" t="str">
            <v>Fedex</v>
          </cell>
          <cell r="K1656" t="str">
            <v>VVMV</v>
          </cell>
          <cell r="L1656" t="str">
            <v>TW</v>
          </cell>
          <cell r="M1656">
            <v>46168</v>
          </cell>
          <cell r="N1656">
            <v>46175</v>
          </cell>
          <cell r="O1656">
            <v>46175</v>
          </cell>
          <cell r="P1656">
            <v>108291286130</v>
          </cell>
          <cell r="Q1656">
            <v>46171</v>
          </cell>
          <cell r="R1656" t="str">
            <v>No inspection</v>
          </cell>
          <cell r="S1656">
            <v>4258.16</v>
          </cell>
          <cell r="T1656" t="str">
            <v>EXW</v>
          </cell>
          <cell r="U1656" t="str">
            <v>AIC</v>
          </cell>
        </row>
        <row r="1657">
          <cell r="D1657">
            <v>27.5</v>
          </cell>
          <cell r="F1657">
            <v>872212668459</v>
          </cell>
          <cell r="G1657" t="str">
            <v>TECHFORD INT LTD</v>
          </cell>
          <cell r="H1657" t="str">
            <v>Delivered</v>
          </cell>
          <cell r="I1657" t="str">
            <v>MECH</v>
          </cell>
          <cell r="J1657" t="str">
            <v>Fedex</v>
          </cell>
          <cell r="K1657" t="str">
            <v>VVMV</v>
          </cell>
          <cell r="L1657" t="str">
            <v>HK</v>
          </cell>
          <cell r="M1657">
            <v>46169</v>
          </cell>
          <cell r="N1657">
            <v>46175</v>
          </cell>
          <cell r="O1657">
            <v>46175</v>
          </cell>
          <cell r="P1657">
            <v>108291605440</v>
          </cell>
          <cell r="Q1657">
            <v>46171</v>
          </cell>
          <cell r="R1657" t="str">
            <v>No inspection</v>
          </cell>
          <cell r="S1657">
            <v>8555</v>
          </cell>
          <cell r="T1657" t="str">
            <v>EXW</v>
          </cell>
          <cell r="U1657" t="str">
            <v>PUR</v>
          </cell>
        </row>
        <row r="1658">
          <cell r="D1658">
            <v>7.2</v>
          </cell>
          <cell r="F1658">
            <v>872210635650</v>
          </cell>
          <cell r="G1658" t="str">
            <v>STEADFAST INDUSTRIAL PTE LTD</v>
          </cell>
          <cell r="H1658" t="str">
            <v>Delivered</v>
          </cell>
          <cell r="I1658" t="str">
            <v>STAN</v>
          </cell>
          <cell r="J1658" t="str">
            <v>Fedex</v>
          </cell>
          <cell r="K1658" t="str">
            <v>VVMV</v>
          </cell>
          <cell r="L1658" t="str">
            <v>SG</v>
          </cell>
          <cell r="M1658">
            <v>46168</v>
          </cell>
          <cell r="N1658">
            <v>46175</v>
          </cell>
          <cell r="O1658">
            <v>46175</v>
          </cell>
          <cell r="P1658">
            <v>108291445730</v>
          </cell>
          <cell r="Q1658">
            <v>46171</v>
          </cell>
          <cell r="R1658" t="str">
            <v>No inspection</v>
          </cell>
          <cell r="S1658">
            <v>288</v>
          </cell>
          <cell r="T1658" t="str">
            <v>EXW</v>
          </cell>
          <cell r="U1658" t="str">
            <v>PUR</v>
          </cell>
        </row>
        <row r="1659">
          <cell r="D1659">
            <v>16</v>
          </cell>
          <cell r="F1659">
            <v>872184919606</v>
          </cell>
          <cell r="G1659" t="str">
            <v>WT MICROELECTRONICS CO., LTD</v>
          </cell>
          <cell r="H1659" t="str">
            <v>Delivered</v>
          </cell>
          <cell r="I1659" t="str">
            <v xml:space="preserve">TRAN, CAP , RES </v>
          </cell>
          <cell r="J1659" t="str">
            <v>Fedex</v>
          </cell>
          <cell r="K1659" t="str">
            <v>VVMV</v>
          </cell>
          <cell r="L1659" t="str">
            <v>SG</v>
          </cell>
          <cell r="M1659">
            <v>46167</v>
          </cell>
          <cell r="N1659">
            <v>46175</v>
          </cell>
          <cell r="O1659">
            <v>46176</v>
          </cell>
          <cell r="P1659">
            <v>108290773510</v>
          </cell>
          <cell r="Q1659">
            <v>46171</v>
          </cell>
          <cell r="R1659" t="str">
            <v>No inspection</v>
          </cell>
          <cell r="S1659">
            <v>9217.44</v>
          </cell>
          <cell r="T1659" t="str">
            <v>EXW</v>
          </cell>
          <cell r="U1659" t="str">
            <v>HLO</v>
          </cell>
        </row>
        <row r="1660">
          <cell r="D1660">
            <v>7.4</v>
          </cell>
          <cell r="F1660">
            <v>872201755226</v>
          </cell>
          <cell r="G1660" t="str">
            <v>COMPEQ MANUFACTURING CO.,LTD</v>
          </cell>
          <cell r="H1660" t="str">
            <v>Delivered</v>
          </cell>
          <cell r="I1660" t="str">
            <v xml:space="preserve">PCB </v>
          </cell>
          <cell r="J1660" t="str">
            <v>Fedex</v>
          </cell>
          <cell r="K1660" t="str">
            <v>VVMV</v>
          </cell>
          <cell r="L1660" t="str">
            <v>TW</v>
          </cell>
          <cell r="M1660">
            <v>46168</v>
          </cell>
          <cell r="N1660">
            <v>46177</v>
          </cell>
          <cell r="O1660">
            <v>46178</v>
          </cell>
          <cell r="P1660">
            <v>108303401400</v>
          </cell>
          <cell r="Q1660">
            <v>46176</v>
          </cell>
          <cell r="R1660" t="str">
            <v>No inspection</v>
          </cell>
          <cell r="S1660">
            <v>2016</v>
          </cell>
          <cell r="T1660" t="str">
            <v>CIF</v>
          </cell>
          <cell r="U1660" t="str">
            <v>PUR</v>
          </cell>
        </row>
        <row r="1661">
          <cell r="D1661">
            <v>5</v>
          </cell>
          <cell r="F1661">
            <v>872319401976</v>
          </cell>
          <cell r="G1661" t="str">
            <v>THine Electronics, Inc.</v>
          </cell>
          <cell r="H1661" t="str">
            <v>Delivered</v>
          </cell>
          <cell r="I1661" t="str">
            <v>IC T, ICTH</v>
          </cell>
          <cell r="J1661" t="str">
            <v>Fedex</v>
          </cell>
          <cell r="K1661" t="str">
            <v>VVMV</v>
          </cell>
          <cell r="L1661" t="str">
            <v>JP</v>
          </cell>
          <cell r="M1661">
            <v>46170</v>
          </cell>
          <cell r="N1661">
            <v>46177</v>
          </cell>
          <cell r="O1661">
            <v>46178</v>
          </cell>
          <cell r="P1661">
            <v>108304141520</v>
          </cell>
          <cell r="Q1661">
            <v>46176</v>
          </cell>
          <cell r="R1661" t="str">
            <v>No inspection</v>
          </cell>
          <cell r="S1661">
            <v>28165.84</v>
          </cell>
          <cell r="T1661" t="str">
            <v>CIF</v>
          </cell>
          <cell r="U1661" t="str">
            <v>EF-</v>
          </cell>
        </row>
        <row r="1662">
          <cell r="D1662">
            <v>3.4</v>
          </cell>
          <cell r="F1662">
            <v>871782346380</v>
          </cell>
          <cell r="G1662" t="str">
            <v>ARROW ASIA PAC LIMITED
C/O ARROW COMPONENTS (M) SDN BHD</v>
          </cell>
          <cell r="H1662" t="str">
            <v>Delivered</v>
          </cell>
          <cell r="I1662" t="str">
            <v>IC V</v>
          </cell>
          <cell r="J1662" t="str">
            <v>Fedex</v>
          </cell>
          <cell r="K1662" t="str">
            <v>VVMV</v>
          </cell>
          <cell r="L1662" t="str">
            <v>MY</v>
          </cell>
          <cell r="M1662">
            <v>46156</v>
          </cell>
          <cell r="N1662">
            <v>46177</v>
          </cell>
          <cell r="O1662">
            <v>46177</v>
          </cell>
          <cell r="P1662">
            <v>108301247020</v>
          </cell>
          <cell r="Q1662">
            <v>46175</v>
          </cell>
          <cell r="R1662" t="str">
            <v>No inspection</v>
          </cell>
          <cell r="S1662">
            <v>1863.51</v>
          </cell>
          <cell r="T1662" t="str">
            <v>CIF</v>
          </cell>
          <cell r="U1662" t="str">
            <v>PUR</v>
          </cell>
        </row>
        <row r="1663">
          <cell r="D1663">
            <v>502.1</v>
          </cell>
          <cell r="F1663">
            <v>2089241604</v>
          </cell>
          <cell r="G1663" t="str">
            <v>AVNET- CHANDLER</v>
          </cell>
          <cell r="H1663" t="str">
            <v>Delivered</v>
          </cell>
          <cell r="I1663" t="str">
            <v>CAP , DIOD, FERR, RES , IND , TRAN, CRYS, IC P, CMC , IC M, TIME, FILT, CONN, IC D, IC C, IC L, COMM, IC S, IC F, IC A</v>
          </cell>
          <cell r="J1663" t="str">
            <v>DHL</v>
          </cell>
          <cell r="K1663" t="str">
            <v>VVMV</v>
          </cell>
          <cell r="L1663" t="str">
            <v>US</v>
          </cell>
          <cell r="M1663">
            <v>46170</v>
          </cell>
          <cell r="N1663">
            <v>46176</v>
          </cell>
          <cell r="O1663">
            <v>46176</v>
          </cell>
          <cell r="P1663" t="str">
            <v>108302265960
108302309510
108302340750
108302341930
108302344140</v>
          </cell>
          <cell r="Q1663">
            <v>46175</v>
          </cell>
          <cell r="R1663" t="str">
            <v>No inspection</v>
          </cell>
          <cell r="S1663">
            <v>494790.21</v>
          </cell>
          <cell r="T1663" t="str">
            <v>CIF</v>
          </cell>
          <cell r="U1663" t="str">
            <v>LUC</v>
          </cell>
        </row>
        <row r="1664">
          <cell r="D1664">
            <v>0.5</v>
          </cell>
          <cell r="F1664">
            <v>381335227154</v>
          </cell>
          <cell r="G1664" t="str">
            <v>O/B ANALOG DEVICES INTERNATIONAL UC
DHL SUPPLY CHAIN MANAGEMENT PHILS</v>
          </cell>
          <cell r="H1664" t="str">
            <v>Delivered</v>
          </cell>
          <cell r="I1664" t="str">
            <v>IC F</v>
          </cell>
          <cell r="J1664" t="str">
            <v>Fedex</v>
          </cell>
          <cell r="K1664" t="str">
            <v>VVMV</v>
          </cell>
          <cell r="L1664" t="str">
            <v>PH</v>
          </cell>
          <cell r="M1664">
            <v>46157</v>
          </cell>
          <cell r="N1664">
            <v>46177</v>
          </cell>
          <cell r="O1664">
            <v>46177</v>
          </cell>
          <cell r="P1664">
            <v>108302011200</v>
          </cell>
          <cell r="Q1664">
            <v>46175</v>
          </cell>
          <cell r="R1664" t="str">
            <v>No inspection</v>
          </cell>
          <cell r="S1664">
            <v>1288.56</v>
          </cell>
          <cell r="T1664" t="str">
            <v>EXW</v>
          </cell>
          <cell r="U1664" t="str">
            <v>EF-</v>
          </cell>
        </row>
        <row r="1665">
          <cell r="D1665">
            <v>0.5</v>
          </cell>
          <cell r="F1665">
            <v>492830109728</v>
          </cell>
          <cell r="G1665" t="str">
            <v>ARROW ELECTRONICS, INC.</v>
          </cell>
          <cell r="H1665" t="str">
            <v>Delivered</v>
          </cell>
          <cell r="I1665" t="str">
            <v>TRAN</v>
          </cell>
          <cell r="J1665" t="str">
            <v>Fedex</v>
          </cell>
          <cell r="K1665" t="str">
            <v>VVMV</v>
          </cell>
          <cell r="L1665" t="str">
            <v>US</v>
          </cell>
          <cell r="M1665">
            <v>46156</v>
          </cell>
          <cell r="N1665">
            <v>46176</v>
          </cell>
          <cell r="O1665">
            <v>46177</v>
          </cell>
          <cell r="P1665">
            <v>108301839550</v>
          </cell>
          <cell r="Q1665">
            <v>46175</v>
          </cell>
          <cell r="R1665" t="str">
            <v>No inspection</v>
          </cell>
          <cell r="S1665">
            <v>187.4</v>
          </cell>
          <cell r="T1665" t="str">
            <v>CIF</v>
          </cell>
          <cell r="U1665" t="str">
            <v>LUC</v>
          </cell>
        </row>
        <row r="1666">
          <cell r="D1666">
            <v>1.1000000000000001</v>
          </cell>
          <cell r="F1666">
            <v>489101274940</v>
          </cell>
          <cell r="G1666" t="str">
            <v>ARROW GERMANY C/O Arrow Central Europe</v>
          </cell>
          <cell r="H1666" t="str">
            <v>Delivered</v>
          </cell>
          <cell r="I1666" t="str">
            <v xml:space="preserve">CAP </v>
          </cell>
          <cell r="J1666" t="str">
            <v>Fedex</v>
          </cell>
          <cell r="K1666" t="str">
            <v>VVMV</v>
          </cell>
          <cell r="L1666" t="str">
            <v>NL</v>
          </cell>
          <cell r="M1666">
            <v>46155</v>
          </cell>
          <cell r="N1666">
            <v>46176</v>
          </cell>
          <cell r="O1666">
            <v>46177</v>
          </cell>
          <cell r="P1666">
            <v>108301537410</v>
          </cell>
          <cell r="Q1666">
            <v>46175</v>
          </cell>
          <cell r="R1666" t="str">
            <v>No inspection</v>
          </cell>
          <cell r="S1666">
            <v>57.6</v>
          </cell>
          <cell r="T1666" t="str">
            <v>CIF</v>
          </cell>
          <cell r="U1666" t="str">
            <v>EF-</v>
          </cell>
        </row>
        <row r="1667">
          <cell r="D1667">
            <v>1.9</v>
          </cell>
          <cell r="F1667">
            <v>489101273201</v>
          </cell>
          <cell r="G1667" t="str">
            <v>ARROW GERMANY C/O Arrow Central Europe</v>
          </cell>
          <cell r="H1667" t="str">
            <v>Delivered</v>
          </cell>
          <cell r="I1667" t="str">
            <v>SWIT</v>
          </cell>
          <cell r="J1667" t="str">
            <v>Fedex</v>
          </cell>
          <cell r="K1667" t="str">
            <v>VVMV</v>
          </cell>
          <cell r="L1667" t="str">
            <v>NL</v>
          </cell>
          <cell r="M1667">
            <v>46154</v>
          </cell>
          <cell r="N1667">
            <v>46176</v>
          </cell>
          <cell r="O1667">
            <v>46177</v>
          </cell>
          <cell r="P1667">
            <v>108301883210</v>
          </cell>
          <cell r="Q1667">
            <v>46175</v>
          </cell>
          <cell r="R1667" t="str">
            <v>No inspection</v>
          </cell>
          <cell r="S1667">
            <v>2792.8</v>
          </cell>
          <cell r="T1667" t="str">
            <v>CIF</v>
          </cell>
          <cell r="U1667" t="str">
            <v>FMC</v>
          </cell>
        </row>
        <row r="1668">
          <cell r="D1668">
            <v>1.4</v>
          </cell>
          <cell r="F1668">
            <v>871830794035</v>
          </cell>
          <cell r="G1668" t="str">
            <v>SUNLORD ELECTRONICS TECHNOLOGY PTE</v>
          </cell>
          <cell r="H1668" t="str">
            <v>Delivered</v>
          </cell>
          <cell r="I1668" t="str">
            <v xml:space="preserve">RES </v>
          </cell>
          <cell r="J1668" t="str">
            <v>Fedex</v>
          </cell>
          <cell r="K1668" t="str">
            <v>VVMV</v>
          </cell>
          <cell r="L1668" t="str">
            <v>SG</v>
          </cell>
          <cell r="M1668">
            <v>46157</v>
          </cell>
          <cell r="N1668">
            <v>46176</v>
          </cell>
          <cell r="O1668">
            <v>46177</v>
          </cell>
          <cell r="P1668">
            <v>108301865340</v>
          </cell>
          <cell r="Q1668">
            <v>46175</v>
          </cell>
          <cell r="R1668" t="str">
            <v>No inspection</v>
          </cell>
          <cell r="S1668">
            <v>386.8</v>
          </cell>
          <cell r="T1668" t="str">
            <v>EXW</v>
          </cell>
          <cell r="U1668" t="str">
            <v>PUR</v>
          </cell>
        </row>
        <row r="1669">
          <cell r="D1669">
            <v>14.3</v>
          </cell>
          <cell r="F1669">
            <v>871831431473</v>
          </cell>
          <cell r="G1669" t="str">
            <v>SUNLORD ELECTRONICS TECHNOLOGY PTE</v>
          </cell>
          <cell r="H1669" t="str">
            <v>Delivered</v>
          </cell>
          <cell r="I1669" t="str">
            <v>IC V, CAP , IC S</v>
          </cell>
          <cell r="J1669" t="str">
            <v>Fedex</v>
          </cell>
          <cell r="K1669" t="str">
            <v>VVMV</v>
          </cell>
          <cell r="L1669" t="str">
            <v>HK</v>
          </cell>
          <cell r="M1669">
            <v>46158</v>
          </cell>
          <cell r="N1669">
            <v>46176</v>
          </cell>
          <cell r="O1669">
            <v>46177</v>
          </cell>
          <cell r="P1669">
            <v>108301948050</v>
          </cell>
          <cell r="Q1669">
            <v>46175</v>
          </cell>
          <cell r="R1669" t="str">
            <v>No inspection</v>
          </cell>
          <cell r="S1669">
            <v>36528.1</v>
          </cell>
          <cell r="T1669" t="str">
            <v>EXW</v>
          </cell>
          <cell r="U1669">
            <v>122</v>
          </cell>
        </row>
        <row r="1670">
          <cell r="D1670">
            <v>1.1000000000000001</v>
          </cell>
          <cell r="F1670">
            <v>1291247661</v>
          </cell>
          <cell r="G1670" t="str">
            <v>TTI INC</v>
          </cell>
          <cell r="H1670" t="str">
            <v>Delivered</v>
          </cell>
          <cell r="I1670" t="str">
            <v>FERR</v>
          </cell>
          <cell r="J1670" t="str">
            <v>DHL</v>
          </cell>
          <cell r="K1670" t="str">
            <v>VVMV</v>
          </cell>
          <cell r="L1670" t="str">
            <v>US</v>
          </cell>
          <cell r="M1670">
            <v>46170</v>
          </cell>
          <cell r="N1670">
            <v>46176</v>
          </cell>
          <cell r="O1670">
            <v>46181</v>
          </cell>
          <cell r="P1670">
            <v>108302064250</v>
          </cell>
          <cell r="Q1670">
            <v>46175</v>
          </cell>
          <cell r="R1670" t="str">
            <v>No inspection</v>
          </cell>
          <cell r="S1670">
            <v>335.8</v>
          </cell>
          <cell r="T1670" t="str">
            <v>CIF</v>
          </cell>
          <cell r="U1670" t="str">
            <v>PUR</v>
          </cell>
        </row>
        <row r="1671">
          <cell r="D1671">
            <v>0.5</v>
          </cell>
          <cell r="F1671">
            <v>525457696294</v>
          </cell>
          <cell r="G1671" t="str">
            <v>MOUSER ELECTRONICS INC</v>
          </cell>
          <cell r="H1671" t="str">
            <v>Delivered</v>
          </cell>
          <cell r="I1671" t="str">
            <v>CAP , IC P</v>
          </cell>
          <cell r="J1671" t="str">
            <v>Fedex</v>
          </cell>
          <cell r="K1671" t="str">
            <v>VVMV</v>
          </cell>
          <cell r="L1671" t="str">
            <v>US</v>
          </cell>
          <cell r="M1671">
            <v>46156</v>
          </cell>
          <cell r="N1671">
            <v>46177</v>
          </cell>
          <cell r="O1671">
            <v>46178</v>
          </cell>
          <cell r="P1671">
            <v>108303077850</v>
          </cell>
          <cell r="Q1671">
            <v>46176</v>
          </cell>
          <cell r="R1671" t="str">
            <v>No inspection</v>
          </cell>
          <cell r="S1671">
            <v>598.77800000000002</v>
          </cell>
          <cell r="T1671" t="str">
            <v>CIF</v>
          </cell>
          <cell r="U1671" t="str">
            <v>FMC</v>
          </cell>
        </row>
        <row r="1672">
          <cell r="D1672">
            <v>6.1</v>
          </cell>
          <cell r="F1672">
            <v>1291246305</v>
          </cell>
          <cell r="G1672" t="str">
            <v>TTI INC</v>
          </cell>
          <cell r="H1672" t="str">
            <v>Delivered</v>
          </cell>
          <cell r="I1672" t="str">
            <v xml:space="preserve">TRAN, FERR, RES , LED , CAP </v>
          </cell>
          <cell r="J1672" t="str">
            <v>DHL</v>
          </cell>
          <cell r="K1672" t="str">
            <v>VVMV</v>
          </cell>
          <cell r="L1672" t="str">
            <v>US</v>
          </cell>
          <cell r="M1672">
            <v>46169</v>
          </cell>
          <cell r="N1672">
            <v>46176</v>
          </cell>
          <cell r="O1672">
            <v>46177</v>
          </cell>
          <cell r="P1672">
            <v>108302539920</v>
          </cell>
          <cell r="Q1672">
            <v>46175</v>
          </cell>
          <cell r="R1672" t="str">
            <v>No inspection</v>
          </cell>
          <cell r="S1672">
            <v>6089.18</v>
          </cell>
          <cell r="T1672" t="str">
            <v>CIF</v>
          </cell>
          <cell r="U1672" t="str">
            <v>FMC</v>
          </cell>
        </row>
        <row r="1673">
          <cell r="D1673">
            <v>0.3</v>
          </cell>
          <cell r="F1673">
            <v>1399590010</v>
          </cell>
          <cell r="G1673" t="str">
            <v>ARROW ELECTRONICS INC HAZIQ ARROW COMPONENTS (M) SDN BHD</v>
          </cell>
          <cell r="H1673" t="str">
            <v>Delivered</v>
          </cell>
          <cell r="I1673" t="str">
            <v>FERR</v>
          </cell>
          <cell r="J1673" t="str">
            <v>DHL</v>
          </cell>
          <cell r="K1673" t="str">
            <v>VVMV</v>
          </cell>
          <cell r="L1673" t="str">
            <v>MY</v>
          </cell>
          <cell r="M1673">
            <v>46169</v>
          </cell>
          <cell r="N1673">
            <v>46176</v>
          </cell>
          <cell r="O1673">
            <v>46176</v>
          </cell>
          <cell r="P1673">
            <v>108302425230</v>
          </cell>
          <cell r="Q1673">
            <v>46175</v>
          </cell>
          <cell r="R1673" t="str">
            <v>No inspection</v>
          </cell>
          <cell r="S1673">
            <v>36</v>
          </cell>
          <cell r="T1673" t="str">
            <v>CIF</v>
          </cell>
          <cell r="U1673" t="str">
            <v>PUR</v>
          </cell>
        </row>
        <row r="1674">
          <cell r="D1674">
            <v>750</v>
          </cell>
          <cell r="F1674">
            <v>26050470</v>
          </cell>
          <cell r="G1674" t="str">
            <v>FUSION TRADE PTE LTD</v>
          </cell>
          <cell r="H1674" t="str">
            <v>Delivered</v>
          </cell>
          <cell r="I1674" t="str">
            <v xml:space="preserve">MEM </v>
          </cell>
          <cell r="J1674" t="str">
            <v>SME</v>
          </cell>
          <cell r="K1674" t="str">
            <v>VVMV</v>
          </cell>
          <cell r="L1674" t="str">
            <v>SG</v>
          </cell>
          <cell r="M1674">
            <v>46171</v>
          </cell>
          <cell r="N1674">
            <v>46175</v>
          </cell>
          <cell r="O1674">
            <v>46175</v>
          </cell>
          <cell r="P1674">
            <v>108299699430</v>
          </cell>
          <cell r="Q1674">
            <v>46175</v>
          </cell>
          <cell r="R1674" t="str">
            <v>No inspection</v>
          </cell>
          <cell r="S1674">
            <v>2013711.26</v>
          </cell>
          <cell r="T1674" t="str">
            <v>DAP</v>
          </cell>
          <cell r="U1674" t="str">
            <v>PUR</v>
          </cell>
        </row>
        <row r="1675">
          <cell r="D1675">
            <v>0.9</v>
          </cell>
          <cell r="F1675" t="str">
            <v>1Z4R29Y30466339940</v>
          </cell>
          <cell r="G1675" t="str">
            <v>ARROW ELECTRONICS, INC.</v>
          </cell>
          <cell r="H1675" t="str">
            <v>Delivered</v>
          </cell>
          <cell r="I1675" t="str">
            <v xml:space="preserve">LED , RES </v>
          </cell>
          <cell r="J1675" t="str">
            <v>UPS</v>
          </cell>
          <cell r="K1675" t="str">
            <v>VVMV</v>
          </cell>
          <cell r="L1675" t="str">
            <v>DE</v>
          </cell>
          <cell r="M1675">
            <v>46170</v>
          </cell>
          <cell r="N1675">
            <v>46177</v>
          </cell>
          <cell r="O1675">
            <v>46177</v>
          </cell>
          <cell r="P1675">
            <v>108303624330</v>
          </cell>
          <cell r="Q1675">
            <v>46176</v>
          </cell>
          <cell r="R1675" t="str">
            <v>No inspection</v>
          </cell>
          <cell r="S1675">
            <v>766.9</v>
          </cell>
          <cell r="T1675" t="str">
            <v>DAP</v>
          </cell>
          <cell r="U1675">
            <v>174</v>
          </cell>
        </row>
        <row r="1676">
          <cell r="D1676">
            <v>1.4</v>
          </cell>
          <cell r="F1676">
            <v>381633142753</v>
          </cell>
          <cell r="G1676" t="str">
            <v>O/B ANALOG DEVICES INTERNATIONAL UC
DHL SUPPLY CHAIN MANAGEMENT PHILS</v>
          </cell>
          <cell r="H1676" t="str">
            <v>Delivered</v>
          </cell>
          <cell r="I1676" t="str">
            <v>IC C</v>
          </cell>
          <cell r="J1676" t="str">
            <v>Fedex</v>
          </cell>
          <cell r="K1676" t="str">
            <v>VVMV</v>
          </cell>
          <cell r="L1676" t="str">
            <v>PH</v>
          </cell>
          <cell r="M1676">
            <v>46169</v>
          </cell>
          <cell r="N1676">
            <v>46177</v>
          </cell>
          <cell r="O1676">
            <v>46181</v>
          </cell>
          <cell r="P1676">
            <v>108302928860</v>
          </cell>
          <cell r="Q1676">
            <v>46176</v>
          </cell>
          <cell r="R1676" t="str">
            <v>No inspection</v>
          </cell>
          <cell r="S1676">
            <v>17050</v>
          </cell>
          <cell r="T1676" t="str">
            <v>EXW</v>
          </cell>
          <cell r="U1676" t="str">
            <v>PUR</v>
          </cell>
        </row>
        <row r="1677">
          <cell r="D1677">
            <v>1.3</v>
          </cell>
          <cell r="F1677">
            <v>489101280280</v>
          </cell>
          <cell r="G1677" t="str">
            <v>ARROW GERMANY C/O Arrow Central Europe</v>
          </cell>
          <cell r="H1677" t="str">
            <v>Delivered</v>
          </cell>
          <cell r="I1677" t="str">
            <v xml:space="preserve">RES </v>
          </cell>
          <cell r="J1677" t="str">
            <v>Fedex</v>
          </cell>
          <cell r="K1677" t="str">
            <v>VVMV</v>
          </cell>
          <cell r="L1677" t="str">
            <v>NL</v>
          </cell>
          <cell r="M1677">
            <v>46168</v>
          </cell>
          <cell r="N1677">
            <v>46178</v>
          </cell>
          <cell r="O1677">
            <v>46181</v>
          </cell>
          <cell r="P1677">
            <v>108309522750</v>
          </cell>
          <cell r="Q1677">
            <v>46177</v>
          </cell>
          <cell r="R1677" t="str">
            <v>No inspection</v>
          </cell>
          <cell r="S1677">
            <v>26.4</v>
          </cell>
          <cell r="T1677" t="str">
            <v>CIF</v>
          </cell>
          <cell r="U1677">
            <v>121</v>
          </cell>
        </row>
        <row r="1678">
          <cell r="D1678">
            <v>0.3</v>
          </cell>
          <cell r="F1678">
            <v>489101280236</v>
          </cell>
          <cell r="G1678" t="str">
            <v>ARROW GERMANY C/O Arrow Central Europe</v>
          </cell>
          <cell r="H1678" t="str">
            <v>Delivered</v>
          </cell>
          <cell r="I1678" t="str">
            <v xml:space="preserve">RES </v>
          </cell>
          <cell r="J1678" t="str">
            <v>Fedex</v>
          </cell>
          <cell r="K1678" t="str">
            <v>VVMV</v>
          </cell>
          <cell r="L1678" t="str">
            <v>NL</v>
          </cell>
          <cell r="M1678">
            <v>46168</v>
          </cell>
          <cell r="N1678">
            <v>46177</v>
          </cell>
          <cell r="O1678">
            <v>46178</v>
          </cell>
          <cell r="P1678">
            <v>108304211410</v>
          </cell>
          <cell r="Q1678">
            <v>46176</v>
          </cell>
          <cell r="R1678" t="str">
            <v>No inspection</v>
          </cell>
          <cell r="S1678">
            <v>11</v>
          </cell>
          <cell r="T1678" t="str">
            <v>CIF</v>
          </cell>
          <cell r="U1678" t="str">
            <v>FMC</v>
          </cell>
        </row>
        <row r="1679">
          <cell r="D1679">
            <v>1.2</v>
          </cell>
          <cell r="F1679">
            <v>527158975034</v>
          </cell>
          <cell r="G1679" t="str">
            <v>ARROW ELECTRONICS, INC.</v>
          </cell>
          <cell r="H1679" t="str">
            <v>Delivered</v>
          </cell>
          <cell r="I1679" t="str">
            <v xml:space="preserve">CAP </v>
          </cell>
          <cell r="J1679" t="str">
            <v>Fedex</v>
          </cell>
          <cell r="K1679" t="str">
            <v>VVMV</v>
          </cell>
          <cell r="L1679" t="str">
            <v>US</v>
          </cell>
          <cell r="M1679">
            <v>46169</v>
          </cell>
          <cell r="N1679">
            <v>46176</v>
          </cell>
          <cell r="O1679">
            <v>46177</v>
          </cell>
          <cell r="P1679">
            <v>108301910620</v>
          </cell>
          <cell r="Q1679">
            <v>46175</v>
          </cell>
          <cell r="R1679" t="str">
            <v>No inspection</v>
          </cell>
          <cell r="S1679">
            <v>5132</v>
          </cell>
          <cell r="T1679" t="str">
            <v>CIF</v>
          </cell>
          <cell r="U1679">
            <v>122</v>
          </cell>
        </row>
        <row r="1680">
          <cell r="D1680">
            <v>14.1</v>
          </cell>
          <cell r="F1680">
            <v>493602842370</v>
          </cell>
          <cell r="G1680" t="str">
            <v>VENKEL LTD</v>
          </cell>
          <cell r="H1680" t="str">
            <v>Delivered</v>
          </cell>
          <cell r="I1680" t="str">
            <v xml:space="preserve">CAP </v>
          </cell>
          <cell r="J1680" t="str">
            <v>Fedex</v>
          </cell>
          <cell r="K1680" t="str">
            <v>VVMV</v>
          </cell>
          <cell r="L1680" t="str">
            <v>US</v>
          </cell>
          <cell r="M1680">
            <v>46169</v>
          </cell>
          <cell r="N1680">
            <v>46176</v>
          </cell>
          <cell r="O1680">
            <v>46189</v>
          </cell>
          <cell r="P1680">
            <v>108302066500</v>
          </cell>
          <cell r="Q1680">
            <v>46175</v>
          </cell>
          <cell r="R1680" t="str">
            <v>No inspection</v>
          </cell>
          <cell r="S1680">
            <v>2779.34</v>
          </cell>
          <cell r="T1680" t="str">
            <v>CIF</v>
          </cell>
          <cell r="U1680" t="str">
            <v>EF-</v>
          </cell>
        </row>
        <row r="1681">
          <cell r="D1681">
            <v>0.5</v>
          </cell>
          <cell r="F1681">
            <v>872375217260</v>
          </cell>
          <cell r="G1681" t="str">
            <v>UNIGEN TECHNOLOGY SDN BHD</v>
          </cell>
          <cell r="H1681" t="str">
            <v>Delivered</v>
          </cell>
          <cell r="I1681" t="str">
            <v>IC D</v>
          </cell>
          <cell r="J1681" t="str">
            <v>Fedex</v>
          </cell>
          <cell r="K1681" t="str">
            <v>VVMV</v>
          </cell>
          <cell r="L1681" t="str">
            <v>MY</v>
          </cell>
          <cell r="M1681">
            <v>46171</v>
          </cell>
          <cell r="N1681">
            <v>46181</v>
          </cell>
          <cell r="O1681">
            <v>46181</v>
          </cell>
          <cell r="P1681">
            <v>108311115140</v>
          </cell>
          <cell r="Q1681">
            <v>46178</v>
          </cell>
          <cell r="R1681" t="str">
            <v>No inspection</v>
          </cell>
          <cell r="S1681">
            <v>1</v>
          </cell>
          <cell r="T1681" t="str">
            <v>EXW</v>
          </cell>
          <cell r="U1681">
            <v>132</v>
          </cell>
        </row>
        <row r="1682">
          <cell r="D1682">
            <v>9.6999999999999993</v>
          </cell>
          <cell r="F1682">
            <v>872373630265</v>
          </cell>
          <cell r="G1682" t="str">
            <v>Randtech Asia Pte. Ltd.</v>
          </cell>
          <cell r="H1682" t="str">
            <v>Delivered</v>
          </cell>
          <cell r="I1682" t="str">
            <v>IC S</v>
          </cell>
          <cell r="J1682" t="str">
            <v>Fedex</v>
          </cell>
          <cell r="K1682" t="str">
            <v>VVMV</v>
          </cell>
          <cell r="L1682" t="str">
            <v>SG</v>
          </cell>
          <cell r="M1682">
            <v>46170</v>
          </cell>
          <cell r="N1682">
            <v>46176</v>
          </cell>
          <cell r="O1682">
            <v>46177</v>
          </cell>
          <cell r="P1682">
            <v>108302226320</v>
          </cell>
          <cell r="Q1682">
            <v>46175</v>
          </cell>
          <cell r="R1682" t="str">
            <v>No inspection</v>
          </cell>
          <cell r="S1682">
            <v>1811166</v>
          </cell>
          <cell r="T1682" t="str">
            <v>CIF</v>
          </cell>
          <cell r="U1682">
            <v>102</v>
          </cell>
        </row>
        <row r="1683">
          <cell r="D1683">
            <v>52.9</v>
          </cell>
          <cell r="F1683">
            <v>486261304420</v>
          </cell>
          <cell r="G1683" t="str">
            <v>KINGSTON TECH FAR EAST CORP</v>
          </cell>
          <cell r="H1683" t="str">
            <v>Delivered</v>
          </cell>
          <cell r="I1683" t="str">
            <v xml:space="preserve">MEM </v>
          </cell>
          <cell r="J1683" t="str">
            <v>Fedex</v>
          </cell>
          <cell r="K1683" t="str">
            <v>VVMV</v>
          </cell>
          <cell r="L1683" t="str">
            <v>TW</v>
          </cell>
          <cell r="M1683">
            <v>46174</v>
          </cell>
          <cell r="N1683">
            <v>46181</v>
          </cell>
          <cell r="O1683">
            <v>46181</v>
          </cell>
          <cell r="P1683">
            <v>108309305420</v>
          </cell>
          <cell r="Q1683">
            <v>46177</v>
          </cell>
          <cell r="R1683" t="str">
            <v>No inspection</v>
          </cell>
          <cell r="S1683">
            <v>3852247.04</v>
          </cell>
          <cell r="T1683" t="str">
            <v>EXW</v>
          </cell>
          <cell r="U1683" t="str">
            <v>HLO</v>
          </cell>
        </row>
        <row r="1684">
          <cell r="D1684">
            <v>109</v>
          </cell>
          <cell r="F1684">
            <v>4110337617</v>
          </cell>
          <cell r="G1684" t="str">
            <v>AVNET, INC</v>
          </cell>
          <cell r="H1684" t="str">
            <v>Delivered</v>
          </cell>
          <cell r="I1684" t="str">
            <v>CONN</v>
          </cell>
          <cell r="J1684" t="str">
            <v>Expeditors</v>
          </cell>
          <cell r="K1684" t="str">
            <v>VVMV</v>
          </cell>
          <cell r="L1684" t="str">
            <v>US</v>
          </cell>
          <cell r="M1684">
            <v>46169</v>
          </cell>
          <cell r="N1684">
            <v>46181</v>
          </cell>
          <cell r="O1684">
            <v>46181</v>
          </cell>
          <cell r="P1684">
            <v>108313713060</v>
          </cell>
          <cell r="Q1684">
            <v>46178</v>
          </cell>
          <cell r="R1684" t="str">
            <v>No inspection</v>
          </cell>
          <cell r="S1684">
            <v>4935</v>
          </cell>
          <cell r="T1684" t="str">
            <v>DAP</v>
          </cell>
          <cell r="U1684" t="str">
            <v>LUC</v>
          </cell>
        </row>
        <row r="1685">
          <cell r="D1685">
            <v>83.5</v>
          </cell>
          <cell r="F1685">
            <v>4110337649</v>
          </cell>
          <cell r="G1685" t="str">
            <v>AVNET, INC</v>
          </cell>
          <cell r="H1685" t="str">
            <v>Delivered</v>
          </cell>
          <cell r="I1685" t="str">
            <v>CONN</v>
          </cell>
          <cell r="J1685" t="str">
            <v>Expeditors</v>
          </cell>
          <cell r="K1685" t="str">
            <v>VVMV</v>
          </cell>
          <cell r="L1685" t="str">
            <v>US</v>
          </cell>
          <cell r="M1685">
            <v>46170</v>
          </cell>
          <cell r="N1685">
            <v>46181</v>
          </cell>
          <cell r="O1685">
            <v>46181</v>
          </cell>
          <cell r="P1685">
            <v>108313843850</v>
          </cell>
          <cell r="Q1685">
            <v>46178</v>
          </cell>
          <cell r="R1685" t="str">
            <v>No inspection</v>
          </cell>
          <cell r="S1685">
            <v>6244.56</v>
          </cell>
          <cell r="T1685" t="str">
            <v>DAP</v>
          </cell>
          <cell r="U1685" t="str">
            <v>LUC</v>
          </cell>
        </row>
        <row r="1686">
          <cell r="D1686">
            <v>0.3</v>
          </cell>
          <cell r="F1686">
            <v>872118022055</v>
          </cell>
          <cell r="G1686" t="str">
            <v>Element 14 Pte Ltd</v>
          </cell>
          <cell r="H1686" t="str">
            <v>Delivered</v>
          </cell>
          <cell r="I1686" t="str">
            <v>cap</v>
          </cell>
          <cell r="J1686" t="str">
            <v>Fedex</v>
          </cell>
          <cell r="K1686" t="str">
            <v>VVMV</v>
          </cell>
          <cell r="L1686" t="str">
            <v>SG</v>
          </cell>
          <cell r="M1686">
            <v>46164</v>
          </cell>
          <cell r="N1686">
            <v>46181</v>
          </cell>
          <cell r="O1686">
            <v>46183</v>
          </cell>
          <cell r="P1686">
            <v>108320531910</v>
          </cell>
          <cell r="Q1686">
            <v>46240.721261574072</v>
          </cell>
          <cell r="R1686" t="str">
            <v>No inspection</v>
          </cell>
          <cell r="S1686">
            <v>56.1</v>
          </cell>
          <cell r="T1686" t="str">
            <v>EXW</v>
          </cell>
        </row>
        <row r="1687">
          <cell r="D1687">
            <v>53.5</v>
          </cell>
          <cell r="F1687">
            <v>872127304390</v>
          </cell>
          <cell r="G1687" t="str">
            <v>WURTH ELECTRONICS MIDCOM</v>
          </cell>
          <cell r="H1687" t="str">
            <v>Delivered</v>
          </cell>
          <cell r="I1687" t="str">
            <v xml:space="preserve">CONN, IND </v>
          </cell>
          <cell r="J1687" t="str">
            <v>Fedex</v>
          </cell>
          <cell r="K1687" t="str">
            <v>VVMV</v>
          </cell>
          <cell r="L1687" t="str">
            <v>US</v>
          </cell>
          <cell r="M1687">
            <v>46164</v>
          </cell>
          <cell r="N1687">
            <v>46178</v>
          </cell>
          <cell r="O1687">
            <v>46178</v>
          </cell>
          <cell r="P1687">
            <v>108305867940</v>
          </cell>
          <cell r="Q1687">
            <v>46176</v>
          </cell>
          <cell r="R1687" t="str">
            <v>No inspection</v>
          </cell>
          <cell r="S1687">
            <v>3697.05</v>
          </cell>
          <cell r="T1687" t="str">
            <v>CIF</v>
          </cell>
          <cell r="U1687" t="str">
            <v>EF-</v>
          </cell>
        </row>
        <row r="1688">
          <cell r="D1688">
            <v>0.5</v>
          </cell>
          <cell r="F1688">
            <v>527158900676</v>
          </cell>
          <cell r="G1688" t="str">
            <v>ARROW ELECTRONICS, INC</v>
          </cell>
          <cell r="H1688" t="str">
            <v>Delivered</v>
          </cell>
          <cell r="I1688" t="str">
            <v xml:space="preserve">RES </v>
          </cell>
          <cell r="J1688" t="str">
            <v>Fedex</v>
          </cell>
          <cell r="K1688" t="str">
            <v>VVMV</v>
          </cell>
          <cell r="L1688" t="str">
            <v>US</v>
          </cell>
          <cell r="M1688">
            <v>46163</v>
          </cell>
          <cell r="N1688">
            <v>46176</v>
          </cell>
          <cell r="O1688">
            <v>46177</v>
          </cell>
          <cell r="P1688">
            <v>108302481560</v>
          </cell>
          <cell r="Q1688">
            <v>46175</v>
          </cell>
          <cell r="R1688" t="str">
            <v>No inspection</v>
          </cell>
          <cell r="S1688">
            <v>102</v>
          </cell>
          <cell r="T1688" t="str">
            <v>CIF</v>
          </cell>
          <cell r="U1688">
            <v>121</v>
          </cell>
        </row>
        <row r="1689">
          <cell r="D1689">
            <v>2.1</v>
          </cell>
          <cell r="F1689">
            <v>526433678489</v>
          </cell>
          <cell r="G1689" t="str">
            <v>FUTURE ELECTRONICS</v>
          </cell>
          <cell r="H1689" t="str">
            <v>Delivered</v>
          </cell>
          <cell r="I1689" t="str">
            <v xml:space="preserve">DIOD, CAP </v>
          </cell>
          <cell r="J1689" t="str">
            <v>Fedex</v>
          </cell>
          <cell r="K1689" t="str">
            <v>VVMV</v>
          </cell>
          <cell r="L1689" t="str">
            <v>US</v>
          </cell>
          <cell r="M1689">
            <v>46164</v>
          </cell>
          <cell r="N1689">
            <v>46176</v>
          </cell>
          <cell r="O1689">
            <v>46177</v>
          </cell>
          <cell r="P1689">
            <v>108302383230</v>
          </cell>
          <cell r="Q1689">
            <v>46175</v>
          </cell>
          <cell r="R1689" t="str">
            <v>No inspection</v>
          </cell>
          <cell r="S1689">
            <v>1623</v>
          </cell>
          <cell r="T1689" t="str">
            <v>CIF</v>
          </cell>
          <cell r="U1689" t="str">
            <v>PUR</v>
          </cell>
        </row>
        <row r="1690">
          <cell r="D1690">
            <v>0.8</v>
          </cell>
          <cell r="F1690">
            <v>119209733141</v>
          </cell>
          <cell r="G1690" t="str">
            <v>FUTURE ELECTRONICS FICE</v>
          </cell>
          <cell r="H1690" t="str">
            <v>Delivered</v>
          </cell>
          <cell r="I1690" t="str">
            <v>IC S</v>
          </cell>
          <cell r="J1690" t="str">
            <v>Fedex</v>
          </cell>
          <cell r="K1690" t="str">
            <v>VVMV</v>
          </cell>
          <cell r="L1690" t="str">
            <v>US</v>
          </cell>
          <cell r="M1690">
            <v>46164</v>
          </cell>
          <cell r="N1690">
            <v>46176</v>
          </cell>
          <cell r="O1690">
            <v>46177</v>
          </cell>
          <cell r="P1690">
            <v>108302505400</v>
          </cell>
          <cell r="Q1690">
            <v>46175</v>
          </cell>
          <cell r="R1690" t="str">
            <v>No inspection</v>
          </cell>
          <cell r="S1690">
            <v>1440</v>
          </cell>
          <cell r="T1690" t="str">
            <v>CIF</v>
          </cell>
          <cell r="U1690" t="str">
            <v>PUR</v>
          </cell>
        </row>
        <row r="1691">
          <cell r="D1691">
            <v>0.1</v>
          </cell>
          <cell r="F1691">
            <v>5415364765</v>
          </cell>
          <cell r="G1691" t="str">
            <v>Fukul Murata manufacturing Co., LTd</v>
          </cell>
          <cell r="H1691" t="str">
            <v>Delivered</v>
          </cell>
          <cell r="I1691" t="str">
            <v xml:space="preserve">CAP </v>
          </cell>
          <cell r="J1691" t="str">
            <v>DHL</v>
          </cell>
          <cell r="K1691" t="str">
            <v>VVMV</v>
          </cell>
          <cell r="L1691" t="str">
            <v>JP</v>
          </cell>
          <cell r="M1691">
            <v>46174</v>
          </cell>
          <cell r="N1691">
            <v>46176</v>
          </cell>
          <cell r="O1691">
            <v>46177</v>
          </cell>
          <cell r="P1691">
            <v>108303506730</v>
          </cell>
          <cell r="Q1691">
            <v>46176</v>
          </cell>
          <cell r="R1691" t="str">
            <v>No inspection</v>
          </cell>
          <cell r="S1691">
            <v>5.44</v>
          </cell>
          <cell r="T1691" t="str">
            <v>CIF</v>
          </cell>
          <cell r="U1691" t="str">
            <v>FMC</v>
          </cell>
        </row>
        <row r="1692">
          <cell r="D1692">
            <v>9</v>
          </cell>
          <cell r="F1692">
            <v>472187362457</v>
          </cell>
          <cell r="G1692" t="str">
            <v>HEILIND ASIA PACIFIC (SG) PTE LTD</v>
          </cell>
          <cell r="H1692" t="str">
            <v>Delivered</v>
          </cell>
          <cell r="I1692" t="str">
            <v>CONN</v>
          </cell>
          <cell r="J1692" t="str">
            <v>Fedex</v>
          </cell>
          <cell r="K1692" t="str">
            <v>VVMV</v>
          </cell>
          <cell r="L1692" t="str">
            <v>SG</v>
          </cell>
          <cell r="M1692">
            <v>46156</v>
          </cell>
          <cell r="N1692">
            <v>46176</v>
          </cell>
          <cell r="O1692">
            <v>46178</v>
          </cell>
          <cell r="P1692">
            <v>108302566520</v>
          </cell>
          <cell r="Q1692">
            <v>46175</v>
          </cell>
          <cell r="R1692" t="str">
            <v>No inspection</v>
          </cell>
          <cell r="S1692">
            <v>1279.25</v>
          </cell>
          <cell r="T1692" t="str">
            <v>CIF</v>
          </cell>
          <cell r="U1692" t="str">
            <v>EF-</v>
          </cell>
        </row>
        <row r="1693">
          <cell r="D1693">
            <v>4</v>
          </cell>
          <cell r="F1693">
            <v>871735931826</v>
          </cell>
          <cell r="G1693" t="str">
            <v>TONG LAY DOO INDUSTRIAL CO., LTD</v>
          </cell>
          <cell r="H1693" t="str">
            <v>Delivered</v>
          </cell>
          <cell r="I1693" t="str">
            <v>SHIE</v>
          </cell>
          <cell r="J1693" t="str">
            <v>Fedex</v>
          </cell>
          <cell r="K1693" t="str">
            <v>VVMV</v>
          </cell>
          <cell r="L1693" t="str">
            <v>TW</v>
          </cell>
          <cell r="M1693">
            <v>46155</v>
          </cell>
          <cell r="N1693">
            <v>46178</v>
          </cell>
          <cell r="O1693">
            <v>46178</v>
          </cell>
          <cell r="P1693">
            <v>108305215760</v>
          </cell>
          <cell r="Q1693">
            <v>46176</v>
          </cell>
          <cell r="R1693" t="str">
            <v>No inspection</v>
          </cell>
          <cell r="S1693">
            <v>325</v>
          </cell>
          <cell r="T1693" t="str">
            <v>EXW</v>
          </cell>
          <cell r="U1693" t="str">
            <v>EF-</v>
          </cell>
        </row>
        <row r="1694">
          <cell r="D1694">
            <v>0.8</v>
          </cell>
          <cell r="F1694">
            <v>119209729929</v>
          </cell>
          <cell r="G1694" t="str">
            <v>FUTURE ELECTRONICS FICE</v>
          </cell>
          <cell r="H1694" t="str">
            <v>Delivered</v>
          </cell>
          <cell r="I1694" t="str">
            <v>IC S</v>
          </cell>
          <cell r="J1694" t="str">
            <v>Fedex</v>
          </cell>
          <cell r="K1694" t="str">
            <v>VVMV</v>
          </cell>
          <cell r="L1694" t="str">
            <v>US</v>
          </cell>
          <cell r="M1694">
            <v>46157</v>
          </cell>
          <cell r="N1694">
            <v>46176</v>
          </cell>
          <cell r="O1694">
            <v>46178</v>
          </cell>
          <cell r="P1694">
            <v>108303630150</v>
          </cell>
          <cell r="Q1694">
            <v>46176</v>
          </cell>
          <cell r="R1694" t="str">
            <v>No inspection</v>
          </cell>
          <cell r="S1694">
            <v>990</v>
          </cell>
          <cell r="T1694" t="str">
            <v>CIF</v>
          </cell>
          <cell r="U1694" t="str">
            <v>PUR</v>
          </cell>
        </row>
        <row r="1695">
          <cell r="D1695">
            <v>0.5</v>
          </cell>
          <cell r="F1695">
            <v>521201430008</v>
          </cell>
          <cell r="G1695" t="str">
            <v>FUTURE ELECTRONICS</v>
          </cell>
          <cell r="H1695" t="str">
            <v>Delivered</v>
          </cell>
          <cell r="I1695" t="str">
            <v xml:space="preserve">RES </v>
          </cell>
          <cell r="J1695" t="str">
            <v>Fedex</v>
          </cell>
          <cell r="K1695" t="str">
            <v>VVMV</v>
          </cell>
          <cell r="L1695" t="str">
            <v>US</v>
          </cell>
          <cell r="M1695">
            <v>46157</v>
          </cell>
          <cell r="N1695">
            <v>46178</v>
          </cell>
          <cell r="O1695">
            <v>46178</v>
          </cell>
          <cell r="P1695">
            <v>108305218820</v>
          </cell>
          <cell r="Q1695">
            <v>46176</v>
          </cell>
          <cell r="R1695" t="str">
            <v>No inspection</v>
          </cell>
          <cell r="S1695">
            <v>1750</v>
          </cell>
          <cell r="T1695" t="str">
            <v>CIF</v>
          </cell>
          <cell r="U1695" t="str">
            <v>FMC</v>
          </cell>
        </row>
        <row r="1696">
          <cell r="D1696">
            <v>0.5</v>
          </cell>
          <cell r="F1696">
            <v>492830094147</v>
          </cell>
          <cell r="G1696" t="str">
            <v>ARROW USA AEC</v>
          </cell>
          <cell r="H1696" t="str">
            <v>Delivered</v>
          </cell>
          <cell r="I1696" t="str">
            <v xml:space="preserve">RES </v>
          </cell>
          <cell r="J1696" t="str">
            <v>Fedex</v>
          </cell>
          <cell r="K1696" t="str">
            <v>VVMV</v>
          </cell>
          <cell r="L1696" t="str">
            <v>US</v>
          </cell>
          <cell r="M1696">
            <v>46155</v>
          </cell>
          <cell r="N1696">
            <v>46178</v>
          </cell>
          <cell r="O1696">
            <v>46178</v>
          </cell>
          <cell r="P1696">
            <v>108305107260</v>
          </cell>
          <cell r="Q1696">
            <v>46176</v>
          </cell>
          <cell r="R1696" t="str">
            <v>No inspection</v>
          </cell>
          <cell r="S1696">
            <v>17</v>
          </cell>
          <cell r="T1696" t="str">
            <v>CIF</v>
          </cell>
          <cell r="U1696">
            <v>121</v>
          </cell>
        </row>
        <row r="1697">
          <cell r="D1697">
            <v>0.9</v>
          </cell>
          <cell r="F1697">
            <v>500292642275</v>
          </cell>
          <cell r="G1697" t="str">
            <v>ARROW COMPONENTS MEXICO SA De CV</v>
          </cell>
          <cell r="H1697" t="str">
            <v>Delivered</v>
          </cell>
          <cell r="I1697" t="str">
            <v>TRAN</v>
          </cell>
          <cell r="J1697" t="str">
            <v>Fedex</v>
          </cell>
          <cell r="K1697" t="str">
            <v>VVMV</v>
          </cell>
          <cell r="L1697" t="str">
            <v>MX</v>
          </cell>
          <cell r="M1697">
            <v>46156</v>
          </cell>
          <cell r="N1697">
            <v>46176</v>
          </cell>
          <cell r="O1697">
            <v>46178</v>
          </cell>
          <cell r="P1697">
            <v>108302881300</v>
          </cell>
          <cell r="Q1697">
            <v>46176</v>
          </cell>
          <cell r="R1697" t="str">
            <v>No inspection</v>
          </cell>
          <cell r="S1697">
            <v>950</v>
          </cell>
          <cell r="T1697" t="str">
            <v>CIF</v>
          </cell>
          <cell r="U1697" t="str">
            <v>PUR</v>
          </cell>
        </row>
        <row r="1698">
          <cell r="D1698">
            <v>0.5</v>
          </cell>
          <cell r="F1698">
            <v>492830076023</v>
          </cell>
          <cell r="G1698" t="str">
            <v>ARROW ELECTRONICS, INC.</v>
          </cell>
          <cell r="H1698" t="str">
            <v>Delivered</v>
          </cell>
          <cell r="I1698" t="str">
            <v xml:space="preserve">	TRA</v>
          </cell>
          <cell r="J1698" t="str">
            <v>Fedex</v>
          </cell>
          <cell r="K1698" t="str">
            <v>VVMV</v>
          </cell>
          <cell r="L1698" t="str">
            <v>US</v>
          </cell>
          <cell r="M1698">
            <v>46154</v>
          </cell>
          <cell r="N1698">
            <v>46176</v>
          </cell>
          <cell r="O1698">
            <v>46178</v>
          </cell>
          <cell r="P1698">
            <v>108303110750</v>
          </cell>
          <cell r="Q1698">
            <v>46176</v>
          </cell>
          <cell r="R1698" t="str">
            <v>No inspection</v>
          </cell>
          <cell r="S1698">
            <v>106.8</v>
          </cell>
          <cell r="T1698" t="str">
            <v>CIF</v>
          </cell>
          <cell r="U1698" t="str">
            <v>HLO</v>
          </cell>
        </row>
        <row r="1699">
          <cell r="D1699">
            <v>78</v>
          </cell>
          <cell r="F1699">
            <v>381196656206</v>
          </cell>
          <cell r="G1699" t="str">
            <v>ROSENBERGER HOCHFREQUENZTECHNIK</v>
          </cell>
          <cell r="H1699" t="str">
            <v>Delivered</v>
          </cell>
          <cell r="I1699" t="str">
            <v>CONN</v>
          </cell>
          <cell r="J1699" t="str">
            <v>Fedex</v>
          </cell>
          <cell r="K1699" t="str">
            <v>VVMV</v>
          </cell>
          <cell r="L1699" t="str">
            <v>DE</v>
          </cell>
          <cell r="M1699">
            <v>46153</v>
          </cell>
          <cell r="N1699">
            <v>46184</v>
          </cell>
          <cell r="O1699">
            <v>46184</v>
          </cell>
          <cell r="P1699">
            <v>108325142700</v>
          </cell>
          <cell r="Q1699">
            <v>46301.351076388892</v>
          </cell>
          <cell r="R1699" t="str">
            <v>No inspection</v>
          </cell>
          <cell r="S1699">
            <v>9097.56</v>
          </cell>
          <cell r="T1699" t="str">
            <v>CIF</v>
          </cell>
          <cell r="U1699" t="str">
            <v>LUC</v>
          </cell>
        </row>
        <row r="1700">
          <cell r="D1700">
            <v>5.2</v>
          </cell>
          <cell r="F1700">
            <v>484361666828</v>
          </cell>
          <cell r="G1700" t="str">
            <v>COILCRAFT SINGAPORE PTE LTD</v>
          </cell>
          <cell r="H1700" t="str">
            <v>Delivered</v>
          </cell>
          <cell r="I1700" t="str">
            <v xml:space="preserve">IND </v>
          </cell>
          <cell r="J1700" t="str">
            <v>Fedex</v>
          </cell>
          <cell r="K1700" t="str">
            <v>VVMV</v>
          </cell>
          <cell r="L1700" t="str">
            <v>SG</v>
          </cell>
          <cell r="M1700">
            <v>46157</v>
          </cell>
          <cell r="N1700">
            <v>46176</v>
          </cell>
          <cell r="O1700">
            <v>46178</v>
          </cell>
          <cell r="P1700">
            <v>108302952110</v>
          </cell>
          <cell r="Q1700">
            <v>46087.366828703707</v>
          </cell>
          <cell r="R1700" t="str">
            <v>No inspection</v>
          </cell>
          <cell r="S1700">
            <v>1125</v>
          </cell>
          <cell r="T1700" t="str">
            <v>EXW</v>
          </cell>
          <cell r="U1700" t="str">
            <v>LUC</v>
          </cell>
        </row>
        <row r="1701">
          <cell r="D1701">
            <v>7.7</v>
          </cell>
          <cell r="F1701">
            <v>381609097421</v>
          </cell>
          <cell r="G1701" t="str">
            <v>C/O KINTETSU WORLD EXPRESS (CHINA)
TEXAS INSTRUMENTS ASIA LIMITED</v>
          </cell>
          <cell r="H1701" t="str">
            <v>Delivered</v>
          </cell>
          <cell r="I1701" t="str">
            <v>IC T, IC L, IC R, IC S, IC F, IC V</v>
          </cell>
          <cell r="J1701" t="str">
            <v>Fedex</v>
          </cell>
          <cell r="K1701" t="str">
            <v>VVMV</v>
          </cell>
          <cell r="L1701" t="str">
            <v>CN</v>
          </cell>
          <cell r="M1701">
            <v>46169</v>
          </cell>
          <cell r="N1701">
            <v>46182</v>
          </cell>
          <cell r="O1701">
            <v>46178</v>
          </cell>
          <cell r="P1701">
            <v>108306001530</v>
          </cell>
          <cell r="Q1701">
            <v>46176</v>
          </cell>
          <cell r="R1701" t="str">
            <v>No inspection</v>
          </cell>
          <cell r="S1701">
            <v>10483.5</v>
          </cell>
          <cell r="T1701" t="str">
            <v>EXW</v>
          </cell>
          <cell r="U1701" t="str">
            <v>LUC</v>
          </cell>
        </row>
        <row r="1702">
          <cell r="D1702">
            <v>13.3</v>
          </cell>
          <cell r="F1702">
            <v>483570646782</v>
          </cell>
          <cell r="G1702" t="str">
            <v>UNIGEN CORPORATION</v>
          </cell>
          <cell r="H1702" t="str">
            <v>Delivered</v>
          </cell>
          <cell r="I1702" t="str">
            <v>PLAS, CAP , MCU , IC T, CONN, IND , THER</v>
          </cell>
          <cell r="J1702" t="str">
            <v>Fedex</v>
          </cell>
          <cell r="K1702" t="str">
            <v>VVMV</v>
          </cell>
          <cell r="L1702" t="str">
            <v>US</v>
          </cell>
          <cell r="M1702">
            <v>46169</v>
          </cell>
          <cell r="N1702">
            <v>46178</v>
          </cell>
          <cell r="O1702">
            <v>46178</v>
          </cell>
          <cell r="P1702">
            <v>108305725620</v>
          </cell>
          <cell r="Q1702">
            <v>46176</v>
          </cell>
          <cell r="R1702" t="str">
            <v>No inspection</v>
          </cell>
          <cell r="S1702">
            <v>7944.51</v>
          </cell>
          <cell r="T1702" t="str">
            <v>CIF</v>
          </cell>
          <cell r="U1702" t="str">
            <v>FMC</v>
          </cell>
        </row>
        <row r="1703">
          <cell r="D1703">
            <v>3.7</v>
          </cell>
          <cell r="F1703">
            <v>381606778459</v>
          </cell>
          <cell r="G1703" t="str">
            <v>TEXAS INSTRUMENTS ASIA LIMITED
C/O KWE LOGISTICS (SHENZHEN)</v>
          </cell>
          <cell r="H1703" t="str">
            <v>Delivered</v>
          </cell>
          <cell r="I1703" t="str">
            <v>IC T, IC L</v>
          </cell>
          <cell r="J1703" t="str">
            <v>Fedex</v>
          </cell>
          <cell r="K1703" t="str">
            <v>VVMV</v>
          </cell>
          <cell r="L1703" t="str">
            <v>CN</v>
          </cell>
          <cell r="M1703">
            <v>46169</v>
          </cell>
          <cell r="N1703">
            <v>46181</v>
          </cell>
          <cell r="O1703">
            <v>46181</v>
          </cell>
          <cell r="P1703">
            <v>108313867320</v>
          </cell>
          <cell r="Q1703">
            <v>46178</v>
          </cell>
          <cell r="R1703" t="str">
            <v>No inspection</v>
          </cell>
          <cell r="S1703">
            <v>13248</v>
          </cell>
          <cell r="T1703" t="str">
            <v>EXW</v>
          </cell>
          <cell r="U1703">
            <v>142</v>
          </cell>
        </row>
        <row r="1704">
          <cell r="D1704">
            <v>6.3</v>
          </cell>
          <cell r="F1704">
            <v>381644804060</v>
          </cell>
          <cell r="G1704" t="str">
            <v>WURTH ELECTRONICS MIDCOM</v>
          </cell>
          <cell r="H1704" t="str">
            <v>Delivered</v>
          </cell>
          <cell r="I1704" t="str">
            <v>CONN</v>
          </cell>
          <cell r="J1704" t="str">
            <v>Fedex</v>
          </cell>
          <cell r="K1704" t="str">
            <v>VVMV</v>
          </cell>
          <cell r="L1704" t="str">
            <v>US</v>
          </cell>
          <cell r="M1704">
            <v>46170</v>
          </cell>
          <cell r="N1704">
            <v>46178</v>
          </cell>
          <cell r="O1704">
            <v>46189</v>
          </cell>
          <cell r="P1704">
            <v>108307045120</v>
          </cell>
          <cell r="Q1704">
            <v>46177</v>
          </cell>
          <cell r="R1704" t="str">
            <v>No inspection</v>
          </cell>
          <cell r="S1704">
            <v>252.35</v>
          </cell>
          <cell r="T1704" t="str">
            <v>CIF</v>
          </cell>
          <cell r="U1704" t="str">
            <v>EF-</v>
          </cell>
        </row>
        <row r="1705">
          <cell r="D1705">
            <v>24.7</v>
          </cell>
          <cell r="F1705">
            <v>527529836290</v>
          </cell>
          <cell r="G1705" t="str">
            <v>MICROCHIP TECNOLOGY(TH) CO LTD</v>
          </cell>
          <cell r="H1705" t="str">
            <v>Delivered</v>
          </cell>
          <cell r="I1705" t="str">
            <v>IC M</v>
          </cell>
          <cell r="J1705" t="str">
            <v>Fedex</v>
          </cell>
          <cell r="K1705" t="str">
            <v>VVMV</v>
          </cell>
          <cell r="L1705" t="str">
            <v>TH</v>
          </cell>
          <cell r="M1705">
            <v>46171</v>
          </cell>
          <cell r="N1705">
            <v>46178</v>
          </cell>
          <cell r="O1705">
            <v>46178</v>
          </cell>
          <cell r="P1705">
            <v>108304155740</v>
          </cell>
          <cell r="Q1705">
            <v>46176</v>
          </cell>
          <cell r="R1705" t="str">
            <v>No inspection</v>
          </cell>
          <cell r="S1705">
            <v>262758.40000000002</v>
          </cell>
          <cell r="T1705" t="str">
            <v>EXW</v>
          </cell>
          <cell r="U1705" t="str">
            <v>PUR</v>
          </cell>
        </row>
        <row r="1706">
          <cell r="D1706">
            <v>39.5</v>
          </cell>
          <cell r="F1706">
            <v>493891689006</v>
          </cell>
          <cell r="G1706" t="str">
            <v>FIERY, LLC.</v>
          </cell>
          <cell r="H1706" t="str">
            <v>Delivered</v>
          </cell>
          <cell r="I1706" t="str">
            <v>IC A</v>
          </cell>
          <cell r="J1706" t="str">
            <v>Fedex</v>
          </cell>
          <cell r="K1706" t="str">
            <v>VVMV</v>
          </cell>
          <cell r="L1706" t="str">
            <v>US</v>
          </cell>
          <cell r="M1706">
            <v>46169</v>
          </cell>
          <cell r="N1706">
            <v>46178</v>
          </cell>
          <cell r="O1706">
            <v>46178</v>
          </cell>
          <cell r="P1706">
            <v>108304057410</v>
          </cell>
          <cell r="Q1706">
            <v>46176</v>
          </cell>
          <cell r="R1706" t="str">
            <v>No inspection</v>
          </cell>
          <cell r="S1706">
            <v>47938</v>
          </cell>
          <cell r="T1706" t="str">
            <v>CIF</v>
          </cell>
          <cell r="U1706" t="str">
            <v>EF-</v>
          </cell>
        </row>
        <row r="1707">
          <cell r="D1707">
            <v>1.1000000000000001</v>
          </cell>
          <cell r="F1707">
            <v>500292677317</v>
          </cell>
          <cell r="G1707" t="str">
            <v>ARROW COMPONENTS MEXICO SA De CV</v>
          </cell>
          <cell r="H1707" t="str">
            <v>Delivered</v>
          </cell>
          <cell r="I1707" t="str">
            <v>TRAN</v>
          </cell>
          <cell r="J1707" t="str">
            <v>Fedex</v>
          </cell>
          <cell r="K1707" t="str">
            <v>VVMV</v>
          </cell>
          <cell r="L1707" t="str">
            <v>MX</v>
          </cell>
          <cell r="M1707">
            <v>46168</v>
          </cell>
          <cell r="N1707">
            <v>46178</v>
          </cell>
          <cell r="O1707">
            <v>46178</v>
          </cell>
          <cell r="P1707">
            <v>108304051660</v>
          </cell>
          <cell r="Q1707">
            <v>46176</v>
          </cell>
          <cell r="R1707" t="str">
            <v>No inspection</v>
          </cell>
          <cell r="S1707">
            <v>950</v>
          </cell>
          <cell r="T1707" t="str">
            <v>CIF</v>
          </cell>
          <cell r="U1707" t="str">
            <v>PUR</v>
          </cell>
        </row>
        <row r="1708">
          <cell r="D1708">
            <v>37</v>
          </cell>
          <cell r="F1708">
            <v>527178233604</v>
          </cell>
          <cell r="G1708" t="str">
            <v>MOUSER ELECTRONICS INC</v>
          </cell>
          <cell r="H1708" t="str">
            <v>Delivered</v>
          </cell>
          <cell r="I1708" t="str">
            <v>TRAN, RES , IC L, IC R, DIOD, CAP , IND , IC M, THER, IC V, CRYS</v>
          </cell>
          <cell r="J1708" t="str">
            <v>Fedex</v>
          </cell>
          <cell r="K1708" t="str">
            <v>VVMV</v>
          </cell>
          <cell r="L1708" t="str">
            <v>US</v>
          </cell>
          <cell r="M1708">
            <v>46170</v>
          </cell>
          <cell r="N1708">
            <v>46181</v>
          </cell>
          <cell r="O1708">
            <v>46185</v>
          </cell>
          <cell r="P1708">
            <v>108322723130</v>
          </cell>
          <cell r="Q1708">
            <v>46182</v>
          </cell>
          <cell r="R1708" t="str">
            <v>No inspection</v>
          </cell>
          <cell r="S1708">
            <v>14541.12</v>
          </cell>
          <cell r="T1708" t="str">
            <v>CIF</v>
          </cell>
          <cell r="U1708" t="str">
            <v>FMC</v>
          </cell>
        </row>
        <row r="1709">
          <cell r="D1709">
            <v>1.1000000000000001</v>
          </cell>
          <cell r="F1709">
            <v>500292678059</v>
          </cell>
          <cell r="G1709" t="str">
            <v>ARROW COMPONENTS MEXICO SA De CV</v>
          </cell>
          <cell r="H1709" t="str">
            <v>Delivered</v>
          </cell>
          <cell r="I1709" t="str">
            <v>TRAN</v>
          </cell>
          <cell r="J1709" t="str">
            <v>Fedex</v>
          </cell>
          <cell r="K1709" t="str">
            <v>VVMV</v>
          </cell>
          <cell r="L1709" t="str">
            <v>MX</v>
          </cell>
          <cell r="M1709">
            <v>46169</v>
          </cell>
          <cell r="N1709">
            <v>46178</v>
          </cell>
          <cell r="O1709">
            <v>46178</v>
          </cell>
          <cell r="P1709">
            <v>108304161930</v>
          </cell>
          <cell r="Q1709">
            <v>46176</v>
          </cell>
          <cell r="R1709" t="str">
            <v>No inspection</v>
          </cell>
          <cell r="S1709">
            <v>950</v>
          </cell>
          <cell r="T1709" t="str">
            <v>CIF</v>
          </cell>
          <cell r="U1709" t="str">
            <v>PUR</v>
          </cell>
        </row>
        <row r="1710">
          <cell r="D1710">
            <v>0.5</v>
          </cell>
          <cell r="F1710">
            <v>500292677155</v>
          </cell>
          <cell r="G1710" t="str">
            <v>ARROW COMPONENTS MEXICO SA De CV</v>
          </cell>
          <cell r="H1710" t="str">
            <v>Delivered</v>
          </cell>
          <cell r="I1710" t="str">
            <v>DIOD</v>
          </cell>
          <cell r="J1710" t="str">
            <v>Fedex</v>
          </cell>
          <cell r="K1710" t="str">
            <v>VVMV</v>
          </cell>
          <cell r="L1710" t="str">
            <v>MX</v>
          </cell>
          <cell r="M1710">
            <v>46169</v>
          </cell>
          <cell r="N1710">
            <v>46178</v>
          </cell>
          <cell r="O1710">
            <v>46178</v>
          </cell>
          <cell r="P1710">
            <v>108304560560</v>
          </cell>
          <cell r="Q1710">
            <v>46176</v>
          </cell>
          <cell r="R1710" t="str">
            <v>No inspection</v>
          </cell>
          <cell r="S1710">
            <v>145.5</v>
          </cell>
          <cell r="T1710" t="str">
            <v>CIF</v>
          </cell>
          <cell r="U1710" t="str">
            <v>PUR</v>
          </cell>
        </row>
        <row r="1711">
          <cell r="D1711">
            <v>0.4</v>
          </cell>
          <cell r="F1711">
            <v>527529836679</v>
          </cell>
          <cell r="G1711" t="str">
            <v>MICROCHIP TECNOLOGY(TH) CO LTD</v>
          </cell>
          <cell r="H1711" t="str">
            <v>Delivered</v>
          </cell>
          <cell r="I1711" t="str">
            <v>CRYS</v>
          </cell>
          <cell r="J1711" t="str">
            <v>Fedex</v>
          </cell>
          <cell r="K1711" t="str">
            <v>VVMV</v>
          </cell>
          <cell r="L1711" t="str">
            <v>TH</v>
          </cell>
          <cell r="M1711">
            <v>46171</v>
          </cell>
          <cell r="N1711">
            <v>46178</v>
          </cell>
          <cell r="O1711">
            <v>46178</v>
          </cell>
          <cell r="P1711">
            <v>108304346030</v>
          </cell>
          <cell r="Q1711">
            <v>46176</v>
          </cell>
          <cell r="R1711" t="str">
            <v>No inspection</v>
          </cell>
          <cell r="S1711">
            <v>1305</v>
          </cell>
          <cell r="T1711" t="str">
            <v>EXW</v>
          </cell>
          <cell r="U1711" t="str">
            <v>LUC</v>
          </cell>
        </row>
        <row r="1712">
          <cell r="D1712">
            <v>31.7</v>
          </cell>
          <cell r="F1712">
            <v>809262197260</v>
          </cell>
          <cell r="G1712" t="str">
            <v>UNIGEN (HK) LIMITED</v>
          </cell>
          <cell r="H1712" t="str">
            <v>Delivered</v>
          </cell>
          <cell r="I1712" t="str">
            <v>IC S</v>
          </cell>
          <cell r="J1712" t="str">
            <v>Fedex</v>
          </cell>
          <cell r="K1712" t="str">
            <v>VVMV</v>
          </cell>
          <cell r="L1712" t="str">
            <v>HK</v>
          </cell>
          <cell r="M1712">
            <v>46171</v>
          </cell>
          <cell r="N1712">
            <v>46176</v>
          </cell>
          <cell r="O1712">
            <v>46177</v>
          </cell>
          <cell r="P1712">
            <v>108301476510</v>
          </cell>
          <cell r="Q1712">
            <v>46059.634421296294</v>
          </cell>
          <cell r="R1712" t="str">
            <v>No inspection</v>
          </cell>
          <cell r="S1712">
            <v>1046400</v>
          </cell>
          <cell r="T1712" t="str">
            <v>EXW</v>
          </cell>
          <cell r="U1712">
            <v>102</v>
          </cell>
        </row>
        <row r="1713">
          <cell r="D1713">
            <v>7.8</v>
          </cell>
          <cell r="F1713">
            <v>872378270097</v>
          </cell>
          <cell r="G1713" t="str">
            <v>VITAL SYSTEM TECHNOLOGY PTE LTD</v>
          </cell>
          <cell r="H1713" t="str">
            <v>Delivered</v>
          </cell>
          <cell r="I1713" t="str">
            <v xml:space="preserve">CAP , DIOD, RES </v>
          </cell>
          <cell r="J1713" t="str">
            <v>Fedex</v>
          </cell>
          <cell r="K1713" t="str">
            <v>VVMV</v>
          </cell>
          <cell r="L1713" t="str">
            <v>SG</v>
          </cell>
          <cell r="M1713">
            <v>46171</v>
          </cell>
          <cell r="N1713">
            <v>46178</v>
          </cell>
          <cell r="O1713">
            <v>46178</v>
          </cell>
          <cell r="P1713">
            <v>108304832160</v>
          </cell>
          <cell r="Q1713">
            <v>46176</v>
          </cell>
          <cell r="R1713" t="str">
            <v>No inspection</v>
          </cell>
          <cell r="S1713">
            <v>1644.65</v>
          </cell>
          <cell r="T1713" t="str">
            <v>EXW</v>
          </cell>
          <cell r="U1713" t="str">
            <v>PUR</v>
          </cell>
        </row>
        <row r="1714">
          <cell r="D1714">
            <v>0.3</v>
          </cell>
          <cell r="F1714">
            <v>872206220171</v>
          </cell>
          <cell r="G1714" t="str">
            <v>M&amp;Partners CO ., LTD (Suntsu Agent)</v>
          </cell>
          <cell r="H1714" t="str">
            <v>Delivered</v>
          </cell>
          <cell r="I1714" t="str">
            <v>CRYS</v>
          </cell>
          <cell r="J1714" t="str">
            <v>Fedex</v>
          </cell>
          <cell r="K1714" t="str">
            <v>VVMV</v>
          </cell>
          <cell r="L1714" t="str">
            <v>KR</v>
          </cell>
          <cell r="M1714">
            <v>46170</v>
          </cell>
          <cell r="N1714">
            <v>46178</v>
          </cell>
          <cell r="O1714">
            <v>46178</v>
          </cell>
          <cell r="P1714">
            <v>108304754020</v>
          </cell>
          <cell r="Q1714">
            <v>46176</v>
          </cell>
          <cell r="R1714" t="str">
            <v>No inspection</v>
          </cell>
          <cell r="S1714">
            <v>640</v>
          </cell>
          <cell r="T1714" t="str">
            <v>CIF</v>
          </cell>
          <cell r="U1714" t="str">
            <v>EF-</v>
          </cell>
        </row>
        <row r="1715">
          <cell r="D1715">
            <v>37.799999999999997</v>
          </cell>
          <cell r="F1715">
            <v>472187612303</v>
          </cell>
          <cell r="G1715" t="str">
            <v>HEILIND ASIA PACIFIC</v>
          </cell>
          <cell r="H1715" t="str">
            <v>Delivered</v>
          </cell>
          <cell r="I1715" t="str">
            <v>CONN</v>
          </cell>
          <cell r="J1715" t="str">
            <v>Fedex</v>
          </cell>
          <cell r="K1715" t="str">
            <v>VVMV</v>
          </cell>
          <cell r="L1715" t="str">
            <v>HK</v>
          </cell>
          <cell r="M1715">
            <v>46169</v>
          </cell>
          <cell r="N1715">
            <v>46178</v>
          </cell>
          <cell r="O1715">
            <v>46189</v>
          </cell>
          <cell r="P1715">
            <v>108304819820</v>
          </cell>
          <cell r="Q1715">
            <v>46176</v>
          </cell>
          <cell r="R1715" t="str">
            <v>No inspection</v>
          </cell>
          <cell r="S1715">
            <v>2375.75</v>
          </cell>
          <cell r="T1715" t="str">
            <v>CIF</v>
          </cell>
          <cell r="U1715" t="str">
            <v>EF-</v>
          </cell>
        </row>
        <row r="1716">
          <cell r="D1716">
            <v>13.2</v>
          </cell>
          <cell r="F1716">
            <v>381664000889</v>
          </cell>
          <cell r="G1716" t="str">
            <v>c/o DHL Supply Chain SGP P/L
Texas Instruments Southeast Asia Pt</v>
          </cell>
          <cell r="H1716" t="str">
            <v>Delivered</v>
          </cell>
          <cell r="I1716" t="str">
            <v>IC S, IC V</v>
          </cell>
          <cell r="J1716" t="str">
            <v>Fedex</v>
          </cell>
          <cell r="K1716" t="str">
            <v>VVMV</v>
          </cell>
          <cell r="L1716" t="str">
            <v>SG</v>
          </cell>
          <cell r="M1716">
            <v>46171</v>
          </cell>
          <cell r="N1716">
            <v>46178</v>
          </cell>
          <cell r="O1716">
            <v>46178</v>
          </cell>
          <cell r="P1716">
            <v>108303774130</v>
          </cell>
          <cell r="Q1716">
            <v>46176</v>
          </cell>
          <cell r="R1716" t="str">
            <v>No inspection</v>
          </cell>
          <cell r="S1716">
            <v>13500</v>
          </cell>
          <cell r="T1716" t="str">
            <v>EXW</v>
          </cell>
          <cell r="U1716" t="str">
            <v>PUR</v>
          </cell>
        </row>
        <row r="1717">
          <cell r="D1717">
            <v>34.4</v>
          </cell>
          <cell r="F1717">
            <v>381681556134</v>
          </cell>
          <cell r="G1717" t="str">
            <v>c/o DHL Supply Chain SGP P/L
Texas Instruments Southeast Asia Pt</v>
          </cell>
          <cell r="H1717" t="str">
            <v>Delivered</v>
          </cell>
          <cell r="I1717" t="str">
            <v>IC L, IC  , IC A, IC M, IC T, IC S, IC P, IC R</v>
          </cell>
          <cell r="J1717" t="str">
            <v>Fedex</v>
          </cell>
          <cell r="K1717" t="str">
            <v>VVMV</v>
          </cell>
          <cell r="L1717" t="str">
            <v>SG</v>
          </cell>
          <cell r="M1717">
            <v>46172</v>
          </cell>
          <cell r="N1717">
            <v>46178</v>
          </cell>
          <cell r="O1717">
            <v>46178</v>
          </cell>
          <cell r="P1717">
            <v>108306262150</v>
          </cell>
          <cell r="Q1717">
            <v>46176</v>
          </cell>
          <cell r="R1717" t="str">
            <v>No inspection</v>
          </cell>
          <cell r="S1717">
            <v>78410.5</v>
          </cell>
          <cell r="T1717" t="str">
            <v>EXW</v>
          </cell>
          <cell r="U1717" t="str">
            <v>LUC</v>
          </cell>
        </row>
        <row r="1718">
          <cell r="D1718">
            <v>10.4</v>
          </cell>
          <cell r="F1718">
            <v>872205227423</v>
          </cell>
          <cell r="G1718" t="str">
            <v>AMA INTERNATIONAL FREIGHT LTD</v>
          </cell>
          <cell r="H1718" t="str">
            <v>Delivered</v>
          </cell>
          <cell r="I1718" t="str">
            <v xml:space="preserve">CBL </v>
          </cell>
          <cell r="J1718" t="str">
            <v>Fedex</v>
          </cell>
          <cell r="K1718" t="str">
            <v>VVMV</v>
          </cell>
          <cell r="L1718" t="str">
            <v>HK</v>
          </cell>
          <cell r="M1718">
            <v>46171</v>
          </cell>
          <cell r="N1718">
            <v>46178</v>
          </cell>
          <cell r="O1718">
            <v>46178</v>
          </cell>
          <cell r="P1718">
            <v>108303853340</v>
          </cell>
          <cell r="Q1718">
            <v>46176</v>
          </cell>
          <cell r="R1718" t="str">
            <v>No inspection</v>
          </cell>
          <cell r="S1718">
            <v>3925</v>
          </cell>
          <cell r="T1718" t="str">
            <v>EXW</v>
          </cell>
          <cell r="U1718" t="str">
            <v>EF-</v>
          </cell>
        </row>
        <row r="1719">
          <cell r="D1719">
            <v>5.8</v>
          </cell>
          <cell r="F1719">
            <v>527529842090</v>
          </cell>
          <cell r="G1719" t="str">
            <v>MICROCHIP TECNOLOGY(TH) CO LTD</v>
          </cell>
          <cell r="H1719" t="str">
            <v>Delivered</v>
          </cell>
          <cell r="I1719" t="str">
            <v>IC M</v>
          </cell>
          <cell r="J1719" t="str">
            <v>Fedex</v>
          </cell>
          <cell r="K1719" t="str">
            <v>VVMV</v>
          </cell>
          <cell r="L1719" t="str">
            <v>TH</v>
          </cell>
          <cell r="M1719">
            <v>46172</v>
          </cell>
          <cell r="N1719">
            <v>46178</v>
          </cell>
          <cell r="O1719">
            <v>46178</v>
          </cell>
          <cell r="P1719">
            <v>108303962800</v>
          </cell>
          <cell r="Q1719">
            <v>46176</v>
          </cell>
          <cell r="R1719" t="str">
            <v>No inspection</v>
          </cell>
          <cell r="S1719">
            <v>61584</v>
          </cell>
          <cell r="T1719" t="str">
            <v>EXW</v>
          </cell>
          <cell r="U1719" t="str">
            <v>PUR</v>
          </cell>
        </row>
        <row r="1720">
          <cell r="D1720">
            <v>14.9</v>
          </cell>
          <cell r="F1720">
            <v>119209738268</v>
          </cell>
          <cell r="G1720" t="str">
            <v>FUTURE ELECTRONICS FICE</v>
          </cell>
          <cell r="H1720" t="str">
            <v>Delivered</v>
          </cell>
          <cell r="I1720" t="str">
            <v xml:space="preserve">IC S, CAP </v>
          </cell>
          <cell r="J1720" t="str">
            <v>Fedex</v>
          </cell>
          <cell r="K1720" t="str">
            <v>VVMV</v>
          </cell>
          <cell r="L1720" t="str">
            <v>US</v>
          </cell>
          <cell r="M1720">
            <v>46171</v>
          </cell>
          <cell r="N1720">
            <v>46178</v>
          </cell>
          <cell r="O1720">
            <v>46178</v>
          </cell>
          <cell r="P1720">
            <v>108304985020</v>
          </cell>
          <cell r="Q1720">
            <v>46176</v>
          </cell>
          <cell r="R1720" t="str">
            <v>No inspection</v>
          </cell>
          <cell r="S1720">
            <v>9480</v>
          </cell>
          <cell r="T1720" t="str">
            <v>CIF</v>
          </cell>
          <cell r="U1720" t="str">
            <v>PUR</v>
          </cell>
        </row>
        <row r="1721">
          <cell r="D1721">
            <v>15.8</v>
          </cell>
          <cell r="F1721">
            <v>484361668338</v>
          </cell>
          <cell r="G1721" t="str">
            <v>COILCRAFT SINGAPORE PTE LTD</v>
          </cell>
          <cell r="H1721" t="str">
            <v>Delivered</v>
          </cell>
          <cell r="I1721" t="str">
            <v xml:space="preserve">INDU, IND </v>
          </cell>
          <cell r="J1721" t="str">
            <v>Fedex</v>
          </cell>
          <cell r="K1721" t="str">
            <v>VVMV</v>
          </cell>
          <cell r="L1721" t="str">
            <v>SG</v>
          </cell>
          <cell r="M1721">
            <v>46171</v>
          </cell>
          <cell r="N1721">
            <v>46178</v>
          </cell>
          <cell r="O1721">
            <v>46178</v>
          </cell>
          <cell r="P1721">
            <v>108304127630</v>
          </cell>
          <cell r="Q1721">
            <v>46176</v>
          </cell>
          <cell r="R1721" t="str">
            <v>No inspection</v>
          </cell>
          <cell r="S1721">
            <v>4180.5</v>
          </cell>
          <cell r="T1721" t="str">
            <v>EXW</v>
          </cell>
          <cell r="U1721" t="str">
            <v>LUC</v>
          </cell>
        </row>
        <row r="1722">
          <cell r="D1722">
            <v>0.5</v>
          </cell>
          <cell r="F1722">
            <v>527178341866</v>
          </cell>
          <cell r="G1722" t="str">
            <v>MOUSER ELECTRONICS INC</v>
          </cell>
          <cell r="H1722" t="str">
            <v>Delivered</v>
          </cell>
          <cell r="I1722" t="str">
            <v xml:space="preserve">CAP </v>
          </cell>
          <cell r="J1722" t="str">
            <v>Fedex</v>
          </cell>
          <cell r="K1722" t="str">
            <v>VVMV</v>
          </cell>
          <cell r="L1722" t="str">
            <v>US</v>
          </cell>
          <cell r="M1722">
            <v>46171</v>
          </cell>
          <cell r="N1722">
            <v>46178</v>
          </cell>
          <cell r="O1722">
            <v>46178</v>
          </cell>
          <cell r="P1722">
            <v>108304223420</v>
          </cell>
          <cell r="Q1722">
            <v>46176</v>
          </cell>
          <cell r="R1722" t="str">
            <v>No inspection</v>
          </cell>
          <cell r="S1722">
            <v>209.9</v>
          </cell>
          <cell r="T1722" t="str">
            <v>CIF</v>
          </cell>
          <cell r="U1722" t="str">
            <v>FMC</v>
          </cell>
        </row>
        <row r="1723">
          <cell r="D1723">
            <v>1.2</v>
          </cell>
          <cell r="F1723">
            <v>526433715307</v>
          </cell>
          <cell r="G1723" t="str">
            <v>FUTURE ELECTRONICS</v>
          </cell>
          <cell r="H1723" t="str">
            <v>Delivered</v>
          </cell>
          <cell r="I1723" t="str">
            <v xml:space="preserve">LED </v>
          </cell>
          <cell r="J1723" t="str">
            <v>Fedex</v>
          </cell>
          <cell r="K1723" t="str">
            <v>VVMV</v>
          </cell>
          <cell r="L1723" t="str">
            <v>US</v>
          </cell>
          <cell r="M1723">
            <v>46171</v>
          </cell>
          <cell r="N1723">
            <v>46178</v>
          </cell>
          <cell r="O1723">
            <v>46178</v>
          </cell>
          <cell r="P1723">
            <v>108304331000</v>
          </cell>
          <cell r="Q1723">
            <v>46176</v>
          </cell>
          <cell r="R1723" t="str">
            <v>No inspection</v>
          </cell>
          <cell r="S1723">
            <v>414</v>
          </cell>
          <cell r="T1723" t="str">
            <v>CIF</v>
          </cell>
          <cell r="U1723" t="str">
            <v>PUR</v>
          </cell>
        </row>
        <row r="1724">
          <cell r="D1724" t="str">
            <v>x</v>
          </cell>
          <cell r="F1724">
            <v>489101279265</v>
          </cell>
          <cell r="G1724" t="str">
            <v>Arrow</v>
          </cell>
          <cell r="H1724" t="str">
            <v>Delivered</v>
          </cell>
          <cell r="I1724" t="str">
            <v>RES</v>
          </cell>
          <cell r="J1724" t="str">
            <v>Fedex</v>
          </cell>
          <cell r="K1724" t="str">
            <v>x</v>
          </cell>
          <cell r="L1724" t="str">
            <v>US</v>
          </cell>
          <cell r="M1724" t="str">
            <v>x</v>
          </cell>
          <cell r="N1724" t="str">
            <v>x</v>
          </cell>
          <cell r="O1724">
            <v>46175</v>
          </cell>
          <cell r="P1724" t="str">
            <v>hàng phát thẳng</v>
          </cell>
          <cell r="Q1724" t="str">
            <v>x</v>
          </cell>
          <cell r="R1724" t="str">
            <v>x</v>
          </cell>
          <cell r="S1724" t="str">
            <v>x</v>
          </cell>
          <cell r="T1724" t="str">
            <v>CIF</v>
          </cell>
          <cell r="U1724" t="str">
            <v>OEM</v>
          </cell>
        </row>
        <row r="1725">
          <cell r="D1725">
            <v>0.9</v>
          </cell>
          <cell r="F1725">
            <v>500292661329</v>
          </cell>
          <cell r="G1725" t="str">
            <v>ARROW COMPONENTS MEXICO SA De CV</v>
          </cell>
          <cell r="H1725" t="str">
            <v>Delivered</v>
          </cell>
          <cell r="I1725" t="str">
            <v>TRAN</v>
          </cell>
          <cell r="J1725" t="str">
            <v>Fedex</v>
          </cell>
          <cell r="K1725" t="str">
            <v>VVMV</v>
          </cell>
          <cell r="L1725" t="str">
            <v>MX</v>
          </cell>
          <cell r="M1725">
            <v>46163</v>
          </cell>
          <cell r="N1725">
            <v>46178</v>
          </cell>
          <cell r="O1725">
            <v>46178</v>
          </cell>
          <cell r="P1725">
            <v>108305142850</v>
          </cell>
          <cell r="Q1725">
            <v>46176</v>
          </cell>
          <cell r="R1725" t="str">
            <v>No inspection</v>
          </cell>
          <cell r="S1725">
            <v>950</v>
          </cell>
          <cell r="T1725" t="str">
            <v>CIF</v>
          </cell>
          <cell r="U1725" t="str">
            <v>PUR</v>
          </cell>
        </row>
        <row r="1726">
          <cell r="D1726">
            <v>0.5</v>
          </cell>
          <cell r="F1726">
            <v>500292661395</v>
          </cell>
          <cell r="G1726" t="str">
            <v>ARROW COMPONENTS MEXICO SA De CV</v>
          </cell>
          <cell r="H1726" t="str">
            <v>Delivered</v>
          </cell>
          <cell r="I1726" t="str">
            <v>DIOD</v>
          </cell>
          <cell r="J1726" t="str">
            <v>Fedex</v>
          </cell>
          <cell r="K1726" t="str">
            <v>VVMV</v>
          </cell>
          <cell r="L1726" t="str">
            <v>MX</v>
          </cell>
          <cell r="M1726">
            <v>46163</v>
          </cell>
          <cell r="N1726">
            <v>46178</v>
          </cell>
          <cell r="O1726">
            <v>46178</v>
          </cell>
          <cell r="P1726">
            <v>108305067400</v>
          </cell>
          <cell r="Q1726">
            <v>46176</v>
          </cell>
          <cell r="R1726" t="str">
            <v>No inspection</v>
          </cell>
          <cell r="S1726">
            <v>145.5</v>
          </cell>
          <cell r="T1726" t="str">
            <v>CIF</v>
          </cell>
          <cell r="U1726" t="str">
            <v>HLO</v>
          </cell>
        </row>
        <row r="1727">
          <cell r="D1727">
            <v>0.9</v>
          </cell>
          <cell r="F1727">
            <v>500292666147</v>
          </cell>
          <cell r="G1727" t="str">
            <v>ARROW COMPONENTS MEXICO SA De CV</v>
          </cell>
          <cell r="H1727" t="str">
            <v>Delivered</v>
          </cell>
          <cell r="I1727" t="str">
            <v>TRAN</v>
          </cell>
          <cell r="J1727" t="str">
            <v>Fedex</v>
          </cell>
          <cell r="K1727" t="str">
            <v>VVMV</v>
          </cell>
          <cell r="L1727" t="str">
            <v>MX</v>
          </cell>
          <cell r="M1727">
            <v>46164</v>
          </cell>
          <cell r="N1727">
            <v>46178</v>
          </cell>
          <cell r="O1727">
            <v>46178</v>
          </cell>
          <cell r="P1727">
            <v>108306234740</v>
          </cell>
          <cell r="Q1727">
            <v>46176</v>
          </cell>
          <cell r="R1727" t="str">
            <v>No inspection</v>
          </cell>
          <cell r="S1727">
            <v>950</v>
          </cell>
          <cell r="T1727" t="str">
            <v>CIF</v>
          </cell>
          <cell r="U1727" t="str">
            <v>PUR</v>
          </cell>
        </row>
        <row r="1728">
          <cell r="D1728">
            <v>1.4</v>
          </cell>
          <cell r="F1728">
            <v>527158892192</v>
          </cell>
          <cell r="G1728" t="str">
            <v>ARROW ELECTRONICS, INC.</v>
          </cell>
          <cell r="H1728" t="str">
            <v>Delivered</v>
          </cell>
          <cell r="I1728" t="str">
            <v>IC F</v>
          </cell>
          <cell r="J1728" t="str">
            <v>Fedex</v>
          </cell>
          <cell r="K1728" t="str">
            <v>VVMV</v>
          </cell>
          <cell r="L1728" t="str">
            <v>US</v>
          </cell>
          <cell r="M1728">
            <v>46163</v>
          </cell>
          <cell r="N1728">
            <v>46178</v>
          </cell>
          <cell r="O1728">
            <v>46178</v>
          </cell>
          <cell r="P1728">
            <v>108305332660</v>
          </cell>
          <cell r="Q1728">
            <v>46176</v>
          </cell>
          <cell r="R1728" t="str">
            <v>No inspection</v>
          </cell>
          <cell r="S1728">
            <v>955.6</v>
          </cell>
          <cell r="T1728" t="str">
            <v>CIF</v>
          </cell>
          <cell r="U1728" t="str">
            <v>HLO</v>
          </cell>
        </row>
        <row r="1729">
          <cell r="D1729">
            <v>52.4</v>
          </cell>
          <cell r="F1729">
            <v>527390481744</v>
          </cell>
          <cell r="G1729" t="str">
            <v>Micron Memory Malaysia Sdn. Bh</v>
          </cell>
          <cell r="H1729" t="str">
            <v>Delivered</v>
          </cell>
          <cell r="I1729" t="str">
            <v xml:space="preserve">MEM </v>
          </cell>
          <cell r="J1729" t="str">
            <v>Fedex</v>
          </cell>
          <cell r="K1729" t="str">
            <v>VVMV</v>
          </cell>
          <cell r="L1729" t="str">
            <v>MY</v>
          </cell>
          <cell r="M1729">
            <v>46167</v>
          </cell>
          <cell r="N1729">
            <v>46178</v>
          </cell>
          <cell r="O1729">
            <v>46178</v>
          </cell>
          <cell r="P1729">
            <v>108305705100</v>
          </cell>
          <cell r="Q1729">
            <v>46176</v>
          </cell>
          <cell r="R1729" t="str">
            <v>No inspection</v>
          </cell>
          <cell r="S1729">
            <v>4602500</v>
          </cell>
          <cell r="T1729" t="str">
            <v>CIF</v>
          </cell>
          <cell r="U1729" t="str">
            <v>PUR</v>
          </cell>
        </row>
        <row r="1730">
          <cell r="D1730">
            <v>1.9</v>
          </cell>
          <cell r="F1730">
            <v>527390485717</v>
          </cell>
          <cell r="G1730" t="str">
            <v>Micron Memory Malaysia Sdn. Bh</v>
          </cell>
          <cell r="H1730" t="str">
            <v>Delivered</v>
          </cell>
          <cell r="I1730" t="str">
            <v xml:space="preserve">MEM </v>
          </cell>
          <cell r="J1730" t="str">
            <v>Fedex</v>
          </cell>
          <cell r="K1730" t="str">
            <v>VVMV</v>
          </cell>
          <cell r="L1730" t="str">
            <v>MY</v>
          </cell>
          <cell r="M1730">
            <v>46168</v>
          </cell>
          <cell r="N1730">
            <v>46178</v>
          </cell>
          <cell r="O1730">
            <v>46178</v>
          </cell>
          <cell r="P1730">
            <v>108305326140</v>
          </cell>
          <cell r="Q1730">
            <v>46176</v>
          </cell>
          <cell r="R1730" t="str">
            <v>No inspection</v>
          </cell>
          <cell r="S1730">
            <v>502944.7</v>
          </cell>
          <cell r="T1730" t="str">
            <v>CIF</v>
          </cell>
          <cell r="U1730" t="str">
            <v>PUR</v>
          </cell>
        </row>
        <row r="1731">
          <cell r="D1731">
            <v>8.9</v>
          </cell>
          <cell r="F1731">
            <v>4729990683</v>
          </cell>
          <cell r="G1731" t="str">
            <v>AVNET ASIA PTE LTD C/O AVNET TECH HONG KONG LTD</v>
          </cell>
          <cell r="H1731" t="str">
            <v>Delivered</v>
          </cell>
          <cell r="I1731" t="str">
            <v xml:space="preserve">IND </v>
          </cell>
          <cell r="J1731" t="str">
            <v>DHL</v>
          </cell>
          <cell r="K1731" t="str">
            <v>VVMV</v>
          </cell>
          <cell r="L1731" t="str">
            <v>HK</v>
          </cell>
          <cell r="M1731">
            <v>46175</v>
          </cell>
          <cell r="N1731">
            <v>46178</v>
          </cell>
          <cell r="O1731">
            <v>46177</v>
          </cell>
          <cell r="P1731">
            <v>108305384830</v>
          </cell>
          <cell r="Q1731">
            <v>46176</v>
          </cell>
          <cell r="R1731" t="str">
            <v>No inspection</v>
          </cell>
          <cell r="S1731">
            <v>708.38</v>
          </cell>
          <cell r="T1731" t="str">
            <v>CIF</v>
          </cell>
          <cell r="U1731" t="str">
            <v>FMC</v>
          </cell>
        </row>
        <row r="1732">
          <cell r="D1732">
            <v>34.4</v>
          </cell>
          <cell r="F1732">
            <v>6897410575</v>
          </cell>
          <cell r="G1732" t="str">
            <v>LIPERS ENTERPRISE CO., LTD.</v>
          </cell>
          <cell r="H1732" t="str">
            <v>Delivered</v>
          </cell>
          <cell r="I1732" t="str">
            <v xml:space="preserve">CAP </v>
          </cell>
          <cell r="J1732" t="str">
            <v>DHL</v>
          </cell>
          <cell r="K1732" t="str">
            <v>VVMV</v>
          </cell>
          <cell r="L1732" t="str">
            <v>TW</v>
          </cell>
          <cell r="M1732">
            <v>46175</v>
          </cell>
          <cell r="N1732">
            <v>46178</v>
          </cell>
          <cell r="O1732">
            <v>46178</v>
          </cell>
          <cell r="P1732">
            <v>108306286210</v>
          </cell>
          <cell r="Q1732">
            <v>46176</v>
          </cell>
          <cell r="R1732" t="str">
            <v>No inspection</v>
          </cell>
          <cell r="S1732">
            <v>4207.1000000000004</v>
          </cell>
          <cell r="T1732" t="str">
            <v>EXW</v>
          </cell>
          <cell r="U1732" t="str">
            <v>PUR</v>
          </cell>
        </row>
        <row r="1733">
          <cell r="D1733">
            <v>0.1</v>
          </cell>
          <cell r="F1733">
            <v>7590414123</v>
          </cell>
          <cell r="G1733" t="str">
            <v>Fukul Murata manufacturing Co., LTd</v>
          </cell>
          <cell r="H1733" t="str">
            <v>Delivered</v>
          </cell>
          <cell r="I1733" t="str">
            <v xml:space="preserve">CAP </v>
          </cell>
          <cell r="J1733" t="str">
            <v>DHL</v>
          </cell>
          <cell r="K1733" t="str">
            <v>VVMV</v>
          </cell>
          <cell r="L1733" t="str">
            <v>JP</v>
          </cell>
          <cell r="M1733">
            <v>46175</v>
          </cell>
          <cell r="N1733">
            <v>46178</v>
          </cell>
          <cell r="O1733">
            <v>46178</v>
          </cell>
          <cell r="P1733">
            <v>108308305340</v>
          </cell>
          <cell r="Q1733">
            <v>46177</v>
          </cell>
          <cell r="R1733" t="str">
            <v>No inspection</v>
          </cell>
          <cell r="S1733">
            <v>2.72</v>
          </cell>
          <cell r="T1733" t="str">
            <v>CIF</v>
          </cell>
          <cell r="U1733" t="str">
            <v>FMC</v>
          </cell>
        </row>
        <row r="1734">
          <cell r="D1734">
            <v>0.4</v>
          </cell>
          <cell r="F1734">
            <v>381669260252</v>
          </cell>
          <cell r="G1734" t="str">
            <v>C/O KINTETSU WORLD EXPRESS ( CHINA )
TEXAS INSTRUMENTS ASIA LIMITED</v>
          </cell>
          <cell r="H1734" t="str">
            <v>Delivered</v>
          </cell>
          <cell r="I1734" t="str">
            <v>IC V</v>
          </cell>
          <cell r="J1734" t="str">
            <v>Fedex</v>
          </cell>
          <cell r="K1734" t="str">
            <v>VVMV</v>
          </cell>
          <cell r="L1734" t="str">
            <v>CN</v>
          </cell>
          <cell r="M1734">
            <v>46171</v>
          </cell>
          <cell r="N1734">
            <v>46178</v>
          </cell>
          <cell r="O1734">
            <v>46178</v>
          </cell>
          <cell r="P1734">
            <v>108305625040</v>
          </cell>
          <cell r="Q1734">
            <v>46176</v>
          </cell>
          <cell r="R1734" t="str">
            <v>No inspection</v>
          </cell>
          <cell r="S1734">
            <v>666</v>
          </cell>
          <cell r="T1734" t="str">
            <v>EXW</v>
          </cell>
          <cell r="U1734" t="str">
            <v>HLO</v>
          </cell>
        </row>
        <row r="1735">
          <cell r="D1735">
            <v>8.4</v>
          </cell>
          <cell r="F1735">
            <v>527529851635</v>
          </cell>
          <cell r="G1735" t="str">
            <v>MICROCHIP TECNOLOGY(TH) CO LTD</v>
          </cell>
          <cell r="H1735" t="str">
            <v>Delivered</v>
          </cell>
          <cell r="I1735" t="str">
            <v>IC M</v>
          </cell>
          <cell r="J1735" t="str">
            <v>Fedex</v>
          </cell>
          <cell r="K1735" t="str">
            <v>VVMV</v>
          </cell>
          <cell r="L1735" t="str">
            <v>TH</v>
          </cell>
          <cell r="M1735">
            <v>46175</v>
          </cell>
          <cell r="N1735">
            <v>46178</v>
          </cell>
          <cell r="O1735">
            <v>46181</v>
          </cell>
          <cell r="P1735">
            <v>108309534320</v>
          </cell>
          <cell r="Q1735">
            <v>46177</v>
          </cell>
          <cell r="R1735" t="str">
            <v>No inspection</v>
          </cell>
          <cell r="S1735">
            <v>86217.600000000006</v>
          </cell>
          <cell r="T1735" t="str">
            <v>EXW</v>
          </cell>
          <cell r="U1735" t="str">
            <v>PUR</v>
          </cell>
        </row>
        <row r="1736">
          <cell r="D1736">
            <v>11.7</v>
          </cell>
          <cell r="F1736">
            <v>872406182036</v>
          </cell>
          <cell r="G1736" t="str">
            <v>WURTH ELECTRONICS MIDCOM</v>
          </cell>
          <cell r="H1736" t="str">
            <v>Delivered</v>
          </cell>
          <cell r="I1736" t="str">
            <v xml:space="preserve">IND </v>
          </cell>
          <cell r="J1736" t="str">
            <v>Fedex</v>
          </cell>
          <cell r="K1736" t="str">
            <v>VVMV</v>
          </cell>
          <cell r="L1736" t="str">
            <v>US</v>
          </cell>
          <cell r="M1736">
            <v>46171</v>
          </cell>
          <cell r="N1736">
            <v>46178</v>
          </cell>
          <cell r="O1736">
            <v>46181</v>
          </cell>
          <cell r="P1736">
            <v>108309355450</v>
          </cell>
          <cell r="Q1736">
            <v>46177</v>
          </cell>
          <cell r="R1736" t="str">
            <v>No inspection</v>
          </cell>
          <cell r="S1736">
            <v>22260</v>
          </cell>
          <cell r="T1736" t="str">
            <v>CIF</v>
          </cell>
          <cell r="U1736" t="str">
            <v>LUC</v>
          </cell>
        </row>
        <row r="1737">
          <cell r="D1737">
            <v>0.5</v>
          </cell>
          <cell r="F1737">
            <v>381666781690</v>
          </cell>
          <cell r="G1737" t="str">
            <v>ROCHESTER ELECTRONICS</v>
          </cell>
          <cell r="H1737" t="str">
            <v>Delivered</v>
          </cell>
          <cell r="I1737" t="str">
            <v>IC H</v>
          </cell>
          <cell r="J1737" t="str">
            <v>Fedex</v>
          </cell>
          <cell r="K1737" t="str">
            <v>VVMV</v>
          </cell>
          <cell r="L1737" t="str">
            <v>US</v>
          </cell>
          <cell r="M1737">
            <v>46171</v>
          </cell>
          <cell r="N1737">
            <v>46182</v>
          </cell>
          <cell r="O1737">
            <v>46184</v>
          </cell>
          <cell r="P1737">
            <v>108320556630</v>
          </cell>
          <cell r="Q1737">
            <v>46181</v>
          </cell>
          <cell r="R1737" t="str">
            <v>No inspection</v>
          </cell>
          <cell r="S1737">
            <v>363</v>
          </cell>
          <cell r="T1737" t="str">
            <v>CIF</v>
          </cell>
          <cell r="U1737" t="str">
            <v>EF-</v>
          </cell>
        </row>
        <row r="1738">
          <cell r="D1738">
            <v>1.6</v>
          </cell>
          <cell r="F1738">
            <v>525688574718</v>
          </cell>
          <cell r="G1738" t="str">
            <v>ARROW COMPONENTS MEXICO SA De CV</v>
          </cell>
          <cell r="H1738" t="str">
            <v>Delivered</v>
          </cell>
          <cell r="I1738" t="str">
            <v>IC S</v>
          </cell>
          <cell r="J1738" t="str">
            <v>Fedex</v>
          </cell>
          <cell r="K1738" t="str">
            <v>VVMV</v>
          </cell>
          <cell r="L1738" t="str">
            <v>MX</v>
          </cell>
          <cell r="M1738">
            <v>46170</v>
          </cell>
          <cell r="N1738">
            <v>46178</v>
          </cell>
          <cell r="O1738">
            <v>46178</v>
          </cell>
          <cell r="P1738">
            <v>108305967930</v>
          </cell>
          <cell r="Q1738">
            <v>46176</v>
          </cell>
          <cell r="R1738" t="str">
            <v>No inspection</v>
          </cell>
          <cell r="S1738">
            <v>13288.8</v>
          </cell>
          <cell r="T1738" t="str">
            <v>CIF</v>
          </cell>
          <cell r="U1738" t="str">
            <v>EF-</v>
          </cell>
        </row>
        <row r="1739">
          <cell r="D1739">
            <v>48.8</v>
          </cell>
          <cell r="F1739">
            <v>517485671719</v>
          </cell>
          <cell r="G1739" t="str">
            <v>PENCOM LTD</v>
          </cell>
          <cell r="H1739" t="str">
            <v>Delivered</v>
          </cell>
          <cell r="I1739" t="str">
            <v>STAN</v>
          </cell>
          <cell r="J1739" t="str">
            <v>Fedex</v>
          </cell>
          <cell r="K1739" t="str">
            <v>VVMV</v>
          </cell>
          <cell r="L1739" t="str">
            <v>HK</v>
          </cell>
          <cell r="M1739">
            <v>46175</v>
          </cell>
          <cell r="N1739">
            <v>46178</v>
          </cell>
          <cell r="O1739">
            <v>46178</v>
          </cell>
          <cell r="P1739">
            <v>108305455050</v>
          </cell>
          <cell r="Q1739">
            <v>46176</v>
          </cell>
          <cell r="R1739" t="str">
            <v>No inspection</v>
          </cell>
          <cell r="S1739">
            <v>2592</v>
          </cell>
          <cell r="T1739" t="str">
            <v>EXW</v>
          </cell>
          <cell r="U1739" t="str">
            <v>PUR</v>
          </cell>
        </row>
        <row r="1740">
          <cell r="D1740">
            <v>2.8</v>
          </cell>
          <cell r="F1740">
            <v>872525360230</v>
          </cell>
          <cell r="G1740" t="str">
            <v>WT MICROELECTRONICS SPORE P/L</v>
          </cell>
          <cell r="H1740" t="str">
            <v>Delivered</v>
          </cell>
          <cell r="I1740" t="str">
            <v xml:space="preserve">CAP , RES </v>
          </cell>
          <cell r="J1740" t="str">
            <v>Fedex</v>
          </cell>
          <cell r="K1740" t="str">
            <v>VVMV</v>
          </cell>
          <cell r="L1740" t="str">
            <v>SG</v>
          </cell>
          <cell r="M1740">
            <v>46175</v>
          </cell>
          <cell r="N1740">
            <v>46181</v>
          </cell>
          <cell r="O1740">
            <v>46185</v>
          </cell>
          <cell r="P1740">
            <v>108310628050</v>
          </cell>
          <cell r="Q1740">
            <v>46178</v>
          </cell>
          <cell r="R1740" t="str">
            <v>No inspection</v>
          </cell>
          <cell r="S1740">
            <v>98.52</v>
          </cell>
          <cell r="T1740" t="str">
            <v>EXW</v>
          </cell>
          <cell r="U1740" t="str">
            <v>EF-</v>
          </cell>
        </row>
        <row r="1741">
          <cell r="D1741" t="str">
            <v>x</v>
          </cell>
          <cell r="F1741">
            <v>872577301890</v>
          </cell>
          <cell r="G1741" t="str">
            <v>TECH PUBLIC</v>
          </cell>
          <cell r="H1741" t="str">
            <v>Delivered</v>
          </cell>
          <cell r="I1741" t="str">
            <v>169-001025 (IC)</v>
          </cell>
          <cell r="J1741" t="str">
            <v>Fedex</v>
          </cell>
          <cell r="K1741" t="str">
            <v>VVMV</v>
          </cell>
          <cell r="L1741" t="str">
            <v>x</v>
          </cell>
          <cell r="M1741" t="str">
            <v>x</v>
          </cell>
          <cell r="N1741" t="str">
            <v>x</v>
          </cell>
          <cell r="O1741">
            <v>46185</v>
          </cell>
          <cell r="P1741" t="str">
            <v>hàng phát thẳng</v>
          </cell>
          <cell r="Q1741" t="str">
            <v>x</v>
          </cell>
          <cell r="R1741" t="str">
            <v>x</v>
          </cell>
          <cell r="S1741" t="str">
            <v>x</v>
          </cell>
          <cell r="T1741" t="str">
            <v>x</v>
          </cell>
          <cell r="U1741" t="str">
            <v>OEM</v>
          </cell>
        </row>
        <row r="1742">
          <cell r="D1742">
            <v>5.3</v>
          </cell>
          <cell r="F1742">
            <v>524560592163</v>
          </cell>
          <cell r="G1742" t="str">
            <v>SAMTEC ASIA PACIFIC PTE LTD</v>
          </cell>
          <cell r="H1742" t="str">
            <v>Delivered</v>
          </cell>
          <cell r="I1742" t="str">
            <v>CONN</v>
          </cell>
          <cell r="J1742" t="str">
            <v>Fedex</v>
          </cell>
          <cell r="K1742" t="str">
            <v>VVMV</v>
          </cell>
          <cell r="L1742" t="str">
            <v>SG</v>
          </cell>
          <cell r="M1742">
            <v>46176</v>
          </cell>
          <cell r="N1742">
            <v>46178</v>
          </cell>
          <cell r="O1742">
            <v>46181</v>
          </cell>
          <cell r="P1742">
            <v>108308717050</v>
          </cell>
          <cell r="Q1742">
            <v>46177</v>
          </cell>
          <cell r="R1742" t="str">
            <v>No inspection</v>
          </cell>
          <cell r="S1742">
            <v>588.70000000000005</v>
          </cell>
          <cell r="T1742" t="str">
            <v>CIF</v>
          </cell>
          <cell r="U1742" t="str">
            <v>EF-</v>
          </cell>
        </row>
        <row r="1743">
          <cell r="D1743">
            <v>0.5</v>
          </cell>
          <cell r="F1743">
            <v>872449029491</v>
          </cell>
          <cell r="G1743" t="str">
            <v>ARC ELECTRO INDUSTRY CORP</v>
          </cell>
          <cell r="H1743" t="str">
            <v>Delivered</v>
          </cell>
          <cell r="I1743" t="str">
            <v>CONN</v>
          </cell>
          <cell r="J1743" t="str">
            <v>Fedex</v>
          </cell>
          <cell r="K1743" t="str">
            <v>VVMV</v>
          </cell>
          <cell r="L1743" t="str">
            <v>TW</v>
          </cell>
          <cell r="M1743">
            <v>46174</v>
          </cell>
          <cell r="N1743">
            <v>46181</v>
          </cell>
          <cell r="O1743">
            <v>46181</v>
          </cell>
          <cell r="P1743">
            <v>108309994660</v>
          </cell>
          <cell r="Q1743">
            <v>46177</v>
          </cell>
          <cell r="R1743" t="str">
            <v>No inspection</v>
          </cell>
          <cell r="S1743">
            <v>7.84</v>
          </cell>
          <cell r="T1743" t="str">
            <v>EXW</v>
          </cell>
          <cell r="U1743" t="str">
            <v>AIC</v>
          </cell>
        </row>
        <row r="1744">
          <cell r="D1744">
            <v>0.5</v>
          </cell>
          <cell r="F1744">
            <v>381712224615</v>
          </cell>
          <cell r="G1744" t="str">
            <v>WURTH ELECTRONICS MIDCOM</v>
          </cell>
          <cell r="H1744" t="str">
            <v>Delivered</v>
          </cell>
          <cell r="I1744" t="str">
            <v>FERR</v>
          </cell>
          <cell r="J1744" t="str">
            <v>Fedex</v>
          </cell>
          <cell r="K1744" t="str">
            <v>VVMV</v>
          </cell>
          <cell r="L1744" t="str">
            <v>US</v>
          </cell>
          <cell r="M1744">
            <v>46174</v>
          </cell>
          <cell r="N1744">
            <v>46181</v>
          </cell>
          <cell r="O1744">
            <v>46181</v>
          </cell>
          <cell r="P1744">
            <v>108312371900</v>
          </cell>
          <cell r="Q1744">
            <v>46178</v>
          </cell>
          <cell r="R1744" t="str">
            <v>No inspection</v>
          </cell>
          <cell r="S1744">
            <v>80</v>
          </cell>
          <cell r="T1744" t="str">
            <v>CIF</v>
          </cell>
          <cell r="U1744" t="str">
            <v>LUC</v>
          </cell>
        </row>
        <row r="1745">
          <cell r="D1745">
            <v>6.4</v>
          </cell>
          <cell r="F1745">
            <v>815918865353</v>
          </cell>
          <cell r="G1745" t="str">
            <v>Texas Instruments Southeast Asia Pte Ltd c/o DHL Supply Chain SGP P/L</v>
          </cell>
          <cell r="H1745" t="str">
            <v>Delivered</v>
          </cell>
          <cell r="I1745" t="str">
            <v>IC R, IC B</v>
          </cell>
          <cell r="J1745" t="str">
            <v>Fedex</v>
          </cell>
          <cell r="K1745" t="str">
            <v>VVMV</v>
          </cell>
          <cell r="L1745" t="str">
            <v>SG</v>
          </cell>
          <cell r="M1745">
            <v>46176</v>
          </cell>
          <cell r="N1745">
            <v>46178</v>
          </cell>
          <cell r="O1745">
            <v>46181</v>
          </cell>
          <cell r="P1745">
            <v>108308502740</v>
          </cell>
          <cell r="Q1745">
            <v>46177</v>
          </cell>
          <cell r="R1745" t="str">
            <v>No inspection</v>
          </cell>
          <cell r="S1745">
            <v>8733</v>
          </cell>
          <cell r="T1745" t="str">
            <v>EXW</v>
          </cell>
          <cell r="U1745" t="str">
            <v>EF-</v>
          </cell>
        </row>
        <row r="1746">
          <cell r="D1746">
            <v>6.5</v>
          </cell>
          <cell r="F1746">
            <v>409298924303</v>
          </cell>
          <cell r="G1746" t="str">
            <v>TTI ELECTRONICS ASIA PTE LTD</v>
          </cell>
          <cell r="H1746" t="str">
            <v>Delivered</v>
          </cell>
          <cell r="I1746" t="str">
            <v>CAP , OSC , INDU</v>
          </cell>
          <cell r="J1746" t="str">
            <v>Fedex</v>
          </cell>
          <cell r="K1746" t="str">
            <v>VVMV</v>
          </cell>
          <cell r="L1746" t="str">
            <v>SG</v>
          </cell>
          <cell r="M1746">
            <v>46175</v>
          </cell>
          <cell r="N1746">
            <v>46178</v>
          </cell>
          <cell r="O1746">
            <v>46185</v>
          </cell>
          <cell r="P1746">
            <v>108329189620</v>
          </cell>
          <cell r="Q1746">
            <v>46332.363634259258</v>
          </cell>
          <cell r="R1746" t="str">
            <v>No inspection</v>
          </cell>
          <cell r="S1746">
            <v>10537.5</v>
          </cell>
          <cell r="T1746" t="str">
            <v>EXW</v>
          </cell>
          <cell r="U1746" t="str">
            <v>EF-</v>
          </cell>
        </row>
        <row r="1747">
          <cell r="D1747">
            <v>1.3</v>
          </cell>
          <cell r="F1747">
            <v>528358965860</v>
          </cell>
          <cell r="G1747" t="str">
            <v>Digi-Key Electronics</v>
          </cell>
          <cell r="H1747" t="str">
            <v>Delivered</v>
          </cell>
          <cell r="I1747" t="str">
            <v>RES , LED , CAP , TRAN</v>
          </cell>
          <cell r="J1747" t="str">
            <v>Fedex</v>
          </cell>
          <cell r="K1747" t="str">
            <v>VVMV</v>
          </cell>
          <cell r="L1747" t="str">
            <v>US</v>
          </cell>
          <cell r="M1747">
            <v>46174</v>
          </cell>
          <cell r="N1747">
            <v>46181</v>
          </cell>
          <cell r="O1747">
            <v>46181</v>
          </cell>
          <cell r="P1747">
            <v>108309245920</v>
          </cell>
          <cell r="Q1747">
            <v>46177</v>
          </cell>
          <cell r="R1747" t="str">
            <v>No inspection</v>
          </cell>
          <cell r="S1747">
            <v>1616.36</v>
          </cell>
          <cell r="T1747" t="str">
            <v>CIF</v>
          </cell>
          <cell r="U1747" t="str">
            <v>EF-</v>
          </cell>
        </row>
        <row r="1748">
          <cell r="D1748">
            <v>42.6</v>
          </cell>
          <cell r="F1748">
            <v>872572349713</v>
          </cell>
          <cell r="G1748" t="str">
            <v>Randtech Asia Pte. Ltd.</v>
          </cell>
          <cell r="H1748" t="str">
            <v>Delivered</v>
          </cell>
          <cell r="I1748" t="str">
            <v>IC S</v>
          </cell>
          <cell r="J1748" t="str">
            <v>Fedex</v>
          </cell>
          <cell r="K1748" t="str">
            <v>VVMV</v>
          </cell>
          <cell r="L1748" t="str">
            <v>SG</v>
          </cell>
          <cell r="M1748">
            <v>46176</v>
          </cell>
          <cell r="N1748">
            <v>46178</v>
          </cell>
          <cell r="O1748">
            <v>46181</v>
          </cell>
          <cell r="P1748">
            <v>108308445120</v>
          </cell>
          <cell r="Q1748">
            <v>46177</v>
          </cell>
          <cell r="R1748" t="str">
            <v>No inspection</v>
          </cell>
          <cell r="S1748">
            <v>1551378.45</v>
          </cell>
          <cell r="T1748" t="str">
            <v>CIF</v>
          </cell>
          <cell r="U1748">
            <v>102</v>
          </cell>
        </row>
        <row r="1749">
          <cell r="D1749">
            <v>54</v>
          </cell>
          <cell r="F1749">
            <v>4110337914</v>
          </cell>
          <cell r="G1749" t="str">
            <v>AVNET, INC</v>
          </cell>
          <cell r="H1749" t="str">
            <v>Delivered</v>
          </cell>
          <cell r="I1749" t="str">
            <v xml:space="preserve">CON </v>
          </cell>
          <cell r="J1749" t="str">
            <v>Expeditors</v>
          </cell>
          <cell r="K1749" t="str">
            <v>VVMV</v>
          </cell>
          <cell r="L1749" t="str">
            <v>US</v>
          </cell>
          <cell r="M1749">
            <v>46175</v>
          </cell>
          <cell r="N1749">
            <v>46181</v>
          </cell>
          <cell r="O1749">
            <v>46182</v>
          </cell>
          <cell r="P1749">
            <v>108317928830</v>
          </cell>
          <cell r="Q1749">
            <v>46181</v>
          </cell>
          <cell r="R1749" t="str">
            <v>No inspection</v>
          </cell>
          <cell r="S1749">
            <v>7616</v>
          </cell>
          <cell r="T1749" t="str">
            <v>DAP</v>
          </cell>
          <cell r="U1749" t="str">
            <v>LUC</v>
          </cell>
        </row>
        <row r="1750">
          <cell r="D1750">
            <v>0.5</v>
          </cell>
          <cell r="F1750">
            <v>381602185584</v>
          </cell>
          <cell r="G1750" t="str">
            <v>TEXAS INSTRUMENTS ASIA LIMITED
C/O KWE LOGISTICS (SHENZHEN)</v>
          </cell>
          <cell r="H1750" t="str">
            <v>Delivered</v>
          </cell>
          <cell r="I1750" t="str">
            <v>IC V, IC B, THER</v>
          </cell>
          <cell r="J1750" t="str">
            <v>Fedex</v>
          </cell>
          <cell r="K1750" t="str">
            <v>VVMV</v>
          </cell>
          <cell r="L1750" t="str">
            <v>CN</v>
          </cell>
          <cell r="M1750">
            <v>46169</v>
          </cell>
          <cell r="N1750">
            <v>46182</v>
          </cell>
          <cell r="O1750">
            <v>46184</v>
          </cell>
          <cell r="P1750">
            <v>108318976250</v>
          </cell>
          <cell r="Q1750">
            <v>46181</v>
          </cell>
          <cell r="R1750" t="str">
            <v>No inspection</v>
          </cell>
          <cell r="S1750">
            <v>273.8</v>
          </cell>
          <cell r="T1750" t="str">
            <v>CIF</v>
          </cell>
          <cell r="U1750">
            <v>126</v>
          </cell>
        </row>
        <row r="1751">
          <cell r="D1751">
            <v>9.5</v>
          </cell>
          <cell r="F1751">
            <v>522040218878</v>
          </cell>
          <cell r="G1751" t="str">
            <v>Micron Memory Malaysia Sdn. Bh</v>
          </cell>
          <cell r="H1751" t="str">
            <v>Delivered</v>
          </cell>
          <cell r="I1751" t="str">
            <v>IC S</v>
          </cell>
          <cell r="J1751" t="str">
            <v>Fedex</v>
          </cell>
          <cell r="K1751" t="str">
            <v>VVMV</v>
          </cell>
          <cell r="L1751" t="str">
            <v>MY</v>
          </cell>
          <cell r="M1751">
            <v>46139</v>
          </cell>
          <cell r="N1751">
            <v>46182</v>
          </cell>
          <cell r="O1751">
            <v>46182</v>
          </cell>
          <cell r="P1751">
            <v>108316492060</v>
          </cell>
          <cell r="Q1751">
            <v>46181</v>
          </cell>
          <cell r="R1751" t="str">
            <v>No inspection</v>
          </cell>
          <cell r="S1751">
            <v>276328.3</v>
          </cell>
          <cell r="T1751" t="str">
            <v>EXW</v>
          </cell>
          <cell r="U1751">
            <v>102</v>
          </cell>
        </row>
        <row r="1752">
          <cell r="D1752">
            <v>4.5999999999999996</v>
          </cell>
          <cell r="F1752">
            <v>2390390170</v>
          </cell>
          <cell r="G1752" t="str">
            <v>TTI INC</v>
          </cell>
          <cell r="H1752" t="str">
            <v>Delivered</v>
          </cell>
          <cell r="I1752" t="str">
            <v xml:space="preserve">RES , CAP </v>
          </cell>
          <cell r="J1752" t="str">
            <v>DHL</v>
          </cell>
          <cell r="K1752" t="str">
            <v>VVMV</v>
          </cell>
          <cell r="L1752" t="str">
            <v>US</v>
          </cell>
          <cell r="M1752">
            <v>46176</v>
          </cell>
          <cell r="N1752">
            <v>46181</v>
          </cell>
          <cell r="O1752">
            <v>46181</v>
          </cell>
          <cell r="P1752">
            <v>108316736620</v>
          </cell>
          <cell r="Q1752">
            <v>46181</v>
          </cell>
          <cell r="R1752" t="str">
            <v>No inspection</v>
          </cell>
          <cell r="S1752">
            <v>4730</v>
          </cell>
          <cell r="T1752" t="str">
            <v>CIF</v>
          </cell>
          <cell r="U1752" t="str">
            <v>LUC</v>
          </cell>
        </row>
        <row r="1753">
          <cell r="D1753">
            <v>1.8</v>
          </cell>
          <cell r="F1753">
            <v>2172239860</v>
          </cell>
          <cell r="G1753" t="str">
            <v>Texas Instruments Southeast Asia PL</v>
          </cell>
          <cell r="H1753" t="str">
            <v>Delivered</v>
          </cell>
          <cell r="I1753" t="str">
            <v>IC M, IC R</v>
          </cell>
          <cell r="J1753" t="str">
            <v>DHL</v>
          </cell>
          <cell r="K1753" t="str">
            <v>VVMV</v>
          </cell>
          <cell r="L1753" t="str">
            <v>SG</v>
          </cell>
          <cell r="M1753">
            <v>46176</v>
          </cell>
          <cell r="N1753">
            <v>46181</v>
          </cell>
          <cell r="O1753">
            <v>46181</v>
          </cell>
          <cell r="P1753">
            <v>108313505900</v>
          </cell>
          <cell r="Q1753">
            <v>46178</v>
          </cell>
          <cell r="R1753" t="str">
            <v>No inspection</v>
          </cell>
          <cell r="S1753">
            <v>4763.68</v>
          </cell>
          <cell r="T1753" t="str">
            <v>CIF</v>
          </cell>
          <cell r="U1753" t="str">
            <v>FMC</v>
          </cell>
        </row>
        <row r="1754">
          <cell r="D1754">
            <v>0.2</v>
          </cell>
          <cell r="F1754">
            <v>4445559311</v>
          </cell>
          <cell r="G1754" t="str">
            <v>Texas Instruments Southeast Asia PL</v>
          </cell>
          <cell r="H1754" t="str">
            <v>Delivered</v>
          </cell>
          <cell r="I1754" t="str">
            <v>IC S</v>
          </cell>
          <cell r="J1754" t="str">
            <v>DHL</v>
          </cell>
          <cell r="K1754" t="str">
            <v>VVMV</v>
          </cell>
          <cell r="L1754" t="str">
            <v>SG</v>
          </cell>
          <cell r="M1754">
            <v>46177</v>
          </cell>
          <cell r="N1754">
            <v>46181</v>
          </cell>
          <cell r="O1754">
            <v>46181</v>
          </cell>
          <cell r="P1754">
            <v>108313775250</v>
          </cell>
          <cell r="Q1754">
            <v>46178</v>
          </cell>
          <cell r="R1754" t="str">
            <v>No inspection</v>
          </cell>
          <cell r="S1754">
            <v>219</v>
          </cell>
          <cell r="T1754" t="str">
            <v>CIF</v>
          </cell>
          <cell r="U1754" t="str">
            <v>EF-</v>
          </cell>
        </row>
        <row r="1755">
          <cell r="D1755">
            <v>3.2</v>
          </cell>
          <cell r="F1755">
            <v>5774666796</v>
          </cell>
          <cell r="G1755" t="str">
            <v>FUTURE ELECTRONICS (ADC)</v>
          </cell>
          <cell r="H1755" t="str">
            <v>Delivered</v>
          </cell>
          <cell r="I1755" t="str">
            <v xml:space="preserve">LED </v>
          </cell>
          <cell r="J1755" t="str">
            <v>DHL</v>
          </cell>
          <cell r="K1755" t="str">
            <v>VVMV</v>
          </cell>
          <cell r="L1755" t="str">
            <v>SG</v>
          </cell>
          <cell r="M1755">
            <v>46176</v>
          </cell>
          <cell r="N1755">
            <v>46181</v>
          </cell>
          <cell r="O1755">
            <v>46181</v>
          </cell>
          <cell r="P1755">
            <v>108313744710</v>
          </cell>
          <cell r="Q1755">
            <v>46178</v>
          </cell>
          <cell r="R1755" t="str">
            <v>No inspection</v>
          </cell>
          <cell r="S1755">
            <v>1104</v>
          </cell>
          <cell r="T1755" t="str">
            <v>CIF</v>
          </cell>
          <cell r="U1755" t="str">
            <v>PUR</v>
          </cell>
        </row>
        <row r="1756">
          <cell r="D1756">
            <v>0.5</v>
          </cell>
          <cell r="F1756">
            <v>500292680405</v>
          </cell>
          <cell r="G1756" t="str">
            <v>ARROW COMPONENTS MEXICO SA De CV</v>
          </cell>
          <cell r="H1756" t="str">
            <v>Delivered</v>
          </cell>
          <cell r="I1756" t="str">
            <v>TRAN</v>
          </cell>
          <cell r="J1756" t="str">
            <v>Fedex</v>
          </cell>
          <cell r="K1756" t="str">
            <v>VVMV</v>
          </cell>
          <cell r="L1756" t="str">
            <v>MX</v>
          </cell>
          <cell r="M1756">
            <v>46169</v>
          </cell>
          <cell r="N1756">
            <v>46181</v>
          </cell>
          <cell r="O1756">
            <v>46181</v>
          </cell>
          <cell r="P1756">
            <v>108313909800</v>
          </cell>
          <cell r="Q1756">
            <v>46178</v>
          </cell>
          <cell r="R1756" t="str">
            <v>No inspection</v>
          </cell>
          <cell r="S1756">
            <v>164.7</v>
          </cell>
          <cell r="T1756" t="str">
            <v>CIF</v>
          </cell>
          <cell r="U1756" t="str">
            <v>EF-</v>
          </cell>
        </row>
        <row r="1757">
          <cell r="D1757">
            <v>1.2</v>
          </cell>
          <cell r="F1757">
            <v>381751868559</v>
          </cell>
          <cell r="G1757" t="str">
            <v>TEXAS INSTRUMENTS ASIA LIMITED
C/O KWE LOGISTICS (SHENZHEN)</v>
          </cell>
          <cell r="H1757" t="str">
            <v>Delivered</v>
          </cell>
          <cell r="I1757" t="str">
            <v>IC T</v>
          </cell>
          <cell r="J1757" t="str">
            <v>Fedex</v>
          </cell>
          <cell r="K1757" t="str">
            <v>VVMV</v>
          </cell>
          <cell r="L1757" t="str">
            <v>CN</v>
          </cell>
          <cell r="M1757">
            <v>46175</v>
          </cell>
          <cell r="N1757">
            <v>46181</v>
          </cell>
          <cell r="O1757">
            <v>46181</v>
          </cell>
          <cell r="P1757">
            <v>108313921920</v>
          </cell>
          <cell r="Q1757">
            <v>46178</v>
          </cell>
          <cell r="R1757" t="str">
            <v>No inspection</v>
          </cell>
          <cell r="S1757">
            <v>2745</v>
          </cell>
          <cell r="T1757" t="str">
            <v>EXW</v>
          </cell>
          <cell r="U1757">
            <v>142</v>
          </cell>
        </row>
        <row r="1758">
          <cell r="D1758">
            <v>51</v>
          </cell>
          <cell r="F1758">
            <v>809262197638</v>
          </cell>
          <cell r="G1758" t="str">
            <v>UNIGEN (HK) LIMITED</v>
          </cell>
          <cell r="H1758" t="str">
            <v>Delivered</v>
          </cell>
          <cell r="I1758" t="str">
            <v>IC S</v>
          </cell>
          <cell r="J1758" t="str">
            <v>Fedex</v>
          </cell>
          <cell r="K1758" t="str">
            <v>VVMV</v>
          </cell>
          <cell r="L1758" t="str">
            <v>HK</v>
          </cell>
          <cell r="M1758">
            <v>46177</v>
          </cell>
          <cell r="N1758">
            <v>46181</v>
          </cell>
          <cell r="O1758">
            <v>46181</v>
          </cell>
          <cell r="P1758">
            <v>108314017450</v>
          </cell>
          <cell r="Q1758">
            <v>46178</v>
          </cell>
          <cell r="R1758" t="str">
            <v>No inspection</v>
          </cell>
          <cell r="S1758">
            <v>1744000</v>
          </cell>
          <cell r="T1758" t="str">
            <v>EXW</v>
          </cell>
          <cell r="U1758">
            <v>102</v>
          </cell>
        </row>
        <row r="1759">
          <cell r="D1759">
            <v>4.4000000000000004</v>
          </cell>
          <cell r="F1759">
            <v>381794684335</v>
          </cell>
          <cell r="G1759" t="str">
            <v>O/B ANALOG DEVICES INTERNATIONAL UC
DHL SUPPLY CHAIN MANAGEMENT PHILS</v>
          </cell>
          <cell r="H1759" t="str">
            <v>Delivered</v>
          </cell>
          <cell r="I1759" t="str">
            <v>IC C</v>
          </cell>
          <cell r="J1759" t="str">
            <v>Fedex</v>
          </cell>
          <cell r="K1759" t="str">
            <v>VVMV</v>
          </cell>
          <cell r="L1759" t="str">
            <v>PH</v>
          </cell>
          <cell r="M1759">
            <v>46176</v>
          </cell>
          <cell r="N1759">
            <v>46181</v>
          </cell>
          <cell r="O1759">
            <v>46181</v>
          </cell>
          <cell r="P1759">
            <v>108313982930</v>
          </cell>
          <cell r="Q1759">
            <v>46178</v>
          </cell>
          <cell r="R1759" t="str">
            <v>No inspection</v>
          </cell>
          <cell r="S1759">
            <v>61400</v>
          </cell>
          <cell r="T1759" t="str">
            <v>EXW</v>
          </cell>
          <cell r="U1759" t="str">
            <v>PUR</v>
          </cell>
        </row>
        <row r="1760">
          <cell r="D1760">
            <v>32.1</v>
          </cell>
          <cell r="F1760">
            <v>872573559760</v>
          </cell>
          <cell r="G1760" t="str">
            <v>STEADFAST INDUSTRIAL PTE LTD</v>
          </cell>
          <cell r="H1760" t="str">
            <v>Delivered</v>
          </cell>
          <cell r="I1760" t="str">
            <v>STAN</v>
          </cell>
          <cell r="J1760" t="str">
            <v>Fedex</v>
          </cell>
          <cell r="K1760" t="str">
            <v>VVMV</v>
          </cell>
          <cell r="L1760" t="str">
            <v>SG</v>
          </cell>
          <cell r="M1760">
            <v>46176</v>
          </cell>
          <cell r="N1760">
            <v>46181</v>
          </cell>
          <cell r="O1760">
            <v>46181</v>
          </cell>
          <cell r="P1760">
            <v>108313525830</v>
          </cell>
          <cell r="Q1760">
            <v>46178</v>
          </cell>
          <cell r="R1760" t="str">
            <v>No inspection</v>
          </cell>
          <cell r="S1760">
            <v>1248</v>
          </cell>
          <cell r="T1760" t="str">
            <v>EXW</v>
          </cell>
          <cell r="U1760" t="str">
            <v>PUR</v>
          </cell>
        </row>
        <row r="1761">
          <cell r="D1761">
            <v>1.8</v>
          </cell>
          <cell r="F1761">
            <v>872536997117</v>
          </cell>
          <cell r="G1761" t="str">
            <v>Element 14 Pte Ltd</v>
          </cell>
          <cell r="H1761" t="str">
            <v>Delivered</v>
          </cell>
          <cell r="I1761" t="str">
            <v xml:space="preserve">INDU, CAP </v>
          </cell>
          <cell r="J1761" t="str">
            <v>Fedex</v>
          </cell>
          <cell r="K1761" t="str">
            <v>VVMV</v>
          </cell>
          <cell r="L1761" t="str">
            <v>SG</v>
          </cell>
          <cell r="M1761">
            <v>46176</v>
          </cell>
          <cell r="N1761">
            <v>46181</v>
          </cell>
          <cell r="O1761">
            <v>46181</v>
          </cell>
          <cell r="P1761">
            <v>108313841640</v>
          </cell>
          <cell r="Q1761">
            <v>46178</v>
          </cell>
          <cell r="R1761" t="str">
            <v>No inspection</v>
          </cell>
          <cell r="S1761">
            <v>609.33000000000004</v>
          </cell>
          <cell r="T1761" t="str">
            <v>EXW</v>
          </cell>
          <cell r="U1761" t="str">
            <v>EF-</v>
          </cell>
        </row>
        <row r="1762">
          <cell r="D1762">
            <v>3.4</v>
          </cell>
          <cell r="F1762">
            <v>4448587290</v>
          </cell>
          <cell r="G1762" t="str">
            <v>DHL SUPPLY CHAIN MGMT PHILS INC
O/B  ANALOG DEVICES INTERNATIONAL UC</v>
          </cell>
          <cell r="H1762" t="str">
            <v>Delivered</v>
          </cell>
          <cell r="I1762" t="str">
            <v>IC C</v>
          </cell>
          <cell r="J1762" t="str">
            <v>DHL</v>
          </cell>
          <cell r="K1762" t="str">
            <v>VVMV</v>
          </cell>
          <cell r="L1762" t="str">
            <v>PH</v>
          </cell>
          <cell r="M1762">
            <v>46178</v>
          </cell>
          <cell r="N1762">
            <v>46182</v>
          </cell>
          <cell r="O1762">
            <v>46183</v>
          </cell>
          <cell r="P1762">
            <v>108320512530</v>
          </cell>
          <cell r="Q1762">
            <v>46240.709722222222</v>
          </cell>
          <cell r="R1762" t="str">
            <v>No inspection</v>
          </cell>
          <cell r="S1762">
            <v>46050</v>
          </cell>
          <cell r="T1762" t="str">
            <v>EXW</v>
          </cell>
          <cell r="U1762" t="str">
            <v>PUR</v>
          </cell>
        </row>
        <row r="1763">
          <cell r="D1763">
            <v>1.3</v>
          </cell>
          <cell r="F1763">
            <v>2629838385</v>
          </cell>
          <cell r="G1763" t="str">
            <v>ANALOG DEVICES GEN. TRIAS, INC.</v>
          </cell>
          <cell r="H1763" t="str">
            <v>Delivered</v>
          </cell>
          <cell r="I1763" t="str">
            <v>IC M</v>
          </cell>
          <cell r="J1763" t="str">
            <v>DHL</v>
          </cell>
          <cell r="K1763" t="str">
            <v>VVMV</v>
          </cell>
          <cell r="L1763" t="str">
            <v>PH</v>
          </cell>
          <cell r="M1763">
            <v>46178</v>
          </cell>
          <cell r="N1763">
            <v>46182</v>
          </cell>
          <cell r="O1763">
            <v>46182</v>
          </cell>
          <cell r="P1763">
            <v>108320558250</v>
          </cell>
          <cell r="Q1763">
            <v>46181</v>
          </cell>
          <cell r="R1763" t="str">
            <v>No inspection</v>
          </cell>
          <cell r="S1763">
            <v>4035</v>
          </cell>
          <cell r="T1763" t="str">
            <v>EXW</v>
          </cell>
          <cell r="U1763" t="str">
            <v>LUC</v>
          </cell>
        </row>
        <row r="1764">
          <cell r="D1764">
            <v>438.1</v>
          </cell>
          <cell r="F1764">
            <v>1539620644</v>
          </cell>
          <cell r="G1764" t="str">
            <v>AVNET- CHANDLER</v>
          </cell>
          <cell r="H1764" t="str">
            <v>Delivered</v>
          </cell>
          <cell r="I1764" t="str">
            <v>CAP , IC M, RES , IND , IC P, TRAN, IC C, IC H, IC L, CONN, DIOD, IC S, IC D, IC I</v>
          </cell>
          <cell r="J1764" t="str">
            <v>DHL</v>
          </cell>
          <cell r="K1764" t="str">
            <v>VVMV</v>
          </cell>
          <cell r="L1764" t="str">
            <v>US</v>
          </cell>
          <cell r="M1764">
            <v>46177</v>
          </cell>
          <cell r="N1764">
            <v>46182</v>
          </cell>
          <cell r="O1764">
            <v>46184</v>
          </cell>
          <cell r="P1764" t="str">
            <v>108320549520
108320552650</v>
          </cell>
          <cell r="Q1764">
            <v>46240.716678240744</v>
          </cell>
          <cell r="R1764" t="str">
            <v>No inspection</v>
          </cell>
          <cell r="S1764">
            <v>409243.91700000002</v>
          </cell>
          <cell r="T1764" t="str">
            <v>CIF</v>
          </cell>
          <cell r="U1764" t="str">
            <v>LUC</v>
          </cell>
        </row>
        <row r="1765">
          <cell r="D1765">
            <v>50.5</v>
          </cell>
          <cell r="F1765">
            <v>8266641935</v>
          </cell>
          <cell r="G1765" t="str">
            <v>KYOCERA AVX Components (Asia) Limited</v>
          </cell>
          <cell r="H1765" t="str">
            <v>Delivered</v>
          </cell>
          <cell r="I1765" t="str">
            <v xml:space="preserve">CAP </v>
          </cell>
          <cell r="J1765" t="str">
            <v>DHL</v>
          </cell>
          <cell r="K1765" t="str">
            <v>VVMV</v>
          </cell>
          <cell r="L1765" t="str">
            <v>HK</v>
          </cell>
          <cell r="M1765">
            <v>46178</v>
          </cell>
          <cell r="N1765">
            <v>46182</v>
          </cell>
          <cell r="O1765">
            <v>46183</v>
          </cell>
          <cell r="P1765">
            <v>108320465260</v>
          </cell>
          <cell r="Q1765">
            <v>46240.703981481478</v>
          </cell>
          <cell r="R1765" t="str">
            <v>No inspection</v>
          </cell>
          <cell r="S1765">
            <v>59432</v>
          </cell>
          <cell r="T1765" t="str">
            <v>CIF</v>
          </cell>
          <cell r="U1765" t="str">
            <v>HLO</v>
          </cell>
        </row>
        <row r="1766">
          <cell r="D1766">
            <v>2.7</v>
          </cell>
          <cell r="F1766">
            <v>381795282566</v>
          </cell>
          <cell r="G1766" t="str">
            <v>Analog Devices (Thailand) Co., Ltd</v>
          </cell>
          <cell r="H1766" t="str">
            <v>Delivered</v>
          </cell>
          <cell r="I1766" t="str">
            <v>IC,V</v>
          </cell>
          <cell r="J1766" t="str">
            <v>Fedex</v>
          </cell>
          <cell r="K1766" t="str">
            <v>VVMV</v>
          </cell>
          <cell r="L1766" t="str">
            <v>TH</v>
          </cell>
          <cell r="M1766">
            <v>46176</v>
          </cell>
          <cell r="N1766">
            <v>46182</v>
          </cell>
          <cell r="O1766">
            <v>46184</v>
          </cell>
          <cell r="P1766">
            <v>108319478260</v>
          </cell>
          <cell r="Q1766">
            <v>46181</v>
          </cell>
          <cell r="R1766" t="str">
            <v>No inspection</v>
          </cell>
          <cell r="S1766">
            <v>3770</v>
          </cell>
          <cell r="T1766" t="str">
            <v>EXW</v>
          </cell>
          <cell r="U1766" t="str">
            <v>PUR</v>
          </cell>
        </row>
        <row r="1767">
          <cell r="D1767">
            <v>3.3</v>
          </cell>
          <cell r="F1767">
            <v>872688461270</v>
          </cell>
          <cell r="G1767" t="str">
            <v>WT MICROELECTRONICS CO., LTD</v>
          </cell>
          <cell r="H1767" t="str">
            <v>Delivered</v>
          </cell>
          <cell r="I1767" t="str">
            <v xml:space="preserve">CAP , RES </v>
          </cell>
          <cell r="J1767" t="str">
            <v>Fedex</v>
          </cell>
          <cell r="K1767" t="str">
            <v>VVMV</v>
          </cell>
          <cell r="L1767" t="str">
            <v>SG</v>
          </cell>
          <cell r="M1767">
            <v>46178</v>
          </cell>
          <cell r="N1767">
            <v>46182</v>
          </cell>
          <cell r="O1767">
            <v>46184</v>
          </cell>
          <cell r="P1767">
            <v>108319577810</v>
          </cell>
          <cell r="Q1767">
            <v>46181</v>
          </cell>
          <cell r="R1767" t="str">
            <v>No inspection</v>
          </cell>
          <cell r="S1767">
            <v>114.5</v>
          </cell>
          <cell r="T1767" t="str">
            <v>EXW</v>
          </cell>
          <cell r="U1767" t="str">
            <v>PUR</v>
          </cell>
        </row>
        <row r="1768">
          <cell r="D1768">
            <v>0.5</v>
          </cell>
          <cell r="F1768">
            <v>381714354771</v>
          </cell>
          <cell r="G1768" t="str">
            <v>C/O KINTETSU WORLD EXPRESS
TEXAS INSTRUMENTS ASIA LIMITED</v>
          </cell>
          <cell r="H1768" t="str">
            <v>Delivered</v>
          </cell>
          <cell r="I1768" t="str">
            <v>IC L</v>
          </cell>
          <cell r="J1768" t="str">
            <v>Fedex</v>
          </cell>
          <cell r="K1768" t="str">
            <v>VVMV</v>
          </cell>
          <cell r="L1768" t="str">
            <v>CN</v>
          </cell>
          <cell r="M1768">
            <v>46174</v>
          </cell>
          <cell r="N1768">
            <v>46182</v>
          </cell>
          <cell r="O1768">
            <v>46184</v>
          </cell>
          <cell r="P1768">
            <v>108320002560</v>
          </cell>
          <cell r="Q1768">
            <v>46181</v>
          </cell>
          <cell r="R1768" t="str">
            <v>No inspection</v>
          </cell>
          <cell r="S1768">
            <v>266.5</v>
          </cell>
          <cell r="T1768" t="str">
            <v>EXW</v>
          </cell>
          <cell r="U1768" t="str">
            <v>EF-</v>
          </cell>
        </row>
        <row r="1769">
          <cell r="D1769">
            <v>3.4</v>
          </cell>
          <cell r="F1769">
            <v>381821868217</v>
          </cell>
          <cell r="G1769" t="str">
            <v>c/o DHL Supply Chain SGP P/L
Texas Instruments Southeast Asia Pt</v>
          </cell>
          <cell r="H1769" t="str">
            <v>Delivered</v>
          </cell>
          <cell r="I1769" t="str">
            <v>IC V</v>
          </cell>
          <cell r="J1769" t="str">
            <v>Fedex</v>
          </cell>
          <cell r="K1769" t="str">
            <v>VVMV</v>
          </cell>
          <cell r="L1769" t="str">
            <v>SG</v>
          </cell>
          <cell r="M1769">
            <v>46178</v>
          </cell>
          <cell r="N1769">
            <v>46182</v>
          </cell>
          <cell r="O1769">
            <v>46184</v>
          </cell>
          <cell r="P1769">
            <v>108319864000</v>
          </cell>
          <cell r="Q1769">
            <v>46181</v>
          </cell>
          <cell r="R1769" t="str">
            <v>No inspection</v>
          </cell>
          <cell r="S1769">
            <v>5400</v>
          </cell>
          <cell r="T1769" t="str">
            <v>EXW</v>
          </cell>
          <cell r="U1769" t="str">
            <v>PUR</v>
          </cell>
        </row>
        <row r="1770">
          <cell r="D1770">
            <v>1.6</v>
          </cell>
          <cell r="F1770">
            <v>381655794497</v>
          </cell>
          <cell r="G1770" t="str">
            <v>TI AMERICAS REGIONAL PDC
TEXAS INSTRUMENTS INC</v>
          </cell>
          <cell r="H1770" t="str">
            <v>Delivered</v>
          </cell>
          <cell r="I1770" t="str">
            <v>IC P</v>
          </cell>
          <cell r="J1770" t="str">
            <v>Fedex</v>
          </cell>
          <cell r="K1770" t="str">
            <v>VVMV</v>
          </cell>
          <cell r="L1770" t="str">
            <v>US</v>
          </cell>
          <cell r="M1770">
            <v>46171</v>
          </cell>
          <cell r="N1770">
            <v>46182</v>
          </cell>
          <cell r="O1770">
            <v>46184</v>
          </cell>
          <cell r="P1770">
            <v>108319384460</v>
          </cell>
          <cell r="Q1770">
            <v>46181</v>
          </cell>
          <cell r="R1770" t="str">
            <v>No inspection</v>
          </cell>
          <cell r="S1770">
            <v>11656.05</v>
          </cell>
          <cell r="T1770" t="str">
            <v>CIF</v>
          </cell>
          <cell r="U1770" t="str">
            <v>FMC</v>
          </cell>
        </row>
        <row r="1771">
          <cell r="D1771">
            <v>10.8</v>
          </cell>
          <cell r="F1771">
            <v>872631660330</v>
          </cell>
          <cell r="G1771" t="str">
            <v>BRAIN POWER</v>
          </cell>
          <cell r="H1771" t="str">
            <v>Delivered</v>
          </cell>
          <cell r="I1771" t="str">
            <v xml:space="preserve">PCB </v>
          </cell>
          <cell r="J1771" t="str">
            <v>Fedex</v>
          </cell>
          <cell r="K1771" t="str">
            <v>VVMV</v>
          </cell>
          <cell r="L1771" t="str">
            <v>HK</v>
          </cell>
          <cell r="M1771">
            <v>46177</v>
          </cell>
          <cell r="N1771">
            <v>46182</v>
          </cell>
          <cell r="O1771">
            <v>46184</v>
          </cell>
          <cell r="P1771">
            <v>108320162530</v>
          </cell>
          <cell r="Q1771">
            <v>46181</v>
          </cell>
          <cell r="R1771" t="str">
            <v>No inspection</v>
          </cell>
          <cell r="S1771">
            <v>4558.38</v>
          </cell>
          <cell r="T1771" t="str">
            <v>EXW</v>
          </cell>
          <cell r="U1771">
            <v>141</v>
          </cell>
        </row>
        <row r="1772">
          <cell r="D1772">
            <v>6.2</v>
          </cell>
          <cell r="F1772">
            <v>527159112240</v>
          </cell>
          <cell r="G1772" t="str">
            <v>ARROW ELECTRONICS, INC.</v>
          </cell>
          <cell r="H1772" t="str">
            <v>Delivered</v>
          </cell>
          <cell r="I1772" t="str">
            <v>CAP , 	TRA, CONN, IC S</v>
          </cell>
          <cell r="J1772" t="str">
            <v>Fedex</v>
          </cell>
          <cell r="K1772" t="str">
            <v>VVMV</v>
          </cell>
          <cell r="L1772" t="str">
            <v>US</v>
          </cell>
          <cell r="M1772">
            <v>46175</v>
          </cell>
          <cell r="N1772">
            <v>46185</v>
          </cell>
          <cell r="O1772">
            <v>46185</v>
          </cell>
          <cell r="P1772">
            <v>108329097660</v>
          </cell>
          <cell r="Q1772">
            <v>46332.349236111113</v>
          </cell>
          <cell r="R1772" t="str">
            <v>No inspection</v>
          </cell>
          <cell r="S1772">
            <v>12460.9</v>
          </cell>
          <cell r="T1772" t="str">
            <v>CIF</v>
          </cell>
          <cell r="U1772" t="str">
            <v>EF-</v>
          </cell>
        </row>
        <row r="1773">
          <cell r="D1773">
            <v>2</v>
          </cell>
          <cell r="F1773">
            <v>493602843701</v>
          </cell>
          <cell r="G1773" t="str">
            <v>VENKEL LTD</v>
          </cell>
          <cell r="H1773" t="str">
            <v>Delivered</v>
          </cell>
          <cell r="I1773" t="str">
            <v xml:space="preserve">CAP </v>
          </cell>
          <cell r="J1773" t="str">
            <v>Fedex</v>
          </cell>
          <cell r="K1773" t="str">
            <v>VVMV</v>
          </cell>
          <cell r="L1773" t="str">
            <v>US</v>
          </cell>
          <cell r="M1773">
            <v>46174</v>
          </cell>
          <cell r="N1773">
            <v>46182</v>
          </cell>
          <cell r="O1773">
            <v>46184</v>
          </cell>
          <cell r="P1773">
            <v>108319920440</v>
          </cell>
          <cell r="Q1773">
            <v>46181</v>
          </cell>
          <cell r="R1773" t="str">
            <v>No inspection</v>
          </cell>
          <cell r="S1773">
            <v>911</v>
          </cell>
          <cell r="T1773" t="str">
            <v>CIF</v>
          </cell>
          <cell r="U1773" t="str">
            <v>EF-</v>
          </cell>
        </row>
        <row r="1774">
          <cell r="D1774">
            <v>32.200000000000003</v>
          </cell>
          <cell r="F1774">
            <v>872628363850</v>
          </cell>
          <cell r="G1774" t="str">
            <v>ISU PETASYS HUNAN</v>
          </cell>
          <cell r="H1774" t="str">
            <v>Delivered</v>
          </cell>
          <cell r="I1774" t="str">
            <v xml:space="preserve">PCB </v>
          </cell>
          <cell r="J1774" t="str">
            <v>Fedex</v>
          </cell>
          <cell r="K1774" t="str">
            <v>VVMV</v>
          </cell>
          <cell r="L1774" t="str">
            <v>CN</v>
          </cell>
          <cell r="M1774">
            <v>46177</v>
          </cell>
          <cell r="N1774">
            <v>46182</v>
          </cell>
          <cell r="O1774">
            <v>46184</v>
          </cell>
          <cell r="P1774">
            <v>108319211450</v>
          </cell>
          <cell r="Q1774">
            <v>46181</v>
          </cell>
          <cell r="R1774" t="str">
            <v>No inspection</v>
          </cell>
          <cell r="S1774">
            <v>3558.06</v>
          </cell>
          <cell r="T1774" t="str">
            <v>EXW</v>
          </cell>
          <cell r="U1774" t="str">
            <v>PUR</v>
          </cell>
        </row>
        <row r="1775">
          <cell r="D1775">
            <v>3.4</v>
          </cell>
          <cell r="F1775">
            <v>872563378597</v>
          </cell>
          <cell r="G1775" t="str">
            <v>Pure Storage, Inc</v>
          </cell>
          <cell r="H1775" t="str">
            <v>Delivered</v>
          </cell>
          <cell r="I1775" t="str">
            <v>CAP , DIOD, STAN, IC F</v>
          </cell>
          <cell r="J1775" t="str">
            <v>Fedex</v>
          </cell>
          <cell r="K1775" t="str">
            <v>VVMV</v>
          </cell>
          <cell r="L1775" t="str">
            <v>US</v>
          </cell>
          <cell r="M1775">
            <v>46175</v>
          </cell>
          <cell r="N1775">
            <v>46189</v>
          </cell>
          <cell r="O1775">
            <v>46191</v>
          </cell>
          <cell r="P1775">
            <v>108336448730</v>
          </cell>
          <cell r="Q1775">
            <v>46185</v>
          </cell>
          <cell r="R1775" t="str">
            <v>No inspection</v>
          </cell>
          <cell r="S1775">
            <v>78.790000000000006</v>
          </cell>
          <cell r="T1775" t="str">
            <v>CIF</v>
          </cell>
          <cell r="U1775" t="str">
            <v>PUR</v>
          </cell>
        </row>
        <row r="1776">
          <cell r="D1776">
            <v>1.7</v>
          </cell>
          <cell r="F1776">
            <v>872628217295</v>
          </cell>
          <cell r="G1776" t="str">
            <v>ACE Technology (Taiwan) Co., LTD.</v>
          </cell>
          <cell r="H1776" t="str">
            <v>Delivered</v>
          </cell>
          <cell r="I1776" t="str">
            <v>TRAN, IC E</v>
          </cell>
          <cell r="J1776" t="str">
            <v>Fedex</v>
          </cell>
          <cell r="K1776" t="str">
            <v>VVMV</v>
          </cell>
          <cell r="L1776" t="str">
            <v>TW</v>
          </cell>
          <cell r="M1776">
            <v>46177</v>
          </cell>
          <cell r="N1776">
            <v>46182</v>
          </cell>
          <cell r="O1776">
            <v>46184</v>
          </cell>
          <cell r="P1776">
            <v>108319105640</v>
          </cell>
          <cell r="Q1776">
            <v>46181</v>
          </cell>
          <cell r="R1776" t="str">
            <v>No inspection</v>
          </cell>
          <cell r="S1776">
            <v>5260</v>
          </cell>
          <cell r="T1776" t="str">
            <v>EXW</v>
          </cell>
          <cell r="U1776">
            <v>110</v>
          </cell>
        </row>
        <row r="1777">
          <cell r="D1777">
            <v>464</v>
          </cell>
          <cell r="F1777" t="str">
            <v>HVSZ26061689</v>
          </cell>
          <cell r="G1777" t="str">
            <v>SHENZHEN KERAIMEI PRECISION HARDWARE CO.,LTD</v>
          </cell>
          <cell r="H1777" t="str">
            <v>Delivered</v>
          </cell>
          <cell r="I1777" t="str">
            <v>ENCL, SCRE</v>
          </cell>
          <cell r="J1777" t="str">
            <v>VVMV</v>
          </cell>
          <cell r="K1777" t="str">
            <v>VVMV</v>
          </cell>
          <cell r="L1777" t="str">
            <v>CN</v>
          </cell>
          <cell r="M1777">
            <v>46176</v>
          </cell>
          <cell r="N1777">
            <v>46181</v>
          </cell>
          <cell r="O1777">
            <v>46181</v>
          </cell>
          <cell r="P1777">
            <v>108318739430</v>
          </cell>
          <cell r="Q1777">
            <v>46181</v>
          </cell>
          <cell r="R1777" t="str">
            <v>No inspection</v>
          </cell>
          <cell r="S1777">
            <v>48972.9</v>
          </cell>
          <cell r="T1777" t="str">
            <v>FOB</v>
          </cell>
          <cell r="U1777">
            <v>188</v>
          </cell>
        </row>
        <row r="1778">
          <cell r="D1778">
            <v>93</v>
          </cell>
          <cell r="F1778" t="str">
            <v>PLISGFE00430</v>
          </cell>
          <cell r="G1778" t="str">
            <v>FUTURE ELECTRONICS INC (DIST) PTE LTD</v>
          </cell>
          <cell r="H1778" t="str">
            <v>Delivered</v>
          </cell>
          <cell r="I1778" t="str">
            <v>DIOD, CAP , RES , IND , LED , IC S</v>
          </cell>
          <cell r="J1778" t="str">
            <v>LX</v>
          </cell>
          <cell r="K1778" t="str">
            <v>VVMV</v>
          </cell>
          <cell r="L1778" t="str">
            <v>SG</v>
          </cell>
          <cell r="M1778">
            <v>46179</v>
          </cell>
          <cell r="N1778">
            <v>46182</v>
          </cell>
          <cell r="O1778">
            <v>46183</v>
          </cell>
          <cell r="P1778">
            <v>108321492640</v>
          </cell>
          <cell r="Q1778">
            <v>46271.410231481481</v>
          </cell>
          <cell r="R1778" t="str">
            <v>No inspection</v>
          </cell>
          <cell r="S1778">
            <v>28215.279999999999</v>
          </cell>
          <cell r="T1778" t="str">
            <v>DAP</v>
          </cell>
          <cell r="U1778" t="str">
            <v>EF-</v>
          </cell>
        </row>
        <row r="1779">
          <cell r="D1779">
            <v>3.6</v>
          </cell>
          <cell r="F1779">
            <v>3270210414</v>
          </cell>
          <cell r="G1779" t="str">
            <v>DHL SUPPLY CHAIN MGMT PHILS INC
ON BEHALF OF ANALOG DEVICES INT</v>
          </cell>
          <cell r="H1779" t="str">
            <v>Delivered</v>
          </cell>
          <cell r="I1779" t="str">
            <v>IC M</v>
          </cell>
          <cell r="J1779" t="str">
            <v>DHL</v>
          </cell>
          <cell r="K1779" t="str">
            <v>VVMV</v>
          </cell>
          <cell r="L1779" t="str">
            <v>PH</v>
          </cell>
          <cell r="M1779">
            <v>46179</v>
          </cell>
          <cell r="N1779">
            <v>46183</v>
          </cell>
          <cell r="O1779">
            <v>46184</v>
          </cell>
          <cell r="P1779">
            <v>108323770810</v>
          </cell>
          <cell r="Q1779">
            <v>46271.646180555559</v>
          </cell>
          <cell r="R1779" t="str">
            <v>No inspection</v>
          </cell>
          <cell r="S1779">
            <v>22875</v>
          </cell>
          <cell r="T1779" t="str">
            <v>EXW</v>
          </cell>
          <cell r="U1779" t="str">
            <v>LUC</v>
          </cell>
        </row>
        <row r="1780">
          <cell r="D1780">
            <v>471</v>
          </cell>
          <cell r="F1780" t="str">
            <v>HKHPG260658</v>
          </cell>
          <cell r="G1780" t="str">
            <v>A&amp;E RISING TECHNOLOGIES LTD</v>
          </cell>
          <cell r="H1780" t="str">
            <v>Delivered</v>
          </cell>
          <cell r="I1780" t="str">
            <v xml:space="preserve">FAB , PCB </v>
          </cell>
          <cell r="J1780" t="str">
            <v>VVMV(SEA)</v>
          </cell>
          <cell r="K1780" t="str">
            <v>VVMV</v>
          </cell>
          <cell r="L1780" t="str">
            <v>HK</v>
          </cell>
          <cell r="M1780">
            <v>46177</v>
          </cell>
          <cell r="N1780">
            <v>46184</v>
          </cell>
          <cell r="O1780">
            <v>46185</v>
          </cell>
          <cell r="P1780">
            <v>108324273260</v>
          </cell>
          <cell r="Q1780">
            <v>46271.676134259258</v>
          </cell>
          <cell r="R1780" t="str">
            <v>No inspection</v>
          </cell>
          <cell r="S1780">
            <v>31200.080000000002</v>
          </cell>
          <cell r="T1780" t="str">
            <v>EXW</v>
          </cell>
          <cell r="U1780" t="str">
            <v>EF-</v>
          </cell>
        </row>
        <row r="1781">
          <cell r="D1781">
            <v>451.17</v>
          </cell>
          <cell r="F1781" t="str">
            <v>HWHPH2602140</v>
          </cell>
          <cell r="G1781" t="str">
            <v>WUS INTERNATIONAL COMPANY LIMITED</v>
          </cell>
          <cell r="H1781" t="str">
            <v>Delivered</v>
          </cell>
          <cell r="I1781" t="str">
            <v xml:space="preserve">PCB </v>
          </cell>
          <cell r="J1781" t="str">
            <v>VVMV(SEA)</v>
          </cell>
          <cell r="K1781" t="str">
            <v>VVMV</v>
          </cell>
          <cell r="L1781" t="str">
            <v>CN</v>
          </cell>
          <cell r="M1781">
            <v>46177</v>
          </cell>
          <cell r="N1781">
            <v>46184</v>
          </cell>
          <cell r="O1781">
            <v>46185</v>
          </cell>
          <cell r="P1781">
            <v>108326967230</v>
          </cell>
          <cell r="Q1781">
            <v>46301.563807870371</v>
          </cell>
          <cell r="R1781" t="str">
            <v>No inspection</v>
          </cell>
          <cell r="S1781">
            <v>49097.760000000002</v>
          </cell>
          <cell r="T1781" t="str">
            <v>EXW</v>
          </cell>
          <cell r="U1781" t="str">
            <v>PUR</v>
          </cell>
        </row>
        <row r="1782">
          <cell r="D1782">
            <v>60</v>
          </cell>
          <cell r="F1782">
            <v>872753640780</v>
          </cell>
          <cell r="G1782" t="str">
            <v>GULTECH(JIANGSU)</v>
          </cell>
          <cell r="H1782" t="str">
            <v>Delivered</v>
          </cell>
          <cell r="I1782" t="str">
            <v xml:space="preserve">PCB </v>
          </cell>
          <cell r="J1782" t="str">
            <v>Fedex</v>
          </cell>
          <cell r="K1782" t="str">
            <v>VVMV</v>
          </cell>
          <cell r="L1782" t="str">
            <v>CN</v>
          </cell>
          <cell r="M1782">
            <v>46181</v>
          </cell>
          <cell r="N1782">
            <v>46185</v>
          </cell>
          <cell r="O1782">
            <v>46184</v>
          </cell>
          <cell r="P1782">
            <v>108325566900</v>
          </cell>
          <cell r="Q1782">
            <v>46183</v>
          </cell>
          <cell r="R1782" t="str">
            <v>No inspection</v>
          </cell>
          <cell r="S1782">
            <v>16435.2</v>
          </cell>
          <cell r="T1782" t="str">
            <v>EXW</v>
          </cell>
          <cell r="U1782">
            <v>141</v>
          </cell>
        </row>
        <row r="1783">
          <cell r="D1783">
            <v>9.3000000000000007</v>
          </cell>
          <cell r="F1783">
            <v>381747821205</v>
          </cell>
          <cell r="G1783" t="str">
            <v>C/O KINTETSU WORLD EXPRESS (CHINA)
TEXAS INSTRUMENTS ASIA LIMITED</v>
          </cell>
          <cell r="H1783" t="str">
            <v>Delivered</v>
          </cell>
          <cell r="I1783" t="str">
            <v>IC S, IC L, IC D, IC T, IC R, IC M</v>
          </cell>
          <cell r="J1783" t="str">
            <v>Fedex</v>
          </cell>
          <cell r="K1783" t="str">
            <v>VVMV</v>
          </cell>
          <cell r="L1783" t="str">
            <v>CN</v>
          </cell>
          <cell r="M1783">
            <v>46175</v>
          </cell>
          <cell r="N1783">
            <v>46183</v>
          </cell>
          <cell r="O1783">
            <v>46184</v>
          </cell>
          <cell r="P1783">
            <v>108323809640</v>
          </cell>
          <cell r="Q1783">
            <v>46182</v>
          </cell>
          <cell r="R1783" t="str">
            <v>No inspection</v>
          </cell>
          <cell r="S1783">
            <v>15655.5</v>
          </cell>
          <cell r="T1783" t="str">
            <v>EXW</v>
          </cell>
          <cell r="U1783" t="str">
            <v>LUC</v>
          </cell>
        </row>
        <row r="1784">
          <cell r="D1784">
            <v>62</v>
          </cell>
          <cell r="F1784">
            <v>510007364362</v>
          </cell>
          <cell r="G1784" t="str">
            <v>SINO FAITH TECHNOLOGY  DVPT LTD</v>
          </cell>
          <cell r="H1784" t="str">
            <v>Delivered</v>
          </cell>
          <cell r="I1784" t="str">
            <v xml:space="preserve">IND , RES , CAP </v>
          </cell>
          <cell r="J1784" t="str">
            <v>Fedex</v>
          </cell>
          <cell r="K1784" t="str">
            <v>VVMV</v>
          </cell>
          <cell r="L1784" t="str">
            <v>HK</v>
          </cell>
          <cell r="M1784">
            <v>46178</v>
          </cell>
          <cell r="N1784">
            <v>46189</v>
          </cell>
          <cell r="O1784">
            <v>46191</v>
          </cell>
          <cell r="P1784" t="str">
            <v>108336473340
108336474740</v>
          </cell>
          <cell r="Q1784">
            <v>46185</v>
          </cell>
          <cell r="R1784" t="str">
            <v>No inspection</v>
          </cell>
          <cell r="S1784">
            <v>7429.8</v>
          </cell>
          <cell r="T1784" t="str">
            <v>EXW</v>
          </cell>
          <cell r="U1784" t="str">
            <v>PUR</v>
          </cell>
        </row>
        <row r="1785">
          <cell r="D1785">
            <v>9.1</v>
          </cell>
          <cell r="F1785">
            <v>472187366030</v>
          </cell>
          <cell r="G1785" t="str">
            <v>HEILIND ASIA PACIFIC (SG) PTE LTD</v>
          </cell>
          <cell r="H1785" t="str">
            <v>Delivered</v>
          </cell>
          <cell r="I1785" t="str">
            <v>THER</v>
          </cell>
          <cell r="J1785" t="str">
            <v>Fedex</v>
          </cell>
          <cell r="K1785" t="str">
            <v>VVMV</v>
          </cell>
          <cell r="L1785" t="str">
            <v>SG</v>
          </cell>
          <cell r="M1785">
            <v>46178</v>
          </cell>
          <cell r="N1785">
            <v>46183</v>
          </cell>
          <cell r="O1785">
            <v>46184</v>
          </cell>
          <cell r="P1785">
            <v>108323054120</v>
          </cell>
          <cell r="Q1785">
            <v>46182</v>
          </cell>
          <cell r="R1785" t="str">
            <v>No inspection</v>
          </cell>
          <cell r="S1785">
            <v>4980</v>
          </cell>
          <cell r="T1785" t="str">
            <v>EXW</v>
          </cell>
          <cell r="U1785" t="str">
            <v>PUR</v>
          </cell>
        </row>
        <row r="1786">
          <cell r="D1786">
            <v>39.9</v>
          </cell>
          <cell r="F1786">
            <v>872629406576</v>
          </cell>
          <cell r="G1786" t="str">
            <v>STEADFAST INDUSTRIAL PTE LTD</v>
          </cell>
          <cell r="H1786" t="str">
            <v>Delivered</v>
          </cell>
          <cell r="I1786" t="str">
            <v>STAN</v>
          </cell>
          <cell r="J1786" t="str">
            <v>Fedex</v>
          </cell>
          <cell r="K1786" t="str">
            <v>VVMV</v>
          </cell>
          <cell r="L1786" t="str">
            <v>SG</v>
          </cell>
          <cell r="M1786">
            <v>46177</v>
          </cell>
          <cell r="N1786">
            <v>46183</v>
          </cell>
          <cell r="O1786">
            <v>46184</v>
          </cell>
          <cell r="P1786">
            <v>108323105110</v>
          </cell>
          <cell r="Q1786">
            <v>46182</v>
          </cell>
          <cell r="R1786" t="str">
            <v>No inspection</v>
          </cell>
          <cell r="S1786">
            <v>1536</v>
          </cell>
          <cell r="T1786" t="str">
            <v>EXW</v>
          </cell>
          <cell r="U1786" t="str">
            <v>PUR</v>
          </cell>
        </row>
        <row r="1787">
          <cell r="D1787">
            <v>16.3</v>
          </cell>
          <cell r="F1787">
            <v>527529858787</v>
          </cell>
          <cell r="G1787" t="str">
            <v>MICROCHIP TECNOLOGY(TH) CO LTD</v>
          </cell>
          <cell r="H1787" t="str">
            <v>Delivered</v>
          </cell>
          <cell r="I1787" t="str">
            <v>IC M</v>
          </cell>
          <cell r="J1787" t="str">
            <v>Fedex</v>
          </cell>
          <cell r="K1787" t="str">
            <v>VVMV</v>
          </cell>
          <cell r="L1787" t="str">
            <v>TH</v>
          </cell>
          <cell r="M1787">
            <v>46177</v>
          </cell>
          <cell r="N1787">
            <v>46183</v>
          </cell>
          <cell r="O1787">
            <v>46185</v>
          </cell>
          <cell r="P1787">
            <v>108323023100</v>
          </cell>
          <cell r="Q1787">
            <v>46182</v>
          </cell>
          <cell r="R1787" t="str">
            <v>No inspection</v>
          </cell>
          <cell r="S1787">
            <v>164224</v>
          </cell>
          <cell r="T1787" t="str">
            <v>EXW</v>
          </cell>
          <cell r="U1787" t="str">
            <v>PUR</v>
          </cell>
        </row>
        <row r="1788">
          <cell r="D1788">
            <v>228.3</v>
          </cell>
          <cell r="F1788">
            <v>477592566243</v>
          </cell>
          <cell r="G1788" t="str">
            <v>QUALCOMM CDMA TECHNOLOGIES ASIA-PAC</v>
          </cell>
          <cell r="H1788" t="str">
            <v>Delivered</v>
          </cell>
          <cell r="I1788" t="str">
            <v>IC C, IC P</v>
          </cell>
          <cell r="J1788" t="str">
            <v>Fedex</v>
          </cell>
          <cell r="K1788" t="str">
            <v>VVMV</v>
          </cell>
          <cell r="L1788" t="str">
            <v>SG</v>
          </cell>
          <cell r="M1788">
            <v>46178</v>
          </cell>
          <cell r="N1788">
            <v>46183</v>
          </cell>
          <cell r="O1788">
            <v>46184</v>
          </cell>
          <cell r="P1788">
            <v>108323175660</v>
          </cell>
          <cell r="Q1788">
            <v>46182</v>
          </cell>
          <cell r="R1788" t="str">
            <v>No inspection</v>
          </cell>
          <cell r="S1788">
            <v>744990</v>
          </cell>
          <cell r="T1788" t="str">
            <v>EXW</v>
          </cell>
          <cell r="U1788" t="str">
            <v>LUC</v>
          </cell>
        </row>
        <row r="1789">
          <cell r="D1789">
            <v>52.5</v>
          </cell>
          <cell r="F1789">
            <v>515199060191</v>
          </cell>
          <cell r="G1789" t="str">
            <v>AVNET ASIA PTE LTD</v>
          </cell>
          <cell r="H1789" t="str">
            <v>Delivered</v>
          </cell>
          <cell r="I1789" t="str">
            <v xml:space="preserve">IC F, CAP , TRAN, IND </v>
          </cell>
          <cell r="J1789" t="str">
            <v>Fedex</v>
          </cell>
          <cell r="K1789" t="str">
            <v>VVMV</v>
          </cell>
          <cell r="L1789" t="str">
            <v>SG</v>
          </cell>
          <cell r="M1789">
            <v>46176</v>
          </cell>
          <cell r="N1789">
            <v>46183</v>
          </cell>
          <cell r="O1789">
            <v>46188</v>
          </cell>
          <cell r="P1789">
            <v>108337154440</v>
          </cell>
          <cell r="Q1789" t="str">
            <v>13/06/2026 09:39:44</v>
          </cell>
          <cell r="R1789" t="str">
            <v>No inspection</v>
          </cell>
          <cell r="S1789">
            <v>10392.83</v>
          </cell>
          <cell r="T1789" t="str">
            <v>FCA</v>
          </cell>
          <cell r="U1789" t="str">
            <v>PUR</v>
          </cell>
        </row>
        <row r="1790">
          <cell r="D1790">
            <v>1.9</v>
          </cell>
          <cell r="F1790">
            <v>501720330447</v>
          </cell>
          <cell r="G1790" t="str">
            <v>TEXAS INSTRUMENTS S.E.A. PTE LTD</v>
          </cell>
          <cell r="H1790" t="str">
            <v>Delivered</v>
          </cell>
          <cell r="I1790" t="str">
            <v>IC A, IC M</v>
          </cell>
          <cell r="J1790" t="str">
            <v>Fedex</v>
          </cell>
          <cell r="K1790" t="str">
            <v>VVMV</v>
          </cell>
          <cell r="L1790" t="str">
            <v>SG</v>
          </cell>
          <cell r="M1790">
            <v>46180</v>
          </cell>
          <cell r="N1790">
            <v>46183</v>
          </cell>
          <cell r="O1790">
            <v>46184</v>
          </cell>
          <cell r="P1790">
            <v>108323306930</v>
          </cell>
          <cell r="Q1790">
            <v>46182</v>
          </cell>
          <cell r="R1790" t="str">
            <v>No inspection</v>
          </cell>
          <cell r="S1790">
            <v>2752</v>
          </cell>
          <cell r="T1790" t="str">
            <v>EXW</v>
          </cell>
          <cell r="U1790" t="str">
            <v>LUC</v>
          </cell>
        </row>
        <row r="1791">
          <cell r="D1791">
            <v>47.6</v>
          </cell>
          <cell r="F1791">
            <v>518337618146</v>
          </cell>
          <cell r="G1791" t="str">
            <v>MICROCHIP TECHNOLOGY OPS PHIL CORP</v>
          </cell>
          <cell r="H1791" t="str">
            <v>Delivered</v>
          </cell>
          <cell r="I1791" t="str">
            <v>IC E</v>
          </cell>
          <cell r="J1791" t="str">
            <v>Fedex</v>
          </cell>
          <cell r="K1791" t="str">
            <v>VVMV</v>
          </cell>
          <cell r="L1791" t="str">
            <v>PH</v>
          </cell>
          <cell r="M1791">
            <v>46178</v>
          </cell>
          <cell r="N1791">
            <v>46183</v>
          </cell>
          <cell r="O1791">
            <v>46184</v>
          </cell>
          <cell r="P1791">
            <v>108323660320</v>
          </cell>
          <cell r="Q1791">
            <v>46182</v>
          </cell>
          <cell r="R1791" t="str">
            <v>No inspection</v>
          </cell>
          <cell r="S1791">
            <v>374220</v>
          </cell>
          <cell r="T1791" t="str">
            <v>EXW</v>
          </cell>
          <cell r="U1791" t="str">
            <v>PUR</v>
          </cell>
        </row>
        <row r="1792">
          <cell r="D1792">
            <v>37</v>
          </cell>
          <cell r="F1792">
            <v>872752862534</v>
          </cell>
          <cell r="G1792" t="str">
            <v>Sandisk Storage sdn. Bhd</v>
          </cell>
          <cell r="H1792" t="str">
            <v>Delivered</v>
          </cell>
          <cell r="I1792" t="str">
            <v>IC F</v>
          </cell>
          <cell r="J1792" t="str">
            <v>Fedex</v>
          </cell>
          <cell r="K1792" t="str">
            <v>VVMV</v>
          </cell>
          <cell r="L1792" t="str">
            <v>MY</v>
          </cell>
          <cell r="M1792">
            <v>46181</v>
          </cell>
          <cell r="N1792">
            <v>46183</v>
          </cell>
          <cell r="O1792">
            <v>46184</v>
          </cell>
          <cell r="P1792">
            <v>108323806730</v>
          </cell>
          <cell r="Q1792">
            <v>46182</v>
          </cell>
          <cell r="R1792" t="str">
            <v>No inspection</v>
          </cell>
          <cell r="S1792">
            <v>2279046.9</v>
          </cell>
          <cell r="T1792" t="str">
            <v>CIF</v>
          </cell>
          <cell r="U1792">
            <v>103</v>
          </cell>
        </row>
        <row r="1793">
          <cell r="D1793">
            <v>1.5</v>
          </cell>
          <cell r="F1793">
            <v>381845821672</v>
          </cell>
          <cell r="G1793" t="str">
            <v>C/O DHL Supply Chain Mgnt Phils ANALOG DEVICES GEN. TRIAS, INC.</v>
          </cell>
          <cell r="H1793" t="str">
            <v>Delivered</v>
          </cell>
          <cell r="I1793" t="str">
            <v>IC M</v>
          </cell>
          <cell r="J1793" t="str">
            <v>Fedex</v>
          </cell>
          <cell r="K1793" t="str">
            <v>VVMV</v>
          </cell>
          <cell r="L1793" t="str">
            <v>PH</v>
          </cell>
          <cell r="M1793">
            <v>46179</v>
          </cell>
          <cell r="N1793">
            <v>46183</v>
          </cell>
          <cell r="O1793">
            <v>46184</v>
          </cell>
          <cell r="P1793">
            <v>108323322920</v>
          </cell>
          <cell r="Q1793">
            <v>46182</v>
          </cell>
          <cell r="R1793" t="str">
            <v>No inspection</v>
          </cell>
          <cell r="S1793">
            <v>5500</v>
          </cell>
          <cell r="T1793" t="str">
            <v>EXW</v>
          </cell>
          <cell r="U1793" t="str">
            <v>LUC</v>
          </cell>
        </row>
        <row r="1794">
          <cell r="D1794">
            <v>34.299999999999997</v>
          </cell>
          <cell r="F1794">
            <v>872690078492</v>
          </cell>
          <cell r="G1794" t="str">
            <v>ARROW COMPONENTS (M) SDN BHD C/O ARROW COMPONENTS (M) SDN BHD</v>
          </cell>
          <cell r="H1794" t="str">
            <v>Delivered</v>
          </cell>
          <cell r="I1794" t="str">
            <v>IC V, CAP , SWIT</v>
          </cell>
          <cell r="J1794" t="str">
            <v>Fedex</v>
          </cell>
          <cell r="K1794" t="str">
            <v>VVMV</v>
          </cell>
          <cell r="L1794" t="str">
            <v>MY</v>
          </cell>
          <cell r="M1794">
            <v>46181</v>
          </cell>
          <cell r="N1794">
            <v>46189</v>
          </cell>
          <cell r="O1794">
            <v>46189</v>
          </cell>
          <cell r="P1794">
            <v>108336590830</v>
          </cell>
          <cell r="Q1794">
            <v>46185</v>
          </cell>
          <cell r="R1794" t="str">
            <v>No inspection</v>
          </cell>
          <cell r="S1794">
            <v>138045</v>
          </cell>
          <cell r="T1794" t="str">
            <v>EXW</v>
          </cell>
          <cell r="U1794">
            <v>122</v>
          </cell>
        </row>
        <row r="1795">
          <cell r="D1795" t="str">
            <v>x</v>
          </cell>
          <cell r="F1795">
            <v>513430152383</v>
          </cell>
          <cell r="G1795" t="str">
            <v>COILCRAFT SINGAPORE PTE LTD</v>
          </cell>
          <cell r="H1795" t="str">
            <v>Delivered</v>
          </cell>
          <cell r="I1795" t="str">
            <v>123-001713</v>
          </cell>
          <cell r="J1795" t="str">
            <v>Fedex</v>
          </cell>
          <cell r="K1795" t="str">
            <v>VVMV</v>
          </cell>
          <cell r="L1795" t="str">
            <v>US</v>
          </cell>
          <cell r="M1795" t="str">
            <v>x</v>
          </cell>
          <cell r="N1795" t="str">
            <v>x</v>
          </cell>
          <cell r="O1795">
            <v>46184</v>
          </cell>
          <cell r="P1795" t="str">
            <v>Hàng phát thẳng</v>
          </cell>
          <cell r="Q1795" t="str">
            <v>x</v>
          </cell>
          <cell r="R1795" t="str">
            <v>No inspection</v>
          </cell>
          <cell r="S1795" t="str">
            <v>x</v>
          </cell>
          <cell r="T1795" t="str">
            <v>x</v>
          </cell>
          <cell r="U1795" t="str">
            <v>OEM</v>
          </cell>
        </row>
        <row r="1796">
          <cell r="D1796">
            <v>3.1</v>
          </cell>
          <cell r="F1796">
            <v>520711083752</v>
          </cell>
          <cell r="G1796" t="str">
            <v>HEILIND ELECTRONICS</v>
          </cell>
          <cell r="H1796" t="str">
            <v>Delivered</v>
          </cell>
          <cell r="I1796" t="str">
            <v>CONN</v>
          </cell>
          <cell r="J1796" t="str">
            <v>Fedex</v>
          </cell>
          <cell r="K1796" t="str">
            <v>VVMV</v>
          </cell>
          <cell r="L1796" t="str">
            <v>CA</v>
          </cell>
          <cell r="M1796">
            <v>46176</v>
          </cell>
          <cell r="N1796">
            <v>46183</v>
          </cell>
          <cell r="O1796">
            <v>46185</v>
          </cell>
          <cell r="P1796">
            <v>108324167010</v>
          </cell>
          <cell r="Q1796">
            <v>46182</v>
          </cell>
          <cell r="R1796" t="str">
            <v>No inspection</v>
          </cell>
          <cell r="S1796">
            <v>269.76</v>
          </cell>
          <cell r="T1796" t="str">
            <v>CIF</v>
          </cell>
          <cell r="U1796" t="str">
            <v>EF-</v>
          </cell>
        </row>
        <row r="1797">
          <cell r="D1797">
            <v>0.5</v>
          </cell>
          <cell r="F1797">
            <v>381800914174</v>
          </cell>
          <cell r="G1797" t="str">
            <v>TEXAS INSTRUMENTS ASIA LIMITED
C/O KWE LOGISTICS (SHENZHEN)</v>
          </cell>
          <cell r="H1797" t="str">
            <v>Delivered</v>
          </cell>
          <cell r="I1797" t="str">
            <v>IC T</v>
          </cell>
          <cell r="J1797" t="str">
            <v>Fedex</v>
          </cell>
          <cell r="K1797" t="str">
            <v>VVMV</v>
          </cell>
          <cell r="L1797" t="str">
            <v>CN</v>
          </cell>
          <cell r="M1797">
            <v>46177</v>
          </cell>
          <cell r="N1797">
            <v>46189</v>
          </cell>
          <cell r="O1797">
            <v>46188</v>
          </cell>
          <cell r="P1797">
            <v>108337266920</v>
          </cell>
          <cell r="Q1797" t="str">
            <v>13/06/2026 09:50:44</v>
          </cell>
          <cell r="R1797" t="str">
            <v>No inspection</v>
          </cell>
          <cell r="S1797">
            <v>1098</v>
          </cell>
          <cell r="T1797" t="str">
            <v>EXW</v>
          </cell>
          <cell r="U1797">
            <v>142</v>
          </cell>
        </row>
        <row r="1798">
          <cell r="D1798">
            <v>1.4</v>
          </cell>
          <cell r="F1798">
            <v>381823618757</v>
          </cell>
          <cell r="G1798" t="str">
            <v>R2R c/o DHL Supply Chain SGP P/L
Texas Instruments Southeast Asia Pt</v>
          </cell>
          <cell r="H1798" t="str">
            <v>Delivered</v>
          </cell>
          <cell r="I1798" t="str">
            <v>IC P</v>
          </cell>
          <cell r="J1798" t="str">
            <v>Fedex</v>
          </cell>
          <cell r="K1798" t="str">
            <v>VVMV</v>
          </cell>
          <cell r="L1798" t="str">
            <v>SG</v>
          </cell>
          <cell r="M1798">
            <v>46178</v>
          </cell>
          <cell r="N1798">
            <v>46183</v>
          </cell>
          <cell r="O1798">
            <v>46184</v>
          </cell>
          <cell r="P1798">
            <v>108323455000</v>
          </cell>
          <cell r="Q1798">
            <v>46182</v>
          </cell>
          <cell r="R1798" t="str">
            <v>No inspection</v>
          </cell>
          <cell r="S1798">
            <v>1155.4000000000001</v>
          </cell>
          <cell r="T1798" t="str">
            <v>EXW</v>
          </cell>
          <cell r="U1798" t="str">
            <v>FMC</v>
          </cell>
        </row>
        <row r="1799">
          <cell r="D1799">
            <v>4.0999999999999996</v>
          </cell>
          <cell r="F1799">
            <v>528824607316</v>
          </cell>
          <cell r="G1799" t="str">
            <v>MOUSER ELECTRONICS INC</v>
          </cell>
          <cell r="H1799" t="str">
            <v>Delivered</v>
          </cell>
          <cell r="I1799" t="str">
            <v xml:space="preserve">RES , IND , TRAN, CAP </v>
          </cell>
          <cell r="J1799" t="str">
            <v>Fedex</v>
          </cell>
          <cell r="K1799" t="str">
            <v>VVMV</v>
          </cell>
          <cell r="L1799" t="str">
            <v>US</v>
          </cell>
          <cell r="M1799">
            <v>46177</v>
          </cell>
          <cell r="N1799">
            <v>46183</v>
          </cell>
          <cell r="O1799">
            <v>46184</v>
          </cell>
          <cell r="P1799">
            <v>108323698010</v>
          </cell>
          <cell r="Q1799">
            <v>46182</v>
          </cell>
          <cell r="R1799" t="str">
            <v>No inspection</v>
          </cell>
          <cell r="S1799">
            <v>5413.5405000000001</v>
          </cell>
          <cell r="T1799" t="str">
            <v>CIF</v>
          </cell>
          <cell r="U1799">
            <v>123</v>
          </cell>
        </row>
        <row r="1800">
          <cell r="D1800">
            <v>8.4</v>
          </cell>
          <cell r="F1800">
            <v>5774685486</v>
          </cell>
          <cell r="G1800" t="str">
            <v>FUTURE ELECTRONICS INC (DIST) PTE LTD</v>
          </cell>
          <cell r="H1800" t="str">
            <v>Delivered</v>
          </cell>
          <cell r="I1800" t="str">
            <v>TRAN, CAP , DIOD, RES , IC S</v>
          </cell>
          <cell r="J1800" t="str">
            <v>DHL</v>
          </cell>
          <cell r="K1800" t="str">
            <v>VVMV</v>
          </cell>
          <cell r="L1800" t="str">
            <v>SG</v>
          </cell>
          <cell r="M1800">
            <v>46179</v>
          </cell>
          <cell r="N1800">
            <v>46183</v>
          </cell>
          <cell r="O1800">
            <v>46183</v>
          </cell>
          <cell r="P1800">
            <v>108323956900</v>
          </cell>
          <cell r="Q1800">
            <v>46182</v>
          </cell>
          <cell r="R1800" t="str">
            <v>No inspection</v>
          </cell>
          <cell r="S1800">
            <v>10627.24</v>
          </cell>
          <cell r="T1800" t="str">
            <v>CIF</v>
          </cell>
          <cell r="U1800" t="str">
            <v>LUC</v>
          </cell>
        </row>
        <row r="1801">
          <cell r="D1801">
            <v>1.6</v>
          </cell>
          <cell r="F1801">
            <v>5774687656</v>
          </cell>
          <cell r="G1801" t="str">
            <v>FUTURE ELECTRONICS (ADC)</v>
          </cell>
          <cell r="H1801" t="str">
            <v>Delivered</v>
          </cell>
          <cell r="I1801" t="str">
            <v xml:space="preserve">LED </v>
          </cell>
          <cell r="J1801" t="str">
            <v>DHL</v>
          </cell>
          <cell r="K1801" t="str">
            <v>VVMV</v>
          </cell>
          <cell r="L1801" t="str">
            <v>SG</v>
          </cell>
          <cell r="M1801">
            <v>46181</v>
          </cell>
          <cell r="N1801">
            <v>46183</v>
          </cell>
          <cell r="O1801">
            <v>46183</v>
          </cell>
          <cell r="P1801">
            <v>108323070440</v>
          </cell>
          <cell r="Q1801">
            <v>46182</v>
          </cell>
          <cell r="R1801" t="str">
            <v>No inspection</v>
          </cell>
          <cell r="S1801">
            <v>469</v>
          </cell>
          <cell r="T1801" t="str">
            <v>CIF</v>
          </cell>
          <cell r="U1801" t="str">
            <v>PUR</v>
          </cell>
        </row>
        <row r="1802">
          <cell r="D1802">
            <v>21.9</v>
          </cell>
          <cell r="F1802" t="str">
            <v>8XN5990</v>
          </cell>
          <cell r="G1802" t="str">
            <v>KIOXIA CORPORATION C/O KIOXIA AMERICA INC</v>
          </cell>
          <cell r="H1802" t="str">
            <v>Delivered</v>
          </cell>
          <cell r="I1802" t="str">
            <v xml:space="preserve">MEM </v>
          </cell>
          <cell r="J1802" t="str">
            <v>DHL( global)</v>
          </cell>
          <cell r="K1802" t="str">
            <v>VVMV</v>
          </cell>
          <cell r="L1802" t="str">
            <v>JP</v>
          </cell>
          <cell r="M1802">
            <v>46182</v>
          </cell>
          <cell r="N1802">
            <v>46189</v>
          </cell>
          <cell r="O1802">
            <v>46189</v>
          </cell>
          <cell r="P1802">
            <v>108341656030</v>
          </cell>
          <cell r="Q1802">
            <v>46188</v>
          </cell>
          <cell r="R1802" t="str">
            <v>No inspection</v>
          </cell>
          <cell r="S1802">
            <v>1492869.1200000001</v>
          </cell>
          <cell r="T1802" t="str">
            <v>DAP</v>
          </cell>
          <cell r="U1802" t="str">
            <v>HLO</v>
          </cell>
        </row>
        <row r="1803">
          <cell r="D1803">
            <v>64.5</v>
          </cell>
          <cell r="F1803" t="str">
            <v>PLISGFE00447</v>
          </cell>
          <cell r="G1803" t="str">
            <v>FUTURE ELECTRONICS INC (DIST) PTE LTD</v>
          </cell>
          <cell r="H1803" t="str">
            <v>Delivered</v>
          </cell>
          <cell r="I1803" t="str">
            <v xml:space="preserve">IND , CAP </v>
          </cell>
          <cell r="J1803" t="str">
            <v>LX</v>
          </cell>
          <cell r="K1803" t="str">
            <v>VVMV</v>
          </cell>
          <cell r="L1803" t="str">
            <v>SG</v>
          </cell>
          <cell r="M1803">
            <v>46182</v>
          </cell>
          <cell r="N1803">
            <v>46183</v>
          </cell>
          <cell r="O1803">
            <v>46185</v>
          </cell>
          <cell r="P1803">
            <v>108325362830</v>
          </cell>
          <cell r="Q1803">
            <v>46183</v>
          </cell>
          <cell r="R1803" t="str">
            <v>No inspection</v>
          </cell>
          <cell r="S1803">
            <v>7102.93</v>
          </cell>
          <cell r="T1803" t="str">
            <v>DAP</v>
          </cell>
          <cell r="U1803" t="str">
            <v>PUR</v>
          </cell>
        </row>
        <row r="1804">
          <cell r="D1804">
            <v>1893.5</v>
          </cell>
          <cell r="F1804" t="str">
            <v>PSHPH2660016</v>
          </cell>
          <cell r="G1804" t="str">
            <v>MIN AIK TECHNOLOGY CO., LTD</v>
          </cell>
          <cell r="H1804" t="str">
            <v>Delivered</v>
          </cell>
          <cell r="I1804" t="str">
            <v>CARR, ASSY</v>
          </cell>
          <cell r="J1804" t="str">
            <v>VVMV(SEA)</v>
          </cell>
          <cell r="K1804" t="str">
            <v>VVMV</v>
          </cell>
          <cell r="L1804" t="str">
            <v>TW</v>
          </cell>
          <cell r="M1804">
            <v>46178</v>
          </cell>
          <cell r="N1804">
            <v>46188</v>
          </cell>
          <cell r="O1804">
            <v>46188</v>
          </cell>
          <cell r="P1804">
            <v>108331025460</v>
          </cell>
          <cell r="Q1804">
            <v>46332.57435185185</v>
          </cell>
          <cell r="R1804" t="str">
            <v>No inspection</v>
          </cell>
          <cell r="S1804">
            <v>100492.8</v>
          </cell>
          <cell r="T1804" t="str">
            <v>EXW</v>
          </cell>
          <cell r="U1804" t="str">
            <v>PUR</v>
          </cell>
        </row>
        <row r="1805">
          <cell r="D1805">
            <v>709.245</v>
          </cell>
          <cell r="F1805" t="str">
            <v>PSHPH2660028</v>
          </cell>
          <cell r="G1805" t="str">
            <v>COMPEQ MANUFACTURING COMPANY LIMITED</v>
          </cell>
          <cell r="H1805" t="str">
            <v>Delivered</v>
          </cell>
          <cell r="I1805" t="str">
            <v xml:space="preserve">PCB </v>
          </cell>
          <cell r="J1805" t="str">
            <v>VVMV(SEA)</v>
          </cell>
          <cell r="K1805" t="str">
            <v>VVMV</v>
          </cell>
          <cell r="L1805" t="str">
            <v>TW</v>
          </cell>
          <cell r="M1805">
            <v>46178</v>
          </cell>
          <cell r="N1805">
            <v>46188</v>
          </cell>
          <cell r="O1805">
            <v>46188</v>
          </cell>
          <cell r="P1805">
            <v>108331312500</v>
          </cell>
          <cell r="Q1805">
            <v>46332.600914351853</v>
          </cell>
          <cell r="R1805" t="str">
            <v>No inspection</v>
          </cell>
          <cell r="S1805">
            <v>124947.6</v>
          </cell>
          <cell r="T1805" t="str">
            <v>FOB</v>
          </cell>
          <cell r="U1805" t="str">
            <v>PUR</v>
          </cell>
        </row>
        <row r="1806">
          <cell r="D1806">
            <v>5</v>
          </cell>
          <cell r="F1806">
            <v>381660504209</v>
          </cell>
          <cell r="G1806" t="str">
            <v>c/o DHL Supply Chain SGP P/L
Texas Instruments Southeast Asia Pt</v>
          </cell>
          <cell r="H1806" t="str">
            <v>Delivered</v>
          </cell>
          <cell r="I1806" t="str">
            <v>IC  , IC T, IC S</v>
          </cell>
          <cell r="J1806" t="str">
            <v>Fedex</v>
          </cell>
          <cell r="K1806" t="str">
            <v>VVMV</v>
          </cell>
          <cell r="L1806" t="str">
            <v>SG</v>
          </cell>
          <cell r="M1806">
            <v>46171</v>
          </cell>
          <cell r="N1806">
            <v>46184</v>
          </cell>
          <cell r="O1806">
            <v>46185</v>
          </cell>
          <cell r="P1806">
            <v>108327660230</v>
          </cell>
          <cell r="Q1806">
            <v>46183</v>
          </cell>
          <cell r="R1806" t="str">
            <v>No inspection</v>
          </cell>
          <cell r="S1806">
            <v>7632</v>
          </cell>
          <cell r="T1806" t="str">
            <v>EXW</v>
          </cell>
          <cell r="U1806" t="str">
            <v>PUR</v>
          </cell>
        </row>
        <row r="1807">
          <cell r="D1807">
            <v>0.5</v>
          </cell>
          <cell r="F1807">
            <v>381824860454</v>
          </cell>
          <cell r="G1807" t="str">
            <v>ROCHESTER ELECTRONICS</v>
          </cell>
          <cell r="H1807" t="str">
            <v>Delivered</v>
          </cell>
          <cell r="I1807" t="str">
            <v>TRAN</v>
          </cell>
          <cell r="J1807" t="str">
            <v>Fedex</v>
          </cell>
          <cell r="K1807" t="str">
            <v>VVMV</v>
          </cell>
          <cell r="L1807" t="str">
            <v>US</v>
          </cell>
          <cell r="M1807">
            <v>46178</v>
          </cell>
          <cell r="N1807">
            <v>46184</v>
          </cell>
          <cell r="O1807">
            <v>46185</v>
          </cell>
          <cell r="P1807">
            <v>108326752220</v>
          </cell>
          <cell r="Q1807">
            <v>46301.555983796294</v>
          </cell>
          <cell r="R1807" t="str">
            <v>No inspection</v>
          </cell>
          <cell r="S1807">
            <v>590</v>
          </cell>
          <cell r="T1807" t="str">
            <v>CIF</v>
          </cell>
          <cell r="U1807" t="str">
            <v>EF-</v>
          </cell>
        </row>
        <row r="1808">
          <cell r="D1808">
            <v>8.3000000000000007</v>
          </cell>
          <cell r="F1808">
            <v>526433759854</v>
          </cell>
          <cell r="G1808" t="str">
            <v>FUTURE ELECTRONICS</v>
          </cell>
          <cell r="H1808" t="str">
            <v>Delivered</v>
          </cell>
          <cell r="I1808" t="str">
            <v xml:space="preserve">CAP </v>
          </cell>
          <cell r="J1808" t="str">
            <v>Fedex</v>
          </cell>
          <cell r="K1808" t="str">
            <v>VVMV</v>
          </cell>
          <cell r="L1808" t="str">
            <v>US</v>
          </cell>
          <cell r="M1808">
            <v>46178</v>
          </cell>
          <cell r="N1808">
            <v>46184</v>
          </cell>
          <cell r="O1808">
            <v>46185</v>
          </cell>
          <cell r="P1808">
            <v>108327268340</v>
          </cell>
          <cell r="Q1808">
            <v>46301.590983796297</v>
          </cell>
          <cell r="R1808" t="str">
            <v>No inspection</v>
          </cell>
          <cell r="S1808">
            <v>32331.599999999999</v>
          </cell>
          <cell r="T1808" t="str">
            <v>CIF</v>
          </cell>
          <cell r="U1808">
            <v>122</v>
          </cell>
        </row>
        <row r="1809">
          <cell r="D1809">
            <v>5.5</v>
          </cell>
          <cell r="F1809">
            <v>818547865244</v>
          </cell>
          <cell r="G1809" t="str">
            <v>TEXAS INSTRUMENTS S.E.A. PTE LTD</v>
          </cell>
          <cell r="H1809" t="str">
            <v>Delivered</v>
          </cell>
          <cell r="I1809" t="str">
            <v>IC L</v>
          </cell>
          <cell r="J1809" t="str">
            <v>Fedex</v>
          </cell>
          <cell r="K1809" t="str">
            <v>VVMV</v>
          </cell>
          <cell r="L1809" t="str">
            <v>SG</v>
          </cell>
          <cell r="M1809">
            <v>46180</v>
          </cell>
          <cell r="N1809">
            <v>46184</v>
          </cell>
          <cell r="O1809">
            <v>46185</v>
          </cell>
          <cell r="P1809">
            <v>108327159510</v>
          </cell>
          <cell r="Q1809">
            <v>46301.579826388886</v>
          </cell>
          <cell r="R1809" t="str">
            <v>No inspection</v>
          </cell>
          <cell r="S1809">
            <v>7308</v>
          </cell>
          <cell r="T1809" t="str">
            <v>EXW</v>
          </cell>
          <cell r="U1809" t="str">
            <v>LUC</v>
          </cell>
        </row>
        <row r="1810">
          <cell r="D1810">
            <v>0.9</v>
          </cell>
          <cell r="F1810">
            <v>818547865266</v>
          </cell>
          <cell r="G1810" t="str">
            <v>TEXAS INSTRUMENTS S.E.A. PTE LTD</v>
          </cell>
          <cell r="H1810" t="str">
            <v>Delivered</v>
          </cell>
          <cell r="I1810" t="str">
            <v>IC M</v>
          </cell>
          <cell r="J1810" t="str">
            <v>Fedex</v>
          </cell>
          <cell r="K1810" t="str">
            <v>VVMV</v>
          </cell>
          <cell r="L1810" t="str">
            <v>SG</v>
          </cell>
          <cell r="M1810">
            <v>46180</v>
          </cell>
          <cell r="N1810">
            <v>46184</v>
          </cell>
          <cell r="O1810">
            <v>46185</v>
          </cell>
          <cell r="P1810">
            <v>108326961520</v>
          </cell>
          <cell r="Q1810">
            <v>46301.556620370371</v>
          </cell>
          <cell r="R1810" t="str">
            <v>No inspection</v>
          </cell>
          <cell r="S1810">
            <v>1539</v>
          </cell>
          <cell r="T1810" t="str">
            <v>EXW</v>
          </cell>
          <cell r="U1810" t="str">
            <v>LUC</v>
          </cell>
        </row>
        <row r="1811">
          <cell r="D1811">
            <v>3.8</v>
          </cell>
          <cell r="F1811">
            <v>500395153215</v>
          </cell>
          <cell r="G1811" t="str">
            <v>WURTH ELEKTRONIK EISOS GMBH</v>
          </cell>
          <cell r="H1811" t="str">
            <v>Delivered</v>
          </cell>
          <cell r="I1811" t="str">
            <v xml:space="preserve">IND </v>
          </cell>
          <cell r="J1811" t="str">
            <v>Fedex</v>
          </cell>
          <cell r="K1811" t="str">
            <v>VVMV</v>
          </cell>
          <cell r="L1811" t="str">
            <v>DE</v>
          </cell>
          <cell r="M1811">
            <v>46178</v>
          </cell>
          <cell r="N1811">
            <v>46184</v>
          </cell>
          <cell r="O1811">
            <v>46185</v>
          </cell>
          <cell r="P1811">
            <v>108326595200</v>
          </cell>
          <cell r="Q1811">
            <v>46301.482777777775</v>
          </cell>
          <cell r="R1811" t="str">
            <v>No inspection</v>
          </cell>
          <cell r="S1811">
            <v>1402.5</v>
          </cell>
          <cell r="T1811" t="str">
            <v>CIF</v>
          </cell>
          <cell r="U1811">
            <v>123</v>
          </cell>
        </row>
        <row r="1812">
          <cell r="D1812">
            <v>17.5</v>
          </cell>
          <cell r="F1812">
            <v>381854847416</v>
          </cell>
          <cell r="G1812" t="str">
            <v>C/O KINTETSU WORLD EXPRESS (CHINA)
TEXAS INSTRUMENTS ASIA LIMITED</v>
          </cell>
          <cell r="H1812" t="str">
            <v>Delivered</v>
          </cell>
          <cell r="I1812" t="str">
            <v>IC D</v>
          </cell>
          <cell r="J1812" t="str">
            <v>Fedex</v>
          </cell>
          <cell r="K1812" t="str">
            <v>VVMV</v>
          </cell>
          <cell r="L1812" t="str">
            <v>CN</v>
          </cell>
          <cell r="M1812">
            <v>46181</v>
          </cell>
          <cell r="N1812">
            <v>46184</v>
          </cell>
          <cell r="O1812">
            <v>46185</v>
          </cell>
          <cell r="P1812">
            <v>108326895460</v>
          </cell>
          <cell r="Q1812">
            <v>46301.561527777776</v>
          </cell>
          <cell r="R1812" t="str">
            <v>No inspection</v>
          </cell>
          <cell r="S1812">
            <v>24288</v>
          </cell>
          <cell r="T1812" t="str">
            <v>EXW</v>
          </cell>
          <cell r="U1812" t="str">
            <v>LUC</v>
          </cell>
        </row>
        <row r="1813">
          <cell r="D1813">
            <v>0.4</v>
          </cell>
          <cell r="F1813">
            <v>381847534714</v>
          </cell>
          <cell r="G1813" t="str">
            <v>C/O KINTETSU WORLD EXPRESS
TEXAS INSTRUMENTS ASIA LIMITED</v>
          </cell>
          <cell r="H1813" t="str">
            <v>Delivered</v>
          </cell>
          <cell r="I1813" t="str">
            <v>IC V</v>
          </cell>
          <cell r="J1813" t="str">
            <v>Fedex</v>
          </cell>
          <cell r="K1813" t="str">
            <v>VVMV</v>
          </cell>
          <cell r="L1813" t="str">
            <v>CN</v>
          </cell>
          <cell r="M1813">
            <v>46179</v>
          </cell>
          <cell r="N1813">
            <v>46184</v>
          </cell>
          <cell r="O1813">
            <v>46185</v>
          </cell>
          <cell r="P1813">
            <v>108327328910</v>
          </cell>
          <cell r="Q1813">
            <v>46183</v>
          </cell>
          <cell r="R1813" t="str">
            <v>No inspection</v>
          </cell>
          <cell r="S1813">
            <v>672</v>
          </cell>
          <cell r="T1813" t="str">
            <v>EXW</v>
          </cell>
          <cell r="U1813" t="str">
            <v>EF-</v>
          </cell>
        </row>
        <row r="1814">
          <cell r="D1814">
            <v>1.8</v>
          </cell>
          <cell r="F1814">
            <v>381894026946</v>
          </cell>
          <cell r="G1814" t="str">
            <v>c/o DHL Supply Chain SGP P/L
Texas Instruments Southeast Asia Pt</v>
          </cell>
          <cell r="H1814" t="str">
            <v>Delivered</v>
          </cell>
          <cell r="I1814" t="str">
            <v xml:space="preserve">MCU </v>
          </cell>
          <cell r="J1814" t="str">
            <v>Fedex</v>
          </cell>
          <cell r="K1814" t="str">
            <v>VVMV</v>
          </cell>
          <cell r="L1814" t="str">
            <v>SG</v>
          </cell>
          <cell r="M1814">
            <v>46182</v>
          </cell>
          <cell r="N1814">
            <v>46184</v>
          </cell>
          <cell r="O1814">
            <v>46185</v>
          </cell>
          <cell r="P1814">
            <v>108327045410</v>
          </cell>
          <cell r="Q1814">
            <v>46301.57135416667</v>
          </cell>
          <cell r="R1814" t="str">
            <v>No inspection</v>
          </cell>
          <cell r="S1814">
            <v>2925</v>
          </cell>
          <cell r="T1814" t="str">
            <v>EXW</v>
          </cell>
          <cell r="U1814" t="str">
            <v>FMC</v>
          </cell>
        </row>
        <row r="1815">
          <cell r="D1815">
            <v>0.9</v>
          </cell>
          <cell r="F1815">
            <v>381897161090</v>
          </cell>
          <cell r="G1815" t="str">
            <v>c/o DHL Supply Chain SGP P/L
Texas Instruments Southeast Asia Pt</v>
          </cell>
          <cell r="H1815" t="str">
            <v>Delivered</v>
          </cell>
          <cell r="I1815" t="str">
            <v>IC V</v>
          </cell>
          <cell r="J1815" t="str">
            <v>Fedex</v>
          </cell>
          <cell r="K1815" t="str">
            <v>VVMV</v>
          </cell>
          <cell r="L1815" t="str">
            <v>SG</v>
          </cell>
          <cell r="M1815">
            <v>46182</v>
          </cell>
          <cell r="N1815">
            <v>46184</v>
          </cell>
          <cell r="O1815">
            <v>46185</v>
          </cell>
          <cell r="P1815">
            <v>108326645010</v>
          </cell>
          <cell r="Q1815">
            <v>46301.546898148146</v>
          </cell>
          <cell r="R1815" t="str">
            <v>No inspection</v>
          </cell>
          <cell r="S1815">
            <v>1350</v>
          </cell>
          <cell r="T1815" t="str">
            <v>EXW</v>
          </cell>
          <cell r="U1815" t="str">
            <v>PUR</v>
          </cell>
        </row>
        <row r="1816">
          <cell r="D1816">
            <v>2</v>
          </cell>
          <cell r="F1816">
            <v>381895018874</v>
          </cell>
          <cell r="G1816" t="str">
            <v>c/o DHL Supply Chain SGP P/L
Texas Instruments Southeast Asia Pt</v>
          </cell>
          <cell r="H1816" t="str">
            <v>Delivered</v>
          </cell>
          <cell r="I1816" t="str">
            <v>IC A, IC S</v>
          </cell>
          <cell r="J1816" t="str">
            <v>Fedex</v>
          </cell>
          <cell r="K1816" t="str">
            <v>VVMV</v>
          </cell>
          <cell r="L1816" t="str">
            <v>SG</v>
          </cell>
          <cell r="M1816">
            <v>46182</v>
          </cell>
          <cell r="N1816">
            <v>46184</v>
          </cell>
          <cell r="O1816">
            <v>46185</v>
          </cell>
          <cell r="P1816">
            <v>108327422710</v>
          </cell>
          <cell r="Q1816">
            <v>46301.605902777781</v>
          </cell>
          <cell r="R1816" t="str">
            <v>No inspection</v>
          </cell>
          <cell r="S1816">
            <v>4545</v>
          </cell>
          <cell r="T1816" t="str">
            <v>EXW</v>
          </cell>
          <cell r="U1816" t="str">
            <v>PUR</v>
          </cell>
        </row>
        <row r="1817">
          <cell r="D1817">
            <v>0.5</v>
          </cell>
          <cell r="F1817">
            <v>381860195105</v>
          </cell>
          <cell r="G1817" t="str">
            <v>c/o DHL Supply Chain SGP P/L
Texas Instruments Southeast Asia Pt</v>
          </cell>
          <cell r="H1817" t="str">
            <v>Delivered</v>
          </cell>
          <cell r="I1817" t="str">
            <v>IC I</v>
          </cell>
          <cell r="J1817" t="str">
            <v>Fedex</v>
          </cell>
          <cell r="K1817" t="str">
            <v>VVMV</v>
          </cell>
          <cell r="L1817" t="str">
            <v>SG</v>
          </cell>
          <cell r="M1817">
            <v>46181</v>
          </cell>
          <cell r="N1817">
            <v>46184</v>
          </cell>
          <cell r="O1817">
            <v>46185</v>
          </cell>
          <cell r="P1817">
            <v>108327059520</v>
          </cell>
          <cell r="Q1817">
            <v>46301.587083333332</v>
          </cell>
          <cell r="R1817" t="str">
            <v>No inspection</v>
          </cell>
          <cell r="S1817">
            <v>72</v>
          </cell>
          <cell r="T1817" t="str">
            <v>EXW</v>
          </cell>
          <cell r="U1817" t="str">
            <v>EF-</v>
          </cell>
        </row>
        <row r="1818">
          <cell r="D1818">
            <v>6.6</v>
          </cell>
          <cell r="F1818">
            <v>483570647219</v>
          </cell>
          <cell r="G1818" t="str">
            <v>UNIGEN CORPORATION</v>
          </cell>
          <cell r="H1818" t="str">
            <v>Delivered</v>
          </cell>
          <cell r="I1818" t="str">
            <v xml:space="preserve">PDA , THER, CAP , IND , RES </v>
          </cell>
          <cell r="J1818" t="str">
            <v>Fedex</v>
          </cell>
          <cell r="K1818" t="str">
            <v>VVMV</v>
          </cell>
          <cell r="L1818" t="str">
            <v>US</v>
          </cell>
          <cell r="M1818">
            <v>46178</v>
          </cell>
          <cell r="N1818">
            <v>46185</v>
          </cell>
          <cell r="O1818">
            <v>46188</v>
          </cell>
          <cell r="P1818">
            <v>108328609320</v>
          </cell>
          <cell r="Q1818">
            <v>46301.721215277779</v>
          </cell>
          <cell r="R1818" t="str">
            <v>No inspection</v>
          </cell>
          <cell r="S1818">
            <v>772.82</v>
          </cell>
          <cell r="T1818" t="str">
            <v>CIF</v>
          </cell>
          <cell r="U1818" t="str">
            <v>PUR</v>
          </cell>
        </row>
        <row r="1819">
          <cell r="D1819">
            <v>38.200000000000003</v>
          </cell>
          <cell r="F1819">
            <v>527390655812</v>
          </cell>
          <cell r="G1819" t="str">
            <v>Micron Memory Malaysia Sdn. Bh</v>
          </cell>
          <cell r="H1819" t="str">
            <v>Delivered</v>
          </cell>
          <cell r="I1819" t="str">
            <v xml:space="preserve">MEM </v>
          </cell>
          <cell r="J1819" t="str">
            <v>Fedex</v>
          </cell>
          <cell r="K1819" t="str">
            <v>VVMV</v>
          </cell>
          <cell r="L1819" t="str">
            <v>MY</v>
          </cell>
          <cell r="M1819">
            <v>46182</v>
          </cell>
          <cell r="N1819">
            <v>46185</v>
          </cell>
          <cell r="O1819">
            <v>46185</v>
          </cell>
          <cell r="P1819">
            <v>108327903830</v>
          </cell>
          <cell r="Q1819">
            <v>46301.673101851855</v>
          </cell>
          <cell r="R1819" t="str">
            <v>No inspection</v>
          </cell>
          <cell r="S1819">
            <v>3129700</v>
          </cell>
          <cell r="T1819" t="str">
            <v>CIF</v>
          </cell>
          <cell r="U1819" t="str">
            <v>PUR</v>
          </cell>
        </row>
        <row r="1820">
          <cell r="D1820">
            <v>29</v>
          </cell>
          <cell r="F1820">
            <v>872883162342</v>
          </cell>
          <cell r="G1820" t="str">
            <v>KINJI ELECTRONICS LTD</v>
          </cell>
          <cell r="H1820" t="str">
            <v>Delivered</v>
          </cell>
          <cell r="I1820" t="str">
            <v xml:space="preserve">PCB </v>
          </cell>
          <cell r="J1820" t="str">
            <v>Fedex</v>
          </cell>
          <cell r="K1820" t="str">
            <v>VVMV</v>
          </cell>
          <cell r="L1820" t="str">
            <v>HK</v>
          </cell>
          <cell r="M1820">
            <v>46183</v>
          </cell>
          <cell r="N1820">
            <v>46188</v>
          </cell>
          <cell r="O1820">
            <v>46188</v>
          </cell>
          <cell r="P1820">
            <v>108333570920</v>
          </cell>
          <cell r="Q1820">
            <v>46362.403425925928</v>
          </cell>
          <cell r="R1820" t="str">
            <v>No inspection</v>
          </cell>
          <cell r="S1820">
            <v>11485.4</v>
          </cell>
          <cell r="T1820" t="str">
            <v>CIF</v>
          </cell>
          <cell r="U1820">
            <v>141</v>
          </cell>
        </row>
        <row r="1821">
          <cell r="D1821">
            <v>2.6</v>
          </cell>
          <cell r="F1821">
            <v>872881089343</v>
          </cell>
          <cell r="G1821" t="str">
            <v>Vltalsystem Technology Pte Ltd</v>
          </cell>
          <cell r="H1821" t="str">
            <v>Delivered</v>
          </cell>
          <cell r="I1821" t="str">
            <v xml:space="preserve">RES , DIOD, CAP </v>
          </cell>
          <cell r="J1821" t="str">
            <v>Fedex</v>
          </cell>
          <cell r="K1821" t="str">
            <v>VVMV</v>
          </cell>
          <cell r="L1821" t="str">
            <v>SG</v>
          </cell>
          <cell r="M1821">
            <v>46183</v>
          </cell>
          <cell r="N1821">
            <v>46185</v>
          </cell>
          <cell r="O1821">
            <v>46185</v>
          </cell>
          <cell r="P1821">
            <v>108330405960</v>
          </cell>
          <cell r="Q1821">
            <v>46184</v>
          </cell>
          <cell r="R1821" t="str">
            <v>No inspection</v>
          </cell>
          <cell r="S1821">
            <v>3735.5</v>
          </cell>
          <cell r="T1821" t="str">
            <v>EXW</v>
          </cell>
          <cell r="U1821">
            <v>122</v>
          </cell>
        </row>
        <row r="1822">
          <cell r="D1822">
            <v>36</v>
          </cell>
          <cell r="F1822">
            <v>872873986800</v>
          </cell>
          <cell r="G1822" t="str">
            <v>AMPHENOL FCI ASIA PTE LTD</v>
          </cell>
          <cell r="H1822" t="str">
            <v>Delivered</v>
          </cell>
          <cell r="I1822" t="str">
            <v>CONN</v>
          </cell>
          <cell r="J1822" t="str">
            <v>Fedex</v>
          </cell>
          <cell r="K1822" t="str">
            <v>VVMV</v>
          </cell>
          <cell r="L1822" t="str">
            <v>SG</v>
          </cell>
          <cell r="M1822">
            <v>46183</v>
          </cell>
          <cell r="N1822">
            <v>46185</v>
          </cell>
          <cell r="O1822">
            <v>46188</v>
          </cell>
          <cell r="P1822">
            <v>108330456950</v>
          </cell>
          <cell r="Q1822">
            <v>46184</v>
          </cell>
          <cell r="R1822" t="str">
            <v>No inspection</v>
          </cell>
          <cell r="S1822">
            <v>13000.5</v>
          </cell>
          <cell r="T1822" t="str">
            <v>EXW</v>
          </cell>
          <cell r="U1822" t="str">
            <v>PUR</v>
          </cell>
        </row>
        <row r="1823">
          <cell r="D1823">
            <v>0.6</v>
          </cell>
          <cell r="F1823">
            <v>469369346976</v>
          </cell>
          <cell r="G1823" t="str">
            <v>TXC CORPORATION</v>
          </cell>
          <cell r="H1823" t="str">
            <v>Delivered</v>
          </cell>
          <cell r="I1823" t="str">
            <v>CRYS</v>
          </cell>
          <cell r="J1823" t="str">
            <v>Fedex</v>
          </cell>
          <cell r="K1823" t="str">
            <v>VVMV</v>
          </cell>
          <cell r="L1823" t="str">
            <v>TW</v>
          </cell>
          <cell r="M1823">
            <v>46181</v>
          </cell>
          <cell r="N1823">
            <v>46185</v>
          </cell>
          <cell r="O1823">
            <v>46188</v>
          </cell>
          <cell r="P1823">
            <v>108331628750</v>
          </cell>
          <cell r="Q1823">
            <v>46184</v>
          </cell>
          <cell r="R1823" t="str">
            <v>No inspection</v>
          </cell>
          <cell r="S1823">
            <v>270</v>
          </cell>
          <cell r="T1823" t="str">
            <v>EXW</v>
          </cell>
          <cell r="U1823" t="str">
            <v>EF-</v>
          </cell>
        </row>
        <row r="1824">
          <cell r="D1824">
            <v>21.8</v>
          </cell>
          <cell r="F1824">
            <v>409298925295</v>
          </cell>
          <cell r="G1824" t="str">
            <v>TTI ELECTRONICS ASIA PTE LTD</v>
          </cell>
          <cell r="H1824" t="str">
            <v>Delivered</v>
          </cell>
          <cell r="I1824" t="str">
            <v xml:space="preserve">CAP , IND , RES </v>
          </cell>
          <cell r="J1824" t="str">
            <v>Fedex</v>
          </cell>
          <cell r="K1824" t="str">
            <v>VVMV</v>
          </cell>
          <cell r="L1824" t="str">
            <v>SG</v>
          </cell>
          <cell r="M1824">
            <v>46181</v>
          </cell>
          <cell r="N1824">
            <v>46185</v>
          </cell>
          <cell r="O1824">
            <v>46188</v>
          </cell>
          <cell r="P1824">
            <v>108330517410</v>
          </cell>
          <cell r="Q1824">
            <v>46184</v>
          </cell>
          <cell r="R1824" t="str">
            <v>No inspection</v>
          </cell>
          <cell r="S1824">
            <v>15667.12</v>
          </cell>
          <cell r="T1824" t="str">
            <v>EXW</v>
          </cell>
          <cell r="U1824" t="str">
            <v>LUC</v>
          </cell>
        </row>
        <row r="1825">
          <cell r="D1825">
            <v>42.7</v>
          </cell>
          <cell r="F1825">
            <v>510007366917</v>
          </cell>
          <cell r="G1825" t="str">
            <v>Sino Faith Technology Development</v>
          </cell>
          <cell r="H1825" t="str">
            <v>Delivered</v>
          </cell>
          <cell r="I1825" t="str">
            <v xml:space="preserve">RES , CAP </v>
          </cell>
          <cell r="J1825" t="str">
            <v>Fedex</v>
          </cell>
          <cell r="K1825" t="str">
            <v>VVMV</v>
          </cell>
          <cell r="L1825" t="str">
            <v>HK</v>
          </cell>
          <cell r="M1825">
            <v>46183</v>
          </cell>
          <cell r="N1825">
            <v>46189</v>
          </cell>
          <cell r="O1825">
            <v>46189</v>
          </cell>
          <cell r="P1825">
            <v>108336419550</v>
          </cell>
          <cell r="Q1825">
            <v>46185</v>
          </cell>
          <cell r="R1825" t="str">
            <v>No inspection</v>
          </cell>
          <cell r="S1825">
            <v>7153.95</v>
          </cell>
          <cell r="T1825" t="str">
            <v>EXW</v>
          </cell>
          <cell r="U1825">
            <v>121</v>
          </cell>
        </row>
        <row r="1826">
          <cell r="D1826">
            <v>8.9</v>
          </cell>
          <cell r="F1826">
            <v>529366822170</v>
          </cell>
          <cell r="G1826" t="str">
            <v>DIGI-KEY ELECTRONICS</v>
          </cell>
          <cell r="H1826" t="str">
            <v>Delivered</v>
          </cell>
          <cell r="I1826" t="str">
            <v xml:space="preserve">IC M, FILT, IND , CAP </v>
          </cell>
          <cell r="J1826" t="str">
            <v>Fedex</v>
          </cell>
          <cell r="K1826" t="str">
            <v>VVMV</v>
          </cell>
          <cell r="L1826" t="str">
            <v>US</v>
          </cell>
          <cell r="M1826">
            <v>46181</v>
          </cell>
          <cell r="N1826">
            <v>46185</v>
          </cell>
          <cell r="O1826">
            <v>46188</v>
          </cell>
          <cell r="P1826">
            <v>108330595550</v>
          </cell>
          <cell r="Q1826">
            <v>46184</v>
          </cell>
          <cell r="R1826" t="str">
            <v>No inspection</v>
          </cell>
          <cell r="S1826">
            <v>42432.45</v>
          </cell>
          <cell r="T1826" t="str">
            <v>CIF</v>
          </cell>
          <cell r="U1826" t="str">
            <v>FMC</v>
          </cell>
        </row>
        <row r="1827">
          <cell r="D1827">
            <v>18.899999999999999</v>
          </cell>
          <cell r="F1827">
            <v>494686585801</v>
          </cell>
          <cell r="G1827" t="str">
            <v>DONGGUANG COFAN ELECTRONIC TECHNOLO</v>
          </cell>
          <cell r="H1827" t="str">
            <v>Delivered</v>
          </cell>
          <cell r="I1827" t="str">
            <v>HEAT</v>
          </cell>
          <cell r="J1827" t="str">
            <v>Fedex</v>
          </cell>
          <cell r="K1827" t="str">
            <v>VVMV</v>
          </cell>
          <cell r="L1827" t="str">
            <v>CN</v>
          </cell>
          <cell r="M1827">
            <v>46178</v>
          </cell>
          <cell r="N1827">
            <v>46185</v>
          </cell>
          <cell r="O1827">
            <v>46188</v>
          </cell>
          <cell r="P1827">
            <v>108331444320</v>
          </cell>
          <cell r="Q1827">
            <v>46184</v>
          </cell>
          <cell r="R1827" t="str">
            <v>No inspection</v>
          </cell>
          <cell r="S1827">
            <v>1694</v>
          </cell>
          <cell r="T1827" t="str">
            <v>EXW</v>
          </cell>
          <cell r="U1827" t="str">
            <v>EF-</v>
          </cell>
        </row>
        <row r="1828">
          <cell r="D1828">
            <v>0.6</v>
          </cell>
          <cell r="F1828">
            <v>493602841709</v>
          </cell>
          <cell r="G1828" t="str">
            <v>VENKEL LTD</v>
          </cell>
          <cell r="H1828" t="str">
            <v>Delivered</v>
          </cell>
          <cell r="I1828" t="str">
            <v xml:space="preserve">CAP , RES </v>
          </cell>
          <cell r="J1828" t="str">
            <v>Fedex</v>
          </cell>
          <cell r="K1828" t="str">
            <v>VVMV</v>
          </cell>
          <cell r="L1828" t="str">
            <v>US</v>
          </cell>
          <cell r="M1828">
            <v>46168</v>
          </cell>
          <cell r="N1828">
            <v>46185</v>
          </cell>
          <cell r="O1828">
            <v>46188</v>
          </cell>
          <cell r="P1828">
            <v>108330674650</v>
          </cell>
          <cell r="Q1828">
            <v>46184</v>
          </cell>
          <cell r="R1828" t="str">
            <v>No inspection</v>
          </cell>
          <cell r="S1828">
            <v>77.900000000000006</v>
          </cell>
          <cell r="T1828" t="str">
            <v>CIF</v>
          </cell>
          <cell r="U1828" t="str">
            <v>EF-</v>
          </cell>
        </row>
        <row r="1829">
          <cell r="D1829">
            <v>3.4</v>
          </cell>
          <cell r="F1829" t="str">
            <v>8XN5978</v>
          </cell>
          <cell r="G1829" t="str">
            <v>KIOXIA CORPORATION C/O KIOXIA AMERICA INC</v>
          </cell>
          <cell r="H1829" t="str">
            <v>Delivered</v>
          </cell>
          <cell r="I1829" t="str">
            <v xml:space="preserve">MEM </v>
          </cell>
          <cell r="J1829" t="str">
            <v>DHL( global)</v>
          </cell>
          <cell r="K1829" t="str">
            <v>VVMV</v>
          </cell>
          <cell r="L1829" t="str">
            <v>JP</v>
          </cell>
          <cell r="M1829">
            <v>46184</v>
          </cell>
          <cell r="N1829">
            <v>46185</v>
          </cell>
          <cell r="O1829">
            <v>46185</v>
          </cell>
          <cell r="P1829">
            <v>108333277950</v>
          </cell>
          <cell r="Q1829">
            <v>46185</v>
          </cell>
          <cell r="R1829" t="str">
            <v>No inspection</v>
          </cell>
          <cell r="S1829">
            <v>553248</v>
          </cell>
          <cell r="T1829" t="str">
            <v>CIP</v>
          </cell>
          <cell r="U1829" t="str">
            <v>PUR</v>
          </cell>
        </row>
        <row r="1830">
          <cell r="D1830">
            <v>3.4</v>
          </cell>
          <cell r="F1830" t="str">
            <v>8XN5979</v>
          </cell>
          <cell r="G1830" t="str">
            <v>KIOXIA CORPORATION C/O KIOXIA AMERICA INC</v>
          </cell>
          <cell r="H1830" t="str">
            <v>Delivered</v>
          </cell>
          <cell r="I1830" t="str">
            <v xml:space="preserve">MEM </v>
          </cell>
          <cell r="J1830" t="str">
            <v>DHL( global)</v>
          </cell>
          <cell r="K1830" t="str">
            <v>VVMV</v>
          </cell>
          <cell r="L1830" t="str">
            <v>JP</v>
          </cell>
          <cell r="M1830">
            <v>46184</v>
          </cell>
          <cell r="N1830">
            <v>46185</v>
          </cell>
          <cell r="O1830">
            <v>46185</v>
          </cell>
          <cell r="P1830">
            <v>108333327760</v>
          </cell>
          <cell r="Q1830">
            <v>46185</v>
          </cell>
          <cell r="R1830" t="str">
            <v>No inspection</v>
          </cell>
          <cell r="S1830">
            <v>553248</v>
          </cell>
          <cell r="T1830" t="str">
            <v>CIP</v>
          </cell>
          <cell r="U1830" t="str">
            <v>PUR</v>
          </cell>
        </row>
        <row r="1831">
          <cell r="D1831">
            <v>3.4</v>
          </cell>
          <cell r="F1831" t="str">
            <v>8XN5980</v>
          </cell>
          <cell r="G1831" t="str">
            <v>KIOXIA CORPORATION C/O KIOXIA AMERICA INC</v>
          </cell>
          <cell r="H1831" t="str">
            <v>Delivered</v>
          </cell>
          <cell r="I1831" t="str">
            <v xml:space="preserve">MEM </v>
          </cell>
          <cell r="J1831" t="str">
            <v>DHL( global)</v>
          </cell>
          <cell r="K1831" t="str">
            <v>VVMV</v>
          </cell>
          <cell r="L1831" t="str">
            <v>JP</v>
          </cell>
          <cell r="M1831">
            <v>46184</v>
          </cell>
          <cell r="N1831">
            <v>46185</v>
          </cell>
          <cell r="O1831">
            <v>46185</v>
          </cell>
          <cell r="P1831">
            <v>108333186030</v>
          </cell>
          <cell r="Q1831">
            <v>46185</v>
          </cell>
          <cell r="R1831" t="str">
            <v>No inspection</v>
          </cell>
          <cell r="S1831">
            <v>553248</v>
          </cell>
          <cell r="T1831" t="str">
            <v>CIP</v>
          </cell>
          <cell r="U1831" t="str">
            <v>PUR</v>
          </cell>
        </row>
        <row r="1832">
          <cell r="D1832">
            <v>3.4</v>
          </cell>
          <cell r="F1832" t="str">
            <v>8XN5981</v>
          </cell>
          <cell r="G1832" t="str">
            <v>KIOXIA CORPORATION C/O KIOXIA AMERICA INC</v>
          </cell>
          <cell r="H1832" t="str">
            <v>Delivered</v>
          </cell>
          <cell r="I1832" t="str">
            <v xml:space="preserve">MEM </v>
          </cell>
          <cell r="J1832" t="str">
            <v>DHL( global)</v>
          </cell>
          <cell r="K1832" t="str">
            <v>VVMV</v>
          </cell>
          <cell r="L1832" t="str">
            <v>JP</v>
          </cell>
          <cell r="M1832">
            <v>46184</v>
          </cell>
          <cell r="N1832">
            <v>46185</v>
          </cell>
          <cell r="O1832">
            <v>46185</v>
          </cell>
          <cell r="P1832">
            <v>108333091200</v>
          </cell>
          <cell r="Q1832">
            <v>46185</v>
          </cell>
          <cell r="R1832" t="str">
            <v>No inspection</v>
          </cell>
          <cell r="S1832">
            <v>553248</v>
          </cell>
          <cell r="T1832" t="str">
            <v>CIP</v>
          </cell>
          <cell r="U1832" t="str">
            <v>PUR</v>
          </cell>
        </row>
        <row r="1833">
          <cell r="D1833">
            <v>3.4</v>
          </cell>
          <cell r="F1833" t="str">
            <v>8XN5982</v>
          </cell>
          <cell r="G1833" t="str">
            <v>KIOXIA CORPORATION C/O KIOXIA AMERICA INC</v>
          </cell>
          <cell r="H1833" t="str">
            <v>Delivered</v>
          </cell>
          <cell r="I1833" t="str">
            <v xml:space="preserve">MEM </v>
          </cell>
          <cell r="J1833" t="str">
            <v>DHL( global)</v>
          </cell>
          <cell r="K1833" t="str">
            <v>VVMV</v>
          </cell>
          <cell r="L1833" t="str">
            <v>JP</v>
          </cell>
          <cell r="M1833">
            <v>46184</v>
          </cell>
          <cell r="N1833">
            <v>46185</v>
          </cell>
          <cell r="O1833">
            <v>46185</v>
          </cell>
          <cell r="P1833">
            <v>108333169930</v>
          </cell>
          <cell r="Q1833">
            <v>46185</v>
          </cell>
          <cell r="R1833" t="str">
            <v>No inspection</v>
          </cell>
          <cell r="S1833">
            <v>553248</v>
          </cell>
          <cell r="T1833" t="str">
            <v>CIP</v>
          </cell>
          <cell r="U1833" t="str">
            <v>PUR</v>
          </cell>
        </row>
        <row r="1834">
          <cell r="D1834">
            <v>3.4</v>
          </cell>
          <cell r="F1834" t="str">
            <v>8XN5983</v>
          </cell>
          <cell r="G1834" t="str">
            <v>KIOXIA CORPORATION C/O KIOXIA AMERICA INC</v>
          </cell>
          <cell r="H1834" t="str">
            <v>Delivered</v>
          </cell>
          <cell r="I1834" t="str">
            <v xml:space="preserve">MEM </v>
          </cell>
          <cell r="J1834" t="str">
            <v>DHL( global)</v>
          </cell>
          <cell r="K1834" t="str">
            <v>VVMV</v>
          </cell>
          <cell r="L1834" t="str">
            <v>JP</v>
          </cell>
          <cell r="M1834">
            <v>46184</v>
          </cell>
          <cell r="N1834">
            <v>46185</v>
          </cell>
          <cell r="O1834">
            <v>46185</v>
          </cell>
          <cell r="P1834">
            <v>108333314020</v>
          </cell>
          <cell r="Q1834">
            <v>46185</v>
          </cell>
          <cell r="R1834" t="str">
            <v>No inspection</v>
          </cell>
          <cell r="S1834">
            <v>553248</v>
          </cell>
          <cell r="T1834" t="str">
            <v>CIP</v>
          </cell>
          <cell r="U1834" t="str">
            <v>PUR</v>
          </cell>
        </row>
        <row r="1835">
          <cell r="D1835">
            <v>3.4</v>
          </cell>
          <cell r="F1835" t="str">
            <v>8XN5984</v>
          </cell>
          <cell r="G1835" t="str">
            <v>KIOXIA CORPORATION C/O KIOXIA AMERICA INC</v>
          </cell>
          <cell r="H1835" t="str">
            <v>Delivered</v>
          </cell>
          <cell r="I1835" t="str">
            <v xml:space="preserve">MEM </v>
          </cell>
          <cell r="J1835" t="str">
            <v>DHL( global)</v>
          </cell>
          <cell r="K1835" t="str">
            <v>VVMV</v>
          </cell>
          <cell r="L1835" t="str">
            <v>JP</v>
          </cell>
          <cell r="M1835">
            <v>46184</v>
          </cell>
          <cell r="N1835">
            <v>46185</v>
          </cell>
          <cell r="O1835">
            <v>46185</v>
          </cell>
          <cell r="P1835">
            <v>108333073810</v>
          </cell>
          <cell r="Q1835">
            <v>46185</v>
          </cell>
          <cell r="R1835" t="str">
            <v>No inspection</v>
          </cell>
          <cell r="S1835">
            <v>553248</v>
          </cell>
          <cell r="T1835" t="str">
            <v>CIP</v>
          </cell>
          <cell r="U1835" t="str">
            <v>PUR</v>
          </cell>
        </row>
        <row r="1836">
          <cell r="D1836">
            <v>3.4</v>
          </cell>
          <cell r="F1836" t="str">
            <v>8XN5985</v>
          </cell>
          <cell r="G1836" t="str">
            <v>KIOXIA CORPORATION C/O KIOXIA AMERICA INC</v>
          </cell>
          <cell r="H1836" t="str">
            <v>Delivered</v>
          </cell>
          <cell r="I1836" t="str">
            <v xml:space="preserve">MEM </v>
          </cell>
          <cell r="J1836" t="str">
            <v>DHL( global)</v>
          </cell>
          <cell r="K1836" t="str">
            <v>VVMV</v>
          </cell>
          <cell r="L1836" t="str">
            <v>JP</v>
          </cell>
          <cell r="M1836">
            <v>46184</v>
          </cell>
          <cell r="N1836">
            <v>46185</v>
          </cell>
          <cell r="O1836">
            <v>46185</v>
          </cell>
          <cell r="P1836">
            <v>108333096540</v>
          </cell>
          <cell r="Q1836">
            <v>46185</v>
          </cell>
          <cell r="R1836" t="str">
            <v>No inspection</v>
          </cell>
          <cell r="S1836">
            <v>553248</v>
          </cell>
          <cell r="T1836" t="str">
            <v>CIP</v>
          </cell>
          <cell r="U1836" t="str">
            <v>PUR</v>
          </cell>
        </row>
        <row r="1837">
          <cell r="D1837">
            <v>2.2000000000000002</v>
          </cell>
          <cell r="F1837" t="str">
            <v>8XN5986</v>
          </cell>
          <cell r="G1837" t="str">
            <v>KIOXIA CORPORATION C/O KIOXIA AMERICA INC</v>
          </cell>
          <cell r="H1837" t="str">
            <v>Delivered</v>
          </cell>
          <cell r="I1837" t="str">
            <v xml:space="preserve">MEM </v>
          </cell>
          <cell r="J1837" t="str">
            <v>DHL( global)</v>
          </cell>
          <cell r="K1837" t="str">
            <v>VVMV</v>
          </cell>
          <cell r="L1837" t="str">
            <v>JP</v>
          </cell>
          <cell r="M1837">
            <v>46184</v>
          </cell>
          <cell r="N1837">
            <v>46185</v>
          </cell>
          <cell r="O1837">
            <v>46185</v>
          </cell>
          <cell r="P1837">
            <v>108333236910</v>
          </cell>
          <cell r="Q1837">
            <v>46185</v>
          </cell>
          <cell r="R1837" t="str">
            <v>No inspection</v>
          </cell>
          <cell r="S1837">
            <v>241661.8</v>
          </cell>
          <cell r="T1837" t="str">
            <v>CIP</v>
          </cell>
          <cell r="U1837" t="str">
            <v>PUR</v>
          </cell>
        </row>
        <row r="1838">
          <cell r="D1838">
            <v>7.3</v>
          </cell>
          <cell r="F1838" t="str">
            <v>8XN5991</v>
          </cell>
          <cell r="G1838" t="str">
            <v>KIOXIA CORPORATION C/O KIOXIA AMERICA INC</v>
          </cell>
          <cell r="H1838" t="str">
            <v>Delivered</v>
          </cell>
          <cell r="I1838" t="str">
            <v xml:space="preserve">MEM </v>
          </cell>
          <cell r="J1838" t="str">
            <v>DHL( global)</v>
          </cell>
          <cell r="K1838" t="str">
            <v>VVMV</v>
          </cell>
          <cell r="L1838" t="str">
            <v>JP</v>
          </cell>
          <cell r="M1838">
            <v>46182</v>
          </cell>
          <cell r="N1838">
            <v>46189</v>
          </cell>
          <cell r="O1838">
            <v>46189</v>
          </cell>
          <cell r="P1838">
            <v>108339409030</v>
          </cell>
          <cell r="Q1838">
            <v>46188</v>
          </cell>
          <cell r="R1838" t="str">
            <v>No inspection</v>
          </cell>
          <cell r="S1838">
            <v>529502.4</v>
          </cell>
          <cell r="T1838" t="str">
            <v>CIP</v>
          </cell>
          <cell r="U1838" t="str">
            <v>PUR</v>
          </cell>
        </row>
        <row r="1839">
          <cell r="D1839">
            <v>7.3</v>
          </cell>
          <cell r="F1839" t="str">
            <v>8XN5992</v>
          </cell>
          <cell r="G1839" t="str">
            <v>KIOXIA CORPORATION C/O KIOXIA AMERICA INC</v>
          </cell>
          <cell r="H1839" t="str">
            <v>Delivered</v>
          </cell>
          <cell r="I1839" t="str">
            <v xml:space="preserve">MEM </v>
          </cell>
          <cell r="J1839" t="str">
            <v>DHL( global)</v>
          </cell>
          <cell r="K1839" t="str">
            <v>VVMV</v>
          </cell>
          <cell r="L1839" t="str">
            <v>JP</v>
          </cell>
          <cell r="M1839">
            <v>46182</v>
          </cell>
          <cell r="N1839">
            <v>46189</v>
          </cell>
          <cell r="O1839">
            <v>46189</v>
          </cell>
          <cell r="P1839">
            <v>108339731840</v>
          </cell>
          <cell r="Q1839">
            <v>46188</v>
          </cell>
          <cell r="R1839" t="str">
            <v>No inspection</v>
          </cell>
          <cell r="S1839">
            <v>529502.4</v>
          </cell>
          <cell r="T1839" t="str">
            <v>CIP</v>
          </cell>
          <cell r="U1839" t="str">
            <v>PUR</v>
          </cell>
        </row>
        <row r="1840">
          <cell r="D1840">
            <v>7.3</v>
          </cell>
          <cell r="F1840" t="str">
            <v>8XN5993</v>
          </cell>
          <cell r="G1840" t="str">
            <v>KIOXIA CORPORATION C/O KIOXIA AMERICA INC</v>
          </cell>
          <cell r="H1840" t="str">
            <v>Delivered</v>
          </cell>
          <cell r="I1840" t="str">
            <v xml:space="preserve">MEM </v>
          </cell>
          <cell r="J1840" t="str">
            <v>DHL( global)</v>
          </cell>
          <cell r="K1840" t="str">
            <v>VVMV</v>
          </cell>
          <cell r="L1840" t="str">
            <v>JP</v>
          </cell>
          <cell r="M1840">
            <v>46182</v>
          </cell>
          <cell r="N1840">
            <v>46189</v>
          </cell>
          <cell r="O1840">
            <v>46189</v>
          </cell>
          <cell r="P1840">
            <v>108339296000</v>
          </cell>
          <cell r="Q1840">
            <v>46188</v>
          </cell>
          <cell r="R1840" t="str">
            <v>No inspection</v>
          </cell>
          <cell r="S1840">
            <v>529502.4</v>
          </cell>
          <cell r="T1840" t="str">
            <v>CIP</v>
          </cell>
          <cell r="U1840" t="str">
            <v>PUR</v>
          </cell>
        </row>
        <row r="1841">
          <cell r="D1841">
            <v>7.3</v>
          </cell>
          <cell r="F1841" t="str">
            <v>8XN5994</v>
          </cell>
          <cell r="G1841" t="str">
            <v>KIOXIA CORPORATION C/O KIOXIA AMERICA INC</v>
          </cell>
          <cell r="H1841" t="str">
            <v>Delivered</v>
          </cell>
          <cell r="I1841" t="str">
            <v xml:space="preserve">MEM </v>
          </cell>
          <cell r="J1841" t="str">
            <v>DHL( global)</v>
          </cell>
          <cell r="K1841" t="str">
            <v>VVMV</v>
          </cell>
          <cell r="L1841" t="str">
            <v>JP</v>
          </cell>
          <cell r="M1841">
            <v>46182</v>
          </cell>
          <cell r="N1841">
            <v>46189</v>
          </cell>
          <cell r="O1841">
            <v>46189</v>
          </cell>
          <cell r="P1841">
            <v>108339953410</v>
          </cell>
          <cell r="Q1841">
            <v>46188</v>
          </cell>
          <cell r="R1841" t="str">
            <v>No inspection</v>
          </cell>
          <cell r="S1841">
            <v>529502.4</v>
          </cell>
          <cell r="T1841" t="str">
            <v>CIP</v>
          </cell>
          <cell r="U1841" t="str">
            <v>PUR</v>
          </cell>
        </row>
        <row r="1842">
          <cell r="D1842">
            <v>7.3</v>
          </cell>
          <cell r="F1842" t="str">
            <v>8XN5995</v>
          </cell>
          <cell r="G1842" t="str">
            <v>KIOXIA CORPORATION C/O KIOXIA AMERICA INC</v>
          </cell>
          <cell r="H1842" t="str">
            <v>Delivered</v>
          </cell>
          <cell r="I1842" t="str">
            <v xml:space="preserve">MEM </v>
          </cell>
          <cell r="J1842" t="str">
            <v>DHL( global)</v>
          </cell>
          <cell r="K1842" t="str">
            <v>VVMV</v>
          </cell>
          <cell r="L1842" t="str">
            <v>JP</v>
          </cell>
          <cell r="M1842">
            <v>46182</v>
          </cell>
          <cell r="N1842">
            <v>46189</v>
          </cell>
          <cell r="O1842">
            <v>46189</v>
          </cell>
          <cell r="P1842">
            <v>108340027350</v>
          </cell>
          <cell r="Q1842">
            <v>46188</v>
          </cell>
          <cell r="R1842" t="str">
            <v>No inspection</v>
          </cell>
          <cell r="S1842">
            <v>529502.4</v>
          </cell>
          <cell r="T1842" t="str">
            <v>CIP</v>
          </cell>
          <cell r="U1842" t="str">
            <v>PUR</v>
          </cell>
        </row>
        <row r="1843">
          <cell r="D1843">
            <v>7.3</v>
          </cell>
          <cell r="F1843" t="str">
            <v>8XN5996</v>
          </cell>
          <cell r="G1843" t="str">
            <v>KIOXIA CORPORATION C/O KIOXIA AMERICA INC</v>
          </cell>
          <cell r="H1843" t="str">
            <v>Delivered</v>
          </cell>
          <cell r="I1843" t="str">
            <v xml:space="preserve">MEM </v>
          </cell>
          <cell r="J1843" t="str">
            <v>DHL( global)</v>
          </cell>
          <cell r="K1843" t="str">
            <v>VVMV</v>
          </cell>
          <cell r="L1843" t="str">
            <v>JP</v>
          </cell>
          <cell r="M1843">
            <v>46182</v>
          </cell>
          <cell r="N1843">
            <v>46189</v>
          </cell>
          <cell r="O1843">
            <v>46189</v>
          </cell>
          <cell r="P1843">
            <v>108340140860</v>
          </cell>
          <cell r="Q1843">
            <v>46188</v>
          </cell>
          <cell r="R1843" t="str">
            <v>No inspection</v>
          </cell>
          <cell r="S1843">
            <v>529502.4</v>
          </cell>
          <cell r="T1843" t="str">
            <v>CIP</v>
          </cell>
          <cell r="U1843" t="str">
            <v>PUR</v>
          </cell>
        </row>
        <row r="1844">
          <cell r="D1844">
            <v>3.4</v>
          </cell>
          <cell r="F1844" t="str">
            <v>8XN5997</v>
          </cell>
          <cell r="G1844" t="str">
            <v>KIOXIA CORPORATION C/O KIOXIA AMERICA INC</v>
          </cell>
          <cell r="H1844" t="str">
            <v>Delivered</v>
          </cell>
          <cell r="I1844" t="str">
            <v xml:space="preserve">MEM </v>
          </cell>
          <cell r="J1844" t="str">
            <v>DHL( global)</v>
          </cell>
          <cell r="K1844" t="str">
            <v>VVMV</v>
          </cell>
          <cell r="L1844" t="str">
            <v>JP</v>
          </cell>
          <cell r="M1844">
            <v>46182</v>
          </cell>
          <cell r="N1844">
            <v>46189</v>
          </cell>
          <cell r="O1844">
            <v>46189</v>
          </cell>
          <cell r="P1844">
            <v>108339340910</v>
          </cell>
          <cell r="Q1844">
            <v>46188</v>
          </cell>
          <cell r="R1844" t="str">
            <v>No inspection</v>
          </cell>
          <cell r="S1844">
            <v>553248</v>
          </cell>
          <cell r="T1844" t="str">
            <v>CIP</v>
          </cell>
          <cell r="U1844" t="str">
            <v>PUR</v>
          </cell>
        </row>
        <row r="1845">
          <cell r="D1845">
            <v>3.4</v>
          </cell>
          <cell r="F1845" t="str">
            <v>8XN5998</v>
          </cell>
          <cell r="G1845" t="str">
            <v>KIOXIA CORPORATION C/O KIOXIA AMERICA INC</v>
          </cell>
          <cell r="H1845" t="str">
            <v>Delivered</v>
          </cell>
          <cell r="I1845" t="str">
            <v xml:space="preserve">MEM </v>
          </cell>
          <cell r="J1845" t="str">
            <v>DHL( global)</v>
          </cell>
          <cell r="K1845" t="str">
            <v>VVMV</v>
          </cell>
          <cell r="L1845" t="str">
            <v>JP</v>
          </cell>
          <cell r="M1845">
            <v>46182</v>
          </cell>
          <cell r="N1845">
            <v>46189</v>
          </cell>
          <cell r="O1845">
            <v>46189</v>
          </cell>
          <cell r="P1845">
            <v>108340581640</v>
          </cell>
          <cell r="Q1845">
            <v>46188</v>
          </cell>
          <cell r="R1845" t="str">
            <v>No inspection</v>
          </cell>
          <cell r="S1845">
            <v>553248</v>
          </cell>
          <cell r="T1845" t="str">
            <v>CIP</v>
          </cell>
          <cell r="U1845" t="str">
            <v>PUR</v>
          </cell>
        </row>
        <row r="1846">
          <cell r="D1846">
            <v>3.4</v>
          </cell>
          <cell r="F1846" t="str">
            <v>8XN5999</v>
          </cell>
          <cell r="G1846" t="str">
            <v>KIOXIA CORPORATION C/O KIOXIA AMERICA INC</v>
          </cell>
          <cell r="H1846" t="str">
            <v>Delivered</v>
          </cell>
          <cell r="I1846" t="str">
            <v xml:space="preserve">MEM </v>
          </cell>
          <cell r="J1846" t="str">
            <v>DHL( global)</v>
          </cell>
          <cell r="K1846" t="str">
            <v>VVMV</v>
          </cell>
          <cell r="L1846" t="str">
            <v>JP</v>
          </cell>
          <cell r="M1846">
            <v>46182</v>
          </cell>
          <cell r="N1846">
            <v>46189</v>
          </cell>
          <cell r="O1846">
            <v>46189</v>
          </cell>
          <cell r="P1846">
            <v>108340219410</v>
          </cell>
          <cell r="Q1846">
            <v>46188</v>
          </cell>
          <cell r="R1846" t="str">
            <v>No inspection</v>
          </cell>
          <cell r="S1846">
            <v>553248</v>
          </cell>
          <cell r="T1846" t="str">
            <v>CIP</v>
          </cell>
          <cell r="U1846" t="str">
            <v>PUR</v>
          </cell>
        </row>
        <row r="1847">
          <cell r="D1847">
            <v>3.4</v>
          </cell>
          <cell r="F1847" t="str">
            <v>8XN6000</v>
          </cell>
          <cell r="G1847" t="str">
            <v>KIOXIA CORPORATION C/O KIOXIA AMERICA INC</v>
          </cell>
          <cell r="H1847" t="str">
            <v>Delivered</v>
          </cell>
          <cell r="I1847" t="str">
            <v xml:space="preserve">MEM </v>
          </cell>
          <cell r="J1847" t="str">
            <v>DHL( global)</v>
          </cell>
          <cell r="K1847" t="str">
            <v>VVMV</v>
          </cell>
          <cell r="L1847" t="str">
            <v>JP</v>
          </cell>
          <cell r="M1847">
            <v>46182</v>
          </cell>
          <cell r="N1847">
            <v>46189</v>
          </cell>
          <cell r="O1847">
            <v>46189</v>
          </cell>
          <cell r="P1847">
            <v>108340283700</v>
          </cell>
          <cell r="Q1847">
            <v>46188</v>
          </cell>
          <cell r="R1847" t="str">
            <v>No inspection</v>
          </cell>
          <cell r="S1847">
            <v>553248</v>
          </cell>
          <cell r="T1847" t="str">
            <v>CIP</v>
          </cell>
          <cell r="U1847" t="str">
            <v>PUR</v>
          </cell>
        </row>
        <row r="1848">
          <cell r="D1848">
            <v>3.4</v>
          </cell>
          <cell r="F1848" t="str">
            <v>8XN6001</v>
          </cell>
          <cell r="G1848" t="str">
            <v>KIOXIA CORPORATION C/O KIOXIA AMERICA INC</v>
          </cell>
          <cell r="H1848" t="str">
            <v>Delivered</v>
          </cell>
          <cell r="I1848" t="str">
            <v xml:space="preserve">MEM </v>
          </cell>
          <cell r="J1848" t="str">
            <v>DHL( global)</v>
          </cell>
          <cell r="K1848" t="str">
            <v>VVMV</v>
          </cell>
          <cell r="L1848" t="str">
            <v>JP</v>
          </cell>
          <cell r="M1848">
            <v>46182</v>
          </cell>
          <cell r="N1848">
            <v>46189</v>
          </cell>
          <cell r="O1848">
            <v>46189</v>
          </cell>
          <cell r="P1848">
            <v>108340381700</v>
          </cell>
          <cell r="Q1848">
            <v>46188</v>
          </cell>
          <cell r="R1848" t="str">
            <v>No inspection</v>
          </cell>
          <cell r="S1848">
            <v>553248</v>
          </cell>
          <cell r="T1848" t="str">
            <v>CIP</v>
          </cell>
          <cell r="U1848" t="str">
            <v>PUR</v>
          </cell>
        </row>
        <row r="1849">
          <cell r="D1849">
            <v>3.4</v>
          </cell>
          <cell r="F1849" t="str">
            <v>8XN6002</v>
          </cell>
          <cell r="G1849" t="str">
            <v>KIOXIA CORPORATION C/O KIOXIA AMERICA INC</v>
          </cell>
          <cell r="H1849" t="str">
            <v>Delivered</v>
          </cell>
          <cell r="I1849" t="str">
            <v xml:space="preserve">MEM </v>
          </cell>
          <cell r="J1849" t="str">
            <v>DHL( global)</v>
          </cell>
          <cell r="K1849" t="str">
            <v>VVMV</v>
          </cell>
          <cell r="L1849" t="str">
            <v>JP</v>
          </cell>
          <cell r="M1849">
            <v>46182</v>
          </cell>
          <cell r="N1849">
            <v>46189</v>
          </cell>
          <cell r="O1849">
            <v>46189</v>
          </cell>
          <cell r="P1849">
            <v>108340450300</v>
          </cell>
          <cell r="Q1849">
            <v>46188</v>
          </cell>
          <cell r="R1849" t="str">
            <v>No inspection</v>
          </cell>
          <cell r="S1849">
            <v>553248</v>
          </cell>
          <cell r="T1849" t="str">
            <v>CIP</v>
          </cell>
          <cell r="U1849" t="str">
            <v>PUR</v>
          </cell>
        </row>
        <row r="1850">
          <cell r="D1850">
            <v>2.7</v>
          </cell>
          <cell r="F1850" t="str">
            <v>8XN6003</v>
          </cell>
          <cell r="G1850" t="str">
            <v>KIOXIA CORPORATION C/O KIOXIA AMERICA INC</v>
          </cell>
          <cell r="H1850" t="str">
            <v>Delivered</v>
          </cell>
          <cell r="I1850" t="str">
            <v xml:space="preserve">MEM </v>
          </cell>
          <cell r="J1850" t="str">
            <v>DHL( global)</v>
          </cell>
          <cell r="K1850" t="str">
            <v>VVMV</v>
          </cell>
          <cell r="L1850" t="str">
            <v>JP</v>
          </cell>
          <cell r="M1850">
            <v>46182</v>
          </cell>
          <cell r="N1850">
            <v>46189</v>
          </cell>
          <cell r="O1850">
            <v>46189</v>
          </cell>
          <cell r="P1850">
            <v>108340988930</v>
          </cell>
          <cell r="Q1850">
            <v>46188</v>
          </cell>
          <cell r="R1850" t="str">
            <v>No inspection</v>
          </cell>
          <cell r="S1850">
            <v>311586.2</v>
          </cell>
          <cell r="T1850" t="str">
            <v>CIP</v>
          </cell>
          <cell r="U1850" t="str">
            <v>PUR</v>
          </cell>
        </row>
        <row r="1851">
          <cell r="D1851">
            <v>3.4</v>
          </cell>
          <cell r="F1851" t="str">
            <v>8XN6004</v>
          </cell>
          <cell r="G1851" t="str">
            <v>KIOXIA CORPORATION C/O KIOXIA AMERICA INC</v>
          </cell>
          <cell r="H1851" t="str">
            <v>Delivered</v>
          </cell>
          <cell r="I1851" t="str">
            <v xml:space="preserve">MEM </v>
          </cell>
          <cell r="J1851" t="str">
            <v>DHL( global)</v>
          </cell>
          <cell r="K1851" t="str">
            <v>VVMV</v>
          </cell>
          <cell r="L1851" t="str">
            <v>JP</v>
          </cell>
          <cell r="M1851">
            <v>46182</v>
          </cell>
          <cell r="N1851">
            <v>46189</v>
          </cell>
          <cell r="O1851">
            <v>46189</v>
          </cell>
          <cell r="P1851">
            <v>108339453020</v>
          </cell>
          <cell r="Q1851">
            <v>46188</v>
          </cell>
          <cell r="R1851" t="str">
            <v>No inspection</v>
          </cell>
          <cell r="S1851">
            <v>553248</v>
          </cell>
          <cell r="T1851" t="str">
            <v>CIP</v>
          </cell>
          <cell r="U1851" t="str">
            <v>PUR</v>
          </cell>
        </row>
        <row r="1852">
          <cell r="D1852">
            <v>3.4</v>
          </cell>
          <cell r="F1852" t="str">
            <v>8XN6005</v>
          </cell>
          <cell r="G1852" t="str">
            <v>KIOXIA CORPORATION C/O KIOXIA AMERICA INC</v>
          </cell>
          <cell r="H1852" t="str">
            <v>Delivered</v>
          </cell>
          <cell r="I1852" t="str">
            <v xml:space="preserve">MEM </v>
          </cell>
          <cell r="J1852" t="str">
            <v>DHL( global)</v>
          </cell>
          <cell r="K1852" t="str">
            <v>VVMV</v>
          </cell>
          <cell r="L1852" t="str">
            <v>JP</v>
          </cell>
          <cell r="M1852">
            <v>46182</v>
          </cell>
          <cell r="N1852">
            <v>46189</v>
          </cell>
          <cell r="O1852">
            <v>46189</v>
          </cell>
          <cell r="P1852">
            <v>108341028500</v>
          </cell>
          <cell r="Q1852">
            <v>46188</v>
          </cell>
          <cell r="R1852" t="str">
            <v>No inspection</v>
          </cell>
          <cell r="S1852">
            <v>553248</v>
          </cell>
          <cell r="T1852" t="str">
            <v>CIP</v>
          </cell>
          <cell r="U1852" t="str">
            <v>PUR</v>
          </cell>
        </row>
        <row r="1853">
          <cell r="D1853">
            <v>3.4</v>
          </cell>
          <cell r="F1853" t="str">
            <v>8XN6006</v>
          </cell>
          <cell r="G1853" t="str">
            <v>KIOXIA CORPORATION C/O KIOXIA AMERICA INC</v>
          </cell>
          <cell r="H1853" t="str">
            <v>Delivered</v>
          </cell>
          <cell r="I1853" t="str">
            <v xml:space="preserve">MEM </v>
          </cell>
          <cell r="J1853" t="str">
            <v>DHL( global)</v>
          </cell>
          <cell r="K1853" t="str">
            <v>VVMV</v>
          </cell>
          <cell r="L1853" t="str">
            <v>JP</v>
          </cell>
          <cell r="M1853">
            <v>46182</v>
          </cell>
          <cell r="N1853">
            <v>46189</v>
          </cell>
          <cell r="O1853">
            <v>46189</v>
          </cell>
          <cell r="P1853">
            <v>108340529400</v>
          </cell>
          <cell r="Q1853">
            <v>46188</v>
          </cell>
          <cell r="R1853" t="str">
            <v>No inspection</v>
          </cell>
          <cell r="S1853">
            <v>553248</v>
          </cell>
          <cell r="T1853" t="str">
            <v>CIP</v>
          </cell>
          <cell r="U1853" t="str">
            <v>PUR</v>
          </cell>
        </row>
        <row r="1854">
          <cell r="D1854">
            <v>3.4</v>
          </cell>
          <cell r="F1854" t="str">
            <v>8XN6007</v>
          </cell>
          <cell r="G1854" t="str">
            <v>KIOXIA CORPORATION C/O KIOXIA AMERICA INC</v>
          </cell>
          <cell r="H1854" t="str">
            <v>Delivered</v>
          </cell>
          <cell r="I1854" t="str">
            <v xml:space="preserve">MEM </v>
          </cell>
          <cell r="J1854" t="str">
            <v>DHL( global)</v>
          </cell>
          <cell r="K1854" t="str">
            <v>VVMV</v>
          </cell>
          <cell r="L1854" t="str">
            <v>JP</v>
          </cell>
          <cell r="M1854">
            <v>46182</v>
          </cell>
          <cell r="N1854">
            <v>46189</v>
          </cell>
          <cell r="O1854">
            <v>46189</v>
          </cell>
          <cell r="P1854">
            <v>108340623160</v>
          </cell>
          <cell r="Q1854">
            <v>46188</v>
          </cell>
          <cell r="R1854" t="str">
            <v>No inspection</v>
          </cell>
          <cell r="S1854">
            <v>553248</v>
          </cell>
          <cell r="T1854" t="str">
            <v>CIP</v>
          </cell>
          <cell r="U1854" t="str">
            <v>PUR</v>
          </cell>
        </row>
        <row r="1855">
          <cell r="D1855">
            <v>3.4</v>
          </cell>
          <cell r="F1855" t="str">
            <v>8XN6008</v>
          </cell>
          <cell r="G1855" t="str">
            <v>KIOXIA CORPORATION C/O KIOXIA AMERICA INC</v>
          </cell>
          <cell r="H1855" t="str">
            <v>Delivered</v>
          </cell>
          <cell r="I1855" t="str">
            <v xml:space="preserve">MEM </v>
          </cell>
          <cell r="J1855" t="str">
            <v>DHL( global)</v>
          </cell>
          <cell r="K1855" t="str">
            <v>VVMV</v>
          </cell>
          <cell r="L1855" t="str">
            <v>JP</v>
          </cell>
          <cell r="M1855">
            <v>46182</v>
          </cell>
          <cell r="N1855">
            <v>46189</v>
          </cell>
          <cell r="O1855">
            <v>46189</v>
          </cell>
          <cell r="P1855">
            <v>108340102250</v>
          </cell>
          <cell r="Q1855">
            <v>46188</v>
          </cell>
          <cell r="R1855" t="str">
            <v>No inspection</v>
          </cell>
          <cell r="S1855">
            <v>553248</v>
          </cell>
          <cell r="T1855" t="str">
            <v>CIP</v>
          </cell>
          <cell r="U1855" t="str">
            <v>PUR</v>
          </cell>
        </row>
        <row r="1856">
          <cell r="D1856">
            <v>3.4</v>
          </cell>
          <cell r="F1856" t="str">
            <v>8XN6009</v>
          </cell>
          <cell r="G1856" t="str">
            <v>KIOXIA CORPORATION C/O KIOXIA AMERICA INC</v>
          </cell>
          <cell r="H1856" t="str">
            <v>Delivered</v>
          </cell>
          <cell r="I1856" t="str">
            <v xml:space="preserve">MEM </v>
          </cell>
          <cell r="J1856" t="str">
            <v>DHL( global)</v>
          </cell>
          <cell r="K1856" t="str">
            <v>VVMV</v>
          </cell>
          <cell r="L1856" t="str">
            <v>JP</v>
          </cell>
          <cell r="M1856">
            <v>46182</v>
          </cell>
          <cell r="N1856">
            <v>46189</v>
          </cell>
          <cell r="O1856">
            <v>46189</v>
          </cell>
          <cell r="P1856">
            <v>108340198150</v>
          </cell>
          <cell r="Q1856">
            <v>46188</v>
          </cell>
          <cell r="R1856" t="str">
            <v>No inspection</v>
          </cell>
          <cell r="S1856">
            <v>553248</v>
          </cell>
          <cell r="T1856" t="str">
            <v>CIP</v>
          </cell>
          <cell r="U1856" t="str">
            <v>PUR</v>
          </cell>
        </row>
        <row r="1857">
          <cell r="D1857">
            <v>3.4</v>
          </cell>
          <cell r="F1857" t="str">
            <v>8XN6010</v>
          </cell>
          <cell r="G1857" t="str">
            <v>KIOXIA CORPORATION C/O KIOXIA AMERICA INC</v>
          </cell>
          <cell r="H1857" t="str">
            <v>Delivered</v>
          </cell>
          <cell r="I1857" t="str">
            <v xml:space="preserve">MEM </v>
          </cell>
          <cell r="J1857" t="str">
            <v>DHL( global)</v>
          </cell>
          <cell r="K1857" t="str">
            <v>VVMV</v>
          </cell>
          <cell r="L1857" t="str">
            <v>JP</v>
          </cell>
          <cell r="M1857">
            <v>46182</v>
          </cell>
          <cell r="N1857">
            <v>46189</v>
          </cell>
          <cell r="O1857">
            <v>46189</v>
          </cell>
          <cell r="P1857">
            <v>108340281450</v>
          </cell>
          <cell r="Q1857">
            <v>46188</v>
          </cell>
          <cell r="R1857" t="str">
            <v>No inspection</v>
          </cell>
          <cell r="S1857">
            <v>553248</v>
          </cell>
          <cell r="T1857" t="str">
            <v>CIP</v>
          </cell>
          <cell r="U1857" t="str">
            <v>PUR</v>
          </cell>
        </row>
        <row r="1858">
          <cell r="D1858">
            <v>3.4</v>
          </cell>
          <cell r="F1858" t="str">
            <v>8XN6011</v>
          </cell>
          <cell r="G1858" t="str">
            <v>KIOXIA CORPORATION C/O KIOXIA AMERICA INC</v>
          </cell>
          <cell r="H1858" t="str">
            <v>Delivered</v>
          </cell>
          <cell r="I1858" t="str">
            <v xml:space="preserve">MEM </v>
          </cell>
          <cell r="J1858" t="str">
            <v>DHL( global)</v>
          </cell>
          <cell r="K1858" t="str">
            <v>VVMV</v>
          </cell>
          <cell r="L1858" t="str">
            <v>JP</v>
          </cell>
          <cell r="M1858">
            <v>46182</v>
          </cell>
          <cell r="N1858">
            <v>46189</v>
          </cell>
          <cell r="O1858">
            <v>46189</v>
          </cell>
          <cell r="P1858">
            <v>108339559900</v>
          </cell>
          <cell r="Q1858">
            <v>46188</v>
          </cell>
          <cell r="R1858" t="str">
            <v>No inspection</v>
          </cell>
          <cell r="S1858">
            <v>553248</v>
          </cell>
          <cell r="T1858" t="str">
            <v>CIP</v>
          </cell>
          <cell r="U1858" t="str">
            <v>PUR</v>
          </cell>
        </row>
        <row r="1859">
          <cell r="D1859">
            <v>3.4</v>
          </cell>
          <cell r="F1859" t="str">
            <v>8XN6012</v>
          </cell>
          <cell r="G1859" t="str">
            <v>KIOXIA CORPORATION C/O KIOXIA AMERICA INC</v>
          </cell>
          <cell r="H1859" t="str">
            <v>Delivered</v>
          </cell>
          <cell r="I1859" t="str">
            <v xml:space="preserve">MEM </v>
          </cell>
          <cell r="J1859" t="str">
            <v>DHL( global)</v>
          </cell>
          <cell r="K1859" t="str">
            <v>VVMV</v>
          </cell>
          <cell r="L1859" t="str">
            <v>JP</v>
          </cell>
          <cell r="M1859">
            <v>46182</v>
          </cell>
          <cell r="N1859">
            <v>46189</v>
          </cell>
          <cell r="O1859">
            <v>46189</v>
          </cell>
          <cell r="P1859">
            <v>108340296260</v>
          </cell>
          <cell r="Q1859">
            <v>46188</v>
          </cell>
          <cell r="R1859" t="str">
            <v>No inspection</v>
          </cell>
          <cell r="S1859">
            <v>553248</v>
          </cell>
          <cell r="T1859" t="str">
            <v>CIP</v>
          </cell>
          <cell r="U1859" t="str">
            <v>PUR</v>
          </cell>
        </row>
        <row r="1860">
          <cell r="D1860">
            <v>3.4</v>
          </cell>
          <cell r="F1860" t="str">
            <v>8XN6013</v>
          </cell>
          <cell r="G1860" t="str">
            <v>KIOXIA CORPORATION C/O KIOXIA AMERICA INC</v>
          </cell>
          <cell r="H1860" t="str">
            <v>Delivered</v>
          </cell>
          <cell r="I1860" t="str">
            <v xml:space="preserve">MEM </v>
          </cell>
          <cell r="J1860" t="str">
            <v>DHL( global)</v>
          </cell>
          <cell r="K1860" t="str">
            <v>VVMV</v>
          </cell>
          <cell r="L1860" t="str">
            <v>JP</v>
          </cell>
          <cell r="M1860">
            <v>46182</v>
          </cell>
          <cell r="N1860">
            <v>46189</v>
          </cell>
          <cell r="O1860">
            <v>46189</v>
          </cell>
          <cell r="P1860">
            <v>108340671460</v>
          </cell>
          <cell r="Q1860">
            <v>46188</v>
          </cell>
          <cell r="R1860" t="str">
            <v>No inspection</v>
          </cell>
          <cell r="S1860">
            <v>553248</v>
          </cell>
          <cell r="T1860" t="str">
            <v>CIP</v>
          </cell>
          <cell r="U1860" t="str">
            <v>PUR</v>
          </cell>
        </row>
        <row r="1861">
          <cell r="D1861">
            <v>3.4</v>
          </cell>
          <cell r="F1861" t="str">
            <v>8XN6014</v>
          </cell>
          <cell r="G1861" t="str">
            <v>KIOXIA CORPORATION C/O KIOXIA AMERICA INC</v>
          </cell>
          <cell r="H1861" t="str">
            <v>Delivered</v>
          </cell>
          <cell r="I1861" t="str">
            <v xml:space="preserve">MEM </v>
          </cell>
          <cell r="J1861" t="str">
            <v>DHL( global)</v>
          </cell>
          <cell r="K1861" t="str">
            <v>VVMV</v>
          </cell>
          <cell r="L1861" t="str">
            <v>JP</v>
          </cell>
          <cell r="M1861">
            <v>46182</v>
          </cell>
          <cell r="N1861">
            <v>46189</v>
          </cell>
          <cell r="O1861">
            <v>46189</v>
          </cell>
          <cell r="P1861">
            <v>108340395810</v>
          </cell>
          <cell r="Q1861">
            <v>46188</v>
          </cell>
          <cell r="R1861" t="str">
            <v>No inspection</v>
          </cell>
          <cell r="S1861">
            <v>553248</v>
          </cell>
          <cell r="T1861" t="str">
            <v>CIP</v>
          </cell>
          <cell r="U1861" t="str">
            <v>PUR</v>
          </cell>
        </row>
        <row r="1862">
          <cell r="D1862">
            <v>3.4</v>
          </cell>
          <cell r="F1862" t="str">
            <v>8XN6015</v>
          </cell>
          <cell r="G1862" t="str">
            <v>KIOXIA CORPORATION C/O KIOXIA AMERICA INC</v>
          </cell>
          <cell r="H1862" t="str">
            <v>Delivered</v>
          </cell>
          <cell r="I1862" t="str">
            <v xml:space="preserve">MEM </v>
          </cell>
          <cell r="J1862" t="str">
            <v>DHL( global)</v>
          </cell>
          <cell r="K1862" t="str">
            <v>VVMV</v>
          </cell>
          <cell r="L1862" t="str">
            <v>JP</v>
          </cell>
          <cell r="M1862">
            <v>46182</v>
          </cell>
          <cell r="N1862">
            <v>46189</v>
          </cell>
          <cell r="O1862">
            <v>46189</v>
          </cell>
          <cell r="P1862">
            <v>108340559610</v>
          </cell>
          <cell r="Q1862">
            <v>46188</v>
          </cell>
          <cell r="R1862" t="str">
            <v>No inspection</v>
          </cell>
          <cell r="S1862">
            <v>553248</v>
          </cell>
          <cell r="T1862" t="str">
            <v>CIP</v>
          </cell>
          <cell r="U1862" t="str">
            <v>PUR</v>
          </cell>
        </row>
        <row r="1863">
          <cell r="D1863">
            <v>3.4</v>
          </cell>
          <cell r="F1863" t="str">
            <v>8XN6016</v>
          </cell>
          <cell r="G1863" t="str">
            <v>KIOXIA CORPORATION C/O KIOXIA AMERICA INC</v>
          </cell>
          <cell r="H1863" t="str">
            <v>Delivered</v>
          </cell>
          <cell r="I1863" t="str">
            <v xml:space="preserve">MEM </v>
          </cell>
          <cell r="J1863" t="str">
            <v>DHL( global)</v>
          </cell>
          <cell r="K1863" t="str">
            <v>VVMV</v>
          </cell>
          <cell r="L1863" t="str">
            <v>JP</v>
          </cell>
          <cell r="M1863">
            <v>46182</v>
          </cell>
          <cell r="N1863">
            <v>46189</v>
          </cell>
          <cell r="O1863">
            <v>46189</v>
          </cell>
          <cell r="P1863">
            <v>108340860020</v>
          </cell>
          <cell r="Q1863">
            <v>46188</v>
          </cell>
          <cell r="R1863" t="str">
            <v>No inspection</v>
          </cell>
          <cell r="S1863">
            <v>553248</v>
          </cell>
          <cell r="T1863" t="str">
            <v>CIP</v>
          </cell>
          <cell r="U1863" t="str">
            <v>PUR</v>
          </cell>
        </row>
        <row r="1864">
          <cell r="D1864">
            <v>3.4</v>
          </cell>
          <cell r="F1864" t="str">
            <v>8XN6017</v>
          </cell>
          <cell r="G1864" t="str">
            <v>KIOXIA CORPORATION C/O KIOXIA AMERICA INC</v>
          </cell>
          <cell r="H1864" t="str">
            <v>Delivered</v>
          </cell>
          <cell r="I1864" t="str">
            <v xml:space="preserve">MEM </v>
          </cell>
          <cell r="J1864" t="str">
            <v>DHL( global)</v>
          </cell>
          <cell r="K1864" t="str">
            <v>VVMV</v>
          </cell>
          <cell r="L1864" t="str">
            <v>JP</v>
          </cell>
          <cell r="M1864">
            <v>46182</v>
          </cell>
          <cell r="N1864">
            <v>46189</v>
          </cell>
          <cell r="O1864">
            <v>46189</v>
          </cell>
          <cell r="P1864">
            <v>108340876340</v>
          </cell>
          <cell r="Q1864">
            <v>46188</v>
          </cell>
          <cell r="R1864" t="str">
            <v>No inspection</v>
          </cell>
          <cell r="S1864">
            <v>553248</v>
          </cell>
          <cell r="T1864" t="str">
            <v>CIP</v>
          </cell>
          <cell r="U1864" t="str">
            <v>PUR</v>
          </cell>
        </row>
        <row r="1865">
          <cell r="D1865">
            <v>3.4</v>
          </cell>
          <cell r="F1865" t="str">
            <v>8XN6018</v>
          </cell>
          <cell r="G1865" t="str">
            <v>KIOXIA CORPORATION C/O KIOXIA AMERICA INC</v>
          </cell>
          <cell r="H1865" t="str">
            <v>Delivered</v>
          </cell>
          <cell r="I1865" t="str">
            <v xml:space="preserve">MEM </v>
          </cell>
          <cell r="J1865" t="str">
            <v>DHL( global)</v>
          </cell>
          <cell r="K1865" t="str">
            <v>VVMV</v>
          </cell>
          <cell r="L1865" t="str">
            <v>JP</v>
          </cell>
          <cell r="M1865">
            <v>46182</v>
          </cell>
          <cell r="N1865">
            <v>46189</v>
          </cell>
          <cell r="O1865">
            <v>46189</v>
          </cell>
          <cell r="P1865">
            <v>108340894430</v>
          </cell>
          <cell r="Q1865">
            <v>46188</v>
          </cell>
          <cell r="R1865" t="str">
            <v>No inspection</v>
          </cell>
          <cell r="S1865">
            <v>553248</v>
          </cell>
          <cell r="T1865" t="str">
            <v>CIP</v>
          </cell>
          <cell r="U1865" t="str">
            <v>PUR</v>
          </cell>
        </row>
        <row r="1866">
          <cell r="D1866">
            <v>5.2</v>
          </cell>
          <cell r="F1866" t="str">
            <v>8XN6019</v>
          </cell>
          <cell r="G1866" t="str">
            <v>KIOXIA CORPORATION C/O KIOXIA AMERICA INC</v>
          </cell>
          <cell r="H1866" t="str">
            <v>Delivered</v>
          </cell>
          <cell r="I1866" t="str">
            <v xml:space="preserve">MEM </v>
          </cell>
          <cell r="J1866" t="str">
            <v>DHL( global)</v>
          </cell>
          <cell r="K1866" t="str">
            <v>VVMV</v>
          </cell>
          <cell r="L1866" t="str">
            <v>JP</v>
          </cell>
          <cell r="M1866">
            <v>46182</v>
          </cell>
          <cell r="N1866">
            <v>46189</v>
          </cell>
          <cell r="O1866">
            <v>46189</v>
          </cell>
          <cell r="P1866">
            <v>108339385230</v>
          </cell>
          <cell r="Q1866">
            <v>46188</v>
          </cell>
          <cell r="R1866" t="str">
            <v>No inspection</v>
          </cell>
          <cell r="S1866">
            <v>699244</v>
          </cell>
          <cell r="T1866" t="str">
            <v>CIP</v>
          </cell>
          <cell r="U1866" t="str">
            <v>PUR</v>
          </cell>
        </row>
        <row r="1867">
          <cell r="D1867">
            <v>0.8</v>
          </cell>
          <cell r="F1867">
            <v>872881246346</v>
          </cell>
          <cell r="G1867" t="str">
            <v>Shenzhen Jiechuangxin Technology Co.,Ltd.</v>
          </cell>
          <cell r="H1867" t="str">
            <v>Delivered</v>
          </cell>
          <cell r="I1867" t="str">
            <v>IC S, IC F</v>
          </cell>
          <cell r="J1867" t="str">
            <v>Fedex</v>
          </cell>
          <cell r="K1867" t="str">
            <v>VVMV</v>
          </cell>
          <cell r="L1867" t="str">
            <v>CN</v>
          </cell>
          <cell r="M1867">
            <v>46183</v>
          </cell>
          <cell r="N1867">
            <v>46190</v>
          </cell>
          <cell r="O1867">
            <v>46190</v>
          </cell>
          <cell r="P1867">
            <v>108342595800</v>
          </cell>
          <cell r="Q1867">
            <v>46188</v>
          </cell>
          <cell r="R1867" t="str">
            <v>No inspection</v>
          </cell>
          <cell r="S1867">
            <v>1728</v>
          </cell>
          <cell r="T1867" t="str">
            <v>EXW</v>
          </cell>
          <cell r="U1867">
            <v>103</v>
          </cell>
        </row>
        <row r="1868">
          <cell r="D1868">
            <v>210.5</v>
          </cell>
          <cell r="F1868">
            <v>4110337923</v>
          </cell>
          <cell r="G1868" t="str">
            <v>AVNET, INC</v>
          </cell>
          <cell r="H1868" t="str">
            <v>Delivered</v>
          </cell>
          <cell r="I1868" t="str">
            <v xml:space="preserve">CON </v>
          </cell>
          <cell r="J1868" t="str">
            <v>Expeditors</v>
          </cell>
          <cell r="K1868" t="str">
            <v>VVMV</v>
          </cell>
          <cell r="L1868" t="str">
            <v>US</v>
          </cell>
          <cell r="M1868">
            <v>46175</v>
          </cell>
          <cell r="N1868">
            <v>46189</v>
          </cell>
          <cell r="O1868">
            <v>46189</v>
          </cell>
          <cell r="P1868">
            <v>108339222830</v>
          </cell>
          <cell r="Q1868">
            <v>46188</v>
          </cell>
          <cell r="R1868" t="str">
            <v>No inspection</v>
          </cell>
          <cell r="S1868">
            <v>28560</v>
          </cell>
          <cell r="T1868" t="str">
            <v>DAP</v>
          </cell>
          <cell r="U1868" t="str">
            <v>LUC</v>
          </cell>
        </row>
        <row r="1869">
          <cell r="D1869">
            <v>3.9</v>
          </cell>
          <cell r="F1869" t="str">
            <v>8XN6050</v>
          </cell>
          <cell r="G1869" t="str">
            <v>KIOXIA CORPORATION C/O KIOXIA AMERICA INC</v>
          </cell>
          <cell r="H1869" t="str">
            <v>Delivered</v>
          </cell>
          <cell r="I1869" t="str">
            <v xml:space="preserve">MEM </v>
          </cell>
          <cell r="J1869" t="str">
            <v>DHL( global)</v>
          </cell>
          <cell r="K1869" t="str">
            <v>VVMV</v>
          </cell>
          <cell r="L1869" t="str">
            <v>JP</v>
          </cell>
          <cell r="M1869">
            <v>46184</v>
          </cell>
          <cell r="N1869">
            <v>46189</v>
          </cell>
          <cell r="O1869">
            <v>46189</v>
          </cell>
          <cell r="P1869">
            <v>108340935730</v>
          </cell>
          <cell r="Q1869">
            <v>46188</v>
          </cell>
          <cell r="R1869" t="str">
            <v>No inspection</v>
          </cell>
          <cell r="S1869">
            <v>216826.33</v>
          </cell>
          <cell r="T1869" t="str">
            <v>CIP</v>
          </cell>
          <cell r="U1869" t="str">
            <v>PUR</v>
          </cell>
        </row>
        <row r="1870">
          <cell r="D1870">
            <v>12.1</v>
          </cell>
          <cell r="F1870" t="str">
            <v>8XN6051</v>
          </cell>
          <cell r="G1870" t="str">
            <v>KIOXIA CORPORATION C/O KIOXIA AMERICA INC</v>
          </cell>
          <cell r="H1870" t="str">
            <v>Delivered</v>
          </cell>
          <cell r="I1870" t="str">
            <v xml:space="preserve">MEM </v>
          </cell>
          <cell r="J1870" t="str">
            <v>DHL( global)</v>
          </cell>
          <cell r="K1870" t="str">
            <v>VVMV</v>
          </cell>
          <cell r="L1870" t="str">
            <v>JP</v>
          </cell>
          <cell r="M1870">
            <v>46184</v>
          </cell>
          <cell r="N1870">
            <v>46189</v>
          </cell>
          <cell r="O1870">
            <v>46189</v>
          </cell>
          <cell r="P1870">
            <v>108340898740</v>
          </cell>
          <cell r="Q1870">
            <v>46188</v>
          </cell>
          <cell r="R1870" t="str">
            <v>No inspection</v>
          </cell>
          <cell r="S1870">
            <v>822322.13</v>
          </cell>
          <cell r="T1870" t="str">
            <v>CIP</v>
          </cell>
          <cell r="U1870" t="str">
            <v>PUR</v>
          </cell>
        </row>
        <row r="1871">
          <cell r="D1871">
            <v>1580</v>
          </cell>
          <cell r="F1871" t="str">
            <v>LSHHPH2605617</v>
          </cell>
          <cell r="G1871" t="str">
            <v>YANCHENG CHARLES POWER TECHNOLOGY GROUP CO., LTD</v>
          </cell>
          <cell r="H1871" t="str">
            <v>Delivered</v>
          </cell>
          <cell r="I1871" t="str">
            <v xml:space="preserve">BCM , GRAV, VCU </v>
          </cell>
          <cell r="J1871" t="str">
            <v>Dolphin(sea)</v>
          </cell>
          <cell r="K1871" t="str">
            <v>Dolphin</v>
          </cell>
          <cell r="L1871" t="str">
            <v>CN</v>
          </cell>
          <cell r="M1871">
            <v>46181</v>
          </cell>
          <cell r="N1871">
            <v>46189</v>
          </cell>
          <cell r="O1871">
            <v>46189</v>
          </cell>
          <cell r="P1871">
            <v>108338873050</v>
          </cell>
          <cell r="Q1871">
            <v>46188</v>
          </cell>
          <cell r="R1871" t="str">
            <v>No inspection</v>
          </cell>
          <cell r="S1871">
            <v>29858.400000000001</v>
          </cell>
          <cell r="T1871" t="str">
            <v>FOB</v>
          </cell>
          <cell r="U1871" t="str">
            <v>LUC</v>
          </cell>
        </row>
        <row r="1872">
          <cell r="D1872">
            <v>3.9</v>
          </cell>
          <cell r="F1872">
            <v>3149633336</v>
          </cell>
          <cell r="G1872" t="str">
            <v>TTI INC</v>
          </cell>
          <cell r="H1872" t="str">
            <v>Delivered</v>
          </cell>
          <cell r="I1872" t="str">
            <v xml:space="preserve">CONN, INDU, RES </v>
          </cell>
          <cell r="J1872" t="str">
            <v>DHL</v>
          </cell>
          <cell r="K1872" t="str">
            <v>VVMV</v>
          </cell>
          <cell r="L1872" t="str">
            <v>US</v>
          </cell>
          <cell r="M1872">
            <v>46183</v>
          </cell>
          <cell r="N1872">
            <v>46190</v>
          </cell>
          <cell r="O1872">
            <v>46190</v>
          </cell>
          <cell r="P1872">
            <v>108345925000</v>
          </cell>
          <cell r="Q1872">
            <v>46189</v>
          </cell>
          <cell r="R1872" t="str">
            <v>No inspection</v>
          </cell>
          <cell r="S1872">
            <v>509</v>
          </cell>
          <cell r="T1872" t="str">
            <v>CIF</v>
          </cell>
          <cell r="U1872" t="str">
            <v>EF-</v>
          </cell>
        </row>
        <row r="1873">
          <cell r="D1873">
            <v>2</v>
          </cell>
          <cell r="F1873">
            <v>7752690514</v>
          </cell>
          <cell r="G1873" t="str">
            <v>AMPHENOL MOBILE CONNECTOR SOLUTIONS CZ</v>
          </cell>
          <cell r="H1873" t="str">
            <v>Delivered</v>
          </cell>
          <cell r="I1873" t="str">
            <v>CONN</v>
          </cell>
          <cell r="J1873" t="str">
            <v>DHL</v>
          </cell>
          <cell r="K1873" t="str">
            <v>VVMV</v>
          </cell>
          <cell r="L1873" t="str">
            <v>CN</v>
          </cell>
          <cell r="M1873">
            <v>46184</v>
          </cell>
          <cell r="N1873">
            <v>46189</v>
          </cell>
          <cell r="O1873">
            <v>46188</v>
          </cell>
          <cell r="P1873">
            <v>108337086210</v>
          </cell>
          <cell r="Q1873" t="str">
            <v>13/06/2026 09:12:58</v>
          </cell>
          <cell r="R1873" t="str">
            <v>No inspection</v>
          </cell>
          <cell r="S1873">
            <v>345.12</v>
          </cell>
          <cell r="T1873" t="str">
            <v>CIF</v>
          </cell>
          <cell r="U1873" t="str">
            <v>FMC</v>
          </cell>
        </row>
        <row r="1874">
          <cell r="D1874">
            <v>0.5</v>
          </cell>
          <cell r="F1874">
            <v>493602845461</v>
          </cell>
          <cell r="G1874" t="str">
            <v>VENKEL LTD</v>
          </cell>
          <cell r="H1874" t="str">
            <v>Delivered</v>
          </cell>
          <cell r="I1874" t="str">
            <v xml:space="preserve">CAP </v>
          </cell>
          <cell r="J1874" t="str">
            <v>Fedex</v>
          </cell>
          <cell r="K1874" t="str">
            <v>VVMV</v>
          </cell>
          <cell r="L1874" t="str">
            <v>US</v>
          </cell>
          <cell r="M1874">
            <v>46181</v>
          </cell>
          <cell r="N1874">
            <v>46189</v>
          </cell>
          <cell r="O1874">
            <v>46188</v>
          </cell>
          <cell r="P1874">
            <v>108334489910</v>
          </cell>
          <cell r="Q1874">
            <v>46362.480590277781</v>
          </cell>
          <cell r="R1874" t="str">
            <v>No inspection</v>
          </cell>
          <cell r="S1874">
            <v>42.8</v>
          </cell>
          <cell r="T1874" t="str">
            <v>CIF</v>
          </cell>
          <cell r="U1874" t="str">
            <v>EF-</v>
          </cell>
        </row>
        <row r="1875">
          <cell r="D1875">
            <v>0.5</v>
          </cell>
          <cell r="F1875">
            <v>872931345031</v>
          </cell>
          <cell r="G1875" t="str">
            <v>KYOCERA AVX Components (Asia) Limited</v>
          </cell>
          <cell r="H1875" t="str">
            <v>Delivered</v>
          </cell>
          <cell r="I1875" t="str">
            <v xml:space="preserve">CAP </v>
          </cell>
          <cell r="J1875" t="str">
            <v>Fedex</v>
          </cell>
          <cell r="K1875" t="str">
            <v>VVMV</v>
          </cell>
          <cell r="L1875" t="str">
            <v>HK</v>
          </cell>
          <cell r="M1875">
            <v>46184</v>
          </cell>
          <cell r="N1875">
            <v>46189</v>
          </cell>
          <cell r="O1875">
            <v>46188</v>
          </cell>
          <cell r="P1875">
            <v>108335395120</v>
          </cell>
          <cell r="Q1875">
            <v>46362.612256944441</v>
          </cell>
          <cell r="R1875" t="str">
            <v>No inspection</v>
          </cell>
          <cell r="S1875">
            <v>9</v>
          </cell>
          <cell r="T1875" t="str">
            <v>EXW</v>
          </cell>
          <cell r="U1875">
            <v>122</v>
          </cell>
        </row>
        <row r="1876">
          <cell r="D1876">
            <v>114.5</v>
          </cell>
          <cell r="F1876">
            <v>484361669253</v>
          </cell>
          <cell r="G1876" t="str">
            <v>COILCRAFT SINGAPORE PTE LTD</v>
          </cell>
          <cell r="H1876" t="str">
            <v>Delivered</v>
          </cell>
          <cell r="I1876" t="str">
            <v xml:space="preserve">INDU, IND </v>
          </cell>
          <cell r="J1876" t="str">
            <v>Fedex</v>
          </cell>
          <cell r="K1876" t="str">
            <v>VVMV</v>
          </cell>
          <cell r="L1876" t="str">
            <v>SG</v>
          </cell>
          <cell r="M1876">
            <v>46182</v>
          </cell>
          <cell r="N1876">
            <v>46190</v>
          </cell>
          <cell r="O1876">
            <v>46197</v>
          </cell>
          <cell r="P1876">
            <v>108362284810</v>
          </cell>
          <cell r="Q1876">
            <v>46195</v>
          </cell>
          <cell r="R1876" t="str">
            <v>No inspection</v>
          </cell>
          <cell r="S1876">
            <v>36581.599999999999</v>
          </cell>
          <cell r="T1876" t="str">
            <v>EXW</v>
          </cell>
          <cell r="U1876" t="str">
            <v>LUC</v>
          </cell>
        </row>
        <row r="1877">
          <cell r="D1877">
            <v>30.1</v>
          </cell>
          <cell r="F1877">
            <v>527529888610</v>
          </cell>
          <cell r="G1877" t="str">
            <v>MICROCHIP TECNOLOGY(TH) CO LTD</v>
          </cell>
          <cell r="H1877" t="str">
            <v>Delivered</v>
          </cell>
          <cell r="I1877" t="str">
            <v>IC M</v>
          </cell>
          <cell r="J1877" t="str">
            <v>Fedex</v>
          </cell>
          <cell r="K1877" t="str">
            <v>VVMV</v>
          </cell>
          <cell r="L1877" t="str">
            <v>TH</v>
          </cell>
          <cell r="M1877">
            <v>46183</v>
          </cell>
          <cell r="N1877">
            <v>46190</v>
          </cell>
          <cell r="O1877">
            <v>46192</v>
          </cell>
          <cell r="P1877">
            <v>108346022410</v>
          </cell>
          <cell r="Q1877">
            <v>46189</v>
          </cell>
          <cell r="R1877" t="str">
            <v>No inspection</v>
          </cell>
          <cell r="S1877">
            <v>336659.20000000001</v>
          </cell>
          <cell r="T1877" t="str">
            <v>EXW</v>
          </cell>
          <cell r="U1877" t="str">
            <v>PUR</v>
          </cell>
        </row>
        <row r="1878">
          <cell r="D1878">
            <v>2</v>
          </cell>
          <cell r="F1878" t="str">
            <v>L9X0047912</v>
          </cell>
          <cell r="G1878" t="str">
            <v>Texas Instruments Incorporated TI Santa Clara A/T</v>
          </cell>
          <cell r="H1878" t="str">
            <v>Delivered</v>
          </cell>
          <cell r="I1878" t="str">
            <v>IC H</v>
          </cell>
          <cell r="J1878" t="str">
            <v>DSV</v>
          </cell>
          <cell r="K1878" t="str">
            <v>VVMV</v>
          </cell>
          <cell r="L1878" t="str">
            <v>US</v>
          </cell>
          <cell r="M1878">
            <v>46182</v>
          </cell>
          <cell r="N1878">
            <v>46189</v>
          </cell>
          <cell r="O1878">
            <v>46189</v>
          </cell>
          <cell r="P1878">
            <v>108334959020</v>
          </cell>
          <cell r="Q1878">
            <v>46362.573888888888</v>
          </cell>
          <cell r="R1878" t="str">
            <v>No inspection</v>
          </cell>
          <cell r="S1878">
            <v>1060</v>
          </cell>
          <cell r="T1878" t="str">
            <v>DAP</v>
          </cell>
          <cell r="U1878" t="str">
            <v>FMC</v>
          </cell>
        </row>
        <row r="1879">
          <cell r="D1879">
            <v>189.1</v>
          </cell>
          <cell r="F1879">
            <v>2879992253</v>
          </cell>
          <cell r="G1879" t="str">
            <v>AVNET - CHANDLER</v>
          </cell>
          <cell r="H1879" t="str">
            <v>Delivered</v>
          </cell>
          <cell r="I1879" t="str">
            <v>RES , CAP , TRAN, IC M, IC G, IC I, IC D, IC  , SWIT, DIOD, IC P, IC C</v>
          </cell>
          <cell r="J1879" t="str">
            <v>DHL</v>
          </cell>
          <cell r="K1879" t="str">
            <v>VVMV</v>
          </cell>
          <cell r="L1879" t="str">
            <v>US</v>
          </cell>
          <cell r="M1879">
            <v>46183</v>
          </cell>
          <cell r="N1879">
            <v>46190</v>
          </cell>
          <cell r="O1879">
            <v>46190</v>
          </cell>
          <cell r="P1879" t="str">
            <v>108342708020
108342721760</v>
          </cell>
          <cell r="Q1879">
            <v>46188</v>
          </cell>
          <cell r="R1879" t="str">
            <v>No inspection</v>
          </cell>
          <cell r="S1879">
            <v>305452.28999999998</v>
          </cell>
          <cell r="T1879" t="str">
            <v>CIF</v>
          </cell>
          <cell r="U1879" t="str">
            <v>LUC</v>
          </cell>
        </row>
        <row r="1880">
          <cell r="D1880">
            <v>9.6</v>
          </cell>
          <cell r="F1880">
            <v>527390683775</v>
          </cell>
          <cell r="G1880" t="str">
            <v>Micron Memory Malaysia Sdn. Bh</v>
          </cell>
          <cell r="H1880" t="str">
            <v>Delivered</v>
          </cell>
          <cell r="I1880" t="str">
            <v xml:space="preserve">MEM </v>
          </cell>
          <cell r="J1880" t="str">
            <v>Fedex</v>
          </cell>
          <cell r="K1880" t="str">
            <v>VVMV</v>
          </cell>
          <cell r="L1880" t="str">
            <v>MY</v>
          </cell>
          <cell r="M1880">
            <v>46185</v>
          </cell>
          <cell r="N1880">
            <v>46190</v>
          </cell>
          <cell r="O1880">
            <v>46190</v>
          </cell>
          <cell r="P1880">
            <v>108342079050</v>
          </cell>
          <cell r="Q1880">
            <v>46188</v>
          </cell>
          <cell r="R1880" t="str">
            <v>No inspection</v>
          </cell>
          <cell r="S1880">
            <v>718800</v>
          </cell>
          <cell r="T1880" t="str">
            <v>EXW</v>
          </cell>
          <cell r="U1880" t="str">
            <v>PUR</v>
          </cell>
        </row>
        <row r="1881">
          <cell r="D1881">
            <v>0.3</v>
          </cell>
          <cell r="F1881">
            <v>872979130829</v>
          </cell>
          <cell r="G1881" t="str">
            <v>ALLIED DEVICES (S) PTE LTD</v>
          </cell>
          <cell r="H1881" t="str">
            <v>Delivered</v>
          </cell>
          <cell r="I1881" t="str">
            <v>CRYS</v>
          </cell>
          <cell r="J1881" t="str">
            <v>Fedex</v>
          </cell>
          <cell r="K1881" t="str">
            <v>VVMV</v>
          </cell>
          <cell r="L1881" t="str">
            <v>SG</v>
          </cell>
          <cell r="M1881">
            <v>46185</v>
          </cell>
          <cell r="N1881">
            <v>46190</v>
          </cell>
          <cell r="O1881">
            <v>46192</v>
          </cell>
          <cell r="P1881">
            <v>108346594860</v>
          </cell>
          <cell r="Q1881">
            <v>46189</v>
          </cell>
          <cell r="R1881" t="str">
            <v>No inspection</v>
          </cell>
          <cell r="S1881">
            <v>360</v>
          </cell>
          <cell r="T1881" t="str">
            <v>EXW</v>
          </cell>
          <cell r="U1881">
            <v>134</v>
          </cell>
        </row>
        <row r="1882">
          <cell r="D1882">
            <v>6.6</v>
          </cell>
          <cell r="F1882" t="str">
            <v>8XN6065</v>
          </cell>
          <cell r="G1882" t="str">
            <v>KIOXIA CORPORATION C/O KIOXIA AMERICA INC</v>
          </cell>
          <cell r="H1882" t="str">
            <v>Delivered</v>
          </cell>
          <cell r="I1882" t="str">
            <v xml:space="preserve">MEM </v>
          </cell>
          <cell r="J1882" t="str">
            <v>DHL( global)</v>
          </cell>
          <cell r="K1882" t="str">
            <v>VVMV</v>
          </cell>
          <cell r="L1882" t="str">
            <v>JP</v>
          </cell>
          <cell r="M1882">
            <v>46186</v>
          </cell>
          <cell r="N1882">
            <v>46189</v>
          </cell>
          <cell r="O1882">
            <v>46189</v>
          </cell>
          <cell r="P1882">
            <v>108341209430</v>
          </cell>
          <cell r="Q1882">
            <v>46188</v>
          </cell>
          <cell r="R1882" t="str">
            <v>No inspection</v>
          </cell>
          <cell r="S1882">
            <v>330687</v>
          </cell>
          <cell r="T1882" t="str">
            <v>CIP</v>
          </cell>
          <cell r="U1882" t="str">
            <v>PUR</v>
          </cell>
        </row>
        <row r="1883">
          <cell r="D1883">
            <v>6.6</v>
          </cell>
          <cell r="F1883" t="str">
            <v>8XN6066</v>
          </cell>
          <cell r="G1883" t="str">
            <v>KIOXIA CORPORATION C/O KIOXIA AMERICA INC</v>
          </cell>
          <cell r="H1883" t="str">
            <v>Delivered</v>
          </cell>
          <cell r="I1883" t="str">
            <v xml:space="preserve">MEM </v>
          </cell>
          <cell r="J1883" t="str">
            <v>DHL( global)</v>
          </cell>
          <cell r="K1883" t="str">
            <v>VVMV</v>
          </cell>
          <cell r="L1883" t="str">
            <v>JP</v>
          </cell>
          <cell r="M1883">
            <v>46186</v>
          </cell>
          <cell r="N1883">
            <v>46189</v>
          </cell>
          <cell r="O1883">
            <v>46189</v>
          </cell>
          <cell r="P1883">
            <v>108341362030</v>
          </cell>
          <cell r="Q1883">
            <v>46188</v>
          </cell>
          <cell r="R1883" t="str">
            <v>No inspection</v>
          </cell>
          <cell r="S1883">
            <v>330687</v>
          </cell>
          <cell r="T1883" t="str">
            <v>CIP</v>
          </cell>
          <cell r="U1883" t="str">
            <v>PUR</v>
          </cell>
        </row>
        <row r="1884">
          <cell r="D1884">
            <v>3.4</v>
          </cell>
          <cell r="F1884" t="str">
            <v>8XN6067</v>
          </cell>
          <cell r="G1884" t="str">
            <v>KIOXIA CORPORATION C/O KIOXIA AMERICA INC</v>
          </cell>
          <cell r="H1884" t="str">
            <v>Delivered</v>
          </cell>
          <cell r="I1884" t="str">
            <v xml:space="preserve">MEM </v>
          </cell>
          <cell r="J1884" t="str">
            <v>DHL( global)</v>
          </cell>
          <cell r="K1884" t="str">
            <v>VVMV</v>
          </cell>
          <cell r="L1884" t="str">
            <v>JP</v>
          </cell>
          <cell r="M1884">
            <v>46186</v>
          </cell>
          <cell r="N1884">
            <v>46189</v>
          </cell>
          <cell r="O1884">
            <v>46189</v>
          </cell>
          <cell r="P1884">
            <v>108341440430</v>
          </cell>
          <cell r="Q1884">
            <v>46188</v>
          </cell>
          <cell r="R1884" t="str">
            <v>No inspection</v>
          </cell>
          <cell r="S1884">
            <v>123246.52</v>
          </cell>
          <cell r="T1884" t="str">
            <v>CIP</v>
          </cell>
          <cell r="U1884" t="str">
            <v>PUR</v>
          </cell>
        </row>
        <row r="1885">
          <cell r="D1885">
            <v>6.6</v>
          </cell>
          <cell r="F1885" t="str">
            <v>8XN6052</v>
          </cell>
          <cell r="G1885" t="str">
            <v>KIOXIA CORPORATION C/O KIOXIA AMERICA INC</v>
          </cell>
          <cell r="H1885" t="str">
            <v>Delivered</v>
          </cell>
          <cell r="I1885" t="str">
            <v xml:space="preserve">MEM </v>
          </cell>
          <cell r="J1885" t="str">
            <v>DHL( global)</v>
          </cell>
          <cell r="K1885" t="str">
            <v>VVMV</v>
          </cell>
          <cell r="L1885" t="str">
            <v>JP</v>
          </cell>
          <cell r="M1885">
            <v>46186</v>
          </cell>
          <cell r="N1885">
            <v>46189</v>
          </cell>
          <cell r="O1885">
            <v>46189</v>
          </cell>
          <cell r="P1885">
            <v>108341554200</v>
          </cell>
          <cell r="Q1885">
            <v>46188</v>
          </cell>
          <cell r="R1885" t="str">
            <v>No inspection</v>
          </cell>
          <cell r="S1885">
            <v>330687</v>
          </cell>
          <cell r="T1885" t="str">
            <v>CIP</v>
          </cell>
          <cell r="U1885" t="str">
            <v>PUR</v>
          </cell>
        </row>
        <row r="1886">
          <cell r="D1886">
            <v>6.6</v>
          </cell>
          <cell r="F1886" t="str">
            <v>8XN6053</v>
          </cell>
          <cell r="G1886" t="str">
            <v>KIOXIA CORPORATION C/O KIOXIA AMERICA INC</v>
          </cell>
          <cell r="H1886" t="str">
            <v>Delivered</v>
          </cell>
          <cell r="I1886" t="str">
            <v xml:space="preserve">MEM </v>
          </cell>
          <cell r="J1886" t="str">
            <v>DHL( global)</v>
          </cell>
          <cell r="K1886" t="str">
            <v>VVMV</v>
          </cell>
          <cell r="L1886" t="str">
            <v>JP</v>
          </cell>
          <cell r="M1886">
            <v>46186</v>
          </cell>
          <cell r="N1886">
            <v>46189</v>
          </cell>
          <cell r="O1886">
            <v>46189</v>
          </cell>
          <cell r="P1886">
            <v>108341532720</v>
          </cell>
          <cell r="Q1886">
            <v>46188</v>
          </cell>
          <cell r="R1886" t="str">
            <v>No inspection</v>
          </cell>
          <cell r="S1886">
            <v>330687</v>
          </cell>
          <cell r="T1886" t="str">
            <v>CIP</v>
          </cell>
          <cell r="U1886" t="str">
            <v>PUR</v>
          </cell>
        </row>
        <row r="1887">
          <cell r="D1887">
            <v>6.6</v>
          </cell>
          <cell r="F1887" t="str">
            <v>8XN6054</v>
          </cell>
          <cell r="G1887" t="str">
            <v>KIOXIA CORPORATION C/O KIOXIA AMERICA INC</v>
          </cell>
          <cell r="H1887" t="str">
            <v>Delivered</v>
          </cell>
          <cell r="I1887" t="str">
            <v xml:space="preserve">MEM </v>
          </cell>
          <cell r="J1887" t="str">
            <v>DHL( global)</v>
          </cell>
          <cell r="K1887" t="str">
            <v>VVMV</v>
          </cell>
          <cell r="L1887" t="str">
            <v>JP</v>
          </cell>
          <cell r="M1887">
            <v>46186</v>
          </cell>
          <cell r="N1887">
            <v>46189</v>
          </cell>
          <cell r="O1887">
            <v>46189</v>
          </cell>
          <cell r="P1887">
            <v>108341123660</v>
          </cell>
          <cell r="Q1887">
            <v>46188</v>
          </cell>
          <cell r="R1887" t="str">
            <v>No inspection</v>
          </cell>
          <cell r="S1887">
            <v>330687</v>
          </cell>
          <cell r="T1887" t="str">
            <v>CIP</v>
          </cell>
          <cell r="U1887" t="str">
            <v>PUR</v>
          </cell>
        </row>
        <row r="1888">
          <cell r="D1888">
            <v>6.6</v>
          </cell>
          <cell r="F1888" t="str">
            <v>8XN6055</v>
          </cell>
          <cell r="G1888" t="str">
            <v>KIOXIA CORPORATION C/O KIOXIA AMERICA INC</v>
          </cell>
          <cell r="H1888" t="str">
            <v>Delivered</v>
          </cell>
          <cell r="I1888" t="str">
            <v xml:space="preserve">MEM </v>
          </cell>
          <cell r="J1888" t="str">
            <v>DHL( global)</v>
          </cell>
          <cell r="K1888" t="str">
            <v>VVMV</v>
          </cell>
          <cell r="L1888" t="str">
            <v>JP</v>
          </cell>
          <cell r="M1888">
            <v>46186</v>
          </cell>
          <cell r="N1888">
            <v>46189</v>
          </cell>
          <cell r="O1888">
            <v>46189</v>
          </cell>
          <cell r="P1888">
            <v>108341715750</v>
          </cell>
          <cell r="Q1888">
            <v>46188</v>
          </cell>
          <cell r="R1888" t="str">
            <v>No inspection</v>
          </cell>
          <cell r="S1888">
            <v>330687</v>
          </cell>
          <cell r="T1888" t="str">
            <v>CIP</v>
          </cell>
          <cell r="U1888" t="str">
            <v>PUR</v>
          </cell>
        </row>
        <row r="1889">
          <cell r="D1889">
            <v>6.6</v>
          </cell>
          <cell r="F1889" t="str">
            <v>8XN6056</v>
          </cell>
          <cell r="G1889" t="str">
            <v>KIOXIA CORPORATION C/O KIOXIA AMERICA INC</v>
          </cell>
          <cell r="H1889" t="str">
            <v>Delivered</v>
          </cell>
          <cell r="I1889" t="str">
            <v xml:space="preserve">MEM </v>
          </cell>
          <cell r="J1889" t="str">
            <v>DHL( global)</v>
          </cell>
          <cell r="K1889" t="str">
            <v>VVMV</v>
          </cell>
          <cell r="L1889" t="str">
            <v>JP</v>
          </cell>
          <cell r="M1889">
            <v>46186</v>
          </cell>
          <cell r="N1889">
            <v>46189</v>
          </cell>
          <cell r="O1889">
            <v>46189</v>
          </cell>
          <cell r="P1889">
            <v>108341735500</v>
          </cell>
          <cell r="Q1889">
            <v>46188</v>
          </cell>
          <cell r="R1889" t="str">
            <v>No inspection</v>
          </cell>
          <cell r="S1889">
            <v>330687</v>
          </cell>
          <cell r="T1889" t="str">
            <v>CIP</v>
          </cell>
          <cell r="U1889" t="str">
            <v>PUR</v>
          </cell>
        </row>
        <row r="1890">
          <cell r="D1890">
            <v>6.6</v>
          </cell>
          <cell r="F1890" t="str">
            <v>8XN6057</v>
          </cell>
          <cell r="G1890" t="str">
            <v>KIOXIA CORPORATION C/O KIOXIA AMERICA INC</v>
          </cell>
          <cell r="H1890" t="str">
            <v>Delivered</v>
          </cell>
          <cell r="I1890" t="str">
            <v xml:space="preserve">MEM </v>
          </cell>
          <cell r="J1890" t="str">
            <v>DHL( global)</v>
          </cell>
          <cell r="K1890" t="str">
            <v>VVMV</v>
          </cell>
          <cell r="L1890" t="str">
            <v>JP</v>
          </cell>
          <cell r="M1890">
            <v>46186</v>
          </cell>
          <cell r="N1890">
            <v>46189</v>
          </cell>
          <cell r="O1890">
            <v>46189</v>
          </cell>
          <cell r="P1890">
            <v>108341863010</v>
          </cell>
          <cell r="Q1890">
            <v>46188</v>
          </cell>
          <cell r="R1890" t="str">
            <v>No inspection</v>
          </cell>
          <cell r="S1890">
            <v>330687</v>
          </cell>
          <cell r="T1890" t="str">
            <v>CIP</v>
          </cell>
          <cell r="U1890" t="str">
            <v>PUR</v>
          </cell>
        </row>
        <row r="1891">
          <cell r="D1891">
            <v>6.6</v>
          </cell>
          <cell r="F1891" t="str">
            <v>8XN6058</v>
          </cell>
          <cell r="G1891" t="str">
            <v>KIOXIA CORPORATION C/O KIOXIA AMERICA INC</v>
          </cell>
          <cell r="H1891" t="str">
            <v>Delivered</v>
          </cell>
          <cell r="I1891" t="str">
            <v xml:space="preserve">MEM </v>
          </cell>
          <cell r="J1891" t="str">
            <v>DHL( global)</v>
          </cell>
          <cell r="K1891" t="str">
            <v>VVMV</v>
          </cell>
          <cell r="L1891" t="str">
            <v>JP</v>
          </cell>
          <cell r="M1891">
            <v>46186</v>
          </cell>
          <cell r="N1891">
            <v>46189</v>
          </cell>
          <cell r="O1891">
            <v>46189</v>
          </cell>
          <cell r="P1891">
            <v>108341304260</v>
          </cell>
          <cell r="Q1891">
            <v>46188</v>
          </cell>
          <cell r="R1891" t="str">
            <v>No inspection</v>
          </cell>
          <cell r="S1891">
            <v>330687</v>
          </cell>
          <cell r="T1891" t="str">
            <v>CIP</v>
          </cell>
          <cell r="U1891" t="str">
            <v>PUR</v>
          </cell>
        </row>
        <row r="1892">
          <cell r="D1892">
            <v>6.7</v>
          </cell>
          <cell r="F1892" t="str">
            <v>8XN6059</v>
          </cell>
          <cell r="G1892" t="str">
            <v>KIOXIA CORPORATION C/O KIOXIA AMERICA INC</v>
          </cell>
          <cell r="H1892" t="str">
            <v>Delivered</v>
          </cell>
          <cell r="I1892" t="str">
            <v xml:space="preserve">MEM </v>
          </cell>
          <cell r="J1892" t="str">
            <v>DHL( global)</v>
          </cell>
          <cell r="K1892" t="str">
            <v>VVMV</v>
          </cell>
          <cell r="L1892" t="str">
            <v>JP</v>
          </cell>
          <cell r="M1892">
            <v>46186</v>
          </cell>
          <cell r="N1892">
            <v>46189</v>
          </cell>
          <cell r="O1892">
            <v>46189</v>
          </cell>
          <cell r="P1892">
            <v>108341409520</v>
          </cell>
          <cell r="Q1892">
            <v>46188</v>
          </cell>
          <cell r="R1892" t="str">
            <v>No inspection</v>
          </cell>
          <cell r="S1892">
            <v>330687</v>
          </cell>
          <cell r="T1892" t="str">
            <v>CIP</v>
          </cell>
          <cell r="U1892" t="str">
            <v>PUR</v>
          </cell>
        </row>
        <row r="1893">
          <cell r="D1893">
            <v>6.6</v>
          </cell>
          <cell r="F1893" t="str">
            <v>8XN6060</v>
          </cell>
          <cell r="G1893" t="str">
            <v>KIOXIA CORPORATION C/O KIOXIA AMERICA INC</v>
          </cell>
          <cell r="H1893" t="str">
            <v>Delivered</v>
          </cell>
          <cell r="I1893" t="str">
            <v xml:space="preserve">MEM </v>
          </cell>
          <cell r="J1893" t="str">
            <v>DHL( global)</v>
          </cell>
          <cell r="K1893" t="str">
            <v>VVMV</v>
          </cell>
          <cell r="L1893" t="str">
            <v>JP</v>
          </cell>
          <cell r="M1893">
            <v>46186</v>
          </cell>
          <cell r="N1893">
            <v>46189</v>
          </cell>
          <cell r="O1893">
            <v>46189</v>
          </cell>
          <cell r="P1893">
            <v>108341483350</v>
          </cell>
          <cell r="Q1893">
            <v>46188</v>
          </cell>
          <cell r="R1893" t="str">
            <v>No inspection</v>
          </cell>
          <cell r="S1893">
            <v>330687</v>
          </cell>
          <cell r="T1893" t="str">
            <v>CIP</v>
          </cell>
          <cell r="U1893" t="str">
            <v>PUR</v>
          </cell>
        </row>
        <row r="1894">
          <cell r="D1894">
            <v>6.6</v>
          </cell>
          <cell r="F1894" t="str">
            <v>8XN6061</v>
          </cell>
          <cell r="G1894" t="str">
            <v>KIOXIA CORPORATION C/O KIOXIA AMERICA INC</v>
          </cell>
          <cell r="H1894" t="str">
            <v>Delivered</v>
          </cell>
          <cell r="I1894" t="str">
            <v xml:space="preserve">MEM </v>
          </cell>
          <cell r="J1894" t="str">
            <v>DHL( global)</v>
          </cell>
          <cell r="K1894" t="str">
            <v>VVMV</v>
          </cell>
          <cell r="L1894" t="str">
            <v>JP</v>
          </cell>
          <cell r="M1894">
            <v>46186</v>
          </cell>
          <cell r="N1894">
            <v>46189</v>
          </cell>
          <cell r="O1894">
            <v>46189</v>
          </cell>
          <cell r="P1894">
            <v>108341460950</v>
          </cell>
          <cell r="Q1894">
            <v>46188</v>
          </cell>
          <cell r="R1894" t="str">
            <v>No inspection</v>
          </cell>
          <cell r="S1894">
            <v>330687</v>
          </cell>
          <cell r="T1894" t="str">
            <v>CIP</v>
          </cell>
          <cell r="U1894" t="str">
            <v>PUR</v>
          </cell>
        </row>
        <row r="1895">
          <cell r="D1895">
            <v>6.6</v>
          </cell>
          <cell r="F1895" t="str">
            <v>8XN6062</v>
          </cell>
          <cell r="G1895" t="str">
            <v>KIOXIA CORPORATION C/O KIOXIA AMERICA INC</v>
          </cell>
          <cell r="H1895" t="str">
            <v>Delivered</v>
          </cell>
          <cell r="I1895" t="str">
            <v xml:space="preserve">MEM </v>
          </cell>
          <cell r="J1895" t="str">
            <v>DHL( global)</v>
          </cell>
          <cell r="K1895" t="str">
            <v>VVMV</v>
          </cell>
          <cell r="L1895" t="str">
            <v>JP</v>
          </cell>
          <cell r="M1895">
            <v>46186</v>
          </cell>
          <cell r="N1895">
            <v>46189</v>
          </cell>
          <cell r="O1895">
            <v>46189</v>
          </cell>
          <cell r="P1895">
            <v>108341322460</v>
          </cell>
          <cell r="Q1895">
            <v>46188</v>
          </cell>
          <cell r="R1895" t="str">
            <v>No inspection</v>
          </cell>
          <cell r="S1895">
            <v>330687</v>
          </cell>
          <cell r="T1895" t="str">
            <v>CIP</v>
          </cell>
          <cell r="U1895" t="str">
            <v>PUR</v>
          </cell>
        </row>
        <row r="1896">
          <cell r="D1896">
            <v>6.6</v>
          </cell>
          <cell r="F1896" t="str">
            <v>8XN6063</v>
          </cell>
          <cell r="G1896" t="str">
            <v>KIOXIA CORPORATION C/O KIOXIA AMERICA INC</v>
          </cell>
          <cell r="H1896" t="str">
            <v>Delivered</v>
          </cell>
          <cell r="I1896" t="str">
            <v xml:space="preserve">MEM </v>
          </cell>
          <cell r="J1896" t="str">
            <v>DHL( global)</v>
          </cell>
          <cell r="K1896" t="str">
            <v>VVMV</v>
          </cell>
          <cell r="L1896" t="str">
            <v>JP</v>
          </cell>
          <cell r="M1896">
            <v>46186</v>
          </cell>
          <cell r="N1896">
            <v>46189</v>
          </cell>
          <cell r="O1896">
            <v>46189</v>
          </cell>
          <cell r="P1896">
            <v>108341436120</v>
          </cell>
          <cell r="Q1896">
            <v>46188</v>
          </cell>
          <cell r="R1896" t="str">
            <v>No inspection</v>
          </cell>
          <cell r="S1896">
            <v>330687</v>
          </cell>
          <cell r="T1896" t="str">
            <v>CIP</v>
          </cell>
          <cell r="U1896" t="str">
            <v>PUR</v>
          </cell>
        </row>
        <row r="1897">
          <cell r="D1897">
            <v>6.2</v>
          </cell>
          <cell r="F1897" t="str">
            <v>8XN6064</v>
          </cell>
          <cell r="G1897" t="str">
            <v>KIOXIA CORPORATION C/O KIOXIA AMERICA INC</v>
          </cell>
          <cell r="H1897" t="str">
            <v>Delivered</v>
          </cell>
          <cell r="I1897" t="str">
            <v xml:space="preserve">MEM </v>
          </cell>
          <cell r="J1897" t="str">
            <v>DHL( global)</v>
          </cell>
          <cell r="K1897" t="str">
            <v>VVMV</v>
          </cell>
          <cell r="L1897" t="str">
            <v>JP</v>
          </cell>
          <cell r="M1897">
            <v>46186</v>
          </cell>
          <cell r="N1897">
            <v>46189</v>
          </cell>
          <cell r="O1897">
            <v>46189</v>
          </cell>
          <cell r="P1897">
            <v>108341501920</v>
          </cell>
          <cell r="Q1897">
            <v>46188</v>
          </cell>
          <cell r="R1897" t="str">
            <v>No inspection</v>
          </cell>
          <cell r="S1897">
            <v>291529.46000000002</v>
          </cell>
          <cell r="T1897" t="str">
            <v>CIP</v>
          </cell>
          <cell r="U1897" t="str">
            <v>PUR</v>
          </cell>
        </row>
        <row r="1898">
          <cell r="D1898">
            <v>7.9</v>
          </cell>
          <cell r="F1898">
            <v>872926227843</v>
          </cell>
          <cell r="G1898" t="str">
            <v>COMPEQ</v>
          </cell>
          <cell r="H1898" t="str">
            <v>Delivered</v>
          </cell>
          <cell r="I1898" t="str">
            <v xml:space="preserve">PCB </v>
          </cell>
          <cell r="J1898" t="str">
            <v>Fedex</v>
          </cell>
          <cell r="K1898" t="str">
            <v>VVMV</v>
          </cell>
          <cell r="L1898" t="str">
            <v>TW</v>
          </cell>
          <cell r="M1898">
            <v>46184</v>
          </cell>
          <cell r="N1898">
            <v>46190</v>
          </cell>
          <cell r="O1898">
            <v>46190</v>
          </cell>
          <cell r="P1898">
            <v>108341855530</v>
          </cell>
          <cell r="Q1898">
            <v>46188</v>
          </cell>
          <cell r="R1898" t="str">
            <v>No inspection</v>
          </cell>
          <cell r="S1898">
            <v>873.18</v>
          </cell>
          <cell r="T1898" t="str">
            <v>EXW</v>
          </cell>
          <cell r="U1898" t="str">
            <v>PUR</v>
          </cell>
        </row>
        <row r="1899">
          <cell r="D1899">
            <v>10.1</v>
          </cell>
          <cell r="F1899">
            <v>872930667108</v>
          </cell>
          <cell r="G1899" t="str">
            <v>UNION MEMORY LTD.</v>
          </cell>
          <cell r="H1899" t="str">
            <v>Delivered</v>
          </cell>
          <cell r="I1899" t="str">
            <v>IC S</v>
          </cell>
          <cell r="J1899" t="str">
            <v>Fedex</v>
          </cell>
          <cell r="K1899" t="str">
            <v>VVMV</v>
          </cell>
          <cell r="L1899" t="str">
            <v>TW</v>
          </cell>
          <cell r="M1899">
            <v>46184</v>
          </cell>
          <cell r="N1899">
            <v>46190</v>
          </cell>
          <cell r="O1899">
            <v>46190</v>
          </cell>
          <cell r="P1899">
            <v>108342281240</v>
          </cell>
          <cell r="Q1899">
            <v>46188</v>
          </cell>
          <cell r="R1899" t="str">
            <v>No inspection</v>
          </cell>
          <cell r="S1899">
            <v>38456</v>
          </cell>
          <cell r="T1899" t="str">
            <v>EXW</v>
          </cell>
          <cell r="U1899" t="str">
            <v>EF-</v>
          </cell>
        </row>
        <row r="1900">
          <cell r="D1900">
            <v>0.4</v>
          </cell>
          <cell r="F1900">
            <v>489101288650</v>
          </cell>
          <cell r="G1900" t="str">
            <v>ARROW GERMANY C/O Arrow Central Europe</v>
          </cell>
          <cell r="H1900" t="str">
            <v>Delivered</v>
          </cell>
          <cell r="I1900" t="str">
            <v>SWIT</v>
          </cell>
          <cell r="J1900" t="str">
            <v>Fedex</v>
          </cell>
          <cell r="K1900" t="str">
            <v>VVMV</v>
          </cell>
          <cell r="L1900" t="str">
            <v>NL</v>
          </cell>
          <cell r="M1900">
            <v>46181</v>
          </cell>
          <cell r="N1900">
            <v>46190</v>
          </cell>
          <cell r="O1900">
            <v>46190</v>
          </cell>
          <cell r="P1900">
            <v>108342345200</v>
          </cell>
          <cell r="Q1900">
            <v>46188</v>
          </cell>
          <cell r="R1900" t="str">
            <v>No inspection</v>
          </cell>
          <cell r="S1900">
            <v>54.1</v>
          </cell>
          <cell r="T1900" t="str">
            <v>CIF</v>
          </cell>
          <cell r="U1900" t="str">
            <v>EF-</v>
          </cell>
        </row>
        <row r="1901">
          <cell r="D1901">
            <v>5</v>
          </cell>
          <cell r="F1901">
            <v>4110338139</v>
          </cell>
          <cell r="G1901" t="str">
            <v>Avnet, Inc.</v>
          </cell>
          <cell r="H1901" t="str">
            <v>Delivered</v>
          </cell>
          <cell r="I1901" t="str">
            <v>CONN</v>
          </cell>
          <cell r="J1901" t="str">
            <v>Expeditors</v>
          </cell>
          <cell r="K1901" t="str">
            <v>VVMV</v>
          </cell>
          <cell r="L1901" t="str">
            <v>US</v>
          </cell>
          <cell r="M1901">
            <v>46183</v>
          </cell>
          <cell r="N1901">
            <v>42539</v>
          </cell>
          <cell r="O1901">
            <v>46191</v>
          </cell>
          <cell r="P1901">
            <v>108347193620</v>
          </cell>
          <cell r="Q1901">
            <v>46190</v>
          </cell>
          <cell r="R1901" t="str">
            <v>No inspection</v>
          </cell>
          <cell r="S1901">
            <v>1570.25</v>
          </cell>
          <cell r="T1901" t="str">
            <v>DAP</v>
          </cell>
          <cell r="U1901" t="str">
            <v>LUC</v>
          </cell>
        </row>
        <row r="1902">
          <cell r="D1902">
            <v>3</v>
          </cell>
          <cell r="F1902">
            <v>4110338142</v>
          </cell>
          <cell r="G1902" t="str">
            <v>Avnet, Inc.</v>
          </cell>
          <cell r="H1902" t="str">
            <v>Delivered</v>
          </cell>
          <cell r="I1902" t="str">
            <v>CONN</v>
          </cell>
          <cell r="J1902" t="str">
            <v>Expeditors</v>
          </cell>
          <cell r="K1902" t="str">
            <v>VVMV</v>
          </cell>
          <cell r="L1902" t="str">
            <v>US</v>
          </cell>
          <cell r="M1902">
            <v>46183</v>
          </cell>
          <cell r="N1902">
            <v>42539</v>
          </cell>
          <cell r="O1902">
            <v>46191</v>
          </cell>
          <cell r="P1902">
            <v>108347232820</v>
          </cell>
          <cell r="Q1902">
            <v>46190</v>
          </cell>
          <cell r="R1902" t="str">
            <v>No inspection</v>
          </cell>
          <cell r="S1902">
            <v>1444.2</v>
          </cell>
          <cell r="T1902" t="str">
            <v>DAP</v>
          </cell>
          <cell r="U1902" t="str">
            <v>LUC</v>
          </cell>
        </row>
        <row r="1903">
          <cell r="D1903">
            <v>7</v>
          </cell>
          <cell r="F1903">
            <v>4110338141</v>
          </cell>
          <cell r="G1903" t="str">
            <v>Avnet, Inc.</v>
          </cell>
          <cell r="H1903" t="str">
            <v>Delivered</v>
          </cell>
          <cell r="I1903" t="str">
            <v>CONN</v>
          </cell>
          <cell r="J1903" t="str">
            <v>Expeditors</v>
          </cell>
          <cell r="K1903" t="str">
            <v>VVMV</v>
          </cell>
          <cell r="L1903" t="str">
            <v>US</v>
          </cell>
          <cell r="M1903">
            <v>46183</v>
          </cell>
          <cell r="N1903">
            <v>42539</v>
          </cell>
          <cell r="O1903">
            <v>46191</v>
          </cell>
          <cell r="P1903">
            <v>108347262660</v>
          </cell>
          <cell r="Q1903">
            <v>46190</v>
          </cell>
          <cell r="R1903" t="str">
            <v>No inspection</v>
          </cell>
          <cell r="S1903">
            <v>959.2</v>
          </cell>
          <cell r="T1903" t="str">
            <v>DAP</v>
          </cell>
          <cell r="U1903" t="str">
            <v>LUC</v>
          </cell>
        </row>
        <row r="1904">
          <cell r="D1904">
            <v>8.5</v>
          </cell>
          <cell r="F1904">
            <v>4110338143</v>
          </cell>
          <cell r="G1904" t="str">
            <v>Avnet, Inc.</v>
          </cell>
          <cell r="H1904" t="str">
            <v>Delivered</v>
          </cell>
          <cell r="I1904" t="str">
            <v>CONN</v>
          </cell>
          <cell r="J1904" t="str">
            <v>Expeditors</v>
          </cell>
          <cell r="K1904" t="str">
            <v>VVMV</v>
          </cell>
          <cell r="L1904" t="str">
            <v>US</v>
          </cell>
          <cell r="M1904">
            <v>46183</v>
          </cell>
          <cell r="N1904">
            <v>42539</v>
          </cell>
          <cell r="O1904">
            <v>46191</v>
          </cell>
          <cell r="P1904">
            <v>108347330710</v>
          </cell>
          <cell r="Q1904">
            <v>46190</v>
          </cell>
          <cell r="R1904" t="str">
            <v>No inspection</v>
          </cell>
          <cell r="S1904">
            <v>1012.75</v>
          </cell>
          <cell r="T1904" t="str">
            <v>DAP</v>
          </cell>
          <cell r="U1904" t="str">
            <v>LUC</v>
          </cell>
        </row>
        <row r="1905">
          <cell r="D1905">
            <v>47.5</v>
          </cell>
          <cell r="F1905">
            <v>4110338144</v>
          </cell>
          <cell r="G1905" t="str">
            <v>Avnet, Inc.</v>
          </cell>
          <cell r="H1905" t="str">
            <v>Delivered</v>
          </cell>
          <cell r="I1905" t="str">
            <v>CONN</v>
          </cell>
          <cell r="J1905" t="str">
            <v>Expeditors</v>
          </cell>
          <cell r="K1905" t="str">
            <v>VVMV</v>
          </cell>
          <cell r="L1905" t="str">
            <v>US</v>
          </cell>
          <cell r="M1905">
            <v>46183</v>
          </cell>
          <cell r="N1905">
            <v>42539</v>
          </cell>
          <cell r="O1905">
            <v>46191</v>
          </cell>
          <cell r="P1905">
            <v>108347464040</v>
          </cell>
          <cell r="Q1905">
            <v>46190</v>
          </cell>
          <cell r="R1905" t="str">
            <v>No inspection</v>
          </cell>
          <cell r="S1905">
            <v>1302.72</v>
          </cell>
          <cell r="T1905" t="str">
            <v>DAP</v>
          </cell>
          <cell r="U1905" t="str">
            <v>LUC</v>
          </cell>
        </row>
        <row r="1906">
          <cell r="D1906">
            <v>26</v>
          </cell>
          <cell r="F1906">
            <v>4110338146</v>
          </cell>
          <cell r="G1906" t="str">
            <v>Avnet, Inc.</v>
          </cell>
          <cell r="H1906" t="str">
            <v>Delivered</v>
          </cell>
          <cell r="I1906" t="str">
            <v>CONN</v>
          </cell>
          <cell r="J1906" t="str">
            <v>Expeditors</v>
          </cell>
          <cell r="K1906" t="str">
            <v>VVMV</v>
          </cell>
          <cell r="L1906" t="str">
            <v>US</v>
          </cell>
          <cell r="M1906">
            <v>46184</v>
          </cell>
          <cell r="N1906">
            <v>42539</v>
          </cell>
          <cell r="O1906">
            <v>46191</v>
          </cell>
          <cell r="P1906">
            <v>108347464960</v>
          </cell>
          <cell r="Q1906">
            <v>46190</v>
          </cell>
          <cell r="R1906" t="str">
            <v>No inspection</v>
          </cell>
          <cell r="S1906">
            <v>4149.6000000000004</v>
          </cell>
          <cell r="T1906" t="str">
            <v>DAP</v>
          </cell>
          <cell r="U1906" t="str">
            <v>LUC</v>
          </cell>
        </row>
        <row r="1907">
          <cell r="D1907">
            <v>37.5</v>
          </cell>
          <cell r="F1907">
            <v>4110338148</v>
          </cell>
          <cell r="G1907" t="str">
            <v>Avnet, Inc.</v>
          </cell>
          <cell r="H1907" t="str">
            <v>Delivered</v>
          </cell>
          <cell r="I1907" t="str">
            <v>CONN</v>
          </cell>
          <cell r="J1907" t="str">
            <v>Expeditors</v>
          </cell>
          <cell r="K1907" t="str">
            <v>VVMV</v>
          </cell>
          <cell r="L1907" t="str">
            <v>US</v>
          </cell>
          <cell r="M1907">
            <v>46183</v>
          </cell>
          <cell r="N1907">
            <v>42539</v>
          </cell>
          <cell r="O1907">
            <v>46191</v>
          </cell>
          <cell r="P1907">
            <v>108347826200</v>
          </cell>
          <cell r="Q1907">
            <v>46190</v>
          </cell>
          <cell r="R1907" t="str">
            <v>No inspection</v>
          </cell>
          <cell r="S1907">
            <v>1288.8</v>
          </cell>
          <cell r="T1907" t="str">
            <v>DAP</v>
          </cell>
          <cell r="U1907" t="str">
            <v>LUC</v>
          </cell>
        </row>
        <row r="1908">
          <cell r="D1908">
            <v>26.5</v>
          </cell>
          <cell r="F1908">
            <v>4110338152</v>
          </cell>
          <cell r="G1908" t="str">
            <v>Avnet, Inc.</v>
          </cell>
          <cell r="H1908" t="str">
            <v>Delivered</v>
          </cell>
          <cell r="I1908" t="str">
            <v>CONN</v>
          </cell>
          <cell r="J1908" t="str">
            <v>Expeditors</v>
          </cell>
          <cell r="K1908" t="str">
            <v>VVMV</v>
          </cell>
          <cell r="L1908" t="str">
            <v>US</v>
          </cell>
          <cell r="M1908">
            <v>46184</v>
          </cell>
          <cell r="N1908">
            <v>42539</v>
          </cell>
          <cell r="O1908">
            <v>46191</v>
          </cell>
          <cell r="P1908">
            <v>108347284400</v>
          </cell>
          <cell r="Q1908">
            <v>46190</v>
          </cell>
          <cell r="R1908" t="str">
            <v>No inspection</v>
          </cell>
          <cell r="S1908">
            <v>2991.56</v>
          </cell>
          <cell r="T1908" t="str">
            <v>DAP</v>
          </cell>
          <cell r="U1908" t="str">
            <v>LUC</v>
          </cell>
        </row>
        <row r="1909">
          <cell r="D1909">
            <v>11</v>
          </cell>
          <cell r="F1909">
            <v>4110338154</v>
          </cell>
          <cell r="G1909" t="str">
            <v>Avnet, Inc.</v>
          </cell>
          <cell r="H1909" t="str">
            <v>Delivered</v>
          </cell>
          <cell r="I1909" t="str">
            <v>CONN</v>
          </cell>
          <cell r="J1909" t="str">
            <v>Expeditors</v>
          </cell>
          <cell r="K1909" t="str">
            <v>VVMV</v>
          </cell>
          <cell r="L1909" t="str">
            <v>US</v>
          </cell>
          <cell r="M1909">
            <v>46184</v>
          </cell>
          <cell r="N1909">
            <v>42539</v>
          </cell>
          <cell r="O1909">
            <v>46191</v>
          </cell>
          <cell r="P1909">
            <v>108347692830</v>
          </cell>
          <cell r="Q1909">
            <v>46190</v>
          </cell>
          <cell r="R1909" t="str">
            <v>No inspection</v>
          </cell>
          <cell r="S1909">
            <v>3796.2</v>
          </cell>
          <cell r="T1909" t="str">
            <v>DAP</v>
          </cell>
          <cell r="U1909" t="str">
            <v>LUC</v>
          </cell>
        </row>
        <row r="1910">
          <cell r="D1910">
            <v>83.5</v>
          </cell>
          <cell r="F1910">
            <v>4110338214</v>
          </cell>
          <cell r="G1910" t="str">
            <v>Avnet, Inc.</v>
          </cell>
          <cell r="H1910" t="str">
            <v>Delivered</v>
          </cell>
          <cell r="I1910" t="str">
            <v>CONN</v>
          </cell>
          <cell r="J1910" t="str">
            <v>Expeditors</v>
          </cell>
          <cell r="K1910" t="str">
            <v>VVMV</v>
          </cell>
          <cell r="L1910" t="str">
            <v>US</v>
          </cell>
          <cell r="M1910">
            <v>46184</v>
          </cell>
          <cell r="N1910">
            <v>42539</v>
          </cell>
          <cell r="O1910">
            <v>46191</v>
          </cell>
          <cell r="P1910">
            <v>108347527960</v>
          </cell>
          <cell r="Q1910">
            <v>46190</v>
          </cell>
          <cell r="R1910" t="str">
            <v>No inspection</v>
          </cell>
          <cell r="S1910">
            <v>2148</v>
          </cell>
          <cell r="T1910" t="str">
            <v>DAP</v>
          </cell>
          <cell r="U1910" t="str">
            <v>LUC</v>
          </cell>
        </row>
        <row r="1911">
          <cell r="D1911">
            <v>9.5</v>
          </cell>
          <cell r="F1911">
            <v>4110338217</v>
          </cell>
          <cell r="G1911" t="str">
            <v>Avnet, Inc.</v>
          </cell>
          <cell r="H1911" t="str">
            <v>Delivered</v>
          </cell>
          <cell r="I1911" t="str">
            <v>CONN</v>
          </cell>
          <cell r="J1911" t="str">
            <v>Expeditors</v>
          </cell>
          <cell r="K1911" t="str">
            <v>VVMV</v>
          </cell>
          <cell r="L1911" t="str">
            <v>US</v>
          </cell>
          <cell r="M1911">
            <v>46184</v>
          </cell>
          <cell r="N1911">
            <v>42539</v>
          </cell>
          <cell r="O1911">
            <v>46191</v>
          </cell>
          <cell r="P1911">
            <v>108347368950</v>
          </cell>
          <cell r="Q1911">
            <v>46190</v>
          </cell>
          <cell r="R1911" t="str">
            <v>No inspection</v>
          </cell>
          <cell r="S1911">
            <v>465.26</v>
          </cell>
          <cell r="T1911" t="str">
            <v>DAP</v>
          </cell>
          <cell r="U1911" t="str">
            <v>LUC</v>
          </cell>
        </row>
        <row r="1912">
          <cell r="D1912">
            <v>5.8</v>
          </cell>
          <cell r="F1912">
            <v>464002431884</v>
          </cell>
          <cell r="G1912" t="str">
            <v>LE CHAMP SEA PTE LTD</v>
          </cell>
          <cell r="H1912" t="str">
            <v>Delivered</v>
          </cell>
          <cell r="I1912" t="str">
            <v xml:space="preserve">IND </v>
          </cell>
          <cell r="J1912" t="str">
            <v>Fedex</v>
          </cell>
          <cell r="K1912" t="str">
            <v>VVMV</v>
          </cell>
          <cell r="L1912" t="str">
            <v>SG</v>
          </cell>
          <cell r="M1912">
            <v>46182</v>
          </cell>
          <cell r="N1912">
            <v>46190</v>
          </cell>
          <cell r="O1912">
            <v>46190</v>
          </cell>
          <cell r="P1912">
            <v>108342167140</v>
          </cell>
          <cell r="Q1912">
            <v>46188</v>
          </cell>
          <cell r="R1912" t="str">
            <v>No inspection</v>
          </cell>
          <cell r="S1912">
            <v>255</v>
          </cell>
          <cell r="T1912" t="str">
            <v>EXW</v>
          </cell>
          <cell r="U1912" t="str">
            <v>FMC</v>
          </cell>
        </row>
        <row r="1913">
          <cell r="D1913">
            <v>26</v>
          </cell>
          <cell r="F1913">
            <v>872881440674</v>
          </cell>
          <cell r="G1913" t="str">
            <v>AMPHENOL MOBILE CONNECTOR SOLUTIONS</v>
          </cell>
          <cell r="H1913" t="str">
            <v>Delivered</v>
          </cell>
          <cell r="I1913" t="str">
            <v>CONN</v>
          </cell>
          <cell r="J1913" t="str">
            <v>Fedex</v>
          </cell>
          <cell r="K1913" t="str">
            <v>VVMV</v>
          </cell>
          <cell r="L1913" t="str">
            <v>CN</v>
          </cell>
          <cell r="M1913">
            <v>46183</v>
          </cell>
          <cell r="N1913">
            <v>46190</v>
          </cell>
          <cell r="O1913">
            <v>46191</v>
          </cell>
          <cell r="P1913">
            <v>108346686340</v>
          </cell>
          <cell r="Q1913">
            <v>46189</v>
          </cell>
          <cell r="R1913" t="str">
            <v>No inspection</v>
          </cell>
          <cell r="S1913">
            <v>9886.26</v>
          </cell>
          <cell r="T1913" t="str">
            <v>EXW</v>
          </cell>
          <cell r="U1913" t="str">
            <v>FMC</v>
          </cell>
        </row>
        <row r="1914">
          <cell r="D1914">
            <v>58</v>
          </cell>
          <cell r="F1914" t="str">
            <v>PLISGFE00466</v>
          </cell>
          <cell r="G1914" t="str">
            <v>FUTURE ELECTRONICS INC (DIST) PTE LTD</v>
          </cell>
          <cell r="H1914" t="str">
            <v>Delivered</v>
          </cell>
          <cell r="I1914" t="str">
            <v xml:space="preserve">TRAN, RES , IND , IC S, CAP </v>
          </cell>
          <cell r="J1914" t="str">
            <v>LX</v>
          </cell>
          <cell r="K1914" t="str">
            <v>VVMV</v>
          </cell>
          <cell r="L1914" t="str">
            <v>SG</v>
          </cell>
          <cell r="M1914">
            <v>46185</v>
          </cell>
          <cell r="N1914">
            <v>46190</v>
          </cell>
          <cell r="O1914">
            <v>46189</v>
          </cell>
          <cell r="P1914">
            <v>108342834830</v>
          </cell>
          <cell r="Q1914">
            <v>46188</v>
          </cell>
          <cell r="R1914" t="str">
            <v>No inspection</v>
          </cell>
          <cell r="S1914">
            <v>11240.79</v>
          </cell>
          <cell r="T1914" t="str">
            <v>DAP</v>
          </cell>
          <cell r="U1914" t="str">
            <v>PUR</v>
          </cell>
        </row>
        <row r="1915">
          <cell r="D1915">
            <v>173</v>
          </cell>
          <cell r="F1915">
            <v>4812923178</v>
          </cell>
          <cell r="G1915" t="str">
            <v>LIPERS ENTERPRISE CO LTD</v>
          </cell>
          <cell r="H1915" t="str">
            <v>Delivered</v>
          </cell>
          <cell r="I1915" t="str">
            <v xml:space="preserve">CAP </v>
          </cell>
          <cell r="J1915" t="str">
            <v>Expeditors</v>
          </cell>
          <cell r="K1915" t="str">
            <v>VVMV</v>
          </cell>
          <cell r="L1915" t="str">
            <v>TW</v>
          </cell>
          <cell r="M1915">
            <v>46185</v>
          </cell>
          <cell r="N1915">
            <v>46189</v>
          </cell>
          <cell r="O1915">
            <v>46189</v>
          </cell>
          <cell r="P1915">
            <v>108342448060</v>
          </cell>
          <cell r="Q1915">
            <v>46188</v>
          </cell>
          <cell r="R1915" t="str">
            <v>No inspection</v>
          </cell>
          <cell r="S1915">
            <v>13849.2</v>
          </cell>
          <cell r="T1915" t="str">
            <v>FOB</v>
          </cell>
          <cell r="U1915" t="str">
            <v>PUR</v>
          </cell>
        </row>
        <row r="1916">
          <cell r="D1916">
            <v>1.3</v>
          </cell>
          <cell r="F1916">
            <v>818547865277</v>
          </cell>
          <cell r="G1916" t="str">
            <v>TEXAS INSTRUMENTS S.E.A. PTE LTD</v>
          </cell>
          <cell r="H1916" t="str">
            <v>Delivered</v>
          </cell>
          <cell r="I1916" t="str">
            <v>IC S</v>
          </cell>
          <cell r="J1916" t="str">
            <v>Fedex</v>
          </cell>
          <cell r="K1916" t="str">
            <v>VVMV</v>
          </cell>
          <cell r="L1916" t="str">
            <v>SG</v>
          </cell>
          <cell r="M1916">
            <v>46185</v>
          </cell>
          <cell r="N1916">
            <v>46190</v>
          </cell>
          <cell r="O1916">
            <v>46190</v>
          </cell>
          <cell r="P1916">
            <v>108345444540</v>
          </cell>
          <cell r="Q1916">
            <v>46189</v>
          </cell>
          <cell r="R1916" t="str">
            <v>No inspection</v>
          </cell>
          <cell r="S1916">
            <v>1920</v>
          </cell>
          <cell r="T1916" t="str">
            <v>CIF</v>
          </cell>
          <cell r="U1916" t="str">
            <v>FMC</v>
          </cell>
        </row>
        <row r="1917">
          <cell r="D1917" t="str">
            <v>6.2 KGs</v>
          </cell>
          <cell r="F1917">
            <v>1848752496</v>
          </cell>
          <cell r="G1917" t="str">
            <v>DHL SUPPLY CHAIN MGMT PHILS. INC
O/B ANALOG DEVICES INTERNATIONAL UC</v>
          </cell>
          <cell r="H1917" t="str">
            <v>Delivered</v>
          </cell>
          <cell r="I1917" t="str">
            <v>IC C</v>
          </cell>
          <cell r="J1917" t="str">
            <v>DHL</v>
          </cell>
          <cell r="K1917" t="str">
            <v>VVMV</v>
          </cell>
          <cell r="L1917" t="str">
            <v>PH</v>
          </cell>
          <cell r="M1917">
            <v>46178</v>
          </cell>
          <cell r="N1917">
            <v>46192</v>
          </cell>
          <cell r="O1917">
            <v>46198</v>
          </cell>
          <cell r="P1917">
            <v>108345418310</v>
          </cell>
          <cell r="Q1917">
            <v>46189</v>
          </cell>
          <cell r="R1917" t="str">
            <v>No inspection</v>
          </cell>
          <cell r="S1917">
            <v>92100</v>
          </cell>
          <cell r="T1917" t="str">
            <v>EXW</v>
          </cell>
          <cell r="U1917" t="str">
            <v>PUR</v>
          </cell>
        </row>
        <row r="1918">
          <cell r="D1918">
            <v>110.8</v>
          </cell>
          <cell r="F1918">
            <v>7753184961</v>
          </cell>
          <cell r="G1918" t="str">
            <v>SHENNAN CIRCUITS CO.LTD</v>
          </cell>
          <cell r="H1918" t="str">
            <v>Delivered</v>
          </cell>
          <cell r="I1918" t="str">
            <v xml:space="preserve">PCB </v>
          </cell>
          <cell r="J1918" t="str">
            <v>DHL</v>
          </cell>
          <cell r="K1918" t="str">
            <v>VVMV</v>
          </cell>
          <cell r="L1918" t="str">
            <v>CN</v>
          </cell>
          <cell r="M1918">
            <v>46188</v>
          </cell>
          <cell r="N1918">
            <v>46190</v>
          </cell>
          <cell r="O1918">
            <v>46191</v>
          </cell>
          <cell r="P1918">
            <v>108348643800</v>
          </cell>
          <cell r="Q1918">
            <v>46190</v>
          </cell>
          <cell r="R1918" t="str">
            <v>No inspection</v>
          </cell>
          <cell r="S1918">
            <v>21787.72</v>
          </cell>
          <cell r="T1918" t="str">
            <v>CIF</v>
          </cell>
          <cell r="U1918" t="str">
            <v>FMC</v>
          </cell>
        </row>
        <row r="1919">
          <cell r="D1919">
            <v>136</v>
          </cell>
          <cell r="F1919">
            <v>4915138037</v>
          </cell>
          <cell r="G1919" t="str">
            <v>AMPHENOL EAST ASIA LTD</v>
          </cell>
          <cell r="H1919" t="str">
            <v>Delivered</v>
          </cell>
          <cell r="I1919" t="str">
            <v>CONN</v>
          </cell>
          <cell r="J1919" t="str">
            <v>Expeditors</v>
          </cell>
          <cell r="K1919" t="str">
            <v>VVMV</v>
          </cell>
          <cell r="L1919" t="str">
            <v>HK</v>
          </cell>
          <cell r="M1919">
            <v>46187</v>
          </cell>
          <cell r="N1919">
            <v>46190</v>
          </cell>
          <cell r="O1919">
            <v>46190</v>
          </cell>
          <cell r="P1919">
            <v>108346245120</v>
          </cell>
          <cell r="Q1919">
            <v>46189</v>
          </cell>
          <cell r="R1919" t="str">
            <v>No inspection</v>
          </cell>
          <cell r="S1919">
            <v>68972.7</v>
          </cell>
          <cell r="T1919" t="str">
            <v>EXW</v>
          </cell>
          <cell r="U1919" t="str">
            <v>PUR</v>
          </cell>
        </row>
        <row r="1920">
          <cell r="D1920">
            <v>2</v>
          </cell>
          <cell r="F1920">
            <v>6582773260</v>
          </cell>
          <cell r="G1920" t="str">
            <v>COMPEQ MANUFACTURING CO., LTD</v>
          </cell>
          <cell r="H1920" t="str">
            <v>Delivered</v>
          </cell>
          <cell r="I1920" t="str">
            <v xml:space="preserve">PCB </v>
          </cell>
          <cell r="J1920" t="str">
            <v>DHL</v>
          </cell>
          <cell r="K1920" t="str">
            <v>VVMV</v>
          </cell>
          <cell r="L1920" t="str">
            <v>TW</v>
          </cell>
          <cell r="M1920">
            <v>46188</v>
          </cell>
          <cell r="N1920">
            <v>46191</v>
          </cell>
          <cell r="O1920">
            <v>46192</v>
          </cell>
          <cell r="P1920">
            <v>108348948520</v>
          </cell>
          <cell r="Q1920">
            <v>46190</v>
          </cell>
          <cell r="R1920" t="str">
            <v>No inspection</v>
          </cell>
          <cell r="S1920">
            <v>168</v>
          </cell>
          <cell r="T1920" t="str">
            <v>CIF</v>
          </cell>
          <cell r="U1920" t="str">
            <v>PUR</v>
          </cell>
        </row>
        <row r="1921">
          <cell r="D1921">
            <v>1.2</v>
          </cell>
          <cell r="F1921">
            <v>525688603100</v>
          </cell>
          <cell r="G1921" t="str">
            <v>ARROW COMPONENTS MEXICO S.A. De C.V</v>
          </cell>
          <cell r="H1921" t="str">
            <v>Delivered</v>
          </cell>
          <cell r="I1921" t="str">
            <v xml:space="preserve">RES </v>
          </cell>
          <cell r="J1921" t="str">
            <v>Fedex</v>
          </cell>
          <cell r="K1921" t="str">
            <v>VVMV</v>
          </cell>
          <cell r="L1921" t="str">
            <v>MX</v>
          </cell>
          <cell r="M1921">
            <v>46181</v>
          </cell>
          <cell r="N1921">
            <v>46190</v>
          </cell>
          <cell r="O1921">
            <v>46191</v>
          </cell>
          <cell r="P1921">
            <v>108345473830</v>
          </cell>
          <cell r="Q1921">
            <v>46189</v>
          </cell>
          <cell r="R1921" t="str">
            <v>No inspection</v>
          </cell>
          <cell r="S1921">
            <v>184</v>
          </cell>
          <cell r="T1921" t="str">
            <v>CIF</v>
          </cell>
          <cell r="U1921" t="str">
            <v>LUC</v>
          </cell>
        </row>
        <row r="1922">
          <cell r="D1922">
            <v>1.1000000000000001</v>
          </cell>
          <cell r="F1922">
            <v>525688603578</v>
          </cell>
          <cell r="G1922" t="str">
            <v>ARROW COMPONENTS MEXICO SA De CV</v>
          </cell>
          <cell r="H1922" t="str">
            <v>Delivered</v>
          </cell>
          <cell r="I1922" t="str">
            <v>DIOD</v>
          </cell>
          <cell r="J1922" t="str">
            <v>Fedex</v>
          </cell>
          <cell r="K1922" t="str">
            <v>VVMV</v>
          </cell>
          <cell r="L1922" t="str">
            <v>MX</v>
          </cell>
          <cell r="M1922">
            <v>46181</v>
          </cell>
          <cell r="N1922">
            <v>46190</v>
          </cell>
          <cell r="O1922">
            <v>46191</v>
          </cell>
          <cell r="P1922">
            <v>108346337850</v>
          </cell>
          <cell r="Q1922">
            <v>46189</v>
          </cell>
          <cell r="R1922" t="str">
            <v>No inspection</v>
          </cell>
          <cell r="S1922">
            <v>727.5</v>
          </cell>
          <cell r="T1922" t="str">
            <v>CIF</v>
          </cell>
          <cell r="U1922" t="str">
            <v>PUR</v>
          </cell>
        </row>
        <row r="1923">
          <cell r="D1923">
            <v>0.5</v>
          </cell>
          <cell r="F1923">
            <v>525688601553</v>
          </cell>
          <cell r="G1923" t="str">
            <v>ARROW COMPONENTS MEXICO SA De CV</v>
          </cell>
          <cell r="H1923" t="str">
            <v>Delivered</v>
          </cell>
          <cell r="I1923" t="str">
            <v>DIOD</v>
          </cell>
          <cell r="J1923" t="str">
            <v>Fedex</v>
          </cell>
          <cell r="K1923" t="str">
            <v>VVMV</v>
          </cell>
          <cell r="L1923" t="str">
            <v>MX</v>
          </cell>
          <cell r="M1923">
            <v>46181</v>
          </cell>
          <cell r="N1923">
            <v>46190</v>
          </cell>
          <cell r="O1923">
            <v>46191</v>
          </cell>
          <cell r="P1923">
            <v>108346387920</v>
          </cell>
          <cell r="Q1923">
            <v>46189</v>
          </cell>
          <cell r="R1923" t="str">
            <v>No inspection</v>
          </cell>
          <cell r="S1923">
            <v>161.69999999999999</v>
          </cell>
          <cell r="T1923" t="str">
            <v>CIF</v>
          </cell>
          <cell r="U1923">
            <v>124</v>
          </cell>
        </row>
        <row r="1924">
          <cell r="D1924">
            <v>0.5</v>
          </cell>
          <cell r="F1924">
            <v>525688602788</v>
          </cell>
          <cell r="G1924" t="str">
            <v>ARROW COMPONENTS MEXICO SA De CV</v>
          </cell>
          <cell r="H1924" t="str">
            <v>Delivered</v>
          </cell>
          <cell r="I1924" t="str">
            <v>DIOD</v>
          </cell>
          <cell r="J1924" t="str">
            <v>Fedex</v>
          </cell>
          <cell r="K1924" t="str">
            <v>VVMV</v>
          </cell>
          <cell r="L1924" t="str">
            <v>MX</v>
          </cell>
          <cell r="M1924">
            <v>46181</v>
          </cell>
          <cell r="N1924">
            <v>46190</v>
          </cell>
          <cell r="O1924">
            <v>46191</v>
          </cell>
          <cell r="P1924">
            <v>108345545120</v>
          </cell>
          <cell r="Q1924">
            <v>46189</v>
          </cell>
          <cell r="R1924" t="str">
            <v>No inspection</v>
          </cell>
          <cell r="S1924">
            <v>291</v>
          </cell>
          <cell r="T1924" t="str">
            <v>CIF</v>
          </cell>
          <cell r="U1924" t="str">
            <v>PUR</v>
          </cell>
        </row>
        <row r="1925">
          <cell r="D1925">
            <v>6.5</v>
          </cell>
          <cell r="F1925">
            <v>525688608720</v>
          </cell>
          <cell r="G1925" t="str">
            <v>ARROW COMPONENTS MEXICO SA De CV</v>
          </cell>
          <cell r="H1925" t="str">
            <v>Delivered</v>
          </cell>
          <cell r="I1925" t="str">
            <v xml:space="preserve">RES </v>
          </cell>
          <cell r="J1925" t="str">
            <v>Fedex</v>
          </cell>
          <cell r="K1925" t="str">
            <v>VVMV</v>
          </cell>
          <cell r="L1925" t="str">
            <v>MX</v>
          </cell>
          <cell r="M1925">
            <v>46181</v>
          </cell>
          <cell r="N1925">
            <v>46190</v>
          </cell>
          <cell r="O1925">
            <v>46191</v>
          </cell>
          <cell r="P1925">
            <v>108345604730</v>
          </cell>
          <cell r="Q1925">
            <v>46189</v>
          </cell>
          <cell r="R1925" t="str">
            <v>No inspection</v>
          </cell>
          <cell r="S1925">
            <v>1104</v>
          </cell>
          <cell r="T1925" t="str">
            <v>CIF</v>
          </cell>
          <cell r="U1925" t="str">
            <v>LUC</v>
          </cell>
        </row>
        <row r="1926">
          <cell r="D1926">
            <v>6.9</v>
          </cell>
          <cell r="F1926">
            <v>525688607551</v>
          </cell>
          <cell r="G1926" t="str">
            <v>ARROW COMPONENTS MEXICO SA De CV</v>
          </cell>
          <cell r="H1926" t="str">
            <v>Delivered</v>
          </cell>
          <cell r="I1926" t="str">
            <v>IC F</v>
          </cell>
          <cell r="J1926" t="str">
            <v>Fedex</v>
          </cell>
          <cell r="K1926" t="str">
            <v>VVMV</v>
          </cell>
          <cell r="L1926" t="str">
            <v>MX</v>
          </cell>
          <cell r="M1926">
            <v>46181</v>
          </cell>
          <cell r="N1926">
            <v>46190</v>
          </cell>
          <cell r="O1926">
            <v>46191</v>
          </cell>
          <cell r="P1926">
            <v>108346382100</v>
          </cell>
          <cell r="Q1926">
            <v>46189</v>
          </cell>
          <cell r="R1926" t="str">
            <v>No inspection</v>
          </cell>
          <cell r="S1926">
            <v>5733.6</v>
          </cell>
          <cell r="T1926" t="str">
            <v>CIF</v>
          </cell>
          <cell r="U1926" t="str">
            <v>PUR</v>
          </cell>
        </row>
        <row r="1927">
          <cell r="D1927">
            <v>2.1</v>
          </cell>
          <cell r="F1927">
            <v>525688607562</v>
          </cell>
          <cell r="G1927" t="str">
            <v>ARROW COMPONENTS MEXICO SA De CV</v>
          </cell>
          <cell r="H1927" t="str">
            <v>Delivered</v>
          </cell>
          <cell r="I1927" t="str">
            <v>DIOD</v>
          </cell>
          <cell r="J1927" t="str">
            <v>Fedex</v>
          </cell>
          <cell r="K1927" t="str">
            <v>VVMV</v>
          </cell>
          <cell r="L1927" t="str">
            <v>MX</v>
          </cell>
          <cell r="M1927">
            <v>46181</v>
          </cell>
          <cell r="N1927">
            <v>46190</v>
          </cell>
          <cell r="O1927">
            <v>46191</v>
          </cell>
          <cell r="P1927">
            <v>108346409400</v>
          </cell>
          <cell r="Q1927">
            <v>46189</v>
          </cell>
          <cell r="R1927" t="str">
            <v>No inspection</v>
          </cell>
          <cell r="S1927">
            <v>582</v>
          </cell>
          <cell r="T1927" t="str">
            <v>CIF</v>
          </cell>
          <cell r="U1927" t="str">
            <v>PUR</v>
          </cell>
        </row>
        <row r="1928">
          <cell r="D1928">
            <v>0.5</v>
          </cell>
          <cell r="F1928">
            <v>525688609153</v>
          </cell>
          <cell r="G1928" t="str">
            <v>ARROW COMPONENTS MEXICO SA De CV</v>
          </cell>
          <cell r="H1928" t="str">
            <v>Delivered</v>
          </cell>
          <cell r="I1928" t="str">
            <v>DIOD</v>
          </cell>
          <cell r="J1928" t="str">
            <v>Fedex</v>
          </cell>
          <cell r="K1928" t="str">
            <v>VVMV</v>
          </cell>
          <cell r="L1928" t="str">
            <v>MX</v>
          </cell>
          <cell r="M1928">
            <v>46181</v>
          </cell>
          <cell r="N1928">
            <v>46190</v>
          </cell>
          <cell r="O1928">
            <v>46191</v>
          </cell>
          <cell r="P1928">
            <v>108345740640</v>
          </cell>
          <cell r="Q1928">
            <v>46189</v>
          </cell>
          <cell r="R1928" t="str">
            <v>No inspection</v>
          </cell>
          <cell r="S1928">
            <v>60</v>
          </cell>
          <cell r="T1928" t="str">
            <v>CIF</v>
          </cell>
          <cell r="U1928" t="str">
            <v>EF-</v>
          </cell>
        </row>
        <row r="1929">
          <cell r="D1929">
            <v>0.6</v>
          </cell>
          <cell r="F1929">
            <v>525688603111</v>
          </cell>
          <cell r="G1929" t="str">
            <v>ARROW COMPONENTS MEXICO SA De CV</v>
          </cell>
          <cell r="H1929" t="str">
            <v>Delivered</v>
          </cell>
          <cell r="I1929" t="str">
            <v>DIOD</v>
          </cell>
          <cell r="J1929" t="str">
            <v>Fedex</v>
          </cell>
          <cell r="K1929" t="str">
            <v>VVMV</v>
          </cell>
          <cell r="L1929" t="str">
            <v>MX</v>
          </cell>
          <cell r="M1929">
            <v>46181</v>
          </cell>
          <cell r="N1929">
            <v>46190</v>
          </cell>
          <cell r="O1929">
            <v>46191</v>
          </cell>
          <cell r="P1929">
            <v>108345853010</v>
          </cell>
          <cell r="Q1929">
            <v>46189</v>
          </cell>
          <cell r="R1929" t="str">
            <v>No inspection</v>
          </cell>
          <cell r="S1929">
            <v>436.5</v>
          </cell>
          <cell r="T1929" t="str">
            <v>CIF</v>
          </cell>
          <cell r="U1929" t="str">
            <v>PUR</v>
          </cell>
        </row>
        <row r="1930">
          <cell r="D1930">
            <v>0.5</v>
          </cell>
          <cell r="F1930">
            <v>525688600476</v>
          </cell>
          <cell r="G1930" t="str">
            <v>ARROW COMPONENTS MEXICO S.A. De C.V</v>
          </cell>
          <cell r="H1930" t="str">
            <v>Delivered</v>
          </cell>
          <cell r="I1930" t="str">
            <v>DIOD</v>
          </cell>
          <cell r="J1930" t="str">
            <v>Fedex</v>
          </cell>
          <cell r="K1930" t="str">
            <v>VVMV</v>
          </cell>
          <cell r="L1930" t="str">
            <v>MX</v>
          </cell>
          <cell r="M1930">
            <v>46181</v>
          </cell>
          <cell r="N1930">
            <v>46190</v>
          </cell>
          <cell r="O1930">
            <v>46191</v>
          </cell>
          <cell r="P1930">
            <v>108346672600</v>
          </cell>
          <cell r="Q1930">
            <v>46189</v>
          </cell>
          <cell r="R1930" t="str">
            <v>No inspection</v>
          </cell>
          <cell r="S1930">
            <v>60</v>
          </cell>
          <cell r="T1930" t="str">
            <v>CIF</v>
          </cell>
          <cell r="U1930" t="str">
            <v>EF-</v>
          </cell>
        </row>
        <row r="1931">
          <cell r="D1931">
            <v>20</v>
          </cell>
          <cell r="F1931">
            <v>707296361164</v>
          </cell>
          <cell r="G1931" t="str">
            <v>ARROW COMPONENTS MEXICO SA De CV</v>
          </cell>
          <cell r="H1931" t="str">
            <v>Delivered</v>
          </cell>
          <cell r="I1931" t="str">
            <v>DIOD</v>
          </cell>
          <cell r="J1931" t="str">
            <v>Fedex</v>
          </cell>
          <cell r="K1931" t="str">
            <v>VVMV</v>
          </cell>
          <cell r="L1931" t="str">
            <v>MX</v>
          </cell>
          <cell r="M1931">
            <v>46183</v>
          </cell>
          <cell r="N1931">
            <v>46190</v>
          </cell>
          <cell r="O1931">
            <v>46191</v>
          </cell>
          <cell r="P1931">
            <v>108346449260</v>
          </cell>
          <cell r="Q1931">
            <v>46189</v>
          </cell>
          <cell r="R1931" t="str">
            <v>No inspection</v>
          </cell>
          <cell r="S1931">
            <v>11550</v>
          </cell>
          <cell r="T1931" t="str">
            <v>CIF</v>
          </cell>
          <cell r="U1931" t="str">
            <v>LUC</v>
          </cell>
        </row>
        <row r="1932">
          <cell r="D1932">
            <v>3.9</v>
          </cell>
          <cell r="F1932">
            <v>528825561442</v>
          </cell>
          <cell r="G1932" t="str">
            <v>MOUSER ELECTRONICS INC</v>
          </cell>
          <cell r="H1932" t="str">
            <v>Delivered</v>
          </cell>
          <cell r="I1932" t="str">
            <v>CAP , IC E</v>
          </cell>
          <cell r="J1932" t="str">
            <v>Fedex</v>
          </cell>
          <cell r="K1932" t="str">
            <v>VVMV</v>
          </cell>
          <cell r="L1932" t="str">
            <v>US</v>
          </cell>
          <cell r="M1932">
            <v>46184</v>
          </cell>
          <cell r="N1932">
            <v>46190</v>
          </cell>
          <cell r="O1932">
            <v>46191</v>
          </cell>
          <cell r="P1932">
            <v>108346169410</v>
          </cell>
          <cell r="Q1932">
            <v>46189</v>
          </cell>
          <cell r="R1932" t="str">
            <v>No inspection</v>
          </cell>
          <cell r="S1932">
            <v>18209.25</v>
          </cell>
          <cell r="T1932" t="str">
            <v>CIF</v>
          </cell>
          <cell r="U1932">
            <v>122</v>
          </cell>
        </row>
        <row r="1933">
          <cell r="D1933">
            <v>68.900000000000006</v>
          </cell>
          <cell r="F1933">
            <v>517485682164</v>
          </cell>
          <cell r="G1933" t="str">
            <v>PENCOM LTD</v>
          </cell>
          <cell r="H1933" t="str">
            <v>Delivered</v>
          </cell>
          <cell r="I1933" t="str">
            <v>STAN, SCRE</v>
          </cell>
          <cell r="J1933" t="str">
            <v>Fedex</v>
          </cell>
          <cell r="K1933" t="str">
            <v>VVMV</v>
          </cell>
          <cell r="L1933" t="str">
            <v>HK</v>
          </cell>
          <cell r="M1933">
            <v>46185</v>
          </cell>
          <cell r="N1933">
            <v>46190</v>
          </cell>
          <cell r="O1933">
            <v>46195</v>
          </cell>
          <cell r="P1933">
            <v>108354116360</v>
          </cell>
          <cell r="Q1933">
            <v>46191</v>
          </cell>
          <cell r="R1933" t="str">
            <v>No inspection</v>
          </cell>
          <cell r="S1933">
            <v>3392</v>
          </cell>
          <cell r="T1933" t="str">
            <v>EXW</v>
          </cell>
          <cell r="U1933" t="str">
            <v>PUR</v>
          </cell>
        </row>
        <row r="1934">
          <cell r="D1934">
            <v>13.1</v>
          </cell>
          <cell r="F1934">
            <v>409298926317</v>
          </cell>
          <cell r="G1934" t="str">
            <v>TTI ELECTRONICS ASIA PTE LTD</v>
          </cell>
          <cell r="H1934" t="str">
            <v>Delivered</v>
          </cell>
          <cell r="I1934" t="str">
            <v xml:space="preserve">CAP , IND , OSC </v>
          </cell>
          <cell r="J1934" t="str">
            <v>Fedex</v>
          </cell>
          <cell r="K1934" t="str">
            <v>VVMV</v>
          </cell>
          <cell r="L1934" t="str">
            <v>SG</v>
          </cell>
          <cell r="M1934">
            <v>46185</v>
          </cell>
          <cell r="N1934">
            <v>46190</v>
          </cell>
          <cell r="O1934">
            <v>46191</v>
          </cell>
          <cell r="P1934">
            <v>108346599210</v>
          </cell>
          <cell r="Q1934">
            <v>46189</v>
          </cell>
          <cell r="R1934" t="str">
            <v>No inspection</v>
          </cell>
          <cell r="S1934">
            <v>25828.25</v>
          </cell>
          <cell r="T1934" t="str">
            <v>EXW</v>
          </cell>
          <cell r="U1934" t="str">
            <v>LUC</v>
          </cell>
        </row>
        <row r="1935">
          <cell r="D1935">
            <v>16</v>
          </cell>
          <cell r="F1935">
            <v>872929576323</v>
          </cell>
          <cell r="G1935" t="str">
            <v>RACER TECHNOLOGY PTE, LTD</v>
          </cell>
          <cell r="H1935" t="str">
            <v>Delivered</v>
          </cell>
          <cell r="I1935" t="str">
            <v>ASM , SUPP</v>
          </cell>
          <cell r="J1935" t="str">
            <v>Fedex</v>
          </cell>
          <cell r="K1935" t="str">
            <v>VVMV</v>
          </cell>
          <cell r="L1935" t="str">
            <v>SG</v>
          </cell>
          <cell r="M1935">
            <v>46184</v>
          </cell>
          <cell r="N1935">
            <v>46197</v>
          </cell>
          <cell r="O1935">
            <v>46198</v>
          </cell>
          <cell r="P1935">
            <v>108365686110</v>
          </cell>
          <cell r="Q1935">
            <v>46196</v>
          </cell>
          <cell r="R1935" t="str">
            <v>No inspection</v>
          </cell>
          <cell r="S1935">
            <v>6706.8</v>
          </cell>
          <cell r="T1935" t="str">
            <v>EXW</v>
          </cell>
          <cell r="U1935" t="str">
            <v>EF-</v>
          </cell>
        </row>
        <row r="1936">
          <cell r="D1936">
            <v>175</v>
          </cell>
          <cell r="F1936" t="str">
            <v>SAE26060178</v>
          </cell>
          <cell r="G1936" t="str">
            <v>ROSENBERGER HOCHFREQUENZTECHNIK</v>
          </cell>
          <cell r="H1936" t="str">
            <v>Delivered</v>
          </cell>
          <cell r="I1936" t="str">
            <v>CONN</v>
          </cell>
          <cell r="J1936" t="str">
            <v xml:space="preserve">KLN Freight </v>
          </cell>
          <cell r="K1936" t="str">
            <v>VVMV</v>
          </cell>
          <cell r="L1936" t="str">
            <v>HU</v>
          </cell>
          <cell r="M1936">
            <v>46188</v>
          </cell>
          <cell r="N1936">
            <v>46192</v>
          </cell>
          <cell r="O1936">
            <v>46192</v>
          </cell>
          <cell r="P1936">
            <v>108355855750</v>
          </cell>
          <cell r="Q1936">
            <v>46192</v>
          </cell>
          <cell r="R1936" t="str">
            <v>No inspection</v>
          </cell>
          <cell r="S1936">
            <v>13674.15</v>
          </cell>
          <cell r="T1936" t="str">
            <v>CIF</v>
          </cell>
          <cell r="U1936" t="str">
            <v>LUC</v>
          </cell>
        </row>
        <row r="1937">
          <cell r="D1937">
            <v>0.7</v>
          </cell>
          <cell r="F1937">
            <v>381903937096</v>
          </cell>
          <cell r="G1937" t="str">
            <v>C/O KINTETSU WORLD EXPRESS (CHINA)
TEXAS INSTRUMENTS ASIA LIMITED</v>
          </cell>
          <cell r="H1937" t="str">
            <v>Delivered</v>
          </cell>
          <cell r="I1937" t="str">
            <v>IC L, IC F</v>
          </cell>
          <cell r="J1937" t="str">
            <v>Fedex</v>
          </cell>
          <cell r="K1937" t="str">
            <v>VVMV</v>
          </cell>
          <cell r="L1937" t="str">
            <v>CN</v>
          </cell>
          <cell r="M1937">
            <v>46182</v>
          </cell>
          <cell r="N1937">
            <v>46192</v>
          </cell>
          <cell r="O1937">
            <v>46195</v>
          </cell>
          <cell r="P1937">
            <v>108354360220</v>
          </cell>
          <cell r="Q1937">
            <v>46192</v>
          </cell>
          <cell r="R1937" t="str">
            <v>No inspection</v>
          </cell>
          <cell r="S1937">
            <v>492</v>
          </cell>
          <cell r="T1937" t="str">
            <v>EXW</v>
          </cell>
          <cell r="U1937" t="str">
            <v>LUC</v>
          </cell>
        </row>
        <row r="1938">
          <cell r="D1938">
            <v>24.5</v>
          </cell>
          <cell r="F1938">
            <v>520711099784</v>
          </cell>
          <cell r="G1938" t="str">
            <v>HEILIND ELECTRONICS</v>
          </cell>
          <cell r="H1938" t="str">
            <v>Delivered</v>
          </cell>
          <cell r="I1938" t="str">
            <v>CONN</v>
          </cell>
          <cell r="J1938" t="str">
            <v>Fedex</v>
          </cell>
          <cell r="K1938" t="str">
            <v>VVMV</v>
          </cell>
          <cell r="L1938" t="str">
            <v>US</v>
          </cell>
          <cell r="M1938">
            <v>46183</v>
          </cell>
          <cell r="N1938">
            <v>46190</v>
          </cell>
          <cell r="O1938">
            <v>46191</v>
          </cell>
          <cell r="P1938">
            <v>108346603850</v>
          </cell>
          <cell r="Q1938">
            <v>46189</v>
          </cell>
          <cell r="R1938" t="str">
            <v>No inspection</v>
          </cell>
          <cell r="S1938">
            <v>1900.64</v>
          </cell>
          <cell r="T1938" t="str">
            <v>CIF</v>
          </cell>
          <cell r="U1938" t="str">
            <v>LUC</v>
          </cell>
        </row>
        <row r="1939">
          <cell r="D1939">
            <v>1.1000000000000001</v>
          </cell>
          <cell r="F1939">
            <v>381939344552</v>
          </cell>
          <cell r="G1939" t="str">
            <v>c/o DHL Supply Chain SGP P/L
Texas Instruments Southeast Asia Pt</v>
          </cell>
          <cell r="H1939" t="str">
            <v>Delivered</v>
          </cell>
          <cell r="I1939" t="str">
            <v>IC T</v>
          </cell>
          <cell r="J1939" t="str">
            <v>Fedex</v>
          </cell>
          <cell r="K1939" t="str">
            <v>VVMV</v>
          </cell>
          <cell r="L1939" t="str">
            <v>SG</v>
          </cell>
          <cell r="M1939">
            <v>46184</v>
          </cell>
          <cell r="N1939">
            <v>46190</v>
          </cell>
          <cell r="O1939">
            <v>46191</v>
          </cell>
          <cell r="P1939">
            <v>108346716000</v>
          </cell>
          <cell r="Q1939">
            <v>46189</v>
          </cell>
          <cell r="R1939" t="str">
            <v>No inspection</v>
          </cell>
          <cell r="S1939">
            <v>11052</v>
          </cell>
          <cell r="T1939" t="str">
            <v>EXW</v>
          </cell>
          <cell r="U1939" t="str">
            <v>EF-</v>
          </cell>
        </row>
        <row r="1940">
          <cell r="D1940">
            <v>7.1</v>
          </cell>
          <cell r="F1940">
            <v>381950432431</v>
          </cell>
          <cell r="G1940" t="str">
            <v>c/o DHL Supply Chain SGP P/L
Texas Instruments Southeast Asia Pt</v>
          </cell>
          <cell r="H1940" t="str">
            <v>Delivered</v>
          </cell>
          <cell r="I1940" t="str">
            <v>IC V</v>
          </cell>
          <cell r="J1940" t="str">
            <v>Fedex</v>
          </cell>
          <cell r="K1940" t="str">
            <v>VVMV</v>
          </cell>
          <cell r="L1940" t="str">
            <v>SG</v>
          </cell>
          <cell r="M1940">
            <v>46184</v>
          </cell>
          <cell r="N1940">
            <v>46190</v>
          </cell>
          <cell r="O1940">
            <v>46195</v>
          </cell>
          <cell r="P1940">
            <v>108354406900</v>
          </cell>
          <cell r="Q1940">
            <v>46191</v>
          </cell>
          <cell r="R1940" t="str">
            <v>No inspection</v>
          </cell>
          <cell r="S1940">
            <v>12150</v>
          </cell>
          <cell r="T1940" t="str">
            <v>EXW</v>
          </cell>
          <cell r="U1940" t="str">
            <v>PUR</v>
          </cell>
        </row>
        <row r="1941">
          <cell r="D1941">
            <v>5.5</v>
          </cell>
          <cell r="F1941">
            <v>382006139168</v>
          </cell>
          <cell r="G1941" t="str">
            <v>c/o DHL Supply Chain SGP P/L
Texas Instruments Southeast Asia Pt</v>
          </cell>
          <cell r="H1941" t="str">
            <v>Delivered</v>
          </cell>
          <cell r="I1941" t="str">
            <v>IC V</v>
          </cell>
          <cell r="J1941" t="str">
            <v>Fedex</v>
          </cell>
          <cell r="K1941" t="str">
            <v>VVMV</v>
          </cell>
          <cell r="L1941" t="str">
            <v>SG</v>
          </cell>
          <cell r="M1941">
            <v>46188</v>
          </cell>
          <cell r="N1941">
            <v>46190</v>
          </cell>
          <cell r="O1941">
            <v>46195</v>
          </cell>
          <cell r="P1941">
            <v>108354506410</v>
          </cell>
          <cell r="Q1941">
            <v>46191</v>
          </cell>
          <cell r="R1941" t="str">
            <v>No inspection</v>
          </cell>
          <cell r="S1941">
            <v>9450</v>
          </cell>
          <cell r="T1941" t="str">
            <v>EXW</v>
          </cell>
          <cell r="U1941" t="str">
            <v>PUR</v>
          </cell>
        </row>
        <row r="1942">
          <cell r="D1942">
            <v>0.3</v>
          </cell>
          <cell r="F1942">
            <v>1202740324</v>
          </cell>
          <cell r="G1942" t="str">
            <v>ARROW ELECTRONICS, INC.
Arrow Components (M) Sdn Bhd</v>
          </cell>
          <cell r="H1942" t="str">
            <v>Delivered</v>
          </cell>
          <cell r="I1942" t="str">
            <v>FERR</v>
          </cell>
          <cell r="J1942" t="str">
            <v>DHL</v>
          </cell>
          <cell r="K1942" t="str">
            <v>VVMV</v>
          </cell>
          <cell r="L1942" t="str">
            <v>MY</v>
          </cell>
          <cell r="M1942">
            <v>46188</v>
          </cell>
          <cell r="N1942">
            <v>46190</v>
          </cell>
          <cell r="O1942">
            <v>46191</v>
          </cell>
          <cell r="P1942">
            <v>108348087150</v>
          </cell>
          <cell r="Q1942">
            <v>46190</v>
          </cell>
          <cell r="R1942" t="str">
            <v>No inspection</v>
          </cell>
          <cell r="S1942">
            <v>36</v>
          </cell>
          <cell r="T1942" t="str">
            <v>CIF</v>
          </cell>
          <cell r="U1942" t="str">
            <v>PUR</v>
          </cell>
        </row>
        <row r="1943">
          <cell r="D1943">
            <v>23.8</v>
          </cell>
          <cell r="F1943">
            <v>530283215084</v>
          </cell>
          <cell r="G1943" t="str">
            <v>DIGI-KEY ELECTRONICS</v>
          </cell>
          <cell r="H1943" t="str">
            <v>Delivered</v>
          </cell>
          <cell r="I1943" t="str">
            <v xml:space="preserve">RES , DIOD, CAP </v>
          </cell>
          <cell r="J1943" t="str">
            <v>Fedex</v>
          </cell>
          <cell r="K1943" t="str">
            <v>VVMV</v>
          </cell>
          <cell r="L1943" t="str">
            <v>US</v>
          </cell>
          <cell r="M1943">
            <v>46188</v>
          </cell>
          <cell r="N1943">
            <v>46192</v>
          </cell>
          <cell r="O1943">
            <v>46195</v>
          </cell>
          <cell r="P1943">
            <v>108352081350</v>
          </cell>
          <cell r="Q1943">
            <v>46191</v>
          </cell>
          <cell r="R1943" t="str">
            <v>No inspection</v>
          </cell>
          <cell r="S1943">
            <v>15174.07</v>
          </cell>
          <cell r="T1943" t="str">
            <v>CIF</v>
          </cell>
          <cell r="U1943" t="str">
            <v>FMC</v>
          </cell>
        </row>
        <row r="1944">
          <cell r="D1944">
            <v>2038.31</v>
          </cell>
          <cell r="F1944" t="str">
            <v>SHDY260601406</v>
          </cell>
          <cell r="G1944" t="str">
            <v>Kunshan Eson Precision Engineering Co.,Ltd.</v>
          </cell>
          <cell r="H1944" t="str">
            <v>Delivered</v>
          </cell>
          <cell r="I1944" t="str">
            <v>BOTT</v>
          </cell>
          <cell r="J1944" t="str">
            <v>GATELINK</v>
          </cell>
          <cell r="K1944" t="str">
            <v>VVMV</v>
          </cell>
          <cell r="L1944" t="str">
            <v>CN</v>
          </cell>
          <cell r="M1944">
            <v>46184</v>
          </cell>
          <cell r="N1944">
            <v>46192</v>
          </cell>
          <cell r="O1944">
            <v>46192</v>
          </cell>
          <cell r="P1944">
            <v>108351890730</v>
          </cell>
          <cell r="Q1944">
            <v>46191</v>
          </cell>
          <cell r="R1944" t="str">
            <v>No inspection</v>
          </cell>
          <cell r="S1944">
            <v>65049.599999999999</v>
          </cell>
          <cell r="T1944" t="str">
            <v>DAP</v>
          </cell>
          <cell r="U1944" t="str">
            <v>LUC</v>
          </cell>
        </row>
        <row r="1945">
          <cell r="D1945">
            <v>27</v>
          </cell>
          <cell r="F1945">
            <v>4110338153</v>
          </cell>
          <cell r="G1945" t="str">
            <v>Avnet, Inc.</v>
          </cell>
          <cell r="H1945" t="str">
            <v>Delivered</v>
          </cell>
          <cell r="I1945" t="str">
            <v xml:space="preserve">CON </v>
          </cell>
          <cell r="J1945" t="str">
            <v>Expeditors</v>
          </cell>
          <cell r="K1945" t="str">
            <v>VVMV</v>
          </cell>
          <cell r="L1945" t="str">
            <v>US</v>
          </cell>
          <cell r="M1945">
            <v>46185</v>
          </cell>
          <cell r="N1945">
            <v>46192</v>
          </cell>
          <cell r="O1945">
            <v>46192</v>
          </cell>
          <cell r="P1945">
            <v>108352135620</v>
          </cell>
          <cell r="Q1945">
            <v>46191</v>
          </cell>
          <cell r="R1945" t="str">
            <v>No inspection</v>
          </cell>
          <cell r="S1945">
            <v>3132.93</v>
          </cell>
          <cell r="T1945" t="str">
            <v>DAP</v>
          </cell>
          <cell r="U1945" t="str">
            <v>LUC</v>
          </cell>
        </row>
        <row r="1946">
          <cell r="D1946">
            <v>1506.5</v>
          </cell>
          <cell r="F1946" t="str">
            <v>PSHPH2660068</v>
          </cell>
          <cell r="G1946" t="str">
            <v>MIN AIK TECHNOLOGY CO., LTD</v>
          </cell>
          <cell r="H1946" t="str">
            <v>Delivered</v>
          </cell>
          <cell r="I1946" t="str">
            <v>ASSY, PLAS</v>
          </cell>
          <cell r="J1946" t="str">
            <v>VVMV(SEA)</v>
          </cell>
          <cell r="K1946" t="str">
            <v>VVMV</v>
          </cell>
          <cell r="L1946" t="str">
            <v>TW</v>
          </cell>
          <cell r="M1946">
            <v>46187</v>
          </cell>
          <cell r="N1946">
            <v>46195</v>
          </cell>
          <cell r="O1946">
            <v>46195</v>
          </cell>
          <cell r="P1946">
            <v>108353727160</v>
          </cell>
          <cell r="Q1946">
            <v>46191</v>
          </cell>
          <cell r="R1946" t="str">
            <v>No inspection</v>
          </cell>
          <cell r="S1946">
            <v>75102.179999999993</v>
          </cell>
          <cell r="T1946" t="str">
            <v>EXW</v>
          </cell>
          <cell r="U1946" t="str">
            <v>PUR</v>
          </cell>
        </row>
        <row r="1947">
          <cell r="D1947" t="str">
            <v>2.4 KGs</v>
          </cell>
          <cell r="F1947">
            <v>480304817374</v>
          </cell>
          <cell r="G1947" t="str">
            <v>KIOXIA AMERICA C/O TLGA</v>
          </cell>
          <cell r="H1947" t="str">
            <v>Delivered</v>
          </cell>
          <cell r="I1947" t="str">
            <v>IC M</v>
          </cell>
          <cell r="J1947" t="str">
            <v>Fedex</v>
          </cell>
          <cell r="K1947" t="str">
            <v>VVMV</v>
          </cell>
          <cell r="L1947" t="str">
            <v>US</v>
          </cell>
          <cell r="M1947">
            <v>46185</v>
          </cell>
          <cell r="N1947">
            <v>46191</v>
          </cell>
          <cell r="O1947">
            <v>46192</v>
          </cell>
          <cell r="P1947">
            <v>108350278850</v>
          </cell>
          <cell r="Q1947">
            <v>46190</v>
          </cell>
          <cell r="R1947" t="str">
            <v>No inspection</v>
          </cell>
          <cell r="S1947">
            <v>90100</v>
          </cell>
          <cell r="T1947" t="str">
            <v>CIF</v>
          </cell>
          <cell r="U1947" t="str">
            <v>LUC</v>
          </cell>
        </row>
        <row r="1948">
          <cell r="D1948" t="str">
            <v>49.5 KGs</v>
          </cell>
          <cell r="F1948">
            <v>515199060732</v>
          </cell>
          <cell r="G1948" t="str">
            <v>AVNET ASIA PTE LTD</v>
          </cell>
          <cell r="H1948" t="str">
            <v>Delivered</v>
          </cell>
          <cell r="I1948" t="str">
            <v>CAP , TRAN, OSC , FERR, INDU</v>
          </cell>
          <cell r="J1948" t="str">
            <v>Fedex</v>
          </cell>
          <cell r="K1948" t="str">
            <v>VVMV</v>
          </cell>
          <cell r="L1948" t="str">
            <v>SG</v>
          </cell>
          <cell r="M1948">
            <v>46185</v>
          </cell>
          <cell r="N1948">
            <v>46191</v>
          </cell>
          <cell r="O1948">
            <v>46192</v>
          </cell>
          <cell r="P1948">
            <v>108350393100</v>
          </cell>
          <cell r="Q1948">
            <v>46190</v>
          </cell>
          <cell r="R1948" t="str">
            <v>No inspection</v>
          </cell>
          <cell r="S1948">
            <v>22257.42</v>
          </cell>
          <cell r="T1948" t="str">
            <v>EXW</v>
          </cell>
          <cell r="U1948" t="str">
            <v>EF-</v>
          </cell>
        </row>
        <row r="1949">
          <cell r="D1949">
            <v>39.9</v>
          </cell>
          <cell r="F1949">
            <v>873058145825</v>
          </cell>
          <cell r="G1949" t="str">
            <v>STEADFAST INDUSTRIAL PTE LTD</v>
          </cell>
          <cell r="H1949" t="str">
            <v>Delivered</v>
          </cell>
          <cell r="I1949" t="str">
            <v>STAN</v>
          </cell>
          <cell r="J1949" t="str">
            <v>Fedex</v>
          </cell>
          <cell r="K1949" t="str">
            <v>VVMV</v>
          </cell>
          <cell r="L1949" t="str">
            <v>SG</v>
          </cell>
          <cell r="M1949">
            <v>46188</v>
          </cell>
          <cell r="N1949">
            <v>46192</v>
          </cell>
          <cell r="O1949">
            <v>46195</v>
          </cell>
          <cell r="P1949">
            <v>108354576740</v>
          </cell>
          <cell r="Q1949">
            <v>46191</v>
          </cell>
          <cell r="R1949" t="str">
            <v>No inspection</v>
          </cell>
          <cell r="S1949">
            <v>1536</v>
          </cell>
          <cell r="T1949" t="str">
            <v>EXW</v>
          </cell>
          <cell r="U1949" t="str">
            <v>PUR</v>
          </cell>
        </row>
        <row r="1950">
          <cell r="D1950">
            <v>5</v>
          </cell>
          <cell r="F1950">
            <v>382041697681</v>
          </cell>
          <cell r="G1950" t="str">
            <v>c/o DHL Supply Chain SGP P/L
Texas Instruments Southeast Asia Pt</v>
          </cell>
          <cell r="H1950" t="str">
            <v>Delivered</v>
          </cell>
          <cell r="I1950" t="str">
            <v>IC  , IC P, IC A</v>
          </cell>
          <cell r="J1950" t="str">
            <v>Fedex</v>
          </cell>
          <cell r="K1950" t="str">
            <v>VVMV</v>
          </cell>
          <cell r="L1950" t="str">
            <v>SG</v>
          </cell>
          <cell r="M1950">
            <v>46189</v>
          </cell>
          <cell r="N1950">
            <v>46192</v>
          </cell>
          <cell r="O1950">
            <v>46192</v>
          </cell>
          <cell r="P1950">
            <v>108351152340</v>
          </cell>
          <cell r="Q1950">
            <v>46191</v>
          </cell>
          <cell r="R1950" t="str">
            <v>No inspection</v>
          </cell>
          <cell r="S1950">
            <v>6848.5</v>
          </cell>
          <cell r="T1950" t="str">
            <v>EXW</v>
          </cell>
          <cell r="U1950" t="str">
            <v>LUC</v>
          </cell>
        </row>
        <row r="1951">
          <cell r="D1951">
            <v>8.1999999999999993</v>
          </cell>
          <cell r="F1951">
            <v>873058440876</v>
          </cell>
          <cell r="G1951" t="str">
            <v>Texas Instruments Asia Limited
c/o Kintetsu World Express (China)</v>
          </cell>
          <cell r="H1951" t="str">
            <v>Delivered</v>
          </cell>
          <cell r="I1951" t="str">
            <v>IC A, IC F, IC S, IC R, IC L, IC T</v>
          </cell>
          <cell r="J1951" t="str">
            <v>Fedex</v>
          </cell>
          <cell r="K1951" t="str">
            <v>VVMV</v>
          </cell>
          <cell r="L1951" t="str">
            <v>CN</v>
          </cell>
          <cell r="M1951">
            <v>46188</v>
          </cell>
          <cell r="N1951">
            <v>46192</v>
          </cell>
          <cell r="O1951">
            <v>46195</v>
          </cell>
          <cell r="P1951">
            <v>108351124120</v>
          </cell>
          <cell r="Q1951">
            <v>46191</v>
          </cell>
          <cell r="R1951" t="str">
            <v>No inspection</v>
          </cell>
          <cell r="S1951">
            <v>15066.5</v>
          </cell>
          <cell r="T1951" t="str">
            <v>EXW</v>
          </cell>
          <cell r="U1951" t="str">
            <v>LUC</v>
          </cell>
        </row>
        <row r="1952">
          <cell r="D1952">
            <v>7.3</v>
          </cell>
          <cell r="F1952" t="str">
            <v>8XN6078</v>
          </cell>
          <cell r="G1952" t="str">
            <v>KIOXIA CORPORATION C/O KIOXIA AMERICA INC</v>
          </cell>
          <cell r="H1952" t="str">
            <v>Delivered</v>
          </cell>
          <cell r="I1952" t="str">
            <v xml:space="preserve">MEM </v>
          </cell>
          <cell r="J1952" t="str">
            <v>DHL( global)</v>
          </cell>
          <cell r="K1952" t="str">
            <v>VVMV</v>
          </cell>
          <cell r="L1952" t="str">
            <v>JP</v>
          </cell>
          <cell r="M1952">
            <v>46187</v>
          </cell>
          <cell r="N1952">
            <v>46192</v>
          </cell>
          <cell r="O1952">
            <v>46192</v>
          </cell>
          <cell r="P1952">
            <v>108355602350</v>
          </cell>
          <cell r="Q1952">
            <v>46192</v>
          </cell>
          <cell r="R1952" t="str">
            <v>No inspection</v>
          </cell>
          <cell r="S1952">
            <v>1238630.3999999999</v>
          </cell>
          <cell r="T1952" t="str">
            <v>CIP</v>
          </cell>
          <cell r="U1952" t="str">
            <v>PUR</v>
          </cell>
        </row>
        <row r="1953">
          <cell r="D1953">
            <v>7.3</v>
          </cell>
          <cell r="F1953" t="str">
            <v>8XN6079</v>
          </cell>
          <cell r="G1953" t="str">
            <v>KIOXIA CORPORATION C/O KIOXIA AMERICA INC</v>
          </cell>
          <cell r="H1953" t="str">
            <v>Delivered</v>
          </cell>
          <cell r="I1953" t="str">
            <v xml:space="preserve">MEM </v>
          </cell>
          <cell r="J1953" t="str">
            <v>DHL( global)</v>
          </cell>
          <cell r="K1953" t="str">
            <v>VVMV</v>
          </cell>
          <cell r="L1953" t="str">
            <v>JP</v>
          </cell>
          <cell r="M1953">
            <v>46187</v>
          </cell>
          <cell r="N1953">
            <v>46192</v>
          </cell>
          <cell r="O1953">
            <v>46192</v>
          </cell>
          <cell r="P1953">
            <v>108355693830</v>
          </cell>
          <cell r="Q1953">
            <v>46192</v>
          </cell>
          <cell r="R1953" t="str">
            <v>No inspection</v>
          </cell>
          <cell r="S1953">
            <v>1238630.3999999999</v>
          </cell>
          <cell r="T1953" t="str">
            <v>CIP</v>
          </cell>
          <cell r="U1953" t="str">
            <v>PUR</v>
          </cell>
        </row>
        <row r="1954">
          <cell r="D1954">
            <v>7.3</v>
          </cell>
          <cell r="F1954" t="str">
            <v>8XN6080</v>
          </cell>
          <cell r="G1954" t="str">
            <v>KIOXIA CORPORATION C/O KIOXIA AMERICA INC</v>
          </cell>
          <cell r="H1954" t="str">
            <v>Delivered</v>
          </cell>
          <cell r="I1954" t="str">
            <v xml:space="preserve">MEM </v>
          </cell>
          <cell r="J1954" t="str">
            <v>DHL( global)</v>
          </cell>
          <cell r="K1954" t="str">
            <v>VVMV</v>
          </cell>
          <cell r="L1954" t="str">
            <v>JP</v>
          </cell>
          <cell r="M1954">
            <v>46187</v>
          </cell>
          <cell r="N1954">
            <v>46192</v>
          </cell>
          <cell r="O1954">
            <v>46192</v>
          </cell>
          <cell r="P1954">
            <v>108355743750</v>
          </cell>
          <cell r="Q1954">
            <v>46192</v>
          </cell>
          <cell r="R1954" t="str">
            <v>No inspection</v>
          </cell>
          <cell r="S1954">
            <v>1238630.3999999999</v>
          </cell>
          <cell r="T1954" t="str">
            <v>CIP</v>
          </cell>
          <cell r="U1954" t="str">
            <v>PUR</v>
          </cell>
        </row>
        <row r="1955">
          <cell r="D1955">
            <v>7.3</v>
          </cell>
          <cell r="F1955" t="str">
            <v>8XN6081</v>
          </cell>
          <cell r="G1955" t="str">
            <v>KIOXIA CORPORATION C/O KIOXIA AMERICA INC</v>
          </cell>
          <cell r="H1955" t="str">
            <v>Delivered</v>
          </cell>
          <cell r="I1955" t="str">
            <v xml:space="preserve">MEM </v>
          </cell>
          <cell r="J1955" t="str">
            <v>DHL( global)</v>
          </cell>
          <cell r="K1955" t="str">
            <v>VVMV</v>
          </cell>
          <cell r="L1955" t="str">
            <v>JP</v>
          </cell>
          <cell r="M1955">
            <v>46187</v>
          </cell>
          <cell r="N1955">
            <v>46192</v>
          </cell>
          <cell r="O1955">
            <v>46192</v>
          </cell>
          <cell r="P1955">
            <v>108355604230</v>
          </cell>
          <cell r="Q1955">
            <v>46192</v>
          </cell>
          <cell r="R1955" t="str">
            <v>No inspection</v>
          </cell>
          <cell r="S1955">
            <v>1238630.3999999999</v>
          </cell>
          <cell r="T1955" t="str">
            <v>CIP</v>
          </cell>
          <cell r="U1955" t="str">
            <v>PUR</v>
          </cell>
        </row>
        <row r="1956">
          <cell r="D1956">
            <v>7.3</v>
          </cell>
          <cell r="F1956" t="str">
            <v>8XN6082</v>
          </cell>
          <cell r="G1956" t="str">
            <v>KIOXIA CORPORATION C/O KIOXIA AMERICA INC</v>
          </cell>
          <cell r="H1956" t="str">
            <v>Delivered</v>
          </cell>
          <cell r="I1956" t="str">
            <v xml:space="preserve">MEM </v>
          </cell>
          <cell r="J1956" t="str">
            <v>DHL( global)</v>
          </cell>
          <cell r="K1956" t="str">
            <v>VVMV</v>
          </cell>
          <cell r="L1956" t="str">
            <v>JP</v>
          </cell>
          <cell r="M1956">
            <v>46187</v>
          </cell>
          <cell r="N1956">
            <v>46192</v>
          </cell>
          <cell r="O1956">
            <v>46192</v>
          </cell>
          <cell r="P1956">
            <v>108355484310</v>
          </cell>
          <cell r="Q1956">
            <v>46192</v>
          </cell>
          <cell r="R1956" t="str">
            <v>No inspection</v>
          </cell>
          <cell r="S1956">
            <v>1238630.3999999999</v>
          </cell>
          <cell r="T1956" t="str">
            <v>CIP</v>
          </cell>
          <cell r="U1956" t="str">
            <v>PUR</v>
          </cell>
        </row>
        <row r="1957">
          <cell r="D1957">
            <v>7.3</v>
          </cell>
          <cell r="F1957" t="str">
            <v>8XN6083</v>
          </cell>
          <cell r="G1957" t="str">
            <v>KIOXIA CORPORATION C/O KIOXIA AMERICA INC</v>
          </cell>
          <cell r="H1957" t="str">
            <v>Delivered</v>
          </cell>
          <cell r="I1957" t="str">
            <v xml:space="preserve">MEM </v>
          </cell>
          <cell r="J1957" t="str">
            <v>DHL( global)</v>
          </cell>
          <cell r="K1957" t="str">
            <v>VVMV</v>
          </cell>
          <cell r="L1957" t="str">
            <v>JP</v>
          </cell>
          <cell r="M1957">
            <v>46187</v>
          </cell>
          <cell r="N1957">
            <v>46192</v>
          </cell>
          <cell r="O1957">
            <v>46192</v>
          </cell>
          <cell r="P1957">
            <v>108355814710</v>
          </cell>
          <cell r="Q1957">
            <v>46192</v>
          </cell>
          <cell r="R1957" t="str">
            <v>No inspection</v>
          </cell>
          <cell r="S1957">
            <v>1238630.3999999999</v>
          </cell>
          <cell r="T1957" t="str">
            <v>CIP</v>
          </cell>
          <cell r="U1957" t="str">
            <v>PUR</v>
          </cell>
        </row>
        <row r="1958">
          <cell r="D1958">
            <v>7.3</v>
          </cell>
          <cell r="F1958" t="str">
            <v>8XN6084</v>
          </cell>
          <cell r="G1958" t="str">
            <v>KIOXIA CORPORATION C/O KIOXIA AMERICA INC</v>
          </cell>
          <cell r="H1958" t="str">
            <v>Delivered</v>
          </cell>
          <cell r="I1958" t="str">
            <v xml:space="preserve">MEM </v>
          </cell>
          <cell r="J1958" t="str">
            <v>DHL( global)</v>
          </cell>
          <cell r="K1958" t="str">
            <v>VVMV</v>
          </cell>
          <cell r="L1958" t="str">
            <v>JP</v>
          </cell>
          <cell r="M1958">
            <v>46187</v>
          </cell>
          <cell r="N1958">
            <v>46192</v>
          </cell>
          <cell r="O1958">
            <v>46192</v>
          </cell>
          <cell r="P1958">
            <v>108355736860</v>
          </cell>
          <cell r="Q1958">
            <v>46192</v>
          </cell>
          <cell r="R1958" t="str">
            <v>No inspection</v>
          </cell>
          <cell r="S1958">
            <v>1238630.3999999999</v>
          </cell>
          <cell r="T1958" t="str">
            <v>CIP</v>
          </cell>
          <cell r="U1958" t="str">
            <v>PUR</v>
          </cell>
        </row>
        <row r="1959">
          <cell r="D1959">
            <v>11.2</v>
          </cell>
          <cell r="F1959" t="str">
            <v>8XN6085</v>
          </cell>
          <cell r="G1959" t="str">
            <v>KIOXIA CORPORATION C/O KIOXIA AMERICA INC</v>
          </cell>
          <cell r="H1959" t="str">
            <v>Delivered</v>
          </cell>
          <cell r="I1959" t="str">
            <v xml:space="preserve">MEM </v>
          </cell>
          <cell r="J1959" t="str">
            <v>DHL( global)</v>
          </cell>
          <cell r="K1959" t="str">
            <v>VVMV</v>
          </cell>
          <cell r="L1959" t="str">
            <v>JP</v>
          </cell>
          <cell r="M1959">
            <v>46187</v>
          </cell>
          <cell r="N1959">
            <v>46192</v>
          </cell>
          <cell r="O1959">
            <v>46192</v>
          </cell>
          <cell r="P1959">
            <v>108355642140</v>
          </cell>
          <cell r="Q1959">
            <v>46192</v>
          </cell>
          <cell r="R1959" t="str">
            <v>No inspection</v>
          </cell>
          <cell r="S1959">
            <v>1770496</v>
          </cell>
          <cell r="T1959" t="str">
            <v>CIP</v>
          </cell>
          <cell r="U1959" t="str">
            <v>PUR</v>
          </cell>
        </row>
        <row r="1960">
          <cell r="D1960">
            <v>114</v>
          </cell>
          <cell r="F1960" t="str">
            <v xml:space="preserve">MNN/HPH/01202 </v>
          </cell>
          <cell r="G1960" t="str">
            <v>READORE MFG PHILS CORP</v>
          </cell>
          <cell r="H1960" t="str">
            <v>Delivered</v>
          </cell>
          <cell r="I1960" t="str">
            <v>HEAT</v>
          </cell>
          <cell r="J1960" t="str">
            <v>Dolphin(sea)</v>
          </cell>
          <cell r="K1960" t="str">
            <v>Dolphin</v>
          </cell>
          <cell r="L1960" t="str">
            <v>PH</v>
          </cell>
          <cell r="M1960">
            <v>46184</v>
          </cell>
          <cell r="N1960">
            <v>46195</v>
          </cell>
          <cell r="O1960">
            <v>46195</v>
          </cell>
          <cell r="P1960">
            <v>108355204200</v>
          </cell>
          <cell r="Q1960">
            <v>46192</v>
          </cell>
          <cell r="R1960" t="str">
            <v>No inspection</v>
          </cell>
          <cell r="S1960">
            <v>9219.35</v>
          </cell>
          <cell r="T1960" t="str">
            <v>FOB</v>
          </cell>
          <cell r="U1960" t="str">
            <v>PUR</v>
          </cell>
        </row>
        <row r="1961">
          <cell r="D1961">
            <v>1</v>
          </cell>
          <cell r="F1961">
            <v>5774728562</v>
          </cell>
          <cell r="G1961" t="str">
            <v>FUTURE ELECTRONICS (ADC)</v>
          </cell>
          <cell r="H1961" t="str">
            <v>Delivered</v>
          </cell>
          <cell r="I1961" t="str">
            <v xml:space="preserve">LED </v>
          </cell>
          <cell r="J1961" t="str">
            <v>DHL</v>
          </cell>
          <cell r="K1961" t="str">
            <v>VVMV</v>
          </cell>
          <cell r="L1961" t="str">
            <v>SG</v>
          </cell>
          <cell r="M1961">
            <v>46190</v>
          </cell>
          <cell r="N1961">
            <v>46192</v>
          </cell>
          <cell r="O1961">
            <v>46195</v>
          </cell>
          <cell r="P1961">
            <v>108353279530</v>
          </cell>
          <cell r="Q1961">
            <v>46191</v>
          </cell>
          <cell r="R1961" t="str">
            <v>No inspection</v>
          </cell>
          <cell r="S1961">
            <v>268</v>
          </cell>
          <cell r="T1961" t="str">
            <v>CIF</v>
          </cell>
          <cell r="U1961" t="str">
            <v>PUR</v>
          </cell>
        </row>
        <row r="1962">
          <cell r="D1962">
            <v>1</v>
          </cell>
          <cell r="F1962">
            <v>382048162769</v>
          </cell>
          <cell r="G1962" t="str">
            <v>O/B ANALOG DEVICES INTERNATIONAL UC
DHL SUPPLY CHAIN MGMT PHILS INC</v>
          </cell>
          <cell r="H1962" t="str">
            <v>Delivered</v>
          </cell>
          <cell r="I1962" t="str">
            <v>IC V, IC F</v>
          </cell>
          <cell r="J1962" t="str">
            <v>Fedex</v>
          </cell>
          <cell r="K1962" t="str">
            <v>VVMV</v>
          </cell>
          <cell r="L1962" t="str">
            <v>PH</v>
          </cell>
          <cell r="M1962">
            <v>46188</v>
          </cell>
          <cell r="N1962">
            <v>46192</v>
          </cell>
          <cell r="O1962">
            <v>46195</v>
          </cell>
          <cell r="P1962">
            <v>108353384050</v>
          </cell>
          <cell r="Q1962">
            <v>46191</v>
          </cell>
          <cell r="R1962" t="str">
            <v>No inspection</v>
          </cell>
          <cell r="S1962">
            <v>8361.06</v>
          </cell>
          <cell r="T1962" t="str">
            <v>EXW</v>
          </cell>
          <cell r="U1962" t="str">
            <v>HLO</v>
          </cell>
        </row>
        <row r="1963">
          <cell r="D1963">
            <v>20</v>
          </cell>
          <cell r="F1963">
            <v>873178336511</v>
          </cell>
          <cell r="G1963" t="str">
            <v>AMPHENOL FCI ASIA PTE LTD</v>
          </cell>
          <cell r="H1963" t="str">
            <v>Delivered</v>
          </cell>
          <cell r="I1963" t="str">
            <v>CONN</v>
          </cell>
          <cell r="J1963" t="str">
            <v>Fedex</v>
          </cell>
          <cell r="K1963" t="str">
            <v>VVMV</v>
          </cell>
          <cell r="L1963" t="str">
            <v>SG</v>
          </cell>
          <cell r="M1963">
            <v>46190</v>
          </cell>
          <cell r="N1963">
            <v>46192</v>
          </cell>
          <cell r="O1963">
            <v>46195</v>
          </cell>
          <cell r="P1963">
            <v>108353606800</v>
          </cell>
          <cell r="Q1963">
            <v>46191</v>
          </cell>
          <cell r="R1963" t="str">
            <v>No inspection</v>
          </cell>
          <cell r="S1963">
            <v>7222.5</v>
          </cell>
          <cell r="T1963" t="str">
            <v>EXW</v>
          </cell>
          <cell r="U1963" t="str">
            <v>PUR</v>
          </cell>
        </row>
        <row r="1964">
          <cell r="D1964">
            <v>0.9</v>
          </cell>
          <cell r="F1964">
            <v>872983141244</v>
          </cell>
          <cell r="G1964" t="str">
            <v>AP ELECTRONIC CO.,LTD</v>
          </cell>
          <cell r="H1964" t="str">
            <v>Delivered</v>
          </cell>
          <cell r="I1964" t="str">
            <v>CONN</v>
          </cell>
          <cell r="J1964" t="str">
            <v>Fedex</v>
          </cell>
          <cell r="K1964" t="str">
            <v>VVMV</v>
          </cell>
          <cell r="L1964" t="str">
            <v>TW</v>
          </cell>
          <cell r="M1964">
            <v>46185</v>
          </cell>
          <cell r="N1964">
            <v>46196</v>
          </cell>
          <cell r="O1964">
            <v>46196</v>
          </cell>
          <cell r="P1964">
            <v>108362625820</v>
          </cell>
          <cell r="Q1964">
            <v>46195</v>
          </cell>
          <cell r="R1964" t="str">
            <v>No inspection</v>
          </cell>
          <cell r="S1964">
            <v>20</v>
          </cell>
          <cell r="T1964" t="str">
            <v>EXW</v>
          </cell>
          <cell r="U1964" t="str">
            <v>AIC</v>
          </cell>
        </row>
        <row r="1965">
          <cell r="D1965">
            <v>0.7</v>
          </cell>
          <cell r="F1965">
            <v>493602848368</v>
          </cell>
          <cell r="G1965" t="str">
            <v>Venkel LTD</v>
          </cell>
          <cell r="H1965" t="str">
            <v>Delivered</v>
          </cell>
          <cell r="I1965" t="str">
            <v xml:space="preserve">CAP </v>
          </cell>
          <cell r="J1965" t="str">
            <v>Fedex</v>
          </cell>
          <cell r="K1965" t="str">
            <v>VVMV</v>
          </cell>
          <cell r="L1965" t="str">
            <v>US</v>
          </cell>
          <cell r="M1965">
            <v>46188</v>
          </cell>
          <cell r="N1965">
            <v>46192</v>
          </cell>
          <cell r="O1965">
            <v>46195</v>
          </cell>
          <cell r="P1965">
            <v>108354449450</v>
          </cell>
          <cell r="Q1965">
            <v>46191</v>
          </cell>
          <cell r="R1965" t="str">
            <v>No inspection</v>
          </cell>
          <cell r="S1965">
            <v>48</v>
          </cell>
          <cell r="T1965" t="str">
            <v>CIF</v>
          </cell>
          <cell r="U1965" t="str">
            <v>EF-</v>
          </cell>
        </row>
        <row r="1966">
          <cell r="D1966">
            <v>1.3</v>
          </cell>
          <cell r="F1966">
            <v>119209747424</v>
          </cell>
          <cell r="G1966" t="str">
            <v>FUTURE ELECTRONICS FICE</v>
          </cell>
          <cell r="H1966" t="str">
            <v>Delivered</v>
          </cell>
          <cell r="I1966" t="str">
            <v>RES , IC S</v>
          </cell>
          <cell r="J1966" t="str">
            <v>Fedex</v>
          </cell>
          <cell r="K1966" t="str">
            <v>VVMV</v>
          </cell>
          <cell r="L1966" t="str">
            <v>US</v>
          </cell>
          <cell r="M1966">
            <v>46185</v>
          </cell>
          <cell r="N1966">
            <v>46192</v>
          </cell>
          <cell r="O1966">
            <v>46195</v>
          </cell>
          <cell r="P1966">
            <v>108353646110</v>
          </cell>
          <cell r="Q1966">
            <v>46191</v>
          </cell>
          <cell r="R1966" t="str">
            <v>No inspection</v>
          </cell>
          <cell r="S1966">
            <v>995</v>
          </cell>
          <cell r="T1966" t="str">
            <v>CIF</v>
          </cell>
          <cell r="U1966" t="str">
            <v>PUR</v>
          </cell>
        </row>
        <row r="1967">
          <cell r="D1967">
            <v>1</v>
          </cell>
          <cell r="F1967">
            <v>530217572787</v>
          </cell>
          <cell r="G1967" t="str">
            <v>ARROW ELECTRONICS, INC.</v>
          </cell>
          <cell r="H1967" t="str">
            <v>Delivered</v>
          </cell>
          <cell r="I1967" t="str">
            <v xml:space="preserve">RES </v>
          </cell>
          <cell r="J1967" t="str">
            <v>Fedex</v>
          </cell>
          <cell r="K1967" t="str">
            <v>VVMV</v>
          </cell>
          <cell r="L1967" t="str">
            <v>US</v>
          </cell>
          <cell r="M1967">
            <v>46188</v>
          </cell>
          <cell r="N1967">
            <v>46192</v>
          </cell>
          <cell r="O1967">
            <v>46195</v>
          </cell>
          <cell r="P1967">
            <v>108353710510</v>
          </cell>
          <cell r="Q1967">
            <v>46191</v>
          </cell>
          <cell r="R1967" t="str">
            <v>No inspection</v>
          </cell>
          <cell r="S1967">
            <v>306</v>
          </cell>
          <cell r="T1967" t="str">
            <v>CIF</v>
          </cell>
          <cell r="U1967" t="str">
            <v>PUR</v>
          </cell>
        </row>
        <row r="1968">
          <cell r="D1968">
            <v>15.8</v>
          </cell>
          <cell r="F1968">
            <v>471797732077</v>
          </cell>
          <cell r="G1968" t="str">
            <v>LIPERS ENTERPRISE CO., LTD.</v>
          </cell>
          <cell r="H1968" t="str">
            <v>Delivered</v>
          </cell>
          <cell r="I1968" t="str">
            <v xml:space="preserve">CAP </v>
          </cell>
          <cell r="J1968" t="str">
            <v>Fedex</v>
          </cell>
          <cell r="K1968" t="str">
            <v>VVMV</v>
          </cell>
          <cell r="L1968" t="str">
            <v>TW</v>
          </cell>
          <cell r="M1968">
            <v>46189</v>
          </cell>
          <cell r="N1968">
            <v>46192</v>
          </cell>
          <cell r="O1968">
            <v>46195</v>
          </cell>
          <cell r="P1968">
            <v>108354017550</v>
          </cell>
          <cell r="Q1968">
            <v>46191</v>
          </cell>
          <cell r="R1968" t="str">
            <v>No inspection</v>
          </cell>
          <cell r="S1968">
            <v>3508.7</v>
          </cell>
          <cell r="T1968" t="str">
            <v>EXW</v>
          </cell>
          <cell r="U1968" t="str">
            <v>PUR</v>
          </cell>
        </row>
        <row r="1969">
          <cell r="D1969">
            <v>44.3</v>
          </cell>
          <cell r="F1969">
            <v>873128715288</v>
          </cell>
          <cell r="G1969" t="str">
            <v>TECHFORD INTERNATIONAL LIMITED</v>
          </cell>
          <cell r="H1969" t="str">
            <v>Delivered</v>
          </cell>
          <cell r="I1969" t="str">
            <v>MECH</v>
          </cell>
          <cell r="J1969" t="str">
            <v>Fedex</v>
          </cell>
          <cell r="K1969" t="str">
            <v>VVMV</v>
          </cell>
          <cell r="L1969" t="str">
            <v>HK</v>
          </cell>
          <cell r="M1969">
            <v>46190</v>
          </cell>
          <cell r="N1969">
            <v>46192</v>
          </cell>
          <cell r="O1969">
            <v>46195</v>
          </cell>
          <cell r="P1969">
            <v>108354467100</v>
          </cell>
          <cell r="Q1969">
            <v>46191</v>
          </cell>
          <cell r="R1969" t="str">
            <v>No inspection</v>
          </cell>
          <cell r="S1969">
            <v>4088</v>
          </cell>
          <cell r="T1969" t="str">
            <v>EXW</v>
          </cell>
          <cell r="U1969" t="str">
            <v>HLO</v>
          </cell>
        </row>
        <row r="1970">
          <cell r="D1970">
            <v>48.9</v>
          </cell>
          <cell r="F1970">
            <v>510007371283</v>
          </cell>
          <cell r="G1970" t="str">
            <v>SINO FAITH TECHNOLOGY DEVELOPMENT LTD.</v>
          </cell>
          <cell r="H1970" t="str">
            <v>Delivered</v>
          </cell>
          <cell r="I1970" t="str">
            <v xml:space="preserve">CAP , RES , IND </v>
          </cell>
          <cell r="J1970" t="str">
            <v>Fedex</v>
          </cell>
          <cell r="K1970" t="str">
            <v>VVMV</v>
          </cell>
          <cell r="L1970" t="str">
            <v>HK</v>
          </cell>
          <cell r="M1970">
            <v>46189</v>
          </cell>
          <cell r="N1970">
            <v>46197</v>
          </cell>
          <cell r="O1970">
            <v>46198</v>
          </cell>
          <cell r="P1970" t="str">
            <v>108368587500
108368584000</v>
          </cell>
          <cell r="Q1970">
            <v>46196</v>
          </cell>
          <cell r="R1970" t="str">
            <v>No inspection</v>
          </cell>
          <cell r="S1970">
            <v>3097.75</v>
          </cell>
          <cell r="T1970" t="str">
            <v>EXW</v>
          </cell>
          <cell r="U1970">
            <v>122</v>
          </cell>
        </row>
        <row r="1971">
          <cell r="D1971">
            <v>1.3</v>
          </cell>
          <cell r="F1971">
            <v>8056639732</v>
          </cell>
          <cell r="G1971" t="str">
            <v>AVNET ASIA PTE LTD</v>
          </cell>
          <cell r="H1971" t="str">
            <v>Delivered</v>
          </cell>
          <cell r="I1971" t="str">
            <v>IC M</v>
          </cell>
          <cell r="J1971" t="str">
            <v>DHL</v>
          </cell>
          <cell r="K1971" t="str">
            <v>VVMV</v>
          </cell>
          <cell r="L1971" t="str">
            <v>SG</v>
          </cell>
          <cell r="M1971">
            <v>46190</v>
          </cell>
          <cell r="N1971">
            <v>46195</v>
          </cell>
          <cell r="O1971">
            <v>46195</v>
          </cell>
          <cell r="P1971">
            <v>108356438410</v>
          </cell>
          <cell r="Q1971">
            <v>46192</v>
          </cell>
          <cell r="R1971" t="str">
            <v>No inspection</v>
          </cell>
          <cell r="S1971">
            <v>4840</v>
          </cell>
          <cell r="T1971" t="str">
            <v>EXW</v>
          </cell>
          <cell r="U1971">
            <v>169</v>
          </cell>
        </row>
        <row r="1972">
          <cell r="D1972">
            <v>3.1</v>
          </cell>
          <cell r="F1972">
            <v>382040941235</v>
          </cell>
          <cell r="G1972" t="str">
            <v>Texas Instruments Southeast Asia Pte Ltd c/o DHL Supply Chain SGP P/L</v>
          </cell>
          <cell r="H1972" t="str">
            <v>Delivered</v>
          </cell>
          <cell r="I1972" t="str">
            <v>IC A</v>
          </cell>
          <cell r="J1972" t="str">
            <v>Fedex</v>
          </cell>
          <cell r="K1972" t="str">
            <v>VVMV</v>
          </cell>
          <cell r="L1972" t="str">
            <v>SG</v>
          </cell>
          <cell r="M1972">
            <v>46189</v>
          </cell>
          <cell r="N1972">
            <v>46196</v>
          </cell>
          <cell r="O1972">
            <v>46197</v>
          </cell>
          <cell r="P1972">
            <v>108364097110</v>
          </cell>
          <cell r="Q1972">
            <v>46195</v>
          </cell>
          <cell r="R1972" t="str">
            <v>No inspection</v>
          </cell>
          <cell r="S1972">
            <v>3730</v>
          </cell>
          <cell r="T1972" t="str">
            <v>EXW</v>
          </cell>
          <cell r="U1972" t="str">
            <v>LUC</v>
          </cell>
        </row>
        <row r="1973">
          <cell r="D1973">
            <v>7.3</v>
          </cell>
          <cell r="F1973" t="str">
            <v>8XN6094</v>
          </cell>
          <cell r="G1973" t="str">
            <v>KIOXIA CORPORATION C/O KIOXIA AMERICA INC</v>
          </cell>
          <cell r="H1973" t="str">
            <v>Delivered</v>
          </cell>
          <cell r="I1973" t="str">
            <v xml:space="preserve">MEM </v>
          </cell>
          <cell r="J1973" t="str">
            <v>DHL( global)</v>
          </cell>
          <cell r="K1973" t="str">
            <v>VVMV</v>
          </cell>
          <cell r="L1973" t="str">
            <v>JP</v>
          </cell>
          <cell r="M1973">
            <v>46189</v>
          </cell>
          <cell r="N1973">
            <v>46196</v>
          </cell>
          <cell r="O1973">
            <v>46196</v>
          </cell>
          <cell r="P1973">
            <v>108361091420</v>
          </cell>
          <cell r="Q1973">
            <v>46195</v>
          </cell>
          <cell r="R1973" t="str">
            <v>No inspection</v>
          </cell>
          <cell r="S1973">
            <v>529502.4</v>
          </cell>
          <cell r="T1973" t="str">
            <v>CIP</v>
          </cell>
          <cell r="U1973" t="str">
            <v>PUR</v>
          </cell>
        </row>
        <row r="1974">
          <cell r="D1974">
            <v>7.3</v>
          </cell>
          <cell r="F1974" t="str">
            <v>8XN6095</v>
          </cell>
          <cell r="G1974" t="str">
            <v>KIOXIA CORPORATION C/O KIOXIA AMERICA INC</v>
          </cell>
          <cell r="H1974" t="str">
            <v>Delivered</v>
          </cell>
          <cell r="I1974" t="str">
            <v xml:space="preserve">MEM </v>
          </cell>
          <cell r="J1974" t="str">
            <v>DHL( global)</v>
          </cell>
          <cell r="K1974" t="str">
            <v>VVMV</v>
          </cell>
          <cell r="L1974" t="str">
            <v>JP</v>
          </cell>
          <cell r="M1974">
            <v>46189</v>
          </cell>
          <cell r="N1974">
            <v>46196</v>
          </cell>
          <cell r="O1974">
            <v>46196</v>
          </cell>
          <cell r="P1974">
            <v>108361119530</v>
          </cell>
          <cell r="Q1974">
            <v>46195</v>
          </cell>
          <cell r="R1974" t="str">
            <v>No inspection</v>
          </cell>
          <cell r="S1974">
            <v>529502.4</v>
          </cell>
          <cell r="T1974" t="str">
            <v>CIP</v>
          </cell>
          <cell r="U1974" t="str">
            <v>PUR</v>
          </cell>
        </row>
        <row r="1975">
          <cell r="D1975">
            <v>7.3</v>
          </cell>
          <cell r="F1975" t="str">
            <v>8XN6096</v>
          </cell>
          <cell r="G1975" t="str">
            <v>KIOXIA CORPORATION C/O KIOXIA AMERICA INC</v>
          </cell>
          <cell r="H1975" t="str">
            <v>Delivered</v>
          </cell>
          <cell r="I1975" t="str">
            <v xml:space="preserve">MEM </v>
          </cell>
          <cell r="J1975" t="str">
            <v>DHL( global)</v>
          </cell>
          <cell r="K1975" t="str">
            <v>VVMV</v>
          </cell>
          <cell r="L1975" t="str">
            <v>JP</v>
          </cell>
          <cell r="M1975">
            <v>46189</v>
          </cell>
          <cell r="N1975">
            <v>46196</v>
          </cell>
          <cell r="O1975">
            <v>46196</v>
          </cell>
          <cell r="P1975">
            <v>108361158400</v>
          </cell>
          <cell r="Q1975">
            <v>46195</v>
          </cell>
          <cell r="R1975" t="str">
            <v>No inspection</v>
          </cell>
          <cell r="S1975">
            <v>529502.4</v>
          </cell>
          <cell r="T1975" t="str">
            <v>CIP</v>
          </cell>
          <cell r="U1975" t="str">
            <v>PUR</v>
          </cell>
        </row>
        <row r="1976">
          <cell r="D1976">
            <v>7.3</v>
          </cell>
          <cell r="F1976" t="str">
            <v>8XN6097</v>
          </cell>
          <cell r="G1976" t="str">
            <v>KIOXIA CORPORATION C/O KIOXIA AMERICA INC</v>
          </cell>
          <cell r="H1976" t="str">
            <v>Delivered</v>
          </cell>
          <cell r="I1976" t="str">
            <v xml:space="preserve">MEM </v>
          </cell>
          <cell r="J1976" t="str">
            <v>DHL( global)</v>
          </cell>
          <cell r="K1976" t="str">
            <v>VVMV</v>
          </cell>
          <cell r="L1976" t="str">
            <v>JP</v>
          </cell>
          <cell r="M1976">
            <v>46189</v>
          </cell>
          <cell r="N1976">
            <v>46196</v>
          </cell>
          <cell r="O1976">
            <v>46196</v>
          </cell>
          <cell r="P1976">
            <v>108360920950</v>
          </cell>
          <cell r="Q1976">
            <v>46195</v>
          </cell>
          <cell r="R1976" t="str">
            <v>No inspection</v>
          </cell>
          <cell r="S1976">
            <v>529502.4</v>
          </cell>
          <cell r="T1976" t="str">
            <v>CIP</v>
          </cell>
          <cell r="U1976" t="str">
            <v>PUR</v>
          </cell>
        </row>
        <row r="1977">
          <cell r="D1977">
            <v>7.3</v>
          </cell>
          <cell r="F1977" t="str">
            <v>8XN6098</v>
          </cell>
          <cell r="G1977" t="str">
            <v>KIOXIA CORPORATION C/O KIOXIA AMERICA INC</v>
          </cell>
          <cell r="H1977" t="str">
            <v>Delivered</v>
          </cell>
          <cell r="I1977" t="str">
            <v xml:space="preserve">MEM </v>
          </cell>
          <cell r="J1977" t="str">
            <v>DHL( global)</v>
          </cell>
          <cell r="K1977" t="str">
            <v>VVMV</v>
          </cell>
          <cell r="L1977" t="str">
            <v>JP</v>
          </cell>
          <cell r="M1977">
            <v>46189</v>
          </cell>
          <cell r="N1977">
            <v>46196</v>
          </cell>
          <cell r="O1977">
            <v>46196</v>
          </cell>
          <cell r="P1977">
            <v>108361196200</v>
          </cell>
          <cell r="Q1977">
            <v>46195</v>
          </cell>
          <cell r="R1977" t="str">
            <v>No inspection</v>
          </cell>
          <cell r="S1977">
            <v>529502.4</v>
          </cell>
          <cell r="T1977" t="str">
            <v>CIP</v>
          </cell>
          <cell r="U1977" t="str">
            <v>PUR</v>
          </cell>
        </row>
        <row r="1978">
          <cell r="D1978">
            <v>6.8</v>
          </cell>
          <cell r="F1978" t="str">
            <v>8XN6099</v>
          </cell>
          <cell r="G1978" t="str">
            <v>KIOXIA CORPORATION C/O KIOXIA AMERICA INC</v>
          </cell>
          <cell r="H1978" t="str">
            <v>Delivered</v>
          </cell>
          <cell r="I1978" t="str">
            <v xml:space="preserve">MEM </v>
          </cell>
          <cell r="J1978" t="str">
            <v>DHL( global)</v>
          </cell>
          <cell r="K1978" t="str">
            <v>VVMV</v>
          </cell>
          <cell r="L1978" t="str">
            <v>JP</v>
          </cell>
          <cell r="M1978">
            <v>46189</v>
          </cell>
          <cell r="N1978">
            <v>46196</v>
          </cell>
          <cell r="O1978">
            <v>46196</v>
          </cell>
          <cell r="P1978">
            <v>108361224160</v>
          </cell>
          <cell r="Q1978">
            <v>46195</v>
          </cell>
          <cell r="R1978" t="str">
            <v>No inspection</v>
          </cell>
          <cell r="S1978">
            <v>461843.76</v>
          </cell>
          <cell r="T1978" t="str">
            <v>CIP</v>
          </cell>
          <cell r="U1978" t="str">
            <v>PUR</v>
          </cell>
        </row>
        <row r="1979">
          <cell r="D1979">
            <v>3.4</v>
          </cell>
          <cell r="F1979" t="str">
            <v>8XN6100</v>
          </cell>
          <cell r="G1979" t="str">
            <v>KIOXIA CORPORATION C/O KIOXIA AMERICA INC</v>
          </cell>
          <cell r="H1979" t="str">
            <v>Delivered</v>
          </cell>
          <cell r="I1979" t="str">
            <v xml:space="preserve">MEM </v>
          </cell>
          <cell r="J1979" t="str">
            <v>DHL( global)</v>
          </cell>
          <cell r="K1979" t="str">
            <v>VVMV</v>
          </cell>
          <cell r="L1979" t="str">
            <v>JP</v>
          </cell>
          <cell r="M1979">
            <v>46189</v>
          </cell>
          <cell r="N1979">
            <v>46196</v>
          </cell>
          <cell r="O1979">
            <v>46196</v>
          </cell>
          <cell r="P1979">
            <v>108361389030</v>
          </cell>
          <cell r="Q1979">
            <v>46195</v>
          </cell>
          <cell r="R1979" t="str">
            <v>No inspection</v>
          </cell>
          <cell r="S1979">
            <v>553248</v>
          </cell>
          <cell r="T1979" t="str">
            <v>CIP</v>
          </cell>
          <cell r="U1979" t="str">
            <v>PUR</v>
          </cell>
        </row>
        <row r="1980">
          <cell r="D1980">
            <v>3.4</v>
          </cell>
          <cell r="F1980" t="str">
            <v>8XN6101</v>
          </cell>
          <cell r="G1980" t="str">
            <v>KIOXIA CORPORATION C/O KIOXIA AMERICA INC</v>
          </cell>
          <cell r="H1980" t="str">
            <v>Delivered</v>
          </cell>
          <cell r="I1980" t="str">
            <v xml:space="preserve">MEM </v>
          </cell>
          <cell r="J1980" t="str">
            <v>DHL( global)</v>
          </cell>
          <cell r="K1980" t="str">
            <v>VVMV</v>
          </cell>
          <cell r="L1980" t="str">
            <v>JP</v>
          </cell>
          <cell r="M1980">
            <v>46189</v>
          </cell>
          <cell r="N1980">
            <v>46196</v>
          </cell>
          <cell r="O1980">
            <v>46196</v>
          </cell>
          <cell r="P1980">
            <v>108361409000</v>
          </cell>
          <cell r="Q1980">
            <v>46195</v>
          </cell>
          <cell r="R1980" t="str">
            <v>No inspection</v>
          </cell>
          <cell r="S1980">
            <v>553248</v>
          </cell>
          <cell r="T1980" t="str">
            <v>CIP</v>
          </cell>
          <cell r="U1980" t="str">
            <v>PUR</v>
          </cell>
        </row>
        <row r="1981">
          <cell r="D1981">
            <v>3.4</v>
          </cell>
          <cell r="F1981" t="str">
            <v>8XN6102</v>
          </cell>
          <cell r="G1981" t="str">
            <v>KIOXIA CORPORATION C/O KIOXIA AMERICA INC</v>
          </cell>
          <cell r="H1981" t="str">
            <v>Delivered</v>
          </cell>
          <cell r="I1981" t="str">
            <v xml:space="preserve">MEM </v>
          </cell>
          <cell r="J1981" t="str">
            <v>DHL( global)</v>
          </cell>
          <cell r="K1981" t="str">
            <v>VVMV</v>
          </cell>
          <cell r="L1981" t="str">
            <v>JP</v>
          </cell>
          <cell r="M1981">
            <v>46189</v>
          </cell>
          <cell r="N1981">
            <v>46196</v>
          </cell>
          <cell r="O1981">
            <v>46196</v>
          </cell>
          <cell r="P1981">
            <v>108361429150</v>
          </cell>
          <cell r="Q1981">
            <v>46195</v>
          </cell>
          <cell r="R1981" t="str">
            <v>No inspection</v>
          </cell>
          <cell r="S1981">
            <v>553248</v>
          </cell>
          <cell r="T1981" t="str">
            <v>CIP</v>
          </cell>
          <cell r="U1981" t="str">
            <v>PUR</v>
          </cell>
        </row>
        <row r="1982">
          <cell r="D1982">
            <v>3.4</v>
          </cell>
          <cell r="F1982" t="str">
            <v>8XN6103</v>
          </cell>
          <cell r="G1982" t="str">
            <v>KIOXIA CORPORATION C/O KIOXIA AMERICA INC</v>
          </cell>
          <cell r="H1982" t="str">
            <v>Delivered</v>
          </cell>
          <cell r="I1982" t="str">
            <v xml:space="preserve">MEM </v>
          </cell>
          <cell r="J1982" t="str">
            <v>DHL( global)</v>
          </cell>
          <cell r="K1982" t="str">
            <v>VVMV</v>
          </cell>
          <cell r="L1982" t="str">
            <v>JP</v>
          </cell>
          <cell r="M1982">
            <v>46189</v>
          </cell>
          <cell r="N1982">
            <v>46196</v>
          </cell>
          <cell r="O1982">
            <v>46196</v>
          </cell>
          <cell r="P1982">
            <v>108361449930</v>
          </cell>
          <cell r="Q1982">
            <v>46195</v>
          </cell>
          <cell r="R1982" t="str">
            <v>No inspection</v>
          </cell>
          <cell r="S1982">
            <v>553248</v>
          </cell>
          <cell r="T1982" t="str">
            <v>CIP</v>
          </cell>
          <cell r="U1982" t="str">
            <v>PUR</v>
          </cell>
        </row>
        <row r="1983">
          <cell r="D1983">
            <v>3.4</v>
          </cell>
          <cell r="F1983" t="str">
            <v>8XN6104</v>
          </cell>
          <cell r="G1983" t="str">
            <v>KIOXIA CORPORATION C/O KIOXIA AMERICA INC</v>
          </cell>
          <cell r="H1983" t="str">
            <v>Delivered</v>
          </cell>
          <cell r="I1983" t="str">
            <v xml:space="preserve">MEM </v>
          </cell>
          <cell r="J1983" t="str">
            <v>DHL( global)</v>
          </cell>
          <cell r="K1983" t="str">
            <v>VVMV</v>
          </cell>
          <cell r="L1983" t="str">
            <v>JP</v>
          </cell>
          <cell r="M1983">
            <v>46189</v>
          </cell>
          <cell r="N1983">
            <v>46196</v>
          </cell>
          <cell r="O1983">
            <v>46196</v>
          </cell>
          <cell r="P1983">
            <v>108361477010</v>
          </cell>
          <cell r="Q1983">
            <v>46195</v>
          </cell>
          <cell r="R1983" t="str">
            <v>No inspection</v>
          </cell>
          <cell r="S1983">
            <v>553248</v>
          </cell>
          <cell r="T1983" t="str">
            <v>CIP</v>
          </cell>
          <cell r="U1983" t="str">
            <v>PUR</v>
          </cell>
        </row>
        <row r="1984">
          <cell r="D1984">
            <v>3.4</v>
          </cell>
          <cell r="F1984" t="str">
            <v>8XN6105</v>
          </cell>
          <cell r="G1984" t="str">
            <v>KIOXIA CORPORATION C/O KIOXIA AMERICA INC</v>
          </cell>
          <cell r="H1984" t="str">
            <v>Delivered</v>
          </cell>
          <cell r="I1984" t="str">
            <v xml:space="preserve">MEM </v>
          </cell>
          <cell r="J1984" t="str">
            <v>DHL( global)</v>
          </cell>
          <cell r="K1984" t="str">
            <v>VVMV</v>
          </cell>
          <cell r="L1984" t="str">
            <v>JP</v>
          </cell>
          <cell r="M1984">
            <v>46189</v>
          </cell>
          <cell r="N1984">
            <v>46196</v>
          </cell>
          <cell r="O1984">
            <v>46196</v>
          </cell>
          <cell r="P1984">
            <v>108361495800</v>
          </cell>
          <cell r="Q1984">
            <v>46195</v>
          </cell>
          <cell r="R1984" t="str">
            <v>No inspection</v>
          </cell>
          <cell r="S1984">
            <v>553248</v>
          </cell>
          <cell r="T1984" t="str">
            <v>CIP</v>
          </cell>
          <cell r="U1984" t="str">
            <v>PUR</v>
          </cell>
        </row>
        <row r="1985">
          <cell r="D1985">
            <v>3.4</v>
          </cell>
          <cell r="F1985" t="str">
            <v>8XN6106</v>
          </cell>
          <cell r="G1985" t="str">
            <v>KIOXIA CORPORATION C/O KIOXIA AMERICA INC</v>
          </cell>
          <cell r="H1985" t="str">
            <v>Delivered</v>
          </cell>
          <cell r="I1985" t="str">
            <v xml:space="preserve">MEM </v>
          </cell>
          <cell r="J1985" t="str">
            <v>DHL( global)</v>
          </cell>
          <cell r="K1985" t="str">
            <v>VVMV</v>
          </cell>
          <cell r="L1985" t="str">
            <v>JP</v>
          </cell>
          <cell r="M1985">
            <v>46189</v>
          </cell>
          <cell r="N1985">
            <v>46196</v>
          </cell>
          <cell r="O1985">
            <v>46196</v>
          </cell>
          <cell r="P1985">
            <v>108361523800</v>
          </cell>
          <cell r="Q1985">
            <v>46195</v>
          </cell>
          <cell r="R1985" t="str">
            <v>No inspection</v>
          </cell>
          <cell r="S1985">
            <v>553248</v>
          </cell>
          <cell r="T1985" t="str">
            <v>CIP</v>
          </cell>
          <cell r="U1985" t="str">
            <v>PUR</v>
          </cell>
        </row>
        <row r="1986">
          <cell r="D1986">
            <v>2.2999999999999998</v>
          </cell>
          <cell r="F1986" t="str">
            <v>8XN6107</v>
          </cell>
          <cell r="G1986" t="str">
            <v>KIOXIA CORPORATION C/O KIOXIA AMERICA INC</v>
          </cell>
          <cell r="H1986" t="str">
            <v>Delivered</v>
          </cell>
          <cell r="I1986" t="str">
            <v xml:space="preserve">MEM </v>
          </cell>
          <cell r="J1986" t="str">
            <v>DHL( global)</v>
          </cell>
          <cell r="K1986" t="str">
            <v>VVMV</v>
          </cell>
          <cell r="L1986" t="str">
            <v>JP</v>
          </cell>
          <cell r="M1986">
            <v>46189</v>
          </cell>
          <cell r="N1986">
            <v>46196</v>
          </cell>
          <cell r="O1986">
            <v>46196</v>
          </cell>
          <cell r="P1986">
            <v>108361544760</v>
          </cell>
          <cell r="Q1986">
            <v>46195</v>
          </cell>
          <cell r="R1986" t="str">
            <v>No inspection</v>
          </cell>
          <cell r="S1986">
            <v>325417.40000000002</v>
          </cell>
          <cell r="T1986" t="str">
            <v>CIP</v>
          </cell>
          <cell r="U1986" t="str">
            <v>PUR</v>
          </cell>
        </row>
        <row r="1987">
          <cell r="D1987">
            <v>354.5</v>
          </cell>
          <cell r="F1987">
            <v>4110338185</v>
          </cell>
          <cell r="G1987" t="str">
            <v>Avnet, Inc.</v>
          </cell>
          <cell r="H1987" t="str">
            <v>Delivered</v>
          </cell>
          <cell r="I1987" t="str">
            <v>CONN</v>
          </cell>
          <cell r="J1987" t="str">
            <v>Expeditors</v>
          </cell>
          <cell r="K1987" t="str">
            <v>VVMV</v>
          </cell>
          <cell r="L1987" t="str">
            <v>US</v>
          </cell>
          <cell r="M1987">
            <v>46189</v>
          </cell>
          <cell r="N1987">
            <v>46196</v>
          </cell>
          <cell r="O1987">
            <v>46197</v>
          </cell>
          <cell r="P1987">
            <v>108362108520</v>
          </cell>
          <cell r="Q1987">
            <v>46195</v>
          </cell>
          <cell r="R1987" t="str">
            <v>No inspection</v>
          </cell>
          <cell r="S1987">
            <v>10310.4</v>
          </cell>
          <cell r="T1987" t="str">
            <v>DAP</v>
          </cell>
          <cell r="U1987" t="str">
            <v>LUC</v>
          </cell>
        </row>
        <row r="1988">
          <cell r="D1988">
            <v>22.7</v>
          </cell>
          <cell r="F1988">
            <v>4210456180</v>
          </cell>
          <cell r="G1988" t="str">
            <v>KYOCERA AVX Components ( Asia ) Limited</v>
          </cell>
          <cell r="H1988" t="str">
            <v>Delivered</v>
          </cell>
          <cell r="I1988" t="str">
            <v xml:space="preserve">CAP </v>
          </cell>
          <cell r="J1988" t="str">
            <v>DHL</v>
          </cell>
          <cell r="K1988" t="str">
            <v>VVMV</v>
          </cell>
          <cell r="L1988" t="str">
            <v>HK</v>
          </cell>
          <cell r="M1988">
            <v>46191</v>
          </cell>
          <cell r="N1988">
            <v>46195</v>
          </cell>
          <cell r="O1988">
            <v>46195</v>
          </cell>
          <cell r="P1988">
            <v>108357040740</v>
          </cell>
          <cell r="Q1988">
            <v>46192</v>
          </cell>
          <cell r="R1988" t="str">
            <v>No inspection</v>
          </cell>
          <cell r="S1988">
            <v>29716</v>
          </cell>
          <cell r="T1988" t="str">
            <v>CIF</v>
          </cell>
          <cell r="U1988" t="str">
            <v>HLO</v>
          </cell>
        </row>
        <row r="1989">
          <cell r="D1989">
            <v>3.1</v>
          </cell>
          <cell r="F1989">
            <v>7753877364</v>
          </cell>
          <cell r="G1989" t="str">
            <v>AMPHENOL MOBILE CONNECTOR SOLUTIONS CZ</v>
          </cell>
          <cell r="H1989" t="str">
            <v>Delivered</v>
          </cell>
          <cell r="I1989" t="str">
            <v>CONN</v>
          </cell>
          <cell r="J1989" t="str">
            <v>DHL</v>
          </cell>
          <cell r="K1989" t="str">
            <v>VVMV</v>
          </cell>
          <cell r="L1989" t="str">
            <v>CN</v>
          </cell>
          <cell r="M1989">
            <v>46191</v>
          </cell>
          <cell r="N1989">
            <v>46195</v>
          </cell>
          <cell r="O1989">
            <v>46195</v>
          </cell>
          <cell r="P1989">
            <v>108360717400</v>
          </cell>
          <cell r="Q1989">
            <v>46195</v>
          </cell>
          <cell r="R1989" t="str">
            <v>No inspection</v>
          </cell>
          <cell r="S1989">
            <v>776.52</v>
          </cell>
          <cell r="T1989" t="str">
            <v>CIF</v>
          </cell>
          <cell r="U1989" t="str">
            <v>FMC</v>
          </cell>
        </row>
        <row r="1990">
          <cell r="D1990">
            <v>1.3</v>
          </cell>
          <cell r="F1990">
            <v>1397998501</v>
          </cell>
          <cell r="G1990" t="str">
            <v>TTI INC</v>
          </cell>
          <cell r="H1990" t="str">
            <v>Delivered</v>
          </cell>
          <cell r="I1990" t="str">
            <v>FERR, INDU</v>
          </cell>
          <cell r="J1990" t="str">
            <v>DHL</v>
          </cell>
          <cell r="K1990" t="str">
            <v>VVMV</v>
          </cell>
          <cell r="L1990" t="str">
            <v>US</v>
          </cell>
          <cell r="M1990">
            <v>46190</v>
          </cell>
          <cell r="N1990">
            <v>46195</v>
          </cell>
          <cell r="O1990">
            <v>46196</v>
          </cell>
          <cell r="P1990">
            <v>108360722740</v>
          </cell>
          <cell r="Q1990">
            <v>46195</v>
          </cell>
          <cell r="R1990" t="str">
            <v>No inspection</v>
          </cell>
          <cell r="S1990">
            <v>384.48</v>
          </cell>
          <cell r="T1990" t="str">
            <v>CIF</v>
          </cell>
          <cell r="U1990" t="str">
            <v>PUR</v>
          </cell>
        </row>
        <row r="1991">
          <cell r="D1991">
            <v>3.4</v>
          </cell>
          <cell r="F1991">
            <v>873074376995</v>
          </cell>
          <cell r="G1991" t="str">
            <v>Element14 Pte Ltd</v>
          </cell>
          <cell r="H1991" t="str">
            <v>Delivered</v>
          </cell>
          <cell r="I1991" t="str">
            <v>CAP , IC M</v>
          </cell>
          <cell r="J1991" t="str">
            <v>Fedex</v>
          </cell>
          <cell r="K1991" t="str">
            <v>VVMV</v>
          </cell>
          <cell r="L1991" t="str">
            <v>SG</v>
          </cell>
          <cell r="M1991">
            <v>46189</v>
          </cell>
          <cell r="N1991">
            <v>46195</v>
          </cell>
          <cell r="O1991">
            <v>46195</v>
          </cell>
          <cell r="P1991">
            <v>108357153700</v>
          </cell>
          <cell r="Q1991">
            <v>46192</v>
          </cell>
          <cell r="R1991" t="str">
            <v>No inspection</v>
          </cell>
          <cell r="S1991">
            <v>13334.4</v>
          </cell>
          <cell r="T1991" t="str">
            <v>EXW</v>
          </cell>
          <cell r="U1991">
            <v>122</v>
          </cell>
        </row>
        <row r="1992">
          <cell r="D1992">
            <v>0.5</v>
          </cell>
          <cell r="F1992">
            <v>873153886387</v>
          </cell>
          <cell r="G1992" t="str">
            <v>Everpure Inc Formerly Pure Storage</v>
          </cell>
          <cell r="H1992" t="str">
            <v>Delivered</v>
          </cell>
          <cell r="I1992" t="str">
            <v>IC F</v>
          </cell>
          <cell r="J1992" t="str">
            <v>Fedex</v>
          </cell>
          <cell r="K1992" t="str">
            <v>VVMV</v>
          </cell>
          <cell r="L1992" t="str">
            <v>US</v>
          </cell>
          <cell r="M1992">
            <v>46189</v>
          </cell>
          <cell r="N1992">
            <v>46197</v>
          </cell>
          <cell r="O1992">
            <v>46198</v>
          </cell>
          <cell r="P1992">
            <v>108368596230</v>
          </cell>
          <cell r="Q1992">
            <v>46196</v>
          </cell>
          <cell r="R1992" t="str">
            <v>No inspection</v>
          </cell>
          <cell r="S1992">
            <v>4.79</v>
          </cell>
          <cell r="T1992" t="str">
            <v>CIF</v>
          </cell>
          <cell r="U1992" t="str">
            <v>PUR</v>
          </cell>
        </row>
        <row r="1993">
          <cell r="D1993">
            <v>2.5</v>
          </cell>
          <cell r="F1993">
            <v>530217606220</v>
          </cell>
          <cell r="G1993" t="str">
            <v>ARROW ELECTRONICS, INC.</v>
          </cell>
          <cell r="H1993" t="str">
            <v>Delivered</v>
          </cell>
          <cell r="I1993" t="str">
            <v>INDU</v>
          </cell>
          <cell r="J1993" t="str">
            <v>Fedex</v>
          </cell>
          <cell r="K1993" t="str">
            <v>VVMV</v>
          </cell>
          <cell r="L1993" t="str">
            <v>US</v>
          </cell>
          <cell r="M1993">
            <v>46189</v>
          </cell>
          <cell r="N1993">
            <v>46197</v>
          </cell>
          <cell r="O1993">
            <v>46198</v>
          </cell>
          <cell r="P1993">
            <v>108366995330</v>
          </cell>
          <cell r="Q1993">
            <v>46196</v>
          </cell>
          <cell r="R1993" t="str">
            <v>No inspection</v>
          </cell>
          <cell r="S1993">
            <v>428.02</v>
          </cell>
          <cell r="T1993" t="str">
            <v>CIF</v>
          </cell>
          <cell r="U1993" t="str">
            <v>EF-</v>
          </cell>
        </row>
        <row r="1994">
          <cell r="D1994">
            <v>3.3</v>
          </cell>
          <cell r="F1994">
            <v>512718302319</v>
          </cell>
          <cell r="G1994" t="str">
            <v>SILICON MOTION INC</v>
          </cell>
          <cell r="H1994" t="str">
            <v>Delivered</v>
          </cell>
          <cell r="I1994" t="str">
            <v>IC M</v>
          </cell>
          <cell r="J1994" t="str">
            <v>Fedex</v>
          </cell>
          <cell r="K1994" t="str">
            <v>VVMV</v>
          </cell>
          <cell r="L1994" t="str">
            <v>TW</v>
          </cell>
          <cell r="M1994">
            <v>46191</v>
          </cell>
          <cell r="N1994">
            <v>46195</v>
          </cell>
          <cell r="O1994">
            <v>46195</v>
          </cell>
          <cell r="P1994">
            <v>108358324100</v>
          </cell>
          <cell r="Q1994">
            <v>46192</v>
          </cell>
          <cell r="R1994" t="str">
            <v>No inspection</v>
          </cell>
          <cell r="S1994">
            <v>11160</v>
          </cell>
          <cell r="T1994" t="str">
            <v>EXW</v>
          </cell>
          <cell r="U1994" t="str">
            <v>PUR</v>
          </cell>
        </row>
        <row r="1995">
          <cell r="D1995">
            <v>2</v>
          </cell>
          <cell r="F1995">
            <v>873182840602</v>
          </cell>
          <cell r="G1995" t="str">
            <v>Rand Technology (HK) Limited</v>
          </cell>
          <cell r="H1995" t="str">
            <v>Delivered</v>
          </cell>
          <cell r="I1995" t="str">
            <v>IC M</v>
          </cell>
          <cell r="J1995" t="str">
            <v>Fedex</v>
          </cell>
          <cell r="K1995" t="str">
            <v>VVMV</v>
          </cell>
          <cell r="L1995" t="str">
            <v>HK</v>
          </cell>
          <cell r="M1995">
            <v>46190</v>
          </cell>
          <cell r="N1995">
            <v>46195</v>
          </cell>
          <cell r="O1995">
            <v>46195</v>
          </cell>
          <cell r="P1995">
            <v>108357250040</v>
          </cell>
          <cell r="Q1995">
            <v>46192</v>
          </cell>
          <cell r="R1995" t="str">
            <v>No inspection</v>
          </cell>
          <cell r="S1995">
            <v>3839.04</v>
          </cell>
          <cell r="T1995" t="str">
            <v>CIF</v>
          </cell>
          <cell r="U1995">
            <v>103</v>
          </cell>
        </row>
        <row r="1996">
          <cell r="D1996">
            <v>0.3</v>
          </cell>
          <cell r="F1996">
            <v>873186448972</v>
          </cell>
          <cell r="G1996" t="str">
            <v>CYMMETRIK SHENZHEN PRINTING CO., LTD</v>
          </cell>
          <cell r="H1996" t="str">
            <v>Delivered</v>
          </cell>
          <cell r="I1996" t="str">
            <v>LABE</v>
          </cell>
          <cell r="J1996" t="str">
            <v>Fedex</v>
          </cell>
          <cell r="K1996" t="str">
            <v>VVMV</v>
          </cell>
          <cell r="L1996" t="str">
            <v>CN</v>
          </cell>
          <cell r="M1996">
            <v>46190</v>
          </cell>
          <cell r="N1996">
            <v>46195</v>
          </cell>
          <cell r="O1996">
            <v>46195</v>
          </cell>
          <cell r="P1996">
            <v>108357370660</v>
          </cell>
          <cell r="Q1996">
            <v>46192</v>
          </cell>
          <cell r="R1996" t="str">
            <v>No inspection</v>
          </cell>
          <cell r="S1996">
            <v>250</v>
          </cell>
          <cell r="T1996" t="str">
            <v>EXW</v>
          </cell>
          <cell r="U1996" t="str">
            <v>HLO</v>
          </cell>
        </row>
        <row r="1997">
          <cell r="D1997">
            <v>16.8</v>
          </cell>
          <cell r="F1997">
            <v>493891689782</v>
          </cell>
          <cell r="G1997" t="str">
            <v>FIERY, LLC.</v>
          </cell>
          <cell r="H1997" t="str">
            <v>Delivered</v>
          </cell>
          <cell r="I1997" t="str">
            <v>IC A</v>
          </cell>
          <cell r="J1997" t="str">
            <v>Fedex</v>
          </cell>
          <cell r="K1997" t="str">
            <v>VVMV</v>
          </cell>
          <cell r="L1997" t="str">
            <v>US</v>
          </cell>
          <cell r="M1997">
            <v>46188</v>
          </cell>
          <cell r="N1997">
            <v>46195</v>
          </cell>
          <cell r="O1997">
            <v>46195</v>
          </cell>
          <cell r="P1997">
            <v>108358334710</v>
          </cell>
          <cell r="Q1997">
            <v>46192</v>
          </cell>
          <cell r="R1997" t="str">
            <v>No inspection</v>
          </cell>
          <cell r="S1997">
            <v>43580</v>
          </cell>
          <cell r="T1997" t="str">
            <v>CIF</v>
          </cell>
          <cell r="U1997" t="str">
            <v>EF-</v>
          </cell>
        </row>
        <row r="1998">
          <cell r="D1998">
            <v>34.5</v>
          </cell>
          <cell r="F1998">
            <v>873131729718</v>
          </cell>
          <cell r="G1998" t="str">
            <v>Steadfast Industrial Pte Ltd</v>
          </cell>
          <cell r="H1998" t="str">
            <v>Delivered</v>
          </cell>
          <cell r="I1998" t="str">
            <v>STAN</v>
          </cell>
          <cell r="J1998" t="str">
            <v>Fedex</v>
          </cell>
          <cell r="K1998" t="str">
            <v>VVMV</v>
          </cell>
          <cell r="L1998" t="str">
            <v>SG</v>
          </cell>
          <cell r="M1998">
            <v>46190</v>
          </cell>
          <cell r="N1998">
            <v>46195</v>
          </cell>
          <cell r="O1998">
            <v>46195</v>
          </cell>
          <cell r="P1998">
            <v>108358057620</v>
          </cell>
          <cell r="Q1998">
            <v>46192</v>
          </cell>
          <cell r="R1998" t="str">
            <v>No inspection</v>
          </cell>
          <cell r="S1998">
            <v>1248</v>
          </cell>
          <cell r="T1998" t="str">
            <v>EXW</v>
          </cell>
          <cell r="U1998" t="str">
            <v>PUR</v>
          </cell>
        </row>
        <row r="1999">
          <cell r="D1999">
            <v>1.7</v>
          </cell>
          <cell r="F1999">
            <v>382085402744</v>
          </cell>
          <cell r="G1999" t="str">
            <v>c/o DHL Supply Chain SGP P/L
Texas Instruments Southeast Asia Pt</v>
          </cell>
          <cell r="H1999" t="str">
            <v>Delivered</v>
          </cell>
          <cell r="I1999" t="str">
            <v>IC  , IC B, IC I</v>
          </cell>
          <cell r="J1999" t="str">
            <v>Fedex</v>
          </cell>
          <cell r="K1999" t="str">
            <v>VVMV</v>
          </cell>
          <cell r="L1999" t="str">
            <v>SG</v>
          </cell>
          <cell r="M1999">
            <v>46190</v>
          </cell>
          <cell r="N1999">
            <v>46195</v>
          </cell>
          <cell r="O1999">
            <v>46195</v>
          </cell>
          <cell r="P1999">
            <v>108358003830</v>
          </cell>
          <cell r="Q1999">
            <v>46192</v>
          </cell>
          <cell r="R1999" t="str">
            <v>No inspection</v>
          </cell>
          <cell r="S1999">
            <v>848</v>
          </cell>
          <cell r="T1999" t="str">
            <v>EXW</v>
          </cell>
          <cell r="U1999" t="str">
            <v>PUR</v>
          </cell>
        </row>
        <row r="2000">
          <cell r="D2000">
            <v>1</v>
          </cell>
          <cell r="F2000">
            <v>483570647561</v>
          </cell>
          <cell r="G2000" t="str">
            <v>UNIGEN CORPORATION</v>
          </cell>
          <cell r="H2000" t="str">
            <v>Delivered</v>
          </cell>
          <cell r="I2000" t="str">
            <v>PCIE</v>
          </cell>
          <cell r="J2000" t="str">
            <v>Fedex</v>
          </cell>
          <cell r="K2000" t="str">
            <v>VVMV</v>
          </cell>
          <cell r="L2000" t="str">
            <v>US</v>
          </cell>
          <cell r="M2000">
            <v>46189</v>
          </cell>
          <cell r="N2000">
            <v>46195</v>
          </cell>
          <cell r="O2000">
            <v>46195</v>
          </cell>
          <cell r="P2000">
            <v>108358389530</v>
          </cell>
          <cell r="Q2000">
            <v>46192</v>
          </cell>
          <cell r="R2000" t="str">
            <v>No inspection</v>
          </cell>
          <cell r="S2000">
            <v>250</v>
          </cell>
          <cell r="T2000" t="str">
            <v>DAP</v>
          </cell>
          <cell r="U2000">
            <v>203</v>
          </cell>
        </row>
        <row r="2001">
          <cell r="D2001">
            <v>3.7</v>
          </cell>
          <cell r="F2001">
            <v>382102213488</v>
          </cell>
          <cell r="G2001" t="str">
            <v>c/o DHL Supply Chain SGP P/L
Texas Instruments Southeast Asia Pt</v>
          </cell>
          <cell r="H2001" t="str">
            <v>Delivered</v>
          </cell>
          <cell r="I2001" t="str">
            <v>IC V</v>
          </cell>
          <cell r="J2001" t="str">
            <v>Fedex</v>
          </cell>
          <cell r="K2001" t="str">
            <v>VVMV</v>
          </cell>
          <cell r="L2001" t="str">
            <v>SG</v>
          </cell>
          <cell r="M2001">
            <v>46191</v>
          </cell>
          <cell r="N2001">
            <v>46195</v>
          </cell>
          <cell r="O2001">
            <v>46195</v>
          </cell>
          <cell r="P2001">
            <v>108357361710</v>
          </cell>
          <cell r="Q2001">
            <v>46192</v>
          </cell>
          <cell r="R2001" t="str">
            <v>No inspection</v>
          </cell>
          <cell r="S2001">
            <v>6750</v>
          </cell>
          <cell r="T2001" t="str">
            <v>EXW</v>
          </cell>
          <cell r="U2001" t="str">
            <v>PUR</v>
          </cell>
        </row>
        <row r="2002">
          <cell r="D2002">
            <v>8.5</v>
          </cell>
          <cell r="F2002">
            <v>615498867354</v>
          </cell>
          <cell r="G2002" t="str">
            <v>FUTURE ELECTRONICS LTD.</v>
          </cell>
          <cell r="H2002" t="str">
            <v>Delivered</v>
          </cell>
          <cell r="I2002" t="str">
            <v>CAP , DIOD</v>
          </cell>
          <cell r="J2002" t="str">
            <v>Fedex</v>
          </cell>
          <cell r="K2002" t="str">
            <v>VVMV</v>
          </cell>
          <cell r="L2002" t="str">
            <v>DE</v>
          </cell>
          <cell r="M2002">
            <v>46185</v>
          </cell>
          <cell r="N2002">
            <v>46195</v>
          </cell>
          <cell r="O2002">
            <v>46195</v>
          </cell>
          <cell r="P2002">
            <v>108357481150</v>
          </cell>
          <cell r="Q2002">
            <v>46192</v>
          </cell>
          <cell r="R2002" t="str">
            <v>No inspection</v>
          </cell>
          <cell r="S2002">
            <v>3799.08</v>
          </cell>
          <cell r="T2002" t="str">
            <v>CIF</v>
          </cell>
          <cell r="U2002">
            <v>122</v>
          </cell>
        </row>
        <row r="2003">
          <cell r="D2003" t="str">
            <v>25.3 KGs</v>
          </cell>
          <cell r="F2003">
            <v>2043897332</v>
          </cell>
          <cell r="G2003" t="str">
            <v>Avnet - Chandler</v>
          </cell>
          <cell r="H2003" t="str">
            <v>Delivered</v>
          </cell>
          <cell r="I2003" t="str">
            <v>CAP , TRAN, RES , IND , IC C, PCIE</v>
          </cell>
          <cell r="J2003" t="str">
            <v>DHL</v>
          </cell>
          <cell r="K2003" t="str">
            <v>VVMV</v>
          </cell>
          <cell r="L2003" t="str">
            <v>US</v>
          </cell>
          <cell r="M2003">
            <v>46190</v>
          </cell>
          <cell r="N2003">
            <v>46196</v>
          </cell>
          <cell r="O2003">
            <v>46196</v>
          </cell>
          <cell r="P2003">
            <v>108363533460</v>
          </cell>
          <cell r="Q2003">
            <v>46195</v>
          </cell>
          <cell r="R2003" t="str">
            <v>No inspection</v>
          </cell>
          <cell r="S2003">
            <v>83793.86</v>
          </cell>
          <cell r="T2003" t="str">
            <v>CIF</v>
          </cell>
          <cell r="U2003" t="str">
            <v>LUC</v>
          </cell>
        </row>
        <row r="2004">
          <cell r="D2004" t="str">
            <v>3.3 KGs</v>
          </cell>
          <cell r="F2004">
            <v>5774739541</v>
          </cell>
          <cell r="G2004" t="str">
            <v>FUTURE ELECTRONICS (ADC)</v>
          </cell>
          <cell r="H2004" t="str">
            <v>Delivered</v>
          </cell>
          <cell r="I2004" t="str">
            <v xml:space="preserve">LED </v>
          </cell>
          <cell r="J2004" t="str">
            <v>DHL</v>
          </cell>
          <cell r="K2004" t="str">
            <v>VVMV</v>
          </cell>
          <cell r="L2004" t="str">
            <v>SG</v>
          </cell>
          <cell r="M2004">
            <v>46192</v>
          </cell>
          <cell r="N2004">
            <v>46196</v>
          </cell>
          <cell r="O2004">
            <v>46197</v>
          </cell>
          <cell r="P2004">
            <v>108363659240</v>
          </cell>
          <cell r="Q2004">
            <v>46195</v>
          </cell>
          <cell r="R2004" t="str">
            <v>No inspection</v>
          </cell>
          <cell r="S2004">
            <v>1080</v>
          </cell>
          <cell r="T2004" t="str">
            <v>CIF</v>
          </cell>
          <cell r="U2004" t="str">
            <v>PUR</v>
          </cell>
        </row>
        <row r="2005">
          <cell r="D2005">
            <v>1.1000000000000001</v>
          </cell>
          <cell r="F2005">
            <v>3085381493</v>
          </cell>
          <cell r="G2005" t="str">
            <v>DHL SUPPLY CHAIN MANAGEMENT PHILS
O/B ANALOG DEVICES INTERNATIONAL UC</v>
          </cell>
          <cell r="H2005" t="str">
            <v>Delivered</v>
          </cell>
          <cell r="I2005" t="str">
            <v>Elec</v>
          </cell>
          <cell r="J2005" t="str">
            <v>DHL</v>
          </cell>
          <cell r="K2005" t="str">
            <v>VVMV</v>
          </cell>
          <cell r="L2005" t="str">
            <v>PH</v>
          </cell>
          <cell r="M2005">
            <v>46190</v>
          </cell>
          <cell r="N2005">
            <v>46198</v>
          </cell>
          <cell r="O2005">
            <v>46202</v>
          </cell>
          <cell r="P2005">
            <v>108371688460</v>
          </cell>
          <cell r="Q2005">
            <v>46197</v>
          </cell>
          <cell r="R2005" t="str">
            <v>No inspection</v>
          </cell>
          <cell r="S2005">
            <v>29.509</v>
          </cell>
          <cell r="T2005" t="str">
            <v>CIF</v>
          </cell>
          <cell r="U2005" t="str">
            <v>RIL</v>
          </cell>
        </row>
        <row r="2006">
          <cell r="D2006" t="str">
            <v>0.7 KGs</v>
          </cell>
          <cell r="F2006" t="str">
            <v>1Z75A9570473500062</v>
          </cell>
          <cell r="G2006" t="str">
            <v>BV ARROW ELECTRONICS</v>
          </cell>
          <cell r="H2006" t="str">
            <v>Delivered</v>
          </cell>
          <cell r="I2006" t="str">
            <v xml:space="preserve">CAP </v>
          </cell>
          <cell r="J2006" t="str">
            <v>UPS</v>
          </cell>
          <cell r="K2006" t="str">
            <v>VVMV</v>
          </cell>
          <cell r="L2006" t="str">
            <v>DE</v>
          </cell>
          <cell r="M2006">
            <v>46191</v>
          </cell>
          <cell r="N2006">
            <v>46196</v>
          </cell>
          <cell r="O2006">
            <v>46197</v>
          </cell>
          <cell r="P2006">
            <v>108363709050</v>
          </cell>
          <cell r="Q2006">
            <v>46195</v>
          </cell>
          <cell r="R2006" t="str">
            <v>No inspection</v>
          </cell>
          <cell r="S2006">
            <v>41.6</v>
          </cell>
          <cell r="T2006" t="str">
            <v>CIF</v>
          </cell>
          <cell r="U2006" t="str">
            <v>EF-</v>
          </cell>
        </row>
        <row r="2007">
          <cell r="D2007">
            <v>0.5</v>
          </cell>
          <cell r="F2007" t="str">
            <v>1ZG2B4810404756811</v>
          </cell>
          <cell r="G2007" t="str">
            <v>MOUSER ELECTRONICS INC</v>
          </cell>
          <cell r="H2007" t="str">
            <v>Delivered</v>
          </cell>
          <cell r="I2007" t="str">
            <v xml:space="preserve">CAP </v>
          </cell>
          <cell r="J2007" t="str">
            <v>UPS</v>
          </cell>
          <cell r="K2007" t="str">
            <v>VVMV</v>
          </cell>
          <cell r="L2007" t="str">
            <v>US</v>
          </cell>
          <cell r="M2007">
            <v>46189</v>
          </cell>
          <cell r="N2007">
            <v>46196</v>
          </cell>
          <cell r="O2007">
            <v>46198</v>
          </cell>
          <cell r="P2007">
            <v>108368729560</v>
          </cell>
          <cell r="Q2007">
            <v>46196</v>
          </cell>
          <cell r="R2007" t="str">
            <v>No inspection</v>
          </cell>
          <cell r="S2007">
            <v>2.7E-2</v>
          </cell>
          <cell r="T2007" t="str">
            <v>CIF</v>
          </cell>
          <cell r="U2007" t="str">
            <v>PUR</v>
          </cell>
        </row>
        <row r="2008">
          <cell r="D2008" t="str">
            <v>1.3 KG</v>
          </cell>
          <cell r="F2008">
            <v>382125059463</v>
          </cell>
          <cell r="G2008" t="str">
            <v>C/O DHL Supply Chain (Thailand) Ltd,
Analog Devices (Thailand) Co., Ltd</v>
          </cell>
          <cell r="H2008" t="str">
            <v>Delivered</v>
          </cell>
          <cell r="I2008" t="str">
            <v>IC,V</v>
          </cell>
          <cell r="J2008" t="str">
            <v>Fedex</v>
          </cell>
          <cell r="K2008" t="str">
            <v>VVMV</v>
          </cell>
          <cell r="L2008" t="str">
            <v>TH</v>
          </cell>
          <cell r="M2008">
            <v>46191</v>
          </cell>
          <cell r="N2008">
            <v>46196</v>
          </cell>
          <cell r="O2008">
            <v>46197</v>
          </cell>
          <cell r="P2008">
            <v>108363737900</v>
          </cell>
          <cell r="Q2008">
            <v>46195</v>
          </cell>
          <cell r="R2008" t="str">
            <v>No inspection</v>
          </cell>
          <cell r="S2008">
            <v>1740</v>
          </cell>
          <cell r="T2008" t="str">
            <v>EXW</v>
          </cell>
          <cell r="U2008" t="str">
            <v>PUR</v>
          </cell>
        </row>
        <row r="2009">
          <cell r="D2009" t="str">
            <v>1.7 KG</v>
          </cell>
          <cell r="F2009">
            <v>489101292961</v>
          </cell>
          <cell r="G2009" t="str">
            <v>ARROW GERMANY C/o Arrow Central Europe</v>
          </cell>
          <cell r="H2009" t="str">
            <v>Delivered</v>
          </cell>
          <cell r="I2009" t="str">
            <v xml:space="preserve">RES </v>
          </cell>
          <cell r="J2009" t="str">
            <v>Fedex</v>
          </cell>
          <cell r="K2009" t="str">
            <v>VVMV</v>
          </cell>
          <cell r="L2009" t="str">
            <v>NL</v>
          </cell>
          <cell r="M2009">
            <v>46189</v>
          </cell>
          <cell r="N2009">
            <v>46196</v>
          </cell>
          <cell r="O2009">
            <v>46197</v>
          </cell>
          <cell r="P2009">
            <v>108364432260</v>
          </cell>
          <cell r="Q2009">
            <v>46195</v>
          </cell>
          <cell r="R2009" t="str">
            <v>No inspection</v>
          </cell>
          <cell r="S2009">
            <v>30</v>
          </cell>
          <cell r="T2009" t="str">
            <v>CIF</v>
          </cell>
          <cell r="U2009" t="str">
            <v>PUR</v>
          </cell>
        </row>
        <row r="2010">
          <cell r="D2010" t="str">
            <v>0.5 KGs</v>
          </cell>
          <cell r="F2010">
            <v>462303563016</v>
          </cell>
          <cell r="G2010" t="str">
            <v>ARROW ELECTRONICS, INC.</v>
          </cell>
          <cell r="H2010" t="str">
            <v>Delivered</v>
          </cell>
          <cell r="I2010" t="str">
            <v xml:space="preserve">CAP </v>
          </cell>
          <cell r="J2010" t="str">
            <v>Fedex</v>
          </cell>
          <cell r="K2010" t="str">
            <v>VVMV</v>
          </cell>
          <cell r="L2010" t="str">
            <v>US</v>
          </cell>
          <cell r="M2010">
            <v>46189</v>
          </cell>
          <cell r="N2010">
            <v>46196</v>
          </cell>
          <cell r="O2010">
            <v>46197</v>
          </cell>
          <cell r="P2010">
            <v>108363789110</v>
          </cell>
          <cell r="Q2010">
            <v>46195</v>
          </cell>
          <cell r="R2010" t="str">
            <v>No inspection</v>
          </cell>
          <cell r="S2010">
            <v>348</v>
          </cell>
          <cell r="T2010" t="str">
            <v>CIF</v>
          </cell>
          <cell r="U2010">
            <v>122</v>
          </cell>
        </row>
        <row r="2011">
          <cell r="D2011" t="str">
            <v>7.7 KGs</v>
          </cell>
          <cell r="F2011">
            <v>456732849001</v>
          </cell>
          <cell r="G2011" t="str">
            <v>SDM (SHANGHAI-SDSS</v>
          </cell>
          <cell r="H2011" t="str">
            <v>Delivered</v>
          </cell>
          <cell r="I2011" t="str">
            <v>PCIE</v>
          </cell>
          <cell r="J2011" t="str">
            <v>Fedex</v>
          </cell>
          <cell r="K2011" t="str">
            <v>VVMV</v>
          </cell>
          <cell r="L2011" t="str">
            <v>CN</v>
          </cell>
          <cell r="M2011">
            <v>46185</v>
          </cell>
          <cell r="N2011">
            <v>46196</v>
          </cell>
          <cell r="O2011">
            <v>46197</v>
          </cell>
          <cell r="P2011">
            <v>108363841830</v>
          </cell>
          <cell r="Q2011">
            <v>46195</v>
          </cell>
          <cell r="R2011" t="str">
            <v>No inspection</v>
          </cell>
          <cell r="S2011">
            <v>194560</v>
          </cell>
          <cell r="T2011" t="str">
            <v>CIF</v>
          </cell>
          <cell r="U2011">
            <v>203</v>
          </cell>
        </row>
        <row r="2012">
          <cell r="D2012" t="str">
            <v>85.4 KGs</v>
          </cell>
          <cell r="F2012">
            <v>873230263370</v>
          </cell>
          <cell r="G2012" t="str">
            <v>Sandisk Storage sdn. Bhd</v>
          </cell>
          <cell r="H2012" t="str">
            <v>Delivered</v>
          </cell>
          <cell r="I2012" t="str">
            <v>IC F</v>
          </cell>
          <cell r="J2012" t="str">
            <v>Fedex</v>
          </cell>
          <cell r="K2012" t="str">
            <v>VVMV</v>
          </cell>
          <cell r="L2012" t="str">
            <v>MY</v>
          </cell>
          <cell r="M2012">
            <v>46191</v>
          </cell>
          <cell r="N2012">
            <v>46196</v>
          </cell>
          <cell r="O2012">
            <v>46197</v>
          </cell>
          <cell r="P2012">
            <v>108363875430</v>
          </cell>
          <cell r="Q2012">
            <v>46195</v>
          </cell>
          <cell r="R2012" t="str">
            <v>No inspection</v>
          </cell>
          <cell r="S2012">
            <v>7527744</v>
          </cell>
          <cell r="T2012" t="str">
            <v>CIF</v>
          </cell>
          <cell r="U2012">
            <v>103</v>
          </cell>
        </row>
        <row r="2013">
          <cell r="D2013">
            <v>12.8</v>
          </cell>
          <cell r="F2013">
            <v>382083100096</v>
          </cell>
          <cell r="G2013" t="str">
            <v>WURTH ELECTRONICS MIDCOM</v>
          </cell>
          <cell r="H2013" t="str">
            <v>Delivered</v>
          </cell>
          <cell r="I2013" t="str">
            <v>CONN</v>
          </cell>
          <cell r="J2013" t="str">
            <v>Fedex</v>
          </cell>
          <cell r="K2013" t="str">
            <v>VVMV</v>
          </cell>
          <cell r="L2013" t="str">
            <v>US</v>
          </cell>
          <cell r="M2013">
            <v>46190</v>
          </cell>
          <cell r="N2013">
            <v>46199</v>
          </cell>
          <cell r="O2013">
            <v>46202</v>
          </cell>
          <cell r="P2013">
            <v>108375275630</v>
          </cell>
          <cell r="Q2013">
            <v>46198</v>
          </cell>
          <cell r="R2013" t="str">
            <v>No inspection</v>
          </cell>
          <cell r="S2013">
            <v>1489.9</v>
          </cell>
          <cell r="T2013" t="str">
            <v>CIF</v>
          </cell>
          <cell r="U2013" t="str">
            <v>EF-</v>
          </cell>
        </row>
        <row r="2014">
          <cell r="D2014">
            <v>96</v>
          </cell>
          <cell r="F2014">
            <v>4110338149</v>
          </cell>
          <cell r="G2014" t="str">
            <v>Avnet, Inc.</v>
          </cell>
          <cell r="H2014" t="str">
            <v>Delivered</v>
          </cell>
          <cell r="I2014" t="str">
            <v>CONN</v>
          </cell>
          <cell r="J2014" t="str">
            <v>Expeditors</v>
          </cell>
          <cell r="K2014" t="str">
            <v>VVMV</v>
          </cell>
          <cell r="L2014" t="str">
            <v>US</v>
          </cell>
          <cell r="M2014">
            <v>46190</v>
          </cell>
          <cell r="N2014">
            <v>46197</v>
          </cell>
          <cell r="O2014">
            <v>46197</v>
          </cell>
          <cell r="P2014">
            <v>108367011540</v>
          </cell>
          <cell r="Q2014">
            <v>46196</v>
          </cell>
          <cell r="R2014" t="str">
            <v>No inspection</v>
          </cell>
          <cell r="S2014">
            <v>4652.55</v>
          </cell>
          <cell r="T2014" t="str">
            <v>DAP</v>
          </cell>
          <cell r="U2014" t="str">
            <v>LUC</v>
          </cell>
        </row>
        <row r="2015">
          <cell r="D2015">
            <v>40.5</v>
          </cell>
          <cell r="F2015">
            <v>4110338145</v>
          </cell>
          <cell r="G2015" t="str">
            <v>Avnet, Inc.</v>
          </cell>
          <cell r="H2015" t="str">
            <v>Delivered</v>
          </cell>
          <cell r="I2015" t="str">
            <v xml:space="preserve">CON </v>
          </cell>
          <cell r="J2015" t="str">
            <v>Expeditors</v>
          </cell>
          <cell r="K2015" t="str">
            <v>VVMV</v>
          </cell>
          <cell r="L2015" t="str">
            <v>US</v>
          </cell>
          <cell r="M2015">
            <v>46190</v>
          </cell>
          <cell r="N2015">
            <v>46197</v>
          </cell>
          <cell r="O2015">
            <v>46197</v>
          </cell>
          <cell r="P2015">
            <v>108367045360</v>
          </cell>
          <cell r="Q2015">
            <v>46196</v>
          </cell>
          <cell r="R2015" t="str">
            <v>No inspection</v>
          </cell>
          <cell r="S2015">
            <v>5482.62</v>
          </cell>
          <cell r="T2015" t="str">
            <v>DAP</v>
          </cell>
          <cell r="U2015" t="str">
            <v>LUC</v>
          </cell>
        </row>
        <row r="2016">
          <cell r="D2016">
            <v>14.9</v>
          </cell>
          <cell r="F2016">
            <v>7754186016</v>
          </cell>
          <cell r="G2016" t="str">
            <v>SHENNAN CIRCUITS CO.,LTD</v>
          </cell>
          <cell r="H2016" t="str">
            <v>Delivered</v>
          </cell>
          <cell r="I2016" t="str">
            <v>PCB/</v>
          </cell>
          <cell r="J2016" t="str">
            <v>DHL</v>
          </cell>
          <cell r="K2016" t="str">
            <v>VVMV</v>
          </cell>
          <cell r="L2016" t="str">
            <v>CN</v>
          </cell>
          <cell r="M2016">
            <v>46195</v>
          </cell>
          <cell r="N2016">
            <v>46197</v>
          </cell>
          <cell r="O2016">
            <v>46197</v>
          </cell>
          <cell r="P2016">
            <v>108367547410</v>
          </cell>
          <cell r="Q2016">
            <v>46196</v>
          </cell>
          <cell r="R2016" t="str">
            <v>No inspection</v>
          </cell>
          <cell r="S2016">
            <v>2577.75</v>
          </cell>
          <cell r="T2016" t="str">
            <v>CIF</v>
          </cell>
          <cell r="U2016" t="str">
            <v>AIC</v>
          </cell>
        </row>
        <row r="2017">
          <cell r="D2017">
            <v>21.7</v>
          </cell>
          <cell r="F2017">
            <v>873326865634</v>
          </cell>
          <cell r="G2017" t="str">
            <v>ARROW COMPONENTS (M) SDN BHD
C/O ARROW COMPONENTS (M) SDN BHD</v>
          </cell>
          <cell r="H2017" t="str">
            <v>Delivered</v>
          </cell>
          <cell r="I2017" t="str">
            <v>CAP , IC E, DIOD</v>
          </cell>
          <cell r="J2017" t="str">
            <v>Fedex</v>
          </cell>
          <cell r="K2017" t="str">
            <v>VVMV</v>
          </cell>
          <cell r="L2017" t="str">
            <v>MY</v>
          </cell>
          <cell r="M2017">
            <v>46187</v>
          </cell>
          <cell r="N2017">
            <v>46197</v>
          </cell>
          <cell r="O2017">
            <v>46198</v>
          </cell>
          <cell r="P2017">
            <v>108367585760</v>
          </cell>
          <cell r="Q2017">
            <v>46196</v>
          </cell>
          <cell r="R2017" t="str">
            <v>No inspection</v>
          </cell>
          <cell r="S2017">
            <v>76881.600000000006</v>
          </cell>
          <cell r="T2017" t="str">
            <v>EXW</v>
          </cell>
          <cell r="U2017" t="str">
            <v>LUC</v>
          </cell>
        </row>
        <row r="2018">
          <cell r="D2018">
            <v>0.6</v>
          </cell>
          <cell r="F2018">
            <v>530217677873</v>
          </cell>
          <cell r="G2018" t="str">
            <v>ARROW ELECTRONICS, INC.</v>
          </cell>
          <cell r="H2018" t="str">
            <v>Delivered</v>
          </cell>
          <cell r="I2018" t="str">
            <v xml:space="preserve">CAP </v>
          </cell>
          <cell r="J2018" t="str">
            <v>Fedex</v>
          </cell>
          <cell r="K2018" t="str">
            <v>VVMV</v>
          </cell>
          <cell r="L2018" t="str">
            <v>US</v>
          </cell>
          <cell r="M2018">
            <v>46191</v>
          </cell>
          <cell r="N2018">
            <v>46197</v>
          </cell>
          <cell r="O2018">
            <v>46198</v>
          </cell>
          <cell r="P2018">
            <v>108367613210</v>
          </cell>
          <cell r="Q2018">
            <v>46196</v>
          </cell>
          <cell r="R2018" t="str">
            <v>No inspection</v>
          </cell>
          <cell r="S2018">
            <v>388.07</v>
          </cell>
          <cell r="T2018" t="str">
            <v>CIF</v>
          </cell>
          <cell r="U2018">
            <v>122</v>
          </cell>
        </row>
        <row r="2019">
          <cell r="D2019">
            <v>1</v>
          </cell>
          <cell r="F2019">
            <v>528979425010</v>
          </cell>
          <cell r="G2019" t="str">
            <v>Mouser Electronics Inc</v>
          </cell>
          <cell r="H2019" t="str">
            <v>Delivered</v>
          </cell>
          <cell r="I2019" t="str">
            <v xml:space="preserve">CONN, IC V, IND , CAP </v>
          </cell>
          <cell r="J2019" t="str">
            <v>Fedex</v>
          </cell>
          <cell r="K2019" t="str">
            <v>VVMV</v>
          </cell>
          <cell r="L2019" t="str">
            <v>US</v>
          </cell>
          <cell r="M2019">
            <v>46191</v>
          </cell>
          <cell r="N2019">
            <v>46197</v>
          </cell>
          <cell r="O2019">
            <v>46198</v>
          </cell>
          <cell r="P2019">
            <v>108367651600</v>
          </cell>
          <cell r="Q2019">
            <v>46196</v>
          </cell>
          <cell r="R2019" t="str">
            <v>No inspection</v>
          </cell>
          <cell r="S2019">
            <v>1512.252</v>
          </cell>
          <cell r="T2019" t="str">
            <v>CIF</v>
          </cell>
          <cell r="U2019" t="str">
            <v>EF-</v>
          </cell>
        </row>
        <row r="2020">
          <cell r="D2020">
            <v>22.1</v>
          </cell>
          <cell r="F2020">
            <v>456732849192</v>
          </cell>
          <cell r="G2020" t="str">
            <v>SDM (SHANGHAI-SDSS</v>
          </cell>
          <cell r="H2020" t="str">
            <v>Delivered</v>
          </cell>
          <cell r="I2020" t="str">
            <v>IC F</v>
          </cell>
          <cell r="J2020" t="str">
            <v>Fedex</v>
          </cell>
          <cell r="K2020" t="str">
            <v>VVMV</v>
          </cell>
          <cell r="L2020" t="str">
            <v>CN</v>
          </cell>
          <cell r="M2020">
            <v>46190</v>
          </cell>
          <cell r="N2020">
            <v>46197</v>
          </cell>
          <cell r="O2020">
            <v>46198</v>
          </cell>
          <cell r="P2020">
            <v>108367688000</v>
          </cell>
          <cell r="Q2020">
            <v>46196</v>
          </cell>
          <cell r="R2020" t="str">
            <v>No inspection</v>
          </cell>
          <cell r="S2020">
            <v>1904340</v>
          </cell>
          <cell r="T2020" t="str">
            <v>CIF</v>
          </cell>
          <cell r="U2020">
            <v>103</v>
          </cell>
        </row>
        <row r="2021">
          <cell r="D2021">
            <v>2.4</v>
          </cell>
          <cell r="F2021">
            <v>525688630788</v>
          </cell>
          <cell r="G2021" t="str">
            <v>ARROW COMPONENTS MEXICO SA De CV</v>
          </cell>
          <cell r="H2021" t="str">
            <v>Delivered</v>
          </cell>
          <cell r="I2021" t="str">
            <v>IC C</v>
          </cell>
          <cell r="J2021" t="str">
            <v>Fedex</v>
          </cell>
          <cell r="K2021" t="str">
            <v>VVMV</v>
          </cell>
          <cell r="L2021" t="str">
            <v>MX</v>
          </cell>
          <cell r="M2021">
            <v>46191</v>
          </cell>
          <cell r="N2021">
            <v>46197</v>
          </cell>
          <cell r="O2021">
            <v>46198</v>
          </cell>
          <cell r="P2021">
            <v>108368457850</v>
          </cell>
          <cell r="Q2021">
            <v>46196</v>
          </cell>
          <cell r="R2021" t="str">
            <v>No inspection</v>
          </cell>
          <cell r="S2021">
            <v>30700</v>
          </cell>
          <cell r="T2021" t="str">
            <v>CIF</v>
          </cell>
          <cell r="U2021" t="str">
            <v>PUR</v>
          </cell>
        </row>
        <row r="2022">
          <cell r="D2022">
            <v>5.8</v>
          </cell>
          <cell r="F2022">
            <v>119209750328</v>
          </cell>
          <cell r="G2022" t="str">
            <v>FUTURE ELECTRONICS FICE</v>
          </cell>
          <cell r="H2022" t="str">
            <v>Delivered</v>
          </cell>
          <cell r="I2022" t="str">
            <v>IC S, LED , IC,V</v>
          </cell>
          <cell r="J2022" t="str">
            <v>Fedex</v>
          </cell>
          <cell r="K2022" t="str">
            <v>VVMV</v>
          </cell>
          <cell r="L2022" t="str">
            <v>US</v>
          </cell>
          <cell r="M2022">
            <v>46192</v>
          </cell>
          <cell r="N2022">
            <v>46197</v>
          </cell>
          <cell r="O2022">
            <v>46199</v>
          </cell>
          <cell r="P2022">
            <v>108368440240</v>
          </cell>
          <cell r="Q2022">
            <v>46196</v>
          </cell>
          <cell r="R2022" t="str">
            <v>No inspection</v>
          </cell>
          <cell r="S2022">
            <v>7673</v>
          </cell>
          <cell r="T2022" t="str">
            <v>CIF</v>
          </cell>
          <cell r="U2022" t="str">
            <v>PUR</v>
          </cell>
        </row>
        <row r="2023">
          <cell r="D2023">
            <v>0.5</v>
          </cell>
          <cell r="F2023">
            <v>525688631247</v>
          </cell>
          <cell r="G2023" t="str">
            <v>Arrow Components Mexico S.A. De C.V</v>
          </cell>
          <cell r="H2023" t="str">
            <v>Delivered</v>
          </cell>
          <cell r="I2023" t="str">
            <v>TRAN</v>
          </cell>
          <cell r="J2023" t="str">
            <v>Fedex</v>
          </cell>
          <cell r="K2023" t="str">
            <v>VVMV</v>
          </cell>
          <cell r="L2023" t="str">
            <v>MX</v>
          </cell>
          <cell r="M2023">
            <v>46190</v>
          </cell>
          <cell r="N2023">
            <v>46197</v>
          </cell>
          <cell r="O2023">
            <v>46198</v>
          </cell>
          <cell r="P2023">
            <v>108367757520</v>
          </cell>
          <cell r="Q2023">
            <v>46196</v>
          </cell>
          <cell r="R2023" t="str">
            <v>No inspection</v>
          </cell>
          <cell r="S2023">
            <v>106.8</v>
          </cell>
          <cell r="T2023" t="str">
            <v>CIF</v>
          </cell>
          <cell r="U2023" t="str">
            <v>PUR</v>
          </cell>
        </row>
        <row r="2024">
          <cell r="D2024">
            <v>31.6</v>
          </cell>
          <cell r="F2024">
            <v>873242839674</v>
          </cell>
          <cell r="G2024" t="str">
            <v>SHENZHEN KERAIMEI PRECISION HARDWARE CO.,LTD</v>
          </cell>
          <cell r="H2024" t="str">
            <v>Delivered</v>
          </cell>
          <cell r="I2024" t="str">
            <v>ENCL, SCRE</v>
          </cell>
          <cell r="J2024" t="str">
            <v>Fedex</v>
          </cell>
          <cell r="K2024" t="str">
            <v>VVMV</v>
          </cell>
          <cell r="L2024" t="str">
            <v>CN</v>
          </cell>
          <cell r="M2024">
            <v>46191</v>
          </cell>
          <cell r="N2024">
            <v>46198</v>
          </cell>
          <cell r="O2024">
            <v>46199</v>
          </cell>
          <cell r="P2024">
            <v>108373073650</v>
          </cell>
          <cell r="Q2024">
            <v>46198</v>
          </cell>
          <cell r="R2024" t="str">
            <v>No inspection</v>
          </cell>
          <cell r="S2024">
            <v>7931.62</v>
          </cell>
          <cell r="T2024" t="str">
            <v>EXW</v>
          </cell>
          <cell r="U2024">
            <v>188</v>
          </cell>
        </row>
        <row r="2025">
          <cell r="D2025">
            <v>4.5</v>
          </cell>
          <cell r="F2025">
            <v>815918865125</v>
          </cell>
          <cell r="G2025" t="str">
            <v>TEXAS INSTRUMENTS S.E.A. PTE LTD</v>
          </cell>
          <cell r="H2025" t="str">
            <v>Delivered</v>
          </cell>
          <cell r="I2025" t="str">
            <v>IC M, IC A</v>
          </cell>
          <cell r="J2025" t="str">
            <v>Fedex</v>
          </cell>
          <cell r="K2025" t="str">
            <v>VVMV</v>
          </cell>
          <cell r="L2025" t="str">
            <v>SG</v>
          </cell>
          <cell r="M2025">
            <v>46193</v>
          </cell>
          <cell r="N2025">
            <v>46197</v>
          </cell>
          <cell r="O2025">
            <v>46198</v>
          </cell>
          <cell r="P2025">
            <v>108367802910</v>
          </cell>
          <cell r="Q2025">
            <v>46196</v>
          </cell>
          <cell r="R2025" t="str">
            <v>No inspection</v>
          </cell>
          <cell r="S2025">
            <v>17265</v>
          </cell>
          <cell r="T2025" t="str">
            <v>EXW</v>
          </cell>
          <cell r="U2025" t="str">
            <v>LUC</v>
          </cell>
        </row>
        <row r="2026">
          <cell r="D2026">
            <v>1.5</v>
          </cell>
          <cell r="F2026">
            <v>382077320146</v>
          </cell>
          <cell r="G2026" t="str">
            <v>E c/o KWE Logistics (Shenzhen)
Texas Instruments Asia Limited</v>
          </cell>
          <cell r="H2026" t="str">
            <v>Delivered</v>
          </cell>
          <cell r="I2026" t="str">
            <v>IC D, IC S, GRAV</v>
          </cell>
          <cell r="J2026" t="str">
            <v>Fedex</v>
          </cell>
          <cell r="K2026" t="str">
            <v>VVMV</v>
          </cell>
          <cell r="L2026" t="str">
            <v>CN</v>
          </cell>
          <cell r="M2026">
            <v>46190</v>
          </cell>
          <cell r="N2026">
            <v>46198</v>
          </cell>
          <cell r="O2026">
            <v>46199</v>
          </cell>
          <cell r="P2026">
            <v>108372263750</v>
          </cell>
          <cell r="Q2026">
            <v>46197</v>
          </cell>
          <cell r="R2026" t="str">
            <v>No inspection</v>
          </cell>
          <cell r="S2026">
            <v>1168.08</v>
          </cell>
          <cell r="T2026" t="str">
            <v>CIF</v>
          </cell>
          <cell r="U2026">
            <v>142</v>
          </cell>
        </row>
        <row r="2027">
          <cell r="D2027">
            <v>1.1000000000000001</v>
          </cell>
          <cell r="F2027">
            <v>382080243184</v>
          </cell>
          <cell r="G2027" t="str">
            <v>c/o KWE Logistics (Shenzhen)
Texas Instruments Asia Limited</v>
          </cell>
          <cell r="H2027" t="str">
            <v>Delivered</v>
          </cell>
          <cell r="I2027" t="str">
            <v>IC V</v>
          </cell>
          <cell r="J2027" t="str">
            <v>Fedex</v>
          </cell>
          <cell r="K2027" t="str">
            <v>VVMV</v>
          </cell>
          <cell r="L2027" t="str">
            <v>CN</v>
          </cell>
          <cell r="M2027">
            <v>46190</v>
          </cell>
          <cell r="N2027">
            <v>46197</v>
          </cell>
          <cell r="O2027">
            <v>46198</v>
          </cell>
          <cell r="P2027">
            <v>108367978610</v>
          </cell>
          <cell r="Q2027">
            <v>46196</v>
          </cell>
          <cell r="R2027" t="str">
            <v>No inspection</v>
          </cell>
          <cell r="S2027">
            <v>1170</v>
          </cell>
          <cell r="T2027" t="str">
            <v>EXW</v>
          </cell>
          <cell r="U2027" t="str">
            <v>LUC</v>
          </cell>
        </row>
        <row r="2028">
          <cell r="D2028">
            <v>0.8</v>
          </cell>
          <cell r="F2028">
            <v>873292496961</v>
          </cell>
          <cell r="G2028" t="str">
            <v>Element14 Pte Ltd</v>
          </cell>
          <cell r="H2028" t="str">
            <v>Delivered</v>
          </cell>
          <cell r="I2028" t="str">
            <v xml:space="preserve">CAP </v>
          </cell>
          <cell r="J2028" t="str">
            <v>Fedex</v>
          </cell>
          <cell r="K2028" t="str">
            <v>VVMV</v>
          </cell>
          <cell r="L2028" t="str">
            <v>SG</v>
          </cell>
          <cell r="M2028">
            <v>46192</v>
          </cell>
          <cell r="N2028">
            <v>46197</v>
          </cell>
          <cell r="O2028">
            <v>46198</v>
          </cell>
          <cell r="P2028">
            <v>108367841040</v>
          </cell>
          <cell r="Q2028">
            <v>46196</v>
          </cell>
          <cell r="R2028" t="str">
            <v>No inspection</v>
          </cell>
          <cell r="S2028">
            <v>65.38</v>
          </cell>
          <cell r="T2028" t="str">
            <v>EXW</v>
          </cell>
          <cell r="U2028" t="str">
            <v>EF-</v>
          </cell>
        </row>
        <row r="2029">
          <cell r="D2029">
            <v>2.2000000000000002</v>
          </cell>
          <cell r="F2029">
            <v>382125005305</v>
          </cell>
          <cell r="G2029" t="str">
            <v>O/B ANALOG DEVICES INTERNATIONAL UC
DHL SUPPLY CHAIN MANAGEMENT PHILS</v>
          </cell>
          <cell r="H2029" t="str">
            <v>Delivered</v>
          </cell>
          <cell r="I2029" t="str">
            <v>IC C</v>
          </cell>
          <cell r="J2029" t="str">
            <v>Fedex</v>
          </cell>
          <cell r="K2029" t="str">
            <v>VVMV</v>
          </cell>
          <cell r="L2029" t="str">
            <v>PH</v>
          </cell>
          <cell r="M2029">
            <v>46191</v>
          </cell>
          <cell r="N2029">
            <v>46197</v>
          </cell>
          <cell r="O2029">
            <v>46198</v>
          </cell>
          <cell r="P2029">
            <v>108367923860</v>
          </cell>
          <cell r="Q2029">
            <v>46196</v>
          </cell>
          <cell r="R2029" t="str">
            <v>No inspection</v>
          </cell>
          <cell r="S2029">
            <v>30700</v>
          </cell>
          <cell r="T2029" t="str">
            <v>EXW</v>
          </cell>
          <cell r="U2029" t="str">
            <v>PUR</v>
          </cell>
        </row>
        <row r="2030">
          <cell r="D2030">
            <v>3.5</v>
          </cell>
          <cell r="F2030">
            <v>873285613010</v>
          </cell>
          <cell r="G2030" t="str">
            <v>Sunlord Electronics Technology Pte</v>
          </cell>
          <cell r="H2030" t="str">
            <v>Delivered</v>
          </cell>
          <cell r="I2030" t="str">
            <v xml:space="preserve">RES , CAP </v>
          </cell>
          <cell r="J2030" t="str">
            <v>Fedex</v>
          </cell>
          <cell r="K2030" t="str">
            <v>VVMV</v>
          </cell>
          <cell r="L2030" t="str">
            <v>SG</v>
          </cell>
          <cell r="M2030">
            <v>46192</v>
          </cell>
          <cell r="N2030">
            <v>46197</v>
          </cell>
          <cell r="O2030">
            <v>46198</v>
          </cell>
          <cell r="P2030">
            <v>108367970060</v>
          </cell>
          <cell r="Q2030">
            <v>46196</v>
          </cell>
          <cell r="R2030" t="str">
            <v>No inspection</v>
          </cell>
          <cell r="S2030">
            <v>1529.15</v>
          </cell>
          <cell r="T2030" t="str">
            <v>EXW</v>
          </cell>
          <cell r="U2030" t="str">
            <v>HLO</v>
          </cell>
        </row>
        <row r="2031">
          <cell r="D2031">
            <v>21.2</v>
          </cell>
          <cell r="F2031">
            <v>484361670371</v>
          </cell>
          <cell r="G2031" t="str">
            <v>COILCRAFT SINGAPORE PTE LTD</v>
          </cell>
          <cell r="H2031" t="str">
            <v>Delivered</v>
          </cell>
          <cell r="I2031" t="str">
            <v xml:space="preserve">INDU, IND </v>
          </cell>
          <cell r="J2031" t="str">
            <v>Fedex</v>
          </cell>
          <cell r="K2031" t="str">
            <v>VVMV</v>
          </cell>
          <cell r="L2031" t="str">
            <v>SG</v>
          </cell>
          <cell r="M2031">
            <v>46192</v>
          </cell>
          <cell r="N2031">
            <v>46197</v>
          </cell>
          <cell r="O2031">
            <v>46198</v>
          </cell>
          <cell r="P2031">
            <v>108368003330</v>
          </cell>
          <cell r="Q2031">
            <v>46196</v>
          </cell>
          <cell r="R2031" t="str">
            <v>No inspection</v>
          </cell>
          <cell r="S2031">
            <v>4897.5</v>
          </cell>
          <cell r="T2031" t="str">
            <v>EXW</v>
          </cell>
          <cell r="U2031" t="str">
            <v>EF-</v>
          </cell>
        </row>
        <row r="2032">
          <cell r="D2032">
            <v>37.9</v>
          </cell>
          <cell r="F2032">
            <v>515199061257</v>
          </cell>
          <cell r="G2032" t="str">
            <v>AVNET ASIA PTE LTD</v>
          </cell>
          <cell r="H2032" t="str">
            <v>Delivered</v>
          </cell>
          <cell r="I2032" t="str">
            <v xml:space="preserve">CAP , CONN, RES </v>
          </cell>
          <cell r="J2032" t="str">
            <v>Fedex</v>
          </cell>
          <cell r="K2032" t="str">
            <v>VVMV</v>
          </cell>
          <cell r="L2032" t="str">
            <v>SG</v>
          </cell>
          <cell r="M2032">
            <v>46192</v>
          </cell>
          <cell r="N2032">
            <v>46197</v>
          </cell>
          <cell r="O2032">
            <v>46198</v>
          </cell>
          <cell r="P2032">
            <v>108368130840</v>
          </cell>
          <cell r="Q2032">
            <v>46196</v>
          </cell>
          <cell r="R2032" t="str">
            <v>No inspection</v>
          </cell>
          <cell r="S2032">
            <v>7920.99</v>
          </cell>
          <cell r="T2032" t="str">
            <v>EXW</v>
          </cell>
          <cell r="U2032" t="str">
            <v>PUR</v>
          </cell>
        </row>
        <row r="2033">
          <cell r="D2033">
            <v>0.6</v>
          </cell>
          <cell r="F2033">
            <v>815918865136</v>
          </cell>
          <cell r="G2033" t="str">
            <v>TEXAS INSTRUMENTS S.E.A. PTE LTD</v>
          </cell>
          <cell r="H2033" t="str">
            <v>Delivered</v>
          </cell>
          <cell r="I2033" t="str">
            <v>IC M</v>
          </cell>
          <cell r="J2033" t="str">
            <v>Fedex</v>
          </cell>
          <cell r="K2033" t="str">
            <v>VVMV</v>
          </cell>
          <cell r="L2033" t="str">
            <v>SG</v>
          </cell>
          <cell r="M2033">
            <v>46195</v>
          </cell>
          <cell r="N2033">
            <v>46197</v>
          </cell>
          <cell r="O2033">
            <v>46198</v>
          </cell>
          <cell r="P2033">
            <v>108368316230</v>
          </cell>
          <cell r="Q2033">
            <v>46196</v>
          </cell>
          <cell r="R2033" t="str">
            <v>No inspection</v>
          </cell>
          <cell r="S2033">
            <v>1428</v>
          </cell>
          <cell r="T2033" t="str">
            <v>EXW</v>
          </cell>
          <cell r="U2033" t="str">
            <v>LUC</v>
          </cell>
        </row>
        <row r="2034">
          <cell r="D2034" t="str">
            <v>505.5 KG</v>
          </cell>
          <cell r="F2034">
            <v>477592567710</v>
          </cell>
          <cell r="G2034" t="str">
            <v>QUALCOMM CDMA TECHNOLOGIES ASIA-PAC</v>
          </cell>
          <cell r="H2034" t="str">
            <v>on the way</v>
          </cell>
          <cell r="I2034" t="str">
            <v>IC C</v>
          </cell>
          <cell r="J2034" t="str">
            <v>Fedex</v>
          </cell>
          <cell r="K2034" t="str">
            <v>VVMV</v>
          </cell>
          <cell r="M2034">
            <v>46192</v>
          </cell>
          <cell r="N2034">
            <v>46198</v>
          </cell>
          <cell r="P2034" t="str">
            <v>Buyer Vincent confirm reject</v>
          </cell>
          <cell r="R2034" t="str">
            <v>No inspection</v>
          </cell>
          <cell r="U2034" t="str">
            <v>LUC</v>
          </cell>
        </row>
        <row r="2035">
          <cell r="D2035">
            <v>3.4</v>
          </cell>
          <cell r="F2035">
            <v>382145649953</v>
          </cell>
          <cell r="G2035" t="str">
            <v>c/o DHL Supply Chain SGP P/L
Texas Instruments Southeast Asia Pt</v>
          </cell>
          <cell r="H2035" t="str">
            <v>Delivered</v>
          </cell>
          <cell r="I2035" t="str">
            <v>IC S</v>
          </cell>
          <cell r="J2035" t="str">
            <v>Fedex</v>
          </cell>
          <cell r="K2035" t="str">
            <v>VVMV</v>
          </cell>
          <cell r="L2035" t="str">
            <v>SG</v>
          </cell>
          <cell r="M2035">
            <v>46193</v>
          </cell>
          <cell r="N2035">
            <v>46197</v>
          </cell>
          <cell r="O2035">
            <v>46198</v>
          </cell>
          <cell r="P2035">
            <v>108368290330</v>
          </cell>
          <cell r="Q2035">
            <v>46196</v>
          </cell>
          <cell r="R2035" t="str">
            <v>No inspection</v>
          </cell>
          <cell r="S2035">
            <v>5328</v>
          </cell>
          <cell r="T2035" t="str">
            <v>EXW</v>
          </cell>
          <cell r="U2035" t="str">
            <v>PUR</v>
          </cell>
        </row>
        <row r="2036">
          <cell r="D2036">
            <v>0.5</v>
          </cell>
          <cell r="F2036">
            <v>382151561475</v>
          </cell>
          <cell r="G2036" t="str">
            <v>c/o DHL Supply Chain SGP P/L
Texas Instruments Southeast Asia Pt</v>
          </cell>
          <cell r="H2036" t="str">
            <v>Delivered</v>
          </cell>
          <cell r="I2036" t="str">
            <v>IC C</v>
          </cell>
          <cell r="J2036" t="str">
            <v>Fedex</v>
          </cell>
          <cell r="K2036" t="str">
            <v>VVMV</v>
          </cell>
          <cell r="L2036" t="str">
            <v>SG</v>
          </cell>
          <cell r="M2036">
            <v>46195</v>
          </cell>
          <cell r="N2036">
            <v>46197</v>
          </cell>
          <cell r="O2036">
            <v>46198</v>
          </cell>
          <cell r="P2036">
            <v>108368356720</v>
          </cell>
          <cell r="Q2036">
            <v>46196</v>
          </cell>
          <cell r="R2036" t="str">
            <v>No inspection</v>
          </cell>
          <cell r="S2036">
            <v>954</v>
          </cell>
          <cell r="T2036" t="str">
            <v>EXW</v>
          </cell>
          <cell r="U2036" t="str">
            <v>HLO</v>
          </cell>
        </row>
        <row r="2037">
          <cell r="D2037">
            <v>8</v>
          </cell>
          <cell r="F2037">
            <v>530477344966</v>
          </cell>
          <cell r="G2037" t="str">
            <v>MICRON MEMORY MALAYSIA SDN BHD</v>
          </cell>
          <cell r="H2037" t="str">
            <v>Delivered</v>
          </cell>
          <cell r="I2037" t="str">
            <v xml:space="preserve">MEM </v>
          </cell>
          <cell r="J2037" t="str">
            <v>Fedex</v>
          </cell>
          <cell r="K2037" t="str">
            <v>VVMV</v>
          </cell>
          <cell r="L2037" t="str">
            <v>MY</v>
          </cell>
          <cell r="M2037">
            <v>46192</v>
          </cell>
          <cell r="N2037">
            <v>46197</v>
          </cell>
          <cell r="O2037">
            <v>46198</v>
          </cell>
          <cell r="P2037">
            <v>108368361510</v>
          </cell>
          <cell r="Q2037">
            <v>46196</v>
          </cell>
          <cell r="R2037" t="str">
            <v>No inspection</v>
          </cell>
          <cell r="S2037">
            <v>497625.24</v>
          </cell>
          <cell r="T2037" t="str">
            <v>EXW</v>
          </cell>
          <cell r="U2037" t="str">
            <v>PUR</v>
          </cell>
        </row>
        <row r="2038">
          <cell r="D2038">
            <v>1</v>
          </cell>
          <cell r="F2038">
            <v>872817900426</v>
          </cell>
          <cell r="G2038" t="str">
            <v>ARROW JAPAN G.K.</v>
          </cell>
          <cell r="H2038" t="str">
            <v>Delivered</v>
          </cell>
          <cell r="I2038" t="str">
            <v xml:space="preserve">CAP </v>
          </cell>
          <cell r="J2038" t="str">
            <v>Fedex</v>
          </cell>
          <cell r="K2038" t="str">
            <v>VVMV</v>
          </cell>
          <cell r="L2038" t="str">
            <v>JP</v>
          </cell>
          <cell r="M2038">
            <v>46182</v>
          </cell>
          <cell r="N2038">
            <v>46197</v>
          </cell>
          <cell r="O2038">
            <v>46198</v>
          </cell>
          <cell r="P2038">
            <v>108368452250</v>
          </cell>
          <cell r="Q2038">
            <v>46196</v>
          </cell>
          <cell r="R2038" t="str">
            <v>No inspection</v>
          </cell>
          <cell r="S2038">
            <v>1370.0096000000001</v>
          </cell>
          <cell r="T2038" t="str">
            <v>EXW</v>
          </cell>
          <cell r="U2038">
            <v>122</v>
          </cell>
        </row>
        <row r="2039">
          <cell r="D2039">
            <v>3.1</v>
          </cell>
          <cell r="F2039">
            <v>530477362597</v>
          </cell>
          <cell r="G2039" t="str">
            <v>MICRON MEMORY MALAYSIA SDN BHD</v>
          </cell>
          <cell r="H2039" t="str">
            <v>Delivered</v>
          </cell>
          <cell r="I2039" t="str">
            <v xml:space="preserve">MEM </v>
          </cell>
          <cell r="J2039" t="str">
            <v>Fedex</v>
          </cell>
          <cell r="K2039" t="str">
            <v>VVMV</v>
          </cell>
          <cell r="L2039" t="str">
            <v>MY</v>
          </cell>
          <cell r="M2039">
            <v>46195</v>
          </cell>
          <cell r="N2039">
            <v>46198</v>
          </cell>
          <cell r="O2039">
            <v>46199</v>
          </cell>
          <cell r="P2039">
            <v>108371744350</v>
          </cell>
          <cell r="Q2039">
            <v>46197</v>
          </cell>
          <cell r="R2039" t="str">
            <v>No inspection</v>
          </cell>
          <cell r="S2039">
            <v>1012586.4</v>
          </cell>
          <cell r="T2039" t="str">
            <v>CIF</v>
          </cell>
          <cell r="U2039" t="str">
            <v>PUR</v>
          </cell>
        </row>
        <row r="2040">
          <cell r="D2040">
            <v>5.7</v>
          </cell>
          <cell r="F2040">
            <v>530477367544</v>
          </cell>
          <cell r="G2040" t="str">
            <v>Micron Memory Malaysia Sdn. Bhd</v>
          </cell>
          <cell r="H2040" t="str">
            <v>Delivered</v>
          </cell>
          <cell r="I2040" t="str">
            <v xml:space="preserve">MEM </v>
          </cell>
          <cell r="J2040" t="str">
            <v>Fedex</v>
          </cell>
          <cell r="K2040" t="str">
            <v>VVMV</v>
          </cell>
          <cell r="L2040" t="str">
            <v>MY</v>
          </cell>
          <cell r="M2040">
            <v>46195</v>
          </cell>
          <cell r="N2040">
            <v>46198</v>
          </cell>
          <cell r="O2040">
            <v>46199</v>
          </cell>
          <cell r="P2040">
            <v>108371825550</v>
          </cell>
          <cell r="Q2040">
            <v>46197</v>
          </cell>
          <cell r="R2040" t="str">
            <v>No inspection</v>
          </cell>
          <cell r="S2040">
            <v>2009100</v>
          </cell>
          <cell r="T2040" t="str">
            <v>CIF</v>
          </cell>
          <cell r="U2040" t="str">
            <v>PUR</v>
          </cell>
        </row>
        <row r="2041">
          <cell r="D2041">
            <v>1</v>
          </cell>
          <cell r="F2041">
            <v>873287538252</v>
          </cell>
          <cell r="G2041" t="str">
            <v>ARROW JAPAN G.K.</v>
          </cell>
          <cell r="H2041" t="str">
            <v>Delivered</v>
          </cell>
          <cell r="I2041" t="str">
            <v xml:space="preserve">CAP </v>
          </cell>
          <cell r="J2041" t="str">
            <v>Fedex</v>
          </cell>
          <cell r="K2041" t="str">
            <v>VVMV</v>
          </cell>
          <cell r="L2041" t="str">
            <v>JP</v>
          </cell>
          <cell r="M2041">
            <v>46192</v>
          </cell>
          <cell r="N2041">
            <v>46197</v>
          </cell>
          <cell r="O2041">
            <v>46198</v>
          </cell>
          <cell r="P2041">
            <v>108368634730</v>
          </cell>
          <cell r="Q2041">
            <v>46196</v>
          </cell>
          <cell r="R2041" t="str">
            <v>No inspection</v>
          </cell>
          <cell r="S2041">
            <v>95.462800000000001</v>
          </cell>
          <cell r="T2041" t="str">
            <v>EXW</v>
          </cell>
          <cell r="U2041">
            <v>122</v>
          </cell>
        </row>
        <row r="2042">
          <cell r="D2042">
            <v>30</v>
          </cell>
          <cell r="F2042">
            <v>510007371798</v>
          </cell>
          <cell r="G2042" t="str">
            <v>SINO FAITH TECHNOLOGY DEVELOPMENT LTD.</v>
          </cell>
          <cell r="H2042" t="str">
            <v>Delivered</v>
          </cell>
          <cell r="I2042" t="str">
            <v xml:space="preserve">CAP , RES , IND </v>
          </cell>
          <cell r="J2042" t="str">
            <v>Fedex</v>
          </cell>
          <cell r="K2042" t="str">
            <v>VVMV</v>
          </cell>
          <cell r="L2042" t="str">
            <v>HK</v>
          </cell>
          <cell r="M2042">
            <v>46193</v>
          </cell>
          <cell r="N2042">
            <v>46198</v>
          </cell>
          <cell r="O2042">
            <v>46199</v>
          </cell>
          <cell r="P2042">
            <v>108373055710</v>
          </cell>
          <cell r="Q2042">
            <v>46198</v>
          </cell>
          <cell r="R2042" t="str">
            <v>No inspection</v>
          </cell>
          <cell r="S2042">
            <v>5401.1</v>
          </cell>
          <cell r="T2042" t="str">
            <v>EXW</v>
          </cell>
          <cell r="U2042">
            <v>122</v>
          </cell>
        </row>
        <row r="2043">
          <cell r="D2043">
            <v>7.4</v>
          </cell>
          <cell r="F2043">
            <v>409298928147</v>
          </cell>
          <cell r="G2043" t="str">
            <v>TTI ELECTRONICS ASIA PTE LTD</v>
          </cell>
          <cell r="H2043" t="str">
            <v>Delivered</v>
          </cell>
          <cell r="I2043" t="str">
            <v xml:space="preserve">IND , CAP </v>
          </cell>
          <cell r="J2043" t="str">
            <v>Fedex</v>
          </cell>
          <cell r="K2043" t="str">
            <v>VVMV</v>
          </cell>
          <cell r="L2043" t="str">
            <v>SG</v>
          </cell>
          <cell r="M2043">
            <v>46192</v>
          </cell>
          <cell r="N2043">
            <v>46197</v>
          </cell>
          <cell r="O2043">
            <v>46198</v>
          </cell>
          <cell r="P2043">
            <v>108368641510</v>
          </cell>
          <cell r="Q2043">
            <v>46196</v>
          </cell>
          <cell r="R2043" t="str">
            <v>No inspection</v>
          </cell>
          <cell r="S2043">
            <v>1380.6</v>
          </cell>
          <cell r="T2043" t="str">
            <v>EXW</v>
          </cell>
          <cell r="U2043" t="str">
            <v>LUC</v>
          </cell>
        </row>
        <row r="2044">
          <cell r="D2044">
            <v>0.6</v>
          </cell>
          <cell r="F2044">
            <v>872986332380</v>
          </cell>
          <cell r="G2044" t="str">
            <v>CYMMETRIK SHENZHEN PRINTING CO., LTD</v>
          </cell>
          <cell r="H2044" t="str">
            <v>Delivered</v>
          </cell>
          <cell r="I2044" t="str">
            <v>LABE</v>
          </cell>
          <cell r="J2044" t="str">
            <v>Fedex</v>
          </cell>
          <cell r="K2044" t="str">
            <v>VVMV</v>
          </cell>
          <cell r="L2044" t="str">
            <v>CN</v>
          </cell>
          <cell r="M2044">
            <v>46185</v>
          </cell>
          <cell r="N2044">
            <v>46199</v>
          </cell>
          <cell r="O2044">
            <v>46202</v>
          </cell>
          <cell r="P2044">
            <v>108376237100</v>
          </cell>
          <cell r="Q2044">
            <v>46198</v>
          </cell>
          <cell r="R2044" t="str">
            <v>No inspection</v>
          </cell>
          <cell r="S2044">
            <v>1.1499999999999999</v>
          </cell>
          <cell r="T2044" t="str">
            <v>CIF</v>
          </cell>
          <cell r="U2044" t="str">
            <v>PUR</v>
          </cell>
        </row>
        <row r="2045">
          <cell r="H2045" t="str">
            <v>Delivered</v>
          </cell>
          <cell r="J2045" t="str">
            <v>Fedex</v>
          </cell>
          <cell r="K2045" t="str">
            <v>VVMV</v>
          </cell>
          <cell r="O2045">
            <v>0</v>
          </cell>
        </row>
        <row r="2046">
          <cell r="D2046">
            <v>146</v>
          </cell>
          <cell r="F2046" t="str">
            <v>PLISGFE00513</v>
          </cell>
          <cell r="G2046" t="str">
            <v>FUTURE ELECTRONICS INC (DIST) PTE LTD</v>
          </cell>
          <cell r="H2046" t="str">
            <v>Delivered</v>
          </cell>
          <cell r="I2046" t="str">
            <v xml:space="preserve">CAP , IC V, RES , TRAN, IC S, IND </v>
          </cell>
          <cell r="J2046" t="str">
            <v>LX</v>
          </cell>
          <cell r="K2046" t="str">
            <v>VVMV</v>
          </cell>
          <cell r="L2046" t="str">
            <v>SG</v>
          </cell>
          <cell r="M2046">
            <v>46196</v>
          </cell>
          <cell r="N2046">
            <v>46197</v>
          </cell>
          <cell r="O2046">
            <v>46197</v>
          </cell>
          <cell r="P2046">
            <v>108368767360</v>
          </cell>
          <cell r="Q2046">
            <v>46196</v>
          </cell>
          <cell r="R2046" t="str">
            <v>No inspection</v>
          </cell>
          <cell r="S2046">
            <v>32472.55</v>
          </cell>
          <cell r="T2046" t="str">
            <v>DAP</v>
          </cell>
          <cell r="U2046" t="str">
            <v>EF-</v>
          </cell>
        </row>
        <row r="2047">
          <cell r="D2047">
            <v>1117.6210000000001</v>
          </cell>
          <cell r="F2047" t="str">
            <v>PSHPH2660087</v>
          </cell>
          <cell r="G2047" t="str">
            <v>COMPEQ MANUFACTURING COMPANY LIMITED</v>
          </cell>
          <cell r="H2047" t="str">
            <v>Delivered</v>
          </cell>
          <cell r="I2047" t="str">
            <v xml:space="preserve">PCB </v>
          </cell>
          <cell r="J2047" t="str">
            <v>VVMV(SEA)</v>
          </cell>
          <cell r="K2047" t="str">
            <v>VVMV</v>
          </cell>
          <cell r="L2047" t="str">
            <v>TW</v>
          </cell>
          <cell r="M2047">
            <v>46187</v>
          </cell>
          <cell r="N2047">
            <v>46202</v>
          </cell>
          <cell r="O2047">
            <v>46202</v>
          </cell>
          <cell r="P2047">
            <v>108377332340</v>
          </cell>
          <cell r="Q2047">
            <v>46199</v>
          </cell>
          <cell r="R2047" t="str">
            <v>No inspection</v>
          </cell>
          <cell r="S2047">
            <v>168398.63</v>
          </cell>
          <cell r="T2047" t="str">
            <v>FOB</v>
          </cell>
          <cell r="U2047" t="str">
            <v>PUR</v>
          </cell>
        </row>
        <row r="2048">
          <cell r="D2048">
            <v>18.2</v>
          </cell>
          <cell r="F2048">
            <v>471797733588</v>
          </cell>
          <cell r="G2048" t="str">
            <v>LIPERS ENTERPRISE CO., LTD.</v>
          </cell>
          <cell r="H2048" t="str">
            <v>Delivered</v>
          </cell>
          <cell r="I2048" t="str">
            <v xml:space="preserve">CAP </v>
          </cell>
          <cell r="J2048" t="str">
            <v>Fedex</v>
          </cell>
          <cell r="K2048" t="str">
            <v>VVMV</v>
          </cell>
          <cell r="L2048" t="str">
            <v>TW</v>
          </cell>
          <cell r="M2048">
            <v>46195</v>
          </cell>
          <cell r="N2048">
            <v>46198</v>
          </cell>
          <cell r="O2048">
            <v>46199</v>
          </cell>
          <cell r="P2048">
            <v>108372082340</v>
          </cell>
          <cell r="Q2048">
            <v>46197</v>
          </cell>
          <cell r="R2048" t="str">
            <v>No inspection</v>
          </cell>
          <cell r="S2048">
            <v>1646</v>
          </cell>
          <cell r="T2048" t="str">
            <v>EXW</v>
          </cell>
          <cell r="U2048" t="str">
            <v>PUR</v>
          </cell>
        </row>
        <row r="2049">
          <cell r="D2049">
            <v>6.8</v>
          </cell>
          <cell r="F2049" t="str">
            <v>8XN6119</v>
          </cell>
          <cell r="G2049" t="str">
            <v>KIOXIA CORPORATION C/O KIOXIA AMERICA INC</v>
          </cell>
          <cell r="H2049" t="str">
            <v>Delivered</v>
          </cell>
          <cell r="I2049" t="str">
            <v xml:space="preserve">MEM </v>
          </cell>
          <cell r="J2049" t="str">
            <v>DHL( global)</v>
          </cell>
          <cell r="K2049" t="str">
            <v>VVMV</v>
          </cell>
          <cell r="L2049" t="str">
            <v>JP</v>
          </cell>
          <cell r="M2049">
            <v>46198</v>
          </cell>
          <cell r="N2049">
            <v>46199</v>
          </cell>
          <cell r="O2049">
            <v>46199</v>
          </cell>
          <cell r="P2049">
            <v>108376949700</v>
          </cell>
          <cell r="Q2049">
            <v>46199</v>
          </cell>
          <cell r="R2049" t="str">
            <v>No inspection</v>
          </cell>
          <cell r="S2049">
            <v>473978.19</v>
          </cell>
          <cell r="T2049" t="str">
            <v>CIP</v>
          </cell>
          <cell r="U2049" t="str">
            <v>PUR</v>
          </cell>
        </row>
        <row r="2050">
          <cell r="D2050">
            <v>6.8</v>
          </cell>
          <cell r="F2050" t="str">
            <v>8XN6120</v>
          </cell>
          <cell r="G2050" t="str">
            <v>KIOXIA CORPORATION C/O KIOXIA AMERICA INC</v>
          </cell>
          <cell r="H2050" t="str">
            <v>Delivered</v>
          </cell>
          <cell r="I2050" t="str">
            <v xml:space="preserve">MEM </v>
          </cell>
          <cell r="J2050" t="str">
            <v>DHL( global)</v>
          </cell>
          <cell r="K2050" t="str">
            <v>VVMV</v>
          </cell>
          <cell r="L2050" t="str">
            <v>JP</v>
          </cell>
          <cell r="M2050">
            <v>46198</v>
          </cell>
          <cell r="N2050">
            <v>46199</v>
          </cell>
          <cell r="O2050">
            <v>46199</v>
          </cell>
          <cell r="P2050">
            <v>108376980350</v>
          </cell>
          <cell r="Q2050">
            <v>46199</v>
          </cell>
          <cell r="R2050" t="str">
            <v>No inspection</v>
          </cell>
          <cell r="S2050">
            <v>472262.21</v>
          </cell>
          <cell r="T2050" t="str">
            <v>CIP</v>
          </cell>
          <cell r="U2050" t="str">
            <v>PUR</v>
          </cell>
        </row>
        <row r="2051">
          <cell r="D2051">
            <v>6.2</v>
          </cell>
          <cell r="F2051" t="str">
            <v>8XN6121</v>
          </cell>
          <cell r="G2051" t="str">
            <v>KIOXIA CORPORATION C/O KIOXIA AMERICA INC</v>
          </cell>
          <cell r="H2051" t="str">
            <v>Delivered</v>
          </cell>
          <cell r="I2051" t="str">
            <v xml:space="preserve">MEM </v>
          </cell>
          <cell r="J2051" t="str">
            <v>DHL( global)</v>
          </cell>
          <cell r="K2051" t="str">
            <v>VVMV</v>
          </cell>
          <cell r="L2051" t="str">
            <v>JP</v>
          </cell>
          <cell r="M2051">
            <v>46198</v>
          </cell>
          <cell r="N2051">
            <v>46199</v>
          </cell>
          <cell r="O2051">
            <v>46199</v>
          </cell>
          <cell r="P2051">
            <v>108377015350</v>
          </cell>
          <cell r="Q2051">
            <v>46199</v>
          </cell>
          <cell r="R2051" t="str">
            <v>No inspection</v>
          </cell>
          <cell r="S2051">
            <v>431568.97</v>
          </cell>
          <cell r="T2051" t="str">
            <v>CIP</v>
          </cell>
          <cell r="U2051" t="str">
            <v>PUR</v>
          </cell>
        </row>
        <row r="2052">
          <cell r="D2052" t="str">
            <v>x</v>
          </cell>
          <cell r="F2052">
            <v>528454540704</v>
          </cell>
          <cell r="G2052" t="str">
            <v>Abracon LLC</v>
          </cell>
          <cell r="H2052" t="str">
            <v>on the way</v>
          </cell>
          <cell r="I2052" t="str">
            <v>134-001619</v>
          </cell>
          <cell r="J2052" t="str">
            <v>Fedex</v>
          </cell>
          <cell r="K2052" t="str">
            <v>VVMV</v>
          </cell>
          <cell r="L2052" t="str">
            <v>CN</v>
          </cell>
          <cell r="M2052" t="str">
            <v>x</v>
          </cell>
          <cell r="N2052" t="str">
            <v>x</v>
          </cell>
          <cell r="P2052" t="str">
            <v>phát thẳng nhưng Fedex giao nhầm địa chỉ</v>
          </cell>
          <cell r="Q2052" t="str">
            <v>x</v>
          </cell>
          <cell r="R2052" t="str">
            <v>x</v>
          </cell>
          <cell r="S2052" t="str">
            <v>x</v>
          </cell>
          <cell r="T2052" t="str">
            <v>x</v>
          </cell>
          <cell r="U2052" t="str">
            <v>OEM</v>
          </cell>
        </row>
        <row r="2053">
          <cell r="D2053">
            <v>1.5</v>
          </cell>
          <cell r="F2053">
            <v>493602849170</v>
          </cell>
          <cell r="G2053" t="str">
            <v>VENKEL LTD</v>
          </cell>
          <cell r="H2053" t="str">
            <v>Delivered</v>
          </cell>
          <cell r="I2053" t="str">
            <v xml:space="preserve">CAP , RES </v>
          </cell>
          <cell r="J2053" t="str">
            <v>Fedex</v>
          </cell>
          <cell r="K2053" t="str">
            <v>VVMV</v>
          </cell>
          <cell r="L2053" t="str">
            <v>US</v>
          </cell>
          <cell r="M2053">
            <v>46195</v>
          </cell>
          <cell r="N2053">
            <v>46199</v>
          </cell>
          <cell r="O2053">
            <v>46202</v>
          </cell>
          <cell r="P2053">
            <v>108375347250</v>
          </cell>
          <cell r="Q2053">
            <v>46198</v>
          </cell>
          <cell r="R2053" t="str">
            <v>No inspection</v>
          </cell>
          <cell r="S2053">
            <v>526.98</v>
          </cell>
          <cell r="T2053" t="str">
            <v>CIF</v>
          </cell>
          <cell r="U2053" t="str">
            <v>EF-</v>
          </cell>
        </row>
        <row r="2054">
          <cell r="D2054">
            <v>1</v>
          </cell>
          <cell r="F2054">
            <v>873413307869</v>
          </cell>
          <cell r="G2054" t="str">
            <v>M&amp;Partners CO ., LTD (Suntsu Agent)</v>
          </cell>
          <cell r="H2054" t="str">
            <v>Delivered</v>
          </cell>
          <cell r="I2054" t="str">
            <v>CRYS</v>
          </cell>
          <cell r="J2054" t="str">
            <v>Fedex</v>
          </cell>
          <cell r="K2054" t="str">
            <v>VVMV</v>
          </cell>
          <cell r="L2054" t="str">
            <v>KR</v>
          </cell>
          <cell r="M2054">
            <v>46196</v>
          </cell>
          <cell r="N2054">
            <v>46199</v>
          </cell>
          <cell r="O2054">
            <v>46202</v>
          </cell>
          <cell r="P2054">
            <v>108375416330</v>
          </cell>
          <cell r="Q2054">
            <v>46198</v>
          </cell>
          <cell r="R2054" t="str">
            <v>No inspection</v>
          </cell>
          <cell r="S2054">
            <v>1450</v>
          </cell>
          <cell r="T2054" t="str">
            <v>CIF</v>
          </cell>
          <cell r="U2054" t="str">
            <v>EF-</v>
          </cell>
        </row>
        <row r="2055">
          <cell r="D2055">
            <v>12</v>
          </cell>
          <cell r="F2055">
            <v>531318298280</v>
          </cell>
          <cell r="G2055" t="str">
            <v>DIGI-KEY ELECTRONICS</v>
          </cell>
          <cell r="H2055" t="str">
            <v>Delivered</v>
          </cell>
          <cell r="I2055" t="str">
            <v xml:space="preserve">FERR, IND , CAP </v>
          </cell>
          <cell r="J2055" t="str">
            <v>Fedex</v>
          </cell>
          <cell r="K2055" t="str">
            <v>VVMV</v>
          </cell>
          <cell r="L2055" t="str">
            <v>US</v>
          </cell>
          <cell r="M2055">
            <v>46195</v>
          </cell>
          <cell r="N2055">
            <v>46199</v>
          </cell>
          <cell r="O2055">
            <v>46202</v>
          </cell>
          <cell r="P2055">
            <v>108375677060</v>
          </cell>
          <cell r="Q2055">
            <v>46198</v>
          </cell>
          <cell r="R2055" t="str">
            <v>No inspection</v>
          </cell>
          <cell r="S2055">
            <v>4357.4799999999996</v>
          </cell>
          <cell r="T2055" t="str">
            <v>CIF</v>
          </cell>
          <cell r="U2055" t="str">
            <v>PUR</v>
          </cell>
        </row>
        <row r="2056">
          <cell r="D2056">
            <v>2</v>
          </cell>
          <cell r="F2056">
            <v>524560659454</v>
          </cell>
          <cell r="G2056" t="str">
            <v>SAMTEC ASIA PACIFIC PTE LTD</v>
          </cell>
          <cell r="H2056" t="str">
            <v>Delivered</v>
          </cell>
          <cell r="I2056" t="str">
            <v>CONN</v>
          </cell>
          <cell r="J2056" t="str">
            <v>Fedex</v>
          </cell>
          <cell r="K2056" t="str">
            <v>VVMV</v>
          </cell>
          <cell r="L2056" t="str">
            <v>SG</v>
          </cell>
          <cell r="M2056">
            <v>46197</v>
          </cell>
          <cell r="N2056">
            <v>46199</v>
          </cell>
          <cell r="O2056">
            <v>46202</v>
          </cell>
          <cell r="P2056">
            <v>108375696440</v>
          </cell>
          <cell r="Q2056">
            <v>46198</v>
          </cell>
          <cell r="R2056" t="str">
            <v>No inspection</v>
          </cell>
          <cell r="S2056">
            <v>199.8</v>
          </cell>
          <cell r="T2056" t="str">
            <v>CIF</v>
          </cell>
          <cell r="U2056" t="str">
            <v>EF-</v>
          </cell>
        </row>
        <row r="2057">
          <cell r="D2057">
            <v>6.2</v>
          </cell>
          <cell r="F2057">
            <v>382219046493</v>
          </cell>
          <cell r="G2057" t="str">
            <v>O/B ANALOG DEVICES INTERNATIONAL UC
DHL SUPPLY CHAIN MANAGEMENT PHILS</v>
          </cell>
          <cell r="H2057" t="str">
            <v>Delivered</v>
          </cell>
          <cell r="I2057" t="str">
            <v>IC C</v>
          </cell>
          <cell r="J2057" t="str">
            <v>Fedex</v>
          </cell>
          <cell r="K2057" t="str">
            <v>VVMV</v>
          </cell>
          <cell r="L2057" t="str">
            <v>PH</v>
          </cell>
          <cell r="M2057">
            <v>46197</v>
          </cell>
          <cell r="N2057">
            <v>46199</v>
          </cell>
          <cell r="O2057">
            <v>46202</v>
          </cell>
          <cell r="P2057">
            <v>108375718400</v>
          </cell>
          <cell r="Q2057">
            <v>46198</v>
          </cell>
          <cell r="R2057" t="str">
            <v>No inspection</v>
          </cell>
          <cell r="S2057">
            <v>76750</v>
          </cell>
          <cell r="T2057" t="str">
            <v>EXW</v>
          </cell>
          <cell r="U2057" t="str">
            <v>PUR</v>
          </cell>
        </row>
        <row r="2058">
          <cell r="D2058">
            <v>0.6</v>
          </cell>
          <cell r="F2058">
            <v>873415722509</v>
          </cell>
          <cell r="G2058" t="str">
            <v>FUTURETECH COMPONENTS LTD</v>
          </cell>
          <cell r="H2058" t="str">
            <v>Delivered</v>
          </cell>
          <cell r="I2058" t="str">
            <v>IC V</v>
          </cell>
          <cell r="J2058" t="str">
            <v>Fedex</v>
          </cell>
          <cell r="K2058" t="str">
            <v>VVMV</v>
          </cell>
          <cell r="L2058" t="str">
            <v>HK</v>
          </cell>
          <cell r="M2058">
            <v>46196</v>
          </cell>
          <cell r="N2058">
            <v>46199</v>
          </cell>
          <cell r="O2058">
            <v>46202</v>
          </cell>
          <cell r="P2058">
            <v>108375743710</v>
          </cell>
          <cell r="Q2058">
            <v>46198</v>
          </cell>
          <cell r="R2058" t="str">
            <v>No inspection</v>
          </cell>
          <cell r="S2058">
            <v>659.34</v>
          </cell>
          <cell r="T2058" t="str">
            <v>EXW</v>
          </cell>
          <cell r="U2058">
            <v>169</v>
          </cell>
        </row>
        <row r="2059">
          <cell r="D2059">
            <v>2.6</v>
          </cell>
          <cell r="F2059">
            <v>527529965759</v>
          </cell>
          <cell r="G2059" t="str">
            <v>MICROCHIP TECHNOLOGY (THAILAND) CO., LTD</v>
          </cell>
          <cell r="H2059" t="str">
            <v>Delivered</v>
          </cell>
          <cell r="I2059" t="str">
            <v>IC U</v>
          </cell>
          <cell r="J2059" t="str">
            <v>Fedex</v>
          </cell>
          <cell r="K2059" t="str">
            <v>VVMV</v>
          </cell>
          <cell r="L2059" t="str">
            <v>TH</v>
          </cell>
          <cell r="M2059">
            <v>46196</v>
          </cell>
          <cell r="N2059">
            <v>46199</v>
          </cell>
          <cell r="O2059">
            <v>46202</v>
          </cell>
          <cell r="P2059">
            <v>108375768800</v>
          </cell>
          <cell r="Q2059">
            <v>46198</v>
          </cell>
          <cell r="R2059" t="str">
            <v>No inspection</v>
          </cell>
          <cell r="S2059">
            <v>13425</v>
          </cell>
          <cell r="T2059" t="str">
            <v>EXW</v>
          </cell>
          <cell r="U2059" t="str">
            <v>LUC</v>
          </cell>
        </row>
        <row r="2060">
          <cell r="D2060">
            <v>157</v>
          </cell>
          <cell r="F2060">
            <v>531396437006</v>
          </cell>
          <cell r="G2060" t="str">
            <v>PENCOM LTD</v>
          </cell>
          <cell r="H2060" t="str">
            <v>Delivered</v>
          </cell>
          <cell r="I2060" t="str">
            <v>STAN, SCRE</v>
          </cell>
          <cell r="J2060" t="str">
            <v>Fedex</v>
          </cell>
          <cell r="K2060" t="str">
            <v>VVMV</v>
          </cell>
          <cell r="L2060" t="str">
            <v>HK</v>
          </cell>
          <cell r="M2060">
            <v>46196</v>
          </cell>
          <cell r="N2060">
            <v>46199</v>
          </cell>
          <cell r="O2060">
            <v>46202</v>
          </cell>
          <cell r="P2060">
            <v>108376062320</v>
          </cell>
          <cell r="Q2060">
            <v>46198</v>
          </cell>
          <cell r="R2060" t="str">
            <v>No inspection</v>
          </cell>
          <cell r="S2060">
            <v>8176</v>
          </cell>
          <cell r="T2060" t="str">
            <v>EXW</v>
          </cell>
          <cell r="U2060" t="str">
            <v>PUR</v>
          </cell>
        </row>
        <row r="2061">
          <cell r="D2061">
            <v>1.6</v>
          </cell>
          <cell r="F2061">
            <v>527869842963</v>
          </cell>
          <cell r="G2061" t="str">
            <v>Wurth Elektronik eiSos GmbH</v>
          </cell>
          <cell r="H2061" t="str">
            <v>Delivered</v>
          </cell>
          <cell r="I2061" t="str">
            <v xml:space="preserve">IND </v>
          </cell>
          <cell r="J2061" t="str">
            <v>Fedex</v>
          </cell>
          <cell r="K2061" t="str">
            <v>VVMV</v>
          </cell>
          <cell r="L2061" t="str">
            <v>DE</v>
          </cell>
          <cell r="M2061">
            <v>46196</v>
          </cell>
          <cell r="N2061">
            <v>46202</v>
          </cell>
          <cell r="O2061">
            <v>46202</v>
          </cell>
          <cell r="P2061">
            <v>108379738720</v>
          </cell>
          <cell r="Q2061">
            <v>46199</v>
          </cell>
          <cell r="R2061" t="str">
            <v>No inspection</v>
          </cell>
          <cell r="S2061">
            <v>382.5</v>
          </cell>
          <cell r="T2061" t="str">
            <v>CIF</v>
          </cell>
          <cell r="U2061">
            <v>123</v>
          </cell>
        </row>
        <row r="2062">
          <cell r="D2062">
            <v>32.6</v>
          </cell>
          <cell r="F2062">
            <v>518337638766</v>
          </cell>
          <cell r="G2062" t="str">
            <v>MICROCHIP TECHNOLOGY OPS PHIL CORP</v>
          </cell>
          <cell r="H2062" t="str">
            <v>Delivered</v>
          </cell>
          <cell r="I2062" t="str">
            <v>IC E</v>
          </cell>
          <cell r="J2062" t="str">
            <v>Fedex</v>
          </cell>
          <cell r="K2062" t="str">
            <v>VVMV</v>
          </cell>
          <cell r="L2062" t="str">
            <v>PH</v>
          </cell>
          <cell r="M2062">
            <v>46197</v>
          </cell>
          <cell r="N2062">
            <v>46199</v>
          </cell>
          <cell r="O2062">
            <v>46202</v>
          </cell>
          <cell r="P2062">
            <v>108376242550</v>
          </cell>
          <cell r="Q2062">
            <v>46198</v>
          </cell>
          <cell r="R2062" t="str">
            <v>No inspection</v>
          </cell>
          <cell r="S2062">
            <v>256410</v>
          </cell>
          <cell r="T2062" t="str">
            <v>EXW</v>
          </cell>
          <cell r="U2062" t="str">
            <v>PUR</v>
          </cell>
        </row>
        <row r="2063">
          <cell r="D2063">
            <v>2</v>
          </cell>
          <cell r="F2063">
            <v>382107933826</v>
          </cell>
          <cell r="G2063" t="str">
            <v>C/O KINTETSU WORLD EXPRESS
TEXAS INSTRUMENTS ASIA LIMITED</v>
          </cell>
          <cell r="H2063" t="str">
            <v>Delivered</v>
          </cell>
          <cell r="I2063" t="str">
            <v>IC A, IC L, IC V, IC R</v>
          </cell>
          <cell r="J2063" t="str">
            <v>Fedex</v>
          </cell>
          <cell r="K2063" t="str">
            <v>VVMV</v>
          </cell>
          <cell r="L2063" t="str">
            <v>CN</v>
          </cell>
          <cell r="M2063">
            <v>46191</v>
          </cell>
          <cell r="N2063">
            <v>46199</v>
          </cell>
          <cell r="O2063">
            <v>46202</v>
          </cell>
          <cell r="P2063">
            <v>108376367520</v>
          </cell>
          <cell r="Q2063">
            <v>46198</v>
          </cell>
          <cell r="R2063" t="str">
            <v>No inspection</v>
          </cell>
          <cell r="S2063">
            <v>4279.25</v>
          </cell>
          <cell r="T2063" t="str">
            <v>EXW</v>
          </cell>
          <cell r="U2063" t="str">
            <v>LUC</v>
          </cell>
        </row>
        <row r="2064">
          <cell r="D2064">
            <v>1.9</v>
          </cell>
          <cell r="F2064">
            <v>382167242551</v>
          </cell>
          <cell r="G2064" t="str">
            <v>c/o Kintetsu World Express (China)
Texas Instruments Asia Limited</v>
          </cell>
          <cell r="H2064" t="str">
            <v>Delivered</v>
          </cell>
          <cell r="I2064" t="str">
            <v>IC D</v>
          </cell>
          <cell r="J2064" t="str">
            <v>Fedex</v>
          </cell>
          <cell r="K2064" t="str">
            <v>VVMV</v>
          </cell>
          <cell r="L2064" t="str">
            <v>CN</v>
          </cell>
          <cell r="M2064">
            <v>46195</v>
          </cell>
          <cell r="N2064">
            <v>46199</v>
          </cell>
          <cell r="O2064">
            <v>46202</v>
          </cell>
          <cell r="P2064">
            <v>108376118320</v>
          </cell>
          <cell r="Q2064">
            <v>46198</v>
          </cell>
          <cell r="R2064" t="str">
            <v>No inspection</v>
          </cell>
          <cell r="S2064">
            <v>2112</v>
          </cell>
          <cell r="T2064" t="str">
            <v>EXW</v>
          </cell>
          <cell r="U2064" t="str">
            <v>LUC</v>
          </cell>
        </row>
        <row r="2065">
          <cell r="D2065">
            <v>0.6</v>
          </cell>
          <cell r="F2065">
            <v>382130444508</v>
          </cell>
          <cell r="G2065" t="str">
            <v>c/o Kintetsu World Express (China)
Texas Instruments Asia Limited</v>
          </cell>
          <cell r="H2065" t="str">
            <v>Delivered</v>
          </cell>
          <cell r="I2065" t="str">
            <v>IC V</v>
          </cell>
          <cell r="J2065" t="str">
            <v>Fedex</v>
          </cell>
          <cell r="K2065" t="str">
            <v>VVMV</v>
          </cell>
          <cell r="L2065" t="str">
            <v>CN</v>
          </cell>
          <cell r="M2065">
            <v>46192</v>
          </cell>
          <cell r="N2065">
            <v>46199</v>
          </cell>
          <cell r="O2065">
            <v>46202</v>
          </cell>
          <cell r="P2065">
            <v>108376187360</v>
          </cell>
          <cell r="Q2065">
            <v>46198</v>
          </cell>
          <cell r="R2065" t="str">
            <v>No inspection</v>
          </cell>
          <cell r="S2065">
            <v>1332</v>
          </cell>
          <cell r="T2065" t="str">
            <v>EXW</v>
          </cell>
          <cell r="U2065" t="str">
            <v>PUR</v>
          </cell>
        </row>
        <row r="2066">
          <cell r="D2066">
            <v>4</v>
          </cell>
          <cell r="F2066">
            <v>530099058361</v>
          </cell>
          <cell r="G2066" t="str">
            <v>WT MICROELECTRONICS SG PTE. LTD</v>
          </cell>
          <cell r="H2066" t="str">
            <v>Delivered</v>
          </cell>
          <cell r="I2066" t="str">
            <v>DIOD, IC V, IC S</v>
          </cell>
          <cell r="J2066" t="str">
            <v>Fedex</v>
          </cell>
          <cell r="K2066" t="str">
            <v>VVMV</v>
          </cell>
          <cell r="L2066" t="str">
            <v>HK</v>
          </cell>
          <cell r="M2066">
            <v>46195</v>
          </cell>
          <cell r="N2066">
            <v>46199</v>
          </cell>
          <cell r="O2066">
            <v>46202</v>
          </cell>
          <cell r="P2066">
            <v>108377603830</v>
          </cell>
          <cell r="Q2066">
            <v>46199</v>
          </cell>
          <cell r="R2066" t="str">
            <v>No inspection</v>
          </cell>
          <cell r="S2066">
            <v>7572.4</v>
          </cell>
          <cell r="T2066" t="str">
            <v>EXW</v>
          </cell>
          <cell r="U2066">
            <v>124</v>
          </cell>
        </row>
        <row r="2067">
          <cell r="D2067">
            <v>14.9</v>
          </cell>
          <cell r="F2067">
            <v>530477376181</v>
          </cell>
          <cell r="G2067" t="str">
            <v>Micron Memory Malaysia Sdn. Bhd</v>
          </cell>
          <cell r="H2067" t="str">
            <v>Delivered</v>
          </cell>
          <cell r="I2067" t="str">
            <v xml:space="preserve">MEM </v>
          </cell>
          <cell r="J2067" t="str">
            <v>Fedex</v>
          </cell>
          <cell r="K2067" t="str">
            <v>VVMV</v>
          </cell>
          <cell r="L2067" t="str">
            <v>MY</v>
          </cell>
          <cell r="M2067">
            <v>46196</v>
          </cell>
          <cell r="N2067">
            <v>46199</v>
          </cell>
          <cell r="O2067">
            <v>46202</v>
          </cell>
          <cell r="P2067">
            <v>108376335100</v>
          </cell>
          <cell r="Q2067">
            <v>46198</v>
          </cell>
          <cell r="R2067" t="str">
            <v>No inspection</v>
          </cell>
          <cell r="S2067">
            <v>1006320</v>
          </cell>
          <cell r="T2067" t="str">
            <v>EXW</v>
          </cell>
          <cell r="U2067" t="str">
            <v>PUR</v>
          </cell>
        </row>
        <row r="2068">
          <cell r="D2068">
            <v>24.3</v>
          </cell>
          <cell r="F2068">
            <v>9238897964</v>
          </cell>
          <cell r="G2068" t="str">
            <v>TTI INC</v>
          </cell>
          <cell r="H2068" t="str">
            <v>Delivered</v>
          </cell>
          <cell r="I2068" t="str">
            <v>CAP , RES , CRYS, FERR</v>
          </cell>
          <cell r="J2068" t="str">
            <v>DHL</v>
          </cell>
          <cell r="K2068" t="str">
            <v>VVMV</v>
          </cell>
          <cell r="L2068" t="str">
            <v>US</v>
          </cell>
          <cell r="M2068">
            <v>46197</v>
          </cell>
          <cell r="N2068">
            <v>46202</v>
          </cell>
          <cell r="O2068">
            <v>46203</v>
          </cell>
          <cell r="P2068">
            <v>108382902020</v>
          </cell>
          <cell r="Q2068">
            <v>46202</v>
          </cell>
          <cell r="R2068" t="str">
            <v>No inspection</v>
          </cell>
          <cell r="S2068">
            <v>5367.76</v>
          </cell>
          <cell r="T2068" t="str">
            <v>CIF</v>
          </cell>
          <cell r="U2068" t="str">
            <v>LUC</v>
          </cell>
        </row>
        <row r="2069">
          <cell r="D2069">
            <v>557</v>
          </cell>
          <cell r="F2069" t="str">
            <v>LSZHPH2605627</v>
          </cell>
          <cell r="G2069" t="str">
            <v>SHENZHEN KERAIMEI PRECISION HARDWARE CO.,LTD</v>
          </cell>
          <cell r="H2069" t="str">
            <v>Delivered</v>
          </cell>
          <cell r="I2069" t="str">
            <v>ENCL</v>
          </cell>
          <cell r="J2069" t="str">
            <v>VVMV(SEA)</v>
          </cell>
          <cell r="K2069" t="str">
            <v>VVMV</v>
          </cell>
          <cell r="L2069" t="str">
            <v>CN</v>
          </cell>
          <cell r="M2069">
            <v>46196</v>
          </cell>
          <cell r="N2069">
            <v>46202</v>
          </cell>
          <cell r="O2069">
            <v>46203</v>
          </cell>
          <cell r="P2069">
            <v>108380112150</v>
          </cell>
          <cell r="Q2069" t="str">
            <v>26/06/2026</v>
          </cell>
          <cell r="R2069" t="str">
            <v>No inspection</v>
          </cell>
          <cell r="S2069">
            <v>59136</v>
          </cell>
          <cell r="T2069" t="str">
            <v>FOB</v>
          </cell>
          <cell r="U2069">
            <v>188</v>
          </cell>
        </row>
        <row r="2070">
          <cell r="D2070">
            <v>0.6</v>
          </cell>
          <cell r="F2070">
            <v>873430975910</v>
          </cell>
          <cell r="G2070" t="str">
            <v>Element14 Pte Ltd</v>
          </cell>
          <cell r="H2070" t="str">
            <v>Delivered</v>
          </cell>
          <cell r="I2070" t="str">
            <v xml:space="preserve">IND </v>
          </cell>
          <cell r="J2070" t="str">
            <v>Fedex</v>
          </cell>
          <cell r="K2070" t="str">
            <v>VVMV</v>
          </cell>
          <cell r="L2070" t="str">
            <v>SG</v>
          </cell>
          <cell r="M2070">
            <v>46197</v>
          </cell>
          <cell r="N2070">
            <v>46202</v>
          </cell>
          <cell r="O2070">
            <v>46202</v>
          </cell>
          <cell r="P2070">
            <v>108379105000</v>
          </cell>
          <cell r="Q2070">
            <v>46199</v>
          </cell>
          <cell r="R2070" t="str">
            <v>No inspection</v>
          </cell>
          <cell r="S2070">
            <v>397.22879999999998</v>
          </cell>
          <cell r="T2070" t="str">
            <v>EXW</v>
          </cell>
          <cell r="U2070">
            <v>123</v>
          </cell>
        </row>
        <row r="2071">
          <cell r="D2071">
            <v>0.5</v>
          </cell>
          <cell r="F2071">
            <v>489101296934</v>
          </cell>
          <cell r="G2071" t="str">
            <v>ARROW GERMANY
C/o Arrow Central Europe</v>
          </cell>
          <cell r="H2071" t="str">
            <v>Delivered</v>
          </cell>
          <cell r="I2071" t="str">
            <v>SWIT</v>
          </cell>
          <cell r="J2071" t="str">
            <v>Fedex</v>
          </cell>
          <cell r="K2071" t="str">
            <v>VVMV</v>
          </cell>
          <cell r="L2071" t="str">
            <v>NL</v>
          </cell>
          <cell r="M2071">
            <v>46196</v>
          </cell>
          <cell r="N2071">
            <v>46202</v>
          </cell>
          <cell r="O2071">
            <v>46202</v>
          </cell>
          <cell r="P2071">
            <v>108379158420</v>
          </cell>
          <cell r="Q2071">
            <v>46199</v>
          </cell>
          <cell r="R2071" t="str">
            <v>No inspection</v>
          </cell>
          <cell r="S2071">
            <v>75.739999999999995</v>
          </cell>
          <cell r="T2071" t="str">
            <v>CIF</v>
          </cell>
          <cell r="U2071" t="str">
            <v>EF-</v>
          </cell>
        </row>
        <row r="2072">
          <cell r="D2072">
            <v>1.9</v>
          </cell>
          <cell r="F2072">
            <v>873352371346</v>
          </cell>
          <cell r="G2072" t="str">
            <v>ARC ELECTRO INDUSTRY CORP</v>
          </cell>
          <cell r="H2072" t="str">
            <v>Delivered</v>
          </cell>
          <cell r="I2072" t="str">
            <v>CONN</v>
          </cell>
          <cell r="J2072" t="str">
            <v>Fedex</v>
          </cell>
          <cell r="K2072" t="str">
            <v>VVMV</v>
          </cell>
          <cell r="L2072" t="str">
            <v>TW</v>
          </cell>
          <cell r="M2072">
            <v>46196</v>
          </cell>
          <cell r="N2072">
            <v>46202</v>
          </cell>
          <cell r="O2072">
            <v>46202</v>
          </cell>
          <cell r="P2072">
            <v>108379190360</v>
          </cell>
          <cell r="Q2072">
            <v>46199</v>
          </cell>
          <cell r="R2072" t="str">
            <v>No inspection</v>
          </cell>
          <cell r="S2072">
            <v>46.2</v>
          </cell>
          <cell r="T2072" t="str">
            <v>EXW</v>
          </cell>
          <cell r="U2072" t="str">
            <v>AIC</v>
          </cell>
        </row>
        <row r="2073">
          <cell r="D2073" t="str">
            <v>5.1 KG</v>
          </cell>
          <cell r="F2073">
            <v>530217761579</v>
          </cell>
          <cell r="G2073" t="str">
            <v>ARROW ELECTRONICS, INC.</v>
          </cell>
          <cell r="H2073" t="str">
            <v>Delivered</v>
          </cell>
          <cell r="I2073" t="str">
            <v xml:space="preserve">IC L, CAP , IND </v>
          </cell>
          <cell r="J2073" t="str">
            <v>Fedex</v>
          </cell>
          <cell r="K2073" t="str">
            <v>VVMV</v>
          </cell>
          <cell r="L2073" t="str">
            <v>US</v>
          </cell>
          <cell r="M2073">
            <v>46196</v>
          </cell>
          <cell r="N2073">
            <v>46203</v>
          </cell>
          <cell r="O2073">
            <v>46204</v>
          </cell>
          <cell r="P2073">
            <v>108384996860</v>
          </cell>
          <cell r="Q2073">
            <v>46202</v>
          </cell>
          <cell r="R2073" t="str">
            <v>No inspection</v>
          </cell>
          <cell r="S2073">
            <v>946.8</v>
          </cell>
          <cell r="T2073" t="str">
            <v>CIF</v>
          </cell>
          <cell r="U2073" t="str">
            <v>PUR</v>
          </cell>
        </row>
        <row r="2074">
          <cell r="D2074">
            <v>1.4</v>
          </cell>
          <cell r="F2074">
            <v>873366521950</v>
          </cell>
          <cell r="G2074" t="str">
            <v>ALLIED DEVICES (S) PTE LTD</v>
          </cell>
          <cell r="H2074" t="str">
            <v>Delivered</v>
          </cell>
          <cell r="I2074" t="str">
            <v>CRYS</v>
          </cell>
          <cell r="J2074" t="str">
            <v>Fedex</v>
          </cell>
          <cell r="K2074" t="str">
            <v>VVMV</v>
          </cell>
          <cell r="L2074" t="str">
            <v>SG</v>
          </cell>
          <cell r="M2074">
            <v>46196</v>
          </cell>
          <cell r="N2074">
            <v>46202</v>
          </cell>
          <cell r="O2074">
            <v>46202</v>
          </cell>
          <cell r="P2074">
            <v>108379760530</v>
          </cell>
          <cell r="Q2074">
            <v>46199</v>
          </cell>
          <cell r="R2074" t="str">
            <v>No inspection</v>
          </cell>
          <cell r="S2074">
            <v>1800</v>
          </cell>
          <cell r="T2074" t="str">
            <v>EXW</v>
          </cell>
          <cell r="U2074">
            <v>134</v>
          </cell>
        </row>
        <row r="2075">
          <cell r="D2075">
            <v>2.1</v>
          </cell>
          <cell r="F2075">
            <v>873475747769</v>
          </cell>
          <cell r="G2075" t="str">
            <v>Steadfast Industrial Pte Ltd</v>
          </cell>
          <cell r="H2075" t="str">
            <v>Delivered</v>
          </cell>
          <cell r="I2075" t="str">
            <v>STAN</v>
          </cell>
          <cell r="J2075" t="str">
            <v>Fedex</v>
          </cell>
          <cell r="K2075" t="str">
            <v>VVMV</v>
          </cell>
          <cell r="L2075" t="str">
            <v>SG</v>
          </cell>
          <cell r="M2075">
            <v>46197</v>
          </cell>
          <cell r="N2075">
            <v>46202</v>
          </cell>
          <cell r="O2075">
            <v>46202</v>
          </cell>
          <cell r="P2075">
            <v>108379231110</v>
          </cell>
          <cell r="Q2075">
            <v>46199</v>
          </cell>
          <cell r="R2075" t="str">
            <v>No inspection</v>
          </cell>
          <cell r="S2075">
            <v>120</v>
          </cell>
          <cell r="T2075" t="str">
            <v>EXW</v>
          </cell>
          <cell r="U2075" t="str">
            <v>EF-</v>
          </cell>
        </row>
        <row r="2076">
          <cell r="D2076" t="str">
            <v>0.2 KG</v>
          </cell>
          <cell r="F2076">
            <v>512206692969</v>
          </cell>
          <cell r="G2076" t="str">
            <v>ISSI (CAYMAN) TAIWAN BRANCH</v>
          </cell>
          <cell r="H2076" t="str">
            <v>Delivered</v>
          </cell>
          <cell r="I2076" t="str">
            <v>IC F</v>
          </cell>
          <cell r="J2076" t="str">
            <v>Fedex</v>
          </cell>
          <cell r="K2076" t="str">
            <v>VVMV</v>
          </cell>
          <cell r="L2076" t="str">
            <v>TW</v>
          </cell>
          <cell r="M2076">
            <v>46197</v>
          </cell>
          <cell r="N2076">
            <v>46203</v>
          </cell>
          <cell r="O2076">
            <v>46204</v>
          </cell>
          <cell r="P2076">
            <v>108384845110</v>
          </cell>
          <cell r="Q2076">
            <v>46202</v>
          </cell>
          <cell r="R2076" t="str">
            <v>No inspection</v>
          </cell>
          <cell r="S2076">
            <v>2.72</v>
          </cell>
          <cell r="T2076" t="str">
            <v>CIF</v>
          </cell>
          <cell r="U2076" t="str">
            <v>PUR</v>
          </cell>
        </row>
        <row r="2077">
          <cell r="D2077">
            <v>17</v>
          </cell>
          <cell r="F2077">
            <v>873368838545</v>
          </cell>
          <cell r="G2077" t="str">
            <v>GOTREND Technology Co., Ltd.</v>
          </cell>
          <cell r="H2077" t="str">
            <v>Delivered</v>
          </cell>
          <cell r="I2077" t="str">
            <v>IND , FERR</v>
          </cell>
          <cell r="J2077" t="str">
            <v>Fedex</v>
          </cell>
          <cell r="K2077" t="str">
            <v>VVMV</v>
          </cell>
          <cell r="L2077" t="str">
            <v>TW</v>
          </cell>
          <cell r="M2077">
            <v>46196</v>
          </cell>
          <cell r="N2077">
            <v>46202</v>
          </cell>
          <cell r="O2077">
            <v>46202</v>
          </cell>
          <cell r="P2077">
            <v>108379327930</v>
          </cell>
          <cell r="Q2077">
            <v>46199</v>
          </cell>
          <cell r="R2077" t="str">
            <v>No inspection</v>
          </cell>
          <cell r="S2077">
            <v>6482.85</v>
          </cell>
          <cell r="T2077" t="str">
            <v>EXW</v>
          </cell>
          <cell r="U2077">
            <v>123</v>
          </cell>
        </row>
        <row r="2078">
          <cell r="D2078">
            <v>2.1</v>
          </cell>
          <cell r="F2078">
            <v>382219710208</v>
          </cell>
          <cell r="G2078" t="str">
            <v>R2R c/o DHL Supply Chain SGP P/L
Texas Instruments Southeast Asia PL</v>
          </cell>
          <cell r="H2078" t="str">
            <v>Delivered</v>
          </cell>
          <cell r="I2078" t="str">
            <v>IC S</v>
          </cell>
          <cell r="J2078" t="str">
            <v>Fedex</v>
          </cell>
          <cell r="K2078" t="str">
            <v>VVMV</v>
          </cell>
          <cell r="L2078" t="str">
            <v>SG</v>
          </cell>
          <cell r="M2078">
            <v>46197</v>
          </cell>
          <cell r="N2078">
            <v>46202</v>
          </cell>
          <cell r="O2078">
            <v>46202</v>
          </cell>
          <cell r="P2078">
            <v>108379402240</v>
          </cell>
          <cell r="Q2078">
            <v>46199</v>
          </cell>
          <cell r="R2078" t="str">
            <v>No inspection</v>
          </cell>
          <cell r="S2078">
            <v>5301.09</v>
          </cell>
          <cell r="T2078" t="str">
            <v>EXW</v>
          </cell>
          <cell r="U2078" t="str">
            <v>FMC</v>
          </cell>
        </row>
        <row r="2079">
          <cell r="D2079" t="str">
            <v>5 KG</v>
          </cell>
          <cell r="F2079">
            <v>472187369418</v>
          </cell>
          <cell r="G2079" t="str">
            <v>HEILIND ASIA PACIFIC (SG) PTE LTD</v>
          </cell>
          <cell r="H2079" t="str">
            <v>Delivered</v>
          </cell>
          <cell r="I2079" t="str">
            <v xml:space="preserve">CONN, EMI </v>
          </cell>
          <cell r="J2079" t="str">
            <v>Fedex</v>
          </cell>
          <cell r="K2079" t="str">
            <v>VVMV</v>
          </cell>
          <cell r="L2079" t="str">
            <v>SG</v>
          </cell>
          <cell r="M2079">
            <v>46197</v>
          </cell>
          <cell r="N2079">
            <v>46204</v>
          </cell>
          <cell r="O2079">
            <v>46205</v>
          </cell>
          <cell r="P2079">
            <v>108388077930</v>
          </cell>
          <cell r="Q2079">
            <v>46203</v>
          </cell>
          <cell r="R2079" t="str">
            <v>No inspection</v>
          </cell>
          <cell r="S2079">
            <v>1560.25</v>
          </cell>
          <cell r="T2079" t="str">
            <v>EXW</v>
          </cell>
          <cell r="U2079" t="str">
            <v>EF-</v>
          </cell>
        </row>
        <row r="2080">
          <cell r="D2080">
            <v>2.2000000000000002</v>
          </cell>
          <cell r="F2080">
            <v>530477403167</v>
          </cell>
          <cell r="G2080" t="str">
            <v>MICRON MEMORY MALAYSIA SDN</v>
          </cell>
          <cell r="H2080" t="str">
            <v>Delivered</v>
          </cell>
          <cell r="I2080" t="str">
            <v xml:space="preserve">MEM </v>
          </cell>
          <cell r="J2080" t="str">
            <v>Fedex</v>
          </cell>
          <cell r="K2080" t="str">
            <v>VVMV</v>
          </cell>
          <cell r="L2080" t="str">
            <v>MY</v>
          </cell>
          <cell r="M2080">
            <v>46198</v>
          </cell>
          <cell r="N2080">
            <v>46202</v>
          </cell>
          <cell r="O2080">
            <v>46202</v>
          </cell>
          <cell r="P2080">
            <v>108379595330</v>
          </cell>
          <cell r="Q2080">
            <v>46199</v>
          </cell>
          <cell r="R2080" t="str">
            <v>No inspection</v>
          </cell>
          <cell r="S2080">
            <v>669700</v>
          </cell>
          <cell r="T2080" t="str">
            <v>CIF</v>
          </cell>
          <cell r="U2080" t="str">
            <v>PUR</v>
          </cell>
        </row>
        <row r="2081">
          <cell r="D2081" t="str">
            <v>107 KG</v>
          </cell>
          <cell r="F2081">
            <v>4110338565</v>
          </cell>
          <cell r="G2081" t="str">
            <v>Avnet, Inc.</v>
          </cell>
          <cell r="H2081" t="str">
            <v>Delivered</v>
          </cell>
          <cell r="I2081" t="str">
            <v>CONN</v>
          </cell>
          <cell r="J2081" t="str">
            <v>Expeditors</v>
          </cell>
          <cell r="K2081" t="str">
            <v>VVMV</v>
          </cell>
          <cell r="L2081" t="str">
            <v>US</v>
          </cell>
          <cell r="M2081">
            <v>46196</v>
          </cell>
          <cell r="N2081">
            <v>46203</v>
          </cell>
          <cell r="O2081">
            <v>46203</v>
          </cell>
          <cell r="P2081">
            <v>108382978910</v>
          </cell>
          <cell r="Q2081">
            <v>46202</v>
          </cell>
          <cell r="R2081" t="str">
            <v>No inspection</v>
          </cell>
          <cell r="S2081">
            <v>7002.64</v>
          </cell>
          <cell r="T2081" t="str">
            <v>DAP</v>
          </cell>
          <cell r="U2081" t="str">
            <v>LUC</v>
          </cell>
        </row>
        <row r="2082">
          <cell r="D2082">
            <v>188</v>
          </cell>
          <cell r="F2082">
            <v>4711946090</v>
          </cell>
          <cell r="G2082" t="str">
            <v>WT MICROELECTRONICS SPORE P/L</v>
          </cell>
          <cell r="H2082" t="str">
            <v>Delivered</v>
          </cell>
          <cell r="I2082" t="str">
            <v xml:space="preserve">TRAN, IC A, IC R, CAP , RES , IND </v>
          </cell>
          <cell r="J2082" t="str">
            <v>Expeditors</v>
          </cell>
          <cell r="K2082" t="str">
            <v>VVMV</v>
          </cell>
          <cell r="L2082" t="str">
            <v>SG</v>
          </cell>
          <cell r="M2082">
            <v>46201</v>
          </cell>
          <cell r="N2082">
            <v>46203</v>
          </cell>
          <cell r="O2082">
            <v>46203</v>
          </cell>
          <cell r="P2082">
            <v>108387367100</v>
          </cell>
          <cell r="Q2082">
            <v>46203</v>
          </cell>
          <cell r="R2082" t="str">
            <v>No inspection</v>
          </cell>
          <cell r="S2082">
            <v>309749.78000000003</v>
          </cell>
          <cell r="T2082" t="str">
            <v>FCA</v>
          </cell>
          <cell r="U2082" t="str">
            <v>LUC</v>
          </cell>
        </row>
        <row r="2083">
          <cell r="D2083" t="str">
            <v>28.0 KG</v>
          </cell>
          <cell r="F2083">
            <v>6028332354</v>
          </cell>
          <cell r="G2083" t="str">
            <v>Avnet - Chandler</v>
          </cell>
          <cell r="H2083" t="str">
            <v>Delivered</v>
          </cell>
          <cell r="I2083" t="str">
            <v>IC M, DIOD, CAP , IC G, CONN</v>
          </cell>
          <cell r="J2083" t="str">
            <v>DHL</v>
          </cell>
          <cell r="K2083" t="str">
            <v>VVMV</v>
          </cell>
          <cell r="L2083" t="str">
            <v>US</v>
          </cell>
          <cell r="M2083">
            <v>46197</v>
          </cell>
          <cell r="N2083">
            <v>46203</v>
          </cell>
          <cell r="O2083">
            <v>46203</v>
          </cell>
          <cell r="P2083">
            <v>108387284350</v>
          </cell>
          <cell r="Q2083">
            <v>46203</v>
          </cell>
          <cell r="R2083" t="str">
            <v>No inspection</v>
          </cell>
          <cell r="S2083">
            <v>29798.32</v>
          </cell>
          <cell r="T2083" t="str">
            <v>CIF</v>
          </cell>
          <cell r="U2083" t="str">
            <v>LUC</v>
          </cell>
        </row>
        <row r="2084">
          <cell r="D2084" t="str">
            <v>0.5 KG</v>
          </cell>
          <cell r="F2084">
            <v>5774771623</v>
          </cell>
          <cell r="G2084" t="str">
            <v>FUTURE ELECTRONICS (ADC)</v>
          </cell>
          <cell r="H2084" t="str">
            <v>Delivered</v>
          </cell>
          <cell r="I2084" t="str">
            <v xml:space="preserve">LED </v>
          </cell>
          <cell r="J2084" t="str">
            <v>DHL</v>
          </cell>
          <cell r="K2084" t="str">
            <v>VVMV</v>
          </cell>
          <cell r="L2084" t="str">
            <v>SG</v>
          </cell>
          <cell r="M2084">
            <v>46199</v>
          </cell>
          <cell r="N2084">
            <v>46203</v>
          </cell>
          <cell r="O2084">
            <v>46203</v>
          </cell>
          <cell r="P2084">
            <v>108385158820</v>
          </cell>
          <cell r="Q2084">
            <v>46202</v>
          </cell>
          <cell r="R2084" t="str">
            <v>No inspection</v>
          </cell>
          <cell r="S2084">
            <v>67</v>
          </cell>
          <cell r="T2084" t="str">
            <v>CIF</v>
          </cell>
          <cell r="U2084" t="str">
            <v>HLO</v>
          </cell>
        </row>
        <row r="2085">
          <cell r="D2085">
            <v>251.25</v>
          </cell>
          <cell r="F2085" t="str">
            <v>HKHPG2606180</v>
          </cell>
          <cell r="G2085" t="str">
            <v>A&amp;E RISING TECHNOLOGIES LTD.</v>
          </cell>
          <cell r="H2085" t="str">
            <v>on the way</v>
          </cell>
          <cell r="I2085" t="str">
            <v xml:space="preserve">PCB , FAB </v>
          </cell>
          <cell r="J2085" t="str">
            <v>VVMV(SEA)</v>
          </cell>
          <cell r="K2085" t="str">
            <v>VVMV</v>
          </cell>
          <cell r="L2085" t="str">
            <v>HK</v>
          </cell>
          <cell r="M2085">
            <v>46200</v>
          </cell>
          <cell r="N2085">
            <v>46204</v>
          </cell>
          <cell r="O2085">
            <v>46205</v>
          </cell>
          <cell r="P2085">
            <v>108386926800</v>
          </cell>
          <cell r="Q2085" t="str">
            <v>29/06/2026</v>
          </cell>
          <cell r="R2085" t="str">
            <v>No inspection</v>
          </cell>
          <cell r="S2085">
            <v>36918.660000000003</v>
          </cell>
          <cell r="T2085" t="str">
            <v>EXW</v>
          </cell>
          <cell r="U2085" t="str">
            <v>EF-</v>
          </cell>
        </row>
        <row r="2086">
          <cell r="D2086" t="str">
            <v>0.6 KG</v>
          </cell>
          <cell r="F2086">
            <v>527529977260</v>
          </cell>
          <cell r="G2086" t="str">
            <v>MICROCHIP TECHNOLOGY (THAILAND)</v>
          </cell>
          <cell r="H2086" t="str">
            <v>Delivered</v>
          </cell>
          <cell r="I2086" t="str">
            <v>CRYS</v>
          </cell>
          <cell r="J2086" t="str">
            <v>Fedex</v>
          </cell>
          <cell r="K2086" t="str">
            <v>VVMV</v>
          </cell>
          <cell r="L2086" t="str">
            <v>TH</v>
          </cell>
          <cell r="M2086">
            <v>46198</v>
          </cell>
          <cell r="N2086">
            <v>46204</v>
          </cell>
          <cell r="O2086">
            <v>46205</v>
          </cell>
          <cell r="P2086">
            <v>108387634500</v>
          </cell>
          <cell r="Q2086">
            <v>46203</v>
          </cell>
          <cell r="R2086" t="str">
            <v>No inspection</v>
          </cell>
          <cell r="S2086">
            <v>1740</v>
          </cell>
          <cell r="T2086" t="str">
            <v>EXW</v>
          </cell>
          <cell r="U2086" t="str">
            <v>LUC</v>
          </cell>
        </row>
        <row r="2087">
          <cell r="D2087" t="str">
            <v>12.7 KG</v>
          </cell>
          <cell r="F2087">
            <v>873487607067</v>
          </cell>
          <cell r="G2087" t="str">
            <v>White Horse Laboratories Ltd</v>
          </cell>
          <cell r="H2087" t="str">
            <v>Delivered</v>
          </cell>
          <cell r="I2087" t="str">
            <v xml:space="preserve">CAP </v>
          </cell>
          <cell r="J2087" t="str">
            <v>Fedex</v>
          </cell>
          <cell r="K2087" t="str">
            <v>VVMV</v>
          </cell>
          <cell r="L2087" t="str">
            <v>HK</v>
          </cell>
          <cell r="M2087">
            <v>46197</v>
          </cell>
          <cell r="N2087">
            <v>46203</v>
          </cell>
          <cell r="O2087">
            <v>46204</v>
          </cell>
          <cell r="P2087">
            <v>108385239060</v>
          </cell>
          <cell r="Q2087">
            <v>46202</v>
          </cell>
          <cell r="R2087" t="str">
            <v>No inspection</v>
          </cell>
          <cell r="S2087">
            <v>35194.720000000001</v>
          </cell>
          <cell r="T2087" t="str">
            <v>CIF</v>
          </cell>
          <cell r="U2087">
            <v>122</v>
          </cell>
        </row>
        <row r="2088">
          <cell r="D2088" t="str">
            <v>3 KG</v>
          </cell>
          <cell r="F2088">
            <v>873485157650</v>
          </cell>
          <cell r="G2088" t="str">
            <v>PENG PENG</v>
          </cell>
          <cell r="H2088" t="str">
            <v>Delivered</v>
          </cell>
          <cell r="I2088" t="str">
            <v>IC S</v>
          </cell>
          <cell r="J2088" t="str">
            <v>Fedex</v>
          </cell>
          <cell r="K2088" t="str">
            <v>VVMV</v>
          </cell>
          <cell r="L2088" t="str">
            <v>CN</v>
          </cell>
          <cell r="M2088">
            <v>46197</v>
          </cell>
          <cell r="N2088">
            <v>46203</v>
          </cell>
          <cell r="O2088">
            <v>46204</v>
          </cell>
          <cell r="P2088">
            <v>108385523520</v>
          </cell>
          <cell r="Q2088">
            <v>46202</v>
          </cell>
          <cell r="R2088" t="str">
            <v>No inspection</v>
          </cell>
          <cell r="S2088">
            <v>7680</v>
          </cell>
          <cell r="T2088" t="str">
            <v>EXW</v>
          </cell>
          <cell r="U2088">
            <v>103</v>
          </cell>
        </row>
        <row r="2089">
          <cell r="D2089" t="str">
            <v>19.5 KG</v>
          </cell>
          <cell r="F2089">
            <v>481663287610</v>
          </cell>
          <cell r="G2089" t="str">
            <v>AMPHENOL EAST ASIA LTD.</v>
          </cell>
          <cell r="H2089" t="str">
            <v>Delivered</v>
          </cell>
          <cell r="I2089" t="str">
            <v>CONN</v>
          </cell>
          <cell r="J2089" t="str">
            <v>Fedex</v>
          </cell>
          <cell r="K2089" t="str">
            <v>VVMV</v>
          </cell>
          <cell r="L2089" t="str">
            <v>HK</v>
          </cell>
          <cell r="M2089">
            <v>46198</v>
          </cell>
          <cell r="N2089">
            <v>46203</v>
          </cell>
          <cell r="O2089">
            <v>46204</v>
          </cell>
          <cell r="P2089">
            <v>108385271960</v>
          </cell>
          <cell r="Q2089">
            <v>46202</v>
          </cell>
          <cell r="R2089" t="str">
            <v>No inspection</v>
          </cell>
          <cell r="S2089">
            <v>10752</v>
          </cell>
          <cell r="T2089" t="str">
            <v>EXW</v>
          </cell>
          <cell r="U2089" t="str">
            <v>PUR</v>
          </cell>
        </row>
        <row r="2090">
          <cell r="D2090" t="str">
            <v>21.1 KG</v>
          </cell>
          <cell r="F2090">
            <v>873597528467</v>
          </cell>
          <cell r="G2090" t="str">
            <v>WHITE HORSE LABORATORIES LTD</v>
          </cell>
          <cell r="H2090" t="str">
            <v>Delivered</v>
          </cell>
          <cell r="I2090" t="str">
            <v>IC F</v>
          </cell>
          <cell r="J2090" t="str">
            <v>Fedex</v>
          </cell>
          <cell r="K2090" t="str">
            <v>VVMV</v>
          </cell>
          <cell r="L2090" t="str">
            <v>HK</v>
          </cell>
          <cell r="M2090">
            <v>46199</v>
          </cell>
          <cell r="N2090">
            <v>46203</v>
          </cell>
          <cell r="O2090">
            <v>46204</v>
          </cell>
          <cell r="P2090">
            <v>108385311860</v>
          </cell>
          <cell r="Q2090">
            <v>46202</v>
          </cell>
          <cell r="R2090" t="str">
            <v>No inspection</v>
          </cell>
          <cell r="S2090">
            <v>67234.8</v>
          </cell>
          <cell r="T2090" t="str">
            <v>CIF</v>
          </cell>
          <cell r="U2090" t="str">
            <v>EF-</v>
          </cell>
        </row>
        <row r="2091">
          <cell r="D2091" t="str">
            <v>2.2 KG</v>
          </cell>
          <cell r="F2091">
            <v>382244601565</v>
          </cell>
          <cell r="G2091" t="str">
            <v>c/o DHL Supply Chain SGP P/L 
Texas Instruments Southeast Asia Pt</v>
          </cell>
          <cell r="H2091" t="str">
            <v>Delivered</v>
          </cell>
          <cell r="I2091" t="str">
            <v>IC V</v>
          </cell>
          <cell r="J2091" t="str">
            <v>Fedex</v>
          </cell>
          <cell r="K2091" t="str">
            <v>VVMV</v>
          </cell>
          <cell r="L2091" t="str">
            <v>SG</v>
          </cell>
          <cell r="M2091">
            <v>46198</v>
          </cell>
          <cell r="N2091">
            <v>46203</v>
          </cell>
          <cell r="O2091">
            <v>46204</v>
          </cell>
          <cell r="P2091">
            <v>108385344320</v>
          </cell>
          <cell r="Q2091">
            <v>46202</v>
          </cell>
          <cell r="R2091" t="str">
            <v>No inspection</v>
          </cell>
          <cell r="S2091">
            <v>4050</v>
          </cell>
          <cell r="T2091" t="str">
            <v>EXW</v>
          </cell>
          <cell r="U2091" t="str">
            <v>PUR</v>
          </cell>
        </row>
        <row r="2092">
          <cell r="D2092">
            <v>84</v>
          </cell>
          <cell r="F2092">
            <v>4915146098</v>
          </cell>
          <cell r="G2092" t="str">
            <v>Shenzhen Sunlord Electronics Co.Ltd</v>
          </cell>
          <cell r="H2092" t="str">
            <v>Delivered</v>
          </cell>
          <cell r="I2092" t="str">
            <v>CAP , RES , IC C, IC V, IC S, CRYS</v>
          </cell>
          <cell r="J2092" t="str">
            <v>Expeditors</v>
          </cell>
          <cell r="K2092" t="str">
            <v>VVMV</v>
          </cell>
          <cell r="L2092" t="str">
            <v>HK</v>
          </cell>
          <cell r="M2092">
            <v>46201</v>
          </cell>
          <cell r="N2092">
            <v>46203</v>
          </cell>
          <cell r="O2092">
            <v>46203</v>
          </cell>
          <cell r="P2092">
            <v>108387289840</v>
          </cell>
          <cell r="Q2092">
            <v>46203</v>
          </cell>
          <cell r="R2092" t="str">
            <v>No inspection</v>
          </cell>
          <cell r="S2092">
            <v>19998.98</v>
          </cell>
          <cell r="T2092" t="str">
            <v>EXW</v>
          </cell>
          <cell r="U2092" t="str">
            <v>HLO</v>
          </cell>
        </row>
        <row r="2093">
          <cell r="D2093" t="str">
            <v>46.6 KG</v>
          </cell>
          <cell r="F2093">
            <v>873597664549</v>
          </cell>
          <cell r="G2093" t="str">
            <v>Dongguan Lianbo Hardware Inc</v>
          </cell>
          <cell r="H2093" t="str">
            <v>Delivered</v>
          </cell>
          <cell r="I2093" t="str">
            <v>U.2 , SCRE</v>
          </cell>
          <cell r="J2093" t="str">
            <v>Fedex</v>
          </cell>
          <cell r="K2093" t="str">
            <v>VVMV</v>
          </cell>
          <cell r="L2093" t="str">
            <v>CN</v>
          </cell>
          <cell r="M2093">
            <v>46199</v>
          </cell>
          <cell r="N2093">
            <v>46203</v>
          </cell>
          <cell r="O2093">
            <v>46204</v>
          </cell>
          <cell r="P2093">
            <v>108386268320</v>
          </cell>
          <cell r="Q2093">
            <v>46202</v>
          </cell>
          <cell r="R2093" t="str">
            <v>No inspection</v>
          </cell>
          <cell r="S2093">
            <v>1224</v>
          </cell>
          <cell r="T2093" t="str">
            <v>EXW</v>
          </cell>
          <cell r="U2093">
            <v>188</v>
          </cell>
        </row>
        <row r="2094">
          <cell r="D2094" t="str">
            <v>36.4 KG</v>
          </cell>
          <cell r="F2094">
            <v>7755305526</v>
          </cell>
          <cell r="G2094" t="str">
            <v>Dongguan Weiming Export Trade Co., LTD.</v>
          </cell>
          <cell r="H2094" t="str">
            <v>on the way</v>
          </cell>
          <cell r="I2094" t="str">
            <v xml:space="preserve">FAB </v>
          </cell>
          <cell r="J2094" t="str">
            <v>DHL</v>
          </cell>
          <cell r="K2094" t="str">
            <v>VVMV</v>
          </cell>
          <cell r="L2094" t="str">
            <v>CN</v>
          </cell>
          <cell r="M2094">
            <v>46200</v>
          </cell>
          <cell r="N2094">
            <v>46204</v>
          </cell>
          <cell r="O2094">
            <v>46205</v>
          </cell>
          <cell r="P2094">
            <v>108388004650</v>
          </cell>
          <cell r="Q2094">
            <v>46203</v>
          </cell>
          <cell r="R2094" t="str">
            <v>No inspection</v>
          </cell>
          <cell r="S2094">
            <v>10360</v>
          </cell>
          <cell r="T2094" t="str">
            <v>CIF</v>
          </cell>
          <cell r="U2094" t="str">
            <v>HLO</v>
          </cell>
        </row>
        <row r="2095">
          <cell r="D2095" t="str">
            <v>2.2 KG</v>
          </cell>
          <cell r="F2095">
            <v>530477409577</v>
          </cell>
          <cell r="G2095" t="str">
            <v>Micron Memory Malaysia Sdn. BhD</v>
          </cell>
          <cell r="H2095" t="str">
            <v>Delivered</v>
          </cell>
          <cell r="I2095" t="str">
            <v xml:space="preserve">MEM </v>
          </cell>
          <cell r="J2095" t="str">
            <v>Fedex</v>
          </cell>
          <cell r="K2095" t="str">
            <v>VVMV</v>
          </cell>
          <cell r="L2095" t="str">
            <v>MY</v>
          </cell>
          <cell r="M2095">
            <v>46198</v>
          </cell>
          <cell r="N2095">
            <v>46203</v>
          </cell>
          <cell r="O2095">
            <v>46204</v>
          </cell>
          <cell r="P2095">
            <v>108385378840</v>
          </cell>
          <cell r="Q2095">
            <v>46202</v>
          </cell>
          <cell r="R2095" t="str">
            <v>No inspection</v>
          </cell>
          <cell r="S2095">
            <v>143760</v>
          </cell>
          <cell r="T2095" t="str">
            <v>EXW</v>
          </cell>
          <cell r="U2095" t="str">
            <v>PUR</v>
          </cell>
        </row>
        <row r="2096">
          <cell r="D2096">
            <v>4</v>
          </cell>
          <cell r="F2096">
            <v>382189896519</v>
          </cell>
          <cell r="G2096" t="str">
            <v>c/o DHL Supply Chain SGP P/L
Texas Instruments Southeast Asia Pt</v>
          </cell>
          <cell r="H2096" t="str">
            <v>Delivered</v>
          </cell>
          <cell r="I2096" t="str">
            <v>IC  , IC S</v>
          </cell>
          <cell r="J2096" t="str">
            <v>Fedex</v>
          </cell>
          <cell r="K2096" t="str">
            <v>VVMV</v>
          </cell>
          <cell r="L2096" t="str">
            <v>SG</v>
          </cell>
          <cell r="M2096">
            <v>46196</v>
          </cell>
          <cell r="N2096">
            <v>46204</v>
          </cell>
          <cell r="O2096">
            <v>46205</v>
          </cell>
          <cell r="P2096">
            <v>108389058740</v>
          </cell>
          <cell r="Q2096">
            <v>46203</v>
          </cell>
          <cell r="R2096" t="str">
            <v>No inspection</v>
          </cell>
          <cell r="S2096">
            <v>5211</v>
          </cell>
          <cell r="T2096" t="str">
            <v>EXW</v>
          </cell>
          <cell r="U2096" t="str">
            <v>PUR</v>
          </cell>
        </row>
        <row r="2097">
          <cell r="D2097" t="str">
            <v>11.0 KG</v>
          </cell>
          <cell r="F2097" t="str">
            <v>SF1573562653910</v>
          </cell>
          <cell r="G2097" t="str">
            <v>Xing Yu Hu</v>
          </cell>
          <cell r="H2097" t="str">
            <v>on the way</v>
          </cell>
          <cell r="I2097" t="str">
            <v>CONN</v>
          </cell>
          <cell r="J2097" t="str">
            <v>SF Express</v>
          </cell>
          <cell r="K2097" t="str">
            <v>VVMV</v>
          </cell>
          <cell r="L2097" t="str">
            <v>CN</v>
          </cell>
          <cell r="M2097">
            <v>46202</v>
          </cell>
          <cell r="N2097">
            <v>46205</v>
          </cell>
          <cell r="O2097">
            <v>46206</v>
          </cell>
          <cell r="P2097">
            <v>108392740300</v>
          </cell>
          <cell r="Q2097">
            <v>46204</v>
          </cell>
          <cell r="R2097" t="str">
            <v>No inspection</v>
          </cell>
          <cell r="S2097">
            <v>8008</v>
          </cell>
          <cell r="T2097" t="str">
            <v>CIF</v>
          </cell>
          <cell r="U2097">
            <v>120</v>
          </cell>
        </row>
        <row r="2098">
          <cell r="D2098">
            <v>0.8</v>
          </cell>
          <cell r="F2098">
            <v>382249560298</v>
          </cell>
          <cell r="G2098" t="str">
            <v>c/o Kintetsu World Express (China)
Texas Instruments Asia Limited</v>
          </cell>
          <cell r="H2098" t="str">
            <v>Delivered</v>
          </cell>
          <cell r="I2098" t="str">
            <v>IC V</v>
          </cell>
          <cell r="J2098" t="str">
            <v>Fedex</v>
          </cell>
          <cell r="K2098" t="str">
            <v>VVMV</v>
          </cell>
          <cell r="L2098" t="str">
            <v>CN</v>
          </cell>
          <cell r="M2098">
            <v>46198</v>
          </cell>
          <cell r="N2098">
            <v>46204</v>
          </cell>
          <cell r="O2098">
            <v>46205</v>
          </cell>
          <cell r="P2098">
            <v>108389521110</v>
          </cell>
          <cell r="Q2098">
            <v>46203</v>
          </cell>
          <cell r="R2098" t="str">
            <v>No inspection</v>
          </cell>
          <cell r="S2098">
            <v>1998</v>
          </cell>
          <cell r="T2098" t="str">
            <v>EXW</v>
          </cell>
          <cell r="U2098" t="str">
            <v>HLO</v>
          </cell>
        </row>
        <row r="2099">
          <cell r="D2099">
            <v>16.2</v>
          </cell>
          <cell r="F2099">
            <v>873536498138</v>
          </cell>
          <cell r="G2099" t="str">
            <v>SUNLORD ELECTRONICS TECHNOLOGY PTE</v>
          </cell>
          <cell r="H2099" t="str">
            <v>Delivered</v>
          </cell>
          <cell r="I2099" t="str">
            <v>RES , CAP , IC S, IC V, DIOD, IC H</v>
          </cell>
          <cell r="J2099" t="str">
            <v>Fedex</v>
          </cell>
          <cell r="K2099" t="str">
            <v>VVMV</v>
          </cell>
          <cell r="L2099" t="str">
            <v>HK</v>
          </cell>
          <cell r="M2099">
            <v>46198</v>
          </cell>
          <cell r="N2099">
            <v>46204</v>
          </cell>
          <cell r="O2099">
            <v>46205</v>
          </cell>
          <cell r="P2099">
            <v>108389909720</v>
          </cell>
          <cell r="Q2099">
            <v>46203</v>
          </cell>
          <cell r="R2099" t="str">
            <v>No inspection</v>
          </cell>
          <cell r="S2099">
            <v>15518.4</v>
          </cell>
          <cell r="T2099" t="str">
            <v>EXW</v>
          </cell>
          <cell r="U2099" t="str">
            <v>HLO</v>
          </cell>
        </row>
        <row r="2100">
          <cell r="D2100">
            <v>1.6</v>
          </cell>
          <cell r="F2100">
            <v>530071995129</v>
          </cell>
          <cell r="G2100" t="str">
            <v>MOUSER ELECTRONICS INC</v>
          </cell>
          <cell r="H2100" t="str">
            <v>Delivered</v>
          </cell>
          <cell r="I2100" t="str">
            <v xml:space="preserve">IC F, RES , CAP </v>
          </cell>
          <cell r="J2100" t="str">
            <v>Fedex</v>
          </cell>
          <cell r="K2100" t="str">
            <v>VVMV</v>
          </cell>
          <cell r="L2100" t="str">
            <v>US</v>
          </cell>
          <cell r="M2100">
            <v>46198</v>
          </cell>
          <cell r="N2100">
            <v>46204</v>
          </cell>
          <cell r="O2100">
            <v>46205</v>
          </cell>
          <cell r="P2100">
            <v>108389225450</v>
          </cell>
          <cell r="Q2100">
            <v>46203</v>
          </cell>
          <cell r="R2100" t="str">
            <v>No inspection</v>
          </cell>
          <cell r="S2100">
            <v>1976.62</v>
          </cell>
          <cell r="T2100" t="str">
            <v>CIF</v>
          </cell>
          <cell r="U2100" t="str">
            <v>PUR</v>
          </cell>
        </row>
        <row r="2101">
          <cell r="D2101">
            <v>0.5</v>
          </cell>
          <cell r="F2101">
            <v>530781737602</v>
          </cell>
          <cell r="G2101" t="str">
            <v>SUNTSU ELECTRONICS</v>
          </cell>
          <cell r="H2101" t="str">
            <v>Delivered</v>
          </cell>
          <cell r="I2101" t="str">
            <v>CRYS</v>
          </cell>
          <cell r="J2101" t="str">
            <v>Fedex</v>
          </cell>
          <cell r="K2101" t="str">
            <v>VVMV</v>
          </cell>
          <cell r="L2101" t="str">
            <v>US</v>
          </cell>
          <cell r="M2101">
            <v>46198</v>
          </cell>
          <cell r="N2101">
            <v>46204</v>
          </cell>
          <cell r="O2101">
            <v>46205</v>
          </cell>
          <cell r="P2101">
            <v>108389188720</v>
          </cell>
          <cell r="Q2101">
            <v>46203</v>
          </cell>
          <cell r="R2101" t="str">
            <v>No inspection</v>
          </cell>
          <cell r="S2101">
            <v>210</v>
          </cell>
          <cell r="T2101" t="str">
            <v>CIF</v>
          </cell>
          <cell r="U2101" t="str">
            <v>EF-</v>
          </cell>
        </row>
        <row r="2102">
          <cell r="D2102">
            <v>1.2</v>
          </cell>
          <cell r="F2102">
            <v>526433911373</v>
          </cell>
          <cell r="G2102" t="str">
            <v>FUTURE ELECTRONICS</v>
          </cell>
          <cell r="H2102" t="str">
            <v>Delivered</v>
          </cell>
          <cell r="I2102" t="str">
            <v xml:space="preserve">LED </v>
          </cell>
          <cell r="J2102" t="str">
            <v>Fedex</v>
          </cell>
          <cell r="K2102" t="str">
            <v>VVMV</v>
          </cell>
          <cell r="L2102" t="str">
            <v>US</v>
          </cell>
          <cell r="M2102">
            <v>46199</v>
          </cell>
          <cell r="N2102">
            <v>46204</v>
          </cell>
          <cell r="O2102">
            <v>46205</v>
          </cell>
          <cell r="P2102">
            <v>108389251350</v>
          </cell>
          <cell r="Q2102">
            <v>46203</v>
          </cell>
          <cell r="R2102" t="str">
            <v>No inspection</v>
          </cell>
          <cell r="S2102">
            <v>402</v>
          </cell>
          <cell r="T2102" t="str">
            <v>CIF</v>
          </cell>
          <cell r="U2102" t="str">
            <v>PUR</v>
          </cell>
        </row>
        <row r="2103">
          <cell r="D2103">
            <v>6.2</v>
          </cell>
          <cell r="F2103">
            <v>873648808251</v>
          </cell>
          <cell r="G2103" t="str">
            <v>White Horse Laboratories Ltd</v>
          </cell>
          <cell r="H2103" t="str">
            <v>on the way</v>
          </cell>
          <cell r="I2103" t="str">
            <v>IC 2</v>
          </cell>
          <cell r="J2103" t="str">
            <v>Fedex</v>
          </cell>
          <cell r="K2103" t="str">
            <v>VVMV</v>
          </cell>
          <cell r="L2103" t="str">
            <v>HK</v>
          </cell>
          <cell r="M2103">
            <v>46200</v>
          </cell>
          <cell r="N2103">
            <v>46204</v>
          </cell>
          <cell r="O2103">
            <v>46206</v>
          </cell>
          <cell r="P2103">
            <v>108389439540</v>
          </cell>
          <cell r="Q2103">
            <v>46203</v>
          </cell>
          <cell r="R2103" t="str">
            <v>No inspection</v>
          </cell>
          <cell r="S2103">
            <v>10500</v>
          </cell>
          <cell r="T2103" t="str">
            <v>CIF</v>
          </cell>
          <cell r="U2103" t="str">
            <v>EF-</v>
          </cell>
        </row>
        <row r="2104">
          <cell r="D2104">
            <v>5.5</v>
          </cell>
          <cell r="F2104">
            <v>451257573863</v>
          </cell>
          <cell r="G2104" t="str">
            <v>COILCRAFT SINGAPORE PTE LTD</v>
          </cell>
          <cell r="H2104" t="str">
            <v>Delivered</v>
          </cell>
          <cell r="I2104" t="str">
            <v>INDU</v>
          </cell>
          <cell r="J2104" t="str">
            <v>Fedex</v>
          </cell>
          <cell r="K2104" t="str">
            <v>VVMV</v>
          </cell>
          <cell r="L2104" t="str">
            <v>SG</v>
          </cell>
          <cell r="M2104">
            <v>46199</v>
          </cell>
          <cell r="N2104">
            <v>46204</v>
          </cell>
          <cell r="O2104">
            <v>46205</v>
          </cell>
          <cell r="P2104">
            <v>108390052040</v>
          </cell>
          <cell r="Q2104">
            <v>46203</v>
          </cell>
          <cell r="R2104" t="str">
            <v>No inspection</v>
          </cell>
          <cell r="S2104">
            <v>1236</v>
          </cell>
          <cell r="T2104" t="str">
            <v>EXW</v>
          </cell>
          <cell r="U2104" t="str">
            <v>EF-</v>
          </cell>
        </row>
        <row r="2105">
          <cell r="D2105">
            <v>4.9000000000000004</v>
          </cell>
          <cell r="F2105">
            <v>119209753625</v>
          </cell>
          <cell r="G2105" t="str">
            <v>FUTURE ELECTRONICS FICE</v>
          </cell>
          <cell r="H2105" t="str">
            <v>Delivered</v>
          </cell>
          <cell r="I2105" t="str">
            <v>IC S, LED , IC B, CRYS, IC,V</v>
          </cell>
          <cell r="J2105" t="str">
            <v>Fedex</v>
          </cell>
          <cell r="K2105" t="str">
            <v>VVMV</v>
          </cell>
          <cell r="L2105" t="str">
            <v>US</v>
          </cell>
          <cell r="M2105">
            <v>46199</v>
          </cell>
          <cell r="N2105">
            <v>46204</v>
          </cell>
          <cell r="O2105">
            <v>46205</v>
          </cell>
          <cell r="P2105">
            <v>108389706610</v>
          </cell>
          <cell r="Q2105">
            <v>46203</v>
          </cell>
          <cell r="R2105" t="str">
            <v>No inspection</v>
          </cell>
          <cell r="S2105">
            <v>6403.8</v>
          </cell>
          <cell r="T2105" t="str">
            <v>CIF</v>
          </cell>
          <cell r="U2105" t="str">
            <v>PUR</v>
          </cell>
        </row>
        <row r="2106">
          <cell r="F2106">
            <v>382255428471</v>
          </cell>
          <cell r="G2106" t="str">
            <v>WURTH</v>
          </cell>
          <cell r="H2106" t="str">
            <v>on the way</v>
          </cell>
          <cell r="J2106" t="str">
            <v>Fedex</v>
          </cell>
          <cell r="K2106" t="str">
            <v>VVMV</v>
          </cell>
          <cell r="L2106" t="str">
            <v>US</v>
          </cell>
        </row>
        <row r="2107">
          <cell r="F2107">
            <v>873573626448</v>
          </cell>
          <cell r="G2107" t="str">
            <v>WURTH</v>
          </cell>
          <cell r="H2107" t="str">
            <v>on the way</v>
          </cell>
          <cell r="J2107" t="str">
            <v>Fedex</v>
          </cell>
          <cell r="K2107" t="str">
            <v>VVMV</v>
          </cell>
          <cell r="L2107" t="str">
            <v>US</v>
          </cell>
        </row>
        <row r="2108">
          <cell r="D2108">
            <v>1.5</v>
          </cell>
          <cell r="F2108">
            <v>382269130723</v>
          </cell>
          <cell r="G2108" t="str">
            <v>c/o DHL Supply Chain SGP P/L
Texas Instruments Southeast Asia Pt</v>
          </cell>
          <cell r="H2108" t="str">
            <v>Delivered</v>
          </cell>
          <cell r="I2108" t="str">
            <v>DIOD</v>
          </cell>
          <cell r="J2108" t="str">
            <v>Fedex</v>
          </cell>
          <cell r="K2108" t="str">
            <v>VVMV</v>
          </cell>
          <cell r="L2108" t="str">
            <v>SG</v>
          </cell>
          <cell r="M2108">
            <v>46199</v>
          </cell>
          <cell r="N2108">
            <v>46204</v>
          </cell>
          <cell r="O2108">
            <v>46205</v>
          </cell>
          <cell r="P2108">
            <v>108389448640</v>
          </cell>
          <cell r="Q2108">
            <v>46203</v>
          </cell>
          <cell r="R2108" t="str">
            <v>No inspection</v>
          </cell>
          <cell r="S2108">
            <v>1785</v>
          </cell>
          <cell r="T2108" t="str">
            <v>EXW</v>
          </cell>
          <cell r="U2108" t="str">
            <v>EF-</v>
          </cell>
        </row>
        <row r="2109">
          <cell r="D2109">
            <v>15</v>
          </cell>
          <cell r="F2109">
            <v>530477431568</v>
          </cell>
          <cell r="G2109" t="str">
            <v>Micron Memory Malaysia Sdn. Bh</v>
          </cell>
          <cell r="H2109" t="str">
            <v>Delivered</v>
          </cell>
          <cell r="I2109" t="str">
            <v xml:space="preserve">MEM </v>
          </cell>
          <cell r="J2109" t="str">
            <v>Fedex</v>
          </cell>
          <cell r="K2109" t="str">
            <v>VVMV</v>
          </cell>
          <cell r="L2109" t="str">
            <v>MY</v>
          </cell>
          <cell r="M2109">
            <v>46202</v>
          </cell>
          <cell r="N2109">
            <v>46204</v>
          </cell>
          <cell r="O2109">
            <v>46205</v>
          </cell>
          <cell r="P2109">
            <v>108390406610</v>
          </cell>
          <cell r="Q2109">
            <v>46203</v>
          </cell>
          <cell r="R2109" t="str">
            <v>No inspection</v>
          </cell>
          <cell r="S2109">
            <v>1006320</v>
          </cell>
          <cell r="T2109" t="str">
            <v>EXW</v>
          </cell>
          <cell r="U2109" t="str">
            <v>PUR</v>
          </cell>
        </row>
        <row r="2110">
          <cell r="D2110" t="str">
            <v>281.76 KG</v>
          </cell>
          <cell r="F2110" t="str">
            <v>MNN/HPH/01220</v>
          </cell>
          <cell r="G2110" t="str">
            <v>READORE MFG PHILS CORP</v>
          </cell>
          <cell r="H2110" t="str">
            <v>on the way</v>
          </cell>
          <cell r="I2110" t="str">
            <v>HEAT</v>
          </cell>
          <cell r="J2110" t="str">
            <v>Dolphin(sea)</v>
          </cell>
          <cell r="K2110" t="str">
            <v>Dolphin</v>
          </cell>
          <cell r="M2110">
            <v>46197</v>
          </cell>
          <cell r="N2110">
            <v>46205</v>
          </cell>
          <cell r="O2110">
            <v>46205</v>
          </cell>
          <cell r="P2110">
            <v>108388442260</v>
          </cell>
          <cell r="Q2110">
            <v>46203</v>
          </cell>
          <cell r="R2110" t="str">
            <v>No inspection</v>
          </cell>
          <cell r="S2110" t="str">
            <v>26.254,55</v>
          </cell>
          <cell r="T2110" t="str">
            <v>FOB</v>
          </cell>
          <cell r="U2110" t="str">
            <v>PUR</v>
          </cell>
        </row>
        <row r="2111">
          <cell r="D2111">
            <v>81</v>
          </cell>
          <cell r="F2111" t="str">
            <v>CAN02842867</v>
          </cell>
          <cell r="G2111" t="str">
            <v>WIWYNN CORPORATION</v>
          </cell>
          <cell r="H2111" t="str">
            <v>on the way</v>
          </cell>
          <cell r="I2111" t="str">
            <v>ASSY</v>
          </cell>
          <cell r="J2111" t="str">
            <v>AIT Worldwide</v>
          </cell>
          <cell r="K2111" t="str">
            <v>VVMV</v>
          </cell>
          <cell r="L2111" t="str">
            <v>CN</v>
          </cell>
          <cell r="M2111">
            <v>46198</v>
          </cell>
          <cell r="N2111">
            <v>46206</v>
          </cell>
          <cell r="O2111">
            <v>46206</v>
          </cell>
          <cell r="P2111">
            <v>108395281150</v>
          </cell>
          <cell r="Q2111">
            <v>46205</v>
          </cell>
          <cell r="R2111" t="str">
            <v>No inspection</v>
          </cell>
          <cell r="S2111">
            <v>3377.88</v>
          </cell>
          <cell r="T2111" t="str">
            <v>DAP</v>
          </cell>
          <cell r="U2111" t="str">
            <v>HLO</v>
          </cell>
        </row>
        <row r="2112">
          <cell r="D2112">
            <v>129</v>
          </cell>
          <cell r="F2112" t="str">
            <v>CAN02842870</v>
          </cell>
          <cell r="G2112" t="str">
            <v>WIWYNN CORPORATION</v>
          </cell>
          <cell r="H2112" t="str">
            <v>on the way</v>
          </cell>
          <cell r="I2112" t="str">
            <v>ASSY</v>
          </cell>
          <cell r="J2112" t="str">
            <v>AIT Worldwide</v>
          </cell>
          <cell r="K2112" t="str">
            <v>VVMV</v>
          </cell>
          <cell r="L2112" t="str">
            <v>CN</v>
          </cell>
          <cell r="M2112">
            <v>46198</v>
          </cell>
          <cell r="N2112">
            <v>46206</v>
          </cell>
          <cell r="O2112">
            <v>46206</v>
          </cell>
          <cell r="P2112">
            <v>108395195750</v>
          </cell>
          <cell r="Q2112">
            <v>46205</v>
          </cell>
          <cell r="R2112" t="str">
            <v>No inspection</v>
          </cell>
          <cell r="S2112">
            <v>4495.3100000000004</v>
          </cell>
          <cell r="T2112" t="str">
            <v>DAP</v>
          </cell>
          <cell r="U2112" t="str">
            <v>HLO</v>
          </cell>
        </row>
        <row r="2113">
          <cell r="D2113">
            <v>382.87</v>
          </cell>
          <cell r="F2113" t="str">
            <v>PSHPH2660122</v>
          </cell>
          <cell r="G2113" t="str">
            <v>GOLD CIRCUIT ELECTRONICS LTD</v>
          </cell>
          <cell r="H2113" t="str">
            <v>on the way</v>
          </cell>
          <cell r="I2113" t="str">
            <v xml:space="preserve">PCB </v>
          </cell>
          <cell r="J2113" t="str">
            <v>VVMV(SEA)</v>
          </cell>
          <cell r="K2113" t="str">
            <v>VVMV</v>
          </cell>
          <cell r="L2113" t="str">
            <v>TW</v>
          </cell>
          <cell r="M2113">
            <v>46202</v>
          </cell>
          <cell r="N2113">
            <v>46209</v>
          </cell>
          <cell r="P2113">
            <v>108399095560</v>
          </cell>
          <cell r="Q2113">
            <v>46206</v>
          </cell>
          <cell r="R2113" t="str">
            <v>No inspection</v>
          </cell>
          <cell r="S2113">
            <v>67610.399999999994</v>
          </cell>
          <cell r="T2113" t="str">
            <v>FOB</v>
          </cell>
          <cell r="U2113" t="str">
            <v>PUR</v>
          </cell>
        </row>
        <row r="2114">
          <cell r="D2114">
            <v>1082</v>
          </cell>
          <cell r="F2114" t="str">
            <v>PSHPH2660119</v>
          </cell>
          <cell r="G2114" t="str">
            <v>MIN AIK TECHNOLOGY CO., LTD</v>
          </cell>
          <cell r="H2114" t="str">
            <v>on the way</v>
          </cell>
          <cell r="I2114" t="str">
            <v>ASSY</v>
          </cell>
          <cell r="J2114" t="str">
            <v>VVMV(SEA)</v>
          </cell>
          <cell r="K2114" t="str">
            <v>VVMV</v>
          </cell>
          <cell r="L2114" t="str">
            <v>TW</v>
          </cell>
          <cell r="M2114">
            <v>46202</v>
          </cell>
          <cell r="N2114">
            <v>46209</v>
          </cell>
          <cell r="P2114">
            <v>108399135240</v>
          </cell>
          <cell r="Q2114">
            <v>46206</v>
          </cell>
          <cell r="R2114" t="str">
            <v>No inspection</v>
          </cell>
          <cell r="S2114">
            <v>56524.800000000003</v>
          </cell>
          <cell r="T2114" t="str">
            <v>EXW</v>
          </cell>
          <cell r="U2114" t="str">
            <v>PUR</v>
          </cell>
        </row>
        <row r="2115">
          <cell r="D2115">
            <v>0.7</v>
          </cell>
          <cell r="F2115">
            <v>409298933580</v>
          </cell>
          <cell r="G2115" t="str">
            <v>có lượng giao bù của lô 409298928147  TI Lumi</v>
          </cell>
          <cell r="H2115" t="str">
            <v>on the way</v>
          </cell>
          <cell r="I2115" t="str">
            <v xml:space="preserve">RES </v>
          </cell>
          <cell r="J2115" t="str">
            <v>Fedex</v>
          </cell>
          <cell r="K2115" t="str">
            <v>VVMV</v>
          </cell>
          <cell r="L2115" t="str">
            <v>SG</v>
          </cell>
          <cell r="M2115">
            <v>46202</v>
          </cell>
          <cell r="N2115">
            <v>46206</v>
          </cell>
          <cell r="P2115">
            <v>108396953820</v>
          </cell>
          <cell r="Q2115">
            <v>46205</v>
          </cell>
          <cell r="R2115" t="str">
            <v>No inspection</v>
          </cell>
          <cell r="S2115">
            <v>8.8000000000000007</v>
          </cell>
          <cell r="T2115" t="str">
            <v>EXW</v>
          </cell>
          <cell r="U2115" t="str">
            <v>EF-</v>
          </cell>
        </row>
        <row r="2116">
          <cell r="D2116" t="str">
            <v>2.3 KG</v>
          </cell>
          <cell r="F2116">
            <v>456732849446</v>
          </cell>
          <cell r="G2116" t="str">
            <v>SDM (SHANGHAI-SDSS</v>
          </cell>
          <cell r="H2116" t="str">
            <v>on the way</v>
          </cell>
          <cell r="I2116" t="str">
            <v>IC F</v>
          </cell>
          <cell r="J2116" t="str">
            <v>Fedex</v>
          </cell>
          <cell r="K2116" t="str">
            <v>VVMV</v>
          </cell>
          <cell r="L2116" t="str">
            <v>CN</v>
          </cell>
          <cell r="M2116">
            <v>46197</v>
          </cell>
          <cell r="N2116">
            <v>46205</v>
          </cell>
          <cell r="O2116">
            <v>46206</v>
          </cell>
          <cell r="P2116">
            <v>108392831850</v>
          </cell>
          <cell r="Q2116">
            <v>46204</v>
          </cell>
          <cell r="R2116" t="str">
            <v>No inspection</v>
          </cell>
          <cell r="S2116">
            <v>136291</v>
          </cell>
          <cell r="T2116" t="str">
            <v>CIF</v>
          </cell>
          <cell r="U2116">
            <v>103</v>
          </cell>
        </row>
        <row r="2117">
          <cell r="D2117" t="str">
            <v>1.3 KG</v>
          </cell>
          <cell r="F2117">
            <v>382270719615</v>
          </cell>
          <cell r="G2117" t="str">
            <v>c/o Kintetsu World Express (China)
Texas Instruments Asia Limited</v>
          </cell>
          <cell r="H2117" t="str">
            <v>on the way</v>
          </cell>
          <cell r="I2117" t="str">
            <v>IC V</v>
          </cell>
          <cell r="J2117" t="str">
            <v>Fedex</v>
          </cell>
          <cell r="K2117" t="str">
            <v>VVMV</v>
          </cell>
          <cell r="L2117" t="str">
            <v>CN</v>
          </cell>
          <cell r="M2117">
            <v>46199</v>
          </cell>
          <cell r="N2117">
            <v>46205</v>
          </cell>
          <cell r="O2117">
            <v>46206</v>
          </cell>
          <cell r="P2117">
            <v>108392859260</v>
          </cell>
          <cell r="Q2117">
            <v>46204</v>
          </cell>
          <cell r="R2117" t="str">
            <v>No inspection</v>
          </cell>
          <cell r="S2117">
            <v>1500</v>
          </cell>
          <cell r="T2117" t="str">
            <v>EXW</v>
          </cell>
          <cell r="U2117" t="str">
            <v>HLO</v>
          </cell>
        </row>
        <row r="2118">
          <cell r="D2118" t="str">
            <v>4.9 KG</v>
          </cell>
          <cell r="F2118">
            <v>382275515042</v>
          </cell>
          <cell r="G2118" t="str">
            <v>C/O KINTETSU WORLD EXPRESS (CHINA)
TEXAS INSTRUMENTS ASIA LIMITED</v>
          </cell>
          <cell r="H2118" t="str">
            <v>on the way</v>
          </cell>
          <cell r="I2118" t="str">
            <v>IC V</v>
          </cell>
          <cell r="J2118" t="str">
            <v>Fedex</v>
          </cell>
          <cell r="K2118" t="str">
            <v>VVMV</v>
          </cell>
          <cell r="L2118" t="str">
            <v>CN</v>
          </cell>
          <cell r="M2118">
            <v>46199</v>
          </cell>
          <cell r="N2118">
            <v>46205</v>
          </cell>
          <cell r="O2118">
            <v>46206</v>
          </cell>
          <cell r="P2118">
            <v>108392884130</v>
          </cell>
          <cell r="Q2118">
            <v>46204</v>
          </cell>
          <cell r="R2118" t="str">
            <v>No inspection</v>
          </cell>
          <cell r="S2118">
            <v>7500</v>
          </cell>
          <cell r="T2118" t="str">
            <v>EXW</v>
          </cell>
          <cell r="U2118" t="str">
            <v>HLO</v>
          </cell>
        </row>
        <row r="2119">
          <cell r="D2119" t="str">
            <v>3.7 KG</v>
          </cell>
          <cell r="F2119">
            <v>382307435956</v>
          </cell>
          <cell r="G2119" t="str">
            <v>c/o DHL Supply Chain SGP P/L
Texas Instruments Southeast Asia Pt</v>
          </cell>
          <cell r="H2119" t="str">
            <v>on the way</v>
          </cell>
          <cell r="I2119" t="str">
            <v>IC V, IC D</v>
          </cell>
          <cell r="J2119" t="str">
            <v>Fedex</v>
          </cell>
          <cell r="K2119" t="str">
            <v>VVMV</v>
          </cell>
          <cell r="L2119" t="str">
            <v>SG</v>
          </cell>
          <cell r="M2119">
            <v>46202</v>
          </cell>
          <cell r="N2119">
            <v>46205</v>
          </cell>
          <cell r="O2119">
            <v>46206</v>
          </cell>
          <cell r="P2119">
            <v>108392925210</v>
          </cell>
          <cell r="Q2119">
            <v>46204</v>
          </cell>
          <cell r="R2119" t="str">
            <v>No inspection</v>
          </cell>
          <cell r="S2119">
            <v>10434</v>
          </cell>
          <cell r="T2119" t="str">
            <v>EXW</v>
          </cell>
          <cell r="U2119" t="str">
            <v>PUR</v>
          </cell>
        </row>
        <row r="2120">
          <cell r="D2120">
            <v>65</v>
          </cell>
          <cell r="F2120">
            <v>4812930309</v>
          </cell>
          <cell r="G2120" t="str">
            <v>COMPEQ MANUFACTURING CO., LTD</v>
          </cell>
          <cell r="H2120" t="str">
            <v>on the way</v>
          </cell>
          <cell r="I2120" t="str">
            <v xml:space="preserve">PCB </v>
          </cell>
          <cell r="J2120" t="str">
            <v>Expeditors</v>
          </cell>
          <cell r="K2120" t="str">
            <v>VVMV</v>
          </cell>
          <cell r="L2120" t="str">
            <v>TW</v>
          </cell>
          <cell r="M2120">
            <v>46203</v>
          </cell>
          <cell r="N2120">
            <v>46205</v>
          </cell>
          <cell r="O2120">
            <v>46206</v>
          </cell>
          <cell r="P2120">
            <v>108394396500</v>
          </cell>
          <cell r="Q2120">
            <v>46204</v>
          </cell>
          <cell r="R2120" t="str">
            <v>No inspection</v>
          </cell>
          <cell r="S2120">
            <v>17850</v>
          </cell>
          <cell r="T2120" t="str">
            <v>FCA</v>
          </cell>
          <cell r="U2120" t="str">
            <v>PUR</v>
          </cell>
        </row>
        <row r="2121">
          <cell r="D2121">
            <v>1.2</v>
          </cell>
          <cell r="F2121">
            <v>3322941333</v>
          </cell>
          <cell r="G2121" t="str">
            <v>Texas Instruments Southeast Asia PL</v>
          </cell>
          <cell r="H2121" t="str">
            <v>on the way</v>
          </cell>
          <cell r="I2121" t="str">
            <v>IC S</v>
          </cell>
          <cell r="J2121" t="str">
            <v>DHL</v>
          </cell>
          <cell r="K2121" t="str">
            <v>VVMV</v>
          </cell>
          <cell r="L2121" t="str">
            <v>SG</v>
          </cell>
          <cell r="M2121">
            <v>46203</v>
          </cell>
          <cell r="N2121">
            <v>46206</v>
          </cell>
          <cell r="P2121">
            <v>108396924530</v>
          </cell>
          <cell r="Q2121">
            <v>46205</v>
          </cell>
          <cell r="R2121" t="str">
            <v>No inspection</v>
          </cell>
          <cell r="S2121">
            <v>544</v>
          </cell>
          <cell r="T2121" t="str">
            <v>CIF</v>
          </cell>
          <cell r="U2121" t="str">
            <v>EF-</v>
          </cell>
        </row>
        <row r="2122">
          <cell r="D2122">
            <v>40.799999999999997</v>
          </cell>
          <cell r="F2122">
            <v>494056069309</v>
          </cell>
          <cell r="G2122" t="str">
            <v>NANYA TECHNOLOGY CORP.</v>
          </cell>
          <cell r="H2122" t="str">
            <v>on the way</v>
          </cell>
          <cell r="I2122" t="str">
            <v xml:space="preserve">MEM </v>
          </cell>
          <cell r="J2122" t="str">
            <v>Fedex</v>
          </cell>
          <cell r="K2122" t="str">
            <v>VVMV</v>
          </cell>
          <cell r="L2122" t="str">
            <v>TW</v>
          </cell>
          <cell r="M2122">
            <v>46202</v>
          </cell>
          <cell r="N2122">
            <v>46206</v>
          </cell>
          <cell r="P2122">
            <v>108398366160</v>
          </cell>
          <cell r="Q2122">
            <v>46205</v>
          </cell>
          <cell r="R2122" t="str">
            <v>No inspection</v>
          </cell>
          <cell r="S2122">
            <v>345840</v>
          </cell>
          <cell r="T2122" t="str">
            <v>CIF</v>
          </cell>
          <cell r="U2122" t="str">
            <v>HLO</v>
          </cell>
        </row>
        <row r="2123">
          <cell r="D2123">
            <v>57.9</v>
          </cell>
          <cell r="F2123">
            <v>512718302742</v>
          </cell>
          <cell r="G2123" t="str">
            <v>SILICON MOTION INC</v>
          </cell>
          <cell r="H2123" t="str">
            <v>on the way</v>
          </cell>
          <cell r="I2123" t="str">
            <v>IC C</v>
          </cell>
          <cell r="J2123" t="str">
            <v>Fedex</v>
          </cell>
          <cell r="K2123" t="str">
            <v>VVMV</v>
          </cell>
          <cell r="L2123" t="str">
            <v>TW</v>
          </cell>
          <cell r="M2123">
            <v>46203</v>
          </cell>
          <cell r="N2123">
            <v>46206</v>
          </cell>
          <cell r="O2123">
            <v>46206</v>
          </cell>
          <cell r="P2123">
            <v>108396239340</v>
          </cell>
          <cell r="Q2123">
            <v>46205</v>
          </cell>
          <cell r="R2123" t="str">
            <v>No inspection</v>
          </cell>
          <cell r="S2123">
            <v>1066000</v>
          </cell>
          <cell r="T2123" t="str">
            <v>EXW</v>
          </cell>
          <cell r="U2123">
            <v>130</v>
          </cell>
        </row>
        <row r="2124">
          <cell r="D2124">
            <v>28</v>
          </cell>
          <cell r="F2124">
            <v>873743769527</v>
          </cell>
          <cell r="G2124" t="str">
            <v>Sandisk Storage sdn. Bhd</v>
          </cell>
          <cell r="H2124" t="str">
            <v>on the way</v>
          </cell>
          <cell r="I2124" t="str">
            <v>IC F</v>
          </cell>
          <cell r="J2124" t="str">
            <v>Fedex</v>
          </cell>
          <cell r="K2124" t="str">
            <v>VVMV</v>
          </cell>
          <cell r="L2124" t="str">
            <v>MY</v>
          </cell>
          <cell r="M2124">
            <v>46203</v>
          </cell>
          <cell r="N2124">
            <v>46206</v>
          </cell>
          <cell r="P2124">
            <v>108396459140</v>
          </cell>
          <cell r="Q2124">
            <v>46205</v>
          </cell>
          <cell r="R2124" t="str">
            <v>No inspection</v>
          </cell>
          <cell r="S2124">
            <v>2389760</v>
          </cell>
          <cell r="T2124" t="str">
            <v>CIF</v>
          </cell>
          <cell r="U2124">
            <v>103</v>
          </cell>
        </row>
        <row r="2125">
          <cell r="D2125">
            <v>1.7</v>
          </cell>
          <cell r="F2125">
            <v>532033835660</v>
          </cell>
          <cell r="G2125" t="str">
            <v>DIGI-KEY ELECTRONICS</v>
          </cell>
          <cell r="H2125" t="str">
            <v>on the way</v>
          </cell>
          <cell r="I2125" t="str">
            <v xml:space="preserve">FERR, CAP </v>
          </cell>
          <cell r="J2125" t="str">
            <v>Fedex</v>
          </cell>
          <cell r="K2125" t="str">
            <v>VVMV</v>
          </cell>
          <cell r="L2125" t="str">
            <v>US</v>
          </cell>
          <cell r="M2125">
            <v>46202</v>
          </cell>
          <cell r="N2125">
            <v>46206</v>
          </cell>
          <cell r="P2125">
            <v>108396486920</v>
          </cell>
          <cell r="Q2125">
            <v>46205</v>
          </cell>
          <cell r="R2125" t="str">
            <v>No inspection</v>
          </cell>
          <cell r="S2125">
            <v>2713.64</v>
          </cell>
          <cell r="T2125" t="str">
            <v>CIF</v>
          </cell>
          <cell r="U2125" t="str">
            <v>EF-</v>
          </cell>
        </row>
        <row r="2126">
          <cell r="D2126" t="str">
            <v>72.1 KG</v>
          </cell>
          <cell r="F2126">
            <v>873743770884</v>
          </cell>
          <cell r="G2126" t="str">
            <v>Sandisk Storage sdn. Bhd</v>
          </cell>
          <cell r="H2126" t="str">
            <v>on the way</v>
          </cell>
          <cell r="I2126" t="str">
            <v>IC F</v>
          </cell>
          <cell r="J2126" t="str">
            <v>Fedex</v>
          </cell>
          <cell r="K2126" t="str">
            <v>VVMV</v>
          </cell>
          <cell r="L2126" t="str">
            <v>MY</v>
          </cell>
          <cell r="M2126">
            <v>46203</v>
          </cell>
          <cell r="N2126">
            <v>46209</v>
          </cell>
          <cell r="P2126">
            <v>108399646130</v>
          </cell>
          <cell r="Q2126">
            <v>46206</v>
          </cell>
          <cell r="R2126" t="str">
            <v>No inspection</v>
          </cell>
          <cell r="S2126">
            <v>6213376</v>
          </cell>
          <cell r="T2126" t="str">
            <v>CIF</v>
          </cell>
          <cell r="U2126">
            <v>103</v>
          </cell>
        </row>
        <row r="2127">
          <cell r="D2127">
            <v>1.9</v>
          </cell>
          <cell r="F2127">
            <v>530477451099</v>
          </cell>
          <cell r="G2127" t="str">
            <v>MICRON MEMORY MALAYSIA SDN BHD</v>
          </cell>
          <cell r="H2127" t="str">
            <v>on the way</v>
          </cell>
          <cell r="I2127" t="str">
            <v xml:space="preserve">MEM </v>
          </cell>
          <cell r="J2127" t="str">
            <v>Fedex</v>
          </cell>
          <cell r="K2127" t="str">
            <v>VVMV</v>
          </cell>
          <cell r="L2127" t="str">
            <v>MY</v>
          </cell>
          <cell r="M2127">
            <v>46203</v>
          </cell>
          <cell r="N2127">
            <v>46206</v>
          </cell>
          <cell r="P2127">
            <v>108396208540</v>
          </cell>
          <cell r="Q2127">
            <v>46205</v>
          </cell>
          <cell r="R2127" t="str">
            <v>No inspection</v>
          </cell>
          <cell r="S2127">
            <v>111840.75</v>
          </cell>
          <cell r="T2127" t="str">
            <v>EXW</v>
          </cell>
          <cell r="U2127" t="str">
            <v>PUR</v>
          </cell>
        </row>
        <row r="2128">
          <cell r="D2128">
            <v>6</v>
          </cell>
          <cell r="F2128">
            <v>873751304906</v>
          </cell>
          <cell r="G2128" t="str">
            <v>CYMMETRIK SHENZHEN PRINTING CO. LTD</v>
          </cell>
          <cell r="H2128" t="str">
            <v>on the way</v>
          </cell>
          <cell r="I2128" t="str">
            <v>LABE</v>
          </cell>
          <cell r="J2128" t="str">
            <v>Fedex</v>
          </cell>
          <cell r="K2128" t="str">
            <v>VVMV</v>
          </cell>
          <cell r="L2128" t="str">
            <v>CN</v>
          </cell>
          <cell r="M2128">
            <v>46203</v>
          </cell>
          <cell r="N2128">
            <v>46206</v>
          </cell>
          <cell r="O2128">
            <v>46206</v>
          </cell>
          <cell r="P2128">
            <v>108395661950</v>
          </cell>
          <cell r="Q2128">
            <v>46205</v>
          </cell>
          <cell r="R2128" t="str">
            <v>No inspection</v>
          </cell>
          <cell r="S2128">
            <v>1995</v>
          </cell>
          <cell r="T2128" t="str">
            <v>EXW</v>
          </cell>
          <cell r="U2128" t="str">
            <v>HLO</v>
          </cell>
        </row>
        <row r="2129">
          <cell r="F2129">
            <v>4915152265</v>
          </cell>
          <cell r="H2129" t="str">
            <v>on the way</v>
          </cell>
          <cell r="J2129" t="str">
            <v>Fedex</v>
          </cell>
          <cell r="K2129" t="str">
            <v>VVMV</v>
          </cell>
          <cell r="L2129" t="str">
            <v>HK</v>
          </cell>
          <cell r="P2129" t="str">
            <v>đợi AN chính thức rùi tr</v>
          </cell>
        </row>
        <row r="2130">
          <cell r="D2130" t="str">
            <v>77.2 KG</v>
          </cell>
          <cell r="F2130">
            <v>5475840484</v>
          </cell>
          <cell r="G2130" t="str">
            <v>SHENNAN CIRCUITS CO.LTD</v>
          </cell>
          <cell r="H2130" t="str">
            <v>on the way</v>
          </cell>
          <cell r="I2130" t="str">
            <v xml:space="preserve">PCB </v>
          </cell>
          <cell r="J2130" t="str">
            <v>DHL</v>
          </cell>
          <cell r="K2130" t="str">
            <v>VVMV</v>
          </cell>
          <cell r="L2130" t="str">
            <v>CN</v>
          </cell>
          <cell r="M2130">
            <v>46205</v>
          </cell>
          <cell r="N2130">
            <v>46209</v>
          </cell>
          <cell r="P2130" t="str">
            <v>Check hàng về rùi TR</v>
          </cell>
          <cell r="U2130" t="str">
            <v>LUC</v>
          </cell>
        </row>
        <row r="2131">
          <cell r="D2131" t="str">
            <v>1 KG</v>
          </cell>
          <cell r="F2131">
            <v>2524626576</v>
          </cell>
          <cell r="G2131" t="str">
            <v>TTI INC</v>
          </cell>
          <cell r="H2131" t="str">
            <v>on the way</v>
          </cell>
          <cell r="I2131" t="str">
            <v>CAP , RES , TRAN</v>
          </cell>
          <cell r="J2131" t="str">
            <v>Fedex</v>
          </cell>
          <cell r="K2131" t="str">
            <v>VVMV</v>
          </cell>
          <cell r="L2131" t="str">
            <v>US</v>
          </cell>
          <cell r="M2131">
            <v>46204</v>
          </cell>
          <cell r="N2131">
            <v>46211</v>
          </cell>
          <cell r="P2131" t="str">
            <v>Check hàng về rùi TR</v>
          </cell>
          <cell r="U2131">
            <v>122</v>
          </cell>
        </row>
        <row r="2132">
          <cell r="D2132" t="str">
            <v>43.4 KG</v>
          </cell>
          <cell r="F2132">
            <v>7869786470</v>
          </cell>
          <cell r="G2132" t="str">
            <v>KYOCERA AVX Components s.r.o.</v>
          </cell>
          <cell r="H2132" t="str">
            <v>on the way</v>
          </cell>
          <cell r="I2132" t="str">
            <v xml:space="preserve">CAP </v>
          </cell>
          <cell r="J2132" t="str">
            <v>Fedex</v>
          </cell>
          <cell r="K2132" t="str">
            <v>VVMV</v>
          </cell>
          <cell r="L2132" t="str">
            <v>CZ</v>
          </cell>
          <cell r="M2132">
            <v>46204</v>
          </cell>
          <cell r="N2132">
            <v>46210</v>
          </cell>
          <cell r="P2132" t="str">
            <v>Check hàng về rùi TR</v>
          </cell>
          <cell r="U2132" t="str">
            <v>HLO</v>
          </cell>
        </row>
        <row r="2133">
          <cell r="D2133" t="str">
            <v>24.9 KG</v>
          </cell>
          <cell r="F2133">
            <v>2982288540</v>
          </cell>
          <cell r="G2133" t="str">
            <v>Avnet - Chandler</v>
          </cell>
          <cell r="H2133" t="str">
            <v>on the way</v>
          </cell>
          <cell r="I2133" t="str">
            <v>CAP , CRYS, IC C, IC D, RES , IC A</v>
          </cell>
          <cell r="J2133" t="str">
            <v>Fedex</v>
          </cell>
          <cell r="K2133" t="str">
            <v>VVMV</v>
          </cell>
          <cell r="L2133" t="str">
            <v>US</v>
          </cell>
          <cell r="M2133">
            <v>46204</v>
          </cell>
          <cell r="N2133">
            <v>46211</v>
          </cell>
          <cell r="P2133" t="str">
            <v>Đợi buyer cfn mã LUC và đợi hàng về rùi tr</v>
          </cell>
          <cell r="U2133" t="str">
            <v>LUC</v>
          </cell>
        </row>
        <row r="2134">
          <cell r="D2134" t="str">
            <v>17.5 KG</v>
          </cell>
          <cell r="F2134">
            <v>873686000926</v>
          </cell>
          <cell r="G2134" t="str">
            <v>ARROW ELECTRONICS ASIA (S) PTE LTD
C/O ARROW COMPONENTS (M) SDN BHD</v>
          </cell>
          <cell r="H2134" t="str">
            <v>on the way</v>
          </cell>
          <cell r="I2134" t="str">
            <v>DIOD, CAP , IC E, SERI</v>
          </cell>
          <cell r="J2134" t="str">
            <v>Fedex</v>
          </cell>
          <cell r="K2134" t="str">
            <v>VVMV</v>
          </cell>
          <cell r="L2134" t="str">
            <v>MY</v>
          </cell>
          <cell r="M2134">
            <v>46202</v>
          </cell>
          <cell r="N2134">
            <v>46209</v>
          </cell>
          <cell r="P2134">
            <v>108400775710</v>
          </cell>
          <cell r="Q2134">
            <v>46206</v>
          </cell>
          <cell r="R2134" t="str">
            <v>No inspection</v>
          </cell>
          <cell r="S2134">
            <v>62474.16</v>
          </cell>
          <cell r="T2134" t="str">
            <v>EXW</v>
          </cell>
          <cell r="U2134" t="str">
            <v>AIC</v>
          </cell>
        </row>
        <row r="2135">
          <cell r="D2135" t="str">
            <v>4.7 KG</v>
          </cell>
          <cell r="F2135">
            <v>873860235050</v>
          </cell>
          <cell r="G2135" t="str">
            <v>Vitalsystem Technology Pte Ltd</v>
          </cell>
          <cell r="H2135" t="str">
            <v>on the way</v>
          </cell>
          <cell r="I2135" t="str">
            <v xml:space="preserve">RES , CAP </v>
          </cell>
          <cell r="J2135" t="str">
            <v>Fedex</v>
          </cell>
          <cell r="K2135" t="str">
            <v>VVMV</v>
          </cell>
          <cell r="L2135" t="str">
            <v>SG</v>
          </cell>
          <cell r="M2135">
            <v>46205</v>
          </cell>
          <cell r="N2135">
            <v>46209</v>
          </cell>
          <cell r="P2135">
            <v>108400954210</v>
          </cell>
          <cell r="Q2135">
            <v>46206</v>
          </cell>
          <cell r="R2135" t="str">
            <v>No inspection</v>
          </cell>
          <cell r="S2135">
            <v>910.65</v>
          </cell>
          <cell r="T2135" t="str">
            <v>EXW</v>
          </cell>
          <cell r="U2135" t="str">
            <v>PUR</v>
          </cell>
        </row>
        <row r="2136">
          <cell r="D2136" t="str">
            <v>7.3 KG</v>
          </cell>
          <cell r="F2136">
            <v>456732850016</v>
          </cell>
          <cell r="G2136" t="str">
            <v>SDM (SHANGHAI-SDSS</v>
          </cell>
          <cell r="H2136" t="str">
            <v>on the way</v>
          </cell>
          <cell r="I2136" t="str">
            <v>IC F</v>
          </cell>
          <cell r="J2136" t="str">
            <v>Fedex</v>
          </cell>
          <cell r="K2136" t="str">
            <v>VVMV</v>
          </cell>
          <cell r="L2136" t="str">
            <v>CN</v>
          </cell>
          <cell r="M2136">
            <v>46199</v>
          </cell>
          <cell r="N2136">
            <v>46210</v>
          </cell>
          <cell r="P2136" t="str">
            <v>ĐỢI CHECK DENNIS RỒI TR</v>
          </cell>
          <cell r="U2136">
            <v>103</v>
          </cell>
        </row>
        <row r="2137">
          <cell r="D2137" t="str">
            <v>27.9 KG</v>
          </cell>
          <cell r="F2137">
            <v>456732849950</v>
          </cell>
          <cell r="G2137" t="str">
            <v xml:space="preserve">
SDN (SHANGHAI-SDSS</v>
          </cell>
          <cell r="H2137" t="str">
            <v>on the way</v>
          </cell>
          <cell r="I2137" t="str">
            <v>IC F</v>
          </cell>
          <cell r="J2137" t="str">
            <v>Fedex</v>
          </cell>
          <cell r="K2137" t="str">
            <v>VVMV</v>
          </cell>
          <cell r="L2137" t="str">
            <v>CN</v>
          </cell>
          <cell r="M2137">
            <v>46199</v>
          </cell>
          <cell r="N2137">
            <v>46210</v>
          </cell>
          <cell r="P2137" t="str">
            <v>ĐỢI CHECK DENNIS RỒI TR</v>
          </cell>
          <cell r="U2137">
            <v>103</v>
          </cell>
        </row>
        <row r="2138">
          <cell r="D2138" t="str">
            <v>51.3 KG</v>
          </cell>
          <cell r="F2138">
            <v>456732849917</v>
          </cell>
          <cell r="G2138" t="str">
            <v>SDM (SHANGHAI-SDSS</v>
          </cell>
          <cell r="H2138" t="str">
            <v>on the way</v>
          </cell>
          <cell r="I2138" t="str">
            <v>IC F</v>
          </cell>
          <cell r="J2138" t="str">
            <v>Fedex</v>
          </cell>
          <cell r="K2138" t="str">
            <v>VVMV</v>
          </cell>
          <cell r="L2138" t="str">
            <v>CN</v>
          </cell>
          <cell r="M2138">
            <v>46199</v>
          </cell>
          <cell r="N2138">
            <v>46210</v>
          </cell>
          <cell r="P2138" t="str">
            <v>ĐỢI CHECK DENNIS RỒI TR</v>
          </cell>
          <cell r="U2138">
            <v>103</v>
          </cell>
        </row>
        <row r="2139">
          <cell r="D2139" t="str">
            <v>18.8 KG</v>
          </cell>
          <cell r="F2139">
            <v>456732849983</v>
          </cell>
          <cell r="G2139" t="str">
            <v>SDN (SHANGHAI-SDSS</v>
          </cell>
          <cell r="H2139" t="str">
            <v>on the way</v>
          </cell>
          <cell r="I2139" t="str">
            <v>IC F</v>
          </cell>
          <cell r="J2139" t="str">
            <v>Fedex</v>
          </cell>
          <cell r="K2139" t="str">
            <v>VVMV</v>
          </cell>
          <cell r="L2139" t="str">
            <v>CN</v>
          </cell>
          <cell r="M2139">
            <v>46199</v>
          </cell>
          <cell r="N2139">
            <v>46210</v>
          </cell>
          <cell r="P2139" t="str">
            <v>ĐỢI CHECK DENNIS RỒI TR</v>
          </cell>
          <cell r="U2139">
            <v>103</v>
          </cell>
        </row>
        <row r="2140">
          <cell r="D2140" t="str">
            <v>53.6 KG</v>
          </cell>
          <cell r="F2140">
            <v>456732849870</v>
          </cell>
          <cell r="G2140" t="str">
            <v>SDM (SHANGHAI-SDSS</v>
          </cell>
          <cell r="H2140" t="str">
            <v>on the way</v>
          </cell>
          <cell r="I2140" t="str">
            <v>IC F</v>
          </cell>
          <cell r="J2140" t="str">
            <v>Fedex</v>
          </cell>
          <cell r="K2140" t="str">
            <v>VVMV</v>
          </cell>
          <cell r="L2140" t="str">
            <v>CN</v>
          </cell>
          <cell r="M2140">
            <v>46199</v>
          </cell>
          <cell r="N2140">
            <v>46209</v>
          </cell>
          <cell r="P2140">
            <v>108400179050</v>
          </cell>
          <cell r="Q2140">
            <v>46206</v>
          </cell>
          <cell r="R2140" t="str">
            <v>No inspection</v>
          </cell>
          <cell r="S2140">
            <v>4839264</v>
          </cell>
          <cell r="T2140" t="str">
            <v>CIF</v>
          </cell>
          <cell r="U2140">
            <v>103</v>
          </cell>
        </row>
        <row r="2141">
          <cell r="D2141" t="str">
            <v>17.4 KG</v>
          </cell>
          <cell r="F2141">
            <v>532730929005</v>
          </cell>
          <cell r="G2141" t="str">
            <v>MICROCHIP TECHNOLOGY OPS PHIL CORP</v>
          </cell>
          <cell r="H2141" t="str">
            <v>on the way</v>
          </cell>
          <cell r="I2141" t="str">
            <v>IC E</v>
          </cell>
          <cell r="J2141" t="str">
            <v>Fedex</v>
          </cell>
          <cell r="K2141" t="str">
            <v>VVMV</v>
          </cell>
          <cell r="L2141" t="str">
            <v>PH</v>
          </cell>
          <cell r="M2141">
            <v>46205</v>
          </cell>
          <cell r="N2141">
            <v>46209</v>
          </cell>
          <cell r="P2141">
            <v>108400358360</v>
          </cell>
          <cell r="Q2141">
            <v>46206</v>
          </cell>
          <cell r="R2141" t="str">
            <v>No inspection</v>
          </cell>
          <cell r="S2141">
            <v>131670</v>
          </cell>
          <cell r="T2141" t="str">
            <v>EXW</v>
          </cell>
          <cell r="U2141" t="str">
            <v>PUR</v>
          </cell>
        </row>
        <row r="2142">
          <cell r="F2142">
            <v>4110338748</v>
          </cell>
          <cell r="H2142" t="str">
            <v>on the way</v>
          </cell>
          <cell r="J2142" t="str">
            <v>Fedex</v>
          </cell>
          <cell r="K2142" t="str">
            <v>VVMV</v>
          </cell>
        </row>
        <row r="2143">
          <cell r="F2143">
            <v>1344649935</v>
          </cell>
          <cell r="H2143" t="str">
            <v>on the way</v>
          </cell>
          <cell r="J2143" t="str">
            <v>Fedex</v>
          </cell>
          <cell r="K2143" t="str">
            <v>VVMV</v>
          </cell>
        </row>
        <row r="2144">
          <cell r="F2144">
            <v>382331152304</v>
          </cell>
          <cell r="H2144" t="str">
            <v>on the way</v>
          </cell>
          <cell r="J2144" t="str">
            <v>Fedex</v>
          </cell>
          <cell r="K2144" t="str">
            <v>VVMV</v>
          </cell>
          <cell r="P2144" t="str">
            <v>đợi check mã LUC</v>
          </cell>
        </row>
        <row r="2145">
          <cell r="F2145">
            <v>382291225306</v>
          </cell>
          <cell r="H2145" t="str">
            <v>on the way</v>
          </cell>
          <cell r="J2145" t="str">
            <v>Fedex</v>
          </cell>
          <cell r="K2145" t="str">
            <v>VVMV</v>
          </cell>
          <cell r="P2145" t="str">
            <v>đợi check mã LUC</v>
          </cell>
        </row>
        <row r="2146">
          <cell r="F2146">
            <v>382303977516</v>
          </cell>
          <cell r="H2146" t="str">
            <v>on the way</v>
          </cell>
          <cell r="J2146" t="str">
            <v>Fedex</v>
          </cell>
          <cell r="K2146" t="str">
            <v>VVMV</v>
          </cell>
        </row>
        <row r="2147">
          <cell r="F2147">
            <v>5476393473</v>
          </cell>
          <cell r="H2147" t="str">
            <v>on the way</v>
          </cell>
          <cell r="J2147" t="str">
            <v>Fedex</v>
          </cell>
          <cell r="K2147" t="str">
            <v>VVMV</v>
          </cell>
        </row>
        <row r="2148">
          <cell r="F2148">
            <v>382361048746</v>
          </cell>
          <cell r="H2148" t="str">
            <v>on the way</v>
          </cell>
          <cell r="J2148" t="str">
            <v>Fedex</v>
          </cell>
          <cell r="K2148" t="str">
            <v>VVMV</v>
          </cell>
        </row>
        <row r="2149">
          <cell r="F2149">
            <v>873724065284</v>
          </cell>
          <cell r="H2149" t="str">
            <v>on the way</v>
          </cell>
          <cell r="J2149" t="str">
            <v>Fedex</v>
          </cell>
          <cell r="K2149" t="str">
            <v>VVMV</v>
          </cell>
        </row>
        <row r="2150">
          <cell r="F2150">
            <v>498939765891</v>
          </cell>
          <cell r="H2150" t="str">
            <v>on the way</v>
          </cell>
          <cell r="J2150" t="str">
            <v>Fedex</v>
          </cell>
          <cell r="K2150" t="str">
            <v>VVMV</v>
          </cell>
        </row>
        <row r="2151">
          <cell r="F2151">
            <v>456702742538</v>
          </cell>
          <cell r="H2151" t="str">
            <v>on the way</v>
          </cell>
          <cell r="J2151" t="str">
            <v>Fedex</v>
          </cell>
          <cell r="K2151" t="str">
            <v>VVMV</v>
          </cell>
        </row>
        <row r="2152">
          <cell r="F2152">
            <v>456702742505</v>
          </cell>
          <cell r="H2152" t="str">
            <v>on the way</v>
          </cell>
          <cell r="J2152" t="str">
            <v>Fedex</v>
          </cell>
          <cell r="K2152" t="str">
            <v>VVMV</v>
          </cell>
        </row>
        <row r="2153">
          <cell r="F2153">
            <v>525688659206</v>
          </cell>
          <cell r="H2153" t="str">
            <v>on the way</v>
          </cell>
          <cell r="J2153" t="str">
            <v>Fedex</v>
          </cell>
          <cell r="K2153" t="str">
            <v>VVMV</v>
          </cell>
        </row>
        <row r="2154">
          <cell r="F2154">
            <v>818547865483</v>
          </cell>
          <cell r="H2154" t="str">
            <v>on the way</v>
          </cell>
          <cell r="J2154" t="str">
            <v>Fedex</v>
          </cell>
          <cell r="K2154" t="str">
            <v>VVMV</v>
          </cell>
        </row>
        <row r="2155">
          <cell r="F2155">
            <v>382385286040</v>
          </cell>
          <cell r="H2155" t="str">
            <v>on the way</v>
          </cell>
          <cell r="J2155" t="str">
            <v>Fedex</v>
          </cell>
          <cell r="K2155" t="str">
            <v>VVMV</v>
          </cell>
        </row>
        <row r="2156">
          <cell r="F2156">
            <v>873864642286</v>
          </cell>
          <cell r="H2156" t="str">
            <v>on the way</v>
          </cell>
          <cell r="J2156" t="str">
            <v>Fedex</v>
          </cell>
          <cell r="K2156" t="str">
            <v>VVMV</v>
          </cell>
        </row>
        <row r="2157">
          <cell r="F2157" t="str">
            <v>BHJSZ0094755D</v>
          </cell>
          <cell r="H2157" t="str">
            <v>on the way</v>
          </cell>
          <cell r="J2157" t="str">
            <v>Fedex</v>
          </cell>
          <cell r="K2157" t="str">
            <v>VVMV</v>
          </cell>
        </row>
        <row r="2158">
          <cell r="H2158" t="str">
            <v>on the way</v>
          </cell>
          <cell r="J2158" t="str">
            <v>Fedex</v>
          </cell>
          <cell r="K2158" t="str">
            <v>VVMV</v>
          </cell>
        </row>
        <row r="2159">
          <cell r="H2159" t="str">
            <v>on the way</v>
          </cell>
          <cell r="J2159" t="str">
            <v>Fedex</v>
          </cell>
          <cell r="K2159" t="str">
            <v>VVMV</v>
          </cell>
        </row>
        <row r="2160">
          <cell r="H2160" t="str">
            <v>on the way</v>
          </cell>
          <cell r="J2160" t="str">
            <v>Fedex</v>
          </cell>
          <cell r="K2160" t="str">
            <v>VVMV</v>
          </cell>
        </row>
        <row r="2161">
          <cell r="H2161" t="str">
            <v>on the way</v>
          </cell>
          <cell r="J2161" t="str">
            <v>Fedex</v>
          </cell>
          <cell r="K2161" t="str">
            <v>VVMV</v>
          </cell>
        </row>
        <row r="2162">
          <cell r="H2162" t="str">
            <v>on the way</v>
          </cell>
          <cell r="J2162" t="str">
            <v>Fedex</v>
          </cell>
          <cell r="K2162" t="str">
            <v>VVMV</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ther"/>
      <sheetName val="Archiive ratio"/>
      <sheetName val="Debit"/>
      <sheetName val="WO management"/>
      <sheetName val="Export shipment"/>
      <sheetName val="Sheet2"/>
      <sheetName val="Product"/>
      <sheetName val="Need to Re-Im"/>
      <sheetName val="Nợ CN"/>
      <sheetName val="Need to Re-Ex"/>
      <sheetName val="Note"/>
      <sheetName val="Bù trừ EF-45102320"/>
      <sheetName val="Nhập carrier"/>
      <sheetName val="Sheet1"/>
    </sheetNames>
    <sheetDataSet>
      <sheetData sheetId="0"/>
      <sheetData sheetId="1"/>
      <sheetData sheetId="2"/>
      <sheetData sheetId="3"/>
      <sheetData sheetId="4">
        <row r="1">
          <cell r="V1" t="str">
            <v>Form No:</v>
          </cell>
          <cell r="Y1" t="str">
            <v>HN-LP-02-F0006(R00)</v>
          </cell>
        </row>
        <row r="2">
          <cell r="V2" t="str">
            <v>Effective date:</v>
          </cell>
          <cell r="Y2">
            <v>43277</v>
          </cell>
        </row>
        <row r="6">
          <cell r="R6" t="str">
            <v/>
          </cell>
        </row>
        <row r="7">
          <cell r="B7" t="str">
            <v>INVOICE NO.</v>
          </cell>
          <cell r="C7" t="str">
            <v>PO #</v>
          </cell>
          <cell r="D7" t="str">
            <v>WO#</v>
          </cell>
          <cell r="E7" t="str">
            <v>Gross Weight</v>
          </cell>
          <cell r="F7" t="str">
            <v>Tracking#</v>
          </cell>
          <cell r="G7" t="str">
            <v>check vận đơn</v>
          </cell>
          <cell r="H7" t="str">
            <v>CUSTOMER</v>
          </cell>
          <cell r="I7" t="str">
            <v>DESCRIPTION OF GOODS</v>
          </cell>
          <cell r="J7" t="str">
            <v>CARRIER</v>
          </cell>
          <cell r="K7" t="str">
            <v>FWD</v>
          </cell>
          <cell r="L7" t="str">
            <v>POL</v>
          </cell>
          <cell r="M7" t="str">
            <v>POD</v>
          </cell>
          <cell r="N7" t="str">
            <v>Required ship out date</v>
          </cell>
          <cell r="O7" t="str">
            <v>Pick up</v>
          </cell>
          <cell r="P7" t="str">
            <v>Dock Date</v>
          </cell>
          <cell r="Q7" t="str">
            <v>Transit time (day)</v>
          </cell>
          <cell r="R7" t="str">
            <v>ED NO.</v>
          </cell>
          <cell r="S7" t="str">
            <v>DATE</v>
          </cell>
          <cell r="T7" t="str">
            <v>STATUS</v>
          </cell>
          <cell r="U7" t="str">
            <v>Total Amount
USD</v>
          </cell>
          <cell r="V7" t="str">
            <v>PAYMENT</v>
          </cell>
          <cell r="W7" t="str">
            <v>Gửi Tk cho kế toán</v>
          </cell>
          <cell r="X7" t="str">
            <v>Delivery Term</v>
          </cell>
          <cell r="Y7" t="str">
            <v>Route (Note cho FCA, DAP)</v>
          </cell>
        </row>
        <row r="8">
          <cell r="B8" t="str">
            <v>INV06563</v>
          </cell>
          <cell r="E8">
            <v>58.1</v>
          </cell>
          <cell r="F8" t="str">
            <v>HN90005121</v>
          </cell>
          <cell r="G8" t="str">
            <v>x</v>
          </cell>
          <cell r="H8" t="str">
            <v>Lucid HQ</v>
          </cell>
          <cell r="I8" t="str">
            <v>USB, CCCV2, UCC</v>
          </cell>
          <cell r="J8" t="str">
            <v>DSV</v>
          </cell>
          <cell r="K8" t="str">
            <v>VVMV</v>
          </cell>
          <cell r="L8" t="str">
            <v>HN</v>
          </cell>
          <cell r="M8" t="str">
            <v>US</v>
          </cell>
          <cell r="N8">
            <v>46024</v>
          </cell>
          <cell r="O8">
            <v>46024</v>
          </cell>
          <cell r="P8">
            <v>46027</v>
          </cell>
          <cell r="Q8">
            <v>3</v>
          </cell>
          <cell r="R8">
            <v>308112001760</v>
          </cell>
          <cell r="S8">
            <v>46022</v>
          </cell>
          <cell r="T8" t="str">
            <v>No inspection</v>
          </cell>
          <cell r="U8">
            <v>15386.67</v>
          </cell>
          <cell r="V8" t="str">
            <v>PAYMENT</v>
          </cell>
          <cell r="W8" t="str">
            <v>OK</v>
          </cell>
          <cell r="X8" t="str">
            <v>FCA</v>
          </cell>
          <cell r="Y8" t="str">
            <v>Lucid</v>
          </cell>
          <cell r="Z8" t="str">
            <v>x</v>
          </cell>
          <cell r="AA8" t="str">
            <v>x</v>
          </cell>
        </row>
        <row r="9">
          <cell r="B9" t="str">
            <v>INV06571</v>
          </cell>
          <cell r="E9">
            <v>1097.5999999999999</v>
          </cell>
          <cell r="F9" t="str">
            <v>HN90005119</v>
          </cell>
          <cell r="G9" t="str">
            <v>x</v>
          </cell>
          <cell r="H9" t="str">
            <v>Lucid Arizona</v>
          </cell>
          <cell r="I9" t="str">
            <v>BCM, VCU</v>
          </cell>
          <cell r="J9" t="str">
            <v>DSV</v>
          </cell>
          <cell r="K9" t="str">
            <v>VVMV</v>
          </cell>
          <cell r="L9" t="str">
            <v>HN</v>
          </cell>
          <cell r="M9" t="str">
            <v>US</v>
          </cell>
          <cell r="N9">
            <v>46024</v>
          </cell>
          <cell r="O9">
            <v>46024</v>
          </cell>
          <cell r="P9">
            <v>46029</v>
          </cell>
          <cell r="Q9">
            <v>5</v>
          </cell>
          <cell r="R9">
            <v>308112042250</v>
          </cell>
          <cell r="S9">
            <v>46022</v>
          </cell>
          <cell r="T9" t="str">
            <v>No inspection</v>
          </cell>
          <cell r="U9">
            <v>191372</v>
          </cell>
          <cell r="V9" t="str">
            <v>PAYMENT</v>
          </cell>
          <cell r="W9" t="str">
            <v>OK</v>
          </cell>
          <cell r="X9" t="str">
            <v>FCA</v>
          </cell>
          <cell r="Y9" t="str">
            <v>Lucid</v>
          </cell>
          <cell r="Z9" t="str">
            <v>x</v>
          </cell>
          <cell r="AA9" t="str">
            <v>x</v>
          </cell>
        </row>
        <row r="10">
          <cell r="B10" t="str">
            <v>INV06572</v>
          </cell>
          <cell r="E10">
            <v>2893.5</v>
          </cell>
          <cell r="F10" t="str">
            <v>HLCUSGN260110346</v>
          </cell>
          <cell r="G10" t="str">
            <v>x</v>
          </cell>
          <cell r="H10" t="str">
            <v>Lucid Arizona</v>
          </cell>
          <cell r="I10" t="str">
            <v>FRONT, REAR, CABIN</v>
          </cell>
          <cell r="J10" t="str">
            <v>DSV</v>
          </cell>
          <cell r="K10" t="str">
            <v>VVMV</v>
          </cell>
          <cell r="L10" t="str">
            <v>HN</v>
          </cell>
          <cell r="M10" t="str">
            <v>US</v>
          </cell>
          <cell r="N10">
            <v>46028</v>
          </cell>
          <cell r="O10">
            <v>46028</v>
          </cell>
          <cell r="P10">
            <v>46107</v>
          </cell>
          <cell r="Q10">
            <v>79</v>
          </cell>
          <cell r="R10">
            <v>308121542760</v>
          </cell>
          <cell r="S10">
            <v>46028</v>
          </cell>
          <cell r="T10" t="str">
            <v>No inspection</v>
          </cell>
          <cell r="U10">
            <v>343739.5</v>
          </cell>
          <cell r="V10" t="str">
            <v>PAYMENT</v>
          </cell>
          <cell r="W10" t="str">
            <v>ok</v>
          </cell>
          <cell r="X10" t="str">
            <v>FCA</v>
          </cell>
          <cell r="Y10" t="str">
            <v>Lucid</v>
          </cell>
          <cell r="Z10" t="str">
            <v>x</v>
          </cell>
          <cell r="AA10" t="str">
            <v>x</v>
          </cell>
        </row>
        <row r="11">
          <cell r="B11" t="str">
            <v>INV06575</v>
          </cell>
          <cell r="E11">
            <v>293.60000000000002</v>
          </cell>
          <cell r="F11" t="str">
            <v>HN90005125</v>
          </cell>
          <cell r="G11" t="str">
            <v>x</v>
          </cell>
          <cell r="H11" t="str">
            <v>Lucid Arizona</v>
          </cell>
          <cell r="I11" t="str">
            <v>VCU</v>
          </cell>
          <cell r="J11" t="str">
            <v>DSV</v>
          </cell>
          <cell r="K11" t="str">
            <v>VVMV</v>
          </cell>
          <cell r="L11" t="str">
            <v>HN</v>
          </cell>
          <cell r="M11" t="str">
            <v>US</v>
          </cell>
          <cell r="N11">
            <v>46029</v>
          </cell>
          <cell r="O11">
            <v>46029</v>
          </cell>
          <cell r="P11">
            <v>46035</v>
          </cell>
          <cell r="Q11">
            <v>6</v>
          </cell>
          <cell r="R11">
            <v>308126931950</v>
          </cell>
          <cell r="S11">
            <v>46029</v>
          </cell>
          <cell r="T11" t="str">
            <v>No inspection</v>
          </cell>
          <cell r="U11">
            <v>50911.199999999997</v>
          </cell>
          <cell r="V11" t="str">
            <v>PAYMENT</v>
          </cell>
          <cell r="W11" t="str">
            <v>OK</v>
          </cell>
          <cell r="X11" t="str">
            <v>FCA</v>
          </cell>
          <cell r="Y11" t="str">
            <v>Lucid</v>
          </cell>
          <cell r="Z11" t="str">
            <v>x</v>
          </cell>
          <cell r="AA11" t="str">
            <v>x</v>
          </cell>
        </row>
        <row r="12">
          <cell r="B12" t="str">
            <v>INV06576</v>
          </cell>
          <cell r="E12">
            <v>95.1</v>
          </cell>
          <cell r="F12" t="str">
            <v>887611679486</v>
          </cell>
          <cell r="G12" t="str">
            <v>ok</v>
          </cell>
          <cell r="H12" t="str">
            <v>EFI IL</v>
          </cell>
          <cell r="I12" t="str">
            <v>ASM</v>
          </cell>
          <cell r="J12" t="str">
            <v>FedEx</v>
          </cell>
          <cell r="K12" t="str">
            <v>VVMV</v>
          </cell>
          <cell r="L12" t="str">
            <v>HN</v>
          </cell>
          <cell r="M12" t="str">
            <v>IL</v>
          </cell>
          <cell r="N12">
            <v>46027</v>
          </cell>
          <cell r="O12">
            <v>46027</v>
          </cell>
          <cell r="P12">
            <v>46037</v>
          </cell>
          <cell r="Q12">
            <v>10</v>
          </cell>
          <cell r="R12">
            <v>308118972840</v>
          </cell>
          <cell r="S12">
            <v>46027</v>
          </cell>
          <cell r="T12" t="str">
            <v>No inspection</v>
          </cell>
          <cell r="U12">
            <v>32672.5</v>
          </cell>
          <cell r="V12" t="str">
            <v>PAYMENT</v>
          </cell>
          <cell r="W12" t="str">
            <v>OK</v>
          </cell>
          <cell r="X12" t="str">
            <v>FCA</v>
          </cell>
          <cell r="Y12" t="str">
            <v>EFI</v>
          </cell>
          <cell r="Z12" t="str">
            <v>x</v>
          </cell>
          <cell r="AA12" t="str">
            <v>x</v>
          </cell>
        </row>
        <row r="13">
          <cell r="B13" t="str">
            <v>INV06577</v>
          </cell>
          <cell r="E13">
            <v>1.8</v>
          </cell>
          <cell r="F13" t="str">
            <v>887559762647</v>
          </cell>
          <cell r="G13" t="str">
            <v>ok</v>
          </cell>
          <cell r="H13" t="e">
            <v>#N/A</v>
          </cell>
          <cell r="I13" t="str">
            <v>HLOB</v>
          </cell>
          <cell r="J13" t="e">
            <v>#N/A</v>
          </cell>
          <cell r="K13" t="e">
            <v>#N/A</v>
          </cell>
          <cell r="L13" t="str">
            <v>HN</v>
          </cell>
          <cell r="M13" t="str">
            <v>US</v>
          </cell>
          <cell r="N13" t="e">
            <v>#N/A</v>
          </cell>
          <cell r="O13" t="e">
            <v>#N/A</v>
          </cell>
          <cell r="P13">
            <v>46028</v>
          </cell>
          <cell r="Q13" t="e">
            <v>#N/A</v>
          </cell>
          <cell r="R13">
            <v>308114601930</v>
          </cell>
          <cell r="S13">
            <v>46024</v>
          </cell>
          <cell r="T13" t="str">
            <v>No inspection</v>
          </cell>
          <cell r="U13">
            <v>8396.94</v>
          </cell>
          <cell r="V13" t="str">
            <v>NO PAYMENT</v>
          </cell>
          <cell r="W13" t="str">
            <v>No need</v>
          </cell>
          <cell r="X13" t="str">
            <v>FCA</v>
          </cell>
          <cell r="Y13" t="str">
            <v>PURE</v>
          </cell>
          <cell r="Z13" t="str">
            <v>x</v>
          </cell>
          <cell r="AA13" t="str">
            <v>x</v>
          </cell>
        </row>
        <row r="14">
          <cell r="B14" t="str">
            <v>INV06578</v>
          </cell>
          <cell r="E14">
            <v>127.7</v>
          </cell>
          <cell r="F14" t="str">
            <v>45T0440604</v>
          </cell>
          <cell r="G14" t="str">
            <v>x</v>
          </cell>
          <cell r="H14" t="str">
            <v>PURE US</v>
          </cell>
          <cell r="I14" t="str">
            <v>NAPPER, OTTER, PIPER</v>
          </cell>
          <cell r="J14" t="str">
            <v>Expeditors</v>
          </cell>
          <cell r="K14" t="str">
            <v>Expeditors</v>
          </cell>
          <cell r="L14" t="str">
            <v>HN</v>
          </cell>
          <cell r="M14" t="str">
            <v>US</v>
          </cell>
          <cell r="N14">
            <v>46028</v>
          </cell>
          <cell r="O14">
            <v>46028</v>
          </cell>
          <cell r="P14">
            <v>46035</v>
          </cell>
          <cell r="Q14">
            <v>7</v>
          </cell>
          <cell r="R14">
            <v>308124174430</v>
          </cell>
          <cell r="S14">
            <v>46028</v>
          </cell>
          <cell r="T14" t="str">
            <v>No inspection</v>
          </cell>
          <cell r="U14">
            <v>845703.12</v>
          </cell>
          <cell r="V14" t="str">
            <v>NO PAYMENT</v>
          </cell>
          <cell r="W14" t="str">
            <v>No need</v>
          </cell>
          <cell r="X14" t="str">
            <v>EXW</v>
          </cell>
          <cell r="Y14" t="str">
            <v>x</v>
          </cell>
          <cell r="Z14" t="str">
            <v>x</v>
          </cell>
          <cell r="AA14" t="str">
            <v>x</v>
          </cell>
        </row>
        <row r="15">
          <cell r="B15" t="str">
            <v>INV06579</v>
          </cell>
          <cell r="E15">
            <v>1334.6</v>
          </cell>
          <cell r="F15" t="str">
            <v>45T0440716</v>
          </cell>
          <cell r="G15" t="str">
            <v>x</v>
          </cell>
          <cell r="H15" t="str">
            <v>FTX</v>
          </cell>
          <cell r="I15" t="str">
            <v>HOPPER, GROVER</v>
          </cell>
          <cell r="J15" t="str">
            <v>Expeditors</v>
          </cell>
          <cell r="K15" t="str">
            <v>Expeditors</v>
          </cell>
          <cell r="L15" t="str">
            <v>HN</v>
          </cell>
          <cell r="M15" t="str">
            <v>US</v>
          </cell>
          <cell r="N15">
            <v>46029</v>
          </cell>
          <cell r="O15">
            <v>46029</v>
          </cell>
          <cell r="P15">
            <v>46035</v>
          </cell>
          <cell r="Q15">
            <v>6</v>
          </cell>
          <cell r="R15">
            <v>308128308040</v>
          </cell>
          <cell r="S15">
            <v>46029</v>
          </cell>
          <cell r="T15" t="str">
            <v>No inspection</v>
          </cell>
          <cell r="U15">
            <v>5355896.58</v>
          </cell>
          <cell r="V15" t="str">
            <v>PAYMENT</v>
          </cell>
          <cell r="W15" t="str">
            <v>OK</v>
          </cell>
          <cell r="X15" t="str">
            <v>EXW</v>
          </cell>
          <cell r="Y15" t="str">
            <v>x</v>
          </cell>
          <cell r="Z15" t="str">
            <v>x</v>
          </cell>
          <cell r="AA15" t="str">
            <v>x</v>
          </cell>
        </row>
        <row r="16">
          <cell r="B16" t="str">
            <v>INV06580</v>
          </cell>
          <cell r="E16">
            <v>881</v>
          </cell>
          <cell r="F16" t="str">
            <v>HAN0459811</v>
          </cell>
          <cell r="G16" t="str">
            <v>x</v>
          </cell>
          <cell r="H16" t="str">
            <v>HELLA</v>
          </cell>
          <cell r="I16" t="str">
            <v>HCU</v>
          </cell>
          <cell r="J16" t="str">
            <v>DSV</v>
          </cell>
          <cell r="K16" t="str">
            <v>VVMV</v>
          </cell>
          <cell r="L16" t="str">
            <v>HN</v>
          </cell>
          <cell r="M16" t="str">
            <v>DE</v>
          </cell>
          <cell r="N16">
            <v>46037</v>
          </cell>
          <cell r="O16">
            <v>46037</v>
          </cell>
          <cell r="P16">
            <v>46043</v>
          </cell>
          <cell r="Q16">
            <v>6</v>
          </cell>
          <cell r="R16">
            <v>308154854360</v>
          </cell>
          <cell r="S16">
            <v>46037</v>
          </cell>
          <cell r="T16" t="str">
            <v>No inspection</v>
          </cell>
          <cell r="U16">
            <v>134625.60000000001</v>
          </cell>
          <cell r="V16" t="str">
            <v>PAYMENT</v>
          </cell>
          <cell r="W16" t="str">
            <v>OK</v>
          </cell>
          <cell r="X16" t="str">
            <v>FCA</v>
          </cell>
          <cell r="Y16" t="str">
            <v>Lucid</v>
          </cell>
          <cell r="Z16" t="str">
            <v>x</v>
          </cell>
          <cell r="AA16" t="str">
            <v>x</v>
          </cell>
        </row>
        <row r="17">
          <cell r="B17" t="str">
            <v>INV06581</v>
          </cell>
          <cell r="E17">
            <v>16.2</v>
          </cell>
          <cell r="F17" t="str">
            <v>887653018999</v>
          </cell>
          <cell r="G17" t="str">
            <v>ok</v>
          </cell>
          <cell r="H17" t="str">
            <v>PURE US</v>
          </cell>
          <cell r="I17" t="str">
            <v>HLOB</v>
          </cell>
          <cell r="J17" t="str">
            <v>FedEx</v>
          </cell>
          <cell r="K17" t="str">
            <v>VVMV</v>
          </cell>
          <cell r="L17" t="str">
            <v>HN</v>
          </cell>
          <cell r="M17" t="str">
            <v>US</v>
          </cell>
          <cell r="N17">
            <v>46028</v>
          </cell>
          <cell r="O17">
            <v>46028</v>
          </cell>
          <cell r="P17">
            <v>46031</v>
          </cell>
          <cell r="Q17">
            <v>3</v>
          </cell>
          <cell r="R17">
            <v>308123017440</v>
          </cell>
          <cell r="S17">
            <v>46028</v>
          </cell>
          <cell r="T17" t="str">
            <v>No inspection</v>
          </cell>
          <cell r="U17">
            <v>79770.929999999993</v>
          </cell>
          <cell r="V17" t="str">
            <v>NO PAYMENT</v>
          </cell>
          <cell r="W17" t="str">
            <v>No need</v>
          </cell>
          <cell r="X17" t="str">
            <v>FCA</v>
          </cell>
          <cell r="Y17" t="str">
            <v>PURE</v>
          </cell>
          <cell r="Z17" t="str">
            <v>x</v>
          </cell>
          <cell r="AA17" t="str">
            <v>Ste charge 100 usd to Customer</v>
          </cell>
        </row>
        <row r="18">
          <cell r="B18" t="str">
            <v>INV06582</v>
          </cell>
          <cell r="E18">
            <v>256.10000000000002</v>
          </cell>
          <cell r="F18" t="str">
            <v>HN90005137</v>
          </cell>
          <cell r="G18" t="str">
            <v>x</v>
          </cell>
          <cell r="H18" t="str">
            <v>Lucid Arizona</v>
          </cell>
          <cell r="I18" t="str">
            <v>REAR, VCU</v>
          </cell>
          <cell r="J18" t="str">
            <v>DSV</v>
          </cell>
          <cell r="K18" t="str">
            <v>VVMV</v>
          </cell>
          <cell r="L18" t="str">
            <v>HN</v>
          </cell>
          <cell r="M18" t="str">
            <v>US</v>
          </cell>
          <cell r="N18">
            <v>46031</v>
          </cell>
          <cell r="O18">
            <v>46031</v>
          </cell>
          <cell r="P18">
            <v>46051</v>
          </cell>
          <cell r="Q18">
            <v>20</v>
          </cell>
          <cell r="R18">
            <v>308134583430</v>
          </cell>
          <cell r="S18">
            <v>46031</v>
          </cell>
          <cell r="T18" t="str">
            <v>No inspection</v>
          </cell>
          <cell r="U18">
            <v>42727.6</v>
          </cell>
          <cell r="V18" t="str">
            <v>PAYMENT</v>
          </cell>
          <cell r="W18" t="str">
            <v>OK</v>
          </cell>
          <cell r="X18" t="str">
            <v>FCA</v>
          </cell>
          <cell r="Y18" t="str">
            <v>Lucid</v>
          </cell>
          <cell r="Z18" t="str">
            <v>x</v>
          </cell>
          <cell r="AA18" t="str">
            <v>x</v>
          </cell>
        </row>
        <row r="19">
          <cell r="B19" t="str">
            <v>INV06583</v>
          </cell>
          <cell r="E19">
            <v>1853.2</v>
          </cell>
          <cell r="F19" t="str">
            <v>SRAF0140841</v>
          </cell>
          <cell r="G19" t="str">
            <v>x</v>
          </cell>
          <cell r="H19" t="str">
            <v>Lucid Arizona</v>
          </cell>
          <cell r="I19" t="str">
            <v>UCC, REAR, CABIN</v>
          </cell>
          <cell r="J19" t="str">
            <v>DSV</v>
          </cell>
          <cell r="K19" t="str">
            <v>VVMV</v>
          </cell>
          <cell r="L19" t="str">
            <v>HN</v>
          </cell>
          <cell r="M19" t="str">
            <v>US</v>
          </cell>
          <cell r="N19">
            <v>46031</v>
          </cell>
          <cell r="O19">
            <v>46031</v>
          </cell>
          <cell r="P19">
            <v>46101</v>
          </cell>
          <cell r="Q19">
            <v>70</v>
          </cell>
          <cell r="R19">
            <v>308134969020</v>
          </cell>
          <cell r="S19">
            <v>46031</v>
          </cell>
          <cell r="T19" t="str">
            <v>No inspection</v>
          </cell>
          <cell r="U19">
            <v>348308.4</v>
          </cell>
          <cell r="V19" t="str">
            <v>PAYMENT</v>
          </cell>
          <cell r="W19" t="str">
            <v>OK</v>
          </cell>
          <cell r="X19" t="str">
            <v>FCA</v>
          </cell>
          <cell r="Y19" t="str">
            <v>Lucid</v>
          </cell>
          <cell r="Z19" t="str">
            <v>x</v>
          </cell>
          <cell r="AA19" t="str">
            <v>x</v>
          </cell>
        </row>
        <row r="20">
          <cell r="B20" t="str">
            <v>INV06584</v>
          </cell>
          <cell r="E20">
            <v>3037.2</v>
          </cell>
          <cell r="F20" t="str">
            <v>SRAF0141011</v>
          </cell>
          <cell r="G20" t="str">
            <v>x</v>
          </cell>
          <cell r="H20" t="str">
            <v>Lucid Arizona</v>
          </cell>
          <cell r="I20" t="str">
            <v>FRONT, CABIN</v>
          </cell>
          <cell r="J20" t="str">
            <v>DSV</v>
          </cell>
          <cell r="K20" t="str">
            <v>VVMV</v>
          </cell>
          <cell r="L20" t="str">
            <v>HN</v>
          </cell>
          <cell r="M20" t="str">
            <v>US</v>
          </cell>
          <cell r="N20">
            <v>46031</v>
          </cell>
          <cell r="O20">
            <v>46031</v>
          </cell>
          <cell r="P20">
            <v>46141</v>
          </cell>
          <cell r="Q20">
            <v>110</v>
          </cell>
          <cell r="R20">
            <v>308135977350</v>
          </cell>
          <cell r="S20">
            <v>46031</v>
          </cell>
          <cell r="T20" t="str">
            <v>No inspection</v>
          </cell>
          <cell r="U20">
            <v>215006.4</v>
          </cell>
          <cell r="V20" t="str">
            <v>PAYMENT</v>
          </cell>
          <cell r="W20" t="str">
            <v>OK</v>
          </cell>
          <cell r="X20" t="str">
            <v>FCA</v>
          </cell>
          <cell r="Y20" t="str">
            <v>Lucid</v>
          </cell>
          <cell r="Z20" t="str">
            <v>x</v>
          </cell>
          <cell r="AA20" t="str">
            <v>x</v>
          </cell>
        </row>
        <row r="21">
          <cell r="B21" t="str">
            <v>INV06585</v>
          </cell>
          <cell r="E21">
            <v>9</v>
          </cell>
          <cell r="F21" t="str">
            <v>887688809214</v>
          </cell>
          <cell r="G21" t="str">
            <v>ok</v>
          </cell>
          <cell r="H21" t="str">
            <v>Cham Soul</v>
          </cell>
          <cell r="I21" t="str">
            <v>POWER GEM</v>
          </cell>
          <cell r="J21" t="str">
            <v>FedEx</v>
          </cell>
          <cell r="K21" t="str">
            <v>VVMV</v>
          </cell>
          <cell r="L21" t="str">
            <v>HN</v>
          </cell>
          <cell r="M21" t="str">
            <v>KR</v>
          </cell>
          <cell r="N21">
            <v>46029</v>
          </cell>
          <cell r="O21">
            <v>46029</v>
          </cell>
          <cell r="P21">
            <v>46035</v>
          </cell>
          <cell r="Q21">
            <v>6</v>
          </cell>
          <cell r="R21">
            <v>308127943450</v>
          </cell>
          <cell r="S21">
            <v>46029</v>
          </cell>
          <cell r="T21" t="str">
            <v>No inspection</v>
          </cell>
          <cell r="U21">
            <v>1537</v>
          </cell>
          <cell r="V21" t="str">
            <v>PAYMENT</v>
          </cell>
          <cell r="W21" t="str">
            <v>OK</v>
          </cell>
          <cell r="X21" t="str">
            <v>DAP</v>
          </cell>
          <cell r="Y21" t="str">
            <v>AGIGA</v>
          </cell>
          <cell r="Z21" t="str">
            <v>Ship FG</v>
          </cell>
          <cell r="AA21" t="str">
            <v>x</v>
          </cell>
        </row>
        <row r="22">
          <cell r="B22" t="str">
            <v>SAMPLE 720</v>
          </cell>
          <cell r="E22">
            <v>0.5</v>
          </cell>
          <cell r="F22" t="str">
            <v>887687192359</v>
          </cell>
          <cell r="G22" t="str">
            <v>ok</v>
          </cell>
          <cell r="H22" t="str">
            <v>High Advance</v>
          </cell>
          <cell r="I22" t="str">
            <v>IC</v>
          </cell>
          <cell r="J22" t="str">
            <v>FedEx</v>
          </cell>
          <cell r="K22" t="e">
            <v>#N/A</v>
          </cell>
          <cell r="L22" t="str">
            <v>HN</v>
          </cell>
          <cell r="M22" t="str">
            <v>MY</v>
          </cell>
          <cell r="N22">
            <v>46029</v>
          </cell>
          <cell r="O22">
            <v>46029</v>
          </cell>
          <cell r="P22">
            <v>46031</v>
          </cell>
          <cell r="Q22">
            <v>2</v>
          </cell>
          <cell r="R22" t="str">
            <v>x</v>
          </cell>
          <cell r="S22" t="str">
            <v>x</v>
          </cell>
          <cell r="T22" t="str">
            <v>x</v>
          </cell>
          <cell r="U22">
            <v>19.2</v>
          </cell>
          <cell r="V22" t="str">
            <v>NO PAYMENT</v>
          </cell>
          <cell r="W22" t="str">
            <v>No need</v>
          </cell>
          <cell r="X22" t="str">
            <v>FCA</v>
          </cell>
          <cell r="Y22" t="str">
            <v>x</v>
          </cell>
          <cell r="Z22" t="str">
            <v>x</v>
          </cell>
          <cell r="AA22" t="str">
            <v>x</v>
          </cell>
        </row>
        <row r="23">
          <cell r="B23" t="str">
            <v>E01016</v>
          </cell>
          <cell r="E23">
            <v>11.6</v>
          </cell>
          <cell r="F23" t="str">
            <v>888232094623</v>
          </cell>
          <cell r="G23" t="str">
            <v>ok</v>
          </cell>
          <cell r="H23" t="str">
            <v>Unigen MY</v>
          </cell>
          <cell r="I23" t="str">
            <v>MTE's equipment</v>
          </cell>
          <cell r="J23" t="str">
            <v>FedEx</v>
          </cell>
          <cell r="K23" t="str">
            <v>VVMV</v>
          </cell>
          <cell r="L23" t="str">
            <v>HN</v>
          </cell>
          <cell r="M23" t="str">
            <v>MY</v>
          </cell>
          <cell r="N23">
            <v>46050</v>
          </cell>
          <cell r="O23">
            <v>46050</v>
          </cell>
          <cell r="P23">
            <v>46051</v>
          </cell>
          <cell r="Q23">
            <v>1</v>
          </cell>
          <cell r="R23" t="str">
            <v>308197308331
308197349041</v>
          </cell>
          <cell r="S23">
            <v>46050</v>
          </cell>
          <cell r="T23" t="str">
            <v>Inspection</v>
          </cell>
          <cell r="U23">
            <v>1861.1000000000001</v>
          </cell>
          <cell r="V23" t="str">
            <v>NO PAYMENT</v>
          </cell>
          <cell r="W23" t="str">
            <v>No need</v>
          </cell>
          <cell r="X23" t="str">
            <v>FCA</v>
          </cell>
          <cell r="Y23" t="str">
            <v>Other</v>
          </cell>
          <cell r="Z23" t="str">
            <v>x</v>
          </cell>
          <cell r="AA23" t="str">
            <v>x</v>
          </cell>
        </row>
        <row r="24">
          <cell r="B24" t="str">
            <v>INV06586</v>
          </cell>
          <cell r="E24">
            <v>66.8</v>
          </cell>
          <cell r="F24" t="str">
            <v>887921939104</v>
          </cell>
          <cell r="G24" t="str">
            <v>ok</v>
          </cell>
          <cell r="H24" t="str">
            <v>IXSYSTEMS</v>
          </cell>
          <cell r="I24" t="str">
            <v>POWER GEM</v>
          </cell>
          <cell r="J24" t="str">
            <v>FedEx</v>
          </cell>
          <cell r="K24" t="str">
            <v>VVMV</v>
          </cell>
          <cell r="L24" t="str">
            <v>HN</v>
          </cell>
          <cell r="M24" t="str">
            <v>US</v>
          </cell>
          <cell r="N24">
            <v>46037</v>
          </cell>
          <cell r="O24">
            <v>46037</v>
          </cell>
          <cell r="P24">
            <v>46043</v>
          </cell>
          <cell r="Q24">
            <v>6</v>
          </cell>
          <cell r="R24">
            <v>308155633830</v>
          </cell>
          <cell r="S24">
            <v>46037</v>
          </cell>
          <cell r="T24" t="str">
            <v>No inspection</v>
          </cell>
          <cell r="U24">
            <v>13325.4</v>
          </cell>
          <cell r="V24" t="str">
            <v>PAYMENT</v>
          </cell>
          <cell r="W24" t="str">
            <v>OK</v>
          </cell>
          <cell r="X24" t="str">
            <v>FCA</v>
          </cell>
          <cell r="Y24" t="str">
            <v>AGIGA</v>
          </cell>
          <cell r="Z24" t="str">
            <v>x</v>
          </cell>
          <cell r="AA24" t="str">
            <v>x</v>
          </cell>
        </row>
        <row r="25">
          <cell r="B25" t="str">
            <v>E01019</v>
          </cell>
          <cell r="E25">
            <v>11.8</v>
          </cell>
          <cell r="F25" t="str">
            <v>887721597957</v>
          </cell>
          <cell r="G25" t="str">
            <v>ok</v>
          </cell>
          <cell r="H25" t="str">
            <v>HQ1</v>
          </cell>
          <cell r="I25" t="str">
            <v>material</v>
          </cell>
          <cell r="J25" t="str">
            <v>FedEx</v>
          </cell>
          <cell r="K25" t="str">
            <v>VVMV</v>
          </cell>
          <cell r="L25" t="str">
            <v>HN</v>
          </cell>
          <cell r="M25" t="str">
            <v>US</v>
          </cell>
          <cell r="N25">
            <v>46030</v>
          </cell>
          <cell r="O25">
            <v>46030</v>
          </cell>
          <cell r="P25">
            <v>46041</v>
          </cell>
          <cell r="Q25">
            <v>11</v>
          </cell>
          <cell r="R25" t="str">
            <v>308129398311
308130168051</v>
          </cell>
          <cell r="S25">
            <v>46030</v>
          </cell>
          <cell r="T25" t="str">
            <v>Inspection</v>
          </cell>
          <cell r="U25">
            <v>951.64</v>
          </cell>
          <cell r="V25" t="str">
            <v>NO PAYMENT</v>
          </cell>
          <cell r="W25" t="str">
            <v>No need</v>
          </cell>
          <cell r="X25" t="str">
            <v>DAP</v>
          </cell>
          <cell r="Y25" t="str">
            <v>Transfer</v>
          </cell>
          <cell r="Z25" t="str">
            <v>Transfer material</v>
          </cell>
          <cell r="AA25" t="str">
            <v>x</v>
          </cell>
        </row>
        <row r="26">
          <cell r="B26" t="str">
            <v>E01020</v>
          </cell>
          <cell r="E26">
            <v>3.2</v>
          </cell>
          <cell r="F26" t="str">
            <v>887694891088</v>
          </cell>
          <cell r="G26" t="str">
            <v>ok</v>
          </cell>
          <cell r="H26" t="str">
            <v>HQ1</v>
          </cell>
          <cell r="I26" t="str">
            <v>material</v>
          </cell>
          <cell r="J26" t="str">
            <v>FedEx</v>
          </cell>
          <cell r="K26" t="str">
            <v>VVMV</v>
          </cell>
          <cell r="L26" t="str">
            <v>HN</v>
          </cell>
          <cell r="M26" t="str">
            <v>US</v>
          </cell>
          <cell r="N26">
            <v>46030</v>
          </cell>
          <cell r="O26">
            <v>46030</v>
          </cell>
          <cell r="P26">
            <v>46034</v>
          </cell>
          <cell r="Q26">
            <v>4</v>
          </cell>
          <cell r="R26">
            <v>308129562111</v>
          </cell>
          <cell r="S26">
            <v>46030</v>
          </cell>
          <cell r="T26" t="str">
            <v>Inspection</v>
          </cell>
          <cell r="U26">
            <v>5181.7700000000004</v>
          </cell>
          <cell r="V26" t="str">
            <v>NO PAYMENT</v>
          </cell>
          <cell r="W26" t="str">
            <v>No need</v>
          </cell>
          <cell r="X26" t="str">
            <v>FCA</v>
          </cell>
          <cell r="Y26" t="str">
            <v>Transfer</v>
          </cell>
          <cell r="Z26" t="str">
            <v>x</v>
          </cell>
          <cell r="AA26" t="str">
            <v>Rebecca mail Pure pay customs fee $100</v>
          </cell>
        </row>
        <row r="27">
          <cell r="B27" t="str">
            <v>INV06587</v>
          </cell>
          <cell r="E27">
            <v>439.8</v>
          </cell>
          <cell r="F27" t="str">
            <v>887721381790</v>
          </cell>
          <cell r="G27" t="str">
            <v>ok</v>
          </cell>
          <cell r="H27" t="str">
            <v>JABIL MX</v>
          </cell>
          <cell r="I27" t="str">
            <v>HLOB</v>
          </cell>
          <cell r="J27" t="str">
            <v>FedEx</v>
          </cell>
          <cell r="K27" t="str">
            <v>VVMV</v>
          </cell>
          <cell r="L27" t="str">
            <v>HN</v>
          </cell>
          <cell r="M27" t="str">
            <v>MX</v>
          </cell>
          <cell r="N27">
            <v>46030</v>
          </cell>
          <cell r="O27">
            <v>46030</v>
          </cell>
          <cell r="P27">
            <v>46034</v>
          </cell>
          <cell r="Q27">
            <v>4</v>
          </cell>
          <cell r="R27">
            <v>308130643130</v>
          </cell>
          <cell r="S27">
            <v>46030</v>
          </cell>
          <cell r="T27" t="str">
            <v>No inspection</v>
          </cell>
          <cell r="U27">
            <v>2957547.6</v>
          </cell>
          <cell r="V27" t="str">
            <v>PAYMENT</v>
          </cell>
          <cell r="W27" t="str">
            <v>OK</v>
          </cell>
          <cell r="X27" t="str">
            <v>FCA</v>
          </cell>
          <cell r="Y27" t="str">
            <v>PURE</v>
          </cell>
          <cell r="Z27" t="str">
            <v>x</v>
          </cell>
        </row>
        <row r="28">
          <cell r="B28" t="str">
            <v>INV06588</v>
          </cell>
          <cell r="E28">
            <v>439.8</v>
          </cell>
          <cell r="F28" t="str">
            <v>887722603150</v>
          </cell>
          <cell r="G28" t="str">
            <v>ok</v>
          </cell>
          <cell r="H28" t="str">
            <v>JABIL MX</v>
          </cell>
          <cell r="I28" t="str">
            <v>HLOB</v>
          </cell>
          <cell r="J28" t="str">
            <v>FedEx</v>
          </cell>
          <cell r="K28" t="str">
            <v>VVMV</v>
          </cell>
          <cell r="L28" t="str">
            <v>HN</v>
          </cell>
          <cell r="M28" t="str">
            <v>MX</v>
          </cell>
          <cell r="N28">
            <v>46030</v>
          </cell>
          <cell r="O28">
            <v>46030</v>
          </cell>
          <cell r="P28">
            <v>46035</v>
          </cell>
          <cell r="Q28">
            <v>5</v>
          </cell>
          <cell r="R28">
            <v>308130463820</v>
          </cell>
          <cell r="S28">
            <v>46030</v>
          </cell>
          <cell r="T28" t="str">
            <v>No inspection</v>
          </cell>
          <cell r="U28">
            <v>2957547.6</v>
          </cell>
          <cell r="V28" t="str">
            <v>PAYMENT</v>
          </cell>
          <cell r="W28" t="str">
            <v>OK</v>
          </cell>
          <cell r="X28" t="str">
            <v>FCA</v>
          </cell>
          <cell r="Y28" t="str">
            <v>PURE</v>
          </cell>
          <cell r="Z28" t="str">
            <v>x</v>
          </cell>
        </row>
        <row r="29">
          <cell r="B29" t="str">
            <v>INV06589</v>
          </cell>
          <cell r="E29">
            <v>439.8</v>
          </cell>
          <cell r="F29" t="str">
            <v>887721572644</v>
          </cell>
          <cell r="G29" t="str">
            <v>ok</v>
          </cell>
          <cell r="H29" t="str">
            <v>JABIL MX</v>
          </cell>
          <cell r="I29" t="str">
            <v>HLOB</v>
          </cell>
          <cell r="J29" t="str">
            <v>FedEx</v>
          </cell>
          <cell r="K29" t="str">
            <v>VVMV</v>
          </cell>
          <cell r="L29" t="str">
            <v>HN</v>
          </cell>
          <cell r="M29" t="str">
            <v>MX</v>
          </cell>
          <cell r="N29">
            <v>46030</v>
          </cell>
          <cell r="O29">
            <v>46030</v>
          </cell>
          <cell r="P29">
            <v>46034</v>
          </cell>
          <cell r="Q29">
            <v>4</v>
          </cell>
          <cell r="R29">
            <v>308130542220</v>
          </cell>
          <cell r="S29">
            <v>46030</v>
          </cell>
          <cell r="T29" t="str">
            <v>No inspection</v>
          </cell>
          <cell r="U29">
            <v>2957547.6</v>
          </cell>
          <cell r="V29" t="str">
            <v>PAYMENT</v>
          </cell>
          <cell r="W29" t="str">
            <v>OK</v>
          </cell>
          <cell r="X29" t="str">
            <v>FCA</v>
          </cell>
          <cell r="Y29" t="str">
            <v>PURE</v>
          </cell>
          <cell r="Z29" t="str">
            <v>x</v>
          </cell>
        </row>
        <row r="30">
          <cell r="B30" t="str">
            <v>E01021</v>
          </cell>
          <cell r="E30">
            <v>16</v>
          </cell>
          <cell r="F30" t="str">
            <v>887724714900</v>
          </cell>
          <cell r="G30" t="str">
            <v>ok</v>
          </cell>
          <cell r="H30" t="str">
            <v>Smith</v>
          </cell>
          <cell r="I30" t="str">
            <v>Diode, cap</v>
          </cell>
          <cell r="J30" t="str">
            <v>FedEx</v>
          </cell>
          <cell r="K30" t="str">
            <v>VVMV</v>
          </cell>
          <cell r="L30" t="str">
            <v>HN</v>
          </cell>
          <cell r="M30" t="str">
            <v>HK</v>
          </cell>
          <cell r="N30">
            <v>46030</v>
          </cell>
          <cell r="O30">
            <v>46030</v>
          </cell>
          <cell r="P30">
            <v>46031</v>
          </cell>
          <cell r="Q30">
            <v>1</v>
          </cell>
          <cell r="R30">
            <v>308130125721</v>
          </cell>
          <cell r="S30">
            <v>46030</v>
          </cell>
          <cell r="T30" t="str">
            <v>Inspection</v>
          </cell>
          <cell r="U30">
            <v>1526.8</v>
          </cell>
          <cell r="V30" t="str">
            <v>NO PAYMENT</v>
          </cell>
          <cell r="W30" t="str">
            <v>No need</v>
          </cell>
          <cell r="X30" t="str">
            <v>FCA</v>
          </cell>
          <cell r="Y30" t="str">
            <v>Lucid</v>
          </cell>
          <cell r="Z30" t="str">
            <v>x</v>
          </cell>
          <cell r="AA30" t="str">
            <v>Buyer charge $100 customs fee to supplier</v>
          </cell>
        </row>
        <row r="31">
          <cell r="B31" t="str">
            <v>SAMPLE 721</v>
          </cell>
          <cell r="E31">
            <v>1.4</v>
          </cell>
          <cell r="F31" t="str">
            <v>4232999260</v>
          </cell>
          <cell r="G31" t="str">
            <v>x</v>
          </cell>
          <cell r="H31" t="str">
            <v>AVNET Inc</v>
          </cell>
          <cell r="I31" t="str">
            <v>RES</v>
          </cell>
          <cell r="J31" t="str">
            <v>DHL</v>
          </cell>
          <cell r="K31" t="str">
            <v>x</v>
          </cell>
          <cell r="L31" t="str">
            <v>HN</v>
          </cell>
          <cell r="M31" t="str">
            <v>US</v>
          </cell>
          <cell r="N31">
            <v>46030</v>
          </cell>
          <cell r="O31">
            <v>46030</v>
          </cell>
          <cell r="P31">
            <v>46038</v>
          </cell>
          <cell r="Q31">
            <v>8</v>
          </cell>
          <cell r="R31" t="str">
            <v>x</v>
          </cell>
          <cell r="S31" t="str">
            <v>x</v>
          </cell>
          <cell r="T31" t="str">
            <v>x</v>
          </cell>
          <cell r="U31">
            <v>11</v>
          </cell>
          <cell r="V31" t="str">
            <v>NO PAYMENT</v>
          </cell>
          <cell r="W31" t="str">
            <v>No need</v>
          </cell>
          <cell r="X31" t="str">
            <v>FCA</v>
          </cell>
          <cell r="Y31" t="str">
            <v>x</v>
          </cell>
          <cell r="Z31" t="str">
            <v>x</v>
          </cell>
          <cell r="AA31" t="str">
            <v>x</v>
          </cell>
        </row>
        <row r="32">
          <cell r="B32" t="str">
            <v>E01018</v>
          </cell>
          <cell r="E32">
            <v>1438</v>
          </cell>
          <cell r="F32" t="str">
            <v>VLCG26010183</v>
          </cell>
          <cell r="G32" t="str">
            <v>x</v>
          </cell>
          <cell r="H32" t="str">
            <v>Unigen MY</v>
          </cell>
          <cell r="I32" t="str">
            <v>material</v>
          </cell>
          <cell r="J32" t="str">
            <v>Voltrans</v>
          </cell>
          <cell r="K32" t="str">
            <v>Voltrans</v>
          </cell>
          <cell r="L32" t="str">
            <v>HN</v>
          </cell>
          <cell r="M32" t="str">
            <v>MY</v>
          </cell>
          <cell r="N32">
            <v>46031</v>
          </cell>
          <cell r="O32">
            <v>46031</v>
          </cell>
          <cell r="P32">
            <v>46036</v>
          </cell>
          <cell r="Q32">
            <v>5</v>
          </cell>
          <cell r="R32" t="str">
            <v>308135427301
308135463111
308135473611
308135487501
308135507101
308135512551
308135521431
308135532411
308135542801
308135550611
308135562621</v>
          </cell>
          <cell r="S32">
            <v>46031</v>
          </cell>
          <cell r="T32" t="str">
            <v>Inspection</v>
          </cell>
          <cell r="U32">
            <v>1128089.28</v>
          </cell>
          <cell r="V32" t="str">
            <v>NO PAYMENT</v>
          </cell>
          <cell r="W32" t="str">
            <v>No need</v>
          </cell>
          <cell r="X32" t="str">
            <v>EXW</v>
          </cell>
          <cell r="Y32" t="str">
            <v>x</v>
          </cell>
          <cell r="Z32" t="str">
            <v>x</v>
          </cell>
          <cell r="AA32" t="str">
            <v>x</v>
          </cell>
        </row>
        <row r="33">
          <cell r="B33" t="str">
            <v>INV06590</v>
          </cell>
          <cell r="E33">
            <v>299.60000000000002</v>
          </cell>
          <cell r="F33" t="str">
            <v>HN90005148</v>
          </cell>
          <cell r="G33" t="str">
            <v>x</v>
          </cell>
          <cell r="H33" t="str">
            <v>Lucid Arizona</v>
          </cell>
          <cell r="I33" t="str">
            <v>VCU</v>
          </cell>
          <cell r="J33" t="str">
            <v>DSV</v>
          </cell>
          <cell r="K33" t="str">
            <v>VVMV</v>
          </cell>
          <cell r="L33" t="str">
            <v>HN</v>
          </cell>
          <cell r="M33" t="str">
            <v>US</v>
          </cell>
          <cell r="N33">
            <v>46034</v>
          </cell>
          <cell r="O33">
            <v>46034</v>
          </cell>
          <cell r="P33">
            <v>46036</v>
          </cell>
          <cell r="Q33">
            <v>2</v>
          </cell>
          <cell r="R33">
            <v>308142174120</v>
          </cell>
          <cell r="S33">
            <v>46034</v>
          </cell>
          <cell r="T33" t="str">
            <v>No inspection</v>
          </cell>
          <cell r="U33">
            <v>50911.199999999997</v>
          </cell>
          <cell r="V33" t="str">
            <v>PAYMENT</v>
          </cell>
          <cell r="W33" t="str">
            <v>OK</v>
          </cell>
          <cell r="X33" t="str">
            <v>FCA</v>
          </cell>
          <cell r="Y33" t="str">
            <v>Lucid</v>
          </cell>
          <cell r="Z33" t="str">
            <v>x</v>
          </cell>
          <cell r="AA33" t="str">
            <v>x</v>
          </cell>
        </row>
        <row r="34">
          <cell r="B34" t="str">
            <v>INV06591</v>
          </cell>
          <cell r="E34">
            <v>1258.4000000000001</v>
          </cell>
          <cell r="F34" t="str">
            <v>SRAF0145465</v>
          </cell>
          <cell r="G34" t="str">
            <v>x</v>
          </cell>
          <cell r="H34" t="str">
            <v>Lucid Arizona</v>
          </cell>
          <cell r="I34" t="str">
            <v>FRONT, REAR, DCM</v>
          </cell>
          <cell r="J34" t="str">
            <v>DSV</v>
          </cell>
          <cell r="K34" t="str">
            <v>VVMV</v>
          </cell>
          <cell r="L34" t="str">
            <v>HN</v>
          </cell>
          <cell r="M34" t="str">
            <v>US</v>
          </cell>
          <cell r="N34">
            <v>46034</v>
          </cell>
          <cell r="O34">
            <v>46034</v>
          </cell>
          <cell r="P34">
            <v>46113</v>
          </cell>
          <cell r="Q34">
            <v>79</v>
          </cell>
          <cell r="R34">
            <v>308142128730</v>
          </cell>
          <cell r="S34">
            <v>46034</v>
          </cell>
          <cell r="T34" t="str">
            <v>No inspection</v>
          </cell>
          <cell r="U34">
            <v>170892</v>
          </cell>
          <cell r="V34" t="str">
            <v>PAYMENT</v>
          </cell>
          <cell r="W34" t="str">
            <v>OK</v>
          </cell>
          <cell r="X34" t="str">
            <v>FCA</v>
          </cell>
          <cell r="Y34" t="str">
            <v>Lucid</v>
          </cell>
          <cell r="Z34" t="str">
            <v>x</v>
          </cell>
          <cell r="AA34" t="str">
            <v>x</v>
          </cell>
        </row>
        <row r="35">
          <cell r="B35" t="str">
            <v>INV06595</v>
          </cell>
          <cell r="E35">
            <v>489.2</v>
          </cell>
          <cell r="F35" t="str">
            <v>SRAF0145455</v>
          </cell>
          <cell r="G35" t="str">
            <v>x</v>
          </cell>
          <cell r="H35" t="str">
            <v>Lucid Arizona</v>
          </cell>
          <cell r="I35" t="str">
            <v>CABIN, REAR</v>
          </cell>
          <cell r="J35" t="str">
            <v>DSV</v>
          </cell>
          <cell r="K35" t="str">
            <v>VVMV</v>
          </cell>
          <cell r="L35" t="str">
            <v>HN</v>
          </cell>
          <cell r="M35" t="str">
            <v>US</v>
          </cell>
          <cell r="N35">
            <v>46034</v>
          </cell>
          <cell r="O35">
            <v>46034</v>
          </cell>
          <cell r="P35">
            <v>46147</v>
          </cell>
          <cell r="Q35">
            <v>113</v>
          </cell>
          <cell r="R35">
            <v>308142374650</v>
          </cell>
          <cell r="S35">
            <v>46034</v>
          </cell>
          <cell r="T35" t="str">
            <v>No inspection</v>
          </cell>
          <cell r="U35">
            <v>45960.480000000003</v>
          </cell>
          <cell r="V35" t="str">
            <v>PAYMENT</v>
          </cell>
          <cell r="W35" t="str">
            <v>OK</v>
          </cell>
          <cell r="X35" t="str">
            <v>FCA</v>
          </cell>
          <cell r="Y35" t="str">
            <v>Lucid</v>
          </cell>
          <cell r="Z35" t="str">
            <v>x</v>
          </cell>
          <cell r="AA35" t="str">
            <v>x</v>
          </cell>
        </row>
        <row r="36">
          <cell r="B36" t="str">
            <v>E01022</v>
          </cell>
          <cell r="E36">
            <v>630</v>
          </cell>
          <cell r="F36" t="str">
            <v>45T0444720</v>
          </cell>
          <cell r="G36" t="str">
            <v>x</v>
          </cell>
          <cell r="H36" t="str">
            <v xml:space="preserve">MAX TREND </v>
          </cell>
          <cell r="I36" t="str">
            <v>ic, res, cap,…</v>
          </cell>
          <cell r="J36" t="str">
            <v>Expeditors</v>
          </cell>
          <cell r="K36" t="str">
            <v>VVMV</v>
          </cell>
          <cell r="L36" t="str">
            <v>HN</v>
          </cell>
          <cell r="M36" t="str">
            <v>HK</v>
          </cell>
          <cell r="N36">
            <v>46043</v>
          </cell>
          <cell r="O36">
            <v>46043</v>
          </cell>
          <cell r="P36">
            <v>46048</v>
          </cell>
          <cell r="Q36">
            <v>5</v>
          </cell>
          <cell r="R36" t="str">
            <v>308172656431
308172665161
308172670431
308172674631
308172677801
308172681521
308172683731
308172686311
308172688961
308172690731
308168061410</v>
          </cell>
          <cell r="S36">
            <v>46042</v>
          </cell>
          <cell r="T36" t="str">
            <v>Inspection</v>
          </cell>
          <cell r="U36">
            <v>579889.26</v>
          </cell>
          <cell r="V36" t="str">
            <v>NO PAYMENT</v>
          </cell>
          <cell r="W36" t="str">
            <v>No need</v>
          </cell>
          <cell r="X36" t="str">
            <v>DAP</v>
          </cell>
          <cell r="Y36" t="str">
            <v>OEM</v>
          </cell>
          <cell r="Z36" t="str">
            <v>Ship material to Maxtrend</v>
          </cell>
          <cell r="AA36" t="str">
            <v>x</v>
          </cell>
        </row>
        <row r="37">
          <cell r="B37" t="str">
            <v>INV06592</v>
          </cell>
          <cell r="E37">
            <v>40.799999999999997</v>
          </cell>
          <cell r="F37" t="str">
            <v>887760088029</v>
          </cell>
          <cell r="G37" t="str">
            <v>ok</v>
          </cell>
          <cell r="H37" t="str">
            <v>PURE US</v>
          </cell>
          <cell r="I37" t="str">
            <v>HLOB</v>
          </cell>
          <cell r="J37" t="str">
            <v>FedEx</v>
          </cell>
          <cell r="K37" t="str">
            <v>VVMV</v>
          </cell>
          <cell r="L37" t="str">
            <v>HN</v>
          </cell>
          <cell r="M37" t="str">
            <v>US</v>
          </cell>
          <cell r="N37">
            <v>46031</v>
          </cell>
          <cell r="O37">
            <v>46031</v>
          </cell>
          <cell r="P37">
            <v>46037</v>
          </cell>
          <cell r="Q37">
            <v>6</v>
          </cell>
          <cell r="R37">
            <v>308136066840</v>
          </cell>
          <cell r="S37">
            <v>46031</v>
          </cell>
          <cell r="T37" t="str">
            <v>No inspection</v>
          </cell>
          <cell r="U37">
            <v>310686.78000000003</v>
          </cell>
          <cell r="V37" t="str">
            <v>NO PAYMENT</v>
          </cell>
          <cell r="W37" t="str">
            <v>No need</v>
          </cell>
          <cell r="X37" t="str">
            <v>FCA</v>
          </cell>
          <cell r="Y37" t="str">
            <v>PURE</v>
          </cell>
          <cell r="Z37" t="str">
            <v>x</v>
          </cell>
          <cell r="AA37" t="str">
            <v>Ste charge 100 usd to Customer</v>
          </cell>
        </row>
        <row r="38">
          <cell r="B38" t="str">
            <v>INV06593</v>
          </cell>
          <cell r="E38">
            <v>1.4</v>
          </cell>
          <cell r="F38" t="str">
            <v>45T0443040</v>
          </cell>
          <cell r="G38" t="str">
            <v>x</v>
          </cell>
          <cell r="H38" t="str">
            <v>ZT TW</v>
          </cell>
          <cell r="I38" t="str">
            <v>POWER GEM</v>
          </cell>
          <cell r="J38" t="str">
            <v>Expeditors</v>
          </cell>
          <cell r="K38" t="str">
            <v>Expeditors</v>
          </cell>
          <cell r="L38" t="str">
            <v>HN</v>
          </cell>
          <cell r="M38" t="str">
            <v>TW</v>
          </cell>
          <cell r="N38">
            <v>46035</v>
          </cell>
          <cell r="O38">
            <v>46035</v>
          </cell>
          <cell r="P38">
            <v>46037</v>
          </cell>
          <cell r="Q38">
            <v>2</v>
          </cell>
          <cell r="R38">
            <v>308146561500</v>
          </cell>
          <cell r="S38">
            <v>46035</v>
          </cell>
          <cell r="T38" t="str">
            <v>No inspection</v>
          </cell>
          <cell r="U38">
            <v>416.25</v>
          </cell>
          <cell r="V38" t="str">
            <v>PAYMENT</v>
          </cell>
          <cell r="W38" t="str">
            <v>OK</v>
          </cell>
          <cell r="X38" t="str">
            <v>EXW</v>
          </cell>
          <cell r="Y38" t="str">
            <v>x</v>
          </cell>
          <cell r="Z38" t="str">
            <v>x</v>
          </cell>
          <cell r="AA38" t="str">
            <v>x</v>
          </cell>
        </row>
        <row r="39">
          <cell r="B39" t="str">
            <v>INV06594</v>
          </cell>
          <cell r="E39">
            <v>1103.9000000000001</v>
          </cell>
          <cell r="F39" t="str">
            <v>HAN26000048</v>
          </cell>
          <cell r="G39" t="str">
            <v>x</v>
          </cell>
          <cell r="H39" t="str">
            <v>FCZ</v>
          </cell>
          <cell r="I39" t="str">
            <v>EIGER, HOPPER, GORVER</v>
          </cell>
          <cell r="J39" t="str">
            <v>Schenker</v>
          </cell>
          <cell r="K39" t="str">
            <v>Schenker</v>
          </cell>
          <cell r="L39" t="str">
            <v>HN</v>
          </cell>
          <cell r="M39" t="str">
            <v>CZ</v>
          </cell>
          <cell r="N39">
            <v>46031</v>
          </cell>
          <cell r="O39">
            <v>46031</v>
          </cell>
          <cell r="P39">
            <v>46037</v>
          </cell>
          <cell r="Q39">
            <v>6</v>
          </cell>
          <cell r="R39">
            <v>308136673740</v>
          </cell>
          <cell r="S39">
            <v>46031</v>
          </cell>
          <cell r="T39" t="str">
            <v>No inspection</v>
          </cell>
          <cell r="U39">
            <v>2768812.1</v>
          </cell>
          <cell r="V39" t="str">
            <v>PAYMENT</v>
          </cell>
          <cell r="W39" t="str">
            <v>ok</v>
          </cell>
          <cell r="X39" t="str">
            <v>EXW</v>
          </cell>
          <cell r="Y39" t="str">
            <v>x</v>
          </cell>
          <cell r="Z39" t="str">
            <v>x</v>
          </cell>
          <cell r="AA39" t="str">
            <v>x</v>
          </cell>
        </row>
        <row r="40">
          <cell r="B40" t="str">
            <v>INV06596</v>
          </cell>
          <cell r="E40">
            <v>85</v>
          </cell>
          <cell r="F40" t="str">
            <v>5087119564</v>
          </cell>
          <cell r="G40" t="str">
            <v>x</v>
          </cell>
          <cell r="H40" t="str">
            <v>AVNET US</v>
          </cell>
          <cell r="I40" t="str">
            <v>PCBA</v>
          </cell>
          <cell r="J40" t="str">
            <v>DHL</v>
          </cell>
          <cell r="K40" t="str">
            <v>VVMV</v>
          </cell>
          <cell r="L40" t="str">
            <v>HN</v>
          </cell>
          <cell r="M40" t="str">
            <v>US</v>
          </cell>
          <cell r="N40">
            <v>46034</v>
          </cell>
          <cell r="O40">
            <v>46034</v>
          </cell>
          <cell r="P40">
            <v>46038</v>
          </cell>
          <cell r="Q40">
            <v>4</v>
          </cell>
          <cell r="R40">
            <v>308142430910</v>
          </cell>
          <cell r="S40">
            <v>46034</v>
          </cell>
          <cell r="T40" t="str">
            <v>No inspection</v>
          </cell>
          <cell r="U40">
            <v>127544.25</v>
          </cell>
          <cell r="V40" t="str">
            <v>PAYMENT</v>
          </cell>
          <cell r="W40" t="str">
            <v>ok</v>
          </cell>
          <cell r="X40" t="str">
            <v>FCA</v>
          </cell>
          <cell r="Y40" t="str">
            <v>EFI</v>
          </cell>
          <cell r="Z40" t="str">
            <v>x</v>
          </cell>
          <cell r="AA40" t="str">
            <v>x</v>
          </cell>
        </row>
        <row r="41">
          <cell r="B41" t="str">
            <v>INV06597</v>
          </cell>
          <cell r="E41">
            <v>505.6</v>
          </cell>
          <cell r="F41" t="str">
            <v>LGATPE91068</v>
          </cell>
          <cell r="G41" t="str">
            <v>x</v>
          </cell>
          <cell r="H41" t="str">
            <v>AIC</v>
          </cell>
          <cell r="I41" t="str">
            <v>PCBA</v>
          </cell>
          <cell r="J41" t="str">
            <v>Legend</v>
          </cell>
          <cell r="K41" t="str">
            <v>Legend</v>
          </cell>
          <cell r="L41" t="str">
            <v>HN</v>
          </cell>
          <cell r="M41" t="str">
            <v>TW</v>
          </cell>
          <cell r="N41">
            <v>46035</v>
          </cell>
          <cell r="O41">
            <v>46035</v>
          </cell>
          <cell r="P41">
            <v>46036</v>
          </cell>
          <cell r="Q41">
            <v>1</v>
          </cell>
          <cell r="R41">
            <v>308144154050</v>
          </cell>
          <cell r="S41">
            <v>46034</v>
          </cell>
          <cell r="T41" t="str">
            <v>No inspection</v>
          </cell>
          <cell r="U41">
            <v>196510.88</v>
          </cell>
          <cell r="V41" t="str">
            <v>PAYMENT</v>
          </cell>
          <cell r="W41" t="str">
            <v>OK</v>
          </cell>
          <cell r="X41" t="str">
            <v>EXW</v>
          </cell>
          <cell r="Y41" t="str">
            <v>x</v>
          </cell>
          <cell r="Z41" t="str">
            <v>x</v>
          </cell>
          <cell r="AA41" t="str">
            <v>x</v>
          </cell>
        </row>
        <row r="42">
          <cell r="B42" t="str">
            <v>INV06598</v>
          </cell>
          <cell r="E42">
            <v>704.8</v>
          </cell>
          <cell r="F42" t="str">
            <v>SRAF0167498</v>
          </cell>
          <cell r="G42" t="str">
            <v>x</v>
          </cell>
          <cell r="H42" t="str">
            <v>HELLA</v>
          </cell>
          <cell r="I42" t="str">
            <v>HCU</v>
          </cell>
          <cell r="J42" t="str">
            <v>DSV</v>
          </cell>
          <cell r="K42" t="str">
            <v>VVMV</v>
          </cell>
          <cell r="L42" t="str">
            <v>HN</v>
          </cell>
          <cell r="M42" t="str">
            <v>DE</v>
          </cell>
          <cell r="N42">
            <v>46050</v>
          </cell>
          <cell r="O42">
            <v>46050</v>
          </cell>
          <cell r="P42">
            <v>46056</v>
          </cell>
          <cell r="Q42">
            <v>6</v>
          </cell>
          <cell r="R42">
            <v>308196092210</v>
          </cell>
          <cell r="S42">
            <v>46049</v>
          </cell>
          <cell r="T42" t="str">
            <v>No inspection</v>
          </cell>
          <cell r="U42">
            <v>107700.48</v>
          </cell>
          <cell r="V42" t="str">
            <v>PAYMENT</v>
          </cell>
          <cell r="W42" t="str">
            <v>ok</v>
          </cell>
          <cell r="X42" t="str">
            <v>FCA</v>
          </cell>
          <cell r="Y42" t="str">
            <v>Lucid</v>
          </cell>
          <cell r="Z42" t="str">
            <v>x</v>
          </cell>
          <cell r="AA42" t="str">
            <v>x</v>
          </cell>
        </row>
        <row r="43">
          <cell r="B43" t="str">
            <v>INV06599</v>
          </cell>
          <cell r="E43">
            <v>219.6</v>
          </cell>
          <cell r="F43" t="str">
            <v>HN90005151</v>
          </cell>
          <cell r="G43" t="str">
            <v>x</v>
          </cell>
          <cell r="H43" t="str">
            <v>Lucid Arizona</v>
          </cell>
          <cell r="I43" t="str">
            <v>BCM</v>
          </cell>
          <cell r="J43" t="str">
            <v>DSV</v>
          </cell>
          <cell r="K43" t="str">
            <v>VVMV</v>
          </cell>
          <cell r="L43" t="str">
            <v>HN</v>
          </cell>
          <cell r="M43" t="str">
            <v>US</v>
          </cell>
          <cell r="N43">
            <v>46036</v>
          </cell>
          <cell r="O43">
            <v>46036</v>
          </cell>
          <cell r="P43">
            <v>46046</v>
          </cell>
          <cell r="Q43">
            <v>10</v>
          </cell>
          <cell r="R43">
            <v>308150368060</v>
          </cell>
          <cell r="S43">
            <v>46036</v>
          </cell>
          <cell r="T43" t="str">
            <v>No inspection</v>
          </cell>
          <cell r="U43">
            <v>36289.599999999999</v>
          </cell>
          <cell r="V43" t="str">
            <v>PAYMENT</v>
          </cell>
          <cell r="W43" t="str">
            <v>OK</v>
          </cell>
          <cell r="X43" t="str">
            <v>FCA</v>
          </cell>
          <cell r="Y43" t="str">
            <v>Lucid</v>
          </cell>
          <cell r="Z43" t="str">
            <v>x</v>
          </cell>
          <cell r="AA43" t="str">
            <v>x</v>
          </cell>
        </row>
        <row r="44">
          <cell r="B44" t="str">
            <v>INV06600</v>
          </cell>
          <cell r="E44">
            <v>2583.5</v>
          </cell>
          <cell r="F44" t="str">
            <v>SRAF0147660</v>
          </cell>
          <cell r="G44" t="str">
            <v>x</v>
          </cell>
          <cell r="H44" t="str">
            <v>Lucid Arizona</v>
          </cell>
          <cell r="I44" t="str">
            <v>VCU, REAR, DCM, CABIN, FRONT</v>
          </cell>
          <cell r="J44" t="str">
            <v>DSV</v>
          </cell>
          <cell r="K44" t="str">
            <v>VVMV</v>
          </cell>
          <cell r="L44" t="str">
            <v>HN</v>
          </cell>
          <cell r="M44" t="str">
            <v>US</v>
          </cell>
          <cell r="N44">
            <v>46036</v>
          </cell>
          <cell r="O44">
            <v>46036</v>
          </cell>
          <cell r="P44">
            <v>46113</v>
          </cell>
          <cell r="Q44">
            <v>77</v>
          </cell>
          <cell r="R44">
            <v>308151128740</v>
          </cell>
          <cell r="S44">
            <v>46036</v>
          </cell>
          <cell r="T44" t="str">
            <v>No inspection</v>
          </cell>
          <cell r="U44">
            <v>451190.41</v>
          </cell>
          <cell r="V44" t="str">
            <v>PAYMENT</v>
          </cell>
          <cell r="W44" t="str">
            <v>OK</v>
          </cell>
          <cell r="X44" t="str">
            <v>FCA</v>
          </cell>
          <cell r="Y44" t="str">
            <v>Lucid</v>
          </cell>
          <cell r="Z44" t="str">
            <v>x</v>
          </cell>
          <cell r="AA44" t="str">
            <v>x</v>
          </cell>
        </row>
        <row r="45">
          <cell r="B45" t="str">
            <v>INV06601</v>
          </cell>
          <cell r="E45">
            <v>1159.8</v>
          </cell>
          <cell r="F45" t="str">
            <v>SRAF0148656</v>
          </cell>
          <cell r="G45" t="str">
            <v>x</v>
          </cell>
          <cell r="H45" t="str">
            <v>Lucid Arizona</v>
          </cell>
          <cell r="I45" t="str">
            <v>FRONT, REAR</v>
          </cell>
          <cell r="J45" t="str">
            <v>DSV</v>
          </cell>
          <cell r="K45" t="str">
            <v>VVMV</v>
          </cell>
          <cell r="L45" t="str">
            <v>HN</v>
          </cell>
          <cell r="M45" t="str">
            <v>US</v>
          </cell>
          <cell r="N45">
            <v>46036</v>
          </cell>
          <cell r="O45">
            <v>46036</v>
          </cell>
          <cell r="P45">
            <v>46147</v>
          </cell>
          <cell r="Q45">
            <v>111</v>
          </cell>
          <cell r="R45">
            <v>308150208940</v>
          </cell>
          <cell r="S45">
            <v>46036</v>
          </cell>
          <cell r="T45" t="str">
            <v>No inspection</v>
          </cell>
          <cell r="U45">
            <v>86820.12</v>
          </cell>
          <cell r="V45" t="str">
            <v>PAYMENT</v>
          </cell>
          <cell r="W45" t="str">
            <v>OK</v>
          </cell>
          <cell r="X45" t="str">
            <v>FCA</v>
          </cell>
          <cell r="Y45" t="str">
            <v>Lucid</v>
          </cell>
          <cell r="Z45" t="str">
            <v>x</v>
          </cell>
          <cell r="AA45" t="str">
            <v>x</v>
          </cell>
        </row>
        <row r="46">
          <cell r="B46" t="str">
            <v>E01023</v>
          </cell>
          <cell r="E46">
            <v>0.5</v>
          </cell>
          <cell r="F46" t="str">
            <v>887849581059</v>
          </cell>
          <cell r="G46" t="str">
            <v>ok</v>
          </cell>
          <cell r="H46" t="str">
            <v>NI MY</v>
          </cell>
          <cell r="I46" t="str">
            <v>PXIE-6366</v>
          </cell>
          <cell r="J46" t="str">
            <v>FedEx</v>
          </cell>
          <cell r="K46" t="str">
            <v>VVMV</v>
          </cell>
          <cell r="L46" t="str">
            <v>HN</v>
          </cell>
          <cell r="M46" t="str">
            <v>MY</v>
          </cell>
          <cell r="N46">
            <v>46035</v>
          </cell>
          <cell r="O46">
            <v>46035</v>
          </cell>
          <cell r="P46">
            <v>46037</v>
          </cell>
          <cell r="Q46">
            <v>2</v>
          </cell>
          <cell r="R46">
            <v>308144357201</v>
          </cell>
          <cell r="S46">
            <v>46035</v>
          </cell>
          <cell r="T46" t="str">
            <v>Inspection</v>
          </cell>
          <cell r="U46">
            <v>950</v>
          </cell>
          <cell r="V46" t="str">
            <v>NO PAYMENT</v>
          </cell>
          <cell r="W46" t="str">
            <v>No need</v>
          </cell>
          <cell r="X46" t="str">
            <v>DAP</v>
          </cell>
          <cell r="Y46" t="str">
            <v>Lucid</v>
          </cell>
          <cell r="Z46" t="str">
            <v>Ship equipment</v>
          </cell>
          <cell r="AA46" t="str">
            <v>Oscar charge fee Lucid $150</v>
          </cell>
        </row>
        <row r="47">
          <cell r="B47" t="str">
            <v>INV06602</v>
          </cell>
          <cell r="E47">
            <v>14.1</v>
          </cell>
          <cell r="F47" t="str">
            <v>887852908465</v>
          </cell>
          <cell r="G47" t="str">
            <v>ok</v>
          </cell>
          <cell r="H47" t="str">
            <v>AIC</v>
          </cell>
          <cell r="I47" t="str">
            <v>PCBA</v>
          </cell>
          <cell r="J47" t="str">
            <v>FedEx</v>
          </cell>
          <cell r="K47" t="str">
            <v>VVMV</v>
          </cell>
          <cell r="L47" t="str">
            <v>HN</v>
          </cell>
          <cell r="M47" t="str">
            <v>TW</v>
          </cell>
          <cell r="N47">
            <v>46035</v>
          </cell>
          <cell r="O47">
            <v>46035</v>
          </cell>
          <cell r="P47">
            <v>46038</v>
          </cell>
          <cell r="Q47">
            <v>3</v>
          </cell>
          <cell r="R47">
            <v>308147392250</v>
          </cell>
          <cell r="S47">
            <v>46035</v>
          </cell>
          <cell r="T47" t="str">
            <v>No inspection</v>
          </cell>
          <cell r="U47">
            <v>5239.68</v>
          </cell>
          <cell r="V47" t="str">
            <v>PAYMENT</v>
          </cell>
          <cell r="W47" t="str">
            <v>OK</v>
          </cell>
          <cell r="X47" t="str">
            <v>FCA</v>
          </cell>
          <cell r="Y47" t="str">
            <v>AIC</v>
          </cell>
          <cell r="Z47" t="str">
            <v>x</v>
          </cell>
          <cell r="AA47" t="str">
            <v>customs fee $100 charge AIC</v>
          </cell>
        </row>
        <row r="48">
          <cell r="B48" t="str">
            <v>INV06603</v>
          </cell>
          <cell r="E48">
            <v>304.39999999999998</v>
          </cell>
          <cell r="F48" t="str">
            <v>HN90005161</v>
          </cell>
          <cell r="G48" t="str">
            <v>x</v>
          </cell>
          <cell r="H48" t="str">
            <v>Lucid Arizona</v>
          </cell>
          <cell r="I48" t="str">
            <v>BCM</v>
          </cell>
          <cell r="J48" t="str">
            <v>DSV</v>
          </cell>
          <cell r="K48" t="str">
            <v>VVMV</v>
          </cell>
          <cell r="L48" t="str">
            <v>HN</v>
          </cell>
          <cell r="M48" t="str">
            <v>US</v>
          </cell>
          <cell r="N48">
            <v>46038</v>
          </cell>
          <cell r="O48">
            <v>46038</v>
          </cell>
          <cell r="P48">
            <v>46047</v>
          </cell>
          <cell r="Q48">
            <v>9</v>
          </cell>
          <cell r="R48">
            <v>308158616530</v>
          </cell>
          <cell r="S48">
            <v>46038</v>
          </cell>
          <cell r="T48" t="str">
            <v>No inspection</v>
          </cell>
          <cell r="U48">
            <v>54434.400000000001</v>
          </cell>
          <cell r="V48" t="str">
            <v>PAYMENT</v>
          </cell>
          <cell r="W48" t="str">
            <v>OK</v>
          </cell>
          <cell r="X48" t="str">
            <v>FCA</v>
          </cell>
          <cell r="Y48" t="str">
            <v>Lucid</v>
          </cell>
          <cell r="Z48" t="str">
            <v>x</v>
          </cell>
          <cell r="AA48" t="str">
            <v>x</v>
          </cell>
        </row>
        <row r="49">
          <cell r="B49" t="str">
            <v>INV06604</v>
          </cell>
          <cell r="E49">
            <v>2002.8</v>
          </cell>
          <cell r="F49" t="str">
            <v>SRAF0150583</v>
          </cell>
          <cell r="G49" t="str">
            <v>x</v>
          </cell>
          <cell r="H49" t="str">
            <v>Lucid Arizona</v>
          </cell>
          <cell r="I49" t="str">
            <v>FRONT, CABIN, REAR, UCC</v>
          </cell>
          <cell r="J49" t="str">
            <v>DSV</v>
          </cell>
          <cell r="K49" t="str">
            <v>VVMV</v>
          </cell>
          <cell r="L49" t="str">
            <v>HN</v>
          </cell>
          <cell r="M49" t="str">
            <v>US</v>
          </cell>
          <cell r="N49">
            <v>46038</v>
          </cell>
          <cell r="O49">
            <v>46038</v>
          </cell>
          <cell r="P49">
            <v>46043</v>
          </cell>
          <cell r="Q49">
            <v>5</v>
          </cell>
          <cell r="R49">
            <v>308158683030</v>
          </cell>
          <cell r="S49">
            <v>46038</v>
          </cell>
          <cell r="T49" t="str">
            <v>No inspection</v>
          </cell>
          <cell r="U49">
            <v>364082.4</v>
          </cell>
          <cell r="V49" t="str">
            <v>PAYMENT</v>
          </cell>
          <cell r="W49" t="str">
            <v>OK</v>
          </cell>
          <cell r="X49" t="str">
            <v>FCA</v>
          </cell>
          <cell r="Y49" t="str">
            <v>Lucid</v>
          </cell>
          <cell r="Z49" t="str">
            <v>x</v>
          </cell>
          <cell r="AA49" t="str">
            <v>x</v>
          </cell>
        </row>
        <row r="50">
          <cell r="B50" t="str">
            <v>INV06605</v>
          </cell>
          <cell r="E50">
            <v>2995.8</v>
          </cell>
          <cell r="F50" t="str">
            <v>RAF0150594</v>
          </cell>
          <cell r="G50" t="str">
            <v>x</v>
          </cell>
          <cell r="H50" t="str">
            <v>Lucid Arizona</v>
          </cell>
          <cell r="I50" t="str">
            <v>CCCV2, FRONT, CABIN, REAR</v>
          </cell>
          <cell r="J50" t="str">
            <v>DSV</v>
          </cell>
          <cell r="K50" t="str">
            <v>VVMV</v>
          </cell>
          <cell r="L50" t="str">
            <v>HN</v>
          </cell>
          <cell r="M50" t="str">
            <v>US</v>
          </cell>
          <cell r="N50">
            <v>46038</v>
          </cell>
          <cell r="O50">
            <v>46038</v>
          </cell>
          <cell r="P50">
            <v>46069</v>
          </cell>
          <cell r="Q50">
            <v>31</v>
          </cell>
          <cell r="R50">
            <v>308159115040</v>
          </cell>
          <cell r="S50">
            <v>46038</v>
          </cell>
          <cell r="T50" t="str">
            <v>No inspection</v>
          </cell>
          <cell r="U50">
            <v>515987.28</v>
          </cell>
          <cell r="V50" t="str">
            <v>PAYMENT</v>
          </cell>
          <cell r="W50" t="str">
            <v>OK</v>
          </cell>
          <cell r="X50" t="str">
            <v>FCA</v>
          </cell>
          <cell r="Y50" t="str">
            <v>Lucid</v>
          </cell>
          <cell r="Z50" t="str">
            <v>x</v>
          </cell>
          <cell r="AA50" t="str">
            <v>x</v>
          </cell>
        </row>
        <row r="51">
          <cell r="B51" t="str">
            <v>INV06606</v>
          </cell>
          <cell r="E51">
            <v>868</v>
          </cell>
          <cell r="F51" t="str">
            <v>HBL2501023</v>
          </cell>
          <cell r="G51" t="str">
            <v>x</v>
          </cell>
          <cell r="H51" t="str">
            <v>DAA</v>
          </cell>
          <cell r="I51" t="str">
            <v>USB</v>
          </cell>
          <cell r="J51" t="str">
            <v>PRIME</v>
          </cell>
          <cell r="K51" t="str">
            <v>PRIME</v>
          </cell>
          <cell r="L51" t="str">
            <v>HN</v>
          </cell>
          <cell r="M51" t="str">
            <v>MX</v>
          </cell>
          <cell r="N51">
            <v>46042</v>
          </cell>
          <cell r="O51">
            <v>46042</v>
          </cell>
          <cell r="P51">
            <v>46106</v>
          </cell>
          <cell r="Q51">
            <v>64</v>
          </cell>
          <cell r="R51">
            <v>308168990160</v>
          </cell>
          <cell r="S51">
            <v>46042</v>
          </cell>
          <cell r="T51" t="str">
            <v>No inspection</v>
          </cell>
          <cell r="U51">
            <v>99290.880000000005</v>
          </cell>
          <cell r="V51" t="str">
            <v>PAYMENT</v>
          </cell>
          <cell r="W51" t="str">
            <v>ok</v>
          </cell>
          <cell r="X51" t="str">
            <v>EXW</v>
          </cell>
          <cell r="Y51" t="str">
            <v>x</v>
          </cell>
          <cell r="Z51" t="str">
            <v>x</v>
          </cell>
          <cell r="AA51" t="str">
            <v>x</v>
          </cell>
        </row>
        <row r="52">
          <cell r="B52" t="str">
            <v>INV06607</v>
          </cell>
          <cell r="E52">
            <v>439.8</v>
          </cell>
          <cell r="F52" t="str">
            <v>887921452152</v>
          </cell>
          <cell r="G52" t="str">
            <v>ok</v>
          </cell>
          <cell r="H52" t="str">
            <v>JABIL MX</v>
          </cell>
          <cell r="I52" t="str">
            <v>HLOB</v>
          </cell>
          <cell r="J52" t="str">
            <v>FedEx</v>
          </cell>
          <cell r="K52" t="str">
            <v>VVMV</v>
          </cell>
          <cell r="L52" t="str">
            <v>HN</v>
          </cell>
          <cell r="M52" t="str">
            <v>MX</v>
          </cell>
          <cell r="N52">
            <v>46037</v>
          </cell>
          <cell r="O52">
            <v>46037</v>
          </cell>
          <cell r="P52">
            <v>46042</v>
          </cell>
          <cell r="Q52">
            <v>5</v>
          </cell>
          <cell r="R52">
            <v>308155232360</v>
          </cell>
          <cell r="S52">
            <v>46037</v>
          </cell>
          <cell r="T52" t="str">
            <v>No inspection</v>
          </cell>
          <cell r="U52">
            <v>2957552.7</v>
          </cell>
          <cell r="V52" t="str">
            <v>PAYMENT</v>
          </cell>
          <cell r="W52" t="str">
            <v>OK</v>
          </cell>
          <cell r="X52" t="str">
            <v>FCA</v>
          </cell>
          <cell r="Y52" t="str">
            <v>PURE</v>
          </cell>
          <cell r="Z52" t="str">
            <v>x</v>
          </cell>
        </row>
        <row r="53">
          <cell r="B53" t="str">
            <v>INV06608</v>
          </cell>
          <cell r="E53">
            <v>439.8</v>
          </cell>
          <cell r="F53" t="str">
            <v>887921361831</v>
          </cell>
          <cell r="G53" t="str">
            <v>ok</v>
          </cell>
          <cell r="H53" t="str">
            <v>JABIL MX</v>
          </cell>
          <cell r="I53" t="str">
            <v>HLOB</v>
          </cell>
          <cell r="J53" t="str">
            <v>FedEx</v>
          </cell>
          <cell r="K53" t="str">
            <v>VVMV</v>
          </cell>
          <cell r="L53" t="str">
            <v>HN</v>
          </cell>
          <cell r="M53" t="str">
            <v>MX</v>
          </cell>
          <cell r="N53">
            <v>46037</v>
          </cell>
          <cell r="O53">
            <v>46037</v>
          </cell>
          <cell r="P53">
            <v>46042</v>
          </cell>
          <cell r="Q53">
            <v>5</v>
          </cell>
          <cell r="R53">
            <v>308155187560</v>
          </cell>
          <cell r="S53">
            <v>46037</v>
          </cell>
          <cell r="T53" t="str">
            <v>No inspection</v>
          </cell>
          <cell r="U53">
            <v>2957547.6</v>
          </cell>
          <cell r="V53" t="str">
            <v>PAYMENT</v>
          </cell>
          <cell r="W53" t="str">
            <v>OK</v>
          </cell>
          <cell r="X53" t="str">
            <v>FCA</v>
          </cell>
          <cell r="Y53" t="str">
            <v>PURE</v>
          </cell>
          <cell r="Z53" t="str">
            <v>x</v>
          </cell>
        </row>
        <row r="54">
          <cell r="B54" t="str">
            <v>Sample 722</v>
          </cell>
          <cell r="E54">
            <v>0.7</v>
          </cell>
          <cell r="F54" t="str">
            <v>887889201561</v>
          </cell>
          <cell r="G54" t="str">
            <v>ok</v>
          </cell>
          <cell r="H54" t="str">
            <v>WUS</v>
          </cell>
          <cell r="I54" t="str">
            <v>GROVER</v>
          </cell>
          <cell r="J54" t="str">
            <v>FedEx</v>
          </cell>
          <cell r="K54" t="str">
            <v>VVMV</v>
          </cell>
          <cell r="L54" t="str">
            <v>HN</v>
          </cell>
          <cell r="M54" t="str">
            <v>CN</v>
          </cell>
          <cell r="N54">
            <v>46036</v>
          </cell>
          <cell r="O54">
            <v>46036</v>
          </cell>
          <cell r="P54">
            <v>46041</v>
          </cell>
          <cell r="Q54">
            <v>5</v>
          </cell>
          <cell r="R54" t="str">
            <v>x</v>
          </cell>
          <cell r="S54" t="str">
            <v>x</v>
          </cell>
          <cell r="T54" t="str">
            <v>x</v>
          </cell>
          <cell r="V54" t="str">
            <v>NO PAYMENT</v>
          </cell>
          <cell r="W54" t="str">
            <v>No need</v>
          </cell>
          <cell r="X54" t="str">
            <v>FCA</v>
          </cell>
          <cell r="Y54" t="str">
            <v>x</v>
          </cell>
          <cell r="Z54" t="str">
            <v>x</v>
          </cell>
          <cell r="AA54" t="str">
            <v>x</v>
          </cell>
        </row>
        <row r="55">
          <cell r="B55" t="str">
            <v>E01024</v>
          </cell>
          <cell r="E55">
            <v>16.5</v>
          </cell>
          <cell r="F55" t="str">
            <v>887922636732</v>
          </cell>
          <cell r="G55" t="str">
            <v>ok</v>
          </cell>
          <cell r="H55" t="str">
            <v>AIC TW</v>
          </cell>
          <cell r="I55" t="str">
            <v>CONNECTOR,..</v>
          </cell>
          <cell r="J55" t="str">
            <v>FedEx</v>
          </cell>
          <cell r="K55" t="str">
            <v>VVMV</v>
          </cell>
          <cell r="L55" t="str">
            <v>HN</v>
          </cell>
          <cell r="M55" t="str">
            <v>TW</v>
          </cell>
          <cell r="N55">
            <v>46038</v>
          </cell>
          <cell r="O55">
            <v>46038</v>
          </cell>
          <cell r="P55">
            <v>46043</v>
          </cell>
          <cell r="Q55">
            <v>5</v>
          </cell>
          <cell r="R55">
            <v>308152719841</v>
          </cell>
          <cell r="S55">
            <v>46038</v>
          </cell>
          <cell r="T55" t="str">
            <v>Inspection</v>
          </cell>
          <cell r="U55">
            <v>8515.5400000000009</v>
          </cell>
          <cell r="V55" t="str">
            <v>NO PAYMENT</v>
          </cell>
          <cell r="W55" t="str">
            <v>No need</v>
          </cell>
          <cell r="X55" t="str">
            <v>FCA</v>
          </cell>
          <cell r="Y55" t="str">
            <v>AIC</v>
          </cell>
          <cell r="Z55" t="str">
            <v>x</v>
          </cell>
          <cell r="AA55" t="str">
            <v>customs fee $100 charge AIC</v>
          </cell>
        </row>
        <row r="56">
          <cell r="B56" t="str">
            <v>Sample 723</v>
          </cell>
          <cell r="E56">
            <v>0.5</v>
          </cell>
          <cell r="F56" t="str">
            <v>887920852102</v>
          </cell>
          <cell r="G56" t="str">
            <v>ok</v>
          </cell>
          <cell r="H56" t="str">
            <v>COMPEQ</v>
          </cell>
          <cell r="I56" t="str">
            <v>HOPPER, GROVER</v>
          </cell>
          <cell r="J56" t="str">
            <v>FedEx</v>
          </cell>
          <cell r="K56" t="str">
            <v>VVMV</v>
          </cell>
          <cell r="L56" t="str">
            <v>HN</v>
          </cell>
          <cell r="M56" t="str">
            <v>TW</v>
          </cell>
          <cell r="N56">
            <v>46037</v>
          </cell>
          <cell r="O56">
            <v>46037</v>
          </cell>
          <cell r="P56">
            <v>46042</v>
          </cell>
          <cell r="Q56">
            <v>5</v>
          </cell>
          <cell r="R56" t="str">
            <v>x</v>
          </cell>
          <cell r="S56" t="str">
            <v>x</v>
          </cell>
          <cell r="T56" t="str">
            <v>x</v>
          </cell>
          <cell r="U56">
            <v>36.86</v>
          </cell>
          <cell r="V56" t="str">
            <v>NO PAYMENT</v>
          </cell>
          <cell r="W56" t="str">
            <v>No need</v>
          </cell>
          <cell r="X56" t="str">
            <v>FCA</v>
          </cell>
          <cell r="Y56" t="str">
            <v>x</v>
          </cell>
          <cell r="Z56" t="str">
            <v>x</v>
          </cell>
          <cell r="AA56" t="str">
            <v>x</v>
          </cell>
        </row>
        <row r="57">
          <cell r="B57" t="str">
            <v>INV06609</v>
          </cell>
          <cell r="E57">
            <v>2112.6999999999998</v>
          </cell>
          <cell r="F57" t="str">
            <v>45T0443695</v>
          </cell>
          <cell r="G57" t="str">
            <v>x</v>
          </cell>
          <cell r="H57" t="str">
            <v>FTX</v>
          </cell>
          <cell r="I57" t="str">
            <v>EIGER, HOPPER, GORVER, ICER</v>
          </cell>
          <cell r="J57" t="str">
            <v>Expeditors</v>
          </cell>
          <cell r="K57" t="str">
            <v>Expeditors</v>
          </cell>
          <cell r="L57" t="str">
            <v>HN</v>
          </cell>
          <cell r="M57" t="str">
            <v>US</v>
          </cell>
          <cell r="N57">
            <v>46038</v>
          </cell>
          <cell r="O57">
            <v>46038</v>
          </cell>
          <cell r="P57">
            <v>46045</v>
          </cell>
          <cell r="Q57">
            <v>7</v>
          </cell>
          <cell r="R57">
            <v>308160408420</v>
          </cell>
          <cell r="S57">
            <v>46038</v>
          </cell>
          <cell r="T57" t="str">
            <v>No inspection</v>
          </cell>
          <cell r="U57">
            <v>8833510.6999999993</v>
          </cell>
          <cell r="V57" t="str">
            <v>PAYMENT</v>
          </cell>
          <cell r="W57" t="str">
            <v>OK</v>
          </cell>
          <cell r="X57" t="str">
            <v>EXW</v>
          </cell>
          <cell r="Y57" t="str">
            <v>x</v>
          </cell>
          <cell r="Z57" t="str">
            <v>x</v>
          </cell>
          <cell r="AA57" t="str">
            <v>x</v>
          </cell>
        </row>
        <row r="58">
          <cell r="B58" t="str">
            <v>INV06610</v>
          </cell>
          <cell r="E58">
            <v>751.7</v>
          </cell>
          <cell r="F58" t="str">
            <v>HAN26000146</v>
          </cell>
          <cell r="G58" t="str">
            <v>x</v>
          </cell>
          <cell r="H58" t="str">
            <v>FCZ</v>
          </cell>
          <cell r="I58" t="str">
            <v>EIGER, HOPPER, GORVER</v>
          </cell>
          <cell r="J58" t="str">
            <v>Schenker</v>
          </cell>
          <cell r="K58" t="str">
            <v>Schenker</v>
          </cell>
          <cell r="L58" t="str">
            <v>HN</v>
          </cell>
          <cell r="M58" t="str">
            <v>CZ</v>
          </cell>
          <cell r="N58">
            <v>46038</v>
          </cell>
          <cell r="O58">
            <v>46038</v>
          </cell>
          <cell r="P58">
            <v>46045</v>
          </cell>
          <cell r="Q58">
            <v>7</v>
          </cell>
          <cell r="R58">
            <v>308160170310</v>
          </cell>
          <cell r="S58">
            <v>46038</v>
          </cell>
          <cell r="T58" t="str">
            <v>No inspection</v>
          </cell>
          <cell r="U58">
            <v>2204041.6800000002</v>
          </cell>
          <cell r="V58" t="str">
            <v>PAYMENT</v>
          </cell>
          <cell r="W58" t="str">
            <v>OK</v>
          </cell>
          <cell r="X58" t="str">
            <v>EXW</v>
          </cell>
          <cell r="Y58" t="str">
            <v>x</v>
          </cell>
          <cell r="Z58" t="str">
            <v>x</v>
          </cell>
          <cell r="AA58" t="str">
            <v>x</v>
          </cell>
        </row>
        <row r="59">
          <cell r="B59" t="str">
            <v>INV06611</v>
          </cell>
          <cell r="E59">
            <v>36.5</v>
          </cell>
          <cell r="F59" t="str">
            <v>887957780265</v>
          </cell>
          <cell r="G59" t="str">
            <v>ok</v>
          </cell>
          <cell r="H59" t="str">
            <v>AIC</v>
          </cell>
          <cell r="I59" t="str">
            <v>PCBA</v>
          </cell>
          <cell r="J59" t="str">
            <v>FedEx</v>
          </cell>
          <cell r="K59" t="str">
            <v>VVMV</v>
          </cell>
          <cell r="L59" t="str">
            <v>HN</v>
          </cell>
          <cell r="M59" t="str">
            <v>TW</v>
          </cell>
          <cell r="N59">
            <v>46038</v>
          </cell>
          <cell r="O59">
            <v>46038</v>
          </cell>
          <cell r="P59">
            <v>46043</v>
          </cell>
          <cell r="Q59">
            <v>5</v>
          </cell>
          <cell r="R59">
            <v>308159714350</v>
          </cell>
          <cell r="S59">
            <v>46038</v>
          </cell>
          <cell r="T59" t="str">
            <v>No inspection</v>
          </cell>
          <cell r="U59">
            <v>14409.12</v>
          </cell>
          <cell r="V59" t="str">
            <v>PAYMENT</v>
          </cell>
          <cell r="W59" t="str">
            <v>OK</v>
          </cell>
          <cell r="X59" t="str">
            <v>FCA</v>
          </cell>
          <cell r="Y59" t="str">
            <v>AIC</v>
          </cell>
          <cell r="Z59" t="str">
            <v>x</v>
          </cell>
          <cell r="AA59" t="str">
            <v>customs fee $100 charge AIC</v>
          </cell>
        </row>
        <row r="60">
          <cell r="B60" t="str">
            <v>E01025</v>
          </cell>
          <cell r="E60">
            <v>0.6</v>
          </cell>
          <cell r="F60" t="str">
            <v>8352973532</v>
          </cell>
          <cell r="G60" t="str">
            <v>x</v>
          </cell>
          <cell r="H60" t="str">
            <v>AVNET US</v>
          </cell>
          <cell r="I60" t="str">
            <v>IC</v>
          </cell>
          <cell r="J60" t="str">
            <v>DHL</v>
          </cell>
          <cell r="K60" t="str">
            <v>VVMV</v>
          </cell>
          <cell r="L60" t="str">
            <v>HN</v>
          </cell>
          <cell r="M60" t="str">
            <v>US</v>
          </cell>
          <cell r="N60">
            <v>46037</v>
          </cell>
          <cell r="O60">
            <v>46037</v>
          </cell>
          <cell r="P60">
            <v>46048</v>
          </cell>
          <cell r="Q60">
            <v>11</v>
          </cell>
          <cell r="R60">
            <v>308161151931</v>
          </cell>
          <cell r="S60">
            <v>46041</v>
          </cell>
          <cell r="T60" t="str">
            <v>Inspection</v>
          </cell>
          <cell r="U60">
            <v>3480</v>
          </cell>
          <cell r="V60" t="str">
            <v>NO PAYMENT</v>
          </cell>
          <cell r="W60" t="str">
            <v>No need</v>
          </cell>
          <cell r="X60" t="str">
            <v>FCA</v>
          </cell>
          <cell r="Y60" t="str">
            <v>EFI</v>
          </cell>
          <cell r="Z60" t="str">
            <v>x</v>
          </cell>
          <cell r="AA60" t="str">
            <v>x</v>
          </cell>
        </row>
        <row r="61">
          <cell r="B61" t="str">
            <v>INV06612</v>
          </cell>
          <cell r="E61">
            <v>898.8</v>
          </cell>
          <cell r="F61" t="str">
            <v>SHN90005167</v>
          </cell>
          <cell r="G61" t="str">
            <v>x</v>
          </cell>
          <cell r="H61" t="str">
            <v>Lucid Arizona</v>
          </cell>
          <cell r="I61" t="str">
            <v>DCM, BCM, REAR</v>
          </cell>
          <cell r="J61" t="str">
            <v>DSV</v>
          </cell>
          <cell r="K61" t="str">
            <v>VVMV</v>
          </cell>
          <cell r="L61" t="str">
            <v>HN</v>
          </cell>
          <cell r="M61" t="str">
            <v>US</v>
          </cell>
          <cell r="N61">
            <v>46041</v>
          </cell>
          <cell r="O61">
            <v>46041</v>
          </cell>
          <cell r="P61">
            <v>46045</v>
          </cell>
          <cell r="Q61">
            <v>4</v>
          </cell>
          <cell r="R61">
            <v>308165653150</v>
          </cell>
          <cell r="S61">
            <v>46041</v>
          </cell>
          <cell r="T61" t="str">
            <v>No inspection</v>
          </cell>
          <cell r="U61">
            <v>154549.68</v>
          </cell>
          <cell r="V61" t="str">
            <v>PAYMENT</v>
          </cell>
          <cell r="W61" t="str">
            <v>OK</v>
          </cell>
          <cell r="X61" t="str">
            <v>FCA</v>
          </cell>
          <cell r="Y61" t="str">
            <v>Lucid</v>
          </cell>
          <cell r="Z61" t="str">
            <v>x</v>
          </cell>
          <cell r="AA61" t="str">
            <v>x</v>
          </cell>
        </row>
        <row r="62">
          <cell r="B62" t="str">
            <v>INV06613</v>
          </cell>
          <cell r="E62">
            <v>1323.2</v>
          </cell>
          <cell r="F62" t="str">
            <v>SHAN0461113</v>
          </cell>
          <cell r="G62" t="str">
            <v>x</v>
          </cell>
          <cell r="H62" t="str">
            <v>Lucid Arizona</v>
          </cell>
          <cell r="I62" t="str">
            <v>FRONT, CABIN</v>
          </cell>
          <cell r="J62" t="str">
            <v>DSV</v>
          </cell>
          <cell r="K62" t="str">
            <v>VVMV</v>
          </cell>
          <cell r="L62" t="str">
            <v>HN</v>
          </cell>
          <cell r="M62" t="str">
            <v>US</v>
          </cell>
          <cell r="N62">
            <v>46041</v>
          </cell>
          <cell r="O62">
            <v>46041</v>
          </cell>
          <cell r="P62">
            <v>46076</v>
          </cell>
          <cell r="Q62">
            <v>35</v>
          </cell>
          <cell r="R62">
            <v>308166549630</v>
          </cell>
          <cell r="S62">
            <v>46041</v>
          </cell>
          <cell r="T62" t="str">
            <v>No inspection</v>
          </cell>
          <cell r="U62">
            <v>137407.67999999999</v>
          </cell>
          <cell r="V62" t="str">
            <v>PAYMENT</v>
          </cell>
          <cell r="W62" t="str">
            <v>OK</v>
          </cell>
          <cell r="X62" t="str">
            <v>FCA</v>
          </cell>
          <cell r="Y62" t="str">
            <v>Lucid</v>
          </cell>
          <cell r="Z62" t="str">
            <v>x</v>
          </cell>
          <cell r="AA62" t="str">
            <v>x</v>
          </cell>
        </row>
        <row r="63">
          <cell r="B63" t="str">
            <v>INV06614</v>
          </cell>
          <cell r="E63">
            <v>1057.2</v>
          </cell>
          <cell r="F63" t="str">
            <v>SRAF0168398</v>
          </cell>
          <cell r="G63" t="str">
            <v>x</v>
          </cell>
          <cell r="H63" t="str">
            <v>HELLA</v>
          </cell>
          <cell r="I63" t="str">
            <v>HCU</v>
          </cell>
          <cell r="J63" t="str">
            <v>DSV</v>
          </cell>
          <cell r="K63" t="str">
            <v>VVMV</v>
          </cell>
          <cell r="L63" t="str">
            <v>HN</v>
          </cell>
          <cell r="M63" t="str">
            <v>DE</v>
          </cell>
          <cell r="N63">
            <v>46051</v>
          </cell>
          <cell r="O63">
            <v>46051</v>
          </cell>
          <cell r="P63">
            <v>46059</v>
          </cell>
          <cell r="Q63">
            <v>8</v>
          </cell>
          <cell r="R63">
            <v>308201761620</v>
          </cell>
          <cell r="S63">
            <v>46050</v>
          </cell>
          <cell r="T63" t="str">
            <v>No inspection</v>
          </cell>
          <cell r="U63">
            <v>161550.72</v>
          </cell>
          <cell r="V63" t="str">
            <v>PAYMENT</v>
          </cell>
          <cell r="W63" t="str">
            <v>OK</v>
          </cell>
          <cell r="X63" t="str">
            <v>FCA</v>
          </cell>
          <cell r="Y63" t="str">
            <v>Lucid</v>
          </cell>
          <cell r="Z63" t="str">
            <v>x</v>
          </cell>
          <cell r="AA63" t="str">
            <v>x</v>
          </cell>
        </row>
        <row r="64">
          <cell r="B64" t="str">
            <v>INV06615</v>
          </cell>
          <cell r="E64">
            <v>156.4</v>
          </cell>
          <cell r="F64" t="str">
            <v>SHN90005178</v>
          </cell>
          <cell r="G64" t="str">
            <v>x</v>
          </cell>
          <cell r="H64" t="str">
            <v>Lucid HQ</v>
          </cell>
          <cell r="I64" t="str">
            <v>CCCV2, UCC, UCC MID</v>
          </cell>
          <cell r="J64" t="str">
            <v>DSV</v>
          </cell>
          <cell r="K64" t="str">
            <v>VVMV</v>
          </cell>
          <cell r="L64" t="str">
            <v>HN</v>
          </cell>
          <cell r="M64" t="str">
            <v>US</v>
          </cell>
          <cell r="N64">
            <v>46045</v>
          </cell>
          <cell r="O64">
            <v>46045</v>
          </cell>
          <cell r="P64">
            <v>46049</v>
          </cell>
          <cell r="Q64">
            <v>4</v>
          </cell>
          <cell r="R64">
            <v>308181905420</v>
          </cell>
          <cell r="S64">
            <v>46045</v>
          </cell>
          <cell r="T64" t="str">
            <v>No inspection</v>
          </cell>
          <cell r="U64">
            <v>60145.13</v>
          </cell>
          <cell r="V64" t="str">
            <v>PAYMENT</v>
          </cell>
          <cell r="W64" t="str">
            <v>OK</v>
          </cell>
          <cell r="X64" t="str">
            <v>FCA</v>
          </cell>
          <cell r="Y64" t="str">
            <v>Lucid</v>
          </cell>
          <cell r="Z64" t="str">
            <v>x</v>
          </cell>
          <cell r="AA64" t="str">
            <v>x</v>
          </cell>
        </row>
        <row r="65">
          <cell r="B65" t="str">
            <v>E01026</v>
          </cell>
          <cell r="E65">
            <v>26.4</v>
          </cell>
          <cell r="F65" t="str">
            <v>888230909835</v>
          </cell>
          <cell r="G65" t="str">
            <v>ok</v>
          </cell>
          <cell r="H65" t="str">
            <v>Unigen MY</v>
          </cell>
          <cell r="I65" t="str">
            <v>MTE's equipment</v>
          </cell>
          <cell r="J65" t="str">
            <v>FedEx</v>
          </cell>
          <cell r="K65" t="str">
            <v>x</v>
          </cell>
          <cell r="L65" t="str">
            <v>HN</v>
          </cell>
          <cell r="M65" t="str">
            <v>MY</v>
          </cell>
          <cell r="N65">
            <v>46049</v>
          </cell>
          <cell r="O65">
            <v>46049</v>
          </cell>
          <cell r="P65">
            <v>46050</v>
          </cell>
          <cell r="Q65">
            <v>1</v>
          </cell>
          <cell r="R65" t="str">
            <v>x</v>
          </cell>
          <cell r="S65" t="str">
            <v>x</v>
          </cell>
          <cell r="T65" t="str">
            <v>x</v>
          </cell>
          <cell r="U65">
            <v>92.5</v>
          </cell>
          <cell r="V65" t="str">
            <v>NO PAYMENT</v>
          </cell>
          <cell r="W65" t="str">
            <v>No need</v>
          </cell>
          <cell r="X65" t="str">
            <v>FCA</v>
          </cell>
          <cell r="Y65" t="str">
            <v>Other</v>
          </cell>
          <cell r="Z65" t="str">
            <v>x</v>
          </cell>
          <cell r="AA65" t="str">
            <v>x</v>
          </cell>
        </row>
        <row r="66">
          <cell r="B66" t="str">
            <v>Document to GCE</v>
          </cell>
          <cell r="E66">
            <v>0.1</v>
          </cell>
          <cell r="F66" t="str">
            <v>887957223975</v>
          </cell>
          <cell r="G66" t="str">
            <v>ok</v>
          </cell>
          <cell r="H66" t="str">
            <v>GCE</v>
          </cell>
          <cell r="I66" t="str">
            <v>Document</v>
          </cell>
          <cell r="J66" t="str">
            <v>FedEx</v>
          </cell>
          <cell r="K66" t="str">
            <v>x</v>
          </cell>
          <cell r="L66" t="str">
            <v>HN</v>
          </cell>
          <cell r="N66">
            <v>46038</v>
          </cell>
          <cell r="O66">
            <v>46038</v>
          </cell>
          <cell r="P66">
            <v>46042</v>
          </cell>
          <cell r="Q66">
            <v>4</v>
          </cell>
          <cell r="R66" t="str">
            <v>x</v>
          </cell>
          <cell r="S66" t="str">
            <v>x</v>
          </cell>
          <cell r="T66" t="str">
            <v>x</v>
          </cell>
          <cell r="U66" t="str">
            <v>x</v>
          </cell>
          <cell r="V66" t="str">
            <v>x</v>
          </cell>
          <cell r="W66" t="str">
            <v>No need</v>
          </cell>
          <cell r="X66" t="str">
            <v>FCA</v>
          </cell>
          <cell r="Y66" t="str">
            <v>x</v>
          </cell>
          <cell r="Z66" t="str">
            <v>x</v>
          </cell>
          <cell r="AA66" t="str">
            <v>x</v>
          </cell>
        </row>
        <row r="67">
          <cell r="B67" t="str">
            <v>INV06616</v>
          </cell>
          <cell r="E67">
            <v>445.8</v>
          </cell>
          <cell r="F67" t="str">
            <v>SHN90005176</v>
          </cell>
          <cell r="G67" t="str">
            <v>x</v>
          </cell>
          <cell r="H67" t="str">
            <v>Lucid Arizona</v>
          </cell>
          <cell r="I67" t="str">
            <v>BCM, DCM</v>
          </cell>
          <cell r="J67" t="str">
            <v>DSV</v>
          </cell>
          <cell r="K67" t="str">
            <v>VVMV</v>
          </cell>
          <cell r="L67" t="str">
            <v>HN</v>
          </cell>
          <cell r="M67" t="str">
            <v>US</v>
          </cell>
          <cell r="N67">
            <v>46044</v>
          </cell>
          <cell r="O67">
            <v>46044</v>
          </cell>
          <cell r="P67">
            <v>46046</v>
          </cell>
          <cell r="Q67">
            <v>2</v>
          </cell>
          <cell r="R67">
            <v>308177525960</v>
          </cell>
          <cell r="S67">
            <v>46044</v>
          </cell>
          <cell r="T67" t="str">
            <v>No inspection</v>
          </cell>
          <cell r="U67">
            <v>78535.679999999993</v>
          </cell>
          <cell r="V67" t="str">
            <v>PAYMENT</v>
          </cell>
          <cell r="W67" t="str">
            <v>OK</v>
          </cell>
          <cell r="X67" t="str">
            <v>FCA</v>
          </cell>
          <cell r="Y67" t="str">
            <v>Lucid</v>
          </cell>
          <cell r="Z67" t="str">
            <v>x</v>
          </cell>
          <cell r="AA67" t="str">
            <v>x</v>
          </cell>
        </row>
        <row r="68">
          <cell r="B68" t="str">
            <v>INV06617</v>
          </cell>
          <cell r="E68">
            <v>661.6</v>
          </cell>
          <cell r="F68" t="str">
            <v>SRAF0158040</v>
          </cell>
          <cell r="G68" t="str">
            <v>x</v>
          </cell>
          <cell r="H68" t="str">
            <v>Lucid Arizona</v>
          </cell>
          <cell r="I68" t="str">
            <v>FRONT, CABIN</v>
          </cell>
          <cell r="J68" t="str">
            <v>DSV</v>
          </cell>
          <cell r="K68" t="str">
            <v>VVMV</v>
          </cell>
          <cell r="L68" t="str">
            <v>HN</v>
          </cell>
          <cell r="M68" t="str">
            <v>US</v>
          </cell>
          <cell r="N68">
            <v>46043</v>
          </cell>
          <cell r="O68">
            <v>46043</v>
          </cell>
          <cell r="P68">
            <v>46076</v>
          </cell>
          <cell r="Q68">
            <v>33</v>
          </cell>
          <cell r="R68">
            <v>308174267460</v>
          </cell>
          <cell r="S68">
            <v>46043</v>
          </cell>
          <cell r="T68" t="str">
            <v>No inspection</v>
          </cell>
          <cell r="U68">
            <v>68703.839999999997</v>
          </cell>
          <cell r="V68" t="str">
            <v>PAYMENT</v>
          </cell>
          <cell r="W68" t="str">
            <v>OK</v>
          </cell>
          <cell r="X68" t="str">
            <v>FCA</v>
          </cell>
          <cell r="Y68" t="str">
            <v>Lucid</v>
          </cell>
          <cell r="Z68" t="str">
            <v>x</v>
          </cell>
          <cell r="AA68" t="str">
            <v>x</v>
          </cell>
        </row>
        <row r="69">
          <cell r="B69" t="str">
            <v>INV06618</v>
          </cell>
          <cell r="E69">
            <v>1566.4</v>
          </cell>
          <cell r="F69" t="str">
            <v>SHN90005180</v>
          </cell>
          <cell r="G69" t="str">
            <v>x</v>
          </cell>
          <cell r="H69" t="str">
            <v>Lucid Arizona</v>
          </cell>
          <cell r="I69" t="str">
            <v>VCU, UCC, BCM, DCM</v>
          </cell>
          <cell r="J69" t="str">
            <v>DSV</v>
          </cell>
          <cell r="K69" t="str">
            <v>VVMV</v>
          </cell>
          <cell r="L69" t="str">
            <v>HN</v>
          </cell>
          <cell r="M69" t="str">
            <v>US</v>
          </cell>
          <cell r="N69">
            <v>46045</v>
          </cell>
          <cell r="O69">
            <v>46045</v>
          </cell>
          <cell r="P69">
            <v>46053</v>
          </cell>
          <cell r="Q69">
            <v>8</v>
          </cell>
          <cell r="R69">
            <v>308181783250</v>
          </cell>
          <cell r="S69">
            <v>46045</v>
          </cell>
          <cell r="T69" t="str">
            <v>No inspection</v>
          </cell>
          <cell r="U69">
            <v>370682.4</v>
          </cell>
          <cell r="V69" t="str">
            <v>PAYMENT</v>
          </cell>
          <cell r="W69" t="str">
            <v>OK</v>
          </cell>
          <cell r="X69" t="str">
            <v>FCA</v>
          </cell>
          <cell r="Y69" t="str">
            <v>Lucid</v>
          </cell>
          <cell r="Z69" t="str">
            <v>x</v>
          </cell>
          <cell r="AA69" t="str">
            <v>x</v>
          </cell>
        </row>
        <row r="70">
          <cell r="B70" t="str">
            <v>INV06619</v>
          </cell>
          <cell r="E70">
            <v>183.4</v>
          </cell>
          <cell r="F70" t="str">
            <v>SRAF0161889</v>
          </cell>
          <cell r="G70" t="str">
            <v>x</v>
          </cell>
          <cell r="H70" t="str">
            <v>Lucid Arizona</v>
          </cell>
          <cell r="I70" t="str">
            <v>REAR</v>
          </cell>
          <cell r="J70" t="str">
            <v>DSV</v>
          </cell>
          <cell r="K70" t="str">
            <v>VVMV</v>
          </cell>
          <cell r="L70" t="str">
            <v>HN</v>
          </cell>
          <cell r="M70" t="str">
            <v>US</v>
          </cell>
          <cell r="N70">
            <v>46045</v>
          </cell>
          <cell r="O70">
            <v>46045</v>
          </cell>
          <cell r="P70">
            <v>46142</v>
          </cell>
          <cell r="Q70">
            <v>97</v>
          </cell>
          <cell r="R70">
            <v>308181829710</v>
          </cell>
          <cell r="S70">
            <v>46045</v>
          </cell>
          <cell r="T70" t="str">
            <v>No inspection</v>
          </cell>
          <cell r="U70">
            <v>22750.560000000001</v>
          </cell>
          <cell r="V70" t="str">
            <v>PAYMENT</v>
          </cell>
          <cell r="W70" t="str">
            <v>ok</v>
          </cell>
          <cell r="X70" t="str">
            <v>FCA</v>
          </cell>
          <cell r="Y70" t="str">
            <v>Lucid</v>
          </cell>
          <cell r="Z70" t="str">
            <v>x</v>
          </cell>
          <cell r="AA70" t="str">
            <v>x</v>
          </cell>
        </row>
        <row r="71">
          <cell r="B71" t="str">
            <v>INV06620</v>
          </cell>
          <cell r="E71">
            <v>92.1</v>
          </cell>
          <cell r="F71" t="str">
            <v>1116169585</v>
          </cell>
          <cell r="G71" t="str">
            <v>x</v>
          </cell>
          <cell r="H71" t="str">
            <v>AVNET US</v>
          </cell>
          <cell r="I71" t="str">
            <v>PCBA, DISPLAY MODULE</v>
          </cell>
          <cell r="J71" t="str">
            <v>DHL</v>
          </cell>
          <cell r="K71" t="str">
            <v>VVMV</v>
          </cell>
          <cell r="L71" t="str">
            <v>HN</v>
          </cell>
          <cell r="M71" t="str">
            <v>US</v>
          </cell>
          <cell r="N71">
            <v>46043</v>
          </cell>
          <cell r="O71">
            <v>46043</v>
          </cell>
          <cell r="P71">
            <v>46049</v>
          </cell>
          <cell r="Q71">
            <v>6</v>
          </cell>
          <cell r="R71">
            <v>308173544030</v>
          </cell>
          <cell r="S71">
            <v>46043</v>
          </cell>
          <cell r="T71" t="str">
            <v>No inspection</v>
          </cell>
          <cell r="U71">
            <v>99722.83</v>
          </cell>
          <cell r="V71" t="str">
            <v>PAYMENT</v>
          </cell>
          <cell r="W71" t="str">
            <v>OK</v>
          </cell>
          <cell r="X71" t="str">
            <v>FCA</v>
          </cell>
          <cell r="Y71" t="str">
            <v>EFI</v>
          </cell>
          <cell r="Z71" t="str">
            <v>x</v>
          </cell>
          <cell r="AA71" t="str">
            <v>x</v>
          </cell>
        </row>
        <row r="72">
          <cell r="B72" t="str">
            <v>INV06621</v>
          </cell>
          <cell r="E72">
            <v>34.299999999999997</v>
          </cell>
          <cell r="F72" t="str">
            <v>HAN26000182</v>
          </cell>
          <cell r="G72" t="str">
            <v>x</v>
          </cell>
          <cell r="H72" t="str">
            <v>FCZ</v>
          </cell>
          <cell r="I72" t="str">
            <v>GROVER</v>
          </cell>
          <cell r="J72" t="str">
            <v>Schenker</v>
          </cell>
          <cell r="K72" t="str">
            <v>Schenker</v>
          </cell>
          <cell r="L72" t="str">
            <v>HN</v>
          </cell>
          <cell r="M72" t="str">
            <v>CZ</v>
          </cell>
          <cell r="N72">
            <v>46044</v>
          </cell>
          <cell r="O72">
            <v>46044</v>
          </cell>
          <cell r="P72">
            <v>46049</v>
          </cell>
          <cell r="Q72">
            <v>5</v>
          </cell>
          <cell r="R72">
            <v>308178238820</v>
          </cell>
          <cell r="S72">
            <v>46044</v>
          </cell>
          <cell r="T72" t="str">
            <v>No inspection</v>
          </cell>
          <cell r="U72">
            <v>44568.800000000003</v>
          </cell>
          <cell r="V72" t="str">
            <v>PAYMENT</v>
          </cell>
          <cell r="W72" t="str">
            <v>OK</v>
          </cell>
          <cell r="X72" t="str">
            <v>EXW</v>
          </cell>
          <cell r="Y72" t="str">
            <v>x</v>
          </cell>
          <cell r="Z72" t="str">
            <v>x</v>
          </cell>
          <cell r="AA72" t="str">
            <v>x</v>
          </cell>
        </row>
        <row r="73">
          <cell r="B73" t="str">
            <v>INV06622</v>
          </cell>
          <cell r="E73">
            <v>445.8</v>
          </cell>
          <cell r="F73" t="str">
            <v>SHN90005181</v>
          </cell>
          <cell r="G73" t="str">
            <v>x</v>
          </cell>
          <cell r="H73" t="str">
            <v>Lucid Arizona</v>
          </cell>
          <cell r="I73" t="str">
            <v>BCM, DCM</v>
          </cell>
          <cell r="J73" t="str">
            <v>DSV</v>
          </cell>
          <cell r="K73" t="str">
            <v>VVMV</v>
          </cell>
          <cell r="L73" t="str">
            <v>HN</v>
          </cell>
          <cell r="M73" t="str">
            <v>US</v>
          </cell>
          <cell r="N73">
            <v>46045</v>
          </cell>
          <cell r="O73">
            <v>46045</v>
          </cell>
          <cell r="P73">
            <v>46053</v>
          </cell>
          <cell r="Q73">
            <v>8</v>
          </cell>
          <cell r="R73">
            <v>308181996050</v>
          </cell>
          <cell r="S73">
            <v>46045</v>
          </cell>
          <cell r="T73" t="str">
            <v>No inspection</v>
          </cell>
          <cell r="U73">
            <v>78535.679999999993</v>
          </cell>
          <cell r="V73" t="str">
            <v>PAYMENT</v>
          </cell>
          <cell r="W73" t="str">
            <v>ok</v>
          </cell>
          <cell r="X73" t="str">
            <v>FCA</v>
          </cell>
          <cell r="Y73" t="str">
            <v>Lucid</v>
          </cell>
          <cell r="Z73" t="str">
            <v>x</v>
          </cell>
          <cell r="AA73" t="str">
            <v>x</v>
          </cell>
        </row>
        <row r="74">
          <cell r="B74" t="str">
            <v>E01027</v>
          </cell>
          <cell r="E74">
            <v>5.4</v>
          </cell>
          <cell r="F74" t="str">
            <v>888144766807</v>
          </cell>
          <cell r="G74" t="str">
            <v>ok</v>
          </cell>
          <cell r="H74" t="str">
            <v>HQ1</v>
          </cell>
          <cell r="I74" t="str">
            <v>material</v>
          </cell>
          <cell r="J74" t="str">
            <v>FedEx</v>
          </cell>
          <cell r="K74" t="str">
            <v>VVMV</v>
          </cell>
          <cell r="L74" t="str">
            <v>HN</v>
          </cell>
          <cell r="M74" t="str">
            <v>US</v>
          </cell>
          <cell r="N74">
            <v>46045</v>
          </cell>
          <cell r="O74">
            <v>46045</v>
          </cell>
          <cell r="P74">
            <v>46051</v>
          </cell>
          <cell r="Q74">
            <v>6</v>
          </cell>
          <cell r="R74">
            <v>308178650201</v>
          </cell>
          <cell r="S74">
            <v>46044</v>
          </cell>
          <cell r="T74" t="str">
            <v>Inspection</v>
          </cell>
          <cell r="U74">
            <v>1069.72</v>
          </cell>
          <cell r="V74" t="str">
            <v>NO PAYMENT</v>
          </cell>
          <cell r="W74" t="str">
            <v>No need</v>
          </cell>
          <cell r="X74" t="str">
            <v>DAP</v>
          </cell>
          <cell r="Y74" t="str">
            <v>Transfer</v>
          </cell>
          <cell r="Z74" t="str">
            <v>Transfer material</v>
          </cell>
          <cell r="AA74" t="str">
            <v>x</v>
          </cell>
        </row>
        <row r="75">
          <cell r="B75" t="str">
            <v>INV06623</v>
          </cell>
          <cell r="E75">
            <v>439.8</v>
          </cell>
          <cell r="F75" t="str">
            <v>888111482994</v>
          </cell>
          <cell r="G75" t="str">
            <v>ok</v>
          </cell>
          <cell r="H75" t="str">
            <v>Jabil MX</v>
          </cell>
          <cell r="I75" t="str">
            <v>HLOB</v>
          </cell>
          <cell r="J75" t="str">
            <v>FedEx</v>
          </cell>
          <cell r="K75" t="str">
            <v>VVMV</v>
          </cell>
          <cell r="L75" t="str">
            <v>HN</v>
          </cell>
          <cell r="M75" t="str">
            <v>MX</v>
          </cell>
          <cell r="N75">
            <v>46044</v>
          </cell>
          <cell r="O75">
            <v>46044</v>
          </cell>
          <cell r="P75">
            <v>46050</v>
          </cell>
          <cell r="Q75">
            <v>6</v>
          </cell>
          <cell r="R75">
            <v>308177447820</v>
          </cell>
          <cell r="S75">
            <v>46044</v>
          </cell>
          <cell r="T75" t="str">
            <v>No inspection</v>
          </cell>
          <cell r="U75">
            <v>2957547.6</v>
          </cell>
          <cell r="V75" t="str">
            <v>PAYMENT</v>
          </cell>
          <cell r="W75" t="str">
            <v>OK</v>
          </cell>
          <cell r="X75" t="str">
            <v>FCA</v>
          </cell>
          <cell r="Y75" t="str">
            <v>PURE</v>
          </cell>
          <cell r="Z75" t="str">
            <v>x</v>
          </cell>
        </row>
        <row r="76">
          <cell r="B76" t="str">
            <v>INV06624</v>
          </cell>
          <cell r="E76">
            <v>439.8</v>
          </cell>
          <cell r="F76" t="str">
            <v>888112035777</v>
          </cell>
          <cell r="G76" t="str">
            <v>ok</v>
          </cell>
          <cell r="H76" t="str">
            <v>Jabil MX</v>
          </cell>
          <cell r="I76" t="str">
            <v>HLOB</v>
          </cell>
          <cell r="J76" t="str">
            <v>FedEx</v>
          </cell>
          <cell r="K76" t="str">
            <v>VVMV</v>
          </cell>
          <cell r="L76" t="str">
            <v>HN</v>
          </cell>
          <cell r="M76" t="str">
            <v>MX</v>
          </cell>
          <cell r="N76">
            <v>46044</v>
          </cell>
          <cell r="O76">
            <v>46044</v>
          </cell>
          <cell r="P76">
            <v>46052</v>
          </cell>
          <cell r="Q76">
            <v>8</v>
          </cell>
          <cell r="R76">
            <v>308177689800</v>
          </cell>
          <cell r="S76">
            <v>46044</v>
          </cell>
          <cell r="T76" t="str">
            <v>No inspection</v>
          </cell>
          <cell r="U76">
            <v>2957547.6</v>
          </cell>
          <cell r="V76" t="str">
            <v>PAYMENT</v>
          </cell>
          <cell r="W76" t="str">
            <v>OK</v>
          </cell>
          <cell r="X76" t="str">
            <v>FCA</v>
          </cell>
          <cell r="Y76" t="str">
            <v>PURE</v>
          </cell>
          <cell r="Z76" t="str">
            <v>x</v>
          </cell>
        </row>
        <row r="77">
          <cell r="B77" t="str">
            <v>INV06625</v>
          </cell>
          <cell r="E77">
            <v>439.8</v>
          </cell>
          <cell r="F77" t="str">
            <v>888112327711</v>
          </cell>
          <cell r="G77" t="str">
            <v>ok</v>
          </cell>
          <cell r="H77" t="str">
            <v>Jabil MX</v>
          </cell>
          <cell r="I77" t="str">
            <v>HLOB</v>
          </cell>
          <cell r="J77" t="str">
            <v>FedEx</v>
          </cell>
          <cell r="K77" t="str">
            <v>VVMV</v>
          </cell>
          <cell r="L77" t="str">
            <v>HN</v>
          </cell>
          <cell r="M77" t="str">
            <v>MX</v>
          </cell>
          <cell r="N77">
            <v>46044</v>
          </cell>
          <cell r="O77">
            <v>46044</v>
          </cell>
          <cell r="P77">
            <v>46052</v>
          </cell>
          <cell r="Q77">
            <v>8</v>
          </cell>
          <cell r="R77">
            <v>308178134410</v>
          </cell>
          <cell r="S77">
            <v>46044</v>
          </cell>
          <cell r="T77" t="str">
            <v>No inspection</v>
          </cell>
          <cell r="U77">
            <v>2957547.6</v>
          </cell>
          <cell r="V77" t="str">
            <v>PAYMENT</v>
          </cell>
          <cell r="W77" t="str">
            <v>OK</v>
          </cell>
          <cell r="X77" t="str">
            <v>FCA</v>
          </cell>
          <cell r="Y77" t="str">
            <v>PURE</v>
          </cell>
          <cell r="Z77" t="str">
            <v>x</v>
          </cell>
        </row>
        <row r="78">
          <cell r="B78" t="str">
            <v>E01028</v>
          </cell>
          <cell r="E78">
            <v>1239.2</v>
          </cell>
          <cell r="F78" t="str">
            <v>DIM111011134</v>
          </cell>
          <cell r="G78" t="str">
            <v>x</v>
          </cell>
          <cell r="H78" t="str">
            <v>Kingston</v>
          </cell>
          <cell r="I78" t="str">
            <v>ic, res, cap, screw…</v>
          </cell>
          <cell r="J78" t="str">
            <v>Dimerco</v>
          </cell>
          <cell r="K78" t="str">
            <v>Dimerco</v>
          </cell>
          <cell r="L78" t="str">
            <v>HN</v>
          </cell>
          <cell r="M78" t="str">
            <v>TW</v>
          </cell>
          <cell r="N78">
            <v>46048</v>
          </cell>
          <cell r="O78">
            <v>46048</v>
          </cell>
          <cell r="P78">
            <v>46051</v>
          </cell>
          <cell r="Q78">
            <v>3</v>
          </cell>
          <cell r="R78" t="str">
            <v>308190648421
308190645841
308190649711</v>
          </cell>
          <cell r="S78">
            <v>46048</v>
          </cell>
          <cell r="T78" t="str">
            <v>Inspection</v>
          </cell>
          <cell r="U78">
            <v>278038.71999999997</v>
          </cell>
          <cell r="V78" t="str">
            <v>NO PAYMENT</v>
          </cell>
          <cell r="W78" t="str">
            <v>No need</v>
          </cell>
          <cell r="X78" t="str">
            <v>EXW</v>
          </cell>
          <cell r="Y78" t="str">
            <v>x</v>
          </cell>
          <cell r="Z78" t="str">
            <v>x</v>
          </cell>
          <cell r="AA78" t="str">
            <v>x</v>
          </cell>
        </row>
        <row r="79">
          <cell r="B79" t="str">
            <v>INV06626</v>
          </cell>
          <cell r="E79">
            <v>590.70000000000005</v>
          </cell>
          <cell r="F79" t="str">
            <v>HAN26000238</v>
          </cell>
          <cell r="G79" t="str">
            <v>x</v>
          </cell>
          <cell r="H79" t="str">
            <v>FCZ</v>
          </cell>
          <cell r="I79" t="str">
            <v>HOPPER, GROVER</v>
          </cell>
          <cell r="J79" t="str">
            <v>Schenker</v>
          </cell>
          <cell r="K79" t="str">
            <v>Schenker</v>
          </cell>
          <cell r="L79" t="str">
            <v>HN</v>
          </cell>
          <cell r="M79" t="str">
            <v>CZ</v>
          </cell>
          <cell r="N79">
            <v>46045</v>
          </cell>
          <cell r="O79">
            <v>46045</v>
          </cell>
          <cell r="P79">
            <v>46055</v>
          </cell>
          <cell r="Q79">
            <v>10</v>
          </cell>
          <cell r="R79">
            <v>308184347830</v>
          </cell>
          <cell r="S79">
            <v>46045</v>
          </cell>
          <cell r="T79" t="str">
            <v>No inspection</v>
          </cell>
          <cell r="U79">
            <v>1850342.3</v>
          </cell>
          <cell r="V79" t="str">
            <v>PAYMENT</v>
          </cell>
          <cell r="W79" t="str">
            <v>ok</v>
          </cell>
          <cell r="X79" t="str">
            <v>EXW</v>
          </cell>
          <cell r="Y79" t="str">
            <v>x</v>
          </cell>
          <cell r="Z79" t="str">
            <v>x</v>
          </cell>
          <cell r="AA79" t="str">
            <v>x</v>
          </cell>
        </row>
        <row r="80">
          <cell r="B80" t="str">
            <v>INV06627</v>
          </cell>
          <cell r="E80">
            <v>949.5</v>
          </cell>
          <cell r="F80" t="str">
            <v>45T0444290</v>
          </cell>
          <cell r="G80" t="str">
            <v>x</v>
          </cell>
          <cell r="H80" t="str">
            <v>FTX</v>
          </cell>
          <cell r="I80" t="str">
            <v>HOPPER, GROVER, ICER</v>
          </cell>
          <cell r="J80" t="str">
            <v>Expeditors</v>
          </cell>
          <cell r="K80" t="str">
            <v>Expeditors</v>
          </cell>
          <cell r="L80" t="str">
            <v>HN</v>
          </cell>
          <cell r="M80" t="str">
            <v>US</v>
          </cell>
          <cell r="N80">
            <v>46045</v>
          </cell>
          <cell r="O80">
            <v>46045</v>
          </cell>
          <cell r="P80">
            <v>46057</v>
          </cell>
          <cell r="Q80">
            <v>12</v>
          </cell>
          <cell r="R80">
            <v>308184144720</v>
          </cell>
          <cell r="S80">
            <v>46045</v>
          </cell>
          <cell r="T80" t="str">
            <v>No inspection</v>
          </cell>
          <cell r="U80">
            <v>5101097.7</v>
          </cell>
          <cell r="V80" t="str">
            <v>PAYMENT</v>
          </cell>
          <cell r="W80" t="str">
            <v>ok</v>
          </cell>
          <cell r="X80" t="str">
            <v>EXW</v>
          </cell>
          <cell r="Y80" t="str">
            <v>x</v>
          </cell>
          <cell r="Z80" t="str">
            <v>x</v>
          </cell>
          <cell r="AA80" t="str">
            <v>x</v>
          </cell>
        </row>
        <row r="81">
          <cell r="B81" t="str">
            <v>INV06628</v>
          </cell>
          <cell r="E81">
            <v>1057</v>
          </cell>
          <cell r="F81" t="str">
            <v>SHN90005187</v>
          </cell>
          <cell r="G81" t="str">
            <v>x</v>
          </cell>
          <cell r="H81" t="str">
            <v>Lucid Arizona</v>
          </cell>
          <cell r="I81" t="str">
            <v>UCC, CABIN, REAR, DCM</v>
          </cell>
          <cell r="J81" t="str">
            <v>DSV</v>
          </cell>
          <cell r="K81" t="str">
            <v>VVMV</v>
          </cell>
          <cell r="L81" t="str">
            <v>HN</v>
          </cell>
          <cell r="M81" t="str">
            <v>US</v>
          </cell>
          <cell r="N81">
            <v>46048</v>
          </cell>
          <cell r="O81">
            <v>46048</v>
          </cell>
          <cell r="P81">
            <v>46059</v>
          </cell>
          <cell r="Q81">
            <v>11</v>
          </cell>
          <cell r="R81">
            <v>308190976940</v>
          </cell>
          <cell r="S81">
            <v>46048</v>
          </cell>
          <cell r="T81" t="str">
            <v>No inspection</v>
          </cell>
          <cell r="U81">
            <v>181359.6</v>
          </cell>
          <cell r="V81" t="str">
            <v>PAYMENT</v>
          </cell>
          <cell r="W81" t="str">
            <v>ok</v>
          </cell>
          <cell r="X81" t="str">
            <v>FCA</v>
          </cell>
          <cell r="Y81" t="str">
            <v>Lucid</v>
          </cell>
          <cell r="Z81" t="str">
            <v>x</v>
          </cell>
          <cell r="AA81" t="str">
            <v>x</v>
          </cell>
        </row>
        <row r="82">
          <cell r="B82" t="str">
            <v>INV06629</v>
          </cell>
          <cell r="E82">
            <v>1219</v>
          </cell>
          <cell r="F82" t="str">
            <v>SRAF0165684</v>
          </cell>
          <cell r="G82" t="str">
            <v>x</v>
          </cell>
          <cell r="H82" t="str">
            <v>Lucid Arizona</v>
          </cell>
          <cell r="I82" t="str">
            <v>UCC, CABIN, REAR, DCM</v>
          </cell>
          <cell r="J82" t="str">
            <v>DSV</v>
          </cell>
          <cell r="K82" t="str">
            <v>VVMV</v>
          </cell>
          <cell r="L82" t="str">
            <v>HN</v>
          </cell>
          <cell r="M82" t="str">
            <v>US</v>
          </cell>
          <cell r="N82">
            <v>46048</v>
          </cell>
          <cell r="O82">
            <v>46048</v>
          </cell>
          <cell r="P82">
            <v>46132</v>
          </cell>
          <cell r="Q82">
            <v>84</v>
          </cell>
          <cell r="R82">
            <v>308190764250</v>
          </cell>
          <cell r="S82">
            <v>46048</v>
          </cell>
          <cell r="T82" t="str">
            <v>No inspection</v>
          </cell>
          <cell r="U82">
            <v>282758.15999999997</v>
          </cell>
          <cell r="V82" t="str">
            <v>PAYMENT</v>
          </cell>
          <cell r="W82" t="str">
            <v>ok</v>
          </cell>
          <cell r="X82" t="str">
            <v>FCA</v>
          </cell>
          <cell r="Y82" t="str">
            <v>Lucid</v>
          </cell>
          <cell r="Z82" t="str">
            <v>x</v>
          </cell>
          <cell r="AA82" t="str">
            <v>x</v>
          </cell>
        </row>
        <row r="83">
          <cell r="B83" t="str">
            <v>INV06630</v>
          </cell>
          <cell r="E83">
            <v>424.4</v>
          </cell>
          <cell r="F83" t="str">
            <v>SHANS0002486</v>
          </cell>
          <cell r="G83" t="str">
            <v>x</v>
          </cell>
          <cell r="H83" t="str">
            <v>Lucid Group</v>
          </cell>
          <cell r="I83" t="str">
            <v>CCCV2</v>
          </cell>
          <cell r="J83" t="str">
            <v>FedEx LOG</v>
          </cell>
          <cell r="K83" t="str">
            <v>VVMV</v>
          </cell>
          <cell r="L83" t="str">
            <v>HN</v>
          </cell>
          <cell r="M83" t="str">
            <v>US</v>
          </cell>
          <cell r="N83">
            <v>46064</v>
          </cell>
          <cell r="O83">
            <v>46064</v>
          </cell>
          <cell r="P83">
            <v>46100</v>
          </cell>
          <cell r="Q83">
            <v>36</v>
          </cell>
          <cell r="R83">
            <v>308247394140</v>
          </cell>
          <cell r="S83">
            <v>46063</v>
          </cell>
          <cell r="T83" t="str">
            <v>No inspection</v>
          </cell>
          <cell r="U83">
            <v>229996.79999999999</v>
          </cell>
          <cell r="V83" t="str">
            <v>PAYMENT</v>
          </cell>
          <cell r="W83" t="str">
            <v>ok</v>
          </cell>
          <cell r="X83" t="str">
            <v>FCA</v>
          </cell>
          <cell r="Y83" t="str">
            <v>Lucid</v>
          </cell>
          <cell r="Z83" t="str">
            <v>x</v>
          </cell>
          <cell r="AA83" t="str">
            <v>x</v>
          </cell>
        </row>
        <row r="84">
          <cell r="B84" t="str">
            <v>INV06631</v>
          </cell>
          <cell r="E84">
            <v>1500.4</v>
          </cell>
          <cell r="F84" t="str">
            <v>45T0445387</v>
          </cell>
          <cell r="G84" t="str">
            <v>x</v>
          </cell>
          <cell r="H84" t="str">
            <v>AVNET US</v>
          </cell>
          <cell r="I84" t="str">
            <v>DISPLAY MODULE</v>
          </cell>
          <cell r="J84" t="str">
            <v>Expeditors</v>
          </cell>
          <cell r="K84" t="str">
            <v>Expeditors</v>
          </cell>
          <cell r="L84" t="str">
            <v>HN</v>
          </cell>
          <cell r="M84" t="str">
            <v>US</v>
          </cell>
          <cell r="N84">
            <v>46048</v>
          </cell>
          <cell r="O84">
            <v>46048</v>
          </cell>
          <cell r="P84">
            <v>46056</v>
          </cell>
          <cell r="Q84">
            <v>8</v>
          </cell>
          <cell r="R84">
            <v>308190412040</v>
          </cell>
          <cell r="S84">
            <v>46048</v>
          </cell>
          <cell r="T84" t="str">
            <v>No inspection</v>
          </cell>
          <cell r="U84">
            <v>159427.68</v>
          </cell>
          <cell r="V84" t="str">
            <v>PAYMENT</v>
          </cell>
          <cell r="W84" t="str">
            <v>ok</v>
          </cell>
          <cell r="X84" t="str">
            <v>EXW</v>
          </cell>
          <cell r="Y84" t="str">
            <v>x</v>
          </cell>
          <cell r="Z84" t="str">
            <v>x</v>
          </cell>
          <cell r="AA84" t="str">
            <v>x</v>
          </cell>
        </row>
        <row r="85">
          <cell r="B85" t="str">
            <v>E01029</v>
          </cell>
          <cell r="E85">
            <v>2.7</v>
          </cell>
          <cell r="F85" t="str">
            <v>888205539641</v>
          </cell>
          <cell r="G85" t="str">
            <v>ok</v>
          </cell>
          <cell r="H85" t="str">
            <v>Bang Tai HK</v>
          </cell>
          <cell r="I85" t="str">
            <v>Screw</v>
          </cell>
          <cell r="J85" t="str">
            <v>Fedex</v>
          </cell>
          <cell r="K85" t="str">
            <v>VVMV</v>
          </cell>
          <cell r="L85" t="str">
            <v>HN</v>
          </cell>
          <cell r="M85" t="str">
            <v>HK</v>
          </cell>
          <cell r="N85">
            <v>46049</v>
          </cell>
          <cell r="O85">
            <v>46049</v>
          </cell>
          <cell r="P85">
            <v>46051</v>
          </cell>
          <cell r="Q85">
            <v>2</v>
          </cell>
          <cell r="R85">
            <v>308185369611</v>
          </cell>
          <cell r="S85">
            <v>46046</v>
          </cell>
          <cell r="T85" t="str">
            <v>Inspection</v>
          </cell>
          <cell r="U85">
            <v>517.20000000000005</v>
          </cell>
          <cell r="V85" t="str">
            <v>NO PAYMENT</v>
          </cell>
          <cell r="W85" t="str">
            <v>No need</v>
          </cell>
          <cell r="X85" t="str">
            <v>FCA</v>
          </cell>
          <cell r="Y85" t="str">
            <v>PURE</v>
          </cell>
          <cell r="Z85" t="str">
            <v>x</v>
          </cell>
          <cell r="AA85" t="str">
            <v>customs fee charge Foxconn</v>
          </cell>
        </row>
        <row r="86">
          <cell r="B86" t="str">
            <v>INV06632</v>
          </cell>
          <cell r="E86">
            <v>150</v>
          </cell>
          <cell r="F86" t="str">
            <v>LGATPE91071</v>
          </cell>
          <cell r="G86" t="str">
            <v>x</v>
          </cell>
          <cell r="H86" t="str">
            <v>AIC</v>
          </cell>
          <cell r="I86" t="str">
            <v>PCBA</v>
          </cell>
          <cell r="J86" t="str">
            <v>Legend</v>
          </cell>
          <cell r="K86" t="str">
            <v>Legend</v>
          </cell>
          <cell r="L86" t="str">
            <v>HN</v>
          </cell>
          <cell r="M86" t="str">
            <v>TW</v>
          </cell>
          <cell r="N86">
            <v>46049</v>
          </cell>
          <cell r="O86">
            <v>46049</v>
          </cell>
          <cell r="P86">
            <v>46051</v>
          </cell>
          <cell r="Q86">
            <v>2</v>
          </cell>
          <cell r="R86">
            <v>308192325730</v>
          </cell>
          <cell r="S86">
            <v>46048</v>
          </cell>
          <cell r="T86" t="str">
            <v>No inspection</v>
          </cell>
          <cell r="U86">
            <v>52396.800000000003</v>
          </cell>
          <cell r="V86" t="str">
            <v>PAYMENT</v>
          </cell>
          <cell r="W86" t="str">
            <v>OK</v>
          </cell>
          <cell r="X86" t="str">
            <v>EXW</v>
          </cell>
          <cell r="Y86" t="str">
            <v>x</v>
          </cell>
          <cell r="Z86" t="str">
            <v>x</v>
          </cell>
          <cell r="AA86" t="str">
            <v>x</v>
          </cell>
        </row>
        <row r="87">
          <cell r="B87" t="str">
            <v>INV06633</v>
          </cell>
          <cell r="E87">
            <v>1965</v>
          </cell>
          <cell r="F87" t="str">
            <v>SRAF0167561</v>
          </cell>
          <cell r="G87" t="str">
            <v>x</v>
          </cell>
          <cell r="H87" t="str">
            <v>Lucid Arizona</v>
          </cell>
          <cell r="I87" t="str">
            <v>VCU, REAR, DCM, UCC, FRONT</v>
          </cell>
          <cell r="J87" t="str">
            <v>DSV</v>
          </cell>
          <cell r="K87" t="str">
            <v>VVMV</v>
          </cell>
          <cell r="L87" t="str">
            <v>HN</v>
          </cell>
          <cell r="M87" t="str">
            <v>US</v>
          </cell>
          <cell r="N87">
            <v>46050</v>
          </cell>
          <cell r="O87">
            <v>46050</v>
          </cell>
          <cell r="P87">
            <v>46070</v>
          </cell>
          <cell r="Q87">
            <v>20</v>
          </cell>
          <cell r="R87">
            <v>308199626140</v>
          </cell>
          <cell r="S87">
            <v>46050</v>
          </cell>
          <cell r="T87" t="str">
            <v>No inspection</v>
          </cell>
          <cell r="U87">
            <v>331246.44</v>
          </cell>
          <cell r="V87" t="str">
            <v>PAYMENT</v>
          </cell>
          <cell r="W87" t="str">
            <v>ok</v>
          </cell>
          <cell r="X87" t="str">
            <v>FCA</v>
          </cell>
          <cell r="Y87" t="str">
            <v>Lucid</v>
          </cell>
          <cell r="Z87" t="str">
            <v>x</v>
          </cell>
          <cell r="AA87" t="str">
            <v>x</v>
          </cell>
        </row>
        <row r="88">
          <cell r="B88" t="str">
            <v>INV06634</v>
          </cell>
          <cell r="E88">
            <v>1739</v>
          </cell>
          <cell r="F88" t="str">
            <v>SRAF0167606</v>
          </cell>
          <cell r="G88" t="str">
            <v>x</v>
          </cell>
          <cell r="H88" t="str">
            <v>Lucid Arizona</v>
          </cell>
          <cell r="I88" t="str">
            <v>VCU, REAR, DCM, FRONT</v>
          </cell>
          <cell r="J88" t="str">
            <v>DSV</v>
          </cell>
          <cell r="K88" t="str">
            <v>VVMV</v>
          </cell>
          <cell r="L88" t="str">
            <v>HN</v>
          </cell>
          <cell r="M88" t="str">
            <v>US</v>
          </cell>
          <cell r="N88">
            <v>46052</v>
          </cell>
          <cell r="O88">
            <v>46052</v>
          </cell>
          <cell r="P88">
            <v>46070</v>
          </cell>
          <cell r="Q88">
            <v>18</v>
          </cell>
          <cell r="R88">
            <v>308207263250</v>
          </cell>
          <cell r="S88">
            <v>46052</v>
          </cell>
          <cell r="T88" t="str">
            <v>No inspection</v>
          </cell>
          <cell r="U88">
            <v>252280.32000000001</v>
          </cell>
          <cell r="V88" t="str">
            <v>PAYMENT</v>
          </cell>
          <cell r="W88" t="str">
            <v>ok</v>
          </cell>
          <cell r="X88" t="str">
            <v>FCA</v>
          </cell>
          <cell r="Y88" t="str">
            <v>Lucid</v>
          </cell>
          <cell r="Z88" t="str">
            <v>x</v>
          </cell>
          <cell r="AA88" t="str">
            <v>x</v>
          </cell>
        </row>
        <row r="89">
          <cell r="B89" t="str">
            <v>INV06635</v>
          </cell>
          <cell r="E89">
            <v>1808.2</v>
          </cell>
          <cell r="F89" t="str">
            <v>SRAF0167337</v>
          </cell>
          <cell r="G89" t="str">
            <v>x</v>
          </cell>
          <cell r="H89" t="str">
            <v>Lucid Arizona</v>
          </cell>
          <cell r="I89" t="str">
            <v>UCC, REAR, CABIN, DCM</v>
          </cell>
          <cell r="J89" t="str">
            <v>DSV</v>
          </cell>
          <cell r="K89" t="str">
            <v>VVMV</v>
          </cell>
          <cell r="L89" t="str">
            <v>HN</v>
          </cell>
          <cell r="M89" t="str">
            <v>US</v>
          </cell>
          <cell r="N89">
            <v>46051</v>
          </cell>
          <cell r="O89">
            <v>46051</v>
          </cell>
          <cell r="P89">
            <v>46143</v>
          </cell>
          <cell r="Q89">
            <v>92</v>
          </cell>
          <cell r="R89">
            <v>308203992260</v>
          </cell>
          <cell r="S89">
            <v>46051</v>
          </cell>
          <cell r="T89" t="str">
            <v>No inspection</v>
          </cell>
          <cell r="U89">
            <v>353336.88</v>
          </cell>
          <cell r="V89" t="str">
            <v>PAYMENT</v>
          </cell>
          <cell r="W89" t="str">
            <v>OK</v>
          </cell>
          <cell r="X89" t="str">
            <v>FCA</v>
          </cell>
          <cell r="Y89" t="str">
            <v>Lucid</v>
          </cell>
          <cell r="Z89" t="str">
            <v>x</v>
          </cell>
          <cell r="AA89" t="str">
            <v>x</v>
          </cell>
        </row>
        <row r="90">
          <cell r="B90" t="str">
            <v>INV06636</v>
          </cell>
          <cell r="E90">
            <v>678.4</v>
          </cell>
          <cell r="F90" t="str">
            <v>45T0447348</v>
          </cell>
          <cell r="G90" t="str">
            <v>x</v>
          </cell>
          <cell r="H90" t="str">
            <v>FTX</v>
          </cell>
          <cell r="I90" t="str">
            <v>HOPPER, GROVER, ICER</v>
          </cell>
          <cell r="J90" t="str">
            <v>Expeditors</v>
          </cell>
          <cell r="K90" t="str">
            <v>Expeditors</v>
          </cell>
          <cell r="L90" t="str">
            <v>HN</v>
          </cell>
          <cell r="M90" t="str">
            <v>US</v>
          </cell>
          <cell r="N90">
            <v>46051</v>
          </cell>
          <cell r="O90">
            <v>46051</v>
          </cell>
          <cell r="P90">
            <v>46063</v>
          </cell>
          <cell r="Q90">
            <v>12</v>
          </cell>
          <cell r="R90">
            <v>308203815200</v>
          </cell>
          <cell r="S90">
            <v>46051</v>
          </cell>
          <cell r="T90" t="str">
            <v>No inspection</v>
          </cell>
          <cell r="U90">
            <v>3031723.7</v>
          </cell>
          <cell r="V90" t="str">
            <v>PAYMENT</v>
          </cell>
          <cell r="W90" t="str">
            <v>OK</v>
          </cell>
          <cell r="X90" t="str">
            <v>EXW</v>
          </cell>
          <cell r="Y90" t="str">
            <v>x</v>
          </cell>
          <cell r="Z90" t="str">
            <v>x</v>
          </cell>
          <cell r="AA90" t="str">
            <v>x</v>
          </cell>
        </row>
        <row r="91">
          <cell r="B91" t="str">
            <v>INV06637</v>
          </cell>
          <cell r="E91">
            <v>1.2</v>
          </cell>
          <cell r="F91" t="str">
            <v>888224912192</v>
          </cell>
          <cell r="G91" t="str">
            <v>ok</v>
          </cell>
          <cell r="H91" t="str">
            <v>EFI Cretaprint</v>
          </cell>
          <cell r="I91" t="str">
            <v>PCBA</v>
          </cell>
          <cell r="J91" t="str">
            <v>FedEx</v>
          </cell>
          <cell r="K91" t="str">
            <v>VVMV</v>
          </cell>
          <cell r="L91" t="str">
            <v>HN</v>
          </cell>
          <cell r="M91" t="str">
            <v>ES</v>
          </cell>
          <cell r="N91">
            <v>46049</v>
          </cell>
          <cell r="O91">
            <v>46049</v>
          </cell>
          <cell r="P91">
            <v>46058</v>
          </cell>
          <cell r="Q91">
            <v>9</v>
          </cell>
          <cell r="R91">
            <v>308193731551</v>
          </cell>
          <cell r="S91">
            <v>46049</v>
          </cell>
          <cell r="T91" t="str">
            <v>Inspection</v>
          </cell>
          <cell r="U91">
            <v>657</v>
          </cell>
          <cell r="V91" t="str">
            <v>NO PAYMENT</v>
          </cell>
          <cell r="W91" t="str">
            <v>No need</v>
          </cell>
          <cell r="X91" t="str">
            <v>DAP</v>
          </cell>
          <cell r="Y91" t="str">
            <v>EFI</v>
          </cell>
          <cell r="Z91" t="str">
            <v>RMA</v>
          </cell>
          <cell r="AA91" t="str">
            <v>x</v>
          </cell>
        </row>
        <row r="92">
          <cell r="B92" t="str">
            <v>E01030</v>
          </cell>
          <cell r="E92">
            <v>1.5</v>
          </cell>
          <cell r="F92" t="str">
            <v>2587001406</v>
          </cell>
          <cell r="G92" t="str">
            <v>x</v>
          </cell>
          <cell r="H92" t="str">
            <v xml:space="preserve">ARROW ASIA </v>
          </cell>
          <cell r="I92" t="str">
            <v>IC</v>
          </cell>
          <cell r="J92" t="str">
            <v>DHL</v>
          </cell>
          <cell r="K92" t="str">
            <v>VVMV</v>
          </cell>
          <cell r="L92" t="str">
            <v>HN</v>
          </cell>
          <cell r="M92" t="str">
            <v>HK</v>
          </cell>
          <cell r="N92">
            <v>46049</v>
          </cell>
          <cell r="O92">
            <v>46049</v>
          </cell>
          <cell r="P92">
            <v>46052</v>
          </cell>
          <cell r="Q92">
            <v>3</v>
          </cell>
          <cell r="R92">
            <v>308197489851</v>
          </cell>
          <cell r="S92">
            <v>46050</v>
          </cell>
          <cell r="T92" t="str">
            <v>Inspection</v>
          </cell>
          <cell r="U92">
            <v>2563.23</v>
          </cell>
          <cell r="V92" t="str">
            <v>NO PAYMENT</v>
          </cell>
          <cell r="W92" t="str">
            <v>No need</v>
          </cell>
          <cell r="X92" t="str">
            <v>FCA</v>
          </cell>
          <cell r="Y92" t="str">
            <v>Lucid</v>
          </cell>
          <cell r="Z92" t="str">
            <v>x</v>
          </cell>
          <cell r="AA92" t="str">
            <v>Charge supplier $100</v>
          </cell>
        </row>
        <row r="93">
          <cell r="B93" t="str">
            <v>INV06638</v>
          </cell>
          <cell r="E93">
            <v>439.8</v>
          </cell>
          <cell r="F93" t="str">
            <v>888261715227</v>
          </cell>
          <cell r="G93" t="str">
            <v>ok</v>
          </cell>
          <cell r="H93" t="str">
            <v>Jabil MX</v>
          </cell>
          <cell r="I93" t="str">
            <v>HLOB</v>
          </cell>
          <cell r="J93" t="str">
            <v>FedEx</v>
          </cell>
          <cell r="K93" t="str">
            <v>VVMV</v>
          </cell>
          <cell r="L93" t="str">
            <v>HN</v>
          </cell>
          <cell r="M93" t="str">
            <v>MX</v>
          </cell>
          <cell r="N93">
            <v>46050</v>
          </cell>
          <cell r="O93">
            <v>46050</v>
          </cell>
          <cell r="P93">
            <v>46056</v>
          </cell>
          <cell r="Q93">
            <v>6</v>
          </cell>
          <cell r="R93">
            <v>308199464220</v>
          </cell>
          <cell r="S93">
            <v>46050</v>
          </cell>
          <cell r="T93" t="str">
            <v>No inspection</v>
          </cell>
          <cell r="U93">
            <v>2957547.6</v>
          </cell>
          <cell r="V93" t="str">
            <v>PAYMENT</v>
          </cell>
          <cell r="W93" t="str">
            <v>ok</v>
          </cell>
          <cell r="X93" t="str">
            <v>FCA</v>
          </cell>
          <cell r="Y93" t="str">
            <v>PURE</v>
          </cell>
          <cell r="Z93" t="str">
            <v>x</v>
          </cell>
          <cell r="AA93" t="str">
            <v>x</v>
          </cell>
        </row>
        <row r="94">
          <cell r="B94" t="str">
            <v>INV06639</v>
          </cell>
          <cell r="E94">
            <v>439.8</v>
          </cell>
          <cell r="F94" t="str">
            <v>888262095173</v>
          </cell>
          <cell r="G94" t="str">
            <v>ok</v>
          </cell>
          <cell r="H94" t="str">
            <v>Jabil MX</v>
          </cell>
          <cell r="I94" t="str">
            <v>HLOB</v>
          </cell>
          <cell r="J94" t="str">
            <v>FedEx</v>
          </cell>
          <cell r="K94" t="str">
            <v>VVMV</v>
          </cell>
          <cell r="L94" t="str">
            <v>HN</v>
          </cell>
          <cell r="M94" t="str">
            <v>MX</v>
          </cell>
          <cell r="N94">
            <v>46050</v>
          </cell>
          <cell r="O94">
            <v>46050</v>
          </cell>
          <cell r="P94">
            <v>46057</v>
          </cell>
          <cell r="Q94">
            <v>7</v>
          </cell>
          <cell r="R94">
            <v>308199610960</v>
          </cell>
          <cell r="S94">
            <v>46050</v>
          </cell>
          <cell r="T94" t="str">
            <v>No inspection</v>
          </cell>
          <cell r="U94">
            <v>2957547.6</v>
          </cell>
          <cell r="V94" t="str">
            <v>PAYMENT</v>
          </cell>
          <cell r="W94" t="str">
            <v>ok</v>
          </cell>
          <cell r="X94" t="str">
            <v>FCA</v>
          </cell>
          <cell r="Y94" t="str">
            <v>PURE</v>
          </cell>
          <cell r="Z94" t="str">
            <v>x</v>
          </cell>
          <cell r="AA94" t="str">
            <v>x</v>
          </cell>
        </row>
        <row r="95">
          <cell r="B95" t="str">
            <v>Sample 724</v>
          </cell>
          <cell r="E95">
            <v>0.6</v>
          </cell>
          <cell r="F95" t="str">
            <v>888264316427</v>
          </cell>
          <cell r="G95" t="str">
            <v>ok</v>
          </cell>
          <cell r="H95" t="str">
            <v>COMPEQ</v>
          </cell>
          <cell r="I95" t="str">
            <v>COVER</v>
          </cell>
          <cell r="J95" t="str">
            <v>FedEx</v>
          </cell>
          <cell r="K95" t="str">
            <v>VVMV</v>
          </cell>
          <cell r="L95" t="str">
            <v>HN</v>
          </cell>
          <cell r="M95" t="str">
            <v>TW</v>
          </cell>
          <cell r="N95">
            <v>46050</v>
          </cell>
          <cell r="O95">
            <v>46050</v>
          </cell>
          <cell r="P95">
            <v>46056</v>
          </cell>
          <cell r="Q95">
            <v>6</v>
          </cell>
          <cell r="R95" t="str">
            <v>x</v>
          </cell>
          <cell r="S95" t="str">
            <v>x</v>
          </cell>
          <cell r="T95" t="str">
            <v>No inspection</v>
          </cell>
          <cell r="U95">
            <v>1.47</v>
          </cell>
          <cell r="V95" t="str">
            <v>NO PAYMENT</v>
          </cell>
          <cell r="W95" t="str">
            <v>No need</v>
          </cell>
          <cell r="X95" t="str">
            <v>FCA</v>
          </cell>
          <cell r="Y95" t="str">
            <v>x</v>
          </cell>
          <cell r="Z95" t="str">
            <v>x</v>
          </cell>
          <cell r="AA95" t="str">
            <v>x</v>
          </cell>
        </row>
        <row r="96">
          <cell r="B96" t="str">
            <v>INV06640</v>
          </cell>
          <cell r="E96">
            <v>295.2</v>
          </cell>
          <cell r="F96" t="str">
            <v>HAN26000330</v>
          </cell>
          <cell r="G96" t="str">
            <v>x</v>
          </cell>
          <cell r="H96" t="str">
            <v>FCZ</v>
          </cell>
          <cell r="I96" t="str">
            <v>HOPPER, GROVER</v>
          </cell>
          <cell r="J96" t="str">
            <v>Schenker</v>
          </cell>
          <cell r="K96" t="str">
            <v>Schenker</v>
          </cell>
          <cell r="L96" t="str">
            <v>HN</v>
          </cell>
          <cell r="M96" t="str">
            <v>CZ</v>
          </cell>
          <cell r="N96">
            <v>46052</v>
          </cell>
          <cell r="O96">
            <v>46052</v>
          </cell>
          <cell r="P96">
            <v>46063</v>
          </cell>
          <cell r="Q96">
            <v>11</v>
          </cell>
          <cell r="R96">
            <v>308208924350</v>
          </cell>
          <cell r="S96">
            <v>46052</v>
          </cell>
          <cell r="T96" t="str">
            <v>No inspection</v>
          </cell>
          <cell r="U96">
            <v>680210.5</v>
          </cell>
          <cell r="V96" t="str">
            <v>PAYMENT</v>
          </cell>
          <cell r="W96" t="str">
            <v>ok</v>
          </cell>
          <cell r="X96" t="str">
            <v>EXW</v>
          </cell>
          <cell r="Y96" t="str">
            <v>x</v>
          </cell>
          <cell r="Z96" t="str">
            <v>x</v>
          </cell>
          <cell r="AA96" t="str">
            <v>x</v>
          </cell>
        </row>
        <row r="97">
          <cell r="B97" t="str">
            <v>INV06641</v>
          </cell>
          <cell r="E97">
            <v>22.3</v>
          </cell>
          <cell r="F97" t="str">
            <v>888295496047</v>
          </cell>
          <cell r="G97" t="str">
            <v>ok</v>
          </cell>
          <cell r="H97" t="str">
            <v>PURE US</v>
          </cell>
          <cell r="I97" t="str">
            <v>NAPPER, OTTER, PIPER</v>
          </cell>
          <cell r="J97" t="str">
            <v>FedEx</v>
          </cell>
          <cell r="K97" t="str">
            <v>VVMV</v>
          </cell>
          <cell r="L97" t="str">
            <v>HN</v>
          </cell>
          <cell r="M97" t="str">
            <v>US</v>
          </cell>
          <cell r="N97">
            <v>46051</v>
          </cell>
          <cell r="O97">
            <v>46051</v>
          </cell>
          <cell r="P97">
            <v>46057</v>
          </cell>
          <cell r="Q97">
            <v>6</v>
          </cell>
          <cell r="R97">
            <v>308203894150</v>
          </cell>
          <cell r="S97">
            <v>46051</v>
          </cell>
          <cell r="T97" t="str">
            <v>No inspection</v>
          </cell>
          <cell r="U97">
            <v>44067.47</v>
          </cell>
          <cell r="V97" t="str">
            <v>NO PAYMENT</v>
          </cell>
          <cell r="W97" t="str">
            <v>No need</v>
          </cell>
          <cell r="X97" t="str">
            <v>FCA</v>
          </cell>
          <cell r="Y97" t="str">
            <v>PURE</v>
          </cell>
          <cell r="Z97" t="str">
            <v>x</v>
          </cell>
          <cell r="AA97" t="str">
            <v>Ste charge 100 usd to Customer</v>
          </cell>
        </row>
        <row r="98">
          <cell r="B98" t="str">
            <v>INV06642</v>
          </cell>
          <cell r="E98">
            <v>108.7</v>
          </cell>
          <cell r="F98" t="str">
            <v>1306892510</v>
          </cell>
          <cell r="G98" t="str">
            <v>x</v>
          </cell>
          <cell r="H98" t="str">
            <v>AVNET US</v>
          </cell>
          <cell r="I98" t="str">
            <v>PCBA</v>
          </cell>
          <cell r="J98" t="str">
            <v>DHL</v>
          </cell>
          <cell r="K98" t="str">
            <v>VVMV</v>
          </cell>
          <cell r="L98" t="str">
            <v>HN</v>
          </cell>
          <cell r="M98" t="str">
            <v>US</v>
          </cell>
          <cell r="N98">
            <v>46051</v>
          </cell>
          <cell r="O98">
            <v>46051</v>
          </cell>
          <cell r="P98">
            <v>46057</v>
          </cell>
          <cell r="Q98">
            <v>6</v>
          </cell>
          <cell r="R98">
            <v>308204030320</v>
          </cell>
          <cell r="S98">
            <v>46051</v>
          </cell>
          <cell r="T98" t="str">
            <v>No inspection</v>
          </cell>
          <cell r="U98">
            <v>110041.49</v>
          </cell>
          <cell r="V98" t="str">
            <v>PAYMENT</v>
          </cell>
          <cell r="W98" t="str">
            <v>OK</v>
          </cell>
          <cell r="X98" t="str">
            <v>FCA</v>
          </cell>
          <cell r="Y98" t="str">
            <v>EFI</v>
          </cell>
          <cell r="Z98" t="str">
            <v>x</v>
          </cell>
          <cell r="AA98" t="str">
            <v>x</v>
          </cell>
        </row>
        <row r="99">
          <cell r="B99" t="str">
            <v>INV06643</v>
          </cell>
          <cell r="E99">
            <v>0.8</v>
          </cell>
          <cell r="F99" t="str">
            <v>888294266189</v>
          </cell>
          <cell r="G99" t="str">
            <v>ok</v>
          </cell>
          <cell r="H99" t="str">
            <v>HQ1</v>
          </cell>
          <cell r="I99" t="str">
            <v>OEM</v>
          </cell>
          <cell r="J99" t="str">
            <v>FedEx</v>
          </cell>
          <cell r="K99" t="str">
            <v>VVMV</v>
          </cell>
          <cell r="L99" t="str">
            <v>HN</v>
          </cell>
          <cell r="M99" t="str">
            <v>US</v>
          </cell>
          <cell r="N99">
            <v>46051</v>
          </cell>
          <cell r="O99">
            <v>46051</v>
          </cell>
          <cell r="P99">
            <v>46057</v>
          </cell>
          <cell r="Q99">
            <v>6</v>
          </cell>
          <cell r="R99">
            <v>308201585811</v>
          </cell>
          <cell r="S99">
            <v>46051</v>
          </cell>
          <cell r="T99" t="str">
            <v>Inspection</v>
          </cell>
          <cell r="U99">
            <v>445.13</v>
          </cell>
          <cell r="V99" t="str">
            <v>NO PAYMENT</v>
          </cell>
          <cell r="W99" t="str">
            <v>No need</v>
          </cell>
          <cell r="X99" t="str">
            <v>DAP</v>
          </cell>
          <cell r="Y99" t="str">
            <v>Other</v>
          </cell>
          <cell r="Z99" t="str">
            <v>Transfer RMA</v>
          </cell>
          <cell r="AA99" t="str">
            <v>x</v>
          </cell>
        </row>
        <row r="100">
          <cell r="B100" t="str">
            <v>INV06644</v>
          </cell>
          <cell r="E100">
            <v>916</v>
          </cell>
          <cell r="F100" t="str">
            <v>SRAF0175109</v>
          </cell>
          <cell r="G100" t="str">
            <v>x</v>
          </cell>
          <cell r="H100" t="str">
            <v>HELLA</v>
          </cell>
          <cell r="I100" t="str">
            <v>HCU</v>
          </cell>
          <cell r="J100" t="str">
            <v>DSV</v>
          </cell>
          <cell r="K100" t="str">
            <v>VVMV</v>
          </cell>
          <cell r="L100" t="str">
            <v>HN</v>
          </cell>
          <cell r="M100" t="str">
            <v>DE</v>
          </cell>
          <cell r="N100">
            <v>46065</v>
          </cell>
          <cell r="O100">
            <v>46065</v>
          </cell>
          <cell r="P100">
            <v>46079</v>
          </cell>
          <cell r="Q100">
            <v>14</v>
          </cell>
          <cell r="R100">
            <v>308255917230</v>
          </cell>
          <cell r="S100">
            <v>46065</v>
          </cell>
          <cell r="T100" t="str">
            <v>No inspection</v>
          </cell>
          <cell r="U100">
            <v>134625.60000000001</v>
          </cell>
          <cell r="V100" t="str">
            <v>PAYMENT</v>
          </cell>
          <cell r="W100" t="str">
            <v>OK</v>
          </cell>
          <cell r="X100" t="str">
            <v>FCA</v>
          </cell>
          <cell r="Y100" t="str">
            <v>Lucid</v>
          </cell>
          <cell r="Z100" t="str">
            <v>x</v>
          </cell>
          <cell r="AA100" t="str">
            <v>x</v>
          </cell>
        </row>
        <row r="101">
          <cell r="B101" t="str">
            <v>E01031</v>
          </cell>
          <cell r="E101">
            <v>64.5</v>
          </cell>
          <cell r="F101" t="str">
            <v>888383625163</v>
          </cell>
          <cell r="G101" t="str">
            <v>ok</v>
          </cell>
          <cell r="H101" t="str">
            <v>Unigen MY</v>
          </cell>
          <cell r="I101" t="str">
            <v>IC</v>
          </cell>
          <cell r="J101" t="str">
            <v>FedEx</v>
          </cell>
          <cell r="K101" t="str">
            <v>VVMV</v>
          </cell>
          <cell r="L101" t="str">
            <v>HN</v>
          </cell>
          <cell r="M101" t="str">
            <v>MY</v>
          </cell>
          <cell r="N101">
            <v>46055</v>
          </cell>
          <cell r="O101">
            <v>46055</v>
          </cell>
          <cell r="P101">
            <v>46057</v>
          </cell>
          <cell r="Q101">
            <v>2</v>
          </cell>
          <cell r="R101">
            <v>308208840611</v>
          </cell>
          <cell r="S101">
            <v>46052</v>
          </cell>
          <cell r="T101" t="str">
            <v>Inspection</v>
          </cell>
          <cell r="U101">
            <v>300471.59999999998</v>
          </cell>
          <cell r="V101" t="str">
            <v>NO PAYMENT</v>
          </cell>
          <cell r="W101" t="str">
            <v>No need</v>
          </cell>
          <cell r="X101" t="str">
            <v>FCA</v>
          </cell>
          <cell r="Y101" t="str">
            <v>Transfer</v>
          </cell>
          <cell r="Z101" t="str">
            <v>x</v>
          </cell>
          <cell r="AA101" t="str">
            <v>x</v>
          </cell>
        </row>
        <row r="102">
          <cell r="B102" t="str">
            <v>Sample 725</v>
          </cell>
          <cell r="E102">
            <v>0.2</v>
          </cell>
          <cell r="F102" t="str">
            <v>888299899112</v>
          </cell>
          <cell r="G102" t="str">
            <v>ok</v>
          </cell>
          <cell r="H102" t="str">
            <v>PURE US</v>
          </cell>
          <cell r="I102" t="str">
            <v>LABEL</v>
          </cell>
          <cell r="J102" t="str">
            <v>FedEx</v>
          </cell>
          <cell r="K102" t="str">
            <v>VVMV</v>
          </cell>
          <cell r="L102" t="str">
            <v>HN</v>
          </cell>
          <cell r="M102" t="str">
            <v>US</v>
          </cell>
          <cell r="N102">
            <v>46051</v>
          </cell>
          <cell r="O102">
            <v>46051</v>
          </cell>
          <cell r="P102">
            <v>46055</v>
          </cell>
          <cell r="Q102">
            <v>4</v>
          </cell>
          <cell r="R102" t="str">
            <v>x</v>
          </cell>
          <cell r="S102" t="str">
            <v>x</v>
          </cell>
          <cell r="T102" t="str">
            <v>No inspection</v>
          </cell>
          <cell r="U102">
            <v>55</v>
          </cell>
          <cell r="V102" t="str">
            <v>NO PAYMENT</v>
          </cell>
          <cell r="W102" t="str">
            <v>No need</v>
          </cell>
          <cell r="X102" t="str">
            <v>FCA</v>
          </cell>
          <cell r="Y102" t="str">
            <v>x</v>
          </cell>
          <cell r="Z102" t="str">
            <v>x</v>
          </cell>
          <cell r="AA102" t="str">
            <v>x</v>
          </cell>
        </row>
        <row r="103">
          <cell r="B103" t="str">
            <v>INV06645</v>
          </cell>
          <cell r="E103">
            <v>13.7</v>
          </cell>
          <cell r="F103" t="str">
            <v>SHN90005208</v>
          </cell>
          <cell r="G103" t="str">
            <v>x</v>
          </cell>
          <cell r="H103" t="str">
            <v>Lucid HQ</v>
          </cell>
          <cell r="I103" t="str">
            <v>UCC</v>
          </cell>
          <cell r="J103" t="str">
            <v>DSV</v>
          </cell>
          <cell r="K103" t="str">
            <v>VVMV</v>
          </cell>
          <cell r="L103" t="str">
            <v>HN</v>
          </cell>
          <cell r="M103" t="str">
            <v>US</v>
          </cell>
          <cell r="N103">
            <v>46055</v>
          </cell>
          <cell r="O103">
            <v>46055</v>
          </cell>
          <cell r="P103">
            <v>46058</v>
          </cell>
          <cell r="Q103">
            <v>3</v>
          </cell>
          <cell r="R103">
            <v>308216730420</v>
          </cell>
          <cell r="S103">
            <v>46055</v>
          </cell>
          <cell r="T103" t="str">
            <v>No inspection</v>
          </cell>
          <cell r="U103">
            <v>6908.99</v>
          </cell>
          <cell r="V103" t="str">
            <v>PAYMENT</v>
          </cell>
          <cell r="W103" t="str">
            <v>OK</v>
          </cell>
          <cell r="X103" t="str">
            <v>FCA</v>
          </cell>
          <cell r="Y103" t="str">
            <v>Lucid</v>
          </cell>
          <cell r="Z103" t="str">
            <v>x</v>
          </cell>
          <cell r="AA103" t="str">
            <v>x</v>
          </cell>
        </row>
        <row r="104">
          <cell r="B104" t="str">
            <v>INV06646</v>
          </cell>
          <cell r="E104">
            <v>1864.4</v>
          </cell>
          <cell r="F104" t="str">
            <v>SHN90005206</v>
          </cell>
          <cell r="G104" t="str">
            <v>x</v>
          </cell>
          <cell r="H104" t="str">
            <v>Lucid Arizona</v>
          </cell>
          <cell r="I104" t="str">
            <v>VCU, UCC, BCM, DCM</v>
          </cell>
          <cell r="J104" t="str">
            <v>DSV</v>
          </cell>
          <cell r="K104" t="str">
            <v>VVMV</v>
          </cell>
          <cell r="L104" t="str">
            <v>HN</v>
          </cell>
          <cell r="M104" t="str">
            <v>US</v>
          </cell>
          <cell r="N104">
            <v>46055</v>
          </cell>
          <cell r="O104">
            <v>46055</v>
          </cell>
          <cell r="P104">
            <v>46062</v>
          </cell>
          <cell r="Q104">
            <v>7</v>
          </cell>
          <cell r="R104">
            <v>308216457860</v>
          </cell>
          <cell r="S104">
            <v>46055</v>
          </cell>
          <cell r="T104" t="str">
            <v>No inspection</v>
          </cell>
          <cell r="U104">
            <v>453183</v>
          </cell>
          <cell r="V104" t="str">
            <v>PAYMENT</v>
          </cell>
          <cell r="W104" t="str">
            <v>OK</v>
          </cell>
          <cell r="X104" t="str">
            <v>FCA</v>
          </cell>
          <cell r="Y104" t="str">
            <v>Lucid</v>
          </cell>
          <cell r="Z104" t="str">
            <v>x</v>
          </cell>
          <cell r="AA104" t="str">
            <v>x</v>
          </cell>
        </row>
        <row r="105">
          <cell r="B105" t="str">
            <v>INV06647</v>
          </cell>
          <cell r="E105">
            <v>1377.2</v>
          </cell>
          <cell r="F105" t="str">
            <v>SRAF0175206</v>
          </cell>
          <cell r="G105" t="str">
            <v>x</v>
          </cell>
          <cell r="H105" t="str">
            <v>Lucid Arizona</v>
          </cell>
          <cell r="I105" t="str">
            <v>CABIN, REAR</v>
          </cell>
          <cell r="J105" t="str">
            <v>DSV</v>
          </cell>
          <cell r="K105" t="str">
            <v>VVMV</v>
          </cell>
          <cell r="L105" t="str">
            <v>HN</v>
          </cell>
          <cell r="M105" t="str">
            <v>US</v>
          </cell>
          <cell r="N105">
            <v>46056</v>
          </cell>
          <cell r="O105">
            <v>46056</v>
          </cell>
          <cell r="P105">
            <v>46154</v>
          </cell>
          <cell r="Q105">
            <v>98</v>
          </cell>
          <cell r="R105">
            <v>308219712310</v>
          </cell>
          <cell r="S105">
            <v>46056</v>
          </cell>
          <cell r="T105" t="str">
            <v>No inspection</v>
          </cell>
          <cell r="U105">
            <v>195429.84</v>
          </cell>
          <cell r="V105" t="str">
            <v>PAYMENT</v>
          </cell>
          <cell r="W105" t="str">
            <v>ok</v>
          </cell>
          <cell r="X105" t="str">
            <v>FCA</v>
          </cell>
          <cell r="Y105" t="str">
            <v>Lucid</v>
          </cell>
          <cell r="Z105" t="str">
            <v>x</v>
          </cell>
          <cell r="AA105" t="str">
            <v>x</v>
          </cell>
        </row>
        <row r="106">
          <cell r="B106" t="str">
            <v>INV06648</v>
          </cell>
          <cell r="E106">
            <v>2077.1999999999998</v>
          </cell>
          <cell r="F106" t="str">
            <v>SRAF0175196</v>
          </cell>
          <cell r="G106" t="str">
            <v>x</v>
          </cell>
          <cell r="H106" t="str">
            <v>Lucid Arizona</v>
          </cell>
          <cell r="I106" t="str">
            <v>CCCV2, FRONT, CABIN, REAR</v>
          </cell>
          <cell r="J106" t="str">
            <v>DSV</v>
          </cell>
          <cell r="K106" t="str">
            <v>VVMV</v>
          </cell>
          <cell r="L106" t="str">
            <v>HN</v>
          </cell>
          <cell r="M106" t="str">
            <v>US</v>
          </cell>
          <cell r="N106">
            <v>46055</v>
          </cell>
          <cell r="O106">
            <v>46055</v>
          </cell>
          <cell r="P106" t="str">
            <v>release ngay 25</v>
          </cell>
          <cell r="Q106" t="e">
            <v>#VALUE!</v>
          </cell>
          <cell r="R106">
            <v>308216764350</v>
          </cell>
          <cell r="S106">
            <v>46055</v>
          </cell>
          <cell r="T106" t="str">
            <v>No inspection</v>
          </cell>
          <cell r="U106">
            <v>280534.32</v>
          </cell>
          <cell r="V106" t="str">
            <v>PAYMENT</v>
          </cell>
          <cell r="W106" t="str">
            <v>OK</v>
          </cell>
          <cell r="X106" t="str">
            <v>FCA</v>
          </cell>
          <cell r="Y106" t="str">
            <v>Lucid</v>
          </cell>
          <cell r="Z106" t="str">
            <v>x</v>
          </cell>
          <cell r="AA106" t="str">
            <v>x</v>
          </cell>
        </row>
        <row r="107">
          <cell r="B107" t="str">
            <v>E01032</v>
          </cell>
          <cell r="E107">
            <v>2</v>
          </cell>
          <cell r="F107" t="str">
            <v>888383095060</v>
          </cell>
          <cell r="G107" t="str">
            <v>ok</v>
          </cell>
          <cell r="H107" t="str">
            <v>HQ1</v>
          </cell>
          <cell r="I107" t="str">
            <v>HEAT SINK</v>
          </cell>
          <cell r="J107" t="str">
            <v>FedEx</v>
          </cell>
          <cell r="K107" t="str">
            <v>VVMV</v>
          </cell>
          <cell r="L107" t="str">
            <v>HN</v>
          </cell>
          <cell r="M107" t="str">
            <v>US</v>
          </cell>
          <cell r="N107">
            <v>46055</v>
          </cell>
          <cell r="O107">
            <v>46055</v>
          </cell>
          <cell r="P107">
            <v>46057</v>
          </cell>
          <cell r="Q107">
            <v>2</v>
          </cell>
          <cell r="R107">
            <v>308208526051</v>
          </cell>
          <cell r="S107">
            <v>46055</v>
          </cell>
          <cell r="T107" t="str">
            <v>Inspection</v>
          </cell>
          <cell r="U107">
            <v>142</v>
          </cell>
          <cell r="V107" t="str">
            <v>NO PAYMENT</v>
          </cell>
          <cell r="W107" t="str">
            <v>No need</v>
          </cell>
          <cell r="X107" t="str">
            <v>FCA</v>
          </cell>
          <cell r="Y107" t="str">
            <v>Transfer</v>
          </cell>
          <cell r="Z107" t="str">
            <v>x</v>
          </cell>
          <cell r="AA107" t="str">
            <v>x</v>
          </cell>
        </row>
        <row r="108">
          <cell r="B108" t="str">
            <v>INV06649</v>
          </cell>
          <cell r="E108">
            <v>476.4</v>
          </cell>
          <cell r="F108" t="str">
            <v>SRAF0177811</v>
          </cell>
          <cell r="G108" t="str">
            <v>x</v>
          </cell>
          <cell r="H108" t="str">
            <v>Lucid Arizona</v>
          </cell>
          <cell r="I108" t="str">
            <v>VCU</v>
          </cell>
          <cell r="J108" t="str">
            <v>DSV</v>
          </cell>
          <cell r="K108" t="str">
            <v>VVMV</v>
          </cell>
          <cell r="L108" t="str">
            <v>HN</v>
          </cell>
          <cell r="M108" t="str">
            <v>US</v>
          </cell>
          <cell r="N108">
            <v>46057</v>
          </cell>
          <cell r="O108">
            <v>46057</v>
          </cell>
          <cell r="P108">
            <v>46133</v>
          </cell>
          <cell r="Q108">
            <v>76</v>
          </cell>
          <cell r="R108">
            <v>308222220410</v>
          </cell>
          <cell r="S108">
            <v>46056</v>
          </cell>
          <cell r="T108" t="str">
            <v>No inspection</v>
          </cell>
          <cell r="U108">
            <v>76366.8</v>
          </cell>
          <cell r="V108" t="str">
            <v>PAYMENT</v>
          </cell>
          <cell r="W108" t="str">
            <v>ok</v>
          </cell>
          <cell r="X108" t="str">
            <v>FCA</v>
          </cell>
          <cell r="Y108" t="str">
            <v>Lucid</v>
          </cell>
          <cell r="Z108" t="str">
            <v>x</v>
          </cell>
          <cell r="AA108" t="str">
            <v>x</v>
          </cell>
        </row>
        <row r="109">
          <cell r="B109" t="str">
            <v>INV06650</v>
          </cell>
          <cell r="E109">
            <v>1762</v>
          </cell>
          <cell r="F109" t="str">
            <v>SRAF0177808</v>
          </cell>
          <cell r="G109" t="str">
            <v>x</v>
          </cell>
          <cell r="H109" t="str">
            <v>Lucid Arizona</v>
          </cell>
          <cell r="I109" t="str">
            <v>REAR, DCM, CABIN, UCC</v>
          </cell>
          <cell r="J109" t="str">
            <v>DSV</v>
          </cell>
          <cell r="K109" t="str">
            <v>VVMV</v>
          </cell>
          <cell r="L109" t="str">
            <v>HN</v>
          </cell>
          <cell r="M109" t="str">
            <v>US</v>
          </cell>
          <cell r="N109">
            <v>46057</v>
          </cell>
          <cell r="O109">
            <v>46057</v>
          </cell>
          <cell r="P109">
            <v>46156</v>
          </cell>
          <cell r="Q109">
            <v>99</v>
          </cell>
          <cell r="R109">
            <v>308224853661</v>
          </cell>
          <cell r="S109">
            <v>46057</v>
          </cell>
          <cell r="T109" t="str">
            <v>Inspection</v>
          </cell>
          <cell r="U109">
            <v>359260.32</v>
          </cell>
          <cell r="V109" t="str">
            <v>PAYMENT</v>
          </cell>
          <cell r="W109" t="str">
            <v>ok</v>
          </cell>
          <cell r="X109" t="str">
            <v>FCA</v>
          </cell>
          <cell r="Y109" t="str">
            <v>Lucid</v>
          </cell>
          <cell r="Z109" t="str">
            <v>x</v>
          </cell>
          <cell r="AA109" t="str">
            <v>x</v>
          </cell>
        </row>
        <row r="110">
          <cell r="B110" t="str">
            <v>INV06651</v>
          </cell>
          <cell r="E110">
            <v>896</v>
          </cell>
          <cell r="F110" t="str">
            <v>HBL2602002</v>
          </cell>
          <cell r="G110" t="str">
            <v>x</v>
          </cell>
          <cell r="H110" t="str">
            <v>DAA</v>
          </cell>
          <cell r="I110" t="str">
            <v>USB</v>
          </cell>
          <cell r="J110" t="str">
            <v>PRIME</v>
          </cell>
          <cell r="K110" t="str">
            <v>PRIME</v>
          </cell>
          <cell r="L110" t="str">
            <v>HN</v>
          </cell>
          <cell r="M110" t="str">
            <v>MX</v>
          </cell>
          <cell r="N110">
            <v>46059</v>
          </cell>
          <cell r="O110">
            <v>46059</v>
          </cell>
          <cell r="P110">
            <v>46113</v>
          </cell>
          <cell r="Q110">
            <v>54</v>
          </cell>
          <cell r="R110">
            <v>308232660210</v>
          </cell>
          <cell r="S110">
            <v>46059</v>
          </cell>
          <cell r="T110" t="str">
            <v>No inspection</v>
          </cell>
          <cell r="U110">
            <v>99290.880000000005</v>
          </cell>
          <cell r="V110" t="str">
            <v>PAYMENT</v>
          </cell>
          <cell r="W110" t="str">
            <v>OK</v>
          </cell>
          <cell r="X110" t="str">
            <v>EXW</v>
          </cell>
          <cell r="Y110" t="str">
            <v>Lucid</v>
          </cell>
          <cell r="Z110" t="str">
            <v>x</v>
          </cell>
          <cell r="AA110" t="str">
            <v>x</v>
          </cell>
        </row>
        <row r="111">
          <cell r="B111" t="str">
            <v>Sample 726</v>
          </cell>
          <cell r="E111">
            <v>0.7</v>
          </cell>
          <cell r="F111" t="str">
            <v>888427865511</v>
          </cell>
          <cell r="G111" t="str">
            <v>ok</v>
          </cell>
          <cell r="H111" t="str">
            <v>High Advance</v>
          </cell>
          <cell r="I111" t="str">
            <v>ic</v>
          </cell>
          <cell r="J111" t="str">
            <v>FedEx</v>
          </cell>
          <cell r="K111" t="str">
            <v>x</v>
          </cell>
          <cell r="L111" t="str">
            <v>HN</v>
          </cell>
          <cell r="M111" t="str">
            <v>MY</v>
          </cell>
          <cell r="N111">
            <v>46056</v>
          </cell>
          <cell r="O111">
            <v>46056</v>
          </cell>
          <cell r="P111">
            <v>46058</v>
          </cell>
          <cell r="Q111">
            <v>2</v>
          </cell>
          <cell r="R111" t="str">
            <v>x</v>
          </cell>
          <cell r="S111" t="str">
            <v>x</v>
          </cell>
          <cell r="T111" t="str">
            <v>No inspection</v>
          </cell>
          <cell r="U111">
            <v>20.100000000000001</v>
          </cell>
          <cell r="V111" t="str">
            <v>NO PAYMENT</v>
          </cell>
          <cell r="W111" t="str">
            <v>No need</v>
          </cell>
          <cell r="X111" t="str">
            <v>DAP</v>
          </cell>
          <cell r="Y111" t="str">
            <v>PURE</v>
          </cell>
          <cell r="Z111" t="str">
            <v>Ship QA's sample for evaluation</v>
          </cell>
          <cell r="AA111" t="str">
            <v>x</v>
          </cell>
        </row>
        <row r="112">
          <cell r="B112" t="str">
            <v>Sample 727</v>
          </cell>
          <cell r="E112">
            <v>0.05</v>
          </cell>
          <cell r="F112" t="str">
            <v>888427665295</v>
          </cell>
          <cell r="G112" t="str">
            <v>ok</v>
          </cell>
          <cell r="H112" t="str">
            <v>COMPEQ</v>
          </cell>
          <cell r="I112" t="str">
            <v>Anti-Static (Mảnh vải áo Smock)</v>
          </cell>
          <cell r="J112" t="str">
            <v>FedEx</v>
          </cell>
          <cell r="K112" t="str">
            <v>x</v>
          </cell>
          <cell r="L112" t="str">
            <v>HN</v>
          </cell>
          <cell r="M112" t="str">
            <v>TW</v>
          </cell>
          <cell r="N112">
            <v>46056</v>
          </cell>
          <cell r="O112">
            <v>46056</v>
          </cell>
          <cell r="P112">
            <v>46058</v>
          </cell>
          <cell r="Q112">
            <v>2</v>
          </cell>
          <cell r="R112" t="str">
            <v>x</v>
          </cell>
          <cell r="S112" t="str">
            <v>x</v>
          </cell>
          <cell r="T112" t="str">
            <v>No inspection</v>
          </cell>
          <cell r="U112">
            <v>1</v>
          </cell>
          <cell r="V112" t="str">
            <v>NO PAYMENT</v>
          </cell>
          <cell r="W112" t="str">
            <v>No need</v>
          </cell>
          <cell r="X112" t="str">
            <v>FCA</v>
          </cell>
          <cell r="Y112" t="str">
            <v>x</v>
          </cell>
          <cell r="Z112" t="str">
            <v>x</v>
          </cell>
          <cell r="AA112" t="str">
            <v>x</v>
          </cell>
        </row>
        <row r="113">
          <cell r="B113" t="str">
            <v>INV06652</v>
          </cell>
          <cell r="E113">
            <v>791.2</v>
          </cell>
          <cell r="F113" t="str">
            <v>SRAF0179727</v>
          </cell>
          <cell r="G113" t="str">
            <v>x</v>
          </cell>
          <cell r="H113" t="str">
            <v>Lucid Arizona</v>
          </cell>
          <cell r="I113" t="str">
            <v>BCM, VCU</v>
          </cell>
          <cell r="J113" t="str">
            <v>DSV</v>
          </cell>
          <cell r="K113" t="str">
            <v>VVMV</v>
          </cell>
          <cell r="L113" t="str">
            <v>HN</v>
          </cell>
          <cell r="M113" t="str">
            <v>US</v>
          </cell>
          <cell r="N113">
            <v>46059</v>
          </cell>
          <cell r="O113">
            <v>46059</v>
          </cell>
          <cell r="P113">
            <v>46111</v>
          </cell>
          <cell r="Q113">
            <v>52</v>
          </cell>
          <cell r="R113">
            <v>308230882210</v>
          </cell>
          <cell r="S113">
            <v>46059</v>
          </cell>
          <cell r="T113" t="str">
            <v>No inspection</v>
          </cell>
          <cell r="U113">
            <v>132562.79999999999</v>
          </cell>
          <cell r="V113" t="str">
            <v>PAYMENT</v>
          </cell>
          <cell r="W113" t="str">
            <v>OK</v>
          </cell>
          <cell r="X113" t="str">
            <v>FCA</v>
          </cell>
          <cell r="Y113" t="str">
            <v>Lucid</v>
          </cell>
          <cell r="Z113" t="str">
            <v>x</v>
          </cell>
          <cell r="AA113" t="str">
            <v>x</v>
          </cell>
        </row>
        <row r="114">
          <cell r="B114" t="str">
            <v>INV06653</v>
          </cell>
          <cell r="E114">
            <v>1593.6</v>
          </cell>
          <cell r="F114" t="str">
            <v>SRAF0181245</v>
          </cell>
          <cell r="G114" t="str">
            <v>x</v>
          </cell>
          <cell r="H114" t="str">
            <v>Lucid Arizona</v>
          </cell>
          <cell r="I114" t="str">
            <v>REAR, UCC, DCM</v>
          </cell>
          <cell r="J114" t="str">
            <v>DSV</v>
          </cell>
          <cell r="K114" t="str">
            <v>VVMV</v>
          </cell>
          <cell r="L114" t="str">
            <v>HN</v>
          </cell>
          <cell r="M114" t="str">
            <v>US</v>
          </cell>
          <cell r="N114">
            <v>46059</v>
          </cell>
          <cell r="O114">
            <v>46059</v>
          </cell>
          <cell r="P114">
            <v>46177</v>
          </cell>
          <cell r="Q114">
            <v>118</v>
          </cell>
          <cell r="R114">
            <v>308231572300</v>
          </cell>
          <cell r="S114">
            <v>46059</v>
          </cell>
          <cell r="T114" t="str">
            <v>No inspection</v>
          </cell>
          <cell r="U114">
            <v>393103.32</v>
          </cell>
          <cell r="V114" t="str">
            <v>PAYMENT</v>
          </cell>
          <cell r="W114" t="str">
            <v>OK</v>
          </cell>
          <cell r="X114" t="str">
            <v>FCA</v>
          </cell>
          <cell r="Y114" t="str">
            <v>Lucid</v>
          </cell>
          <cell r="Z114" t="str">
            <v>x</v>
          </cell>
          <cell r="AA114" t="str">
            <v>x</v>
          </cell>
        </row>
        <row r="115">
          <cell r="B115" t="str">
            <v>INV06654</v>
          </cell>
          <cell r="E115">
            <v>929</v>
          </cell>
          <cell r="F115" t="str">
            <v>SRAF0179671</v>
          </cell>
          <cell r="G115" t="str">
            <v>x</v>
          </cell>
          <cell r="H115" t="str">
            <v>Lucid Arizona</v>
          </cell>
          <cell r="I115" t="str">
            <v>CCCV2, CABIN</v>
          </cell>
          <cell r="J115" t="str">
            <v>DSV</v>
          </cell>
          <cell r="K115" t="str">
            <v>VVMV</v>
          </cell>
          <cell r="L115" t="str">
            <v>HN</v>
          </cell>
          <cell r="M115" t="str">
            <v>US</v>
          </cell>
          <cell r="N115">
            <v>46059</v>
          </cell>
          <cell r="O115">
            <v>46059</v>
          </cell>
          <cell r="P115" t="str">
            <v>release ngay 26</v>
          </cell>
          <cell r="Q115" t="e">
            <v>#VALUE!</v>
          </cell>
          <cell r="R115">
            <v>308230677440</v>
          </cell>
          <cell r="S115">
            <v>46059</v>
          </cell>
          <cell r="T115" t="str">
            <v>No inspection</v>
          </cell>
          <cell r="U115">
            <v>366651.36</v>
          </cell>
          <cell r="V115" t="str">
            <v>PAYMENT</v>
          </cell>
          <cell r="W115" t="str">
            <v>OK</v>
          </cell>
          <cell r="X115" t="str">
            <v>FCA</v>
          </cell>
          <cell r="Y115" t="str">
            <v>Lucid</v>
          </cell>
          <cell r="Z115" t="str">
            <v>x</v>
          </cell>
          <cell r="AA115" t="str">
            <v>x</v>
          </cell>
        </row>
        <row r="116">
          <cell r="B116" t="str">
            <v>INV06655</v>
          </cell>
          <cell r="E116">
            <v>656.2</v>
          </cell>
          <cell r="F116" t="str">
            <v>ELHAN01774</v>
          </cell>
          <cell r="G116" t="str">
            <v>x</v>
          </cell>
          <cell r="H116" t="str">
            <v>AIC</v>
          </cell>
          <cell r="I116" t="str">
            <v>PCBA</v>
          </cell>
          <cell r="J116" t="str">
            <v>Evergreen</v>
          </cell>
          <cell r="K116" t="str">
            <v>Evergreen</v>
          </cell>
          <cell r="L116" t="str">
            <v>HN</v>
          </cell>
          <cell r="M116" t="str">
            <v>TW</v>
          </cell>
          <cell r="N116">
            <v>46059</v>
          </cell>
          <cell r="O116">
            <v>46059</v>
          </cell>
          <cell r="P116">
            <v>46063</v>
          </cell>
          <cell r="Q116">
            <v>4</v>
          </cell>
          <cell r="R116">
            <v>308236000130</v>
          </cell>
          <cell r="S116">
            <v>46059</v>
          </cell>
          <cell r="T116" t="str">
            <v>No inspection</v>
          </cell>
          <cell r="U116">
            <v>241377.85</v>
          </cell>
          <cell r="V116" t="str">
            <v>PAYMENT</v>
          </cell>
          <cell r="W116" t="str">
            <v>OK</v>
          </cell>
          <cell r="X116" t="str">
            <v>EXW</v>
          </cell>
          <cell r="Y116" t="str">
            <v>x</v>
          </cell>
          <cell r="Z116" t="str">
            <v>x</v>
          </cell>
          <cell r="AA116" t="str">
            <v>x</v>
          </cell>
        </row>
        <row r="117">
          <cell r="B117" t="str">
            <v>INV06656</v>
          </cell>
          <cell r="E117">
            <v>439.8</v>
          </cell>
          <cell r="F117" t="str">
            <v>888499024060</v>
          </cell>
          <cell r="G117" t="str">
            <v>ok</v>
          </cell>
          <cell r="H117" t="str">
            <v>Jabil MX</v>
          </cell>
          <cell r="I117" t="str">
            <v>HLOB</v>
          </cell>
          <cell r="J117" t="str">
            <v>FedEx</v>
          </cell>
          <cell r="K117" t="str">
            <v>VVMV</v>
          </cell>
          <cell r="L117" t="str">
            <v>HN</v>
          </cell>
          <cell r="M117" t="str">
            <v>MX</v>
          </cell>
          <cell r="N117">
            <v>46058</v>
          </cell>
          <cell r="O117">
            <v>46058</v>
          </cell>
          <cell r="P117">
            <v>46065</v>
          </cell>
          <cell r="Q117">
            <v>7</v>
          </cell>
          <cell r="R117">
            <v>308227950020</v>
          </cell>
          <cell r="S117">
            <v>46058</v>
          </cell>
          <cell r="T117" t="str">
            <v>No inspection</v>
          </cell>
          <cell r="U117">
            <v>2957547.6</v>
          </cell>
          <cell r="V117" t="str">
            <v>PAYMENT</v>
          </cell>
          <cell r="W117" t="str">
            <v>OK</v>
          </cell>
          <cell r="X117" t="str">
            <v>FCA</v>
          </cell>
          <cell r="Y117" t="str">
            <v>PURE</v>
          </cell>
          <cell r="Z117" t="str">
            <v>x</v>
          </cell>
          <cell r="AA117" t="str">
            <v>x</v>
          </cell>
        </row>
        <row r="118">
          <cell r="B118" t="str">
            <v>INV06657</v>
          </cell>
          <cell r="E118">
            <v>439.8</v>
          </cell>
          <cell r="F118" t="str">
            <v>888499191644</v>
          </cell>
          <cell r="G118" t="str">
            <v>ok</v>
          </cell>
          <cell r="H118" t="str">
            <v>Jabil MX</v>
          </cell>
          <cell r="I118" t="str">
            <v>HLOB</v>
          </cell>
          <cell r="J118" t="str">
            <v>FedEx</v>
          </cell>
          <cell r="K118" t="str">
            <v>VVMV</v>
          </cell>
          <cell r="L118" t="str">
            <v>HN</v>
          </cell>
          <cell r="M118" t="str">
            <v>MX</v>
          </cell>
          <cell r="N118">
            <v>46058</v>
          </cell>
          <cell r="O118">
            <v>46058</v>
          </cell>
          <cell r="P118">
            <v>46064</v>
          </cell>
          <cell r="Q118">
            <v>6</v>
          </cell>
          <cell r="R118">
            <v>308228223500</v>
          </cell>
          <cell r="S118">
            <v>46058</v>
          </cell>
          <cell r="T118" t="str">
            <v>No inspection</v>
          </cell>
          <cell r="U118">
            <v>2957547.6</v>
          </cell>
          <cell r="V118" t="str">
            <v>PAYMENT</v>
          </cell>
          <cell r="W118" t="str">
            <v>OK</v>
          </cell>
          <cell r="X118" t="str">
            <v>FCA</v>
          </cell>
          <cell r="Y118" t="str">
            <v>PURE</v>
          </cell>
          <cell r="Z118" t="str">
            <v>x</v>
          </cell>
          <cell r="AA118" t="str">
            <v>x</v>
          </cell>
        </row>
        <row r="119">
          <cell r="B119" t="str">
            <v>E01033</v>
          </cell>
          <cell r="E119">
            <v>0.6</v>
          </cell>
          <cell r="F119" t="str">
            <v>888470554251</v>
          </cell>
          <cell r="G119" t="str">
            <v>ok</v>
          </cell>
          <cell r="H119" t="str">
            <v>Bang Tai HK</v>
          </cell>
          <cell r="I119" t="str">
            <v>IC</v>
          </cell>
          <cell r="J119" t="str">
            <v>FedEx</v>
          </cell>
          <cell r="K119" t="str">
            <v>VVMV</v>
          </cell>
          <cell r="L119" t="str">
            <v>HN</v>
          </cell>
          <cell r="M119" t="str">
            <v>HK</v>
          </cell>
          <cell r="N119">
            <v>46058</v>
          </cell>
          <cell r="O119">
            <v>46058</v>
          </cell>
          <cell r="P119">
            <v>46060</v>
          </cell>
          <cell r="Q119">
            <v>2</v>
          </cell>
          <cell r="R119">
            <v>308227132051</v>
          </cell>
          <cell r="S119">
            <v>46058</v>
          </cell>
          <cell r="T119" t="str">
            <v>Inspection</v>
          </cell>
          <cell r="U119">
            <v>207.5</v>
          </cell>
          <cell r="V119" t="str">
            <v>NO PAYMENT</v>
          </cell>
          <cell r="W119" t="str">
            <v>No need</v>
          </cell>
          <cell r="X119" t="str">
            <v>FCA</v>
          </cell>
          <cell r="Y119" t="str">
            <v>PURE</v>
          </cell>
          <cell r="Z119" t="str">
            <v>x</v>
          </cell>
          <cell r="AA119" t="str">
            <v>Plan mail: Customer paid customs fee</v>
          </cell>
        </row>
        <row r="120">
          <cell r="B120" t="str">
            <v>INV06658</v>
          </cell>
          <cell r="E120">
            <v>1419.6</v>
          </cell>
          <cell r="F120" t="str">
            <v>SHN90005241</v>
          </cell>
          <cell r="G120" t="str">
            <v>x</v>
          </cell>
          <cell r="H120" t="str">
            <v>Lucid Arizona</v>
          </cell>
          <cell r="I120" t="str">
            <v>VCU, REAR, BCM</v>
          </cell>
          <cell r="J120" t="str">
            <v>DSV</v>
          </cell>
          <cell r="K120" t="str">
            <v>VVMV</v>
          </cell>
          <cell r="L120" t="str">
            <v>HN</v>
          </cell>
          <cell r="M120" t="str">
            <v>US</v>
          </cell>
          <cell r="N120">
            <v>46062</v>
          </cell>
          <cell r="O120">
            <v>46062</v>
          </cell>
          <cell r="P120">
            <v>46135</v>
          </cell>
          <cell r="Q120">
            <v>73</v>
          </cell>
          <cell r="R120">
            <v>308242113930</v>
          </cell>
          <cell r="S120">
            <v>46062</v>
          </cell>
          <cell r="T120" t="str">
            <v>No inspection</v>
          </cell>
          <cell r="U120">
            <v>232270.8</v>
          </cell>
          <cell r="V120" t="str">
            <v>PAYMENT</v>
          </cell>
          <cell r="W120" t="str">
            <v>OK</v>
          </cell>
          <cell r="X120" t="str">
            <v>FCA</v>
          </cell>
          <cell r="Y120" t="str">
            <v>Lucid</v>
          </cell>
          <cell r="Z120" t="str">
            <v>x</v>
          </cell>
          <cell r="AA120" t="str">
            <v>x</v>
          </cell>
        </row>
        <row r="121">
          <cell r="B121" t="str">
            <v>INV06659</v>
          </cell>
          <cell r="E121">
            <v>1077.5999999999999</v>
          </cell>
          <cell r="F121" t="str">
            <v>SRAF0184803</v>
          </cell>
          <cell r="G121" t="str">
            <v>x</v>
          </cell>
          <cell r="H121" t="str">
            <v>Lucid Arizona</v>
          </cell>
          <cell r="I121" t="str">
            <v>DCM, UCC, REAR</v>
          </cell>
          <cell r="J121" t="str">
            <v>DSV</v>
          </cell>
          <cell r="K121" t="str">
            <v>VVMV</v>
          </cell>
          <cell r="L121" t="str">
            <v>HN</v>
          </cell>
          <cell r="M121" t="str">
            <v>US</v>
          </cell>
          <cell r="N121">
            <v>46063</v>
          </cell>
          <cell r="O121">
            <v>46063</v>
          </cell>
          <cell r="P121">
            <v>46183</v>
          </cell>
          <cell r="Q121">
            <v>120</v>
          </cell>
          <cell r="R121">
            <v>308246020630</v>
          </cell>
          <cell r="S121">
            <v>46063</v>
          </cell>
          <cell r="T121" t="str">
            <v>No inspection</v>
          </cell>
          <cell r="U121">
            <v>259519.44</v>
          </cell>
          <cell r="V121" t="str">
            <v>PAYMENT</v>
          </cell>
          <cell r="W121" t="str">
            <v>ok</v>
          </cell>
          <cell r="X121" t="str">
            <v>FCA</v>
          </cell>
          <cell r="Y121" t="str">
            <v>Lucid</v>
          </cell>
          <cell r="Z121" t="str">
            <v>x</v>
          </cell>
          <cell r="AA121" t="str">
            <v>x</v>
          </cell>
        </row>
        <row r="122">
          <cell r="B122" t="str">
            <v>INV06660</v>
          </cell>
          <cell r="E122">
            <v>908.3</v>
          </cell>
          <cell r="F122" t="str">
            <v>SRAF0184882</v>
          </cell>
          <cell r="G122" t="str">
            <v>x</v>
          </cell>
          <cell r="H122" t="str">
            <v>Lucid Arizona</v>
          </cell>
          <cell r="I122" t="str">
            <v>ICC, CABIN, REAR</v>
          </cell>
          <cell r="J122" t="str">
            <v>DSV</v>
          </cell>
          <cell r="K122" t="str">
            <v>VVMV</v>
          </cell>
          <cell r="L122" t="str">
            <v>HN</v>
          </cell>
          <cell r="M122" t="str">
            <v>US</v>
          </cell>
          <cell r="N122">
            <v>46063</v>
          </cell>
          <cell r="O122">
            <v>46063</v>
          </cell>
          <cell r="P122" t="str">
            <v>release ngay 26</v>
          </cell>
          <cell r="Q122" t="e">
            <v>#VALUE!</v>
          </cell>
          <cell r="R122">
            <v>308245978040</v>
          </cell>
          <cell r="S122">
            <v>46063</v>
          </cell>
          <cell r="T122" t="str">
            <v>No inspection</v>
          </cell>
          <cell r="U122">
            <v>208621.68</v>
          </cell>
          <cell r="V122" t="str">
            <v>PAYMENT</v>
          </cell>
          <cell r="W122" t="str">
            <v>ok</v>
          </cell>
          <cell r="X122" t="str">
            <v>FCA</v>
          </cell>
          <cell r="Y122" t="str">
            <v>Lucid</v>
          </cell>
          <cell r="Z122" t="str">
            <v>x</v>
          </cell>
          <cell r="AA122" t="str">
            <v>x</v>
          </cell>
        </row>
        <row r="123">
          <cell r="B123" t="str">
            <v>INV06661</v>
          </cell>
          <cell r="E123">
            <v>578.79999999999995</v>
          </cell>
          <cell r="F123" t="str">
            <v>HAN26000430</v>
          </cell>
          <cell r="G123" t="str">
            <v>x</v>
          </cell>
          <cell r="H123" t="str">
            <v>FCZ</v>
          </cell>
          <cell r="I123" t="str">
            <v>HOPPER, GROVER, ICER</v>
          </cell>
          <cell r="J123" t="str">
            <v>Schenker</v>
          </cell>
          <cell r="K123" t="str">
            <v>Schenker</v>
          </cell>
          <cell r="L123" t="str">
            <v>HN</v>
          </cell>
          <cell r="M123" t="str">
            <v>CZ</v>
          </cell>
          <cell r="N123">
            <v>46059</v>
          </cell>
          <cell r="O123">
            <v>46059</v>
          </cell>
          <cell r="P123">
            <v>46063</v>
          </cell>
          <cell r="Q123">
            <v>4</v>
          </cell>
          <cell r="R123">
            <v>308234083050</v>
          </cell>
          <cell r="S123">
            <v>46059</v>
          </cell>
          <cell r="T123" t="str">
            <v>No inspection</v>
          </cell>
          <cell r="U123">
            <v>2998062.29</v>
          </cell>
          <cell r="V123" t="str">
            <v>PAYMENT</v>
          </cell>
          <cell r="W123" t="str">
            <v>OK</v>
          </cell>
          <cell r="X123" t="str">
            <v>EXW</v>
          </cell>
          <cell r="Y123" t="str">
            <v>x</v>
          </cell>
          <cell r="Z123" t="str">
            <v>x</v>
          </cell>
          <cell r="AA123" t="str">
            <v>x</v>
          </cell>
        </row>
        <row r="124">
          <cell r="B124" t="str">
            <v>INV06662</v>
          </cell>
          <cell r="E124">
            <v>1092.7</v>
          </cell>
          <cell r="F124" t="str">
            <v>45T0448574</v>
          </cell>
          <cell r="G124" t="str">
            <v>x</v>
          </cell>
          <cell r="H124" t="str">
            <v>FTX</v>
          </cell>
          <cell r="I124" t="str">
            <v>HOPPER, GROVER</v>
          </cell>
          <cell r="J124" t="str">
            <v>Expeditors</v>
          </cell>
          <cell r="K124" t="str">
            <v>Expeditors</v>
          </cell>
          <cell r="L124" t="str">
            <v>HN</v>
          </cell>
          <cell r="M124" t="str">
            <v>US</v>
          </cell>
          <cell r="N124">
            <v>46059</v>
          </cell>
          <cell r="O124">
            <v>46059</v>
          </cell>
          <cell r="P124">
            <v>46064</v>
          </cell>
          <cell r="Q124">
            <v>5</v>
          </cell>
          <cell r="R124">
            <v>308234392710</v>
          </cell>
          <cell r="S124">
            <v>46059</v>
          </cell>
          <cell r="T124" t="str">
            <v>No inspection</v>
          </cell>
          <cell r="U124">
            <v>3355333.56</v>
          </cell>
          <cell r="V124" t="str">
            <v>PAYMENT</v>
          </cell>
          <cell r="W124" t="str">
            <v>ok</v>
          </cell>
          <cell r="X124" t="str">
            <v>EXW</v>
          </cell>
          <cell r="Y124" t="str">
            <v>x</v>
          </cell>
          <cell r="Z124" t="str">
            <v>x</v>
          </cell>
          <cell r="AA124" t="str">
            <v>x</v>
          </cell>
        </row>
        <row r="125">
          <cell r="B125" t="str">
            <v>E01034</v>
          </cell>
          <cell r="E125">
            <v>1</v>
          </cell>
          <cell r="F125" t="str">
            <v>888540760296</v>
          </cell>
          <cell r="G125" t="str">
            <v>ok</v>
          </cell>
          <cell r="H125" t="str">
            <v>Unigen MY</v>
          </cell>
          <cell r="I125" t="str">
            <v>Programmer</v>
          </cell>
          <cell r="J125" t="str">
            <v>FedEx</v>
          </cell>
          <cell r="K125" t="str">
            <v>VVMV</v>
          </cell>
          <cell r="L125" t="str">
            <v>HN</v>
          </cell>
          <cell r="M125" t="str">
            <v>MY</v>
          </cell>
          <cell r="N125">
            <v>46059</v>
          </cell>
          <cell r="O125">
            <v>46059</v>
          </cell>
          <cell r="P125">
            <v>46062</v>
          </cell>
          <cell r="Q125">
            <v>3</v>
          </cell>
          <cell r="R125" t="str">
            <v>x</v>
          </cell>
          <cell r="S125" t="str">
            <v>x</v>
          </cell>
          <cell r="T125" t="str">
            <v>x</v>
          </cell>
          <cell r="U125">
            <v>35</v>
          </cell>
          <cell r="V125" t="str">
            <v>NO PAYMENT</v>
          </cell>
          <cell r="W125" t="str">
            <v>No need</v>
          </cell>
          <cell r="X125" t="str">
            <v>FCA</v>
          </cell>
          <cell r="Y125" t="str">
            <v>x</v>
          </cell>
          <cell r="Z125" t="str">
            <v>x</v>
          </cell>
          <cell r="AA125" t="str">
            <v>x</v>
          </cell>
        </row>
        <row r="126">
          <cell r="B126" t="str">
            <v>E01035</v>
          </cell>
          <cell r="E126">
            <v>5.2</v>
          </cell>
          <cell r="F126" t="str">
            <v>888569337686</v>
          </cell>
          <cell r="G126" t="str">
            <v>ok</v>
          </cell>
          <cell r="H126" t="str">
            <v>Unigen MY</v>
          </cell>
          <cell r="I126" t="str">
            <v>PCBA</v>
          </cell>
          <cell r="J126" t="str">
            <v>FedEx</v>
          </cell>
          <cell r="K126" t="str">
            <v>VVMV</v>
          </cell>
          <cell r="L126" t="str">
            <v>HN</v>
          </cell>
          <cell r="M126" t="str">
            <v>MY</v>
          </cell>
          <cell r="N126">
            <v>46062</v>
          </cell>
          <cell r="O126">
            <v>46062</v>
          </cell>
          <cell r="P126">
            <v>46063</v>
          </cell>
          <cell r="Q126">
            <v>1</v>
          </cell>
          <cell r="R126">
            <v>308236552651</v>
          </cell>
          <cell r="S126">
            <v>46060</v>
          </cell>
          <cell r="T126" t="str">
            <v>Inspection</v>
          </cell>
          <cell r="U126">
            <v>10919.18</v>
          </cell>
          <cell r="V126" t="str">
            <v>NO PAYMENT</v>
          </cell>
          <cell r="W126" t="str">
            <v>No need</v>
          </cell>
          <cell r="X126" t="str">
            <v>FCA</v>
          </cell>
          <cell r="Y126" t="str">
            <v>Transfer</v>
          </cell>
          <cell r="Z126" t="str">
            <v>x</v>
          </cell>
          <cell r="AA126" t="str">
            <v>x</v>
          </cell>
        </row>
        <row r="127">
          <cell r="B127" t="str">
            <v>Sample 728</v>
          </cell>
          <cell r="E127">
            <v>6.2</v>
          </cell>
          <cell r="F127" t="str">
            <v>888542184690</v>
          </cell>
          <cell r="G127" t="str">
            <v>ok</v>
          </cell>
          <cell r="H127" t="str">
            <v>HQ1</v>
          </cell>
          <cell r="I127" t="str">
            <v>Clothes</v>
          </cell>
          <cell r="J127" t="str">
            <v>FedEx</v>
          </cell>
          <cell r="K127" t="str">
            <v>X</v>
          </cell>
          <cell r="L127" t="str">
            <v>HN</v>
          </cell>
          <cell r="M127" t="str">
            <v>US</v>
          </cell>
          <cell r="N127">
            <v>46060</v>
          </cell>
          <cell r="O127">
            <v>46060</v>
          </cell>
          <cell r="P127">
            <v>46062</v>
          </cell>
          <cell r="Q127">
            <v>2</v>
          </cell>
          <cell r="R127" t="str">
            <v>x</v>
          </cell>
          <cell r="S127" t="str">
            <v>x</v>
          </cell>
          <cell r="T127" t="str">
            <v>x</v>
          </cell>
          <cell r="U127">
            <v>30.2</v>
          </cell>
          <cell r="V127" t="str">
            <v>NO PAYMENT</v>
          </cell>
          <cell r="W127" t="str">
            <v>No need</v>
          </cell>
          <cell r="X127" t="str">
            <v>DAP</v>
          </cell>
          <cell r="Y127" t="str">
            <v>Other</v>
          </cell>
          <cell r="Z127" t="str">
            <v>Ship clothes to Mr Chad</v>
          </cell>
          <cell r="AA127" t="str">
            <v>x</v>
          </cell>
        </row>
        <row r="128">
          <cell r="B128" t="str">
            <v>INV06663</v>
          </cell>
          <cell r="E128">
            <v>1.7</v>
          </cell>
          <cell r="F128" t="str">
            <v>888569420580</v>
          </cell>
          <cell r="G128" t="str">
            <v>ok</v>
          </cell>
          <cell r="H128" t="str">
            <v>AIC</v>
          </cell>
          <cell r="I128" t="str">
            <v>PCBA</v>
          </cell>
          <cell r="J128" t="str">
            <v>FedEx</v>
          </cell>
          <cell r="K128" t="str">
            <v>VVMV</v>
          </cell>
          <cell r="L128" t="str">
            <v>HN</v>
          </cell>
          <cell r="M128" t="str">
            <v>TW</v>
          </cell>
          <cell r="N128">
            <v>46062</v>
          </cell>
          <cell r="O128">
            <v>46062</v>
          </cell>
          <cell r="P128">
            <v>46066</v>
          </cell>
          <cell r="Q128">
            <v>4</v>
          </cell>
          <cell r="R128">
            <v>308236621511</v>
          </cell>
          <cell r="S128">
            <v>46060</v>
          </cell>
          <cell r="T128" t="str">
            <v>Inspection</v>
          </cell>
          <cell r="U128">
            <v>431.51</v>
          </cell>
          <cell r="V128" t="str">
            <v>NO PAYMENT</v>
          </cell>
          <cell r="W128" t="str">
            <v>No need</v>
          </cell>
          <cell r="X128" t="str">
            <v>FCA</v>
          </cell>
          <cell r="Y128" t="str">
            <v>AIC</v>
          </cell>
          <cell r="Z128" t="str">
            <v>x</v>
          </cell>
          <cell r="AA128" t="str">
            <v>x</v>
          </cell>
        </row>
        <row r="129">
          <cell r="B129" t="str">
            <v>E01036</v>
          </cell>
          <cell r="E129">
            <v>12.7</v>
          </cell>
          <cell r="F129" t="str">
            <v>888682712065</v>
          </cell>
          <cell r="G129" t="str">
            <v>ok</v>
          </cell>
          <cell r="H129" t="str">
            <v>Unigen MY</v>
          </cell>
          <cell r="I129" t="str">
            <v>IC, Cap</v>
          </cell>
          <cell r="J129" t="str">
            <v>FedEx</v>
          </cell>
          <cell r="K129" t="str">
            <v>VVMV</v>
          </cell>
          <cell r="L129" t="str">
            <v>HN</v>
          </cell>
          <cell r="M129" t="str">
            <v>MY</v>
          </cell>
          <cell r="N129">
            <v>46065</v>
          </cell>
          <cell r="O129">
            <v>46065</v>
          </cell>
          <cell r="P129">
            <v>46072</v>
          </cell>
          <cell r="Q129">
            <v>7</v>
          </cell>
          <cell r="R129">
            <v>308252308951</v>
          </cell>
          <cell r="S129">
            <v>46064</v>
          </cell>
          <cell r="T129" t="str">
            <v>Inspection</v>
          </cell>
          <cell r="U129">
            <v>57885.760000000002</v>
          </cell>
          <cell r="V129" t="str">
            <v>NO PAYMENT</v>
          </cell>
          <cell r="W129" t="str">
            <v>No need</v>
          </cell>
          <cell r="X129" t="str">
            <v>FCA</v>
          </cell>
          <cell r="Y129" t="str">
            <v>Transfer</v>
          </cell>
          <cell r="Z129" t="str">
            <v>x</v>
          </cell>
          <cell r="AA129" t="str">
            <v>x</v>
          </cell>
        </row>
        <row r="130">
          <cell r="B130" t="str">
            <v>INV06664</v>
          </cell>
          <cell r="E130">
            <v>1422</v>
          </cell>
          <cell r="F130" t="str">
            <v>SRAF0184856</v>
          </cell>
          <cell r="G130" t="str">
            <v>x</v>
          </cell>
          <cell r="H130" t="str">
            <v>Lucid Arizona</v>
          </cell>
          <cell r="I130" t="str">
            <v>VCU, REAR, BCM, DCM</v>
          </cell>
          <cell r="J130" t="str">
            <v>DSV</v>
          </cell>
          <cell r="K130" t="str">
            <v>VVMV</v>
          </cell>
          <cell r="L130" t="str">
            <v>HN</v>
          </cell>
          <cell r="M130" t="str">
            <v>US</v>
          </cell>
          <cell r="N130">
            <v>46064</v>
          </cell>
          <cell r="O130">
            <v>46064</v>
          </cell>
          <cell r="P130">
            <v>46121</v>
          </cell>
          <cell r="Q130">
            <v>57</v>
          </cell>
          <cell r="R130">
            <v>308251570230</v>
          </cell>
          <cell r="S130">
            <v>46064</v>
          </cell>
          <cell r="T130" t="str">
            <v>No inspection</v>
          </cell>
          <cell r="U130">
            <v>231441.36</v>
          </cell>
          <cell r="V130" t="str">
            <v>PAYMENT</v>
          </cell>
          <cell r="W130" t="str">
            <v>ok</v>
          </cell>
          <cell r="X130" t="str">
            <v>FCA</v>
          </cell>
          <cell r="Y130" t="str">
            <v>Lucid</v>
          </cell>
          <cell r="Z130" t="str">
            <v>x</v>
          </cell>
          <cell r="AA130" t="str">
            <v>x</v>
          </cell>
        </row>
        <row r="131">
          <cell r="B131" t="str">
            <v>INV06665</v>
          </cell>
          <cell r="E131">
            <v>981.2</v>
          </cell>
          <cell r="F131" t="str">
            <v>SRAF0184864</v>
          </cell>
          <cell r="G131" t="str">
            <v>x</v>
          </cell>
          <cell r="H131" t="str">
            <v>Lucid Arizona</v>
          </cell>
          <cell r="I131" t="str">
            <v>UCC, REAR</v>
          </cell>
          <cell r="J131" t="str">
            <v>DSV</v>
          </cell>
          <cell r="K131" t="str">
            <v>VVMV</v>
          </cell>
          <cell r="L131" t="str">
            <v>HN</v>
          </cell>
          <cell r="M131" t="str">
            <v>US</v>
          </cell>
          <cell r="N131">
            <v>46064</v>
          </cell>
          <cell r="O131">
            <v>46064</v>
          </cell>
          <cell r="P131">
            <v>46177</v>
          </cell>
          <cell r="Q131">
            <v>113</v>
          </cell>
          <cell r="R131">
            <v>308251618310</v>
          </cell>
          <cell r="S131">
            <v>46064</v>
          </cell>
          <cell r="T131" t="str">
            <v>No inspection</v>
          </cell>
          <cell r="U131">
            <v>234067.44</v>
          </cell>
          <cell r="V131" t="str">
            <v>PAYMENT</v>
          </cell>
          <cell r="W131" t="str">
            <v>ok</v>
          </cell>
          <cell r="X131" t="str">
            <v>FCA</v>
          </cell>
          <cell r="Y131" t="str">
            <v>Lucid</v>
          </cell>
          <cell r="Z131" t="str">
            <v>x</v>
          </cell>
          <cell r="AA131" t="str">
            <v>x</v>
          </cell>
        </row>
        <row r="132">
          <cell r="B132" t="str">
            <v>Sample 729</v>
          </cell>
          <cell r="E132">
            <v>0.7</v>
          </cell>
          <cell r="F132" t="str">
            <v>888595795779</v>
          </cell>
          <cell r="G132" t="str">
            <v>ok</v>
          </cell>
          <cell r="H132" t="str">
            <v>ASE</v>
          </cell>
          <cell r="I132" t="str">
            <v>IC</v>
          </cell>
          <cell r="J132" t="str">
            <v>FedEx</v>
          </cell>
          <cell r="K132" t="str">
            <v>X</v>
          </cell>
          <cell r="L132" t="str">
            <v>HN</v>
          </cell>
          <cell r="M132" t="str">
            <v>TW</v>
          </cell>
          <cell r="N132">
            <v>46062</v>
          </cell>
          <cell r="O132">
            <v>46062</v>
          </cell>
          <cell r="P132">
            <v>46065</v>
          </cell>
          <cell r="Q132">
            <v>3</v>
          </cell>
          <cell r="R132" t="str">
            <v>x</v>
          </cell>
          <cell r="S132" t="str">
            <v>x</v>
          </cell>
          <cell r="T132" t="str">
            <v>x</v>
          </cell>
          <cell r="U132">
            <v>35.75</v>
          </cell>
          <cell r="V132" t="str">
            <v>NO PAYMENT</v>
          </cell>
          <cell r="W132" t="str">
            <v>No need</v>
          </cell>
          <cell r="X132" t="str">
            <v>DAP</v>
          </cell>
          <cell r="Y132" t="str">
            <v>PURE</v>
          </cell>
          <cell r="Z132" t="str">
            <v>Ship QA's sample for evaluation</v>
          </cell>
          <cell r="AA132" t="str">
            <v>x</v>
          </cell>
        </row>
        <row r="133">
          <cell r="B133" t="str">
            <v>E01037</v>
          </cell>
          <cell r="E133">
            <v>677.5</v>
          </cell>
          <cell r="F133" t="str">
            <v>BK2602177</v>
          </cell>
          <cell r="G133" t="str">
            <v>x</v>
          </cell>
          <cell r="H133" t="str">
            <v>Unigen MY</v>
          </cell>
          <cell r="I133" t="str">
            <v>Chamber</v>
          </cell>
          <cell r="J133" t="str">
            <v>Voltrans</v>
          </cell>
          <cell r="K133" t="str">
            <v>Voltrans</v>
          </cell>
          <cell r="L133" t="str">
            <v>HN</v>
          </cell>
          <cell r="M133" t="str">
            <v>MY</v>
          </cell>
          <cell r="N133">
            <v>46062</v>
          </cell>
          <cell r="O133">
            <v>46062</v>
          </cell>
          <cell r="P133">
            <v>46084</v>
          </cell>
          <cell r="Q133">
            <v>22</v>
          </cell>
          <cell r="R133">
            <v>308251055251</v>
          </cell>
          <cell r="S133">
            <v>46064</v>
          </cell>
          <cell r="T133" t="str">
            <v>Inspection</v>
          </cell>
          <cell r="U133">
            <v>3698</v>
          </cell>
          <cell r="V133" t="str">
            <v>PAYMENT</v>
          </cell>
          <cell r="W133" t="str">
            <v>OK</v>
          </cell>
          <cell r="X133" t="str">
            <v>EXW</v>
          </cell>
          <cell r="Y133" t="str">
            <v>x</v>
          </cell>
          <cell r="Z133" t="str">
            <v>x</v>
          </cell>
          <cell r="AA133" t="str">
            <v>x</v>
          </cell>
        </row>
        <row r="134">
          <cell r="B134" t="str">
            <v>E01038</v>
          </cell>
          <cell r="G134" t="str">
            <v>x</v>
          </cell>
          <cell r="H134" t="str">
            <v>Lucid/Fushan?</v>
          </cell>
          <cell r="J134">
            <v>0</v>
          </cell>
          <cell r="K134" t="str">
            <v>xuất</v>
          </cell>
          <cell r="L134" t="str">
            <v>HN</v>
          </cell>
          <cell r="N134">
            <v>0</v>
          </cell>
          <cell r="O134">
            <v>0</v>
          </cell>
          <cell r="P134" t="str">
            <v>In Transit</v>
          </cell>
          <cell r="Q134" t="e">
            <v>#VALUE!</v>
          </cell>
          <cell r="W134" t="str">
            <v>No need</v>
          </cell>
        </row>
        <row r="135">
          <cell r="B135" t="str">
            <v>INV06666</v>
          </cell>
          <cell r="E135">
            <v>1420.8</v>
          </cell>
          <cell r="F135" t="str">
            <v>SRAF0185439</v>
          </cell>
          <cell r="G135" t="str">
            <v>x</v>
          </cell>
          <cell r="H135" t="str">
            <v>Lucid Arizona</v>
          </cell>
          <cell r="I135" t="str">
            <v>VCU, REAR, BCM, DCM</v>
          </cell>
          <cell r="J135" t="str">
            <v>DSV</v>
          </cell>
          <cell r="K135" t="str">
            <v>VVMV</v>
          </cell>
          <cell r="L135" t="str">
            <v>HN</v>
          </cell>
          <cell r="M135" t="str">
            <v>US</v>
          </cell>
          <cell r="N135">
            <v>46066</v>
          </cell>
          <cell r="O135">
            <v>46066</v>
          </cell>
          <cell r="P135">
            <v>46136</v>
          </cell>
          <cell r="Q135">
            <v>70</v>
          </cell>
          <cell r="R135">
            <v>308259180740</v>
          </cell>
          <cell r="S135">
            <v>46066</v>
          </cell>
          <cell r="T135" t="str">
            <v>No inspection</v>
          </cell>
          <cell r="U135">
            <v>229562.16</v>
          </cell>
          <cell r="V135" t="str">
            <v>PAYMENT</v>
          </cell>
          <cell r="W135" t="str">
            <v>OK</v>
          </cell>
          <cell r="X135" t="str">
            <v>FCA</v>
          </cell>
          <cell r="Y135" t="str">
            <v>Lucid</v>
          </cell>
          <cell r="Z135" t="str">
            <v>x</v>
          </cell>
          <cell r="AA135" t="str">
            <v>x</v>
          </cell>
        </row>
        <row r="136">
          <cell r="B136" t="str">
            <v>INV06667</v>
          </cell>
          <cell r="E136">
            <v>788.8</v>
          </cell>
          <cell r="F136" t="str">
            <v>SRAF0187247</v>
          </cell>
          <cell r="G136" t="str">
            <v>x</v>
          </cell>
          <cell r="H136" t="str">
            <v>Lucid Arizona</v>
          </cell>
          <cell r="I136" t="str">
            <v>UCC, REAR</v>
          </cell>
          <cell r="J136" t="str">
            <v>DSV</v>
          </cell>
          <cell r="K136" t="str">
            <v>VVMV</v>
          </cell>
          <cell r="L136" t="str">
            <v>HN</v>
          </cell>
          <cell r="M136" t="str">
            <v>US</v>
          </cell>
          <cell r="N136">
            <v>46066</v>
          </cell>
          <cell r="O136">
            <v>46066</v>
          </cell>
          <cell r="P136">
            <v>46178</v>
          </cell>
          <cell r="Q136">
            <v>112</v>
          </cell>
          <cell r="R136">
            <v>308259217360</v>
          </cell>
          <cell r="S136">
            <v>46066</v>
          </cell>
          <cell r="T136" t="str">
            <v>No inspection</v>
          </cell>
          <cell r="U136">
            <v>211316.88</v>
          </cell>
          <cell r="V136" t="str">
            <v>PAYMENT</v>
          </cell>
          <cell r="W136" t="str">
            <v>OK</v>
          </cell>
          <cell r="X136" t="str">
            <v>FCA</v>
          </cell>
          <cell r="Y136" t="str">
            <v>Lucid</v>
          </cell>
          <cell r="Z136" t="str">
            <v>x</v>
          </cell>
          <cell r="AA136" t="str">
            <v>x</v>
          </cell>
        </row>
        <row r="137">
          <cell r="B137" t="str">
            <v>E01039</v>
          </cell>
          <cell r="E137">
            <v>0.5</v>
          </cell>
          <cell r="F137" t="str">
            <v>888636723898</v>
          </cell>
          <cell r="G137" t="str">
            <v>ok</v>
          </cell>
          <cell r="H137" t="str">
            <v>High Advance</v>
          </cell>
          <cell r="I137" t="str">
            <v>IC</v>
          </cell>
          <cell r="J137" t="str">
            <v>FedEx</v>
          </cell>
          <cell r="K137" t="str">
            <v>x</v>
          </cell>
          <cell r="L137" t="str">
            <v>HN</v>
          </cell>
          <cell r="M137" t="str">
            <v>MY</v>
          </cell>
          <cell r="N137">
            <v>46063</v>
          </cell>
          <cell r="O137">
            <v>46063</v>
          </cell>
          <cell r="P137">
            <v>46065</v>
          </cell>
          <cell r="Q137">
            <v>2</v>
          </cell>
          <cell r="R137" t="str">
            <v>x</v>
          </cell>
          <cell r="S137" t="str">
            <v>x</v>
          </cell>
          <cell r="T137" t="str">
            <v>x</v>
          </cell>
          <cell r="U137">
            <v>30.9</v>
          </cell>
          <cell r="V137" t="str">
            <v>NO PAYMENT</v>
          </cell>
          <cell r="W137" t="str">
            <v>No need</v>
          </cell>
          <cell r="X137" t="str">
            <v>DAP</v>
          </cell>
          <cell r="Y137" t="str">
            <v>PURE</v>
          </cell>
          <cell r="Z137" t="str">
            <v>Ship QA's sample for evaluation</v>
          </cell>
          <cell r="AA137" t="str">
            <v xml:space="preserve">Xuất Sample, Nhưng custom + Freight QA Levi follow charge customer PURE </v>
          </cell>
        </row>
        <row r="138">
          <cell r="B138" t="str">
            <v>INV06668</v>
          </cell>
          <cell r="E138">
            <v>856</v>
          </cell>
          <cell r="F138" t="str">
            <v>SRAF0187251</v>
          </cell>
          <cell r="G138" t="str">
            <v>x</v>
          </cell>
          <cell r="H138" t="str">
            <v>Lucid Arizona</v>
          </cell>
          <cell r="I138" t="str">
            <v>ICC, CCCV2</v>
          </cell>
          <cell r="J138" t="str">
            <v>DSV</v>
          </cell>
          <cell r="K138" t="str">
            <v>VVMV</v>
          </cell>
          <cell r="L138" t="str">
            <v>HN</v>
          </cell>
          <cell r="M138" t="str">
            <v>US</v>
          </cell>
          <cell r="N138">
            <v>46066</v>
          </cell>
          <cell r="O138">
            <v>46066</v>
          </cell>
          <cell r="P138">
            <v>46178</v>
          </cell>
          <cell r="Q138">
            <v>112</v>
          </cell>
          <cell r="R138">
            <v>308259317720</v>
          </cell>
          <cell r="S138">
            <v>46066</v>
          </cell>
          <cell r="T138" t="str">
            <v>No inspection</v>
          </cell>
          <cell r="U138">
            <v>397504.8</v>
          </cell>
          <cell r="V138" t="str">
            <v>PAYMENT</v>
          </cell>
          <cell r="W138" t="str">
            <v>OK</v>
          </cell>
          <cell r="X138" t="str">
            <v>FCA</v>
          </cell>
          <cell r="Y138" t="str">
            <v>Lucid</v>
          </cell>
          <cell r="Z138" t="str">
            <v>x</v>
          </cell>
          <cell r="AA138" t="str">
            <v>x</v>
          </cell>
        </row>
        <row r="139">
          <cell r="B139" t="str">
            <v>Sample 730</v>
          </cell>
          <cell r="E139">
            <v>0.24</v>
          </cell>
          <cell r="F139" t="str">
            <v>888674567208</v>
          </cell>
          <cell r="G139" t="str">
            <v>ok</v>
          </cell>
          <cell r="H139" t="str">
            <v xml:space="preserve">Analog Devices </v>
          </cell>
          <cell r="I139" t="str">
            <v>IC</v>
          </cell>
          <cell r="J139" t="str">
            <v>FedEx</v>
          </cell>
          <cell r="K139" t="str">
            <v>x</v>
          </cell>
          <cell r="L139" t="str">
            <v>HN</v>
          </cell>
          <cell r="M139" t="str">
            <v>PH</v>
          </cell>
          <cell r="N139">
            <v>46064</v>
          </cell>
          <cell r="O139">
            <v>46064</v>
          </cell>
          <cell r="P139">
            <v>46067</v>
          </cell>
          <cell r="Q139">
            <v>3</v>
          </cell>
          <cell r="R139" t="str">
            <v>x</v>
          </cell>
          <cell r="S139" t="str">
            <v>x</v>
          </cell>
          <cell r="T139" t="str">
            <v>x</v>
          </cell>
          <cell r="U139">
            <v>32.1</v>
          </cell>
          <cell r="V139" t="str">
            <v>NO PAYMENT</v>
          </cell>
          <cell r="W139" t="str">
            <v>No need</v>
          </cell>
          <cell r="X139" t="str">
            <v>DAP</v>
          </cell>
          <cell r="Y139" t="str">
            <v>Lucid</v>
          </cell>
          <cell r="Z139" t="str">
            <v>Ship QA's sample for evaluation</v>
          </cell>
          <cell r="AA139" t="str">
            <v>x</v>
          </cell>
        </row>
        <row r="140">
          <cell r="B140" t="str">
            <v>INV06669</v>
          </cell>
          <cell r="E140">
            <v>266.39999999999998</v>
          </cell>
          <cell r="F140" t="str">
            <v>45T0450077</v>
          </cell>
          <cell r="G140" t="str">
            <v>x</v>
          </cell>
          <cell r="H140" t="str">
            <v>AVNET US</v>
          </cell>
          <cell r="I140" t="str">
            <v>DISPLAY MODULE</v>
          </cell>
          <cell r="J140" t="str">
            <v>Expeditors</v>
          </cell>
          <cell r="K140" t="str">
            <v>Expeditors</v>
          </cell>
          <cell r="L140" t="str">
            <v>HN</v>
          </cell>
          <cell r="M140" t="str">
            <v>US</v>
          </cell>
          <cell r="N140">
            <v>46065</v>
          </cell>
          <cell r="O140">
            <v>46065</v>
          </cell>
          <cell r="P140">
            <v>46076</v>
          </cell>
          <cell r="Q140">
            <v>11</v>
          </cell>
          <cell r="R140">
            <v>308255703840</v>
          </cell>
          <cell r="S140">
            <v>46065</v>
          </cell>
          <cell r="T140" t="str">
            <v>No inspection</v>
          </cell>
          <cell r="U140">
            <v>28677.54</v>
          </cell>
          <cell r="V140" t="str">
            <v>PAYMENT</v>
          </cell>
          <cell r="W140" t="str">
            <v>OK</v>
          </cell>
          <cell r="X140" t="str">
            <v>EXW</v>
          </cell>
          <cell r="Y140" t="str">
            <v>x</v>
          </cell>
          <cell r="Z140" t="str">
            <v>x</v>
          </cell>
          <cell r="AA140" t="str">
            <v>x</v>
          </cell>
        </row>
        <row r="141">
          <cell r="B141" t="str">
            <v>INV06670</v>
          </cell>
          <cell r="E141">
            <v>439.8</v>
          </cell>
          <cell r="F141" t="str">
            <v>888673925950</v>
          </cell>
          <cell r="G141" t="str">
            <v>ok</v>
          </cell>
          <cell r="H141" t="str">
            <v>Jabil MX</v>
          </cell>
          <cell r="I141" t="str">
            <v>HLOB</v>
          </cell>
          <cell r="J141" t="str">
            <v>FedEx</v>
          </cell>
          <cell r="K141" t="str">
            <v>VVMV</v>
          </cell>
          <cell r="L141" t="str">
            <v>HN</v>
          </cell>
          <cell r="M141" t="str">
            <v>MX</v>
          </cell>
          <cell r="N141">
            <v>46064</v>
          </cell>
          <cell r="O141">
            <v>46064</v>
          </cell>
          <cell r="P141">
            <v>46069</v>
          </cell>
          <cell r="Q141">
            <v>5</v>
          </cell>
          <cell r="R141">
            <v>308251447510</v>
          </cell>
          <cell r="S141">
            <v>46064</v>
          </cell>
          <cell r="T141" t="str">
            <v>No inspection</v>
          </cell>
          <cell r="U141">
            <v>2957547.6</v>
          </cell>
          <cell r="V141" t="str">
            <v>PAYMENT</v>
          </cell>
          <cell r="W141" t="str">
            <v>ok</v>
          </cell>
          <cell r="X141" t="str">
            <v>FCA</v>
          </cell>
          <cell r="Y141" t="str">
            <v>PURE</v>
          </cell>
          <cell r="Z141" t="str">
            <v>x</v>
          </cell>
          <cell r="AA141" t="str">
            <v>x</v>
          </cell>
        </row>
        <row r="142">
          <cell r="B142" t="str">
            <v>INV06671</v>
          </cell>
          <cell r="E142">
            <v>439.8</v>
          </cell>
          <cell r="F142" t="str">
            <v>888675917726</v>
          </cell>
          <cell r="G142" t="str">
            <v>ok</v>
          </cell>
          <cell r="H142" t="str">
            <v>Jabil MX</v>
          </cell>
          <cell r="I142" t="str">
            <v>HLOB</v>
          </cell>
          <cell r="J142" t="str">
            <v>FedEx</v>
          </cell>
          <cell r="K142" t="str">
            <v>VVMV</v>
          </cell>
          <cell r="L142" t="str">
            <v>HN</v>
          </cell>
          <cell r="M142" t="str">
            <v>MX</v>
          </cell>
          <cell r="N142">
            <v>46064</v>
          </cell>
          <cell r="O142">
            <v>46064</v>
          </cell>
          <cell r="P142">
            <v>46069</v>
          </cell>
          <cell r="Q142">
            <v>5</v>
          </cell>
          <cell r="R142">
            <v>308252198130</v>
          </cell>
          <cell r="S142">
            <v>46064</v>
          </cell>
          <cell r="T142" t="str">
            <v>No inspection</v>
          </cell>
          <cell r="U142">
            <v>2957593.5</v>
          </cell>
          <cell r="V142" t="str">
            <v>PAYMENT</v>
          </cell>
          <cell r="W142" t="str">
            <v>ok</v>
          </cell>
          <cell r="X142" t="str">
            <v>FCA</v>
          </cell>
          <cell r="Y142" t="str">
            <v>PURE</v>
          </cell>
          <cell r="Z142" t="str">
            <v>x</v>
          </cell>
          <cell r="AA142" t="str">
            <v>x</v>
          </cell>
        </row>
        <row r="143">
          <cell r="B143" t="str">
            <v>E01040</v>
          </cell>
          <cell r="E143">
            <v>2.2999999999999998</v>
          </cell>
          <cell r="F143" t="str">
            <v>888710487941</v>
          </cell>
          <cell r="H143" t="str">
            <v>HQ1</v>
          </cell>
          <cell r="I143" t="str">
            <v>IC, Heatsink, Fab, Thermal, Res</v>
          </cell>
          <cell r="J143" t="str">
            <v>FedEx</v>
          </cell>
          <cell r="K143" t="str">
            <v>VVMV</v>
          </cell>
          <cell r="L143" t="str">
            <v>HN</v>
          </cell>
          <cell r="M143" t="str">
            <v>US</v>
          </cell>
          <cell r="N143">
            <v>46065</v>
          </cell>
          <cell r="O143">
            <v>46065</v>
          </cell>
          <cell r="P143">
            <v>46076</v>
          </cell>
          <cell r="Q143">
            <v>11</v>
          </cell>
          <cell r="R143">
            <v>308254627461</v>
          </cell>
          <cell r="S143">
            <v>46065</v>
          </cell>
          <cell r="T143" t="str">
            <v>Inspection</v>
          </cell>
          <cell r="U143">
            <v>1592.9</v>
          </cell>
          <cell r="V143" t="str">
            <v>NO PAYMENT</v>
          </cell>
          <cell r="W143" t="str">
            <v>No need</v>
          </cell>
          <cell r="X143" t="str">
            <v>DAP</v>
          </cell>
          <cell r="Y143" t="str">
            <v>Transfer</v>
          </cell>
          <cell r="Z143" t="str">
            <v>Transfer material</v>
          </cell>
          <cell r="AA143" t="str">
            <v>x</v>
          </cell>
        </row>
        <row r="144">
          <cell r="B144" t="str">
            <v>INV06672</v>
          </cell>
          <cell r="E144">
            <v>16.600000000000001</v>
          </cell>
          <cell r="F144" t="str">
            <v>45T0450017</v>
          </cell>
          <cell r="G144" t="str">
            <v>x</v>
          </cell>
          <cell r="H144" t="str">
            <v>UPS</v>
          </cell>
          <cell r="I144" t="str">
            <v>Fru</v>
          </cell>
          <cell r="J144" t="str">
            <v>Expeditors</v>
          </cell>
          <cell r="K144" t="str">
            <v>Expeditors</v>
          </cell>
          <cell r="L144" t="str">
            <v>HN</v>
          </cell>
          <cell r="M144" t="str">
            <v>US</v>
          </cell>
          <cell r="N144">
            <v>46065</v>
          </cell>
          <cell r="O144">
            <v>46065</v>
          </cell>
          <cell r="P144">
            <v>46072</v>
          </cell>
          <cell r="Q144">
            <v>7</v>
          </cell>
          <cell r="R144">
            <v>308255240220</v>
          </cell>
          <cell r="S144">
            <v>46065</v>
          </cell>
          <cell r="T144" t="str">
            <v>No inspection</v>
          </cell>
          <cell r="U144">
            <v>17864.400000000001</v>
          </cell>
          <cell r="V144" t="str">
            <v>PAYMENT</v>
          </cell>
          <cell r="W144" t="str">
            <v>OK</v>
          </cell>
          <cell r="X144" t="str">
            <v>EXW</v>
          </cell>
          <cell r="Y144" t="str">
            <v>x</v>
          </cell>
          <cell r="Z144" t="str">
            <v>x</v>
          </cell>
          <cell r="AA144" t="str">
            <v>x</v>
          </cell>
        </row>
        <row r="145">
          <cell r="B145" t="str">
            <v>Sample 731</v>
          </cell>
          <cell r="E145">
            <v>0.2</v>
          </cell>
          <cell r="F145" t="str">
            <v>888678277022</v>
          </cell>
          <cell r="G145" t="str">
            <v>ok</v>
          </cell>
          <cell r="H145" t="str">
            <v>MinAik</v>
          </cell>
          <cell r="J145" t="str">
            <v>FedEx</v>
          </cell>
          <cell r="K145" t="str">
            <v>x</v>
          </cell>
          <cell r="L145" t="str">
            <v>HN</v>
          </cell>
          <cell r="M145" t="str">
            <v>TW</v>
          </cell>
          <cell r="N145">
            <v>46064</v>
          </cell>
          <cell r="O145">
            <v>46064</v>
          </cell>
          <cell r="P145">
            <v>46066</v>
          </cell>
          <cell r="Q145">
            <v>2</v>
          </cell>
          <cell r="R145" t="str">
            <v>x</v>
          </cell>
          <cell r="S145" t="str">
            <v>x</v>
          </cell>
          <cell r="T145" t="str">
            <v>x</v>
          </cell>
          <cell r="V145" t="str">
            <v>NO PAYMENT</v>
          </cell>
          <cell r="W145" t="str">
            <v>No need</v>
          </cell>
          <cell r="X145" t="str">
            <v>FCA</v>
          </cell>
          <cell r="Y145" t="str">
            <v>x</v>
          </cell>
          <cell r="Z145" t="str">
            <v>x</v>
          </cell>
          <cell r="AA145" t="str">
            <v>x</v>
          </cell>
        </row>
        <row r="146">
          <cell r="B146" t="str">
            <v>INV06673</v>
          </cell>
          <cell r="E146">
            <v>811.6</v>
          </cell>
          <cell r="F146" t="str">
            <v>45T0450432</v>
          </cell>
          <cell r="G146" t="str">
            <v>x</v>
          </cell>
          <cell r="H146" t="str">
            <v>FTX</v>
          </cell>
          <cell r="I146" t="str">
            <v>Grover, Hopper, ICER</v>
          </cell>
          <cell r="J146" t="str">
            <v>Expeditors</v>
          </cell>
          <cell r="K146" t="str">
            <v>Expeditors</v>
          </cell>
          <cell r="L146" t="str">
            <v>HN</v>
          </cell>
          <cell r="M146" t="str">
            <v>US</v>
          </cell>
          <cell r="N146">
            <v>46065</v>
          </cell>
          <cell r="O146">
            <v>46065</v>
          </cell>
          <cell r="P146">
            <v>46077</v>
          </cell>
          <cell r="Q146">
            <v>12</v>
          </cell>
          <cell r="R146">
            <v>308256568930</v>
          </cell>
          <cell r="S146">
            <v>46065</v>
          </cell>
          <cell r="T146" t="str">
            <v>No inspection</v>
          </cell>
          <cell r="U146">
            <v>5383808.4199999999</v>
          </cell>
          <cell r="V146" t="str">
            <v>PAYMENT</v>
          </cell>
          <cell r="W146" t="str">
            <v>OK</v>
          </cell>
          <cell r="X146" t="str">
            <v>EXW</v>
          </cell>
          <cell r="Y146" t="str">
            <v>x</v>
          </cell>
          <cell r="Z146" t="str">
            <v>x</v>
          </cell>
          <cell r="AA146" t="str">
            <v>x</v>
          </cell>
        </row>
        <row r="147">
          <cell r="B147" t="str">
            <v>INV06674</v>
          </cell>
          <cell r="E147">
            <v>157.30000000000001</v>
          </cell>
          <cell r="F147" t="str">
            <v>888716017508</v>
          </cell>
          <cell r="H147" t="str">
            <v>Lucid HQ</v>
          </cell>
          <cell r="I147" t="str">
            <v>Rear, UCC, Front, DCM, USB</v>
          </cell>
          <cell r="J147" t="str">
            <v>FedEx</v>
          </cell>
          <cell r="K147" t="str">
            <v>VVMV</v>
          </cell>
          <cell r="L147" t="str">
            <v>HN</v>
          </cell>
          <cell r="M147" t="str">
            <v>US</v>
          </cell>
          <cell r="N147">
            <v>46065</v>
          </cell>
          <cell r="O147">
            <v>46065</v>
          </cell>
          <cell r="P147">
            <v>46079</v>
          </cell>
          <cell r="Q147">
            <v>14</v>
          </cell>
          <cell r="R147">
            <v>308257017300</v>
          </cell>
          <cell r="S147">
            <v>46065</v>
          </cell>
          <cell r="T147" t="str">
            <v>No inspection</v>
          </cell>
          <cell r="U147">
            <v>39252.99</v>
          </cell>
          <cell r="V147" t="str">
            <v>PAYMENT</v>
          </cell>
          <cell r="W147" t="str">
            <v>OK</v>
          </cell>
          <cell r="X147" t="str">
            <v>DAP</v>
          </cell>
          <cell r="Y147" t="str">
            <v>Lucid</v>
          </cell>
          <cell r="Z147" t="str">
            <v>Ship FG</v>
          </cell>
          <cell r="AA147" t="str">
            <v>Charge Lucid $3000</v>
          </cell>
        </row>
        <row r="148">
          <cell r="B148" t="str">
            <v>INV06675</v>
          </cell>
          <cell r="E148">
            <v>729</v>
          </cell>
          <cell r="F148" t="str">
            <v>SHN90005258</v>
          </cell>
          <cell r="G148" t="str">
            <v>x</v>
          </cell>
          <cell r="H148" t="str">
            <v>Lucid Arizona</v>
          </cell>
          <cell r="I148" t="str">
            <v>VCU, REAR, DCM</v>
          </cell>
          <cell r="J148" t="str">
            <v>DSV</v>
          </cell>
          <cell r="K148" t="str">
            <v>VVMV</v>
          </cell>
          <cell r="L148" t="str">
            <v>HN</v>
          </cell>
          <cell r="M148" t="str">
            <v>US</v>
          </cell>
          <cell r="N148">
            <v>46076</v>
          </cell>
          <cell r="O148">
            <v>46076</v>
          </cell>
          <cell r="P148">
            <v>46136</v>
          </cell>
          <cell r="Q148">
            <v>60</v>
          </cell>
          <cell r="R148">
            <v>308263018620</v>
          </cell>
          <cell r="S148">
            <v>46076</v>
          </cell>
          <cell r="T148" t="str">
            <v>No inspection</v>
          </cell>
          <cell r="U148">
            <v>124392.96000000001</v>
          </cell>
          <cell r="V148" t="str">
            <v>PAYMENT</v>
          </cell>
          <cell r="W148" t="str">
            <v>OK</v>
          </cell>
          <cell r="X148" t="str">
            <v>FCA</v>
          </cell>
          <cell r="Y148" t="str">
            <v>Lucid</v>
          </cell>
          <cell r="Z148" t="str">
            <v>x</v>
          </cell>
          <cell r="AA148" t="str">
            <v>x</v>
          </cell>
        </row>
        <row r="149">
          <cell r="B149" t="str">
            <v>INV06676</v>
          </cell>
          <cell r="E149">
            <v>408</v>
          </cell>
          <cell r="F149" t="str">
            <v>SRAF0189065</v>
          </cell>
          <cell r="G149" t="str">
            <v>x</v>
          </cell>
          <cell r="H149" t="str">
            <v>Lucid Arizona LCL</v>
          </cell>
          <cell r="I149" t="str">
            <v>ICC, CCCV2</v>
          </cell>
          <cell r="J149" t="str">
            <v>DSV</v>
          </cell>
          <cell r="K149" t="str">
            <v>VVMV</v>
          </cell>
          <cell r="L149" t="str">
            <v>HN</v>
          </cell>
          <cell r="M149" t="str">
            <v>US</v>
          </cell>
          <cell r="N149">
            <v>46076</v>
          </cell>
          <cell r="O149">
            <v>46076</v>
          </cell>
          <cell r="P149">
            <v>46183</v>
          </cell>
          <cell r="Q149">
            <v>107</v>
          </cell>
          <cell r="R149">
            <v>308263249730</v>
          </cell>
          <cell r="S149">
            <v>46076</v>
          </cell>
          <cell r="T149" t="str">
            <v>No inspection</v>
          </cell>
          <cell r="U149">
            <v>198752.4</v>
          </cell>
          <cell r="V149" t="str">
            <v>PAYMENT</v>
          </cell>
          <cell r="W149" t="str">
            <v>OK</v>
          </cell>
          <cell r="X149" t="str">
            <v>FCA</v>
          </cell>
          <cell r="Y149" t="str">
            <v>Lucid</v>
          </cell>
          <cell r="Z149" t="str">
            <v>x</v>
          </cell>
          <cell r="AA149" t="str">
            <v>x</v>
          </cell>
        </row>
        <row r="150">
          <cell r="B150" t="str">
            <v>E01041</v>
          </cell>
          <cell r="E150">
            <v>1067</v>
          </cell>
          <cell r="F150" t="str">
            <v>45T0451387</v>
          </cell>
          <cell r="G150" t="str">
            <v>x</v>
          </cell>
          <cell r="H150" t="str">
            <v>Unigen HK</v>
          </cell>
          <cell r="I150" t="str">
            <v>IC</v>
          </cell>
          <cell r="J150" t="str">
            <v>Expeditors</v>
          </cell>
          <cell r="K150" t="str">
            <v>VVMV</v>
          </cell>
          <cell r="L150" t="str">
            <v>HN</v>
          </cell>
          <cell r="M150" t="str">
            <v>HK</v>
          </cell>
          <cell r="N150">
            <v>46065</v>
          </cell>
          <cell r="O150">
            <v>46065</v>
          </cell>
          <cell r="P150">
            <v>46073</v>
          </cell>
          <cell r="Q150">
            <v>8</v>
          </cell>
          <cell r="R150">
            <v>308257535301</v>
          </cell>
          <cell r="S150">
            <v>46065</v>
          </cell>
          <cell r="T150" t="str">
            <v>Inspection</v>
          </cell>
          <cell r="U150">
            <v>949849.77</v>
          </cell>
          <cell r="V150" t="str">
            <v>NO PAYMENT</v>
          </cell>
          <cell r="W150" t="str">
            <v>No need</v>
          </cell>
          <cell r="X150" t="str">
            <v>DAP</v>
          </cell>
          <cell r="Y150" t="str">
            <v>OEM</v>
          </cell>
          <cell r="Z150" t="str">
            <v>x</v>
          </cell>
          <cell r="AA150" t="str">
            <v>Transfer material</v>
          </cell>
        </row>
        <row r="151">
          <cell r="B151" t="str">
            <v>INV06677</v>
          </cell>
          <cell r="E151">
            <v>876</v>
          </cell>
          <cell r="F151" t="str">
            <v>SRAF0201467</v>
          </cell>
          <cell r="G151" t="str">
            <v>x</v>
          </cell>
          <cell r="H151" t="str">
            <v>HELLA</v>
          </cell>
          <cell r="I151" t="str">
            <v>HCU</v>
          </cell>
          <cell r="J151" t="str">
            <v>DSV</v>
          </cell>
          <cell r="K151" t="str">
            <v>VVMV</v>
          </cell>
          <cell r="L151" t="str">
            <v>HN</v>
          </cell>
          <cell r="M151" t="str">
            <v>DE</v>
          </cell>
          <cell r="N151">
            <v>46088</v>
          </cell>
          <cell r="O151">
            <v>46088</v>
          </cell>
          <cell r="P151">
            <v>46099</v>
          </cell>
          <cell r="Q151">
            <v>11</v>
          </cell>
          <cell r="R151">
            <v>308301897760</v>
          </cell>
          <cell r="S151">
            <v>46087</v>
          </cell>
          <cell r="T151" t="str">
            <v>No inspection</v>
          </cell>
          <cell r="U151">
            <v>134625.60000000001</v>
          </cell>
          <cell r="V151" t="str">
            <v>PAYMENT</v>
          </cell>
          <cell r="W151" t="str">
            <v>OK</v>
          </cell>
          <cell r="X151" t="str">
            <v>FCA</v>
          </cell>
          <cell r="Y151" t="str">
            <v>Lucid</v>
          </cell>
          <cell r="Z151" t="str">
            <v>x</v>
          </cell>
          <cell r="AA151" t="str">
            <v>x</v>
          </cell>
        </row>
        <row r="152">
          <cell r="B152" t="str">
            <v>INV06678</v>
          </cell>
          <cell r="E152">
            <v>501.4</v>
          </cell>
          <cell r="F152" t="str">
            <v>HAN26000499</v>
          </cell>
          <cell r="G152" t="str">
            <v>x</v>
          </cell>
          <cell r="H152" t="str">
            <v>FCZ</v>
          </cell>
          <cell r="I152" t="str">
            <v>HOPPER, GROVER</v>
          </cell>
          <cell r="J152" t="str">
            <v>Schenker</v>
          </cell>
          <cell r="K152" t="str">
            <v>Schenker</v>
          </cell>
          <cell r="L152" t="str">
            <v>HN</v>
          </cell>
          <cell r="M152" t="str">
            <v>CZ</v>
          </cell>
          <cell r="N152">
            <v>46066</v>
          </cell>
          <cell r="O152">
            <v>46066</v>
          </cell>
          <cell r="P152">
            <v>46073</v>
          </cell>
          <cell r="Q152">
            <v>7</v>
          </cell>
          <cell r="R152">
            <v>308259604720</v>
          </cell>
          <cell r="S152">
            <v>46066</v>
          </cell>
          <cell r="T152" t="str">
            <v>No inspection</v>
          </cell>
          <cell r="U152">
            <v>2262060.6</v>
          </cell>
          <cell r="V152" t="str">
            <v>PAYMENT</v>
          </cell>
          <cell r="W152" t="str">
            <v>ok</v>
          </cell>
          <cell r="X152" t="str">
            <v>EXW</v>
          </cell>
          <cell r="Y152" t="str">
            <v>x</v>
          </cell>
          <cell r="Z152" t="str">
            <v>x</v>
          </cell>
          <cell r="AA152" t="str">
            <v>x</v>
          </cell>
        </row>
        <row r="153">
          <cell r="B153" t="str">
            <v>INV06679</v>
          </cell>
          <cell r="E153">
            <v>82.5</v>
          </cell>
          <cell r="F153" t="str">
            <v>888979141814</v>
          </cell>
          <cell r="G153" t="str">
            <v>ok</v>
          </cell>
          <cell r="H153" t="str">
            <v>Jabil MX</v>
          </cell>
          <cell r="I153" t="str">
            <v>HLOB</v>
          </cell>
          <cell r="J153" t="str">
            <v>FedEx</v>
          </cell>
          <cell r="K153" t="str">
            <v>VVMV</v>
          </cell>
          <cell r="L153" t="str">
            <v>HN</v>
          </cell>
          <cell r="M153" t="str">
            <v>MX</v>
          </cell>
          <cell r="N153">
            <v>46076</v>
          </cell>
          <cell r="O153">
            <v>46076</v>
          </cell>
          <cell r="P153">
            <v>46078</v>
          </cell>
          <cell r="Q153">
            <v>2</v>
          </cell>
          <cell r="R153">
            <v>308264110950</v>
          </cell>
          <cell r="S153">
            <v>46076</v>
          </cell>
          <cell r="T153" t="str">
            <v>No inspection</v>
          </cell>
          <cell r="U153">
            <v>632011.5</v>
          </cell>
          <cell r="V153" t="str">
            <v>PAYMENT</v>
          </cell>
          <cell r="W153" t="str">
            <v>OK</v>
          </cell>
          <cell r="X153" t="str">
            <v>FCA</v>
          </cell>
          <cell r="Y153" t="str">
            <v>PURE</v>
          </cell>
          <cell r="Z153" t="str">
            <v>x</v>
          </cell>
          <cell r="AA153" t="str">
            <v>x</v>
          </cell>
        </row>
        <row r="154">
          <cell r="B154" t="str">
            <v>INV06680</v>
          </cell>
          <cell r="E154">
            <v>287.60000000000002</v>
          </cell>
          <cell r="F154" t="str">
            <v>888979456848</v>
          </cell>
          <cell r="G154" t="str">
            <v>ok</v>
          </cell>
          <cell r="H154" t="str">
            <v>Jabil MX</v>
          </cell>
          <cell r="I154" t="str">
            <v>HLOB</v>
          </cell>
          <cell r="J154" t="str">
            <v>FedEx</v>
          </cell>
          <cell r="K154" t="str">
            <v>VVMV</v>
          </cell>
          <cell r="L154" t="str">
            <v>HN</v>
          </cell>
          <cell r="M154" t="str">
            <v>MX</v>
          </cell>
          <cell r="N154">
            <v>46076</v>
          </cell>
          <cell r="O154">
            <v>46076</v>
          </cell>
          <cell r="P154">
            <v>46080</v>
          </cell>
          <cell r="Q154">
            <v>4</v>
          </cell>
          <cell r="R154">
            <v>308264139320</v>
          </cell>
          <cell r="S154">
            <v>46076</v>
          </cell>
          <cell r="T154" t="str">
            <v>No inspection</v>
          </cell>
          <cell r="U154">
            <v>2641808.0699999998</v>
          </cell>
          <cell r="V154" t="str">
            <v>PAYMENT</v>
          </cell>
          <cell r="W154" t="str">
            <v>OK</v>
          </cell>
          <cell r="X154" t="str">
            <v>FCA</v>
          </cell>
          <cell r="Y154" t="str">
            <v>PURE</v>
          </cell>
          <cell r="Z154" t="str">
            <v>x</v>
          </cell>
          <cell r="AA154" t="str">
            <v>x</v>
          </cell>
        </row>
        <row r="155">
          <cell r="B155" t="str">
            <v>Sample 732</v>
          </cell>
          <cell r="E155">
            <v>0.5</v>
          </cell>
          <cell r="F155" t="str">
            <v>888739635684</v>
          </cell>
          <cell r="G155" t="str">
            <v>ok</v>
          </cell>
          <cell r="H155" t="str">
            <v>Lucid HQ</v>
          </cell>
          <cell r="I155" t="str">
            <v>Paint sample - Plastic</v>
          </cell>
          <cell r="J155" t="str">
            <v>FedEx</v>
          </cell>
          <cell r="K155" t="str">
            <v>x</v>
          </cell>
          <cell r="L155" t="str">
            <v>HN</v>
          </cell>
          <cell r="M155" t="str">
            <v>US</v>
          </cell>
          <cell r="N155">
            <v>46066</v>
          </cell>
          <cell r="O155">
            <v>46066</v>
          </cell>
          <cell r="P155">
            <v>46090</v>
          </cell>
          <cell r="Q155">
            <v>24</v>
          </cell>
          <cell r="R155" t="str">
            <v>x</v>
          </cell>
          <cell r="S155" t="str">
            <v>x</v>
          </cell>
          <cell r="T155" t="str">
            <v>x</v>
          </cell>
          <cell r="U155">
            <v>50</v>
          </cell>
          <cell r="V155" t="str">
            <v>NO PAYMENT</v>
          </cell>
          <cell r="W155" t="str">
            <v>No need</v>
          </cell>
          <cell r="X155" t="str">
            <v>FCA</v>
          </cell>
          <cell r="Y155" t="str">
            <v>x</v>
          </cell>
          <cell r="Z155" t="str">
            <v>x</v>
          </cell>
          <cell r="AA155" t="str">
            <v>x</v>
          </cell>
        </row>
        <row r="156">
          <cell r="B156" t="str">
            <v>INV06681</v>
          </cell>
          <cell r="E156">
            <v>1</v>
          </cell>
          <cell r="F156" t="str">
            <v>888747309676</v>
          </cell>
          <cell r="H156" t="str">
            <v>Lucid HQ</v>
          </cell>
          <cell r="I156" t="str">
            <v>PCBA</v>
          </cell>
          <cell r="J156" t="str">
            <v>FedEx</v>
          </cell>
          <cell r="K156" t="str">
            <v>VVMV</v>
          </cell>
          <cell r="L156" t="str">
            <v>HN</v>
          </cell>
          <cell r="M156" t="str">
            <v>US</v>
          </cell>
          <cell r="N156">
            <v>46066</v>
          </cell>
          <cell r="O156">
            <v>46066</v>
          </cell>
          <cell r="P156">
            <v>46071</v>
          </cell>
          <cell r="Q156">
            <v>5</v>
          </cell>
          <cell r="R156">
            <v>308259786500</v>
          </cell>
          <cell r="S156">
            <v>46066</v>
          </cell>
          <cell r="T156" t="str">
            <v>No inspection</v>
          </cell>
          <cell r="U156">
            <v>360.6</v>
          </cell>
          <cell r="V156" t="str">
            <v>NO PAYMENT</v>
          </cell>
          <cell r="W156" t="str">
            <v>No need</v>
          </cell>
          <cell r="X156" t="str">
            <v>DAP</v>
          </cell>
          <cell r="Y156" t="str">
            <v>Lucid</v>
          </cell>
          <cell r="Z156" t="str">
            <v>Ship FG</v>
          </cell>
          <cell r="AA156" t="str">
            <v>Oscar charge Lucid $300</v>
          </cell>
        </row>
        <row r="157">
          <cell r="B157" t="str">
            <v>E01042</v>
          </cell>
          <cell r="E157">
            <v>3.1</v>
          </cell>
          <cell r="F157" t="str">
            <v>888976115564</v>
          </cell>
          <cell r="G157" t="str">
            <v>ok</v>
          </cell>
          <cell r="H157" t="str">
            <v>HQ1</v>
          </cell>
          <cell r="I157" t="str">
            <v>ic, heatsink</v>
          </cell>
          <cell r="J157" t="str">
            <v>FedEx</v>
          </cell>
          <cell r="K157" t="str">
            <v>VVMV</v>
          </cell>
          <cell r="L157" t="str">
            <v>HN</v>
          </cell>
          <cell r="M157" t="str">
            <v>US</v>
          </cell>
          <cell r="N157">
            <v>46076</v>
          </cell>
          <cell r="O157">
            <v>46076</v>
          </cell>
          <cell r="P157">
            <v>46078</v>
          </cell>
          <cell r="Q157">
            <v>2</v>
          </cell>
          <cell r="R157">
            <v>308262946151</v>
          </cell>
          <cell r="S157">
            <v>46076</v>
          </cell>
          <cell r="T157" t="str">
            <v>Inspection</v>
          </cell>
          <cell r="U157">
            <v>2237.4</v>
          </cell>
          <cell r="V157" t="str">
            <v>NO PAYMENT</v>
          </cell>
          <cell r="W157" t="str">
            <v>No need</v>
          </cell>
          <cell r="X157" t="str">
            <v>FCA</v>
          </cell>
          <cell r="Y157" t="str">
            <v>Transfer</v>
          </cell>
          <cell r="Z157" t="str">
            <v>Ship material</v>
          </cell>
          <cell r="AA157" t="str">
            <v>Lily mail :customs fee charge Pure</v>
          </cell>
        </row>
        <row r="158">
          <cell r="B158" t="str">
            <v>Sample 733</v>
          </cell>
          <cell r="E158">
            <v>0.25</v>
          </cell>
          <cell r="F158" t="str">
            <v>8238401916</v>
          </cell>
          <cell r="G158" t="str">
            <v>x</v>
          </cell>
          <cell r="H158" t="str">
            <v>COMPEQ</v>
          </cell>
          <cell r="I158" t="str">
            <v>PCB</v>
          </cell>
          <cell r="J158" t="str">
            <v>DHL</v>
          </cell>
          <cell r="K158" t="str">
            <v>X</v>
          </cell>
          <cell r="L158" t="str">
            <v>HN</v>
          </cell>
          <cell r="M158" t="str">
            <v>CN</v>
          </cell>
          <cell r="N158">
            <v>46076</v>
          </cell>
          <cell r="O158">
            <v>46076</v>
          </cell>
          <cell r="P158">
            <v>46079</v>
          </cell>
          <cell r="Q158">
            <v>3</v>
          </cell>
          <cell r="R158" t="str">
            <v>x</v>
          </cell>
          <cell r="S158" t="str">
            <v>x</v>
          </cell>
          <cell r="T158" t="str">
            <v>x</v>
          </cell>
          <cell r="U158">
            <v>1</v>
          </cell>
          <cell r="V158" t="str">
            <v>NO PAYMENT</v>
          </cell>
          <cell r="W158" t="str">
            <v>No need</v>
          </cell>
          <cell r="X158" t="str">
            <v>FCA</v>
          </cell>
          <cell r="Y158" t="str">
            <v>x</v>
          </cell>
          <cell r="Z158" t="str">
            <v>x</v>
          </cell>
          <cell r="AA158" t="str">
            <v>x</v>
          </cell>
        </row>
        <row r="159">
          <cell r="B159" t="str">
            <v>Sample 734</v>
          </cell>
          <cell r="E159">
            <v>0.2</v>
          </cell>
          <cell r="F159" t="str">
            <v>888978883099</v>
          </cell>
          <cell r="G159" t="str">
            <v>ok</v>
          </cell>
          <cell r="H159" t="str">
            <v>GCE</v>
          </cell>
          <cell r="I159" t="str">
            <v>PCB FM HOPPER</v>
          </cell>
          <cell r="J159" t="str">
            <v>FedEx</v>
          </cell>
          <cell r="K159" t="str">
            <v>x</v>
          </cell>
          <cell r="L159" t="str">
            <v>HN</v>
          </cell>
          <cell r="M159" t="str">
            <v>TW</v>
          </cell>
          <cell r="N159">
            <v>46076</v>
          </cell>
          <cell r="O159">
            <v>46076</v>
          </cell>
          <cell r="P159">
            <v>46078</v>
          </cell>
          <cell r="Q159">
            <v>2</v>
          </cell>
          <cell r="R159" t="str">
            <v>x</v>
          </cell>
          <cell r="S159" t="str">
            <v>x</v>
          </cell>
          <cell r="T159" t="str">
            <v>x</v>
          </cell>
          <cell r="U159">
            <v>18.22</v>
          </cell>
          <cell r="V159" t="str">
            <v>NO PAYMENT</v>
          </cell>
          <cell r="W159" t="str">
            <v>No need</v>
          </cell>
          <cell r="X159" t="str">
            <v>FCA</v>
          </cell>
          <cell r="Y159" t="str">
            <v>x</v>
          </cell>
          <cell r="Z159" t="str">
            <v>x</v>
          </cell>
          <cell r="AA159" t="str">
            <v>x</v>
          </cell>
        </row>
        <row r="160">
          <cell r="B160" t="str">
            <v>INV06682</v>
          </cell>
          <cell r="E160">
            <v>1029.5999999999999</v>
          </cell>
          <cell r="F160" t="str">
            <v>SRAF0190287</v>
          </cell>
          <cell r="G160" t="str">
            <v>x</v>
          </cell>
          <cell r="H160" t="str">
            <v>Lucid Arizona</v>
          </cell>
          <cell r="I160" t="str">
            <v>DCM,VCU, DCM, REAR</v>
          </cell>
          <cell r="J160" t="str">
            <v>DSV</v>
          </cell>
          <cell r="K160" t="str">
            <v>VVMV</v>
          </cell>
          <cell r="L160" t="str">
            <v>HN</v>
          </cell>
          <cell r="M160" t="str">
            <v>US</v>
          </cell>
          <cell r="N160">
            <v>46078</v>
          </cell>
          <cell r="O160">
            <v>46078</v>
          </cell>
          <cell r="P160">
            <v>46139</v>
          </cell>
          <cell r="Q160">
            <v>61</v>
          </cell>
          <cell r="R160">
            <v>308268418160</v>
          </cell>
          <cell r="S160">
            <v>46078</v>
          </cell>
          <cell r="T160" t="str">
            <v>No inspection</v>
          </cell>
          <cell r="U160">
            <v>177006.96</v>
          </cell>
          <cell r="V160" t="str">
            <v>PAYMENT</v>
          </cell>
          <cell r="W160" t="str">
            <v>OK</v>
          </cell>
          <cell r="X160" t="str">
            <v>FCA</v>
          </cell>
          <cell r="Y160" t="str">
            <v>Lucid</v>
          </cell>
          <cell r="Z160" t="str">
            <v>x</v>
          </cell>
          <cell r="AA160" t="str">
            <v>x</v>
          </cell>
        </row>
        <row r="161">
          <cell r="B161" t="str">
            <v>INV06683</v>
          </cell>
          <cell r="E161">
            <v>1066.8</v>
          </cell>
          <cell r="F161" t="str">
            <v>SRAF0195103</v>
          </cell>
          <cell r="G161" t="str">
            <v>x</v>
          </cell>
          <cell r="H161" t="str">
            <v>Lucid Arizona</v>
          </cell>
          <cell r="I161" t="str">
            <v>UCC, BCM, DCM</v>
          </cell>
          <cell r="J161" t="str">
            <v>DSV</v>
          </cell>
          <cell r="K161" t="str">
            <v>VVMV</v>
          </cell>
          <cell r="L161" t="str">
            <v>HN</v>
          </cell>
          <cell r="M161" t="str">
            <v>US</v>
          </cell>
          <cell r="N161">
            <v>46083</v>
          </cell>
          <cell r="O161">
            <v>46083</v>
          </cell>
          <cell r="P161">
            <v>46141</v>
          </cell>
          <cell r="Q161">
            <v>58</v>
          </cell>
          <cell r="R161">
            <v>308283817830</v>
          </cell>
          <cell r="S161">
            <v>46083</v>
          </cell>
          <cell r="T161" t="str">
            <v>No inspection</v>
          </cell>
          <cell r="U161">
            <v>236863.32</v>
          </cell>
          <cell r="V161" t="str">
            <v>PAYMENT</v>
          </cell>
          <cell r="W161" t="str">
            <v>ok</v>
          </cell>
          <cell r="X161" t="str">
            <v>FCA</v>
          </cell>
          <cell r="Y161" t="str">
            <v>Lucid</v>
          </cell>
          <cell r="Z161" t="str">
            <v>x</v>
          </cell>
          <cell r="AA161" t="str">
            <v>x</v>
          </cell>
        </row>
        <row r="162">
          <cell r="B162" t="str">
            <v>E01043</v>
          </cell>
          <cell r="E162">
            <v>239</v>
          </cell>
          <cell r="F162" t="str">
            <v>DIM111011360</v>
          </cell>
          <cell r="G162" t="str">
            <v>x</v>
          </cell>
          <cell r="H162" t="str">
            <v>Kingston</v>
          </cell>
          <cell r="J162" t="str">
            <v>Dimerco</v>
          </cell>
          <cell r="K162" t="str">
            <v>Dimerco</v>
          </cell>
          <cell r="L162" t="str">
            <v>HN</v>
          </cell>
          <cell r="M162" t="str">
            <v>TW</v>
          </cell>
          <cell r="N162">
            <v>46079</v>
          </cell>
          <cell r="O162">
            <v>46079</v>
          </cell>
          <cell r="P162">
            <v>46085</v>
          </cell>
          <cell r="Q162">
            <v>6</v>
          </cell>
          <cell r="R162">
            <v>308273698961</v>
          </cell>
          <cell r="S162">
            <v>46079</v>
          </cell>
          <cell r="T162" t="str">
            <v>Inspection</v>
          </cell>
          <cell r="U162">
            <v>9274953.5999999996</v>
          </cell>
          <cell r="V162" t="str">
            <v>NO PAYMENT</v>
          </cell>
          <cell r="W162" t="str">
            <v>No need</v>
          </cell>
          <cell r="X162" t="str">
            <v>EXW</v>
          </cell>
          <cell r="Y162" t="str">
            <v>x</v>
          </cell>
          <cell r="Z162" t="str">
            <v>x</v>
          </cell>
          <cell r="AA162" t="str">
            <v>x</v>
          </cell>
        </row>
        <row r="163">
          <cell r="B163" t="str">
            <v>E01044</v>
          </cell>
          <cell r="E163">
            <v>12.7</v>
          </cell>
          <cell r="F163" t="str">
            <v>WV10709</v>
          </cell>
          <cell r="G163" t="str">
            <v>x</v>
          </cell>
          <cell r="H163" t="str">
            <v>COMPQEQ TW</v>
          </cell>
          <cell r="J163" t="str">
            <v>WIDER</v>
          </cell>
          <cell r="K163" t="str">
            <v>WIDER</v>
          </cell>
          <cell r="L163" t="str">
            <v>HN</v>
          </cell>
          <cell r="M163" t="str">
            <v>TW</v>
          </cell>
          <cell r="N163">
            <v>46078</v>
          </cell>
          <cell r="O163">
            <v>46078</v>
          </cell>
          <cell r="P163">
            <v>46080</v>
          </cell>
          <cell r="Q163">
            <v>2</v>
          </cell>
          <cell r="R163">
            <v>308268596111</v>
          </cell>
          <cell r="S163">
            <v>46078</v>
          </cell>
          <cell r="T163" t="str">
            <v>Inspection</v>
          </cell>
          <cell r="U163">
            <v>3024</v>
          </cell>
          <cell r="V163" t="str">
            <v>NO PAYMENT</v>
          </cell>
          <cell r="W163" t="str">
            <v>No need</v>
          </cell>
          <cell r="X163" t="str">
            <v>EXW</v>
          </cell>
          <cell r="Y163" t="str">
            <v>x</v>
          </cell>
          <cell r="Z163" t="str">
            <v>x</v>
          </cell>
          <cell r="AA163" t="str">
            <v>x</v>
          </cell>
        </row>
        <row r="164">
          <cell r="B164" t="str">
            <v>INV06684</v>
          </cell>
          <cell r="E164">
            <v>364.8</v>
          </cell>
          <cell r="F164" t="str">
            <v>SRAF0195171</v>
          </cell>
          <cell r="G164" t="str">
            <v>x</v>
          </cell>
          <cell r="H164" t="str">
            <v>Lucid Arizona LCL</v>
          </cell>
          <cell r="I164" t="str">
            <v>CABIN</v>
          </cell>
          <cell r="J164" t="str">
            <v>DSV</v>
          </cell>
          <cell r="K164" t="str">
            <v>VVMV</v>
          </cell>
          <cell r="L164" t="str">
            <v>HN</v>
          </cell>
          <cell r="M164" t="str">
            <v>US</v>
          </cell>
          <cell r="N164">
            <v>46080</v>
          </cell>
          <cell r="O164">
            <v>46080</v>
          </cell>
          <cell r="P164">
            <v>46178</v>
          </cell>
          <cell r="Q164">
            <v>98</v>
          </cell>
          <cell r="R164">
            <v>308276400150</v>
          </cell>
          <cell r="S164">
            <v>46080</v>
          </cell>
          <cell r="T164" t="str">
            <v>No inspection</v>
          </cell>
          <cell r="U164">
            <v>46477.440000000002</v>
          </cell>
          <cell r="V164" t="str">
            <v>PAYMENT</v>
          </cell>
          <cell r="W164" t="str">
            <v>ok</v>
          </cell>
          <cell r="X164" t="str">
            <v>FCA</v>
          </cell>
          <cell r="Y164" t="str">
            <v>Lucid</v>
          </cell>
          <cell r="Z164" t="str">
            <v>x</v>
          </cell>
          <cell r="AA164" t="str">
            <v>x</v>
          </cell>
        </row>
        <row r="165">
          <cell r="B165" t="str">
            <v>INV06685</v>
          </cell>
          <cell r="E165">
            <v>1303.2</v>
          </cell>
          <cell r="F165" t="str">
            <v>SRAF0195083</v>
          </cell>
          <cell r="G165" t="str">
            <v>x</v>
          </cell>
          <cell r="H165" t="str">
            <v>Lucid Arizona LCL</v>
          </cell>
          <cell r="I165" t="str">
            <v>ICC, CCCV2, CABIN, REAR</v>
          </cell>
          <cell r="J165" t="str">
            <v>DSV</v>
          </cell>
          <cell r="K165" t="str">
            <v>VVMV</v>
          </cell>
          <cell r="L165" t="str">
            <v>HN</v>
          </cell>
          <cell r="M165" t="str">
            <v>US</v>
          </cell>
          <cell r="N165">
            <v>46080</v>
          </cell>
          <cell r="O165">
            <v>46080</v>
          </cell>
          <cell r="P165">
            <v>46177</v>
          </cell>
          <cell r="Q165">
            <v>97</v>
          </cell>
          <cell r="R165">
            <v>308276571650</v>
          </cell>
          <cell r="S165">
            <v>46080</v>
          </cell>
          <cell r="T165" t="str">
            <v>No inspection</v>
          </cell>
          <cell r="U165">
            <v>443465.28</v>
          </cell>
          <cell r="V165" t="str">
            <v>PAYMENT</v>
          </cell>
          <cell r="W165" t="str">
            <v>ok</v>
          </cell>
          <cell r="X165" t="str">
            <v>FCA</v>
          </cell>
          <cell r="Y165" t="str">
            <v>Lucid</v>
          </cell>
          <cell r="Z165" t="str">
            <v>x</v>
          </cell>
          <cell r="AA165" t="str">
            <v>x</v>
          </cell>
        </row>
        <row r="166">
          <cell r="B166" t="str">
            <v>INV06686</v>
          </cell>
          <cell r="E166">
            <v>1</v>
          </cell>
          <cell r="F166" t="str">
            <v>889059543623</v>
          </cell>
          <cell r="H166" t="str">
            <v>INGRASYS</v>
          </cell>
          <cell r="I166" t="str">
            <v>DDR4</v>
          </cell>
          <cell r="J166" t="str">
            <v>FedEx</v>
          </cell>
          <cell r="K166" t="str">
            <v>VVMV</v>
          </cell>
          <cell r="L166" t="str">
            <v>HN</v>
          </cell>
          <cell r="M166" t="str">
            <v>TW</v>
          </cell>
          <cell r="N166">
            <v>46079</v>
          </cell>
          <cell r="O166">
            <v>46079</v>
          </cell>
          <cell r="P166">
            <v>46086</v>
          </cell>
          <cell r="Q166">
            <v>7</v>
          </cell>
          <cell r="R166" t="str">
            <v>308270718951
308270735201</v>
          </cell>
          <cell r="S166">
            <v>46078</v>
          </cell>
          <cell r="T166" t="str">
            <v>Inspection</v>
          </cell>
          <cell r="U166">
            <v>300.02</v>
          </cell>
          <cell r="V166" t="str">
            <v>NO PAYMENT</v>
          </cell>
          <cell r="W166" t="str">
            <v>No need</v>
          </cell>
          <cell r="X166" t="str">
            <v>DAP</v>
          </cell>
          <cell r="Y166" t="str">
            <v>OEM</v>
          </cell>
          <cell r="Z166" t="str">
            <v>RMA</v>
          </cell>
          <cell r="AA166" t="str">
            <v>x</v>
          </cell>
        </row>
        <row r="167">
          <cell r="B167" t="str">
            <v>INV06687</v>
          </cell>
          <cell r="E167">
            <v>20</v>
          </cell>
          <cell r="F167" t="str">
            <v>889056819617</v>
          </cell>
          <cell r="H167" t="str">
            <v>Lucid HQ</v>
          </cell>
          <cell r="I167" t="str">
            <v>PCBA, CCCV2, FRONT</v>
          </cell>
          <cell r="J167" t="str">
            <v>FedEx</v>
          </cell>
          <cell r="K167" t="str">
            <v>VVMV</v>
          </cell>
          <cell r="L167" t="str">
            <v>HN</v>
          </cell>
          <cell r="M167" t="str">
            <v>US</v>
          </cell>
          <cell r="N167">
            <v>46078</v>
          </cell>
          <cell r="O167">
            <v>46078</v>
          </cell>
          <cell r="P167">
            <v>46084</v>
          </cell>
          <cell r="Q167">
            <v>6</v>
          </cell>
          <cell r="R167">
            <v>308270487360</v>
          </cell>
          <cell r="S167">
            <v>46078</v>
          </cell>
          <cell r="T167" t="str">
            <v>No inspection</v>
          </cell>
          <cell r="U167">
            <v>3613.73</v>
          </cell>
          <cell r="V167" t="str">
            <v>PAYMENT</v>
          </cell>
          <cell r="W167" t="str">
            <v>OK</v>
          </cell>
          <cell r="X167" t="str">
            <v>DAP</v>
          </cell>
          <cell r="Y167" t="str">
            <v>Lucid</v>
          </cell>
          <cell r="Z167" t="str">
            <v>Ship FG</v>
          </cell>
          <cell r="AA167" t="str">
            <v>Oscar charge Lucid $750</v>
          </cell>
        </row>
        <row r="168">
          <cell r="B168" t="str">
            <v>INV06688</v>
          </cell>
          <cell r="E168">
            <v>1</v>
          </cell>
          <cell r="F168" t="str">
            <v>889091669099</v>
          </cell>
          <cell r="H168" t="str">
            <v>HQ1</v>
          </cell>
          <cell r="I168" t="str">
            <v>DDR5</v>
          </cell>
          <cell r="J168" t="str">
            <v>FedEx</v>
          </cell>
          <cell r="K168" t="str">
            <v>VVMV</v>
          </cell>
          <cell r="L168" t="str">
            <v>HN</v>
          </cell>
          <cell r="M168" t="str">
            <v>US</v>
          </cell>
          <cell r="N168">
            <v>46079</v>
          </cell>
          <cell r="O168">
            <v>46079</v>
          </cell>
          <cell r="P168">
            <v>46085</v>
          </cell>
          <cell r="Q168">
            <v>6</v>
          </cell>
          <cell r="R168">
            <v>308272727400</v>
          </cell>
          <cell r="S168">
            <v>46079</v>
          </cell>
          <cell r="T168" t="str">
            <v>No inspection</v>
          </cell>
          <cell r="U168">
            <v>808.94</v>
          </cell>
          <cell r="V168" t="str">
            <v>PAYMENT</v>
          </cell>
          <cell r="W168" t="str">
            <v>ok</v>
          </cell>
          <cell r="X168" t="str">
            <v>DAP</v>
          </cell>
          <cell r="Y168" t="str">
            <v>Transfer</v>
          </cell>
          <cell r="Z168" t="str">
            <v>Transfer FG</v>
          </cell>
          <cell r="AA168" t="str">
            <v>x</v>
          </cell>
        </row>
        <row r="169">
          <cell r="B169" t="str">
            <v>INV06689</v>
          </cell>
          <cell r="E169">
            <v>439.8</v>
          </cell>
          <cell r="F169" t="str">
            <v>889090111553</v>
          </cell>
          <cell r="G169" t="str">
            <v>ok</v>
          </cell>
          <cell r="H169" t="str">
            <v>Jabil MX</v>
          </cell>
          <cell r="I169" t="str">
            <v>HLOB</v>
          </cell>
          <cell r="J169" t="str">
            <v>FedEx</v>
          </cell>
          <cell r="K169" t="str">
            <v>VVMV</v>
          </cell>
          <cell r="L169" t="str">
            <v>HN</v>
          </cell>
          <cell r="M169" t="str">
            <v>MX</v>
          </cell>
          <cell r="N169">
            <v>46079</v>
          </cell>
          <cell r="O169">
            <v>46079</v>
          </cell>
          <cell r="P169">
            <v>46084</v>
          </cell>
          <cell r="Q169">
            <v>5</v>
          </cell>
          <cell r="R169">
            <v>308272072050</v>
          </cell>
          <cell r="S169">
            <v>46079</v>
          </cell>
          <cell r="T169" t="str">
            <v>No inspection</v>
          </cell>
          <cell r="U169">
            <v>2957547.6</v>
          </cell>
          <cell r="V169" t="str">
            <v>PAYMENT</v>
          </cell>
          <cell r="W169" t="str">
            <v>ok</v>
          </cell>
          <cell r="X169" t="str">
            <v>FCA</v>
          </cell>
          <cell r="Y169" t="str">
            <v>PURE</v>
          </cell>
          <cell r="Z169" t="str">
            <v>x</v>
          </cell>
          <cell r="AA169" t="str">
            <v>x</v>
          </cell>
        </row>
        <row r="170">
          <cell r="B170" t="str">
            <v>INV06690</v>
          </cell>
          <cell r="E170">
            <v>439.8</v>
          </cell>
          <cell r="F170" t="str">
            <v>889090182784</v>
          </cell>
          <cell r="G170" t="str">
            <v>ok</v>
          </cell>
          <cell r="H170" t="str">
            <v>Jabil MX</v>
          </cell>
          <cell r="I170" t="str">
            <v>HLOB</v>
          </cell>
          <cell r="J170" t="str">
            <v>FedEx</v>
          </cell>
          <cell r="K170" t="str">
            <v>VVMV</v>
          </cell>
          <cell r="L170" t="str">
            <v>HN</v>
          </cell>
          <cell r="M170" t="str">
            <v>MX</v>
          </cell>
          <cell r="N170">
            <v>46079</v>
          </cell>
          <cell r="O170">
            <v>46079</v>
          </cell>
          <cell r="P170">
            <v>46084</v>
          </cell>
          <cell r="Q170">
            <v>5</v>
          </cell>
          <cell r="R170">
            <v>308272140060</v>
          </cell>
          <cell r="S170">
            <v>46079</v>
          </cell>
          <cell r="T170" t="str">
            <v>No inspection</v>
          </cell>
          <cell r="U170">
            <v>2957547.6</v>
          </cell>
          <cell r="V170" t="str">
            <v>PAYMENT</v>
          </cell>
          <cell r="W170" t="str">
            <v>ok</v>
          </cell>
          <cell r="X170" t="str">
            <v>FCA</v>
          </cell>
          <cell r="Y170" t="str">
            <v>PURE</v>
          </cell>
          <cell r="Z170" t="str">
            <v>x</v>
          </cell>
          <cell r="AA170" t="str">
            <v>x</v>
          </cell>
        </row>
        <row r="171">
          <cell r="B171" t="str">
            <v>INV06691</v>
          </cell>
          <cell r="E171">
            <v>439.8</v>
          </cell>
          <cell r="F171" t="str">
            <v>889090244076</v>
          </cell>
          <cell r="G171" t="str">
            <v>ok</v>
          </cell>
          <cell r="H171" t="str">
            <v>Jabil MX</v>
          </cell>
          <cell r="I171" t="str">
            <v>HLOB</v>
          </cell>
          <cell r="J171" t="str">
            <v>FedEx</v>
          </cell>
          <cell r="K171" t="str">
            <v>VVMV</v>
          </cell>
          <cell r="L171" t="str">
            <v>HN</v>
          </cell>
          <cell r="M171" t="str">
            <v>MX</v>
          </cell>
          <cell r="N171">
            <v>46079</v>
          </cell>
          <cell r="O171">
            <v>46079</v>
          </cell>
          <cell r="P171">
            <v>46103</v>
          </cell>
          <cell r="Q171">
            <v>24</v>
          </cell>
          <cell r="R171">
            <v>308272261310</v>
          </cell>
          <cell r="S171">
            <v>46079</v>
          </cell>
          <cell r="T171" t="str">
            <v>No inspection</v>
          </cell>
          <cell r="U171">
            <v>2957547.6</v>
          </cell>
          <cell r="V171" t="str">
            <v>PAYMENT</v>
          </cell>
          <cell r="W171" t="str">
            <v>ok</v>
          </cell>
          <cell r="X171" t="str">
            <v>FCA</v>
          </cell>
          <cell r="Y171" t="str">
            <v>PURE</v>
          </cell>
          <cell r="Z171" t="str">
            <v>x</v>
          </cell>
          <cell r="AA171" t="str">
            <v>x</v>
          </cell>
        </row>
        <row r="172">
          <cell r="B172" t="str">
            <v>INV06692</v>
          </cell>
          <cell r="E172">
            <v>1.1000000000000001</v>
          </cell>
          <cell r="F172" t="str">
            <v>889059707274</v>
          </cell>
          <cell r="H172" t="str">
            <v>CTU</v>
          </cell>
          <cell r="I172" t="str">
            <v>NVRAM</v>
          </cell>
          <cell r="J172" t="str">
            <v>FedEx</v>
          </cell>
          <cell r="K172" t="str">
            <v>VVMV</v>
          </cell>
          <cell r="L172" t="str">
            <v>HN</v>
          </cell>
          <cell r="M172" t="str">
            <v>CN</v>
          </cell>
          <cell r="N172">
            <v>46079</v>
          </cell>
          <cell r="O172">
            <v>46079</v>
          </cell>
          <cell r="P172">
            <v>46085</v>
          </cell>
          <cell r="Q172">
            <v>6</v>
          </cell>
          <cell r="R172">
            <v>308271468801</v>
          </cell>
          <cell r="S172">
            <v>46079</v>
          </cell>
          <cell r="T172" t="str">
            <v>Inspection</v>
          </cell>
          <cell r="U172">
            <v>2170.25</v>
          </cell>
          <cell r="V172" t="str">
            <v>NO PAYMENT</v>
          </cell>
          <cell r="W172" t="str">
            <v>No need</v>
          </cell>
          <cell r="X172" t="str">
            <v>DAP</v>
          </cell>
          <cell r="Y172" t="str">
            <v>OEM</v>
          </cell>
          <cell r="Z172" t="str">
            <v>Ship to CTU</v>
          </cell>
          <cell r="AA172" t="str">
            <v>x</v>
          </cell>
        </row>
        <row r="173">
          <cell r="B173" t="str">
            <v>INV06693</v>
          </cell>
          <cell r="E173">
            <v>10</v>
          </cell>
          <cell r="F173" t="str">
            <v>889091391953</v>
          </cell>
          <cell r="G173" t="str">
            <v>ok</v>
          </cell>
          <cell r="H173" t="str">
            <v>PURE US</v>
          </cell>
          <cell r="I173" t="str">
            <v>HLOB</v>
          </cell>
          <cell r="J173" t="str">
            <v>FedEx</v>
          </cell>
          <cell r="K173" t="str">
            <v>VVMV</v>
          </cell>
          <cell r="L173" t="str">
            <v>HN</v>
          </cell>
          <cell r="M173" t="str">
            <v>US</v>
          </cell>
          <cell r="N173">
            <v>46079</v>
          </cell>
          <cell r="O173">
            <v>46079</v>
          </cell>
          <cell r="P173">
            <v>46087</v>
          </cell>
          <cell r="Q173">
            <v>8</v>
          </cell>
          <cell r="R173">
            <v>308272918500</v>
          </cell>
          <cell r="S173">
            <v>46079</v>
          </cell>
          <cell r="T173" t="str">
            <v>No inspection</v>
          </cell>
          <cell r="U173">
            <v>12640.23</v>
          </cell>
          <cell r="V173" t="str">
            <v>PAYMENT</v>
          </cell>
          <cell r="W173" t="str">
            <v>ok</v>
          </cell>
          <cell r="X173" t="str">
            <v>FCA</v>
          </cell>
          <cell r="Y173" t="str">
            <v>PURE</v>
          </cell>
          <cell r="Z173" t="str">
            <v>x</v>
          </cell>
        </row>
        <row r="174">
          <cell r="B174" t="str">
            <v>INV06694</v>
          </cell>
          <cell r="E174">
            <v>876</v>
          </cell>
          <cell r="F174" t="str">
            <v>SRAF0201450</v>
          </cell>
          <cell r="G174" t="str">
            <v>x</v>
          </cell>
          <cell r="H174" t="str">
            <v>HELLA</v>
          </cell>
          <cell r="I174" t="str">
            <v>HCU</v>
          </cell>
          <cell r="J174" t="str">
            <v>DSV</v>
          </cell>
          <cell r="K174" t="str">
            <v>DSV</v>
          </cell>
          <cell r="L174" t="str">
            <v>HN</v>
          </cell>
          <cell r="M174" t="str">
            <v>DE</v>
          </cell>
          <cell r="N174">
            <v>46101</v>
          </cell>
          <cell r="O174">
            <v>46101</v>
          </cell>
          <cell r="P174">
            <v>46113</v>
          </cell>
          <cell r="Q174">
            <v>12</v>
          </cell>
          <cell r="R174">
            <v>308347948550</v>
          </cell>
          <cell r="S174">
            <v>46101</v>
          </cell>
          <cell r="T174" t="str">
            <v>No inspection</v>
          </cell>
          <cell r="U174">
            <v>134625.60000000001</v>
          </cell>
          <cell r="V174" t="str">
            <v>PAYMENT</v>
          </cell>
          <cell r="W174" t="str">
            <v>OK</v>
          </cell>
          <cell r="X174" t="str">
            <v>DAP</v>
          </cell>
          <cell r="Y174" t="str">
            <v>Lucid</v>
          </cell>
          <cell r="Z174" t="str">
            <v>x</v>
          </cell>
          <cell r="AA174" t="str">
            <v>x</v>
          </cell>
        </row>
        <row r="175">
          <cell r="B175" t="str">
            <v>INV06695</v>
          </cell>
          <cell r="E175">
            <v>899</v>
          </cell>
          <cell r="F175" t="str">
            <v>45T0453206</v>
          </cell>
          <cell r="G175" t="str">
            <v>x</v>
          </cell>
          <cell r="H175" t="str">
            <v>FTX</v>
          </cell>
          <cell r="I175" t="str">
            <v>EIGER, HOPPER, GROVER, ICER</v>
          </cell>
          <cell r="J175" t="str">
            <v>Expeditors</v>
          </cell>
          <cell r="K175" t="str">
            <v>Expeditors</v>
          </cell>
          <cell r="L175" t="str">
            <v>HN</v>
          </cell>
          <cell r="M175" t="str">
            <v>US</v>
          </cell>
          <cell r="N175">
            <v>46080</v>
          </cell>
          <cell r="O175">
            <v>46080</v>
          </cell>
          <cell r="P175">
            <v>46084</v>
          </cell>
          <cell r="Q175">
            <v>4</v>
          </cell>
          <cell r="R175">
            <v>308278767110</v>
          </cell>
          <cell r="S175">
            <v>46080</v>
          </cell>
          <cell r="T175" t="str">
            <v>No inspection</v>
          </cell>
          <cell r="U175">
            <v>4674087</v>
          </cell>
          <cell r="V175" t="str">
            <v>PAYMENT</v>
          </cell>
          <cell r="W175" t="str">
            <v>ok</v>
          </cell>
          <cell r="X175" t="str">
            <v>EXW</v>
          </cell>
          <cell r="Y175" t="str">
            <v>x</v>
          </cell>
          <cell r="Z175" t="str">
            <v>x</v>
          </cell>
          <cell r="AA175" t="str">
            <v>x</v>
          </cell>
        </row>
        <row r="176">
          <cell r="B176" t="str">
            <v>INV06696</v>
          </cell>
          <cell r="E176">
            <v>354.2</v>
          </cell>
          <cell r="F176" t="str">
            <v>HAN26000626</v>
          </cell>
          <cell r="G176" t="str">
            <v>x</v>
          </cell>
          <cell r="H176" t="str">
            <v>FCZ</v>
          </cell>
          <cell r="I176" t="str">
            <v>HOPPER, GROVER</v>
          </cell>
          <cell r="J176" t="str">
            <v>Schenker</v>
          </cell>
          <cell r="K176" t="str">
            <v>Schenker</v>
          </cell>
          <cell r="L176" t="str">
            <v>HN</v>
          </cell>
          <cell r="M176" t="str">
            <v>CZ</v>
          </cell>
          <cell r="N176">
            <v>46080</v>
          </cell>
          <cell r="O176">
            <v>46080</v>
          </cell>
          <cell r="P176">
            <v>46087</v>
          </cell>
          <cell r="Q176">
            <v>7</v>
          </cell>
          <cell r="R176">
            <v>308278513340</v>
          </cell>
          <cell r="S176">
            <v>46080</v>
          </cell>
          <cell r="T176" t="str">
            <v>No inspection</v>
          </cell>
          <cell r="U176">
            <v>1721704.51</v>
          </cell>
          <cell r="V176" t="str">
            <v>PAYMENT</v>
          </cell>
          <cell r="W176" t="str">
            <v>ok</v>
          </cell>
          <cell r="X176" t="str">
            <v>EXW</v>
          </cell>
          <cell r="Y176" t="str">
            <v>x</v>
          </cell>
          <cell r="Z176" t="str">
            <v>x</v>
          </cell>
          <cell r="AA176" t="str">
            <v>x</v>
          </cell>
        </row>
        <row r="177">
          <cell r="B177" t="str">
            <v>INV06697</v>
          </cell>
          <cell r="E177">
            <v>12</v>
          </cell>
          <cell r="F177" t="str">
            <v>889128870272</v>
          </cell>
          <cell r="G177" t="str">
            <v>ok</v>
          </cell>
          <cell r="H177" t="str">
            <v>Jabil MX</v>
          </cell>
          <cell r="I177" t="str">
            <v>HLOB</v>
          </cell>
          <cell r="J177" t="str">
            <v>FedEx</v>
          </cell>
          <cell r="K177" t="str">
            <v>VVMV</v>
          </cell>
          <cell r="L177" t="str">
            <v>HN</v>
          </cell>
          <cell r="M177" t="str">
            <v>MX</v>
          </cell>
          <cell r="N177">
            <v>46080</v>
          </cell>
          <cell r="O177">
            <v>46080</v>
          </cell>
          <cell r="P177">
            <v>46085</v>
          </cell>
          <cell r="Q177">
            <v>5</v>
          </cell>
          <cell r="R177">
            <v>308276984430</v>
          </cell>
          <cell r="S177">
            <v>46080</v>
          </cell>
          <cell r="T177" t="str">
            <v>No inspection</v>
          </cell>
          <cell r="U177">
            <v>37920.69</v>
          </cell>
          <cell r="V177" t="str">
            <v>PAYMENT</v>
          </cell>
          <cell r="W177" t="str">
            <v>ok</v>
          </cell>
          <cell r="X177" t="str">
            <v>FCA</v>
          </cell>
          <cell r="Y177" t="str">
            <v>PURE</v>
          </cell>
          <cell r="Z177" t="str">
            <v>x</v>
          </cell>
          <cell r="AA177" t="str">
            <v>x</v>
          </cell>
        </row>
        <row r="178">
          <cell r="B178" t="str">
            <v>E01045</v>
          </cell>
          <cell r="E178">
            <v>7.7</v>
          </cell>
          <cell r="F178" t="str">
            <v>889184959031</v>
          </cell>
          <cell r="G178" t="str">
            <v>ok</v>
          </cell>
          <cell r="H178" t="str">
            <v>Unigen MY</v>
          </cell>
          <cell r="J178" t="str">
            <v>FedEx</v>
          </cell>
          <cell r="K178" t="str">
            <v>VVMV</v>
          </cell>
          <cell r="L178" t="str">
            <v>HN</v>
          </cell>
          <cell r="M178" t="str">
            <v>MY</v>
          </cell>
          <cell r="N178">
            <v>46083</v>
          </cell>
          <cell r="O178">
            <v>46083</v>
          </cell>
          <cell r="P178">
            <v>46085</v>
          </cell>
          <cell r="Q178">
            <v>2</v>
          </cell>
          <cell r="R178">
            <v>308278830921</v>
          </cell>
          <cell r="S178">
            <v>46083</v>
          </cell>
          <cell r="T178" t="str">
            <v>Inspection</v>
          </cell>
          <cell r="U178">
            <v>7915.38</v>
          </cell>
          <cell r="V178" t="str">
            <v>NO PAYMENT</v>
          </cell>
          <cell r="W178" t="str">
            <v>No need</v>
          </cell>
          <cell r="X178" t="str">
            <v>FCA</v>
          </cell>
          <cell r="Y178" t="str">
            <v>Transfer</v>
          </cell>
          <cell r="Z178" t="str">
            <v>x</v>
          </cell>
          <cell r="AA178" t="str">
            <v>x</v>
          </cell>
        </row>
        <row r="179">
          <cell r="B179" t="str">
            <v>INV06698</v>
          </cell>
          <cell r="E179">
            <v>1483.2</v>
          </cell>
          <cell r="F179" t="str">
            <v>SRAF0201048</v>
          </cell>
          <cell r="G179" t="str">
            <v>x</v>
          </cell>
          <cell r="H179" t="str">
            <v>Lucid Arizona</v>
          </cell>
          <cell r="I179" t="str">
            <v>UCC,DCM, BCM, CABIN</v>
          </cell>
          <cell r="J179" t="str">
            <v>DSV</v>
          </cell>
          <cell r="K179" t="str">
            <v>VVMV</v>
          </cell>
          <cell r="L179" t="str">
            <v>HN</v>
          </cell>
          <cell r="M179" t="str">
            <v>US</v>
          </cell>
          <cell r="N179">
            <v>46084</v>
          </cell>
          <cell r="O179">
            <v>46084</v>
          </cell>
          <cell r="P179">
            <v>46182</v>
          </cell>
          <cell r="Q179">
            <v>98</v>
          </cell>
          <cell r="R179">
            <v>308288883360</v>
          </cell>
          <cell r="S179">
            <v>46084</v>
          </cell>
          <cell r="T179" t="str">
            <v>No inspection</v>
          </cell>
          <cell r="U179">
            <v>342147.36</v>
          </cell>
          <cell r="V179" t="str">
            <v>PAYMENT</v>
          </cell>
          <cell r="W179" t="str">
            <v>ok</v>
          </cell>
          <cell r="X179" t="str">
            <v>FCA</v>
          </cell>
          <cell r="Y179" t="str">
            <v>Lucid</v>
          </cell>
          <cell r="Z179" t="str">
            <v>x</v>
          </cell>
          <cell r="AA179" t="str">
            <v>x</v>
          </cell>
        </row>
        <row r="180">
          <cell r="B180" t="str">
            <v>INV06699</v>
          </cell>
          <cell r="E180">
            <v>698.4</v>
          </cell>
          <cell r="F180" t="str">
            <v>SRAF0201073</v>
          </cell>
          <cell r="G180" t="str">
            <v>x</v>
          </cell>
          <cell r="H180" t="str">
            <v>Lucid Arizona</v>
          </cell>
          <cell r="I180" t="str">
            <v>CCCV2, REAR, CABIN</v>
          </cell>
          <cell r="J180" t="str">
            <v>DSV</v>
          </cell>
          <cell r="K180" t="str">
            <v>VVMV</v>
          </cell>
          <cell r="L180" t="str">
            <v>HN</v>
          </cell>
          <cell r="M180" t="str">
            <v>US</v>
          </cell>
          <cell r="N180">
            <v>46084</v>
          </cell>
          <cell r="O180">
            <v>46084</v>
          </cell>
          <cell r="P180" t="str">
            <v>release ngay 07</v>
          </cell>
          <cell r="Q180" t="e">
            <v>#VALUE!</v>
          </cell>
          <cell r="R180">
            <v>308288533250</v>
          </cell>
          <cell r="S180">
            <v>46084</v>
          </cell>
          <cell r="T180" t="str">
            <v>No inspection</v>
          </cell>
          <cell r="U180">
            <v>160958.88</v>
          </cell>
          <cell r="V180" t="str">
            <v>PAYMENT</v>
          </cell>
          <cell r="W180" t="str">
            <v>ok</v>
          </cell>
          <cell r="X180" t="str">
            <v>FCA</v>
          </cell>
          <cell r="Y180" t="str">
            <v>Lucid</v>
          </cell>
          <cell r="Z180" t="str">
            <v>x</v>
          </cell>
          <cell r="AA180" t="str">
            <v>x</v>
          </cell>
        </row>
        <row r="181">
          <cell r="B181" t="str">
            <v>INV06701</v>
          </cell>
          <cell r="E181">
            <v>1224</v>
          </cell>
          <cell r="F181" t="str">
            <v>SRAF0201089</v>
          </cell>
          <cell r="G181" t="str">
            <v>x</v>
          </cell>
          <cell r="H181" t="str">
            <v>Lucid Arizona</v>
          </cell>
          <cell r="I181" t="str">
            <v>VCU, UCC,BCM, DCM</v>
          </cell>
          <cell r="J181" t="str">
            <v>DSV</v>
          </cell>
          <cell r="K181" t="str">
            <v>VVMV</v>
          </cell>
          <cell r="L181" t="str">
            <v>HN</v>
          </cell>
          <cell r="M181" t="str">
            <v>US</v>
          </cell>
          <cell r="N181">
            <v>46085</v>
          </cell>
          <cell r="O181">
            <v>46085</v>
          </cell>
          <cell r="P181">
            <v>46182</v>
          </cell>
          <cell r="Q181">
            <v>97</v>
          </cell>
          <cell r="R181">
            <v>308291687820</v>
          </cell>
          <cell r="S181">
            <v>46085</v>
          </cell>
          <cell r="T181" t="str">
            <v>No inspection</v>
          </cell>
          <cell r="U181">
            <v>263673.24</v>
          </cell>
          <cell r="V181" t="str">
            <v>PAYMENT</v>
          </cell>
          <cell r="W181" t="str">
            <v>ok</v>
          </cell>
          <cell r="X181" t="str">
            <v>FCA</v>
          </cell>
          <cell r="Y181" t="str">
            <v>Lucid</v>
          </cell>
          <cell r="Z181" t="str">
            <v>x</v>
          </cell>
          <cell r="AA181" t="str">
            <v>x</v>
          </cell>
        </row>
        <row r="182">
          <cell r="B182" t="str">
            <v>Sample 735</v>
          </cell>
          <cell r="E182">
            <v>0.1</v>
          </cell>
          <cell r="F182" t="str">
            <v>889129246999</v>
          </cell>
          <cell r="G182" t="str">
            <v>ok</v>
          </cell>
          <cell r="H182" t="str">
            <v>Jabil MX</v>
          </cell>
          <cell r="I182" t="str">
            <v>LABEL DRIVE</v>
          </cell>
          <cell r="J182" t="str">
            <v>FedEx</v>
          </cell>
          <cell r="K182" t="str">
            <v>x</v>
          </cell>
          <cell r="L182" t="str">
            <v>HN</v>
          </cell>
          <cell r="M182" t="str">
            <v>MX</v>
          </cell>
          <cell r="N182">
            <v>46080</v>
          </cell>
          <cell r="O182">
            <v>46080</v>
          </cell>
          <cell r="P182">
            <v>46087</v>
          </cell>
          <cell r="Q182">
            <v>7</v>
          </cell>
          <cell r="R182" t="str">
            <v>x</v>
          </cell>
          <cell r="S182" t="str">
            <v>x</v>
          </cell>
          <cell r="T182" t="str">
            <v>x</v>
          </cell>
          <cell r="U182">
            <v>2.6</v>
          </cell>
          <cell r="V182" t="str">
            <v>NO PAYMENT</v>
          </cell>
          <cell r="W182" t="str">
            <v>No need</v>
          </cell>
          <cell r="X182" t="str">
            <v>DAP</v>
          </cell>
          <cell r="Y182" t="str">
            <v>PURE</v>
          </cell>
          <cell r="Z182" t="str">
            <v>Ship sample to Jabil (HLOB)</v>
          </cell>
          <cell r="AA182" t="str">
            <v>x</v>
          </cell>
        </row>
        <row r="183">
          <cell r="B183" t="str">
            <v>E01046</v>
          </cell>
          <cell r="E183">
            <v>1.4</v>
          </cell>
          <cell r="F183" t="str">
            <v>889183440114</v>
          </cell>
          <cell r="H183" t="str">
            <v>CLOUD US</v>
          </cell>
          <cell r="I183" t="str">
            <v>IC</v>
          </cell>
          <cell r="J183" t="str">
            <v>FedEx</v>
          </cell>
          <cell r="K183" t="str">
            <v>VVMV</v>
          </cell>
          <cell r="L183" t="str">
            <v>HN</v>
          </cell>
          <cell r="M183" t="str">
            <v>US</v>
          </cell>
          <cell r="N183">
            <v>46083</v>
          </cell>
          <cell r="O183">
            <v>46083</v>
          </cell>
          <cell r="P183">
            <v>46091</v>
          </cell>
          <cell r="Q183">
            <v>8</v>
          </cell>
          <cell r="R183">
            <v>308279867511</v>
          </cell>
          <cell r="S183">
            <v>46083</v>
          </cell>
          <cell r="T183" t="str">
            <v>Inspection</v>
          </cell>
          <cell r="U183">
            <v>19628.2</v>
          </cell>
          <cell r="V183" t="str">
            <v>NO PAYMENT</v>
          </cell>
          <cell r="W183" t="str">
            <v>No need</v>
          </cell>
          <cell r="X183" t="str">
            <v>DAP</v>
          </cell>
          <cell r="Y183" t="str">
            <v>PURE</v>
          </cell>
          <cell r="Z183" t="str">
            <v>Ship material</v>
          </cell>
          <cell r="AA183" t="str">
            <v>Pure paid PPV Freight &amp; customs fee</v>
          </cell>
        </row>
        <row r="184">
          <cell r="B184" t="str">
            <v>INV06700</v>
          </cell>
          <cell r="E184" t="str">
            <v>NOT TO SHIP</v>
          </cell>
          <cell r="F184" t="str">
            <v>NOT TO SHIP</v>
          </cell>
          <cell r="G184" t="str">
            <v>x</v>
          </cell>
          <cell r="H184" t="str">
            <v>NOT TO SHIP</v>
          </cell>
          <cell r="I184" t="str">
            <v>NOT TO SHIP</v>
          </cell>
          <cell r="J184" t="str">
            <v>NOT TO SHIP</v>
          </cell>
          <cell r="K184" t="str">
            <v>NOT TO SHIP</v>
          </cell>
          <cell r="L184" t="str">
            <v>NOT TO SHIP</v>
          </cell>
          <cell r="M184" t="str">
            <v>NOT TO SHIP</v>
          </cell>
          <cell r="N184" t="str">
            <v>NOT TO SHIP</v>
          </cell>
          <cell r="O184" t="str">
            <v>NOT TO SHIP</v>
          </cell>
          <cell r="P184" t="str">
            <v>NOT TO SHIP</v>
          </cell>
          <cell r="Q184" t="str">
            <v>NOT TO SHIP</v>
          </cell>
          <cell r="R184" t="str">
            <v>NOT TO SHIP</v>
          </cell>
          <cell r="S184" t="str">
            <v>NOT TO SHIP</v>
          </cell>
          <cell r="T184" t="str">
            <v>NOT TO SHIP</v>
          </cell>
          <cell r="U184" t="str">
            <v>NOT TO SHIP</v>
          </cell>
          <cell r="V184" t="str">
            <v>NOT TO SHIP</v>
          </cell>
          <cell r="W184" t="str">
            <v>NOT TO SHIP</v>
          </cell>
        </row>
        <row r="185">
          <cell r="B185" t="str">
            <v>E01047</v>
          </cell>
          <cell r="E185">
            <v>338</v>
          </cell>
          <cell r="F185" t="str">
            <v>DHAN26030055</v>
          </cell>
          <cell r="G185" t="str">
            <v>x</v>
          </cell>
          <cell r="H185" t="str">
            <v>COMPQEQ HK</v>
          </cell>
          <cell r="I185" t="str">
            <v>PCB</v>
          </cell>
          <cell r="J185" t="str">
            <v>Dolphin</v>
          </cell>
          <cell r="K185" t="str">
            <v>Dolphin</v>
          </cell>
          <cell r="L185" t="str">
            <v>HN</v>
          </cell>
          <cell r="M185" t="str">
            <v>HK</v>
          </cell>
          <cell r="N185">
            <v>46085</v>
          </cell>
          <cell r="O185">
            <v>46085</v>
          </cell>
          <cell r="P185">
            <v>46094</v>
          </cell>
          <cell r="Q185">
            <v>9</v>
          </cell>
          <cell r="R185">
            <v>308290866241</v>
          </cell>
          <cell r="S185">
            <v>46085</v>
          </cell>
          <cell r="T185" t="str">
            <v>Inspection</v>
          </cell>
          <cell r="U185">
            <v>252850</v>
          </cell>
          <cell r="V185" t="str">
            <v>NO PAYMENT</v>
          </cell>
          <cell r="W185" t="str">
            <v>No need</v>
          </cell>
          <cell r="X185" t="str">
            <v>DDP</v>
          </cell>
          <cell r="Y185" t="str">
            <v>PURE</v>
          </cell>
          <cell r="Z185" t="str">
            <v>x</v>
          </cell>
          <cell r="AA185" t="str">
            <v>x</v>
          </cell>
        </row>
        <row r="186">
          <cell r="B186" t="str">
            <v>INV06702</v>
          </cell>
          <cell r="E186">
            <v>950.4</v>
          </cell>
          <cell r="F186" t="str">
            <v>SRAF0201487</v>
          </cell>
          <cell r="G186" t="str">
            <v>x</v>
          </cell>
          <cell r="H186" t="str">
            <v>Lucid Arizona</v>
          </cell>
          <cell r="I186" t="str">
            <v>FRONT</v>
          </cell>
          <cell r="J186" t="str">
            <v>DSV</v>
          </cell>
          <cell r="K186" t="str">
            <v>VVMV</v>
          </cell>
          <cell r="L186" t="str">
            <v>HN</v>
          </cell>
          <cell r="M186" t="str">
            <v>US</v>
          </cell>
          <cell r="N186">
            <v>46085</v>
          </cell>
          <cell r="O186">
            <v>46085</v>
          </cell>
          <cell r="P186">
            <v>46128</v>
          </cell>
          <cell r="Q186">
            <v>43</v>
          </cell>
          <cell r="R186">
            <v>308291318810</v>
          </cell>
          <cell r="S186">
            <v>46085</v>
          </cell>
          <cell r="T186" t="str">
            <v>No inspection</v>
          </cell>
          <cell r="U186">
            <v>90930.240000000005</v>
          </cell>
          <cell r="V186" t="str">
            <v>PAYMENT</v>
          </cell>
          <cell r="W186" t="str">
            <v>ok</v>
          </cell>
          <cell r="X186" t="str">
            <v>FCA</v>
          </cell>
          <cell r="Y186" t="str">
            <v>Lucid</v>
          </cell>
          <cell r="Z186" t="str">
            <v>x</v>
          </cell>
          <cell r="AA186" t="str">
            <v>x</v>
          </cell>
        </row>
        <row r="187">
          <cell r="B187" t="str">
            <v>INV06703</v>
          </cell>
          <cell r="E187">
            <v>950.4</v>
          </cell>
          <cell r="F187" t="str">
            <v>SRAF0201625</v>
          </cell>
          <cell r="G187" t="str">
            <v>x</v>
          </cell>
          <cell r="H187" t="str">
            <v>Lucid Arizona</v>
          </cell>
          <cell r="I187" t="str">
            <v>FRONT</v>
          </cell>
          <cell r="J187" t="str">
            <v>DSV</v>
          </cell>
          <cell r="K187" t="str">
            <v>VVMV</v>
          </cell>
          <cell r="L187" t="str">
            <v>HN</v>
          </cell>
          <cell r="M187" t="str">
            <v>US</v>
          </cell>
          <cell r="N187">
            <v>46085</v>
          </cell>
          <cell r="O187">
            <v>46085</v>
          </cell>
          <cell r="P187">
            <v>46127</v>
          </cell>
          <cell r="Q187">
            <v>42</v>
          </cell>
          <cell r="R187">
            <v>308291364530</v>
          </cell>
          <cell r="S187">
            <v>46085</v>
          </cell>
          <cell r="T187" t="str">
            <v>No inspection</v>
          </cell>
          <cell r="U187">
            <v>90930.240000000005</v>
          </cell>
          <cell r="V187" t="str">
            <v>PAYMENT</v>
          </cell>
          <cell r="W187" t="str">
            <v>ok</v>
          </cell>
          <cell r="X187" t="str">
            <v>FCA</v>
          </cell>
          <cell r="Y187" t="str">
            <v>Lucid</v>
          </cell>
          <cell r="Z187" t="str">
            <v>x</v>
          </cell>
          <cell r="AA187" t="str">
            <v>x</v>
          </cell>
        </row>
        <row r="188">
          <cell r="B188" t="str">
            <v>INV06704</v>
          </cell>
          <cell r="E188">
            <v>1705.2</v>
          </cell>
          <cell r="F188" t="str">
            <v>SRAF0203529</v>
          </cell>
          <cell r="G188" t="str">
            <v>x</v>
          </cell>
          <cell r="H188" t="str">
            <v>Lucid Arizona</v>
          </cell>
          <cell r="I188" t="str">
            <v>VCU, REAR, UCC, BCM, DCM</v>
          </cell>
          <cell r="J188" t="str">
            <v>DSV</v>
          </cell>
          <cell r="K188" t="str">
            <v>VVMV</v>
          </cell>
          <cell r="L188" t="str">
            <v>HN</v>
          </cell>
          <cell r="M188" t="str">
            <v>US</v>
          </cell>
          <cell r="N188">
            <v>46091</v>
          </cell>
          <cell r="O188">
            <v>46091</v>
          </cell>
          <cell r="P188">
            <v>46142</v>
          </cell>
          <cell r="Q188">
            <v>51</v>
          </cell>
          <cell r="R188">
            <v>308305905520</v>
          </cell>
          <cell r="S188">
            <v>46090</v>
          </cell>
          <cell r="T188" t="str">
            <v>No inspection</v>
          </cell>
          <cell r="U188">
            <v>394141.2</v>
          </cell>
          <cell r="V188" t="str">
            <v>PAYMENT</v>
          </cell>
          <cell r="W188" t="str">
            <v>OK</v>
          </cell>
          <cell r="X188" t="str">
            <v>FCA</v>
          </cell>
          <cell r="Y188" t="str">
            <v>Lucid</v>
          </cell>
          <cell r="Z188" t="str">
            <v>x</v>
          </cell>
          <cell r="AA188" t="str">
            <v>x</v>
          </cell>
        </row>
        <row r="189">
          <cell r="B189" t="str">
            <v>INV06705</v>
          </cell>
          <cell r="E189">
            <v>547.20000000000005</v>
          </cell>
          <cell r="F189" t="str">
            <v>SHAN0474767</v>
          </cell>
          <cell r="G189" t="str">
            <v>x</v>
          </cell>
          <cell r="H189" t="str">
            <v>Lucid Arizona</v>
          </cell>
          <cell r="I189" t="str">
            <v>CABIN</v>
          </cell>
          <cell r="J189" t="str">
            <v>DSV</v>
          </cell>
          <cell r="K189" t="str">
            <v>VVMV</v>
          </cell>
          <cell r="L189" t="str">
            <v>HN</v>
          </cell>
          <cell r="M189" t="str">
            <v>US</v>
          </cell>
          <cell r="N189">
            <v>46087</v>
          </cell>
          <cell r="O189">
            <v>46087</v>
          </cell>
          <cell r="P189">
            <v>46182</v>
          </cell>
          <cell r="Q189">
            <v>95</v>
          </cell>
          <cell r="R189">
            <v>308298476860</v>
          </cell>
          <cell r="S189">
            <v>46087</v>
          </cell>
          <cell r="T189" t="str">
            <v>No inspection</v>
          </cell>
          <cell r="U189">
            <v>69716.160000000003</v>
          </cell>
          <cell r="V189" t="str">
            <v>PAYMENT</v>
          </cell>
          <cell r="W189" t="str">
            <v>OK</v>
          </cell>
          <cell r="X189" t="str">
            <v>FCA</v>
          </cell>
          <cell r="Y189" t="str">
            <v>Lucid</v>
          </cell>
          <cell r="Z189" t="str">
            <v>x</v>
          </cell>
          <cell r="AA189" t="str">
            <v>x</v>
          </cell>
        </row>
        <row r="190">
          <cell r="B190" t="str">
            <v>INV06706</v>
          </cell>
          <cell r="E190">
            <v>872.4</v>
          </cell>
          <cell r="F190" t="str">
            <v>SHAN0474879</v>
          </cell>
          <cell r="G190" t="str">
            <v>x</v>
          </cell>
          <cell r="H190" t="str">
            <v>Lucid Arizona</v>
          </cell>
          <cell r="I190" t="str">
            <v>ICC, CCCV2, CABIN, REAR, FRONT</v>
          </cell>
          <cell r="J190" t="str">
            <v>DSV</v>
          </cell>
          <cell r="K190" t="str">
            <v>VVMV</v>
          </cell>
          <cell r="L190" t="str">
            <v>HN</v>
          </cell>
          <cell r="M190" t="str">
            <v>US</v>
          </cell>
          <cell r="N190">
            <v>46087</v>
          </cell>
          <cell r="O190">
            <v>46087</v>
          </cell>
          <cell r="P190">
            <v>46182</v>
          </cell>
          <cell r="Q190">
            <v>95</v>
          </cell>
          <cell r="R190">
            <v>308299250620</v>
          </cell>
          <cell r="S190">
            <v>46087</v>
          </cell>
          <cell r="T190" t="str">
            <v>No inspection</v>
          </cell>
          <cell r="U190">
            <v>191036.34</v>
          </cell>
          <cell r="V190" t="str">
            <v>PAYMENT</v>
          </cell>
          <cell r="W190" t="str">
            <v>OK</v>
          </cell>
          <cell r="X190" t="str">
            <v>FCA</v>
          </cell>
          <cell r="Y190" t="str">
            <v>Lucid</v>
          </cell>
          <cell r="Z190" t="str">
            <v>x</v>
          </cell>
          <cell r="AA190" t="str">
            <v>x</v>
          </cell>
        </row>
        <row r="191">
          <cell r="B191" t="str">
            <v>E01048</v>
          </cell>
          <cell r="E191">
            <v>5.7</v>
          </cell>
          <cell r="F191" t="str">
            <v>889346435491</v>
          </cell>
          <cell r="H191" t="str">
            <v>HQ1</v>
          </cell>
          <cell r="J191" t="str">
            <v>FedEx</v>
          </cell>
          <cell r="K191" t="str">
            <v>VVMV</v>
          </cell>
          <cell r="L191" t="str">
            <v>HN</v>
          </cell>
          <cell r="M191" t="str">
            <v>US</v>
          </cell>
          <cell r="N191">
            <v>46087</v>
          </cell>
          <cell r="O191">
            <v>46087</v>
          </cell>
          <cell r="P191">
            <v>46105</v>
          </cell>
          <cell r="Q191">
            <v>18</v>
          </cell>
          <cell r="R191">
            <v>308290775831</v>
          </cell>
          <cell r="S191">
            <v>46086</v>
          </cell>
          <cell r="T191" t="str">
            <v>Inspection</v>
          </cell>
          <cell r="U191">
            <v>4817.3500000000004</v>
          </cell>
          <cell r="V191" t="str">
            <v>NO PAYMENT</v>
          </cell>
          <cell r="W191" t="str">
            <v>No need</v>
          </cell>
          <cell r="X191" t="str">
            <v>DAP</v>
          </cell>
          <cell r="Y191" t="str">
            <v>Transfer</v>
          </cell>
          <cell r="Z191" t="str">
            <v>Transfer material</v>
          </cell>
          <cell r="AA191" t="str">
            <v>x</v>
          </cell>
        </row>
        <row r="192">
          <cell r="B192" t="str">
            <v>INV06707</v>
          </cell>
          <cell r="E192">
            <v>1.6</v>
          </cell>
          <cell r="F192" t="str">
            <v>SRAF0202636</v>
          </cell>
          <cell r="G192" t="str">
            <v>x</v>
          </cell>
          <cell r="H192" t="str">
            <v>Lucid HQ</v>
          </cell>
          <cell r="I192" t="str">
            <v>HCU</v>
          </cell>
          <cell r="J192" t="str">
            <v>DSV</v>
          </cell>
          <cell r="K192" t="str">
            <v>VVMV</v>
          </cell>
          <cell r="L192" t="str">
            <v>HN</v>
          </cell>
          <cell r="M192" t="str">
            <v>US</v>
          </cell>
          <cell r="N192">
            <v>46086</v>
          </cell>
          <cell r="O192">
            <v>46086</v>
          </cell>
          <cell r="P192">
            <v>46090</v>
          </cell>
          <cell r="Q192">
            <v>4</v>
          </cell>
          <cell r="R192">
            <v>308293886151</v>
          </cell>
          <cell r="S192">
            <v>46086</v>
          </cell>
          <cell r="T192" t="str">
            <v>Inspection</v>
          </cell>
          <cell r="U192">
            <v>186.98</v>
          </cell>
          <cell r="V192" t="str">
            <v>NO PAYMENT</v>
          </cell>
          <cell r="W192" t="str">
            <v>No need</v>
          </cell>
          <cell r="X192" t="str">
            <v>FCA</v>
          </cell>
          <cell r="Y192" t="str">
            <v>Lucid</v>
          </cell>
          <cell r="Z192" t="str">
            <v>x</v>
          </cell>
          <cell r="AA192" t="str">
            <v>x</v>
          </cell>
        </row>
        <row r="193">
          <cell r="B193" t="str">
            <v>Sample 736</v>
          </cell>
          <cell r="E193">
            <v>0.2</v>
          </cell>
          <cell r="F193" t="str">
            <v>889273559389</v>
          </cell>
          <cell r="G193" t="str">
            <v>ok</v>
          </cell>
          <cell r="H193" t="str">
            <v>GCE TW</v>
          </cell>
          <cell r="I193" t="str">
            <v>PCB</v>
          </cell>
          <cell r="J193" t="str">
            <v>FedEx</v>
          </cell>
          <cell r="K193" t="str">
            <v>VVMV</v>
          </cell>
          <cell r="L193" t="str">
            <v>HN</v>
          </cell>
          <cell r="M193" t="str">
            <v>TW</v>
          </cell>
          <cell r="N193">
            <v>46085</v>
          </cell>
          <cell r="O193">
            <v>46085</v>
          </cell>
          <cell r="P193">
            <v>46087</v>
          </cell>
          <cell r="Q193">
            <v>2</v>
          </cell>
          <cell r="R193" t="str">
            <v>x</v>
          </cell>
          <cell r="S193" t="str">
            <v>x</v>
          </cell>
          <cell r="T193" t="str">
            <v>x</v>
          </cell>
          <cell r="U193">
            <v>18.22</v>
          </cell>
          <cell r="V193" t="str">
            <v>NO PAYMENT</v>
          </cell>
          <cell r="W193" t="str">
            <v>No need</v>
          </cell>
          <cell r="X193" t="str">
            <v>FCA</v>
          </cell>
          <cell r="Y193" t="str">
            <v>x</v>
          </cell>
          <cell r="Z193" t="str">
            <v>x</v>
          </cell>
          <cell r="AA193" t="str">
            <v>x</v>
          </cell>
        </row>
        <row r="194">
          <cell r="B194" t="str">
            <v>INV06708</v>
          </cell>
          <cell r="E194">
            <v>38.1</v>
          </cell>
          <cell r="F194" t="str">
            <v>889307463314</v>
          </cell>
          <cell r="G194" t="str">
            <v>ok</v>
          </cell>
          <cell r="H194" t="str">
            <v>JABIL MX</v>
          </cell>
          <cell r="I194" t="str">
            <v>HLOB</v>
          </cell>
          <cell r="J194" t="str">
            <v>FedEx</v>
          </cell>
          <cell r="K194" t="str">
            <v>VVMV</v>
          </cell>
          <cell r="L194" t="str">
            <v>HN</v>
          </cell>
          <cell r="M194" t="str">
            <v>MX</v>
          </cell>
          <cell r="N194">
            <v>46086</v>
          </cell>
          <cell r="O194">
            <v>46086</v>
          </cell>
          <cell r="P194">
            <v>46090</v>
          </cell>
          <cell r="Q194">
            <v>4</v>
          </cell>
          <cell r="R194">
            <v>308291104941</v>
          </cell>
          <cell r="S194">
            <v>46086</v>
          </cell>
          <cell r="T194" t="str">
            <v>Inspection</v>
          </cell>
          <cell r="U194">
            <v>124528.32000000001</v>
          </cell>
          <cell r="V194" t="str">
            <v>NO PAYMENT</v>
          </cell>
          <cell r="W194" t="str">
            <v>No need</v>
          </cell>
          <cell r="X194" t="str">
            <v>FCA</v>
          </cell>
          <cell r="Y194" t="str">
            <v>PURE</v>
          </cell>
          <cell r="Z194" t="str">
            <v>x</v>
          </cell>
          <cell r="AA194" t="str">
            <v>x</v>
          </cell>
        </row>
        <row r="195">
          <cell r="B195" t="str">
            <v>INV06709</v>
          </cell>
          <cell r="E195">
            <v>209.8</v>
          </cell>
          <cell r="F195" t="str">
            <v>HAN26000733</v>
          </cell>
          <cell r="G195" t="str">
            <v>x</v>
          </cell>
          <cell r="H195" t="str">
            <v>FCZ</v>
          </cell>
          <cell r="I195" t="str">
            <v>HOPPER, GROVER</v>
          </cell>
          <cell r="J195" t="str">
            <v>Schenker</v>
          </cell>
          <cell r="K195" t="str">
            <v>Schenker</v>
          </cell>
          <cell r="L195" t="str">
            <v>HN</v>
          </cell>
          <cell r="M195" t="str">
            <v>CZ</v>
          </cell>
          <cell r="N195">
            <v>46087</v>
          </cell>
          <cell r="O195">
            <v>46087</v>
          </cell>
          <cell r="P195">
            <v>46091</v>
          </cell>
          <cell r="Q195">
            <v>4</v>
          </cell>
          <cell r="R195">
            <v>308301425260</v>
          </cell>
          <cell r="S195">
            <v>46087</v>
          </cell>
          <cell r="T195" t="str">
            <v>No inspection</v>
          </cell>
          <cell r="U195">
            <v>564903.80000000005</v>
          </cell>
          <cell r="V195" t="str">
            <v>PAYMENT</v>
          </cell>
          <cell r="W195" t="str">
            <v>OK</v>
          </cell>
          <cell r="X195" t="str">
            <v>EXW</v>
          </cell>
          <cell r="Y195" t="str">
            <v>x</v>
          </cell>
          <cell r="Z195" t="str">
            <v>x</v>
          </cell>
          <cell r="AA195" t="str">
            <v>x</v>
          </cell>
        </row>
        <row r="196">
          <cell r="B196" t="str">
            <v>INV06710</v>
          </cell>
          <cell r="E196">
            <v>628</v>
          </cell>
          <cell r="F196" t="str">
            <v>45T0455069</v>
          </cell>
          <cell r="G196" t="str">
            <v>x</v>
          </cell>
          <cell r="H196" t="str">
            <v>FTX</v>
          </cell>
          <cell r="I196" t="str">
            <v>HOPPER, GROVER, EIGER</v>
          </cell>
          <cell r="J196" t="str">
            <v>Expeditors</v>
          </cell>
          <cell r="K196" t="str">
            <v>Expeditors</v>
          </cell>
          <cell r="L196" t="str">
            <v>HN</v>
          </cell>
          <cell r="M196" t="str">
            <v>US</v>
          </cell>
          <cell r="N196">
            <v>46087</v>
          </cell>
          <cell r="O196">
            <v>46087</v>
          </cell>
          <cell r="P196">
            <v>46094</v>
          </cell>
          <cell r="Q196">
            <v>7</v>
          </cell>
          <cell r="R196">
            <v>308300778130</v>
          </cell>
          <cell r="S196">
            <v>46087</v>
          </cell>
          <cell r="T196" t="str">
            <v>No inspection</v>
          </cell>
          <cell r="U196">
            <v>1154441.8</v>
          </cell>
          <cell r="V196" t="str">
            <v>PAYMENT</v>
          </cell>
          <cell r="W196" t="str">
            <v>OK</v>
          </cell>
          <cell r="X196" t="str">
            <v>EXW</v>
          </cell>
          <cell r="Y196" t="str">
            <v>x</v>
          </cell>
          <cell r="Z196" t="str">
            <v>x</v>
          </cell>
          <cell r="AA196" t="str">
            <v>x</v>
          </cell>
        </row>
        <row r="197">
          <cell r="B197" t="str">
            <v>INV06711</v>
          </cell>
          <cell r="E197">
            <v>876</v>
          </cell>
          <cell r="F197" t="str">
            <v>SRAF0206492</v>
          </cell>
          <cell r="G197" t="str">
            <v>x</v>
          </cell>
          <cell r="H197" t="str">
            <v>HELLA</v>
          </cell>
          <cell r="I197" t="str">
            <v>HCU</v>
          </cell>
          <cell r="J197" t="str">
            <v>DSV</v>
          </cell>
          <cell r="K197" t="str">
            <v>VVMV</v>
          </cell>
          <cell r="L197" t="str">
            <v>HN</v>
          </cell>
          <cell r="M197" t="str">
            <v>DE</v>
          </cell>
          <cell r="N197">
            <v>46094</v>
          </cell>
          <cell r="O197">
            <v>46094</v>
          </cell>
          <cell r="P197">
            <v>46105</v>
          </cell>
          <cell r="Q197">
            <v>11</v>
          </cell>
          <cell r="R197">
            <v>308324725020</v>
          </cell>
          <cell r="S197">
            <v>46094</v>
          </cell>
          <cell r="T197" t="str">
            <v>No inspection</v>
          </cell>
          <cell r="U197">
            <v>134625.60000000001</v>
          </cell>
          <cell r="V197" t="str">
            <v>PAYMENT</v>
          </cell>
          <cell r="W197" t="str">
            <v>OK</v>
          </cell>
          <cell r="X197" t="str">
            <v>FCA</v>
          </cell>
          <cell r="Y197" t="str">
            <v>Lucid</v>
          </cell>
          <cell r="Z197" t="str">
            <v>x</v>
          </cell>
          <cell r="AA197" t="str">
            <v>x</v>
          </cell>
        </row>
        <row r="198">
          <cell r="B198" t="str">
            <v>E01049</v>
          </cell>
          <cell r="E198">
            <v>9.4</v>
          </cell>
          <cell r="F198" t="str">
            <v>889346659976</v>
          </cell>
          <cell r="G198" t="str">
            <v>ok</v>
          </cell>
          <cell r="H198" t="str">
            <v>KINGSTON</v>
          </cell>
          <cell r="J198" t="str">
            <v>FedEx</v>
          </cell>
          <cell r="K198" t="str">
            <v>VVMV</v>
          </cell>
          <cell r="L198" t="str">
            <v>HN</v>
          </cell>
          <cell r="M198" t="str">
            <v>US</v>
          </cell>
          <cell r="N198">
            <v>46087</v>
          </cell>
          <cell r="O198">
            <v>46087</v>
          </cell>
          <cell r="P198">
            <v>46092</v>
          </cell>
          <cell r="Q198">
            <v>18</v>
          </cell>
          <cell r="R198">
            <v>308298656431</v>
          </cell>
          <cell r="S198">
            <v>46087</v>
          </cell>
          <cell r="T198" t="str">
            <v>Inspection</v>
          </cell>
          <cell r="U198">
            <v>796905.6</v>
          </cell>
          <cell r="V198" t="str">
            <v>NO PAYMENT</v>
          </cell>
          <cell r="W198" t="str">
            <v>No need</v>
          </cell>
          <cell r="X198" t="str">
            <v>FCA</v>
          </cell>
          <cell r="Y198" t="str">
            <v>PURE</v>
          </cell>
          <cell r="Z198" t="str">
            <v>x</v>
          </cell>
          <cell r="AA198" t="str">
            <v>Lily charge customs fee to customer</v>
          </cell>
        </row>
        <row r="199">
          <cell r="B199" t="str">
            <v>INV06712</v>
          </cell>
          <cell r="E199">
            <v>439.8</v>
          </cell>
          <cell r="F199" t="str">
            <v>889351433373</v>
          </cell>
          <cell r="G199" t="str">
            <v>ok</v>
          </cell>
          <cell r="H199" t="str">
            <v>Jabil MX</v>
          </cell>
          <cell r="I199" t="str">
            <v>HLOB</v>
          </cell>
          <cell r="J199" t="str">
            <v>FedEx</v>
          </cell>
          <cell r="K199" t="str">
            <v>VVMV</v>
          </cell>
          <cell r="L199" t="str">
            <v>HN</v>
          </cell>
          <cell r="M199" t="str">
            <v>MX</v>
          </cell>
          <cell r="N199">
            <v>46088</v>
          </cell>
          <cell r="O199">
            <v>46088</v>
          </cell>
          <cell r="P199">
            <v>46093</v>
          </cell>
          <cell r="Q199">
            <v>5</v>
          </cell>
          <cell r="R199">
            <v>308300435830</v>
          </cell>
          <cell r="S199">
            <v>46087</v>
          </cell>
          <cell r="T199" t="str">
            <v>No inspection</v>
          </cell>
          <cell r="U199">
            <v>2957547.6</v>
          </cell>
          <cell r="V199" t="str">
            <v>PAYMENT</v>
          </cell>
          <cell r="W199" t="str">
            <v>OK</v>
          </cell>
          <cell r="X199" t="str">
            <v>FCA</v>
          </cell>
          <cell r="Y199" t="str">
            <v>PURE</v>
          </cell>
          <cell r="Z199" t="str">
            <v>x</v>
          </cell>
          <cell r="AA199" t="str">
            <v>x</v>
          </cell>
        </row>
        <row r="200">
          <cell r="B200" t="str">
            <v>INV06713</v>
          </cell>
          <cell r="E200">
            <v>439.8</v>
          </cell>
          <cell r="F200" t="str">
            <v>889351499263</v>
          </cell>
          <cell r="G200" t="str">
            <v>ok</v>
          </cell>
          <cell r="H200" t="str">
            <v>Jabil MX</v>
          </cell>
          <cell r="I200" t="str">
            <v>HLOB</v>
          </cell>
          <cell r="J200" t="str">
            <v>FedEx</v>
          </cell>
          <cell r="K200" t="str">
            <v>VVMV</v>
          </cell>
          <cell r="L200" t="str">
            <v>HN</v>
          </cell>
          <cell r="M200" t="str">
            <v>MX</v>
          </cell>
          <cell r="N200">
            <v>46088</v>
          </cell>
          <cell r="O200">
            <v>46088</v>
          </cell>
          <cell r="P200">
            <v>46093</v>
          </cell>
          <cell r="Q200">
            <v>5</v>
          </cell>
          <cell r="R200">
            <v>308300513530</v>
          </cell>
          <cell r="S200">
            <v>46087</v>
          </cell>
          <cell r="T200" t="str">
            <v>No inspection</v>
          </cell>
          <cell r="U200">
            <v>2957547.6</v>
          </cell>
          <cell r="V200" t="str">
            <v>PAYMENT</v>
          </cell>
          <cell r="W200" t="str">
            <v>OK</v>
          </cell>
          <cell r="X200" t="str">
            <v>FCA</v>
          </cell>
          <cell r="Y200" t="str">
            <v>PURE</v>
          </cell>
          <cell r="Z200" t="str">
            <v>x</v>
          </cell>
          <cell r="AA200" t="str">
            <v>x</v>
          </cell>
        </row>
        <row r="201">
          <cell r="B201" t="str">
            <v>E01050</v>
          </cell>
          <cell r="E201">
            <v>147</v>
          </cell>
          <cell r="F201" t="str">
            <v>9641954490</v>
          </cell>
          <cell r="G201" t="str">
            <v>x</v>
          </cell>
          <cell r="H201" t="str">
            <v>Advanced TW</v>
          </cell>
          <cell r="I201" t="str">
            <v>IC</v>
          </cell>
          <cell r="J201" t="str">
            <v>HOLD</v>
          </cell>
          <cell r="K201" t="str">
            <v>VVMV</v>
          </cell>
          <cell r="L201" t="str">
            <v>HN</v>
          </cell>
          <cell r="M201" t="str">
            <v>TW</v>
          </cell>
          <cell r="N201" t="str">
            <v>HOLD</v>
          </cell>
          <cell r="O201" t="str">
            <v>HOLD</v>
          </cell>
          <cell r="P201" t="str">
            <v>In Transit</v>
          </cell>
          <cell r="Q201" t="e">
            <v>#VALUE!</v>
          </cell>
          <cell r="W201" t="str">
            <v>No need</v>
          </cell>
        </row>
        <row r="202">
          <cell r="B202" t="str">
            <v>Sample 737</v>
          </cell>
          <cell r="E202">
            <v>0.4</v>
          </cell>
          <cell r="F202" t="str">
            <v>x</v>
          </cell>
          <cell r="G202" t="str">
            <v>x</v>
          </cell>
          <cell r="H202" t="str">
            <v>WUS</v>
          </cell>
          <cell r="I202" t="str">
            <v>PCB</v>
          </cell>
          <cell r="J202" t="str">
            <v>FWD của đầu nhận</v>
          </cell>
          <cell r="K202" t="str">
            <v>x</v>
          </cell>
          <cell r="L202" t="str">
            <v>HN</v>
          </cell>
          <cell r="M202" t="str">
            <v>CN</v>
          </cell>
          <cell r="N202">
            <v>46087</v>
          </cell>
          <cell r="O202">
            <v>46087</v>
          </cell>
          <cell r="P202">
            <v>46087</v>
          </cell>
          <cell r="Q202">
            <v>0</v>
          </cell>
          <cell r="R202" t="str">
            <v>x</v>
          </cell>
          <cell r="S202" t="str">
            <v>x</v>
          </cell>
          <cell r="T202" t="str">
            <v>x</v>
          </cell>
          <cell r="U202">
            <v>28.5</v>
          </cell>
          <cell r="V202" t="str">
            <v>NO PAYMENT</v>
          </cell>
          <cell r="W202" t="str">
            <v>No need</v>
          </cell>
          <cell r="X202" t="str">
            <v>EXW</v>
          </cell>
          <cell r="Y202" t="str">
            <v>x</v>
          </cell>
          <cell r="Z202" t="str">
            <v>x</v>
          </cell>
          <cell r="AA202" t="str">
            <v>x</v>
          </cell>
        </row>
        <row r="203">
          <cell r="B203" t="str">
            <v>INV06714</v>
          </cell>
          <cell r="E203">
            <v>28.7</v>
          </cell>
          <cell r="F203" t="str">
            <v>MIQSGN04994</v>
          </cell>
          <cell r="G203" t="str">
            <v>x</v>
          </cell>
          <cell r="H203" t="str">
            <v>EFI US</v>
          </cell>
          <cell r="I203" t="str">
            <v>PCBA</v>
          </cell>
          <cell r="J203" t="str">
            <v>Noatum</v>
          </cell>
          <cell r="K203" t="str">
            <v>Noatum</v>
          </cell>
          <cell r="L203" t="str">
            <v>HN</v>
          </cell>
          <cell r="M203" t="str">
            <v>US</v>
          </cell>
          <cell r="N203">
            <v>46090</v>
          </cell>
          <cell r="O203">
            <v>46090</v>
          </cell>
          <cell r="P203">
            <v>46093</v>
          </cell>
          <cell r="Q203">
            <v>3</v>
          </cell>
          <cell r="R203">
            <v>308305976660</v>
          </cell>
          <cell r="S203">
            <v>46090</v>
          </cell>
          <cell r="T203" t="str">
            <v>No inspection</v>
          </cell>
          <cell r="U203">
            <v>12141.22</v>
          </cell>
          <cell r="V203" t="str">
            <v>PAYMENT</v>
          </cell>
          <cell r="W203" t="str">
            <v>OK</v>
          </cell>
          <cell r="X203" t="str">
            <v>EXW</v>
          </cell>
          <cell r="Y203" t="str">
            <v>x</v>
          </cell>
          <cell r="Z203" t="str">
            <v>x</v>
          </cell>
          <cell r="AA203" t="str">
            <v>x</v>
          </cell>
        </row>
        <row r="204">
          <cell r="B204" t="str">
            <v>INV06715</v>
          </cell>
          <cell r="E204">
            <v>3069.6</v>
          </cell>
          <cell r="F204" t="str">
            <v>SHAN0476912</v>
          </cell>
          <cell r="G204" t="str">
            <v>x</v>
          </cell>
          <cell r="H204" t="str">
            <v>Lucid Arizona</v>
          </cell>
          <cell r="I204" t="str">
            <v>VCU, REAR, UCC, BCM, FRONT, CABIN, REAR, DCM</v>
          </cell>
          <cell r="J204" t="str">
            <v>DSV</v>
          </cell>
          <cell r="K204" t="str">
            <v>VVMV</v>
          </cell>
          <cell r="L204" t="str">
            <v>HN</v>
          </cell>
          <cell r="M204" t="str">
            <v>US</v>
          </cell>
          <cell r="N204">
            <v>46097</v>
          </cell>
          <cell r="O204">
            <v>46097</v>
          </cell>
          <cell r="P204">
            <v>46146</v>
          </cell>
          <cell r="Q204">
            <v>49</v>
          </cell>
          <cell r="R204">
            <v>308325456410</v>
          </cell>
          <cell r="S204">
            <v>46097</v>
          </cell>
          <cell r="T204" t="str">
            <v>No inspection</v>
          </cell>
          <cell r="U204">
            <v>535756.31999999995</v>
          </cell>
          <cell r="V204" t="str">
            <v>PAYMENT</v>
          </cell>
          <cell r="W204" t="str">
            <v>OK</v>
          </cell>
          <cell r="X204" t="str">
            <v>FCA</v>
          </cell>
          <cell r="Y204" t="str">
            <v>Lucid</v>
          </cell>
          <cell r="Z204" t="str">
            <v>x</v>
          </cell>
          <cell r="AA204" t="str">
            <v>x</v>
          </cell>
        </row>
        <row r="205">
          <cell r="B205" t="str">
            <v>INV06716</v>
          </cell>
          <cell r="E205">
            <v>684</v>
          </cell>
          <cell r="F205" t="str">
            <v>SHAN0476877</v>
          </cell>
          <cell r="G205" t="str">
            <v>x</v>
          </cell>
          <cell r="H205" t="str">
            <v>Lucid Arizona</v>
          </cell>
          <cell r="I205" t="str">
            <v>ICC, CABIN, REAR</v>
          </cell>
          <cell r="J205" t="str">
            <v>DSV</v>
          </cell>
          <cell r="K205" t="str">
            <v>VVMV</v>
          </cell>
          <cell r="L205" t="str">
            <v>HN</v>
          </cell>
          <cell r="M205" t="str">
            <v>US</v>
          </cell>
          <cell r="N205">
            <v>46090</v>
          </cell>
          <cell r="O205">
            <v>46090</v>
          </cell>
          <cell r="P205" t="str">
            <v>release ngay 03</v>
          </cell>
          <cell r="Q205" t="e">
            <v>#VALUE!</v>
          </cell>
          <cell r="R205">
            <v>308307205160</v>
          </cell>
          <cell r="S205">
            <v>46090</v>
          </cell>
          <cell r="T205" t="str">
            <v>No inspection</v>
          </cell>
          <cell r="U205">
            <v>129714.48</v>
          </cell>
          <cell r="V205" t="str">
            <v>PAYMENT</v>
          </cell>
          <cell r="W205" t="str">
            <v>OK</v>
          </cell>
          <cell r="X205" t="str">
            <v>FCA</v>
          </cell>
          <cell r="Y205" t="str">
            <v>Lucid</v>
          </cell>
          <cell r="Z205" t="str">
            <v>x</v>
          </cell>
          <cell r="AA205" t="str">
            <v>x</v>
          </cell>
        </row>
        <row r="206">
          <cell r="B206" t="str">
            <v>Sample 738</v>
          </cell>
          <cell r="E206">
            <v>1.3</v>
          </cell>
          <cell r="F206" t="str">
            <v>889409978121</v>
          </cell>
          <cell r="H206" t="str">
            <v>PURE US</v>
          </cell>
          <cell r="J206" t="str">
            <v>FedEx</v>
          </cell>
          <cell r="K206" t="str">
            <v>VVMV</v>
          </cell>
          <cell r="L206" t="str">
            <v>HN</v>
          </cell>
          <cell r="M206" t="str">
            <v>US</v>
          </cell>
          <cell r="N206">
            <v>46090</v>
          </cell>
          <cell r="O206">
            <v>46090</v>
          </cell>
          <cell r="P206">
            <v>46092</v>
          </cell>
          <cell r="Q206">
            <v>2</v>
          </cell>
          <cell r="R206" t="str">
            <v>x</v>
          </cell>
          <cell r="S206" t="str">
            <v>x</v>
          </cell>
          <cell r="T206" t="str">
            <v>x</v>
          </cell>
          <cell r="U206">
            <v>5</v>
          </cell>
          <cell r="V206" t="str">
            <v>NO PAYMENT</v>
          </cell>
          <cell r="W206" t="str">
            <v>No need</v>
          </cell>
          <cell r="X206" t="str">
            <v>FCA</v>
          </cell>
          <cell r="Y206" t="str">
            <v>x</v>
          </cell>
          <cell r="Z206" t="str">
            <v>x</v>
          </cell>
          <cell r="AA206" t="str">
            <v>x</v>
          </cell>
        </row>
        <row r="207">
          <cell r="B207" t="str">
            <v>INV06717</v>
          </cell>
          <cell r="E207">
            <v>2833.2</v>
          </cell>
          <cell r="F207" t="str">
            <v>SHAN0477377</v>
          </cell>
          <cell r="G207" t="str">
            <v>x</v>
          </cell>
          <cell r="H207" t="str">
            <v>Lucid Arizona</v>
          </cell>
          <cell r="I207" t="str">
            <v>VCU, REAR, UCC, BCM, DCM, FRONT, CABIN</v>
          </cell>
          <cell r="J207" t="str">
            <v>DSV</v>
          </cell>
          <cell r="K207" t="str">
            <v>VVMV</v>
          </cell>
          <cell r="L207" t="str">
            <v>HN</v>
          </cell>
          <cell r="M207" t="str">
            <v>US</v>
          </cell>
          <cell r="N207">
            <v>46097</v>
          </cell>
          <cell r="O207">
            <v>46097</v>
          </cell>
          <cell r="P207">
            <v>46146</v>
          </cell>
          <cell r="Q207">
            <v>49</v>
          </cell>
          <cell r="R207">
            <v>308325311840</v>
          </cell>
          <cell r="S207">
            <v>46097</v>
          </cell>
          <cell r="T207" t="str">
            <v>No inspection</v>
          </cell>
          <cell r="U207">
            <v>449952.6</v>
          </cell>
          <cell r="V207" t="str">
            <v>PAYMENT</v>
          </cell>
          <cell r="W207" t="str">
            <v>OK</v>
          </cell>
          <cell r="X207" t="str">
            <v>FCA</v>
          </cell>
          <cell r="Y207" t="str">
            <v>Lucid</v>
          </cell>
          <cell r="Z207" t="str">
            <v>x</v>
          </cell>
          <cell r="AA207" t="str">
            <v>x</v>
          </cell>
        </row>
        <row r="208">
          <cell r="B208" t="str">
            <v>INV06718</v>
          </cell>
          <cell r="E208">
            <v>646.20000000000005</v>
          </cell>
          <cell r="F208" t="str">
            <v>SHAN0476994</v>
          </cell>
          <cell r="G208" t="str">
            <v>x</v>
          </cell>
          <cell r="H208" t="str">
            <v>Lucid Arizona</v>
          </cell>
          <cell r="I208" t="str">
            <v>CCV2, REAR</v>
          </cell>
          <cell r="J208" t="str">
            <v>DSV</v>
          </cell>
          <cell r="K208" t="str">
            <v>VVMV</v>
          </cell>
          <cell r="L208" t="str">
            <v>HN</v>
          </cell>
          <cell r="M208" t="str">
            <v>US</v>
          </cell>
          <cell r="N208">
            <v>46093</v>
          </cell>
          <cell r="O208">
            <v>46093</v>
          </cell>
          <cell r="P208">
            <v>46185</v>
          </cell>
          <cell r="Q208">
            <v>92</v>
          </cell>
          <cell r="R208">
            <v>308318323850</v>
          </cell>
          <cell r="S208">
            <v>46093</v>
          </cell>
          <cell r="T208" t="str">
            <v>No inspection</v>
          </cell>
          <cell r="U208">
            <v>254301.12</v>
          </cell>
          <cell r="V208" t="str">
            <v>PAYMENT</v>
          </cell>
          <cell r="W208" t="str">
            <v>OK</v>
          </cell>
          <cell r="X208" t="str">
            <v>FCA</v>
          </cell>
          <cell r="Y208" t="str">
            <v>Lucid</v>
          </cell>
          <cell r="Z208" t="str">
            <v>x</v>
          </cell>
          <cell r="AA208" t="str">
            <v>x</v>
          </cell>
        </row>
        <row r="209">
          <cell r="B209" t="str">
            <v>E01051</v>
          </cell>
          <cell r="E209">
            <v>2.2999999999999998</v>
          </cell>
          <cell r="F209" t="str">
            <v>889492413282</v>
          </cell>
          <cell r="H209" t="str">
            <v>AMAX</v>
          </cell>
          <cell r="I209" t="str">
            <v>DDR4 (hàng MY sx, mở NVL)</v>
          </cell>
          <cell r="J209" t="str">
            <v>FedEx</v>
          </cell>
          <cell r="K209" t="str">
            <v>VVMV</v>
          </cell>
          <cell r="L209" t="str">
            <v>HN</v>
          </cell>
          <cell r="M209" t="str">
            <v>TW</v>
          </cell>
          <cell r="N209">
            <v>46092</v>
          </cell>
          <cell r="O209">
            <v>46092</v>
          </cell>
          <cell r="P209">
            <v>46099</v>
          </cell>
          <cell r="Q209">
            <v>7</v>
          </cell>
          <cell r="R209">
            <v>308308267321</v>
          </cell>
          <cell r="S209">
            <v>46091</v>
          </cell>
          <cell r="T209" t="str">
            <v>Inspection</v>
          </cell>
          <cell r="U209">
            <v>480</v>
          </cell>
          <cell r="V209" t="str">
            <v>NO PAYMENT</v>
          </cell>
          <cell r="W209" t="str">
            <v>No need</v>
          </cell>
          <cell r="X209" t="str">
            <v>DAP</v>
          </cell>
          <cell r="Y209" t="str">
            <v>OEM</v>
          </cell>
          <cell r="Z209" t="str">
            <v>return after testing</v>
          </cell>
          <cell r="AA209" t="str">
            <v>Lily charge $250 shipping docs &amp; customs fee to customer</v>
          </cell>
        </row>
        <row r="210">
          <cell r="B210" t="str">
            <v>INV06719</v>
          </cell>
          <cell r="E210">
            <v>864</v>
          </cell>
          <cell r="F210" t="str">
            <v>HBL2603014</v>
          </cell>
          <cell r="G210" t="str">
            <v>x</v>
          </cell>
          <cell r="H210" t="str">
            <v>DAA</v>
          </cell>
          <cell r="I210" t="str">
            <v>USB</v>
          </cell>
          <cell r="J210" t="str">
            <v>Prime</v>
          </cell>
          <cell r="K210" t="str">
            <v>Prime</v>
          </cell>
          <cell r="L210" t="str">
            <v>HN</v>
          </cell>
          <cell r="M210" t="str">
            <v>MX</v>
          </cell>
          <cell r="N210">
            <v>46094</v>
          </cell>
          <cell r="O210">
            <v>46094</v>
          </cell>
          <cell r="P210">
            <v>46163</v>
          </cell>
          <cell r="Q210">
            <v>69</v>
          </cell>
          <cell r="R210">
            <v>308323035000</v>
          </cell>
          <cell r="S210">
            <v>46094</v>
          </cell>
          <cell r="T210" t="str">
            <v>No inspection</v>
          </cell>
          <cell r="U210">
            <v>99290.880000000005</v>
          </cell>
          <cell r="V210" t="str">
            <v>PAYMENT</v>
          </cell>
          <cell r="W210" t="str">
            <v>OK</v>
          </cell>
          <cell r="X210" t="str">
            <v>EXW</v>
          </cell>
          <cell r="Y210" t="str">
            <v>x</v>
          </cell>
          <cell r="Z210" t="str">
            <v>x</v>
          </cell>
          <cell r="AA210" t="str">
            <v>x</v>
          </cell>
        </row>
        <row r="211">
          <cell r="B211" t="str">
            <v>SAMPLE 739</v>
          </cell>
          <cell r="E211">
            <v>0.6</v>
          </cell>
          <cell r="F211" t="str">
            <v>889455862493</v>
          </cell>
          <cell r="G211" t="str">
            <v>ok</v>
          </cell>
          <cell r="H211" t="str">
            <v>ASE</v>
          </cell>
          <cell r="I211" t="str">
            <v>IC</v>
          </cell>
          <cell r="J211" t="str">
            <v>FedEx</v>
          </cell>
          <cell r="K211" t="str">
            <v>x</v>
          </cell>
          <cell r="L211" t="str">
            <v>HN</v>
          </cell>
          <cell r="M211" t="str">
            <v>TW</v>
          </cell>
          <cell r="N211">
            <v>46091</v>
          </cell>
          <cell r="O211">
            <v>46091</v>
          </cell>
          <cell r="P211">
            <v>46093</v>
          </cell>
          <cell r="Q211">
            <v>2</v>
          </cell>
          <cell r="R211" t="str">
            <v>x</v>
          </cell>
          <cell r="S211" t="str">
            <v>x</v>
          </cell>
          <cell r="T211" t="str">
            <v>x</v>
          </cell>
          <cell r="U211">
            <v>8</v>
          </cell>
          <cell r="V211" t="str">
            <v>NO PAYMENT</v>
          </cell>
          <cell r="W211" t="str">
            <v>No need</v>
          </cell>
          <cell r="X211" t="str">
            <v>DAP</v>
          </cell>
          <cell r="Y211" t="str">
            <v>PURE</v>
          </cell>
          <cell r="Z211" t="str">
            <v>Ship QA's sample for evaluation</v>
          </cell>
          <cell r="AA211" t="str">
            <v>x</v>
          </cell>
        </row>
        <row r="212">
          <cell r="B212" t="str">
            <v>E01052</v>
          </cell>
          <cell r="E212">
            <v>0.5</v>
          </cell>
          <cell r="F212" t="str">
            <v>889499159442</v>
          </cell>
          <cell r="G212" t="str">
            <v>ok</v>
          </cell>
          <cell r="H212" t="str">
            <v>Compeq</v>
          </cell>
          <cell r="I212" t="str">
            <v>pcb</v>
          </cell>
          <cell r="J212" t="str">
            <v>Fedex</v>
          </cell>
          <cell r="K212" t="str">
            <v>VVMV</v>
          </cell>
          <cell r="L212" t="str">
            <v>HN</v>
          </cell>
          <cell r="M212" t="str">
            <v>TW</v>
          </cell>
          <cell r="N212">
            <v>46092</v>
          </cell>
          <cell r="O212">
            <v>46092</v>
          </cell>
          <cell r="P212">
            <v>46099</v>
          </cell>
          <cell r="Q212">
            <v>7</v>
          </cell>
          <cell r="R212" t="str">
            <v>308312417841</v>
          </cell>
          <cell r="S212">
            <v>46092</v>
          </cell>
          <cell r="T212" t="str">
            <v>Inspection</v>
          </cell>
          <cell r="U212">
            <v>43</v>
          </cell>
          <cell r="V212" t="str">
            <v>NO PAYMENT</v>
          </cell>
          <cell r="W212" t="str">
            <v>No need</v>
          </cell>
          <cell r="X212" t="str">
            <v>FCA</v>
          </cell>
          <cell r="Y212" t="str">
            <v>PURE</v>
          </cell>
          <cell r="Z212" t="str">
            <v>x</v>
          </cell>
          <cell r="AA212" t="str">
            <v>customer paid the customs fee</v>
          </cell>
        </row>
        <row r="213">
          <cell r="B213" t="str">
            <v>INV06720</v>
          </cell>
          <cell r="E213">
            <v>13.1</v>
          </cell>
          <cell r="F213" t="str">
            <v>889492636430</v>
          </cell>
          <cell r="G213" t="str">
            <v>ok</v>
          </cell>
          <cell r="H213" t="str">
            <v>Jabil MX</v>
          </cell>
          <cell r="I213" t="str">
            <v>HLOB</v>
          </cell>
          <cell r="J213" t="str">
            <v>FedEx</v>
          </cell>
          <cell r="K213" t="str">
            <v>VVMV</v>
          </cell>
          <cell r="L213" t="str">
            <v>HN</v>
          </cell>
          <cell r="M213" t="str">
            <v>MX</v>
          </cell>
          <cell r="N213">
            <v>46092</v>
          </cell>
          <cell r="O213">
            <v>46092</v>
          </cell>
          <cell r="P213">
            <v>46098</v>
          </cell>
          <cell r="Q213">
            <v>6</v>
          </cell>
          <cell r="R213">
            <v>308312320321</v>
          </cell>
          <cell r="S213">
            <v>46092</v>
          </cell>
          <cell r="T213" t="str">
            <v>Inspection</v>
          </cell>
          <cell r="U213">
            <v>25943.4</v>
          </cell>
          <cell r="V213" t="str">
            <v>NO PAYMENT</v>
          </cell>
          <cell r="W213" t="str">
            <v>No need</v>
          </cell>
          <cell r="X213" t="str">
            <v>FCA</v>
          </cell>
          <cell r="Y213" t="str">
            <v>PURE</v>
          </cell>
          <cell r="Z213" t="str">
            <v>x</v>
          </cell>
          <cell r="AA213" t="str">
            <v>x</v>
          </cell>
        </row>
        <row r="214">
          <cell r="B214" t="str">
            <v>INV06721</v>
          </cell>
          <cell r="E214">
            <v>1593.6</v>
          </cell>
          <cell r="F214" t="str">
            <v>SRAF0215465</v>
          </cell>
          <cell r="G214" t="str">
            <v>x</v>
          </cell>
          <cell r="H214" t="str">
            <v>Lucid Arizona</v>
          </cell>
          <cell r="I214" t="str">
            <v>VCU, REAR, UCC, FRONT, DCM</v>
          </cell>
          <cell r="J214" t="str">
            <v>DSV</v>
          </cell>
          <cell r="K214" t="str">
            <v>VVMV</v>
          </cell>
          <cell r="L214" t="str">
            <v>HN</v>
          </cell>
          <cell r="M214" t="str">
            <v>US</v>
          </cell>
          <cell r="N214">
            <v>46094</v>
          </cell>
          <cell r="O214">
            <v>46094</v>
          </cell>
          <cell r="P214">
            <v>46148</v>
          </cell>
          <cell r="Q214">
            <v>54</v>
          </cell>
          <cell r="R214">
            <v>308322107240</v>
          </cell>
          <cell r="S214">
            <v>46094</v>
          </cell>
          <cell r="T214" t="str">
            <v>No inspection</v>
          </cell>
          <cell r="U214">
            <v>339411.6</v>
          </cell>
          <cell r="V214" t="str">
            <v>PAYMENT</v>
          </cell>
          <cell r="W214" t="str">
            <v>OK</v>
          </cell>
          <cell r="X214" t="str">
            <v>FCA</v>
          </cell>
          <cell r="Y214" t="str">
            <v>Lucid</v>
          </cell>
          <cell r="Z214" t="str">
            <v>x</v>
          </cell>
          <cell r="AA214" t="str">
            <v>x</v>
          </cell>
        </row>
        <row r="215">
          <cell r="B215" t="str">
            <v>INV06722</v>
          </cell>
          <cell r="E215">
            <v>1297.2</v>
          </cell>
          <cell r="F215" t="str">
            <v>SHAN0477453</v>
          </cell>
          <cell r="G215" t="str">
            <v>x</v>
          </cell>
          <cell r="H215" t="str">
            <v>Lucid Arizona</v>
          </cell>
          <cell r="I215" t="str">
            <v>REAR, CABIN</v>
          </cell>
          <cell r="J215" t="str">
            <v>DSV</v>
          </cell>
          <cell r="K215" t="str">
            <v>VVMV</v>
          </cell>
          <cell r="L215" t="str">
            <v>HN</v>
          </cell>
          <cell r="M215" t="str">
            <v>US</v>
          </cell>
          <cell r="N215">
            <v>46094</v>
          </cell>
          <cell r="O215">
            <v>46094</v>
          </cell>
          <cell r="P215">
            <v>46184</v>
          </cell>
          <cell r="Q215">
            <v>90</v>
          </cell>
          <cell r="R215">
            <v>308322171750</v>
          </cell>
          <cell r="S215">
            <v>46094</v>
          </cell>
          <cell r="T215" t="str">
            <v>No inspection</v>
          </cell>
          <cell r="U215">
            <v>195918</v>
          </cell>
          <cell r="V215" t="str">
            <v>PAYMENT</v>
          </cell>
          <cell r="W215" t="str">
            <v>OK</v>
          </cell>
          <cell r="X215" t="str">
            <v>FCA</v>
          </cell>
          <cell r="Y215" t="str">
            <v>Lucid</v>
          </cell>
          <cell r="Z215" t="str">
            <v>x</v>
          </cell>
          <cell r="AA215" t="str">
            <v>x</v>
          </cell>
        </row>
        <row r="216">
          <cell r="B216" t="str">
            <v>INV06723</v>
          </cell>
          <cell r="E216">
            <v>927.7</v>
          </cell>
          <cell r="F216" t="str">
            <v>SHAN0477455</v>
          </cell>
          <cell r="G216" t="str">
            <v>x</v>
          </cell>
          <cell r="H216" t="str">
            <v>Lucid Arizona</v>
          </cell>
          <cell r="I216" t="str">
            <v>ICC, CCCV2, CABIN, REAR</v>
          </cell>
          <cell r="J216" t="str">
            <v>DSV</v>
          </cell>
          <cell r="K216" t="str">
            <v>VVMV</v>
          </cell>
          <cell r="L216" t="str">
            <v>HN</v>
          </cell>
          <cell r="M216" t="str">
            <v>US</v>
          </cell>
          <cell r="N216">
            <v>46094</v>
          </cell>
          <cell r="O216">
            <v>46094</v>
          </cell>
          <cell r="P216">
            <v>46188</v>
          </cell>
          <cell r="Q216">
            <v>94</v>
          </cell>
          <cell r="R216">
            <v>308322232910</v>
          </cell>
          <cell r="S216">
            <v>46094</v>
          </cell>
          <cell r="T216" t="str">
            <v>No inspection</v>
          </cell>
          <cell r="U216">
            <v>220122.36</v>
          </cell>
          <cell r="V216" t="str">
            <v>PAYMENT</v>
          </cell>
          <cell r="W216" t="str">
            <v>OK</v>
          </cell>
          <cell r="X216" t="str">
            <v>FCA</v>
          </cell>
          <cell r="Y216" t="str">
            <v>Lucid</v>
          </cell>
          <cell r="Z216" t="str">
            <v>x</v>
          </cell>
          <cell r="AA216" t="str">
            <v>x</v>
          </cell>
        </row>
        <row r="217">
          <cell r="B217" t="str">
            <v>INV06724</v>
          </cell>
          <cell r="E217">
            <v>169.4</v>
          </cell>
          <cell r="F217" t="str">
            <v>SRAF0216874</v>
          </cell>
          <cell r="G217" t="str">
            <v>x</v>
          </cell>
          <cell r="H217" t="str">
            <v>Lucid US</v>
          </cell>
          <cell r="I217" t="str">
            <v>UCC, FRONT, UCC-MID</v>
          </cell>
          <cell r="J217" t="str">
            <v>DSV</v>
          </cell>
          <cell r="K217" t="str">
            <v>VVMV</v>
          </cell>
          <cell r="L217" t="str">
            <v>HN</v>
          </cell>
          <cell r="M217" t="str">
            <v>US</v>
          </cell>
          <cell r="N217">
            <v>46097</v>
          </cell>
          <cell r="O217">
            <v>46097</v>
          </cell>
          <cell r="P217">
            <v>46099</v>
          </cell>
          <cell r="Q217">
            <v>2</v>
          </cell>
          <cell r="R217">
            <v>308331215050</v>
          </cell>
          <cell r="S217">
            <v>46097</v>
          </cell>
          <cell r="T217" t="str">
            <v>No inspection</v>
          </cell>
          <cell r="U217">
            <v>57242.2</v>
          </cell>
          <cell r="V217" t="str">
            <v>PAYMENT</v>
          </cell>
          <cell r="W217" t="str">
            <v>OK</v>
          </cell>
          <cell r="X217" t="str">
            <v>FCA</v>
          </cell>
          <cell r="Y217" t="str">
            <v>Lucid</v>
          </cell>
          <cell r="Z217" t="str">
            <v>x</v>
          </cell>
          <cell r="AA217" t="str">
            <v>x</v>
          </cell>
        </row>
        <row r="218">
          <cell r="B218" t="str">
            <v>E01053</v>
          </cell>
          <cell r="E218">
            <v>5.0999999999999996</v>
          </cell>
          <cell r="F218" t="str">
            <v>889572431000</v>
          </cell>
          <cell r="G218" t="str">
            <v>ok</v>
          </cell>
          <cell r="H218" t="str">
            <v>HQ1</v>
          </cell>
          <cell r="I218" t="str">
            <v>ic, res..</v>
          </cell>
          <cell r="J218" t="str">
            <v>FedEx</v>
          </cell>
          <cell r="K218" t="str">
            <v>VVMV</v>
          </cell>
          <cell r="L218" t="str">
            <v>HN</v>
          </cell>
          <cell r="M218" t="str">
            <v>US</v>
          </cell>
          <cell r="N218">
            <v>46094</v>
          </cell>
          <cell r="O218">
            <v>46094</v>
          </cell>
          <cell r="P218">
            <v>46107</v>
          </cell>
          <cell r="Q218">
            <v>13</v>
          </cell>
          <cell r="R218">
            <v>308317262211</v>
          </cell>
          <cell r="S218">
            <v>46094</v>
          </cell>
          <cell r="T218" t="str">
            <v>Inspection</v>
          </cell>
          <cell r="U218">
            <v>6672.1</v>
          </cell>
          <cell r="V218" t="str">
            <v>NO PAYMENT</v>
          </cell>
          <cell r="W218" t="str">
            <v>No need</v>
          </cell>
          <cell r="X218" t="str">
            <v>FCA (acct unigen corp)</v>
          </cell>
          <cell r="Y218" t="str">
            <v>Transfer</v>
          </cell>
          <cell r="Z218" t="str">
            <v>x</v>
          </cell>
          <cell r="AA218" t="str">
            <v>x</v>
          </cell>
        </row>
        <row r="219">
          <cell r="B219" t="str">
            <v>INV06725</v>
          </cell>
          <cell r="E219">
            <v>417.8</v>
          </cell>
          <cell r="F219" t="str">
            <v>45T0456593</v>
          </cell>
          <cell r="G219" t="str">
            <v>x</v>
          </cell>
          <cell r="H219" t="str">
            <v>FTX</v>
          </cell>
          <cell r="I219" t="str">
            <v>HOPPER, GROVER</v>
          </cell>
          <cell r="J219" t="str">
            <v>Expeditors</v>
          </cell>
          <cell r="K219" t="str">
            <v>Expeditors</v>
          </cell>
          <cell r="L219" t="str">
            <v>HN</v>
          </cell>
          <cell r="M219" t="str">
            <v>US</v>
          </cell>
          <cell r="N219">
            <v>46093</v>
          </cell>
          <cell r="O219">
            <v>46093</v>
          </cell>
          <cell r="P219">
            <v>46097</v>
          </cell>
          <cell r="Q219">
            <v>4</v>
          </cell>
          <cell r="R219">
            <v>308318272050</v>
          </cell>
          <cell r="S219">
            <v>46093</v>
          </cell>
          <cell r="T219" t="str">
            <v>No inspection</v>
          </cell>
          <cell r="U219">
            <v>1586885</v>
          </cell>
          <cell r="V219" t="str">
            <v>PAYMENT</v>
          </cell>
          <cell r="W219" t="str">
            <v>OK</v>
          </cell>
          <cell r="X219" t="str">
            <v>EXW</v>
          </cell>
          <cell r="Y219" t="str">
            <v>x</v>
          </cell>
          <cell r="Z219" t="str">
            <v>x</v>
          </cell>
          <cell r="AA219" t="str">
            <v>x</v>
          </cell>
        </row>
        <row r="220">
          <cell r="B220" t="str">
            <v>INV06726</v>
          </cell>
          <cell r="E220">
            <v>178</v>
          </cell>
          <cell r="F220" t="str">
            <v>SHN90005308</v>
          </cell>
          <cell r="G220" t="str">
            <v>x</v>
          </cell>
          <cell r="H220" t="str">
            <v>Lucid Coolidge</v>
          </cell>
          <cell r="I220" t="str">
            <v>UCC MID</v>
          </cell>
          <cell r="J220" t="str">
            <v>DSV</v>
          </cell>
          <cell r="K220" t="str">
            <v>VVMV</v>
          </cell>
          <cell r="L220" t="str">
            <v>HN</v>
          </cell>
          <cell r="M220" t="str">
            <v>US</v>
          </cell>
          <cell r="N220">
            <v>46099</v>
          </cell>
          <cell r="O220">
            <v>46099</v>
          </cell>
          <cell r="P220">
            <v>46105</v>
          </cell>
          <cell r="Q220">
            <v>6</v>
          </cell>
          <cell r="R220">
            <v>308337201340</v>
          </cell>
          <cell r="S220">
            <v>46099</v>
          </cell>
          <cell r="T220" t="str">
            <v>No inspection</v>
          </cell>
          <cell r="U220">
            <v>72740.36</v>
          </cell>
          <cell r="V220" t="str">
            <v>PAYMENT</v>
          </cell>
          <cell r="W220" t="str">
            <v>OK</v>
          </cell>
          <cell r="X220" t="str">
            <v>FCA</v>
          </cell>
          <cell r="Y220" t="str">
            <v>Lucid</v>
          </cell>
          <cell r="Z220" t="str">
            <v>x</v>
          </cell>
          <cell r="AA220" t="str">
            <v>x</v>
          </cell>
        </row>
        <row r="221">
          <cell r="B221" t="str">
            <v>INV06727</v>
          </cell>
          <cell r="E221">
            <v>186.8</v>
          </cell>
          <cell r="F221" t="str">
            <v>HAN26000767</v>
          </cell>
          <cell r="G221" t="str">
            <v>x</v>
          </cell>
          <cell r="H221" t="str">
            <v>FCZ</v>
          </cell>
          <cell r="I221" t="str">
            <v>HOPPER, GROVER, ICER</v>
          </cell>
          <cell r="J221" t="str">
            <v>Schenker</v>
          </cell>
          <cell r="K221" t="str">
            <v>Schenker</v>
          </cell>
          <cell r="L221" t="str">
            <v>HN</v>
          </cell>
          <cell r="M221" t="str">
            <v>CZ</v>
          </cell>
          <cell r="N221">
            <v>46094</v>
          </cell>
          <cell r="O221">
            <v>46094</v>
          </cell>
          <cell r="P221">
            <v>46098</v>
          </cell>
          <cell r="Q221">
            <v>4</v>
          </cell>
          <cell r="R221">
            <v>308323211840</v>
          </cell>
          <cell r="S221">
            <v>46094</v>
          </cell>
          <cell r="T221" t="str">
            <v>No inspection</v>
          </cell>
          <cell r="U221">
            <v>955188.3</v>
          </cell>
          <cell r="V221" t="str">
            <v>PAYMENT</v>
          </cell>
          <cell r="W221" t="str">
            <v>OK</v>
          </cell>
          <cell r="X221" t="str">
            <v>EXW</v>
          </cell>
          <cell r="Y221" t="str">
            <v>x</v>
          </cell>
          <cell r="Z221" t="str">
            <v>x</v>
          </cell>
          <cell r="AA221" t="str">
            <v>x</v>
          </cell>
        </row>
        <row r="222">
          <cell r="B222" t="str">
            <v>INV06728</v>
          </cell>
          <cell r="E222">
            <v>1307.9000000000001</v>
          </cell>
          <cell r="F222" t="str">
            <v>45T0456360</v>
          </cell>
          <cell r="G222" t="str">
            <v>x</v>
          </cell>
          <cell r="H222" t="str">
            <v>FTX</v>
          </cell>
          <cell r="I222" t="str">
            <v>HOPPER, GROVER, ICER</v>
          </cell>
          <cell r="J222" t="str">
            <v>Expeditors</v>
          </cell>
          <cell r="K222" t="str">
            <v>Expeditors</v>
          </cell>
          <cell r="L222" t="str">
            <v>HN</v>
          </cell>
          <cell r="M222" t="str">
            <v>US</v>
          </cell>
          <cell r="N222">
            <v>46094</v>
          </cell>
          <cell r="O222">
            <v>46094</v>
          </cell>
          <cell r="P222">
            <v>46105</v>
          </cell>
          <cell r="Q222">
            <v>11</v>
          </cell>
          <cell r="R222">
            <v>308324557720</v>
          </cell>
          <cell r="S222">
            <v>46094</v>
          </cell>
          <cell r="T222" t="str">
            <v>No inspection</v>
          </cell>
          <cell r="U222">
            <v>6094572.8399999999</v>
          </cell>
          <cell r="V222" t="str">
            <v>PAYMENT</v>
          </cell>
          <cell r="W222" t="str">
            <v>OK</v>
          </cell>
          <cell r="X222" t="str">
            <v>EXW</v>
          </cell>
          <cell r="Y222" t="str">
            <v>x</v>
          </cell>
          <cell r="Z222" t="str">
            <v>x</v>
          </cell>
          <cell r="AA222" t="str">
            <v>x</v>
          </cell>
        </row>
        <row r="223">
          <cell r="B223" t="str">
            <v>E01054</v>
          </cell>
          <cell r="E223">
            <v>8</v>
          </cell>
          <cell r="F223" t="str">
            <v>889572556738</v>
          </cell>
          <cell r="H223" t="str">
            <v>Unigen HK</v>
          </cell>
          <cell r="I223" t="str">
            <v>Ic</v>
          </cell>
          <cell r="J223" t="str">
            <v>Fedex</v>
          </cell>
          <cell r="K223" t="str">
            <v>VVMV</v>
          </cell>
          <cell r="L223" t="str">
            <v>HN</v>
          </cell>
          <cell r="M223" t="str">
            <v>HK</v>
          </cell>
          <cell r="N223">
            <v>46094</v>
          </cell>
          <cell r="O223">
            <v>46094</v>
          </cell>
          <cell r="P223">
            <v>46098</v>
          </cell>
          <cell r="Q223">
            <v>4</v>
          </cell>
          <cell r="R223" t="str">
            <v>308321021211</v>
          </cell>
          <cell r="S223">
            <v>46094</v>
          </cell>
          <cell r="T223" t="str">
            <v>Inspection</v>
          </cell>
          <cell r="U223">
            <v>31789.8</v>
          </cell>
          <cell r="V223" t="str">
            <v>NO PAYMENT</v>
          </cell>
          <cell r="W223" t="str">
            <v>No need</v>
          </cell>
          <cell r="X223" t="str">
            <v>DAP</v>
          </cell>
          <cell r="Y223" t="str">
            <v>Transfer</v>
          </cell>
          <cell r="Z223" t="str">
            <v>Transfer material</v>
          </cell>
          <cell r="AA223" t="str">
            <v>x</v>
          </cell>
        </row>
        <row r="224">
          <cell r="B224" t="str">
            <v>INV06729</v>
          </cell>
          <cell r="E224">
            <v>439.8</v>
          </cell>
          <cell r="F224" t="str">
            <v>889573866343</v>
          </cell>
          <cell r="G224" t="str">
            <v>ok</v>
          </cell>
          <cell r="H224" t="str">
            <v>Jabil MX</v>
          </cell>
          <cell r="I224" t="str">
            <v>HLOB</v>
          </cell>
          <cell r="J224" t="str">
            <v>FedEx</v>
          </cell>
          <cell r="K224" t="str">
            <v>VVMV</v>
          </cell>
          <cell r="L224" t="str">
            <v>HN</v>
          </cell>
          <cell r="M224" t="str">
            <v>MX</v>
          </cell>
          <cell r="N224">
            <v>46094</v>
          </cell>
          <cell r="O224">
            <v>46094</v>
          </cell>
          <cell r="P224">
            <v>46098</v>
          </cell>
          <cell r="Q224">
            <v>4</v>
          </cell>
          <cell r="R224">
            <v>308322405000</v>
          </cell>
          <cell r="S224">
            <v>46094</v>
          </cell>
          <cell r="T224" t="str">
            <v>No inspection</v>
          </cell>
          <cell r="U224">
            <v>2957547.6</v>
          </cell>
          <cell r="V224" t="str">
            <v>PAYMENT</v>
          </cell>
          <cell r="W224" t="str">
            <v>OK</v>
          </cell>
          <cell r="X224" t="str">
            <v>FCA</v>
          </cell>
          <cell r="Y224" t="str">
            <v>PURE</v>
          </cell>
          <cell r="Z224" t="str">
            <v>x</v>
          </cell>
          <cell r="AA224" t="str">
            <v>x</v>
          </cell>
        </row>
        <row r="225">
          <cell r="B225" t="str">
            <v>INV06730</v>
          </cell>
          <cell r="E225">
            <v>439.8</v>
          </cell>
          <cell r="F225" t="str">
            <v>889573934226</v>
          </cell>
          <cell r="G225" t="str">
            <v>ok</v>
          </cell>
          <cell r="H225" t="str">
            <v>Jabil MX</v>
          </cell>
          <cell r="I225" t="str">
            <v>HLOB</v>
          </cell>
          <cell r="J225" t="str">
            <v>FedEx</v>
          </cell>
          <cell r="K225" t="str">
            <v>VVMV</v>
          </cell>
          <cell r="L225" t="str">
            <v>HN</v>
          </cell>
          <cell r="M225" t="str">
            <v>MX</v>
          </cell>
          <cell r="N225">
            <v>46094</v>
          </cell>
          <cell r="O225">
            <v>46094</v>
          </cell>
          <cell r="P225">
            <v>46100</v>
          </cell>
          <cell r="Q225">
            <v>6</v>
          </cell>
          <cell r="R225">
            <v>308322443020</v>
          </cell>
          <cell r="S225">
            <v>46094</v>
          </cell>
          <cell r="T225" t="str">
            <v>No inspection</v>
          </cell>
          <cell r="U225">
            <v>2957547.6</v>
          </cell>
          <cell r="V225" t="str">
            <v>PAYMENT</v>
          </cell>
          <cell r="W225" t="str">
            <v>OK</v>
          </cell>
          <cell r="X225" t="str">
            <v>FCA</v>
          </cell>
          <cell r="Y225" t="str">
            <v>PURE</v>
          </cell>
          <cell r="Z225" t="str">
            <v>x</v>
          </cell>
          <cell r="AA225" t="str">
            <v>x</v>
          </cell>
        </row>
        <row r="226">
          <cell r="B226" t="str">
            <v>INV06731</v>
          </cell>
          <cell r="E226">
            <v>1420.8</v>
          </cell>
          <cell r="F226" t="str">
            <v>SHAN0478898</v>
          </cell>
          <cell r="G226" t="str">
            <v>x</v>
          </cell>
          <cell r="H226" t="str">
            <v>Lucid Arizona</v>
          </cell>
          <cell r="I226" t="str">
            <v>VCU, REAR, UCC, BCM, DCM</v>
          </cell>
          <cell r="J226" t="str">
            <v>DSV</v>
          </cell>
          <cell r="K226" t="str">
            <v>VVMV</v>
          </cell>
          <cell r="L226" t="str">
            <v>HN</v>
          </cell>
          <cell r="M226" t="str">
            <v>US</v>
          </cell>
          <cell r="N226">
            <v>46098</v>
          </cell>
          <cell r="O226">
            <v>46098</v>
          </cell>
          <cell r="P226">
            <v>46188</v>
          </cell>
          <cell r="Q226">
            <v>90</v>
          </cell>
          <cell r="R226">
            <v>308334681340</v>
          </cell>
          <cell r="S226">
            <v>46098</v>
          </cell>
          <cell r="T226" t="str">
            <v>No inspection</v>
          </cell>
          <cell r="U226">
            <v>348380.88</v>
          </cell>
          <cell r="V226" t="str">
            <v>PAYMENT</v>
          </cell>
          <cell r="W226" t="str">
            <v>OK</v>
          </cell>
          <cell r="X226" t="str">
            <v>FCA</v>
          </cell>
          <cell r="Y226" t="str">
            <v>Lucid</v>
          </cell>
          <cell r="Z226" t="str">
            <v>x</v>
          </cell>
          <cell r="AA226" t="str">
            <v>x</v>
          </cell>
        </row>
        <row r="227">
          <cell r="B227" t="str">
            <v>INV06732</v>
          </cell>
          <cell r="E227">
            <v>1680</v>
          </cell>
          <cell r="F227" t="str">
            <v>SHAN0478900</v>
          </cell>
          <cell r="G227" t="str">
            <v>x</v>
          </cell>
          <cell r="H227" t="str">
            <v>Lucid Arizona</v>
          </cell>
          <cell r="I227" t="str">
            <v>FRONT, CABIN, REAR</v>
          </cell>
          <cell r="J227" t="str">
            <v>DSV</v>
          </cell>
          <cell r="K227" t="str">
            <v>VVMV</v>
          </cell>
          <cell r="L227" t="str">
            <v>HN</v>
          </cell>
          <cell r="M227" t="str">
            <v>US</v>
          </cell>
          <cell r="N227">
            <v>46097</v>
          </cell>
          <cell r="O227">
            <v>46097</v>
          </cell>
          <cell r="P227">
            <v>46160</v>
          </cell>
          <cell r="Q227">
            <v>63</v>
          </cell>
          <cell r="R227">
            <v>308331165500</v>
          </cell>
          <cell r="S227">
            <v>46097</v>
          </cell>
          <cell r="T227" t="str">
            <v>No inspection</v>
          </cell>
          <cell r="U227">
            <v>182908.79999999999</v>
          </cell>
          <cell r="V227" t="str">
            <v>PAYMENT</v>
          </cell>
          <cell r="W227" t="str">
            <v>OK</v>
          </cell>
          <cell r="X227" t="str">
            <v>FCA</v>
          </cell>
          <cell r="Y227" t="str">
            <v>Lucid</v>
          </cell>
          <cell r="Z227" t="str">
            <v>x</v>
          </cell>
          <cell r="AA227" t="str">
            <v>x</v>
          </cell>
        </row>
        <row r="228">
          <cell r="B228" t="str">
            <v>E01055</v>
          </cell>
          <cell r="E228">
            <v>1</v>
          </cell>
          <cell r="F228" t="str">
            <v>SHAN0480474</v>
          </cell>
          <cell r="G228" t="str">
            <v>x</v>
          </cell>
          <cell r="H228" t="str">
            <v>Hotayi</v>
          </cell>
          <cell r="I228" t="str">
            <v>IC</v>
          </cell>
          <cell r="J228" t="str">
            <v>DSV</v>
          </cell>
          <cell r="K228" t="str">
            <v>DSV</v>
          </cell>
          <cell r="L228" t="str">
            <v>HN</v>
          </cell>
          <cell r="M228" t="str">
            <v>MY</v>
          </cell>
          <cell r="N228">
            <v>46105</v>
          </cell>
          <cell r="O228">
            <v>46105</v>
          </cell>
          <cell r="P228">
            <v>46108</v>
          </cell>
          <cell r="Q228">
            <v>3</v>
          </cell>
          <cell r="R228">
            <v>308355849931</v>
          </cell>
          <cell r="S228">
            <v>46104</v>
          </cell>
          <cell r="T228" t="str">
            <v>Inspection</v>
          </cell>
          <cell r="U228">
            <v>22777.4</v>
          </cell>
          <cell r="V228" t="str">
            <v>NO PAYMENT</v>
          </cell>
          <cell r="W228" t="str">
            <v>No need</v>
          </cell>
          <cell r="X228" t="str">
            <v>EXW</v>
          </cell>
          <cell r="Y228" t="str">
            <v>x</v>
          </cell>
          <cell r="Z228" t="str">
            <v>x</v>
          </cell>
          <cell r="AA228" t="str">
            <v>x</v>
          </cell>
        </row>
        <row r="229">
          <cell r="B229" t="str">
            <v>INV06733</v>
          </cell>
          <cell r="E229">
            <v>1228.8</v>
          </cell>
          <cell r="F229" t="str">
            <v>SHAN0478974</v>
          </cell>
          <cell r="G229" t="str">
            <v>x</v>
          </cell>
          <cell r="H229" t="str">
            <v>Lucid Arizona</v>
          </cell>
          <cell r="I229" t="str">
            <v>VCU, REAR, UCC, BCM, DCM</v>
          </cell>
          <cell r="J229" t="str">
            <v>DSV</v>
          </cell>
          <cell r="K229" t="str">
            <v>VVMV</v>
          </cell>
          <cell r="L229" t="str">
            <v>HN</v>
          </cell>
          <cell r="M229" t="str">
            <v>US</v>
          </cell>
          <cell r="N229">
            <v>46099</v>
          </cell>
          <cell r="O229">
            <v>46099</v>
          </cell>
          <cell r="P229">
            <v>46189</v>
          </cell>
          <cell r="Q229">
            <v>90</v>
          </cell>
          <cell r="R229">
            <v>308337920830</v>
          </cell>
          <cell r="S229">
            <v>46099</v>
          </cell>
          <cell r="T229" t="str">
            <v>No inspection</v>
          </cell>
          <cell r="U229">
            <v>265473</v>
          </cell>
          <cell r="V229" t="str">
            <v>PAYMENT</v>
          </cell>
          <cell r="W229" t="str">
            <v>OK</v>
          </cell>
          <cell r="X229" t="str">
            <v>FCA</v>
          </cell>
          <cell r="Y229" t="str">
            <v>Lucid</v>
          </cell>
          <cell r="Z229" t="str">
            <v>x</v>
          </cell>
          <cell r="AA229" t="str">
            <v>x</v>
          </cell>
        </row>
        <row r="230">
          <cell r="B230" t="str">
            <v>INV06734</v>
          </cell>
          <cell r="E230">
            <v>1680</v>
          </cell>
          <cell r="F230" t="str">
            <v>SHAN0478976</v>
          </cell>
          <cell r="G230" t="str">
            <v>x</v>
          </cell>
          <cell r="H230" t="str">
            <v>Lucid Arizona</v>
          </cell>
          <cell r="I230" t="str">
            <v>FRONT, CABIN, REAR</v>
          </cell>
          <cell r="J230" t="str">
            <v>DSV</v>
          </cell>
          <cell r="K230" t="str">
            <v>VVMV</v>
          </cell>
          <cell r="L230" t="str">
            <v>HN</v>
          </cell>
          <cell r="M230" t="str">
            <v>US</v>
          </cell>
          <cell r="N230">
            <v>46099</v>
          </cell>
          <cell r="O230">
            <v>46099</v>
          </cell>
          <cell r="P230">
            <v>46189</v>
          </cell>
          <cell r="Q230">
            <v>90</v>
          </cell>
          <cell r="R230">
            <v>308337968650</v>
          </cell>
          <cell r="S230">
            <v>46099</v>
          </cell>
          <cell r="T230" t="str">
            <v>No inspection</v>
          </cell>
          <cell r="U230">
            <v>182908.79999999999</v>
          </cell>
          <cell r="V230" t="str">
            <v>PAYMENT</v>
          </cell>
          <cell r="W230" t="str">
            <v>OK</v>
          </cell>
          <cell r="X230" t="str">
            <v>FCA</v>
          </cell>
          <cell r="Y230" t="str">
            <v>Lucid</v>
          </cell>
          <cell r="Z230" t="str">
            <v>x</v>
          </cell>
          <cell r="AA230" t="str">
            <v>x</v>
          </cell>
        </row>
        <row r="231">
          <cell r="B231" t="str">
            <v>INV06735</v>
          </cell>
          <cell r="E231">
            <v>876</v>
          </cell>
          <cell r="F231" t="str">
            <v>SRAF0222013</v>
          </cell>
          <cell r="G231" t="str">
            <v>x</v>
          </cell>
          <cell r="H231" t="str">
            <v>HELLA</v>
          </cell>
          <cell r="I231" t="str">
            <v>HCU</v>
          </cell>
          <cell r="J231" t="str">
            <v>DSV</v>
          </cell>
          <cell r="K231" t="str">
            <v>VVMV</v>
          </cell>
          <cell r="L231" t="str">
            <v>HN</v>
          </cell>
          <cell r="M231" t="str">
            <v>DE</v>
          </cell>
          <cell r="N231">
            <v>46101</v>
          </cell>
          <cell r="O231">
            <v>46101</v>
          </cell>
          <cell r="P231">
            <v>46148</v>
          </cell>
          <cell r="Q231">
            <v>47</v>
          </cell>
          <cell r="R231">
            <v>308347426130</v>
          </cell>
          <cell r="S231">
            <v>46101</v>
          </cell>
          <cell r="T231" t="str">
            <v>No inspection</v>
          </cell>
          <cell r="U231">
            <v>134625.60000000001</v>
          </cell>
          <cell r="V231" t="str">
            <v>PAYMENT</v>
          </cell>
          <cell r="W231" t="str">
            <v>OK</v>
          </cell>
          <cell r="X231" t="str">
            <v>FCA</v>
          </cell>
          <cell r="Y231" t="str">
            <v>Lucid</v>
          </cell>
          <cell r="Z231" t="str">
            <v>x</v>
          </cell>
          <cell r="AA231" t="str">
            <v>x</v>
          </cell>
        </row>
        <row r="232">
          <cell r="B232" t="str">
            <v>INV06736</v>
          </cell>
          <cell r="E232">
            <v>20.8</v>
          </cell>
          <cell r="F232" t="str">
            <v>45T0457319</v>
          </cell>
          <cell r="G232" t="str">
            <v>x</v>
          </cell>
          <cell r="H232" t="str">
            <v>META</v>
          </cell>
          <cell r="I232" t="str">
            <v>HLOB</v>
          </cell>
          <cell r="J232" t="str">
            <v>Expeditors</v>
          </cell>
          <cell r="K232" t="str">
            <v>Expeditors</v>
          </cell>
          <cell r="L232" t="str">
            <v>HN</v>
          </cell>
          <cell r="M232" t="str">
            <v>US</v>
          </cell>
          <cell r="N232">
            <v>46098</v>
          </cell>
          <cell r="O232">
            <v>46098</v>
          </cell>
          <cell r="P232">
            <v>46105</v>
          </cell>
          <cell r="Q232">
            <v>7</v>
          </cell>
          <cell r="R232">
            <v>308334450820</v>
          </cell>
          <cell r="S232">
            <v>46098</v>
          </cell>
          <cell r="T232" t="str">
            <v>No inspection</v>
          </cell>
          <cell r="U232">
            <v>126005.7</v>
          </cell>
          <cell r="V232" t="str">
            <v>PAYMENT</v>
          </cell>
          <cell r="W232" t="str">
            <v>OK</v>
          </cell>
          <cell r="X232" t="str">
            <v>EXW</v>
          </cell>
          <cell r="Y232" t="str">
            <v>x</v>
          </cell>
          <cell r="Z232" t="str">
            <v>x</v>
          </cell>
          <cell r="AA232" t="str">
            <v>x</v>
          </cell>
        </row>
        <row r="233">
          <cell r="B233" t="str">
            <v>E01056</v>
          </cell>
          <cell r="E233">
            <v>19.5</v>
          </cell>
          <cell r="F233" t="str">
            <v>DIM111011624</v>
          </cell>
          <cell r="G233" t="str">
            <v>x</v>
          </cell>
          <cell r="H233" t="str">
            <v>Kingston</v>
          </cell>
          <cell r="I233" t="str">
            <v>PCB</v>
          </cell>
          <cell r="J233" t="str">
            <v>Dimerco</v>
          </cell>
          <cell r="K233" t="str">
            <v>DIMERCO</v>
          </cell>
          <cell r="L233" t="str">
            <v>HN</v>
          </cell>
          <cell r="M233" t="str">
            <v>TW</v>
          </cell>
          <cell r="N233">
            <v>46101</v>
          </cell>
          <cell r="O233">
            <v>46101</v>
          </cell>
          <cell r="P233">
            <v>46105</v>
          </cell>
          <cell r="Q233">
            <v>4</v>
          </cell>
          <cell r="R233">
            <v>308342204831</v>
          </cell>
          <cell r="S233">
            <v>46100</v>
          </cell>
          <cell r="T233" t="str">
            <v>Inspection</v>
          </cell>
          <cell r="U233">
            <v>2400</v>
          </cell>
          <cell r="V233" t="str">
            <v>NO PAYMENT</v>
          </cell>
          <cell r="W233" t="str">
            <v>No need</v>
          </cell>
          <cell r="X233" t="str">
            <v>EXW</v>
          </cell>
          <cell r="Y233" t="str">
            <v>x</v>
          </cell>
          <cell r="Z233" t="str">
            <v>x</v>
          </cell>
          <cell r="AA233" t="str">
            <v>x</v>
          </cell>
        </row>
        <row r="234">
          <cell r="B234" t="str">
            <v>INV06737</v>
          </cell>
          <cell r="E234">
            <v>1.1000000000000001</v>
          </cell>
          <cell r="F234" t="str">
            <v>889692328050</v>
          </cell>
          <cell r="H234" t="str">
            <v>CTU</v>
          </cell>
          <cell r="I234" t="str">
            <v>NVRAM</v>
          </cell>
          <cell r="J234" t="str">
            <v>FedEx</v>
          </cell>
          <cell r="K234" t="str">
            <v>VVMV</v>
          </cell>
          <cell r="L234" t="str">
            <v>HN</v>
          </cell>
          <cell r="M234" t="str">
            <v>CN</v>
          </cell>
          <cell r="N234">
            <v>46099</v>
          </cell>
          <cell r="O234">
            <v>46099</v>
          </cell>
          <cell r="P234">
            <v>46104</v>
          </cell>
          <cell r="Q234">
            <v>5</v>
          </cell>
          <cell r="R234">
            <v>308336144601</v>
          </cell>
          <cell r="S234">
            <v>46099</v>
          </cell>
          <cell r="T234" t="str">
            <v>Inspection</v>
          </cell>
          <cell r="U234">
            <v>2170.25</v>
          </cell>
          <cell r="V234" t="str">
            <v>NO PAYMENT</v>
          </cell>
          <cell r="W234" t="str">
            <v>No need</v>
          </cell>
          <cell r="X234" t="str">
            <v>DAP</v>
          </cell>
          <cell r="Y234" t="str">
            <v>OEM</v>
          </cell>
          <cell r="Z234" t="str">
            <v>RMA</v>
          </cell>
          <cell r="AA234" t="str">
            <v>x</v>
          </cell>
        </row>
        <row r="235">
          <cell r="B235" t="str">
            <v>E01057</v>
          </cell>
          <cell r="E235">
            <v>1.1000000000000001</v>
          </cell>
          <cell r="F235" t="str">
            <v>5973035401</v>
          </cell>
          <cell r="G235" t="str">
            <v>x</v>
          </cell>
          <cell r="H235" t="str">
            <v>Microchip TW</v>
          </cell>
          <cell r="I235" t="str">
            <v>IC</v>
          </cell>
          <cell r="J235" t="str">
            <v>DHL</v>
          </cell>
          <cell r="K235" t="str">
            <v>VVMV</v>
          </cell>
          <cell r="L235" t="str">
            <v>HN</v>
          </cell>
          <cell r="M235" t="str">
            <v>TW</v>
          </cell>
          <cell r="N235">
            <v>46098</v>
          </cell>
          <cell r="O235">
            <v>46098</v>
          </cell>
          <cell r="P235">
            <v>46100</v>
          </cell>
          <cell r="Q235">
            <v>2</v>
          </cell>
          <cell r="R235">
            <v>308336200931</v>
          </cell>
          <cell r="S235">
            <v>46099</v>
          </cell>
          <cell r="T235" t="str">
            <v>Inspection</v>
          </cell>
          <cell r="U235">
            <v>3900.32</v>
          </cell>
          <cell r="V235" t="str">
            <v>NO PAYMENT</v>
          </cell>
          <cell r="W235" t="str">
            <v>No need</v>
          </cell>
          <cell r="X235" t="str">
            <v>FCA</v>
          </cell>
          <cell r="Y235" t="str">
            <v>PURE</v>
          </cell>
          <cell r="Z235" t="str">
            <v>x</v>
          </cell>
          <cell r="AA235" t="str">
            <v>?</v>
          </cell>
        </row>
        <row r="236">
          <cell r="B236" t="str">
            <v>INV06738</v>
          </cell>
          <cell r="E236">
            <v>1804.8</v>
          </cell>
          <cell r="F236" t="str">
            <v>SHAN0479519</v>
          </cell>
          <cell r="G236" t="str">
            <v>x</v>
          </cell>
          <cell r="H236" t="str">
            <v>Lucid Arizona</v>
          </cell>
          <cell r="I236" t="str">
            <v>VCU, rear, UCC, BCM</v>
          </cell>
          <cell r="J236" t="str">
            <v>DSV</v>
          </cell>
          <cell r="K236" t="str">
            <v>VVMV</v>
          </cell>
          <cell r="L236" t="str">
            <v>HN</v>
          </cell>
          <cell r="M236" t="str">
            <v>US</v>
          </cell>
          <cell r="N236">
            <v>46101</v>
          </cell>
          <cell r="O236">
            <v>46101</v>
          </cell>
          <cell r="P236">
            <v>46185</v>
          </cell>
          <cell r="Q236">
            <v>84</v>
          </cell>
          <cell r="R236">
            <v>308345682210</v>
          </cell>
          <cell r="S236">
            <v>46101</v>
          </cell>
          <cell r="T236" t="str">
            <v>No inspection</v>
          </cell>
          <cell r="U236">
            <v>514196.64</v>
          </cell>
          <cell r="V236" t="str">
            <v>PAYMENT</v>
          </cell>
          <cell r="W236" t="str">
            <v>OK</v>
          </cell>
          <cell r="X236" t="str">
            <v>FCA</v>
          </cell>
          <cell r="Y236" t="str">
            <v>Lucid</v>
          </cell>
          <cell r="Z236" t="str">
            <v>x</v>
          </cell>
          <cell r="AA236" t="str">
            <v>x</v>
          </cell>
        </row>
        <row r="237">
          <cell r="B237" t="str">
            <v>INV06739</v>
          </cell>
          <cell r="E237">
            <v>1680</v>
          </cell>
          <cell r="F237" t="str">
            <v>SHAN0479523</v>
          </cell>
          <cell r="G237" t="str">
            <v>x</v>
          </cell>
          <cell r="H237" t="str">
            <v>Lucid Arizona</v>
          </cell>
          <cell r="I237" t="str">
            <v>FRONT, CABIN, REAR</v>
          </cell>
          <cell r="J237" t="str">
            <v>DSV</v>
          </cell>
          <cell r="K237" t="str">
            <v>VVMV</v>
          </cell>
          <cell r="L237" t="str">
            <v>HN</v>
          </cell>
          <cell r="M237" t="str">
            <v>US</v>
          </cell>
          <cell r="N237">
            <v>46101</v>
          </cell>
          <cell r="O237">
            <v>46101</v>
          </cell>
          <cell r="P237">
            <v>46185</v>
          </cell>
          <cell r="Q237">
            <v>84</v>
          </cell>
          <cell r="R237">
            <v>308345719310</v>
          </cell>
          <cell r="S237">
            <v>46101</v>
          </cell>
          <cell r="T237" t="str">
            <v>No inspection</v>
          </cell>
          <cell r="U237">
            <v>182908.79999999999</v>
          </cell>
          <cell r="V237" t="str">
            <v>PAYMENT</v>
          </cell>
          <cell r="W237" t="str">
            <v>OK</v>
          </cell>
          <cell r="X237" t="str">
            <v>FCA</v>
          </cell>
          <cell r="Y237" t="str">
            <v>Lucid</v>
          </cell>
          <cell r="Z237" t="str">
            <v>x</v>
          </cell>
          <cell r="AA237" t="str">
            <v>x</v>
          </cell>
        </row>
        <row r="238">
          <cell r="B238" t="str">
            <v>INV06740</v>
          </cell>
          <cell r="E238">
            <v>754.8</v>
          </cell>
          <cell r="F238" t="str">
            <v>SHAN0479560</v>
          </cell>
          <cell r="G238" t="str">
            <v>x</v>
          </cell>
          <cell r="H238" t="str">
            <v>Lucid Arizona</v>
          </cell>
          <cell r="I238" t="str">
            <v>ICC, Front</v>
          </cell>
          <cell r="J238" t="str">
            <v>DSV</v>
          </cell>
          <cell r="K238" t="str">
            <v>VVMV</v>
          </cell>
          <cell r="L238" t="str">
            <v>HN</v>
          </cell>
          <cell r="M238" t="str">
            <v>US</v>
          </cell>
          <cell r="N238">
            <v>46101</v>
          </cell>
          <cell r="O238">
            <v>46101</v>
          </cell>
          <cell r="P238">
            <v>46185</v>
          </cell>
          <cell r="Q238">
            <v>84</v>
          </cell>
          <cell r="R238">
            <v>308346047240</v>
          </cell>
          <cell r="S238">
            <v>46101</v>
          </cell>
          <cell r="T238" t="str">
            <v>No inspection</v>
          </cell>
          <cell r="U238">
            <v>121263.48</v>
          </cell>
          <cell r="V238" t="str">
            <v>PAYMENT</v>
          </cell>
          <cell r="W238" t="str">
            <v>OK</v>
          </cell>
          <cell r="X238" t="str">
            <v>FCA</v>
          </cell>
          <cell r="Y238" t="str">
            <v>Lucid</v>
          </cell>
          <cell r="Z238" t="str">
            <v>x</v>
          </cell>
          <cell r="AA238" t="str">
            <v>x</v>
          </cell>
        </row>
        <row r="239">
          <cell r="B239" t="str">
            <v>E01058</v>
          </cell>
          <cell r="E239">
            <v>0.8</v>
          </cell>
          <cell r="F239" t="str">
            <v>889777698171</v>
          </cell>
          <cell r="G239" t="str">
            <v>ok</v>
          </cell>
          <cell r="H239" t="str">
            <v>Bangtai</v>
          </cell>
          <cell r="I239" t="str">
            <v>IC</v>
          </cell>
          <cell r="J239" t="str">
            <v>FedEx</v>
          </cell>
          <cell r="K239" t="str">
            <v>VVMV</v>
          </cell>
          <cell r="L239" t="str">
            <v>HN</v>
          </cell>
          <cell r="M239" t="str">
            <v>HK</v>
          </cell>
          <cell r="N239">
            <v>46101</v>
          </cell>
          <cell r="O239">
            <v>46101</v>
          </cell>
          <cell r="P239">
            <v>46102</v>
          </cell>
          <cell r="Q239">
            <v>1</v>
          </cell>
          <cell r="R239">
            <v>308340312951</v>
          </cell>
          <cell r="S239">
            <v>46101</v>
          </cell>
          <cell r="T239" t="str">
            <v>Inspection</v>
          </cell>
          <cell r="U239">
            <v>615</v>
          </cell>
          <cell r="V239" t="str">
            <v>NO PAYMENT</v>
          </cell>
          <cell r="W239" t="str">
            <v>No need</v>
          </cell>
          <cell r="X239" t="str">
            <v>FCA</v>
          </cell>
          <cell r="Y239" t="str">
            <v>PURE</v>
          </cell>
          <cell r="Z239" t="str">
            <v>x</v>
          </cell>
          <cell r="AA239" t="str">
            <v>customer paid the customs fee</v>
          </cell>
        </row>
        <row r="240">
          <cell r="B240" t="str">
            <v>E01059</v>
          </cell>
          <cell r="E240">
            <v>19.100000000000001</v>
          </cell>
          <cell r="F240" t="str">
            <v>889769797927</v>
          </cell>
          <cell r="G240" t="str">
            <v>ok</v>
          </cell>
          <cell r="H240" t="str">
            <v>Unigen MY</v>
          </cell>
          <cell r="I240" t="str">
            <v>IC, inductor, cap, res</v>
          </cell>
          <cell r="J240" t="str">
            <v>FedEx</v>
          </cell>
          <cell r="K240" t="str">
            <v>VVMV</v>
          </cell>
          <cell r="L240" t="str">
            <v>HN</v>
          </cell>
          <cell r="M240" t="str">
            <v>MY</v>
          </cell>
          <cell r="N240">
            <v>46101</v>
          </cell>
          <cell r="O240">
            <v>46101</v>
          </cell>
          <cell r="P240">
            <v>46114</v>
          </cell>
          <cell r="Q240">
            <v>13</v>
          </cell>
          <cell r="R240">
            <v>308340735641</v>
          </cell>
          <cell r="S240">
            <v>46101</v>
          </cell>
          <cell r="T240" t="str">
            <v>Inspection</v>
          </cell>
          <cell r="U240">
            <v>6148.81</v>
          </cell>
          <cell r="V240" t="str">
            <v>NO PAYMENT</v>
          </cell>
          <cell r="W240" t="str">
            <v>No need</v>
          </cell>
          <cell r="X240" t="str">
            <v>FCA</v>
          </cell>
          <cell r="Y240" t="str">
            <v>Transfer</v>
          </cell>
          <cell r="Z240" t="str">
            <v>x</v>
          </cell>
          <cell r="AA240" t="str">
            <v>x</v>
          </cell>
        </row>
        <row r="241">
          <cell r="B241" t="str">
            <v>INV06741</v>
          </cell>
          <cell r="E241">
            <v>439.8</v>
          </cell>
          <cell r="F241" t="str">
            <v>889761510789</v>
          </cell>
          <cell r="G241" t="str">
            <v>ok</v>
          </cell>
          <cell r="H241" t="str">
            <v>JABIL MX</v>
          </cell>
          <cell r="I241" t="str">
            <v>HLOB</v>
          </cell>
          <cell r="J241" t="str">
            <v>FedEx</v>
          </cell>
          <cell r="K241" t="str">
            <v>VVMV</v>
          </cell>
          <cell r="L241" t="str">
            <v>HN</v>
          </cell>
          <cell r="M241" t="str">
            <v>MX</v>
          </cell>
          <cell r="N241">
            <v>46100</v>
          </cell>
          <cell r="O241">
            <v>46100</v>
          </cell>
          <cell r="P241">
            <v>46112</v>
          </cell>
          <cell r="Q241">
            <v>12</v>
          </cell>
          <cell r="R241">
            <v>308341386530</v>
          </cell>
          <cell r="S241">
            <v>46100</v>
          </cell>
          <cell r="T241" t="str">
            <v>No inspection</v>
          </cell>
          <cell r="U241">
            <v>2957547.6</v>
          </cell>
          <cell r="V241" t="str">
            <v>PAYMENT</v>
          </cell>
          <cell r="W241" t="str">
            <v>ok</v>
          </cell>
          <cell r="X241" t="str">
            <v>FCA</v>
          </cell>
          <cell r="Y241" t="str">
            <v>PURE</v>
          </cell>
          <cell r="Z241" t="str">
            <v>x</v>
          </cell>
          <cell r="AA241" t="str">
            <v>x</v>
          </cell>
        </row>
        <row r="242">
          <cell r="B242" t="str">
            <v>INV06742</v>
          </cell>
          <cell r="E242">
            <v>34.5</v>
          </cell>
          <cell r="F242" t="str">
            <v>45T0459437</v>
          </cell>
          <cell r="G242" t="str">
            <v>x</v>
          </cell>
          <cell r="H242" t="str">
            <v>WSDF4</v>
          </cell>
          <cell r="I242" t="str">
            <v>EIGER, ICER</v>
          </cell>
          <cell r="J242" t="str">
            <v>Expeditors</v>
          </cell>
          <cell r="K242" t="str">
            <v>Expeditors</v>
          </cell>
          <cell r="L242" t="str">
            <v>HN</v>
          </cell>
          <cell r="M242" t="str">
            <v>US</v>
          </cell>
          <cell r="N242">
            <v>46105</v>
          </cell>
          <cell r="O242">
            <v>46105</v>
          </cell>
          <cell r="P242">
            <v>46112</v>
          </cell>
          <cell r="Q242">
            <v>7</v>
          </cell>
          <cell r="R242">
            <v>308353937420</v>
          </cell>
          <cell r="S242">
            <v>46105</v>
          </cell>
          <cell r="T242" t="str">
            <v>No inspection</v>
          </cell>
          <cell r="U242">
            <v>333811.3</v>
          </cell>
          <cell r="V242" t="str">
            <v>PAYMENT</v>
          </cell>
          <cell r="W242" t="str">
            <v>OK</v>
          </cell>
          <cell r="X242" t="str">
            <v>EXW</v>
          </cell>
          <cell r="Y242" t="str">
            <v>x</v>
          </cell>
          <cell r="Z242" t="str">
            <v>x</v>
          </cell>
          <cell r="AA242" t="str">
            <v>x</v>
          </cell>
        </row>
        <row r="243">
          <cell r="B243" t="str">
            <v>INV06743</v>
          </cell>
          <cell r="E243">
            <v>0.7</v>
          </cell>
          <cell r="F243" t="str">
            <v>889760979628</v>
          </cell>
          <cell r="H243" t="str">
            <v>IXSYSTEMS</v>
          </cell>
          <cell r="I243" t="str">
            <v>DDR4</v>
          </cell>
          <cell r="J243" t="str">
            <v>FedEx</v>
          </cell>
          <cell r="K243" t="str">
            <v>VVMV</v>
          </cell>
          <cell r="L243" t="str">
            <v>HN</v>
          </cell>
          <cell r="M243" t="str">
            <v>US</v>
          </cell>
          <cell r="N243">
            <v>46100</v>
          </cell>
          <cell r="O243">
            <v>46100</v>
          </cell>
          <cell r="P243">
            <v>46106</v>
          </cell>
          <cell r="Q243">
            <v>6</v>
          </cell>
          <cell r="R243">
            <v>308340818611</v>
          </cell>
          <cell r="S243">
            <v>46100</v>
          </cell>
          <cell r="T243" t="str">
            <v>Inspection</v>
          </cell>
          <cell r="U243">
            <v>210.14</v>
          </cell>
          <cell r="V243" t="str">
            <v>NO PAYMENT</v>
          </cell>
          <cell r="W243" t="str">
            <v>No need</v>
          </cell>
          <cell r="X243" t="str">
            <v>DAP</v>
          </cell>
          <cell r="Y243" t="str">
            <v>Agiga</v>
          </cell>
          <cell r="Z243" t="str">
            <v>RMA</v>
          </cell>
          <cell r="AA243" t="str">
            <v>x</v>
          </cell>
        </row>
        <row r="244">
          <cell r="B244" t="str">
            <v>INV06744</v>
          </cell>
          <cell r="E244">
            <v>876</v>
          </cell>
          <cell r="F244" t="str">
            <v>SRAF0229263</v>
          </cell>
          <cell r="G244" t="str">
            <v>x</v>
          </cell>
          <cell r="H244" t="str">
            <v>HELLA</v>
          </cell>
          <cell r="I244" t="str">
            <v>HCU</v>
          </cell>
          <cell r="J244" t="str">
            <v>DSV</v>
          </cell>
          <cell r="K244" t="str">
            <v>VVMV</v>
          </cell>
          <cell r="L244" t="str">
            <v>HN</v>
          </cell>
          <cell r="M244" t="str">
            <v>DE</v>
          </cell>
          <cell r="N244">
            <v>46112</v>
          </cell>
          <cell r="O244">
            <v>46112</v>
          </cell>
          <cell r="P244">
            <v>46126</v>
          </cell>
          <cell r="Q244">
            <v>14</v>
          </cell>
          <cell r="R244">
            <v>308383075510</v>
          </cell>
          <cell r="S244">
            <v>46112</v>
          </cell>
          <cell r="T244" t="str">
            <v>No inspection</v>
          </cell>
          <cell r="U244">
            <v>134625.60000000001</v>
          </cell>
          <cell r="V244" t="str">
            <v>PAYMENT</v>
          </cell>
          <cell r="W244" t="str">
            <v>ok</v>
          </cell>
          <cell r="X244" t="str">
            <v>FCA</v>
          </cell>
          <cell r="Y244" t="str">
            <v>Lucid</v>
          </cell>
          <cell r="Z244" t="str">
            <v>x</v>
          </cell>
          <cell r="AA244" t="str">
            <v>x</v>
          </cell>
        </row>
        <row r="245">
          <cell r="B245" t="str">
            <v>INV06745</v>
          </cell>
          <cell r="E245">
            <v>1383.8</v>
          </cell>
          <cell r="F245" t="str">
            <v>45T0458875</v>
          </cell>
          <cell r="G245" t="str">
            <v>x</v>
          </cell>
          <cell r="H245" t="str">
            <v>FTX</v>
          </cell>
          <cell r="I245" t="str">
            <v>Eiger, Grover, Hopper</v>
          </cell>
          <cell r="J245" t="str">
            <v>Expeditors</v>
          </cell>
          <cell r="K245" t="str">
            <v>Expeditors</v>
          </cell>
          <cell r="L245" t="str">
            <v>HN</v>
          </cell>
          <cell r="M245" t="str">
            <v>US</v>
          </cell>
          <cell r="N245">
            <v>46101</v>
          </cell>
          <cell r="O245">
            <v>46101</v>
          </cell>
          <cell r="P245">
            <v>46108</v>
          </cell>
          <cell r="Q245">
            <v>7</v>
          </cell>
          <cell r="R245">
            <v>308347123140</v>
          </cell>
          <cell r="S245">
            <v>46101</v>
          </cell>
          <cell r="T245" t="str">
            <v>No inspection</v>
          </cell>
          <cell r="U245">
            <v>4261028.47</v>
          </cell>
          <cell r="V245" t="str">
            <v>PAYMENT</v>
          </cell>
          <cell r="W245" t="str">
            <v>OK</v>
          </cell>
          <cell r="X245" t="str">
            <v>EXW</v>
          </cell>
          <cell r="Y245" t="str">
            <v>x</v>
          </cell>
          <cell r="Z245" t="str">
            <v>x</v>
          </cell>
          <cell r="AA245" t="str">
            <v>x</v>
          </cell>
        </row>
        <row r="246">
          <cell r="B246" t="str">
            <v>INV06746</v>
          </cell>
          <cell r="E246">
            <v>678.6</v>
          </cell>
          <cell r="F246" t="str">
            <v>HAN26000846</v>
          </cell>
          <cell r="G246" t="str">
            <v>x</v>
          </cell>
          <cell r="H246" t="str">
            <v>FCZ</v>
          </cell>
          <cell r="I246" t="str">
            <v>Grover, Hopper</v>
          </cell>
          <cell r="J246" t="str">
            <v>Schenker</v>
          </cell>
          <cell r="K246" t="str">
            <v>Schenker</v>
          </cell>
          <cell r="L246" t="str">
            <v>HN</v>
          </cell>
          <cell r="M246" t="str">
            <v>CZ</v>
          </cell>
          <cell r="N246">
            <v>46101</v>
          </cell>
          <cell r="O246">
            <v>46101</v>
          </cell>
          <cell r="P246">
            <v>46111</v>
          </cell>
          <cell r="Q246">
            <v>10</v>
          </cell>
          <cell r="R246">
            <v>308345978860</v>
          </cell>
          <cell r="S246">
            <v>46101</v>
          </cell>
          <cell r="T246" t="str">
            <v>No inspection</v>
          </cell>
          <cell r="U246">
            <v>2369255.4</v>
          </cell>
          <cell r="V246" t="str">
            <v>PAYMENT</v>
          </cell>
          <cell r="W246" t="str">
            <v>OK</v>
          </cell>
          <cell r="X246" t="str">
            <v>EXW</v>
          </cell>
          <cell r="Y246" t="str">
            <v>x</v>
          </cell>
          <cell r="Z246" t="str">
            <v>x</v>
          </cell>
          <cell r="AA246" t="str">
            <v>x</v>
          </cell>
        </row>
        <row r="247">
          <cell r="B247" t="str">
            <v>Sample 740</v>
          </cell>
          <cell r="E247">
            <v>0.2</v>
          </cell>
          <cell r="F247" t="str">
            <v>889800325802</v>
          </cell>
          <cell r="G247" t="str">
            <v>ok</v>
          </cell>
          <cell r="H247" t="str">
            <v>PURE US</v>
          </cell>
          <cell r="I247" t="str">
            <v>LABEL</v>
          </cell>
          <cell r="J247" t="str">
            <v>FedEx</v>
          </cell>
          <cell r="K247" t="str">
            <v>x</v>
          </cell>
          <cell r="L247" t="str">
            <v>HN</v>
          </cell>
          <cell r="M247" t="str">
            <v>US</v>
          </cell>
          <cell r="N247">
            <v>46101</v>
          </cell>
          <cell r="O247">
            <v>46101</v>
          </cell>
          <cell r="P247">
            <v>46107</v>
          </cell>
          <cell r="Q247">
            <v>6</v>
          </cell>
          <cell r="R247" t="str">
            <v>x</v>
          </cell>
          <cell r="S247" t="str">
            <v>x</v>
          </cell>
          <cell r="T247" t="str">
            <v>x</v>
          </cell>
          <cell r="U247">
            <v>14.92</v>
          </cell>
          <cell r="V247" t="str">
            <v>NO PAYMENT</v>
          </cell>
          <cell r="W247" t="str">
            <v>No need</v>
          </cell>
          <cell r="X247" t="str">
            <v>FCA</v>
          </cell>
          <cell r="Y247" t="str">
            <v>x</v>
          </cell>
          <cell r="Z247" t="str">
            <v>x</v>
          </cell>
          <cell r="AA247" t="str">
            <v>x</v>
          </cell>
        </row>
        <row r="248">
          <cell r="B248" t="str">
            <v>Sample 741</v>
          </cell>
          <cell r="E248">
            <v>0.1</v>
          </cell>
          <cell r="F248" t="str">
            <v>889800040826</v>
          </cell>
          <cell r="G248" t="str">
            <v>ok</v>
          </cell>
          <cell r="H248" t="str">
            <v>Texas Instruments</v>
          </cell>
          <cell r="I248" t="str">
            <v>IC</v>
          </cell>
          <cell r="J248" t="str">
            <v>FedEx</v>
          </cell>
          <cell r="K248" t="str">
            <v>x</v>
          </cell>
          <cell r="L248" t="str">
            <v>HN</v>
          </cell>
          <cell r="M248" t="str">
            <v>TW</v>
          </cell>
          <cell r="N248">
            <v>46101</v>
          </cell>
          <cell r="O248">
            <v>46101</v>
          </cell>
          <cell r="P248">
            <v>46105</v>
          </cell>
          <cell r="Q248">
            <v>4</v>
          </cell>
          <cell r="R248" t="str">
            <v>x</v>
          </cell>
          <cell r="S248" t="str">
            <v>x</v>
          </cell>
          <cell r="T248" t="str">
            <v>x</v>
          </cell>
          <cell r="U248">
            <v>2.38</v>
          </cell>
          <cell r="V248" t="str">
            <v>NO PAYMENT</v>
          </cell>
          <cell r="W248" t="str">
            <v>No need</v>
          </cell>
          <cell r="X248" t="str">
            <v>DAP</v>
          </cell>
          <cell r="Y248" t="str">
            <v>Lucid</v>
          </cell>
          <cell r="Z248" t="str">
            <v>Ship QA's sample for evaluation</v>
          </cell>
          <cell r="AA248" t="str">
            <v>x</v>
          </cell>
        </row>
        <row r="249">
          <cell r="B249" t="str">
            <v>INV06747</v>
          </cell>
          <cell r="E249">
            <v>3170.4</v>
          </cell>
          <cell r="F249" t="str">
            <v>SHAN0479939</v>
          </cell>
          <cell r="G249" t="str">
            <v>x</v>
          </cell>
          <cell r="H249" t="str">
            <v>Lucid Arizona</v>
          </cell>
          <cell r="I249" t="str">
            <v>VCU, REAR, UCC, BCM, FRONT, CABIN, DCM</v>
          </cell>
          <cell r="J249" t="str">
            <v>DSV</v>
          </cell>
          <cell r="K249" t="str">
            <v>VVMV</v>
          </cell>
          <cell r="L249" t="str">
            <v>HN</v>
          </cell>
          <cell r="M249" t="str">
            <v>US</v>
          </cell>
          <cell r="N249">
            <v>46108</v>
          </cell>
          <cell r="O249">
            <v>46108</v>
          </cell>
          <cell r="P249" t="str">
            <v>release ngay 23</v>
          </cell>
          <cell r="Q249" t="e">
            <v>#VALUE!</v>
          </cell>
          <cell r="R249">
            <v>308357963340</v>
          </cell>
          <cell r="S249">
            <v>46108</v>
          </cell>
          <cell r="T249" t="str">
            <v>No inspection</v>
          </cell>
          <cell r="U249">
            <v>566887.02</v>
          </cell>
          <cell r="V249" t="str">
            <v>PAYMENT</v>
          </cell>
          <cell r="W249" t="str">
            <v>OK</v>
          </cell>
          <cell r="X249" t="str">
            <v>FCA</v>
          </cell>
          <cell r="Y249" t="str">
            <v>Lucid</v>
          </cell>
          <cell r="Z249" t="str">
            <v>x</v>
          </cell>
          <cell r="AA249" t="str">
            <v>x</v>
          </cell>
        </row>
        <row r="250">
          <cell r="B250" t="str">
            <v>Sample 742</v>
          </cell>
          <cell r="E250">
            <v>0.1</v>
          </cell>
          <cell r="F250" t="str">
            <v>2417633805</v>
          </cell>
          <cell r="G250" t="str">
            <v>x</v>
          </cell>
          <cell r="H250" t="str">
            <v>Amphenol</v>
          </cell>
          <cell r="I250" t="str">
            <v>Conn</v>
          </cell>
          <cell r="J250" t="str">
            <v>DHL</v>
          </cell>
          <cell r="K250" t="str">
            <v>VVMV</v>
          </cell>
          <cell r="L250" t="str">
            <v>HN</v>
          </cell>
          <cell r="M250" t="str">
            <v>CN</v>
          </cell>
          <cell r="N250">
            <v>46101</v>
          </cell>
          <cell r="O250">
            <v>46101</v>
          </cell>
          <cell r="P250">
            <v>46103</v>
          </cell>
          <cell r="Q250">
            <v>2</v>
          </cell>
          <cell r="R250" t="str">
            <v>x</v>
          </cell>
          <cell r="S250" t="str">
            <v>x</v>
          </cell>
          <cell r="T250" t="str">
            <v>x</v>
          </cell>
          <cell r="U250">
            <v>2.6214</v>
          </cell>
          <cell r="V250" t="str">
            <v>NO PAYMENT</v>
          </cell>
          <cell r="W250" t="str">
            <v>No need</v>
          </cell>
          <cell r="X250" t="str">
            <v>FCA</v>
          </cell>
          <cell r="Y250" t="str">
            <v>x</v>
          </cell>
          <cell r="Z250" t="str">
            <v>x</v>
          </cell>
          <cell r="AA250" t="str">
            <v>x</v>
          </cell>
        </row>
        <row r="251">
          <cell r="B251" t="str">
            <v>INV06748</v>
          </cell>
          <cell r="E251">
            <v>3157.2</v>
          </cell>
          <cell r="F251" t="str">
            <v>SHAN0480532</v>
          </cell>
          <cell r="H251" t="str">
            <v>Lucid Arizona</v>
          </cell>
          <cell r="I251" t="str">
            <v>VCU, REAR, BCM, FRONT, CABIN, REAR, DCM</v>
          </cell>
          <cell r="J251" t="str">
            <v>DSV</v>
          </cell>
          <cell r="K251" t="str">
            <v>VVMV</v>
          </cell>
          <cell r="L251" t="str">
            <v>HN</v>
          </cell>
          <cell r="M251" t="str">
            <v>US</v>
          </cell>
          <cell r="N251">
            <v>46111</v>
          </cell>
          <cell r="O251">
            <v>46111</v>
          </cell>
          <cell r="P251">
            <v>46143</v>
          </cell>
          <cell r="Q251">
            <v>32</v>
          </cell>
          <cell r="R251">
            <v>308372459750</v>
          </cell>
          <cell r="S251">
            <v>46111</v>
          </cell>
          <cell r="T251" t="str">
            <v>No inspection</v>
          </cell>
          <cell r="U251">
            <v>442248</v>
          </cell>
          <cell r="V251" t="str">
            <v>PAYMENT</v>
          </cell>
          <cell r="W251" t="str">
            <v>ok</v>
          </cell>
          <cell r="X251" t="str">
            <v>FCA</v>
          </cell>
          <cell r="Y251" t="str">
            <v>Lucid</v>
          </cell>
          <cell r="Z251" t="str">
            <v>x</v>
          </cell>
          <cell r="AA251" t="str">
            <v>x</v>
          </cell>
        </row>
        <row r="252">
          <cell r="B252" t="str">
            <v>INV06749</v>
          </cell>
          <cell r="E252">
            <v>3739</v>
          </cell>
          <cell r="F252" t="str">
            <v>SHAN0480531</v>
          </cell>
          <cell r="H252" t="str">
            <v>Lucid Arizona</v>
          </cell>
          <cell r="I252" t="str">
            <v>ICC, CCCV2, FRONT, REAR</v>
          </cell>
          <cell r="J252" t="str">
            <v>DSV</v>
          </cell>
          <cell r="K252" t="str">
            <v>VVMV</v>
          </cell>
          <cell r="L252" t="str">
            <v>HN</v>
          </cell>
          <cell r="M252" t="str">
            <v>US</v>
          </cell>
          <cell r="N252">
            <v>46111</v>
          </cell>
          <cell r="O252">
            <v>46111</v>
          </cell>
          <cell r="P252" t="str">
            <v>release ngay 24</v>
          </cell>
          <cell r="Q252" t="e">
            <v>#VALUE!</v>
          </cell>
          <cell r="R252">
            <v>308373255210</v>
          </cell>
          <cell r="S252">
            <v>46111</v>
          </cell>
          <cell r="T252" t="str">
            <v>No inspection</v>
          </cell>
          <cell r="U252">
            <v>341930.4</v>
          </cell>
          <cell r="V252" t="str">
            <v>PAYMENT</v>
          </cell>
          <cell r="W252" t="str">
            <v>ok</v>
          </cell>
          <cell r="X252" t="str">
            <v>FCA</v>
          </cell>
          <cell r="Y252" t="str">
            <v>Lucid</v>
          </cell>
          <cell r="Z252" t="str">
            <v>x</v>
          </cell>
          <cell r="AA252" t="str">
            <v>x</v>
          </cell>
        </row>
        <row r="253">
          <cell r="B253" t="str">
            <v>E01060</v>
          </cell>
          <cell r="E253">
            <v>3.9</v>
          </cell>
          <cell r="F253" t="str">
            <v>8574304410</v>
          </cell>
          <cell r="H253" t="str">
            <v>Rosenberger DE</v>
          </cell>
          <cell r="I253" t="str">
            <v>Conn</v>
          </cell>
          <cell r="J253" t="str">
            <v>DHL</v>
          </cell>
          <cell r="K253" t="str">
            <v>VVMV</v>
          </cell>
          <cell r="L253" t="str">
            <v>HN</v>
          </cell>
          <cell r="M253" t="str">
            <v>DE</v>
          </cell>
          <cell r="N253">
            <v>46104</v>
          </cell>
          <cell r="O253">
            <v>46104</v>
          </cell>
          <cell r="P253">
            <v>46108</v>
          </cell>
          <cell r="Q253">
            <v>4</v>
          </cell>
          <cell r="R253">
            <v>308356145701</v>
          </cell>
          <cell r="S253">
            <v>46105</v>
          </cell>
          <cell r="T253" t="str">
            <v>Inspection</v>
          </cell>
          <cell r="U253">
            <v>316.02480000000003</v>
          </cell>
          <cell r="V253" t="str">
            <v>NO PAYMENT</v>
          </cell>
          <cell r="W253" t="str">
            <v>No need</v>
          </cell>
          <cell r="X253" t="str">
            <v>FCA</v>
          </cell>
          <cell r="Y253" t="str">
            <v>Lucid</v>
          </cell>
          <cell r="Z253" t="str">
            <v>x</v>
          </cell>
          <cell r="AA253" t="str">
            <v>Buyer charge $100 to supplier</v>
          </cell>
        </row>
        <row r="254">
          <cell r="B254" t="str">
            <v>INV06750</v>
          </cell>
          <cell r="E254">
            <v>29.1</v>
          </cell>
          <cell r="F254" t="str">
            <v>45T0459944</v>
          </cell>
          <cell r="G254" t="str">
            <v>x</v>
          </cell>
          <cell r="H254" t="str">
            <v>FTX</v>
          </cell>
          <cell r="I254" t="str">
            <v>PIPER</v>
          </cell>
          <cell r="J254" t="str">
            <v>Expeditors</v>
          </cell>
          <cell r="K254" t="str">
            <v>Expeditors</v>
          </cell>
          <cell r="L254" t="str">
            <v>HN</v>
          </cell>
          <cell r="M254" t="str">
            <v>US</v>
          </cell>
          <cell r="N254">
            <v>46105</v>
          </cell>
          <cell r="O254">
            <v>46105</v>
          </cell>
          <cell r="P254">
            <v>46114</v>
          </cell>
          <cell r="Q254">
            <v>9</v>
          </cell>
          <cell r="R254">
            <v>308357457020</v>
          </cell>
          <cell r="S254">
            <v>46105</v>
          </cell>
          <cell r="T254" t="str">
            <v>No inspection</v>
          </cell>
          <cell r="U254">
            <v>926464.56</v>
          </cell>
          <cell r="V254" t="str">
            <v>PAYMENT</v>
          </cell>
          <cell r="W254" t="str">
            <v>OK</v>
          </cell>
          <cell r="X254" t="str">
            <v>EXW</v>
          </cell>
          <cell r="Y254" t="str">
            <v>x</v>
          </cell>
          <cell r="Z254" t="str">
            <v>x</v>
          </cell>
          <cell r="AA254" t="str">
            <v>x</v>
          </cell>
        </row>
        <row r="255">
          <cell r="B255" t="str">
            <v>INV06751</v>
          </cell>
          <cell r="E255">
            <v>27.9</v>
          </cell>
          <cell r="F255" t="str">
            <v>889955698297</v>
          </cell>
          <cell r="H255" t="str">
            <v>PURE US</v>
          </cell>
          <cell r="I255" t="str">
            <v>HLOB</v>
          </cell>
          <cell r="J255" t="str">
            <v>FedEx</v>
          </cell>
          <cell r="K255" t="str">
            <v>VVMV</v>
          </cell>
          <cell r="L255" t="str">
            <v>HN</v>
          </cell>
          <cell r="M255" t="str">
            <v>US</v>
          </cell>
          <cell r="N255">
            <v>46106</v>
          </cell>
          <cell r="O255">
            <v>46106</v>
          </cell>
          <cell r="P255">
            <v>46113</v>
          </cell>
          <cell r="Q255">
            <v>7</v>
          </cell>
          <cell r="R255">
            <v>308361465000</v>
          </cell>
          <cell r="S255">
            <v>46106</v>
          </cell>
          <cell r="T255" t="str">
            <v>No inspection</v>
          </cell>
          <cell r="U255">
            <v>282233.15999999997</v>
          </cell>
          <cell r="V255" t="str">
            <v>NO PAYMENT</v>
          </cell>
          <cell r="W255" t="str">
            <v>No need</v>
          </cell>
          <cell r="X255" t="str">
            <v>FCA</v>
          </cell>
          <cell r="Y255" t="str">
            <v>PURE</v>
          </cell>
          <cell r="Z255" t="str">
            <v>x</v>
          </cell>
          <cell r="AA255" t="str">
            <v>PM charge customs fee to Customer</v>
          </cell>
        </row>
        <row r="256">
          <cell r="B256" t="str">
            <v>E01061</v>
          </cell>
          <cell r="E256">
            <v>6.3</v>
          </cell>
          <cell r="F256" t="str">
            <v>889955744120</v>
          </cell>
          <cell r="H256" t="str">
            <v>HQ1</v>
          </cell>
          <cell r="I256" t="str">
            <v>Screw, cap, IC, Conn, Diode, trans</v>
          </cell>
          <cell r="J256" t="str">
            <v>FedEx</v>
          </cell>
          <cell r="K256" t="str">
            <v>VVMV</v>
          </cell>
          <cell r="L256" t="str">
            <v>HN</v>
          </cell>
          <cell r="M256" t="str">
            <v>US</v>
          </cell>
          <cell r="N256">
            <v>46107</v>
          </cell>
          <cell r="O256">
            <v>46107</v>
          </cell>
          <cell r="P256">
            <v>46114</v>
          </cell>
          <cell r="Q256">
            <v>7</v>
          </cell>
          <cell r="R256">
            <v>308363787451</v>
          </cell>
          <cell r="S256">
            <v>46106</v>
          </cell>
          <cell r="T256" t="str">
            <v>Inspection</v>
          </cell>
          <cell r="U256">
            <v>3280.42</v>
          </cell>
          <cell r="V256" t="str">
            <v>NO PAYMENT</v>
          </cell>
          <cell r="W256" t="str">
            <v>No need</v>
          </cell>
          <cell r="X256" t="str">
            <v>DAP</v>
          </cell>
          <cell r="Y256" t="str">
            <v>Transfer</v>
          </cell>
          <cell r="Z256" t="str">
            <v>Transfer material</v>
          </cell>
          <cell r="AA256" t="str">
            <v>X</v>
          </cell>
        </row>
        <row r="257">
          <cell r="B257" t="str">
            <v>INV06752</v>
          </cell>
          <cell r="E257">
            <v>1</v>
          </cell>
          <cell r="F257" t="str">
            <v>889954102588</v>
          </cell>
          <cell r="H257" t="str">
            <v>HQ1</v>
          </cell>
          <cell r="I257" t="str">
            <v>SSD</v>
          </cell>
          <cell r="J257" t="str">
            <v>FedEx</v>
          </cell>
          <cell r="K257" t="str">
            <v>VVMV</v>
          </cell>
          <cell r="L257" t="str">
            <v>HN</v>
          </cell>
          <cell r="M257" t="str">
            <v>US</v>
          </cell>
          <cell r="N257">
            <v>46106</v>
          </cell>
          <cell r="O257">
            <v>46106</v>
          </cell>
          <cell r="P257">
            <v>46111</v>
          </cell>
          <cell r="Q257">
            <v>5</v>
          </cell>
          <cell r="R257">
            <v>308362535630</v>
          </cell>
          <cell r="S257">
            <v>46106</v>
          </cell>
          <cell r="T257" t="str">
            <v>No inspection</v>
          </cell>
          <cell r="U257">
            <v>323.83999999999997</v>
          </cell>
          <cell r="V257" t="str">
            <v>NO PAYMENT</v>
          </cell>
          <cell r="W257" t="str">
            <v>No need</v>
          </cell>
          <cell r="X257" t="str">
            <v>DAP</v>
          </cell>
          <cell r="Y257" t="str">
            <v>OEM</v>
          </cell>
          <cell r="Z257" t="str">
            <v>Transfer FG to HQ1</v>
          </cell>
          <cell r="AA257" t="str">
            <v>x</v>
          </cell>
        </row>
        <row r="258">
          <cell r="B258" t="str">
            <v>INV06753</v>
          </cell>
          <cell r="E258">
            <v>101</v>
          </cell>
          <cell r="F258" t="str">
            <v>9525358802</v>
          </cell>
          <cell r="H258" t="str">
            <v>AVNET US</v>
          </cell>
          <cell r="I258" t="str">
            <v>PCBA</v>
          </cell>
          <cell r="J258" t="str">
            <v>DHL</v>
          </cell>
          <cell r="K258" t="str">
            <v>VVMV</v>
          </cell>
          <cell r="L258" t="str">
            <v>HN</v>
          </cell>
          <cell r="M258" t="str">
            <v>US</v>
          </cell>
          <cell r="N258">
            <v>46107</v>
          </cell>
          <cell r="O258">
            <v>46107</v>
          </cell>
          <cell r="P258">
            <v>46114</v>
          </cell>
          <cell r="Q258">
            <v>7</v>
          </cell>
          <cell r="R258">
            <v>308365464430</v>
          </cell>
          <cell r="S258">
            <v>46107</v>
          </cell>
          <cell r="T258" t="str">
            <v>No inspection</v>
          </cell>
          <cell r="U258">
            <v>137846.25</v>
          </cell>
          <cell r="V258" t="str">
            <v>PAYMENT</v>
          </cell>
          <cell r="W258" t="str">
            <v>OK</v>
          </cell>
          <cell r="X258" t="str">
            <v>FCA</v>
          </cell>
          <cell r="Y258" t="str">
            <v>EFI</v>
          </cell>
          <cell r="Z258" t="str">
            <v>x</v>
          </cell>
          <cell r="AA258" t="str">
            <v>X</v>
          </cell>
        </row>
        <row r="259">
          <cell r="B259" t="str">
            <v>E01062</v>
          </cell>
          <cell r="E259">
            <v>164</v>
          </cell>
          <cell r="F259" t="str">
            <v>45T0460651</v>
          </cell>
          <cell r="H259" t="str">
            <v>Kingston</v>
          </cell>
          <cell r="I259" t="str">
            <v>IC</v>
          </cell>
          <cell r="J259" t="str">
            <v>Expeditors</v>
          </cell>
          <cell r="K259" t="str">
            <v>Expeditors</v>
          </cell>
          <cell r="L259" t="str">
            <v>HN</v>
          </cell>
          <cell r="M259" t="str">
            <v>TW</v>
          </cell>
          <cell r="N259">
            <v>46112</v>
          </cell>
          <cell r="O259">
            <v>46112</v>
          </cell>
          <cell r="P259">
            <v>46119</v>
          </cell>
          <cell r="Q259">
            <v>7</v>
          </cell>
          <cell r="R259">
            <v>308381826231</v>
          </cell>
          <cell r="S259">
            <v>46112</v>
          </cell>
          <cell r="T259" t="str">
            <v>Inspection</v>
          </cell>
          <cell r="U259">
            <v>6332180</v>
          </cell>
          <cell r="V259" t="str">
            <v>NO PAYMENT</v>
          </cell>
          <cell r="W259" t="str">
            <v>No need</v>
          </cell>
          <cell r="X259" t="str">
            <v>EXW</v>
          </cell>
          <cell r="Y259" t="str">
            <v>x</v>
          </cell>
          <cell r="Z259" t="str">
            <v>x</v>
          </cell>
          <cell r="AA259" t="str">
            <v>x</v>
          </cell>
        </row>
        <row r="260">
          <cell r="B260" t="str">
            <v>E01063</v>
          </cell>
          <cell r="E260">
            <v>12</v>
          </cell>
          <cell r="F260" t="str">
            <v>3583065651</v>
          </cell>
          <cell r="H260" t="str">
            <v>AVNET US</v>
          </cell>
          <cell r="I260" t="str">
            <v>CAP</v>
          </cell>
          <cell r="J260" t="str">
            <v>DHL</v>
          </cell>
          <cell r="K260" t="str">
            <v>VVMV</v>
          </cell>
          <cell r="L260" t="str">
            <v>HN</v>
          </cell>
          <cell r="M260" t="str">
            <v>US</v>
          </cell>
          <cell r="N260">
            <v>46108</v>
          </cell>
          <cell r="O260">
            <v>46108</v>
          </cell>
          <cell r="P260">
            <v>46114</v>
          </cell>
          <cell r="Q260">
            <v>6</v>
          </cell>
          <cell r="R260">
            <v>308368483201</v>
          </cell>
          <cell r="S260">
            <v>46107</v>
          </cell>
          <cell r="T260" t="str">
            <v>Inspection</v>
          </cell>
          <cell r="U260">
            <v>1734.56</v>
          </cell>
          <cell r="V260" t="str">
            <v>NO PAYMENT</v>
          </cell>
          <cell r="W260" t="str">
            <v>No need</v>
          </cell>
          <cell r="X260" t="str">
            <v>FCA</v>
          </cell>
          <cell r="Y260" t="str">
            <v>EFI</v>
          </cell>
          <cell r="Z260" t="str">
            <v>X</v>
          </cell>
          <cell r="AA260" t="str">
            <v>Vincent charge CN $100 for customs</v>
          </cell>
        </row>
        <row r="261">
          <cell r="B261" t="str">
            <v>INV06754</v>
          </cell>
          <cell r="E261">
            <v>2540.6999999999998</v>
          </cell>
          <cell r="F261" t="str">
            <v>45T0460315</v>
          </cell>
          <cell r="H261" t="str">
            <v>FTX</v>
          </cell>
          <cell r="I261" t="str">
            <v>Eiger, Grover, Hopper, ICER</v>
          </cell>
          <cell r="J261" t="str">
            <v>Expeditors</v>
          </cell>
          <cell r="K261" t="str">
            <v>Expeditors</v>
          </cell>
          <cell r="L261" t="str">
            <v>HN</v>
          </cell>
          <cell r="M261" t="str">
            <v>US</v>
          </cell>
          <cell r="N261">
            <v>46108</v>
          </cell>
          <cell r="O261">
            <v>46108</v>
          </cell>
          <cell r="P261">
            <v>46119</v>
          </cell>
          <cell r="Q261">
            <v>11</v>
          </cell>
          <cell r="R261">
            <v>308371329400</v>
          </cell>
          <cell r="S261">
            <v>46108</v>
          </cell>
          <cell r="T261" t="str">
            <v>No inspection</v>
          </cell>
          <cell r="U261">
            <v>7952787.2400000002</v>
          </cell>
          <cell r="V261" t="str">
            <v>PAYMENT</v>
          </cell>
          <cell r="W261" t="str">
            <v>OK</v>
          </cell>
          <cell r="X261" t="str">
            <v>EXW</v>
          </cell>
          <cell r="Y261" t="str">
            <v>x</v>
          </cell>
          <cell r="Z261" t="str">
            <v>x</v>
          </cell>
          <cell r="AA261" t="str">
            <v>x</v>
          </cell>
        </row>
        <row r="262">
          <cell r="B262" t="str">
            <v>INV06755</v>
          </cell>
          <cell r="E262">
            <v>291.5</v>
          </cell>
          <cell r="F262" t="str">
            <v>HAN26000953</v>
          </cell>
          <cell r="H262" t="str">
            <v>FCZ</v>
          </cell>
          <cell r="I262" t="str">
            <v>Grover, Hopper</v>
          </cell>
          <cell r="J262" t="str">
            <v>Schenker</v>
          </cell>
          <cell r="K262" t="str">
            <v>Schenker</v>
          </cell>
          <cell r="L262" t="str">
            <v>HN</v>
          </cell>
          <cell r="M262" t="str">
            <v>CZ</v>
          </cell>
          <cell r="N262">
            <v>46108</v>
          </cell>
          <cell r="O262">
            <v>46108</v>
          </cell>
          <cell r="P262">
            <v>46120</v>
          </cell>
          <cell r="Q262">
            <v>12</v>
          </cell>
          <cell r="R262">
            <v>308370589720</v>
          </cell>
          <cell r="S262">
            <v>46108</v>
          </cell>
          <cell r="T262" t="str">
            <v>No inspection</v>
          </cell>
          <cell r="U262">
            <v>948580</v>
          </cell>
          <cell r="V262" t="str">
            <v>PAYMENT</v>
          </cell>
          <cell r="W262" t="str">
            <v>OK</v>
          </cell>
          <cell r="X262" t="str">
            <v>EXW</v>
          </cell>
          <cell r="Y262" t="str">
            <v>x</v>
          </cell>
          <cell r="Z262" t="str">
            <v>x</v>
          </cell>
          <cell r="AA262" t="str">
            <v>x</v>
          </cell>
        </row>
        <row r="263">
          <cell r="B263" t="str">
            <v>INV06756</v>
          </cell>
          <cell r="E263">
            <v>36.299999999999997</v>
          </cell>
          <cell r="F263" t="str">
            <v>870077384066</v>
          </cell>
          <cell r="H263" t="str">
            <v>Jabil MX</v>
          </cell>
          <cell r="I263" t="str">
            <v>HLOB</v>
          </cell>
          <cell r="J263" t="str">
            <v>FedEx</v>
          </cell>
          <cell r="K263" t="str">
            <v>VVMV</v>
          </cell>
          <cell r="L263" t="str">
            <v>HN</v>
          </cell>
          <cell r="M263" t="str">
            <v>US</v>
          </cell>
          <cell r="N263">
            <v>46112</v>
          </cell>
          <cell r="O263">
            <v>46112</v>
          </cell>
          <cell r="P263">
            <v>46118</v>
          </cell>
          <cell r="Q263">
            <v>6</v>
          </cell>
          <cell r="R263" t="str">
            <v>308375005761
308375026431
308375046731
308375065631
308375086041</v>
          </cell>
          <cell r="S263">
            <v>46111</v>
          </cell>
          <cell r="T263" t="str">
            <v>Inspection</v>
          </cell>
          <cell r="U263">
            <v>7952787.2400000021</v>
          </cell>
          <cell r="V263" t="str">
            <v>NO PAYMENT</v>
          </cell>
          <cell r="W263" t="str">
            <v>No need</v>
          </cell>
          <cell r="X263" t="str">
            <v>FCA</v>
          </cell>
          <cell r="Y263" t="str">
            <v>PURE</v>
          </cell>
          <cell r="Z263" t="str">
            <v>x</v>
          </cell>
          <cell r="AA263" t="str">
            <v>x</v>
          </cell>
        </row>
        <row r="264">
          <cell r="B264" t="str">
            <v>INV06757</v>
          </cell>
          <cell r="E264">
            <v>3172.8</v>
          </cell>
          <cell r="F264" t="str">
            <v>SHAN0481534</v>
          </cell>
          <cell r="H264" t="str">
            <v>Lucid Arizona</v>
          </cell>
          <cell r="I264" t="str">
            <v>VCU, FRONT, CABIN, REAR, DCM, BCM</v>
          </cell>
          <cell r="J264" t="str">
            <v>DSV</v>
          </cell>
          <cell r="K264" t="str">
            <v>VVMV</v>
          </cell>
          <cell r="L264" t="str">
            <v>HN</v>
          </cell>
          <cell r="M264" t="str">
            <v>US</v>
          </cell>
          <cell r="N264">
            <v>46112</v>
          </cell>
          <cell r="O264">
            <v>46112</v>
          </cell>
          <cell r="P264" t="str">
            <v>release ngay 24</v>
          </cell>
          <cell r="Q264" t="e">
            <v>#VALUE!</v>
          </cell>
          <cell r="R264">
            <v>308381541700</v>
          </cell>
          <cell r="S264">
            <v>46112</v>
          </cell>
          <cell r="T264" t="str">
            <v>No inspection</v>
          </cell>
          <cell r="U264">
            <v>447163.68</v>
          </cell>
          <cell r="V264" t="str">
            <v>PAYMENT</v>
          </cell>
          <cell r="W264" t="str">
            <v>OK</v>
          </cell>
          <cell r="X264" t="str">
            <v>FCA</v>
          </cell>
          <cell r="Y264" t="str">
            <v>Lucid</v>
          </cell>
          <cell r="Z264" t="str">
            <v>x</v>
          </cell>
          <cell r="AA264" t="str">
            <v>x</v>
          </cell>
        </row>
        <row r="265">
          <cell r="B265" t="str">
            <v>INV06758</v>
          </cell>
          <cell r="E265">
            <v>567.1</v>
          </cell>
          <cell r="F265" t="str">
            <v>870105566570</v>
          </cell>
          <cell r="H265" t="str">
            <v>Jabil MX</v>
          </cell>
          <cell r="I265" t="str">
            <v>HLOB</v>
          </cell>
          <cell r="J265" t="str">
            <v>FedEx</v>
          </cell>
          <cell r="K265" t="str">
            <v>VVMV</v>
          </cell>
          <cell r="L265" t="str">
            <v>HN</v>
          </cell>
          <cell r="M265" t="str">
            <v>MX</v>
          </cell>
          <cell r="N265">
            <v>46111</v>
          </cell>
          <cell r="O265">
            <v>46111</v>
          </cell>
          <cell r="P265">
            <v>46119</v>
          </cell>
          <cell r="Q265">
            <v>8</v>
          </cell>
          <cell r="R265">
            <v>308372272300</v>
          </cell>
          <cell r="S265">
            <v>46111</v>
          </cell>
          <cell r="T265" t="str">
            <v>No inspection</v>
          </cell>
          <cell r="U265">
            <v>3725477.34</v>
          </cell>
          <cell r="V265" t="str">
            <v>PAYMENT</v>
          </cell>
          <cell r="W265" t="str">
            <v>ok</v>
          </cell>
          <cell r="X265" t="str">
            <v>FCA</v>
          </cell>
          <cell r="Y265" t="str">
            <v>PURE</v>
          </cell>
          <cell r="Z265" t="str">
            <v>x</v>
          </cell>
          <cell r="AA265" t="str">
            <v>x</v>
          </cell>
        </row>
        <row r="266">
          <cell r="B266" t="str">
            <v>Sample 743</v>
          </cell>
          <cell r="E266">
            <v>0.1</v>
          </cell>
          <cell r="F266" t="str">
            <v>870041432509</v>
          </cell>
          <cell r="H266" t="str">
            <v>Texas Instruments</v>
          </cell>
          <cell r="I266" t="str">
            <v>IC</v>
          </cell>
          <cell r="J266" t="str">
            <v>FedEx</v>
          </cell>
          <cell r="K266" t="str">
            <v>x</v>
          </cell>
          <cell r="L266" t="str">
            <v>HN</v>
          </cell>
          <cell r="M266" t="str">
            <v>PH</v>
          </cell>
          <cell r="N266">
            <v>46108</v>
          </cell>
          <cell r="O266">
            <v>46108</v>
          </cell>
          <cell r="P266">
            <v>46111</v>
          </cell>
          <cell r="Q266">
            <v>3</v>
          </cell>
          <cell r="R266" t="str">
            <v>x</v>
          </cell>
          <cell r="S266" t="str">
            <v>x</v>
          </cell>
          <cell r="T266" t="str">
            <v>x</v>
          </cell>
          <cell r="U266">
            <v>1.49</v>
          </cell>
          <cell r="V266" t="str">
            <v>NO PAYMENT</v>
          </cell>
          <cell r="W266" t="str">
            <v>No need</v>
          </cell>
          <cell r="X266" t="str">
            <v>DAP</v>
          </cell>
          <cell r="Y266" t="str">
            <v>PURE</v>
          </cell>
          <cell r="Z266" t="str">
            <v>Ship QA's sample for evaluation</v>
          </cell>
          <cell r="AA266" t="str">
            <v>X</v>
          </cell>
        </row>
        <row r="267">
          <cell r="B267" t="str">
            <v>INV06759</v>
          </cell>
          <cell r="E267">
            <v>1.6</v>
          </cell>
          <cell r="F267" t="str">
            <v>870103467950</v>
          </cell>
          <cell r="H267" t="str">
            <v>HQ1</v>
          </cell>
          <cell r="I267" t="str">
            <v>IC</v>
          </cell>
          <cell r="J267" t="str">
            <v>FedEx</v>
          </cell>
          <cell r="K267" t="str">
            <v>VVMV</v>
          </cell>
          <cell r="L267" t="str">
            <v>HN</v>
          </cell>
          <cell r="M267" t="str">
            <v>US</v>
          </cell>
          <cell r="N267">
            <v>46111</v>
          </cell>
          <cell r="O267">
            <v>46111</v>
          </cell>
          <cell r="P267">
            <v>46114</v>
          </cell>
          <cell r="Q267">
            <v>3</v>
          </cell>
          <cell r="R267">
            <v>308380487830</v>
          </cell>
          <cell r="S267">
            <v>46111</v>
          </cell>
          <cell r="T267" t="str">
            <v>No inspection</v>
          </cell>
          <cell r="U267">
            <v>769.96</v>
          </cell>
          <cell r="V267" t="str">
            <v>NO PAYMENT</v>
          </cell>
          <cell r="W267" t="str">
            <v>No need</v>
          </cell>
          <cell r="X267" t="str">
            <v>DAP</v>
          </cell>
          <cell r="Y267" t="str">
            <v>Transfer</v>
          </cell>
          <cell r="Z267" t="str">
            <v>Transfer FG</v>
          </cell>
          <cell r="AA267" t="str">
            <v>X</v>
          </cell>
        </row>
        <row r="268">
          <cell r="B268" t="str">
            <v>INV06760</v>
          </cell>
          <cell r="E268">
            <v>350.4</v>
          </cell>
          <cell r="F268" t="str">
            <v>SRAF0243345</v>
          </cell>
          <cell r="H268" t="str">
            <v>HELLA</v>
          </cell>
          <cell r="I268" t="str">
            <v>HCU</v>
          </cell>
          <cell r="J268" t="str">
            <v>DSV</v>
          </cell>
          <cell r="K268" t="str">
            <v>VVMV</v>
          </cell>
          <cell r="L268" t="str">
            <v>HN</v>
          </cell>
          <cell r="M268" t="str">
            <v>DE</v>
          </cell>
          <cell r="N268">
            <v>46115</v>
          </cell>
          <cell r="O268">
            <v>46115</v>
          </cell>
          <cell r="P268">
            <v>46126</v>
          </cell>
          <cell r="Q268">
            <v>11</v>
          </cell>
          <cell r="R268">
            <v>308391410960</v>
          </cell>
          <cell r="S268">
            <v>46115</v>
          </cell>
          <cell r="T268" t="str">
            <v>No inspection</v>
          </cell>
          <cell r="U268">
            <v>53850.239999999998</v>
          </cell>
          <cell r="V268" t="str">
            <v>PAYMENT</v>
          </cell>
          <cell r="W268" t="str">
            <v>OK</v>
          </cell>
          <cell r="X268" t="str">
            <v>FCA</v>
          </cell>
          <cell r="Y268" t="str">
            <v>Lucid</v>
          </cell>
          <cell r="Z268" t="str">
            <v>x</v>
          </cell>
          <cell r="AA268" t="str">
            <v>x</v>
          </cell>
        </row>
        <row r="269">
          <cell r="B269" t="str">
            <v>E01064</v>
          </cell>
          <cell r="E269">
            <v>1.8</v>
          </cell>
          <cell r="F269" t="str">
            <v>870105987709</v>
          </cell>
          <cell r="H269" t="str">
            <v>HQ1</v>
          </cell>
          <cell r="I269" t="str">
            <v>DDR4</v>
          </cell>
          <cell r="J269" t="str">
            <v>FedEx</v>
          </cell>
          <cell r="K269" t="str">
            <v>VVMV</v>
          </cell>
          <cell r="L269" t="str">
            <v>HN</v>
          </cell>
          <cell r="M269" t="str">
            <v>US</v>
          </cell>
          <cell r="N269">
            <v>46111</v>
          </cell>
          <cell r="O269">
            <v>46111</v>
          </cell>
          <cell r="P269">
            <v>46114</v>
          </cell>
          <cell r="Q269">
            <v>3</v>
          </cell>
          <cell r="R269">
            <v>308378084841</v>
          </cell>
          <cell r="S269">
            <v>46111</v>
          </cell>
          <cell r="T269" t="str">
            <v>Inspection</v>
          </cell>
          <cell r="U269">
            <v>805.2</v>
          </cell>
          <cell r="V269" t="str">
            <v>NO PAYMENT</v>
          </cell>
          <cell r="W269" t="str">
            <v>No need</v>
          </cell>
          <cell r="X269" t="str">
            <v>FCA</v>
          </cell>
          <cell r="Y269" t="str">
            <v>PURE</v>
          </cell>
          <cell r="Z269" t="str">
            <v>x</v>
          </cell>
          <cell r="AA269" t="str">
            <v>x</v>
          </cell>
        </row>
        <row r="270">
          <cell r="B270" t="str">
            <v>INV06761</v>
          </cell>
          <cell r="E270">
            <v>2884.8</v>
          </cell>
          <cell r="F270" t="str">
            <v>SHAN0483224</v>
          </cell>
          <cell r="H270" t="str">
            <v>Lucid Arizona</v>
          </cell>
          <cell r="I270" t="str">
            <v>UCC, VCU, FRONT, CABIN, REAR, BCM, DCM</v>
          </cell>
          <cell r="J270" t="str">
            <v>DSV</v>
          </cell>
          <cell r="K270" t="str">
            <v>VVMV</v>
          </cell>
          <cell r="L270" t="str">
            <v>HN</v>
          </cell>
          <cell r="M270" t="str">
            <v>US</v>
          </cell>
          <cell r="N270">
            <v>46114</v>
          </cell>
          <cell r="O270">
            <v>46114</v>
          </cell>
          <cell r="P270">
            <v>46148</v>
          </cell>
          <cell r="Q270">
            <v>34</v>
          </cell>
          <cell r="R270">
            <v>308387571350</v>
          </cell>
          <cell r="S270">
            <v>46114</v>
          </cell>
          <cell r="T270" t="str">
            <v>No inspection</v>
          </cell>
          <cell r="U270">
            <v>512479.44</v>
          </cell>
          <cell r="V270" t="str">
            <v>PAYMENT</v>
          </cell>
          <cell r="W270" t="str">
            <v>ok</v>
          </cell>
          <cell r="X270" t="str">
            <v>FCA</v>
          </cell>
          <cell r="Y270" t="str">
            <v>Lucid</v>
          </cell>
          <cell r="Z270" t="str">
            <v>x</v>
          </cell>
          <cell r="AA270" t="str">
            <v>x</v>
          </cell>
        </row>
        <row r="271">
          <cell r="B271" t="str">
            <v>INV06762</v>
          </cell>
          <cell r="E271">
            <v>3249.6</v>
          </cell>
          <cell r="F271" t="str">
            <v>SHAN0483395</v>
          </cell>
          <cell r="H271" t="str">
            <v>Lucid Arizona</v>
          </cell>
          <cell r="I271" t="str">
            <v>UCC, VCU, FRONT, CABIN, REAR, BCM, DCM</v>
          </cell>
          <cell r="J271" t="str">
            <v>DSV</v>
          </cell>
          <cell r="K271" t="str">
            <v>VVMV</v>
          </cell>
          <cell r="L271" t="str">
            <v>HN</v>
          </cell>
          <cell r="M271" t="str">
            <v>US</v>
          </cell>
          <cell r="N271">
            <v>46115</v>
          </cell>
          <cell r="O271">
            <v>46115</v>
          </cell>
          <cell r="P271" t="str">
            <v>release ngay 30</v>
          </cell>
          <cell r="Q271" t="e">
            <v>#VALUE!</v>
          </cell>
          <cell r="R271">
            <v>308394898400</v>
          </cell>
          <cell r="S271">
            <v>46115</v>
          </cell>
          <cell r="T271" t="str">
            <v>No inspection</v>
          </cell>
          <cell r="U271">
            <v>556745.28</v>
          </cell>
          <cell r="V271" t="str">
            <v>PAYMENT</v>
          </cell>
          <cell r="W271" t="str">
            <v>OK</v>
          </cell>
          <cell r="X271" t="str">
            <v>FCA</v>
          </cell>
          <cell r="Y271" t="str">
            <v>Lucid</v>
          </cell>
          <cell r="Z271" t="str">
            <v>x</v>
          </cell>
          <cell r="AA271" t="str">
            <v>x</v>
          </cell>
        </row>
        <row r="272">
          <cell r="B272" t="str">
            <v>INV06763</v>
          </cell>
          <cell r="E272">
            <v>3795.6</v>
          </cell>
          <cell r="F272" t="str">
            <v>SHAN0483299</v>
          </cell>
          <cell r="H272" t="str">
            <v>Lucid Arizona</v>
          </cell>
          <cell r="I272" t="str">
            <v>FRONT, REAR</v>
          </cell>
          <cell r="J272" t="str">
            <v>DSV</v>
          </cell>
          <cell r="K272" t="str">
            <v>VVMV</v>
          </cell>
          <cell r="L272" t="str">
            <v>HN</v>
          </cell>
          <cell r="M272" t="str">
            <v>US</v>
          </cell>
          <cell r="N272">
            <v>46115</v>
          </cell>
          <cell r="O272">
            <v>46115</v>
          </cell>
          <cell r="P272" t="str">
            <v>release ngay 29</v>
          </cell>
          <cell r="Q272" t="e">
            <v>#VALUE!</v>
          </cell>
          <cell r="R272">
            <v>308391372020</v>
          </cell>
          <cell r="S272">
            <v>46115</v>
          </cell>
          <cell r="T272" t="str">
            <v>No inspection</v>
          </cell>
          <cell r="U272">
            <v>273665.52</v>
          </cell>
          <cell r="V272" t="str">
            <v>PAYMENT</v>
          </cell>
          <cell r="W272" t="str">
            <v>OK</v>
          </cell>
          <cell r="X272" t="str">
            <v>FCA</v>
          </cell>
          <cell r="Y272" t="str">
            <v>Lucid</v>
          </cell>
          <cell r="Z272" t="str">
            <v>x</v>
          </cell>
          <cell r="AA272" t="str">
            <v>x</v>
          </cell>
        </row>
        <row r="273">
          <cell r="B273" t="str">
            <v>E01065</v>
          </cell>
          <cell r="E273">
            <v>0.5</v>
          </cell>
          <cell r="F273" t="str">
            <v>1003219899</v>
          </cell>
          <cell r="H273" t="str">
            <v>FUSHAN</v>
          </cell>
          <cell r="J273" t="str">
            <v>x</v>
          </cell>
          <cell r="K273" t="str">
            <v>VVMV</v>
          </cell>
          <cell r="L273" t="str">
            <v>HN</v>
          </cell>
          <cell r="M273" t="str">
            <v>VN</v>
          </cell>
          <cell r="N273">
            <v>46112</v>
          </cell>
          <cell r="O273">
            <v>46112</v>
          </cell>
          <cell r="P273">
            <v>46112</v>
          </cell>
          <cell r="Q273">
            <v>0</v>
          </cell>
          <cell r="R273">
            <v>308381270211</v>
          </cell>
          <cell r="S273">
            <v>46112</v>
          </cell>
          <cell r="T273" t="str">
            <v>Inspection</v>
          </cell>
          <cell r="V273" t="str">
            <v>NO PAYMENT</v>
          </cell>
          <cell r="W273" t="str">
            <v>No need</v>
          </cell>
          <cell r="X273" t="str">
            <v>FCA</v>
          </cell>
          <cell r="Y273" t="str">
            <v>Lucid</v>
          </cell>
          <cell r="Z273" t="str">
            <v>x</v>
          </cell>
          <cell r="AA273" t="str">
            <v>Oscar charge $100 customs fee to customer</v>
          </cell>
        </row>
        <row r="274">
          <cell r="B274" t="str">
            <v>INV06764</v>
          </cell>
          <cell r="E274">
            <v>4.8</v>
          </cell>
          <cell r="F274" t="str">
            <v>870202286865</v>
          </cell>
          <cell r="H274" t="str">
            <v>AIC</v>
          </cell>
          <cell r="I274" t="str">
            <v>PCBA</v>
          </cell>
          <cell r="J274" t="str">
            <v>FedEx</v>
          </cell>
          <cell r="K274" t="str">
            <v>VVMV</v>
          </cell>
          <cell r="L274" t="str">
            <v>HN</v>
          </cell>
          <cell r="M274" t="str">
            <v>TW</v>
          </cell>
          <cell r="N274">
            <v>46114</v>
          </cell>
          <cell r="O274">
            <v>46114</v>
          </cell>
          <cell r="P274">
            <v>46120</v>
          </cell>
          <cell r="Q274">
            <v>6</v>
          </cell>
          <cell r="R274" t="str">
            <v>308384046630
308384076621</v>
          </cell>
          <cell r="S274">
            <v>46113</v>
          </cell>
          <cell r="T274" t="str">
            <v>Inspection</v>
          </cell>
          <cell r="U274">
            <v>4939.0499999999993</v>
          </cell>
          <cell r="V274" t="str">
            <v>PAYMENT</v>
          </cell>
          <cell r="W274" t="str">
            <v>OK</v>
          </cell>
          <cell r="X274" t="str">
            <v>FCA</v>
          </cell>
          <cell r="Y274" t="str">
            <v>AIC</v>
          </cell>
          <cell r="Z274" t="str">
            <v>x</v>
          </cell>
          <cell r="AA274" t="str">
            <v>x</v>
          </cell>
        </row>
        <row r="275">
          <cell r="B275" t="str">
            <v>Sample 744</v>
          </cell>
          <cell r="E275">
            <v>0.2</v>
          </cell>
          <cell r="F275" t="str">
            <v>870157669260</v>
          </cell>
          <cell r="H275" t="str">
            <v>GCE TW</v>
          </cell>
          <cell r="I275" t="str">
            <v>PCB</v>
          </cell>
          <cell r="J275" t="str">
            <v>FedEx</v>
          </cell>
          <cell r="K275" t="str">
            <v>X</v>
          </cell>
          <cell r="L275" t="str">
            <v>HN</v>
          </cell>
          <cell r="M275" t="str">
            <v>TW</v>
          </cell>
          <cell r="N275">
            <v>46112</v>
          </cell>
          <cell r="O275">
            <v>46112</v>
          </cell>
          <cell r="P275">
            <v>46119</v>
          </cell>
          <cell r="Q275">
            <v>7</v>
          </cell>
          <cell r="R275" t="str">
            <v>x</v>
          </cell>
          <cell r="S275" t="str">
            <v>x</v>
          </cell>
          <cell r="T275" t="str">
            <v>x</v>
          </cell>
          <cell r="U275">
            <v>21.45</v>
          </cell>
          <cell r="V275" t="str">
            <v>NO PAYMENT</v>
          </cell>
          <cell r="W275" t="str">
            <v>No need</v>
          </cell>
          <cell r="X275" t="str">
            <v>FCA</v>
          </cell>
          <cell r="Y275" t="str">
            <v>PURE</v>
          </cell>
          <cell r="Z275" t="str">
            <v>x</v>
          </cell>
          <cell r="AA275" t="str">
            <v>x</v>
          </cell>
        </row>
        <row r="276">
          <cell r="B276" t="str">
            <v>INV06765</v>
          </cell>
          <cell r="E276">
            <v>122.6</v>
          </cell>
          <cell r="F276" t="str">
            <v>SRAF0251460</v>
          </cell>
          <cell r="H276" t="str">
            <v>Lucid Arizona</v>
          </cell>
          <cell r="I276" t="str">
            <v>FRONT, VCU, BCM, REAR</v>
          </cell>
          <cell r="J276" t="str">
            <v>DSV</v>
          </cell>
          <cell r="K276" t="str">
            <v>VVMV</v>
          </cell>
          <cell r="L276" t="str">
            <v>HN</v>
          </cell>
          <cell r="M276" t="str">
            <v>US</v>
          </cell>
          <cell r="N276">
            <v>46115</v>
          </cell>
          <cell r="O276">
            <v>46115</v>
          </cell>
          <cell r="P276">
            <v>46118</v>
          </cell>
          <cell r="Q276">
            <v>3</v>
          </cell>
          <cell r="R276">
            <v>308396909500</v>
          </cell>
          <cell r="S276">
            <v>46115</v>
          </cell>
          <cell r="T276" t="str">
            <v>No inspection</v>
          </cell>
          <cell r="U276">
            <v>11968.8</v>
          </cell>
          <cell r="V276" t="str">
            <v>PAYMENT</v>
          </cell>
          <cell r="W276" t="str">
            <v>OK</v>
          </cell>
          <cell r="X276" t="str">
            <v>FCA</v>
          </cell>
          <cell r="Y276" t="str">
            <v>Lucid</v>
          </cell>
          <cell r="Z276" t="str">
            <v>x</v>
          </cell>
          <cell r="AA276" t="str">
            <v>x</v>
          </cell>
        </row>
        <row r="277">
          <cell r="B277" t="str">
            <v>E01066</v>
          </cell>
          <cell r="E277">
            <v>31.5</v>
          </cell>
          <cell r="F277" t="str">
            <v>870284598926</v>
          </cell>
          <cell r="H277" t="str">
            <v>Unigen MY</v>
          </cell>
          <cell r="I277" t="str">
            <v>MTE equipment</v>
          </cell>
          <cell r="J277" t="str">
            <v>FedEx</v>
          </cell>
          <cell r="K277" t="str">
            <v>VVMV</v>
          </cell>
          <cell r="L277" t="str">
            <v>HN</v>
          </cell>
          <cell r="M277" t="str">
            <v>MY</v>
          </cell>
          <cell r="N277">
            <v>46118</v>
          </cell>
          <cell r="O277">
            <v>46118</v>
          </cell>
          <cell r="P277">
            <v>46120</v>
          </cell>
          <cell r="Q277">
            <v>2</v>
          </cell>
          <cell r="R277" t="str">
            <v>308397647961
308397723601</v>
          </cell>
          <cell r="S277">
            <v>46116</v>
          </cell>
          <cell r="T277" t="str">
            <v>Inspection</v>
          </cell>
          <cell r="U277">
            <v>6790.68</v>
          </cell>
          <cell r="V277" t="str">
            <v>NO PAYMENT</v>
          </cell>
          <cell r="W277" t="str">
            <v>No need</v>
          </cell>
          <cell r="X277" t="str">
            <v>FCA</v>
          </cell>
          <cell r="Y277" t="str">
            <v>Other</v>
          </cell>
          <cell r="Z277" t="str">
            <v>x</v>
          </cell>
          <cell r="AA277" t="str">
            <v>x</v>
          </cell>
        </row>
        <row r="278">
          <cell r="B278" t="str">
            <v>E01067</v>
          </cell>
          <cell r="E278">
            <v>3.8</v>
          </cell>
          <cell r="F278" t="str">
            <v>870205178267</v>
          </cell>
          <cell r="H278" t="str">
            <v>Unigen MY</v>
          </cell>
          <cell r="I278" t="str">
            <v>IC</v>
          </cell>
          <cell r="J278" t="str">
            <v>FedEx</v>
          </cell>
          <cell r="K278" t="str">
            <v>VVMV</v>
          </cell>
          <cell r="L278" t="str">
            <v>HN</v>
          </cell>
          <cell r="M278" t="str">
            <v>MY</v>
          </cell>
          <cell r="N278">
            <v>46114</v>
          </cell>
          <cell r="O278">
            <v>46114</v>
          </cell>
          <cell r="P278">
            <v>46119</v>
          </cell>
          <cell r="Q278">
            <v>5</v>
          </cell>
          <cell r="R278">
            <v>308390222621</v>
          </cell>
          <cell r="S278">
            <v>46114</v>
          </cell>
          <cell r="T278" t="str">
            <v>Inspection</v>
          </cell>
          <cell r="U278">
            <v>3293</v>
          </cell>
          <cell r="V278" t="str">
            <v>NO PAYMENT</v>
          </cell>
          <cell r="W278" t="str">
            <v>No need</v>
          </cell>
          <cell r="X278" t="str">
            <v>FCA</v>
          </cell>
          <cell r="Y278" t="str">
            <v>Transfer</v>
          </cell>
          <cell r="Z278" t="str">
            <v>x</v>
          </cell>
          <cell r="AA278" t="str">
            <v>x</v>
          </cell>
        </row>
        <row r="279">
          <cell r="B279" t="str">
            <v>INV06766</v>
          </cell>
          <cell r="E279">
            <v>2.2999999999999998</v>
          </cell>
          <cell r="F279" t="str">
            <v>870204906583</v>
          </cell>
          <cell r="H279" t="str">
            <v>INGRASYS</v>
          </cell>
          <cell r="I279" t="str">
            <v>DDR4</v>
          </cell>
          <cell r="J279" t="str">
            <v>FedEx</v>
          </cell>
          <cell r="K279" t="str">
            <v>VVMV</v>
          </cell>
          <cell r="L279" t="str">
            <v>HN</v>
          </cell>
          <cell r="M279" t="str">
            <v>TW</v>
          </cell>
          <cell r="N279">
            <v>46113</v>
          </cell>
          <cell r="O279">
            <v>46113</v>
          </cell>
          <cell r="P279">
            <v>46120</v>
          </cell>
          <cell r="Q279">
            <v>7</v>
          </cell>
          <cell r="R279" t="str">
            <v>308389816251
308389853241</v>
          </cell>
          <cell r="S279">
            <v>46113</v>
          </cell>
          <cell r="T279" t="str">
            <v>Inspection</v>
          </cell>
          <cell r="U279">
            <v>786.78</v>
          </cell>
          <cell r="V279" t="str">
            <v>NO PAYMENT</v>
          </cell>
          <cell r="W279" t="str">
            <v>No need</v>
          </cell>
          <cell r="X279" t="str">
            <v>DAP</v>
          </cell>
          <cell r="Y279" t="str">
            <v>Agiga</v>
          </cell>
          <cell r="Z279" t="str">
            <v>RMA</v>
          </cell>
          <cell r="AA279" t="str">
            <v>X</v>
          </cell>
        </row>
        <row r="280">
          <cell r="B280" t="str">
            <v>INV06767</v>
          </cell>
          <cell r="E280">
            <v>10.4</v>
          </cell>
          <cell r="F280" t="str">
            <v>870244394597</v>
          </cell>
          <cell r="H280" t="str">
            <v>PURE US</v>
          </cell>
          <cell r="I280" t="str">
            <v>HLOB</v>
          </cell>
          <cell r="J280" t="str">
            <v>FedEx</v>
          </cell>
          <cell r="K280" t="str">
            <v>VVMV</v>
          </cell>
          <cell r="L280" t="str">
            <v>HN</v>
          </cell>
          <cell r="M280" t="str">
            <v>US</v>
          </cell>
          <cell r="N280">
            <v>46114</v>
          </cell>
          <cell r="O280">
            <v>46114</v>
          </cell>
          <cell r="P280">
            <v>46121</v>
          </cell>
          <cell r="Q280">
            <v>7</v>
          </cell>
          <cell r="R280">
            <v>308392702240</v>
          </cell>
          <cell r="S280">
            <v>46114</v>
          </cell>
          <cell r="T280" t="str">
            <v>No inspection</v>
          </cell>
          <cell r="U280">
            <v>8398.42</v>
          </cell>
          <cell r="V280" t="str">
            <v>PAYMENT</v>
          </cell>
          <cell r="W280" t="str">
            <v>ok</v>
          </cell>
          <cell r="X280" t="str">
            <v>FCA</v>
          </cell>
          <cell r="Y280" t="str">
            <v>PURE</v>
          </cell>
          <cell r="Z280" t="str">
            <v>x</v>
          </cell>
          <cell r="AA280" t="str">
            <v>PM charge customs fee to Customer</v>
          </cell>
        </row>
        <row r="281">
          <cell r="B281" t="str">
            <v>E01068</v>
          </cell>
          <cell r="E281">
            <v>2.6</v>
          </cell>
          <cell r="F281" t="str">
            <v>870238902689</v>
          </cell>
          <cell r="H281" t="str">
            <v>HQ1</v>
          </cell>
          <cell r="I281" t="str">
            <v>IC, Res, Diode</v>
          </cell>
          <cell r="J281" t="str">
            <v>FedEx</v>
          </cell>
          <cell r="K281" t="str">
            <v>VVMV</v>
          </cell>
          <cell r="L281" t="str">
            <v>HN</v>
          </cell>
          <cell r="M281" t="str">
            <v>US</v>
          </cell>
          <cell r="N281">
            <v>46114</v>
          </cell>
          <cell r="O281">
            <v>46114</v>
          </cell>
          <cell r="P281">
            <v>46118</v>
          </cell>
          <cell r="Q281">
            <v>4</v>
          </cell>
          <cell r="R281">
            <v>308390624751</v>
          </cell>
          <cell r="S281">
            <v>46114</v>
          </cell>
          <cell r="T281" t="str">
            <v>Inspection</v>
          </cell>
          <cell r="U281">
            <v>1827.43</v>
          </cell>
          <cell r="V281" t="str">
            <v>NO PAYMENT</v>
          </cell>
          <cell r="W281" t="str">
            <v>No need</v>
          </cell>
          <cell r="X281" t="str">
            <v>FCA</v>
          </cell>
          <cell r="Y281" t="str">
            <v>Transfer</v>
          </cell>
          <cell r="Z281" t="str">
            <v>x</v>
          </cell>
          <cell r="AA281" t="str">
            <v>x</v>
          </cell>
        </row>
        <row r="282">
          <cell r="B282" t="str">
            <v>INV06768</v>
          </cell>
          <cell r="C282" t="str">
            <v>INV06769</v>
          </cell>
          <cell r="D282" t="str">
            <v>INV06770</v>
          </cell>
          <cell r="E282">
            <v>1091.4000000000001</v>
          </cell>
          <cell r="F282" t="str">
            <v>45T0461283</v>
          </cell>
          <cell r="H282" t="str">
            <v>FTX</v>
          </cell>
          <cell r="I282" t="str">
            <v>HOPPER, GROVER</v>
          </cell>
          <cell r="J282" t="str">
            <v>Expeditors</v>
          </cell>
          <cell r="K282" t="str">
            <v>Expeditors</v>
          </cell>
          <cell r="L282" t="str">
            <v>HN</v>
          </cell>
          <cell r="M282" t="str">
            <v>US</v>
          </cell>
          <cell r="N282">
            <v>46115</v>
          </cell>
          <cell r="O282">
            <v>46115</v>
          </cell>
          <cell r="P282">
            <v>46126</v>
          </cell>
          <cell r="Q282">
            <v>11</v>
          </cell>
          <cell r="R282">
            <v>308396043710</v>
          </cell>
          <cell r="S282">
            <v>46115</v>
          </cell>
          <cell r="T282" t="str">
            <v>No inspection</v>
          </cell>
          <cell r="U282">
            <v>3775479.15</v>
          </cell>
          <cell r="V282" t="str">
            <v>PAYMENT</v>
          </cell>
          <cell r="W282" t="str">
            <v>OK</v>
          </cell>
          <cell r="X282" t="str">
            <v>EXW</v>
          </cell>
          <cell r="Y282" t="str">
            <v>x</v>
          </cell>
          <cell r="Z282" t="str">
            <v>x</v>
          </cell>
          <cell r="AA282" t="str">
            <v>x</v>
          </cell>
        </row>
        <row r="283">
          <cell r="B283" t="str">
            <v>INV06769</v>
          </cell>
          <cell r="E283">
            <v>275.5</v>
          </cell>
          <cell r="F283" t="str">
            <v>HAN26001067</v>
          </cell>
          <cell r="H283" t="str">
            <v>FCZ</v>
          </cell>
          <cell r="I283" t="str">
            <v>HOPPER, GROVER, ICER</v>
          </cell>
          <cell r="J283" t="str">
            <v>Schenker</v>
          </cell>
          <cell r="K283" t="str">
            <v>Schenker</v>
          </cell>
          <cell r="L283" t="str">
            <v>HN</v>
          </cell>
          <cell r="M283" t="str">
            <v>CZ</v>
          </cell>
          <cell r="N283">
            <v>46115</v>
          </cell>
          <cell r="O283">
            <v>46115</v>
          </cell>
          <cell r="P283">
            <v>46121</v>
          </cell>
          <cell r="Q283">
            <v>6</v>
          </cell>
          <cell r="R283">
            <v>308395310810</v>
          </cell>
          <cell r="S283">
            <v>46115</v>
          </cell>
          <cell r="T283" t="str">
            <v>No inspection</v>
          </cell>
          <cell r="U283">
            <v>712457.2</v>
          </cell>
          <cell r="V283" t="str">
            <v>PAYMENT</v>
          </cell>
          <cell r="W283" t="str">
            <v>OK</v>
          </cell>
          <cell r="X283" t="str">
            <v>EXW</v>
          </cell>
          <cell r="Y283" t="str">
            <v>x</v>
          </cell>
          <cell r="Z283" t="str">
            <v>x</v>
          </cell>
          <cell r="AA283" t="str">
            <v>x</v>
          </cell>
        </row>
        <row r="284">
          <cell r="B284" t="str">
            <v>INV06770</v>
          </cell>
          <cell r="E284">
            <v>3009.4</v>
          </cell>
          <cell r="F284" t="str">
            <v>SHAN0484525</v>
          </cell>
          <cell r="H284" t="str">
            <v>Lucid Arizona</v>
          </cell>
          <cell r="I284" t="str">
            <v>UCC, VCU, FRONT, CABIN, REAR, BCM, DCM</v>
          </cell>
          <cell r="J284" t="str">
            <v>DSV</v>
          </cell>
          <cell r="K284" t="str">
            <v>VVMV</v>
          </cell>
          <cell r="L284" t="str">
            <v>HN</v>
          </cell>
          <cell r="M284" t="str">
            <v>US</v>
          </cell>
          <cell r="N284">
            <v>46119</v>
          </cell>
          <cell r="O284">
            <v>46119</v>
          </cell>
          <cell r="P284">
            <v>46177</v>
          </cell>
          <cell r="Q284">
            <v>62</v>
          </cell>
          <cell r="R284">
            <v>308405207960</v>
          </cell>
          <cell r="S284">
            <v>46119</v>
          </cell>
          <cell r="T284" t="str">
            <v>No inspection</v>
          </cell>
          <cell r="U284">
            <v>508539.12</v>
          </cell>
          <cell r="V284" t="str">
            <v>PAYMENT</v>
          </cell>
          <cell r="W284" t="str">
            <v>ok</v>
          </cell>
          <cell r="X284" t="str">
            <v>FCA</v>
          </cell>
          <cell r="Y284" t="str">
            <v>Lucid</v>
          </cell>
          <cell r="Z284" t="str">
            <v>x</v>
          </cell>
          <cell r="AA284" t="str">
            <v>x</v>
          </cell>
        </row>
        <row r="285">
          <cell r="B285" t="str">
            <v>Sample 745</v>
          </cell>
          <cell r="E285">
            <v>0.4</v>
          </cell>
          <cell r="F285" t="str">
            <v>870283182632</v>
          </cell>
          <cell r="H285" t="str">
            <v>High Advance</v>
          </cell>
          <cell r="J285" t="str">
            <v>FedEx</v>
          </cell>
          <cell r="K285" t="str">
            <v>x</v>
          </cell>
          <cell r="L285" t="str">
            <v>HN</v>
          </cell>
          <cell r="M285" t="str">
            <v>MY</v>
          </cell>
          <cell r="N285">
            <v>46115</v>
          </cell>
          <cell r="O285">
            <v>46115</v>
          </cell>
          <cell r="P285">
            <v>46119</v>
          </cell>
          <cell r="Q285">
            <v>4</v>
          </cell>
          <cell r="R285" t="str">
            <v>x</v>
          </cell>
          <cell r="S285" t="str">
            <v>x</v>
          </cell>
          <cell r="T285" t="str">
            <v>x</v>
          </cell>
          <cell r="U285">
            <v>19.25</v>
          </cell>
          <cell r="V285" t="str">
            <v>NO PAYMENT</v>
          </cell>
          <cell r="W285" t="str">
            <v>No need</v>
          </cell>
          <cell r="X285" t="str">
            <v>FCA</v>
          </cell>
          <cell r="Y285" t="str">
            <v>PURE</v>
          </cell>
          <cell r="Z285" t="str">
            <v>x</v>
          </cell>
          <cell r="AA285" t="str">
            <v>PM charge customs fee to Customer</v>
          </cell>
        </row>
        <row r="286">
          <cell r="B286" t="str">
            <v>E01069</v>
          </cell>
          <cell r="E286">
            <v>3.6</v>
          </cell>
          <cell r="F286" t="str">
            <v>9610803112</v>
          </cell>
          <cell r="H286" t="str">
            <v>Microchip TH</v>
          </cell>
          <cell r="J286" t="str">
            <v>DHL</v>
          </cell>
          <cell r="K286" t="str">
            <v>VVMV</v>
          </cell>
          <cell r="L286" t="str">
            <v>HN</v>
          </cell>
          <cell r="M286" t="str">
            <v>TH</v>
          </cell>
          <cell r="N286">
            <v>46115</v>
          </cell>
          <cell r="O286">
            <v>46115</v>
          </cell>
          <cell r="P286">
            <v>46119</v>
          </cell>
          <cell r="Q286">
            <v>4</v>
          </cell>
          <cell r="R286">
            <v>308397419651</v>
          </cell>
          <cell r="S286">
            <v>46116</v>
          </cell>
          <cell r="T286" t="str">
            <v>Inspection</v>
          </cell>
          <cell r="U286">
            <v>7595.36</v>
          </cell>
          <cell r="V286" t="str">
            <v>NO PAYMENT</v>
          </cell>
          <cell r="W286" t="str">
            <v>No need</v>
          </cell>
          <cell r="X286" t="str">
            <v>FCA</v>
          </cell>
          <cell r="Y286" t="str">
            <v>PURE</v>
          </cell>
          <cell r="Z286" t="str">
            <v>x</v>
          </cell>
          <cell r="AA286" t="str">
            <v>x</v>
          </cell>
        </row>
        <row r="287">
          <cell r="B287" t="str">
            <v>E01070</v>
          </cell>
          <cell r="E287">
            <v>0.1</v>
          </cell>
          <cell r="F287" t="str">
            <v>870283436686</v>
          </cell>
          <cell r="H287" t="str">
            <v>KIOXIA</v>
          </cell>
          <cell r="J287" t="str">
            <v>FedEx</v>
          </cell>
          <cell r="K287" t="str">
            <v>VVMV</v>
          </cell>
          <cell r="L287" t="str">
            <v>HN</v>
          </cell>
          <cell r="M287" t="str">
            <v>JP</v>
          </cell>
          <cell r="N287">
            <v>46115</v>
          </cell>
          <cell r="O287">
            <v>46115</v>
          </cell>
          <cell r="P287">
            <v>46120</v>
          </cell>
          <cell r="Q287">
            <v>5</v>
          </cell>
          <cell r="R287">
            <v>308397496761</v>
          </cell>
          <cell r="S287">
            <v>46116</v>
          </cell>
          <cell r="T287" t="str">
            <v>Inspection</v>
          </cell>
          <cell r="U287">
            <v>743.17</v>
          </cell>
          <cell r="V287" t="str">
            <v>NO PAYMENT</v>
          </cell>
          <cell r="W287" t="str">
            <v>No need</v>
          </cell>
          <cell r="X287" t="str">
            <v>FCA</v>
          </cell>
          <cell r="Y287" t="str">
            <v>PURE</v>
          </cell>
          <cell r="Z287" t="str">
            <v>x</v>
          </cell>
          <cell r="AA287" t="str">
            <v>Victoria charge $100 to customer</v>
          </cell>
        </row>
        <row r="288">
          <cell r="B288" t="str">
            <v>INV06771</v>
          </cell>
          <cell r="E288">
            <v>1678.8</v>
          </cell>
          <cell r="F288" t="str">
            <v>SDSV1342883</v>
          </cell>
          <cell r="H288" t="str">
            <v>Lucid Arizona</v>
          </cell>
          <cell r="I288" t="str">
            <v>UCC, VCU, FRONT, CABIN, REAR, BCM, DCM</v>
          </cell>
          <cell r="J288" t="str">
            <v>DSV</v>
          </cell>
          <cell r="K288" t="str">
            <v>VVMV</v>
          </cell>
          <cell r="L288" t="str">
            <v>HN</v>
          </cell>
          <cell r="M288" t="str">
            <v>US</v>
          </cell>
          <cell r="N288">
            <v>46120</v>
          </cell>
          <cell r="O288">
            <v>46120</v>
          </cell>
          <cell r="P288">
            <v>46175</v>
          </cell>
          <cell r="Q288">
            <v>55</v>
          </cell>
          <cell r="R288">
            <v>308408278310</v>
          </cell>
          <cell r="S288">
            <v>46120</v>
          </cell>
          <cell r="T288" t="str">
            <v>No inspection</v>
          </cell>
          <cell r="U288">
            <v>290453.88</v>
          </cell>
          <cell r="V288" t="str">
            <v>PAYMENT</v>
          </cell>
          <cell r="W288" t="str">
            <v>ok</v>
          </cell>
          <cell r="X288" t="str">
            <v>FCA</v>
          </cell>
          <cell r="Y288" t="str">
            <v>Lucid</v>
          </cell>
          <cell r="Z288" t="str">
            <v>x</v>
          </cell>
          <cell r="AA288" t="str">
            <v>x</v>
          </cell>
        </row>
        <row r="289">
          <cell r="B289" t="str">
            <v>INV06772</v>
          </cell>
          <cell r="E289">
            <v>3826.4</v>
          </cell>
          <cell r="F289" t="str">
            <v>SDSV1343140</v>
          </cell>
          <cell r="H289" t="str">
            <v>Lucid Arizona</v>
          </cell>
          <cell r="I289" t="str">
            <v>ICC, CCCV2, FRONT, REAR, CABIN</v>
          </cell>
          <cell r="J289" t="str">
            <v>DSV</v>
          </cell>
          <cell r="K289" t="str">
            <v>VVMV</v>
          </cell>
          <cell r="L289" t="str">
            <v>HN</v>
          </cell>
          <cell r="M289" t="str">
            <v>US</v>
          </cell>
          <cell r="N289">
            <v>46125</v>
          </cell>
          <cell r="O289">
            <v>46125</v>
          </cell>
          <cell r="P289">
            <v>46174</v>
          </cell>
          <cell r="Q289">
            <v>49</v>
          </cell>
          <cell r="R289">
            <v>308418460360</v>
          </cell>
          <cell r="S289">
            <v>46125</v>
          </cell>
          <cell r="T289" t="str">
            <v>No inspection</v>
          </cell>
          <cell r="U289">
            <v>293183.88</v>
          </cell>
          <cell r="V289" t="str">
            <v>PAYMENT</v>
          </cell>
          <cell r="W289" t="str">
            <v>OK</v>
          </cell>
          <cell r="X289" t="str">
            <v>FCA</v>
          </cell>
          <cell r="Y289" t="str">
            <v>Lucid</v>
          </cell>
          <cell r="Z289" t="str">
            <v>x</v>
          </cell>
          <cell r="AA289" t="str">
            <v>x</v>
          </cell>
        </row>
        <row r="290">
          <cell r="B290" t="str">
            <v>INV06773</v>
          </cell>
          <cell r="E290">
            <v>3528</v>
          </cell>
          <cell r="F290" t="str">
            <v>SDSV1339549</v>
          </cell>
          <cell r="H290" t="str">
            <v>Lucid Arizona</v>
          </cell>
          <cell r="I290" t="str">
            <v>VCU, REAR, UCC, BCM, DCM, FRONT, CABIN, REAR</v>
          </cell>
          <cell r="J290" t="str">
            <v>DSV</v>
          </cell>
          <cell r="K290" t="str">
            <v>VVMV</v>
          </cell>
          <cell r="L290" t="str">
            <v>HN</v>
          </cell>
          <cell r="M290" t="str">
            <v>US</v>
          </cell>
          <cell r="N290">
            <v>46125</v>
          </cell>
          <cell r="O290">
            <v>46125</v>
          </cell>
          <cell r="P290">
            <v>46164</v>
          </cell>
          <cell r="Q290">
            <v>39</v>
          </cell>
          <cell r="R290">
            <v>308419181250</v>
          </cell>
          <cell r="S290">
            <v>46125</v>
          </cell>
          <cell r="T290" t="str">
            <v>No inspection</v>
          </cell>
          <cell r="U290">
            <v>569694.44999999995</v>
          </cell>
          <cell r="V290" t="str">
            <v>PAYMENT</v>
          </cell>
          <cell r="W290" t="str">
            <v>OK</v>
          </cell>
          <cell r="X290" t="str">
            <v>FCA</v>
          </cell>
          <cell r="Y290" t="str">
            <v>Lucid</v>
          </cell>
          <cell r="Z290" t="str">
            <v>x</v>
          </cell>
          <cell r="AA290" t="str">
            <v>x</v>
          </cell>
        </row>
        <row r="291">
          <cell r="B291" t="str">
            <v>E01071</v>
          </cell>
          <cell r="E291">
            <v>27.3</v>
          </cell>
          <cell r="F291" t="str">
            <v>Truck nội địa-HCM</v>
          </cell>
          <cell r="H291" t="str">
            <v>TTI</v>
          </cell>
          <cell r="J291" t="str">
            <v>Truck</v>
          </cell>
          <cell r="K291" t="str">
            <v>x</v>
          </cell>
          <cell r="L291" t="str">
            <v>HN</v>
          </cell>
          <cell r="M291" t="str">
            <v>HCM</v>
          </cell>
          <cell r="N291">
            <v>46119</v>
          </cell>
          <cell r="O291">
            <v>46119</v>
          </cell>
          <cell r="P291">
            <v>46119</v>
          </cell>
          <cell r="Q291">
            <v>0</v>
          </cell>
          <cell r="R291" t="str">
            <v>x</v>
          </cell>
          <cell r="S291">
            <v>46119</v>
          </cell>
          <cell r="T291" t="str">
            <v>x</v>
          </cell>
          <cell r="U291">
            <v>3072.2400000000002</v>
          </cell>
          <cell r="V291" t="str">
            <v>No payment</v>
          </cell>
          <cell r="W291" t="str">
            <v>No need</v>
          </cell>
          <cell r="X291" t="str">
            <v>EXW</v>
          </cell>
          <cell r="Y291" t="str">
            <v>x</v>
          </cell>
          <cell r="Z291" t="str">
            <v>x</v>
          </cell>
          <cell r="AA291" t="str">
            <v>x</v>
          </cell>
        </row>
        <row r="292">
          <cell r="B292" t="str">
            <v>Sample 746</v>
          </cell>
          <cell r="E292">
            <v>0.15</v>
          </cell>
          <cell r="F292" t="str">
            <v>870423392010</v>
          </cell>
          <cell r="H292" t="str">
            <v>WUS</v>
          </cell>
          <cell r="I292" t="str">
            <v>PCB</v>
          </cell>
          <cell r="J292" t="str">
            <v>FedEx</v>
          </cell>
          <cell r="K292" t="str">
            <v>x</v>
          </cell>
          <cell r="L292" t="str">
            <v>HN</v>
          </cell>
          <cell r="M292" t="str">
            <v>CN</v>
          </cell>
          <cell r="N292">
            <v>46120</v>
          </cell>
          <cell r="O292">
            <v>46120</v>
          </cell>
          <cell r="P292">
            <v>46126</v>
          </cell>
          <cell r="Q292">
            <v>6</v>
          </cell>
          <cell r="R292" t="str">
            <v>x</v>
          </cell>
          <cell r="S292" t="str">
            <v>x</v>
          </cell>
          <cell r="T292" t="str">
            <v>x</v>
          </cell>
          <cell r="U292">
            <v>14.25</v>
          </cell>
          <cell r="V292" t="str">
            <v>No payment</v>
          </cell>
          <cell r="W292" t="str">
            <v>No need</v>
          </cell>
          <cell r="X292" t="str">
            <v>FCA</v>
          </cell>
          <cell r="Y292" t="str">
            <v>PURE</v>
          </cell>
          <cell r="Z292" t="str">
            <v>x</v>
          </cell>
          <cell r="AA292" t="str">
            <v>PM charge customs fee to Customer</v>
          </cell>
        </row>
        <row r="293">
          <cell r="B293" t="str">
            <v>INV06774</v>
          </cell>
          <cell r="E293">
            <v>401.09999999999997</v>
          </cell>
          <cell r="F293" t="str">
            <v>HAN26001136</v>
          </cell>
          <cell r="H293" t="str">
            <v>FCZ</v>
          </cell>
          <cell r="I293" t="str">
            <v>HOPPER, GROVER, ICER</v>
          </cell>
          <cell r="J293" t="str">
            <v>Schenker</v>
          </cell>
          <cell r="K293" t="str">
            <v>Schenker</v>
          </cell>
          <cell r="L293" t="str">
            <v>HN</v>
          </cell>
          <cell r="M293" t="str">
            <v>CZ</v>
          </cell>
          <cell r="N293">
            <v>46122</v>
          </cell>
          <cell r="O293">
            <v>46122</v>
          </cell>
          <cell r="P293">
            <v>46125</v>
          </cell>
          <cell r="Q293">
            <v>3</v>
          </cell>
          <cell r="R293" t="str">
            <v>308416598140
308416747721</v>
          </cell>
          <cell r="S293">
            <v>46122</v>
          </cell>
          <cell r="T293" t="str">
            <v>Inspection</v>
          </cell>
          <cell r="U293">
            <v>2036963.61</v>
          </cell>
          <cell r="V293" t="str">
            <v>PAYMENT</v>
          </cell>
          <cell r="W293" t="str">
            <v>ok</v>
          </cell>
          <cell r="X293" t="str">
            <v>EXW</v>
          </cell>
          <cell r="Y293" t="str">
            <v>x</v>
          </cell>
          <cell r="Z293" t="str">
            <v>x</v>
          </cell>
          <cell r="AA293" t="str">
            <v>x</v>
          </cell>
        </row>
        <row r="294">
          <cell r="B294" t="str">
            <v>INV06775</v>
          </cell>
          <cell r="E294">
            <v>1408.2</v>
          </cell>
          <cell r="F294" t="str">
            <v>45T0462703</v>
          </cell>
          <cell r="H294" t="str">
            <v>FTX</v>
          </cell>
          <cell r="I294" t="str">
            <v>HOPPER, GROVER, ICER, IGER</v>
          </cell>
          <cell r="J294" t="str">
            <v>Expeditors</v>
          </cell>
          <cell r="K294" t="str">
            <v>Expeditors</v>
          </cell>
          <cell r="L294" t="str">
            <v>HN</v>
          </cell>
          <cell r="M294" t="str">
            <v>US</v>
          </cell>
          <cell r="N294">
            <v>46122</v>
          </cell>
          <cell r="O294">
            <v>46122</v>
          </cell>
          <cell r="P294">
            <v>46127</v>
          </cell>
          <cell r="Q294">
            <v>5</v>
          </cell>
          <cell r="R294" t="str">
            <v>308418573320</v>
          </cell>
          <cell r="S294">
            <v>46122</v>
          </cell>
          <cell r="T294" t="str">
            <v>No inspection</v>
          </cell>
          <cell r="U294">
            <v>6257329</v>
          </cell>
          <cell r="V294" t="str">
            <v>PAYMENT</v>
          </cell>
          <cell r="W294" t="str">
            <v>ok</v>
          </cell>
          <cell r="X294" t="str">
            <v>EXW</v>
          </cell>
          <cell r="Y294" t="str">
            <v>x</v>
          </cell>
          <cell r="Z294" t="str">
            <v>x</v>
          </cell>
          <cell r="AA294" t="str">
            <v>x</v>
          </cell>
        </row>
        <row r="295">
          <cell r="B295" t="str">
            <v>INV06776</v>
          </cell>
          <cell r="E295">
            <v>3668.8</v>
          </cell>
          <cell r="F295" t="str">
            <v>SDSV1355322</v>
          </cell>
          <cell r="H295" t="str">
            <v>Lucid Arizona</v>
          </cell>
          <cell r="I295" t="str">
            <v>VCU, REAR, UCC, BCM, FRONT, CABIN</v>
          </cell>
          <cell r="J295" t="str">
            <v>DSV</v>
          </cell>
          <cell r="K295" t="str">
            <v>VVMV</v>
          </cell>
          <cell r="L295" t="str">
            <v>HN</v>
          </cell>
          <cell r="M295" t="str">
            <v>US</v>
          </cell>
          <cell r="N295">
            <v>46127</v>
          </cell>
          <cell r="O295">
            <v>46127</v>
          </cell>
          <cell r="P295">
            <v>46175</v>
          </cell>
          <cell r="Q295">
            <v>48</v>
          </cell>
          <cell r="R295">
            <v>308430138610</v>
          </cell>
          <cell r="S295">
            <v>46127</v>
          </cell>
          <cell r="T295" t="str">
            <v>No inspection</v>
          </cell>
          <cell r="U295">
            <v>555297.96</v>
          </cell>
          <cell r="V295" t="str">
            <v>PAYMENT</v>
          </cell>
          <cell r="W295" t="str">
            <v>ok</v>
          </cell>
          <cell r="X295" t="str">
            <v>FCA</v>
          </cell>
          <cell r="Y295" t="str">
            <v>Lucid</v>
          </cell>
          <cell r="Z295" t="str">
            <v>x</v>
          </cell>
          <cell r="AA295" t="str">
            <v>x</v>
          </cell>
        </row>
        <row r="296">
          <cell r="B296" t="str">
            <v>INV06777</v>
          </cell>
          <cell r="E296">
            <v>3480</v>
          </cell>
          <cell r="F296" t="str">
            <v>SHAN0485763</v>
          </cell>
          <cell r="H296" t="str">
            <v>Lucid Arizona</v>
          </cell>
          <cell r="I296" t="str">
            <v>VCU, REAR, UCC, FRONT, CABIN, BCM, DCM</v>
          </cell>
          <cell r="J296" t="str">
            <v>DSV</v>
          </cell>
          <cell r="K296" t="str">
            <v>VVMV</v>
          </cell>
          <cell r="L296" t="str">
            <v>HN</v>
          </cell>
          <cell r="M296" t="str">
            <v>US</v>
          </cell>
          <cell r="N296">
            <v>46129</v>
          </cell>
          <cell r="O296">
            <v>46129</v>
          </cell>
          <cell r="P296" t="str">
            <v>release ngay 08</v>
          </cell>
          <cell r="Q296" t="e">
            <v>#VALUE!</v>
          </cell>
          <cell r="R296">
            <v>308440146400</v>
          </cell>
          <cell r="S296">
            <v>46129</v>
          </cell>
          <cell r="T296" t="str">
            <v>No inspection</v>
          </cell>
          <cell r="U296">
            <v>499315.05</v>
          </cell>
          <cell r="V296" t="str">
            <v>PAYMENT</v>
          </cell>
          <cell r="W296" t="str">
            <v>OK</v>
          </cell>
          <cell r="X296" t="str">
            <v>FCA</v>
          </cell>
          <cell r="Y296" t="str">
            <v>Lucid</v>
          </cell>
          <cell r="Z296" t="str">
            <v>x</v>
          </cell>
          <cell r="AA296" t="str">
            <v>x</v>
          </cell>
        </row>
        <row r="297">
          <cell r="B297" t="str">
            <v>INV06778</v>
          </cell>
          <cell r="E297">
            <v>3873.8</v>
          </cell>
          <cell r="F297" t="str">
            <v>SHAN0485777</v>
          </cell>
          <cell r="H297" t="str">
            <v>Lucid Arizona</v>
          </cell>
          <cell r="I297" t="str">
            <v>CCCV2, FRONT, REAR</v>
          </cell>
          <cell r="J297" t="str">
            <v>DSV</v>
          </cell>
          <cell r="K297" t="str">
            <v>VVMV</v>
          </cell>
          <cell r="L297" t="str">
            <v>HN</v>
          </cell>
          <cell r="M297" t="str">
            <v>US</v>
          </cell>
          <cell r="N297">
            <v>46129</v>
          </cell>
          <cell r="O297">
            <v>46129</v>
          </cell>
          <cell r="P297" t="str">
            <v>release ngay 13</v>
          </cell>
          <cell r="Q297" t="e">
            <v>#VALUE!</v>
          </cell>
          <cell r="R297">
            <v>308440491610</v>
          </cell>
          <cell r="S297">
            <v>46129</v>
          </cell>
          <cell r="T297" t="str">
            <v>No inspection</v>
          </cell>
          <cell r="U297">
            <v>435610.44</v>
          </cell>
          <cell r="V297" t="str">
            <v>PAYMENT</v>
          </cell>
          <cell r="W297" t="str">
            <v>OK</v>
          </cell>
          <cell r="X297" t="str">
            <v>FCA</v>
          </cell>
          <cell r="Y297" t="str">
            <v>Lucid</v>
          </cell>
          <cell r="Z297" t="str">
            <v>x</v>
          </cell>
          <cell r="AA297" t="str">
            <v>x</v>
          </cell>
        </row>
        <row r="298">
          <cell r="B298" t="str">
            <v>INV06779</v>
          </cell>
          <cell r="E298">
            <v>15.6</v>
          </cell>
          <cell r="F298" t="str">
            <v>870630089480</v>
          </cell>
          <cell r="H298" t="str">
            <v>PURE US</v>
          </cell>
          <cell r="I298" t="str">
            <v>USHER</v>
          </cell>
          <cell r="J298" t="str">
            <v>FedEx</v>
          </cell>
          <cell r="K298" t="str">
            <v>VVMV</v>
          </cell>
          <cell r="L298" t="str">
            <v>HN</v>
          </cell>
          <cell r="M298" t="str">
            <v>US</v>
          </cell>
          <cell r="N298">
            <v>46127</v>
          </cell>
          <cell r="O298">
            <v>46127</v>
          </cell>
          <cell r="P298">
            <v>46139</v>
          </cell>
          <cell r="Q298">
            <v>12</v>
          </cell>
          <cell r="R298">
            <v>308429883330</v>
          </cell>
          <cell r="S298">
            <v>46127</v>
          </cell>
          <cell r="T298" t="str">
            <v>No inspection</v>
          </cell>
          <cell r="U298">
            <v>71627.97</v>
          </cell>
          <cell r="V298" t="str">
            <v>PAYMENT</v>
          </cell>
          <cell r="W298" t="str">
            <v>OK</v>
          </cell>
          <cell r="X298" t="str">
            <v>FCA</v>
          </cell>
          <cell r="Y298" t="str">
            <v>PURE</v>
          </cell>
          <cell r="Z298" t="str">
            <v>x</v>
          </cell>
          <cell r="AA298" t="str">
            <v>PM charge customs fee to Customer</v>
          </cell>
        </row>
        <row r="299">
          <cell r="B299" t="str">
            <v>INV06780</v>
          </cell>
          <cell r="E299">
            <v>456.4</v>
          </cell>
          <cell r="F299" t="str">
            <v>45T0464772</v>
          </cell>
          <cell r="H299" t="str">
            <v>FACEBOOK</v>
          </cell>
          <cell r="I299" t="str">
            <v>HOPPER</v>
          </cell>
          <cell r="J299" t="str">
            <v>Expeditors</v>
          </cell>
          <cell r="K299" t="str">
            <v>Expeditors</v>
          </cell>
          <cell r="L299" t="str">
            <v>HN</v>
          </cell>
          <cell r="M299" t="str">
            <v>US</v>
          </cell>
          <cell r="N299">
            <v>46127</v>
          </cell>
          <cell r="O299">
            <v>46127</v>
          </cell>
          <cell r="P299">
            <v>46135</v>
          </cell>
          <cell r="Q299">
            <v>8</v>
          </cell>
          <cell r="R299">
            <v>308434340600</v>
          </cell>
          <cell r="S299">
            <v>46127</v>
          </cell>
          <cell r="T299" t="str">
            <v>No inspection</v>
          </cell>
          <cell r="U299">
            <v>3021869.42</v>
          </cell>
          <cell r="V299" t="str">
            <v>PAYMENT</v>
          </cell>
          <cell r="W299" t="str">
            <v>OK</v>
          </cell>
          <cell r="X299" t="str">
            <v>EXW</v>
          </cell>
          <cell r="Y299" t="str">
            <v>x</v>
          </cell>
          <cell r="Z299" t="str">
            <v>x</v>
          </cell>
          <cell r="AA299" t="str">
            <v>x</v>
          </cell>
        </row>
        <row r="300">
          <cell r="B300" t="str">
            <v>E01072</v>
          </cell>
          <cell r="E300">
            <v>1.5</v>
          </cell>
          <cell r="F300" t="str">
            <v>1524192246</v>
          </cell>
          <cell r="H300" t="str">
            <v>ASE GROUP</v>
          </cell>
          <cell r="I300" t="str">
            <v>IC</v>
          </cell>
          <cell r="J300" t="str">
            <v>DHL</v>
          </cell>
          <cell r="K300" t="str">
            <v>VVMV</v>
          </cell>
          <cell r="L300" t="str">
            <v>HN</v>
          </cell>
          <cell r="M300" t="str">
            <v>TW</v>
          </cell>
          <cell r="N300">
            <v>46126</v>
          </cell>
          <cell r="O300">
            <v>46126</v>
          </cell>
          <cell r="P300">
            <v>46128</v>
          </cell>
          <cell r="Q300">
            <v>2</v>
          </cell>
          <cell r="R300">
            <v>308431907731</v>
          </cell>
          <cell r="S300">
            <v>46126</v>
          </cell>
          <cell r="T300" t="str">
            <v>Inspection</v>
          </cell>
          <cell r="U300">
            <v>718.48</v>
          </cell>
          <cell r="V300" t="str">
            <v>NO PAYMENT</v>
          </cell>
          <cell r="W300" t="str">
            <v>No need</v>
          </cell>
          <cell r="X300" t="str">
            <v>FCA</v>
          </cell>
          <cell r="Y300" t="str">
            <v>PURE</v>
          </cell>
          <cell r="Z300" t="str">
            <v>x</v>
          </cell>
          <cell r="AA300" t="str">
            <v>x</v>
          </cell>
        </row>
        <row r="301">
          <cell r="B301" t="str">
            <v>INV06781</v>
          </cell>
          <cell r="E301">
            <v>358.4</v>
          </cell>
          <cell r="F301" t="str">
            <v>SRAF0270355</v>
          </cell>
          <cell r="H301" t="str">
            <v>HELLA</v>
          </cell>
          <cell r="I301" t="str">
            <v>HCU</v>
          </cell>
          <cell r="J301" t="str">
            <v>DSV</v>
          </cell>
          <cell r="K301" t="str">
            <v>VVMV</v>
          </cell>
          <cell r="L301" t="str">
            <v>HN</v>
          </cell>
          <cell r="M301" t="str">
            <v>DE</v>
          </cell>
          <cell r="N301">
            <v>46134</v>
          </cell>
          <cell r="O301">
            <v>46134</v>
          </cell>
          <cell r="P301">
            <v>46142</v>
          </cell>
          <cell r="Q301">
            <v>8</v>
          </cell>
          <cell r="R301">
            <v>308457830500</v>
          </cell>
          <cell r="S301">
            <v>46133</v>
          </cell>
          <cell r="T301" t="str">
            <v>No inspection</v>
          </cell>
          <cell r="U301">
            <v>53850.239999999998</v>
          </cell>
          <cell r="V301" t="str">
            <v>PAYMENT</v>
          </cell>
          <cell r="W301" t="str">
            <v>ok</v>
          </cell>
          <cell r="X301" t="str">
            <v>FCA</v>
          </cell>
          <cell r="Y301" t="str">
            <v>Lucid</v>
          </cell>
          <cell r="Z301" t="str">
            <v>x</v>
          </cell>
          <cell r="AA301" t="str">
            <v>x</v>
          </cell>
        </row>
        <row r="302">
          <cell r="B302" t="str">
            <v>E01073</v>
          </cell>
          <cell r="E302">
            <v>2</v>
          </cell>
          <cell r="F302" t="str">
            <v>870681208174</v>
          </cell>
          <cell r="H302" t="str">
            <v>Unigen MY</v>
          </cell>
          <cell r="I302" t="str">
            <v>IC, Cap, Led</v>
          </cell>
          <cell r="J302" t="str">
            <v>FedEx</v>
          </cell>
          <cell r="K302" t="str">
            <v>VVMV</v>
          </cell>
          <cell r="L302" t="str">
            <v>HN</v>
          </cell>
          <cell r="M302" t="str">
            <v>MY</v>
          </cell>
          <cell r="N302">
            <v>46128</v>
          </cell>
          <cell r="O302">
            <v>46128</v>
          </cell>
          <cell r="P302">
            <v>46129</v>
          </cell>
          <cell r="Q302">
            <v>1</v>
          </cell>
          <cell r="R302">
            <v>308435572711</v>
          </cell>
          <cell r="S302">
            <v>46127</v>
          </cell>
          <cell r="T302" t="str">
            <v>Inspection</v>
          </cell>
          <cell r="U302">
            <v>1015.5</v>
          </cell>
          <cell r="V302" t="str">
            <v>NO PAYMENT</v>
          </cell>
          <cell r="W302" t="str">
            <v>No need</v>
          </cell>
          <cell r="X302" t="str">
            <v>FCA</v>
          </cell>
          <cell r="Y302" t="str">
            <v>Transfer</v>
          </cell>
          <cell r="Z302" t="str">
            <v>x</v>
          </cell>
          <cell r="AA302" t="str">
            <v>x</v>
          </cell>
        </row>
        <row r="303">
          <cell r="B303" t="str">
            <v>E01074</v>
          </cell>
          <cell r="E303">
            <v>58</v>
          </cell>
          <cell r="F303" t="str">
            <v>870723481529</v>
          </cell>
          <cell r="H303" t="str">
            <v>HQ1</v>
          </cell>
          <cell r="I303" t="str">
            <v>Inductor, Capacitor, Resistor, Integrated circuit, bracket, empty drive, standoff, connector, heatsink</v>
          </cell>
          <cell r="J303" t="str">
            <v>FedEx</v>
          </cell>
          <cell r="K303" t="str">
            <v>VVMV</v>
          </cell>
          <cell r="L303" t="str">
            <v>HN</v>
          </cell>
          <cell r="M303" t="str">
            <v>US</v>
          </cell>
          <cell r="N303">
            <v>46129</v>
          </cell>
          <cell r="O303">
            <v>46129</v>
          </cell>
          <cell r="P303">
            <v>46149</v>
          </cell>
          <cell r="Q303">
            <v>20</v>
          </cell>
          <cell r="R303">
            <v>308436973851</v>
          </cell>
          <cell r="S303">
            <v>46128</v>
          </cell>
          <cell r="T303" t="str">
            <v>Inspection</v>
          </cell>
          <cell r="U303">
            <v>5055.4399999999996</v>
          </cell>
          <cell r="V303" t="str">
            <v>NO PAYMENT</v>
          </cell>
          <cell r="W303" t="str">
            <v>No need</v>
          </cell>
          <cell r="X303" t="str">
            <v>DAP</v>
          </cell>
          <cell r="Y303" t="str">
            <v>Transfer</v>
          </cell>
          <cell r="Z303" t="str">
            <v>Transfer material</v>
          </cell>
          <cell r="AA303" t="str">
            <v>x</v>
          </cell>
        </row>
        <row r="304">
          <cell r="B304" t="str">
            <v>INV06782</v>
          </cell>
          <cell r="E304">
            <v>1309.9000000000001</v>
          </cell>
          <cell r="F304" t="str">
            <v>45T0465244</v>
          </cell>
          <cell r="H304" t="str">
            <v>FTX</v>
          </cell>
          <cell r="I304" t="str">
            <v>Grover, Hopper, Icer, Eiger</v>
          </cell>
          <cell r="J304" t="str">
            <v>Expeditors</v>
          </cell>
          <cell r="K304" t="str">
            <v>Expeditors</v>
          </cell>
          <cell r="L304" t="str">
            <v>HN</v>
          </cell>
          <cell r="M304" t="str">
            <v>US</v>
          </cell>
          <cell r="N304">
            <v>46129</v>
          </cell>
          <cell r="O304">
            <v>46129</v>
          </cell>
          <cell r="P304">
            <v>46134</v>
          </cell>
          <cell r="Q304">
            <v>5</v>
          </cell>
          <cell r="R304">
            <v>308444145940</v>
          </cell>
          <cell r="S304">
            <v>46129</v>
          </cell>
          <cell r="T304" t="str">
            <v>No inspection</v>
          </cell>
          <cell r="U304">
            <v>5999352.6100000003</v>
          </cell>
          <cell r="V304" t="str">
            <v>PAYMENT</v>
          </cell>
          <cell r="W304" t="str">
            <v>OK</v>
          </cell>
          <cell r="X304" t="str">
            <v>EXW</v>
          </cell>
          <cell r="Y304" t="str">
            <v>x</v>
          </cell>
          <cell r="Z304" t="str">
            <v>x</v>
          </cell>
          <cell r="AA304" t="str">
            <v>x</v>
          </cell>
        </row>
        <row r="305">
          <cell r="B305" t="str">
            <v>INV06783</v>
          </cell>
          <cell r="E305">
            <v>298.10000000000002</v>
          </cell>
          <cell r="F305" t="str">
            <v>HAN26001230</v>
          </cell>
          <cell r="H305" t="str">
            <v>FCZ</v>
          </cell>
          <cell r="I305" t="str">
            <v>Grover, Hopper, Icer</v>
          </cell>
          <cell r="J305" t="str">
            <v>Schenker</v>
          </cell>
          <cell r="K305" t="str">
            <v>Schenker</v>
          </cell>
          <cell r="L305" t="str">
            <v>HN</v>
          </cell>
          <cell r="M305" t="str">
            <v>CZ</v>
          </cell>
          <cell r="N305">
            <v>46129</v>
          </cell>
          <cell r="O305">
            <v>46129</v>
          </cell>
          <cell r="P305">
            <v>46133</v>
          </cell>
          <cell r="Q305">
            <v>4</v>
          </cell>
          <cell r="R305">
            <v>308443220800</v>
          </cell>
          <cell r="S305">
            <v>46129</v>
          </cell>
          <cell r="T305" t="str">
            <v>No inspection</v>
          </cell>
          <cell r="U305">
            <v>1812286.65</v>
          </cell>
          <cell r="V305" t="str">
            <v>PAYMENT</v>
          </cell>
          <cell r="W305" t="str">
            <v>OK</v>
          </cell>
          <cell r="X305" t="str">
            <v>EXW</v>
          </cell>
          <cell r="Y305" t="str">
            <v>x</v>
          </cell>
          <cell r="Z305" t="str">
            <v>x</v>
          </cell>
          <cell r="AA305" t="str">
            <v>x</v>
          </cell>
        </row>
        <row r="306">
          <cell r="B306" t="str">
            <v>Sample 747</v>
          </cell>
          <cell r="E306">
            <v>0.59</v>
          </cell>
          <cell r="F306" t="str">
            <v>870725326308</v>
          </cell>
          <cell r="H306" t="str">
            <v>High Advance</v>
          </cell>
          <cell r="I306" t="str">
            <v>IC</v>
          </cell>
          <cell r="J306" t="str">
            <v>FedEx</v>
          </cell>
          <cell r="K306" t="str">
            <v>x</v>
          </cell>
          <cell r="L306" t="str">
            <v>HN</v>
          </cell>
          <cell r="M306" t="str">
            <v>MY</v>
          </cell>
          <cell r="N306">
            <v>46128</v>
          </cell>
          <cell r="O306">
            <v>46128</v>
          </cell>
          <cell r="P306">
            <v>46129</v>
          </cell>
          <cell r="Q306">
            <v>1</v>
          </cell>
          <cell r="R306" t="str">
            <v>x</v>
          </cell>
          <cell r="S306" t="str">
            <v>x</v>
          </cell>
          <cell r="T306" t="str">
            <v>x</v>
          </cell>
          <cell r="U306">
            <v>38.4</v>
          </cell>
          <cell r="V306" t="str">
            <v>NO PAYMENT</v>
          </cell>
          <cell r="W306" t="str">
            <v>No need</v>
          </cell>
          <cell r="X306" t="str">
            <v>DAP</v>
          </cell>
          <cell r="Y306" t="str">
            <v>PURE</v>
          </cell>
          <cell r="Z306" t="str">
            <v>Ship QA's sample for evaluation</v>
          </cell>
          <cell r="AA306" t="str">
            <v>X</v>
          </cell>
        </row>
        <row r="307">
          <cell r="B307" t="str">
            <v>INV06784</v>
          </cell>
          <cell r="E307">
            <v>2755.1</v>
          </cell>
          <cell r="F307" t="str">
            <v>SHAN0486440</v>
          </cell>
          <cell r="H307" t="str">
            <v>Lucid Arizona</v>
          </cell>
          <cell r="I307" t="str">
            <v>VCU, REAR, UCC, BCM, FRONT, CABIN, DCM</v>
          </cell>
          <cell r="J307" t="str">
            <v>DSV</v>
          </cell>
          <cell r="K307" t="str">
            <v>VVMV</v>
          </cell>
          <cell r="L307" t="str">
            <v>HN</v>
          </cell>
          <cell r="M307" t="str">
            <v>US</v>
          </cell>
          <cell r="N307">
            <v>46136</v>
          </cell>
          <cell r="O307">
            <v>46136</v>
          </cell>
          <cell r="P307">
            <v>46186</v>
          </cell>
          <cell r="Q307">
            <v>50</v>
          </cell>
          <cell r="R307">
            <v>308466971320</v>
          </cell>
          <cell r="S307">
            <v>46136</v>
          </cell>
          <cell r="T307" t="str">
            <v>No inspection</v>
          </cell>
          <cell r="U307">
            <v>413868.22</v>
          </cell>
          <cell r="V307" t="str">
            <v>PAYMENT</v>
          </cell>
          <cell r="W307" t="str">
            <v>OK</v>
          </cell>
          <cell r="X307" t="str">
            <v>FCA</v>
          </cell>
          <cell r="Y307" t="str">
            <v>Lucid</v>
          </cell>
          <cell r="Z307" t="str">
            <v>x</v>
          </cell>
          <cell r="AA307" t="str">
            <v>x</v>
          </cell>
        </row>
        <row r="308">
          <cell r="B308" t="str">
            <v>E01075</v>
          </cell>
          <cell r="E308">
            <v>1.2</v>
          </cell>
          <cell r="F308" t="str">
            <v>4076029160</v>
          </cell>
          <cell r="H308" t="str">
            <v>AVNET ELECTRONICS</v>
          </cell>
          <cell r="J308" t="str">
            <v>DHL</v>
          </cell>
          <cell r="K308" t="str">
            <v>VVMV</v>
          </cell>
          <cell r="L308" t="str">
            <v>HN</v>
          </cell>
          <cell r="M308" t="str">
            <v>US</v>
          </cell>
          <cell r="N308">
            <v>46132</v>
          </cell>
          <cell r="O308">
            <v>46132</v>
          </cell>
          <cell r="P308">
            <v>46140</v>
          </cell>
          <cell r="Q308">
            <v>8</v>
          </cell>
          <cell r="R308">
            <v>308445359851</v>
          </cell>
          <cell r="S308">
            <v>46129</v>
          </cell>
          <cell r="T308" t="str">
            <v>Inspection</v>
          </cell>
          <cell r="U308">
            <v>878.4</v>
          </cell>
          <cell r="V308" t="str">
            <v>NO PAYMENT</v>
          </cell>
          <cell r="W308" t="str">
            <v>No need</v>
          </cell>
          <cell r="X308" t="str">
            <v>FCA</v>
          </cell>
          <cell r="Y308" t="str">
            <v>Lucid</v>
          </cell>
          <cell r="Z308" t="str">
            <v>x</v>
          </cell>
          <cell r="AA308" t="str">
            <v>Vincent charged $100 to supplier</v>
          </cell>
        </row>
        <row r="309">
          <cell r="B309" t="str">
            <v>INV06785</v>
          </cell>
          <cell r="E309">
            <v>13.9</v>
          </cell>
          <cell r="F309" t="str">
            <v>870774745200</v>
          </cell>
          <cell r="H309" t="str">
            <v>Jabil MX</v>
          </cell>
          <cell r="I309" t="str">
            <v>HLOB</v>
          </cell>
          <cell r="J309" t="str">
            <v>FedEx</v>
          </cell>
          <cell r="K309" t="str">
            <v>VVMV</v>
          </cell>
          <cell r="L309" t="str">
            <v>HN</v>
          </cell>
          <cell r="M309" t="str">
            <v>MX</v>
          </cell>
          <cell r="N309">
            <v>46132</v>
          </cell>
          <cell r="O309">
            <v>46132</v>
          </cell>
          <cell r="P309">
            <v>46135</v>
          </cell>
          <cell r="Q309">
            <v>3</v>
          </cell>
          <cell r="R309" t="str">
            <v>308446318961
308446324451
308446330641
308446335431
308446344531</v>
          </cell>
          <cell r="S309">
            <v>46132</v>
          </cell>
          <cell r="T309" t="str">
            <v>Inspection</v>
          </cell>
          <cell r="U309">
            <v>18160.38</v>
          </cell>
          <cell r="V309" t="str">
            <v>NO PAYMENT</v>
          </cell>
          <cell r="W309" t="str">
            <v>No need</v>
          </cell>
          <cell r="X309" t="str">
            <v>FCA</v>
          </cell>
          <cell r="Y309" t="str">
            <v>PURE</v>
          </cell>
          <cell r="Z309" t="str">
            <v>x</v>
          </cell>
          <cell r="AA309" t="str">
            <v>x</v>
          </cell>
        </row>
        <row r="310">
          <cell r="B310" t="str">
            <v>INV06786</v>
          </cell>
          <cell r="E310">
            <v>532</v>
          </cell>
          <cell r="F310" t="str">
            <v>HBL2604037</v>
          </cell>
          <cell r="H310" t="str">
            <v>DAA</v>
          </cell>
          <cell r="I310" t="str">
            <v>USB</v>
          </cell>
          <cell r="J310" t="str">
            <v>Prime</v>
          </cell>
          <cell r="K310" t="str">
            <v>Prime</v>
          </cell>
          <cell r="L310" t="str">
            <v>HN</v>
          </cell>
          <cell r="M310" t="str">
            <v>MX</v>
          </cell>
          <cell r="N310">
            <v>46141</v>
          </cell>
          <cell r="O310">
            <v>46141</v>
          </cell>
          <cell r="P310">
            <v>46198</v>
          </cell>
          <cell r="Q310">
            <v>57</v>
          </cell>
          <cell r="R310">
            <v>308480596560</v>
          </cell>
          <cell r="S310">
            <v>46140</v>
          </cell>
          <cell r="T310" t="str">
            <v>No inspection</v>
          </cell>
          <cell r="U310">
            <v>57919.68</v>
          </cell>
          <cell r="V310" t="str">
            <v>PAYMENT</v>
          </cell>
          <cell r="W310" t="str">
            <v>OK</v>
          </cell>
          <cell r="X310" t="str">
            <v>EXW</v>
          </cell>
          <cell r="Y310" t="str">
            <v>x</v>
          </cell>
          <cell r="Z310" t="str">
            <v>x</v>
          </cell>
          <cell r="AA310" t="str">
            <v>x</v>
          </cell>
        </row>
        <row r="311">
          <cell r="B311" t="str">
            <v>INV06787</v>
          </cell>
          <cell r="E311">
            <v>896</v>
          </cell>
          <cell r="F311" t="str">
            <v>SRAF0279383</v>
          </cell>
          <cell r="H311" t="str">
            <v>HELLA</v>
          </cell>
          <cell r="I311" t="str">
            <v>HCU</v>
          </cell>
          <cell r="J311" t="str">
            <v>DSV</v>
          </cell>
          <cell r="K311" t="str">
            <v>VVMV</v>
          </cell>
          <cell r="L311" t="str">
            <v>HN</v>
          </cell>
          <cell r="M311" t="str">
            <v>DE</v>
          </cell>
          <cell r="N311">
            <v>46136</v>
          </cell>
          <cell r="O311">
            <v>46136</v>
          </cell>
          <cell r="P311">
            <v>46146</v>
          </cell>
          <cell r="Q311">
            <v>10</v>
          </cell>
          <cell r="R311">
            <v>308468019440</v>
          </cell>
          <cell r="S311">
            <v>46135</v>
          </cell>
          <cell r="T311" t="str">
            <v>No inspection</v>
          </cell>
          <cell r="U311">
            <v>134625.60000000001</v>
          </cell>
          <cell r="V311" t="str">
            <v>PAYMENT</v>
          </cell>
          <cell r="W311" t="str">
            <v>OK</v>
          </cell>
          <cell r="X311" t="str">
            <v>FCA</v>
          </cell>
          <cell r="Y311" t="str">
            <v>Lucid</v>
          </cell>
          <cell r="Z311" t="str">
            <v>x</v>
          </cell>
          <cell r="AA311" t="str">
            <v>x</v>
          </cell>
        </row>
        <row r="312">
          <cell r="B312" t="str">
            <v>INV06788</v>
          </cell>
          <cell r="E312">
            <v>3460.2</v>
          </cell>
          <cell r="F312" t="str">
            <v>SHAN0486849</v>
          </cell>
          <cell r="H312" t="str">
            <v>Lucid Arizona</v>
          </cell>
          <cell r="I312" t="str">
            <v>VCU, REAR, UCC, BCM, FRONT, CABIN</v>
          </cell>
          <cell r="J312" t="str">
            <v>DSV</v>
          </cell>
          <cell r="K312" t="str">
            <v>VVMV</v>
          </cell>
          <cell r="L312" t="str">
            <v>HN</v>
          </cell>
          <cell r="M312" t="str">
            <v>US</v>
          </cell>
          <cell r="N312">
            <v>46136</v>
          </cell>
          <cell r="O312">
            <v>46136</v>
          </cell>
          <cell r="P312">
            <v>46171</v>
          </cell>
          <cell r="Q312">
            <v>35</v>
          </cell>
          <cell r="R312">
            <v>308470567700</v>
          </cell>
          <cell r="S312">
            <v>46136</v>
          </cell>
          <cell r="T312" t="str">
            <v>No inspection</v>
          </cell>
          <cell r="U312">
            <v>580719.54</v>
          </cell>
          <cell r="V312" t="str">
            <v>PAYMENT</v>
          </cell>
          <cell r="W312" t="str">
            <v>OK</v>
          </cell>
          <cell r="X312" t="str">
            <v>FCA</v>
          </cell>
          <cell r="Y312" t="str">
            <v>Lucid</v>
          </cell>
          <cell r="Z312" t="str">
            <v>x</v>
          </cell>
          <cell r="AA312" t="str">
            <v>x</v>
          </cell>
        </row>
        <row r="313">
          <cell r="B313" t="str">
            <v>INV06789</v>
          </cell>
          <cell r="E313">
            <v>3550.6</v>
          </cell>
          <cell r="F313" t="str">
            <v>SHAN0486853</v>
          </cell>
          <cell r="H313" t="str">
            <v>Lucid Arizona</v>
          </cell>
          <cell r="I313" t="str">
            <v>ICC, CCCV2, FRONT, REAR</v>
          </cell>
          <cell r="J313" t="str">
            <v>DSV</v>
          </cell>
          <cell r="K313" t="str">
            <v>VVMV</v>
          </cell>
          <cell r="L313" t="str">
            <v>HN</v>
          </cell>
          <cell r="M313" t="str">
            <v>US</v>
          </cell>
          <cell r="N313">
            <v>46136</v>
          </cell>
          <cell r="O313">
            <v>46136</v>
          </cell>
          <cell r="P313" t="str">
            <v>release ngay 19</v>
          </cell>
          <cell r="Q313" t="e">
            <v>#VALUE!</v>
          </cell>
          <cell r="R313">
            <v>308471121620</v>
          </cell>
          <cell r="S313">
            <v>46136</v>
          </cell>
          <cell r="T313" t="str">
            <v>No inspection</v>
          </cell>
          <cell r="U313">
            <v>435616.32</v>
          </cell>
          <cell r="V313" t="str">
            <v>PAYMENT</v>
          </cell>
          <cell r="W313" t="str">
            <v>OK</v>
          </cell>
          <cell r="X313" t="str">
            <v>FCA</v>
          </cell>
          <cell r="Y313" t="str">
            <v>Lucid</v>
          </cell>
          <cell r="Z313" t="str">
            <v>x</v>
          </cell>
          <cell r="AA313" t="str">
            <v>x</v>
          </cell>
        </row>
        <row r="314">
          <cell r="B314" t="str">
            <v>INV06790</v>
          </cell>
          <cell r="E314">
            <v>0.5</v>
          </cell>
          <cell r="F314" t="str">
            <v>870835353912</v>
          </cell>
          <cell r="H314" t="str">
            <v>HQ1</v>
          </cell>
          <cell r="I314" t="str">
            <v>SSD</v>
          </cell>
          <cell r="J314" t="str">
            <v>FedEx</v>
          </cell>
          <cell r="K314" t="str">
            <v>VVMV</v>
          </cell>
          <cell r="L314" t="str">
            <v>HN</v>
          </cell>
          <cell r="M314" t="str">
            <v>US</v>
          </cell>
          <cell r="N314">
            <v>46132</v>
          </cell>
          <cell r="O314">
            <v>46132</v>
          </cell>
          <cell r="P314">
            <v>46139</v>
          </cell>
          <cell r="Q314">
            <v>7</v>
          </cell>
          <cell r="R314">
            <v>308451975110</v>
          </cell>
          <cell r="S314">
            <v>46132</v>
          </cell>
          <cell r="T314" t="str">
            <v>No inspection</v>
          </cell>
          <cell r="U314">
            <v>3232.19</v>
          </cell>
          <cell r="V314" t="str">
            <v>NO PAYMENT</v>
          </cell>
          <cell r="W314" t="str">
            <v>No need</v>
          </cell>
          <cell r="X314" t="str">
            <v>DAP</v>
          </cell>
          <cell r="Y314" t="str">
            <v>OEM</v>
          </cell>
          <cell r="Z314" t="str">
            <v>Transfer FG</v>
          </cell>
          <cell r="AA314" t="str">
            <v>X</v>
          </cell>
        </row>
        <row r="315">
          <cell r="B315" t="str">
            <v>INV06791</v>
          </cell>
          <cell r="E315">
            <v>351</v>
          </cell>
          <cell r="F315" t="str">
            <v>45T0467188</v>
          </cell>
          <cell r="H315" t="str">
            <v>AVNET US</v>
          </cell>
          <cell r="I315" t="str">
            <v>ASM DISPLAY MODULE</v>
          </cell>
          <cell r="J315" t="str">
            <v>Expeditors</v>
          </cell>
          <cell r="K315" t="str">
            <v>Expeditors</v>
          </cell>
          <cell r="L315" t="str">
            <v>HN</v>
          </cell>
          <cell r="M315" t="str">
            <v>US</v>
          </cell>
          <cell r="N315">
            <v>46135</v>
          </cell>
          <cell r="O315">
            <v>46135</v>
          </cell>
          <cell r="P315">
            <v>46149</v>
          </cell>
          <cell r="Q315">
            <v>14</v>
          </cell>
          <cell r="R315">
            <v>308464486800</v>
          </cell>
          <cell r="S315">
            <v>46135</v>
          </cell>
          <cell r="T315" t="str">
            <v>No inspection</v>
          </cell>
          <cell r="U315">
            <v>43815</v>
          </cell>
          <cell r="V315" t="str">
            <v>PAYMENT</v>
          </cell>
          <cell r="W315" t="str">
            <v>ok</v>
          </cell>
          <cell r="X315" t="str">
            <v>EXW</v>
          </cell>
          <cell r="Y315" t="str">
            <v>x</v>
          </cell>
          <cell r="Z315" t="str">
            <v>x</v>
          </cell>
          <cell r="AA315" t="str">
            <v>x</v>
          </cell>
        </row>
        <row r="316">
          <cell r="B316" t="str">
            <v>INV06792</v>
          </cell>
          <cell r="E316">
            <v>57</v>
          </cell>
          <cell r="F316" t="str">
            <v>SRAF0285577</v>
          </cell>
          <cell r="H316" t="str">
            <v>Lucid HQ</v>
          </cell>
          <cell r="I316" t="str">
            <v>CCCV2, REAR, UCC</v>
          </cell>
          <cell r="J316" t="str">
            <v>DSV</v>
          </cell>
          <cell r="K316" t="str">
            <v>VVMV</v>
          </cell>
          <cell r="L316" t="str">
            <v>HN</v>
          </cell>
          <cell r="M316" t="str">
            <v>US</v>
          </cell>
          <cell r="N316">
            <v>46136</v>
          </cell>
          <cell r="O316">
            <v>46136</v>
          </cell>
          <cell r="P316">
            <v>46141</v>
          </cell>
          <cell r="Q316">
            <v>5</v>
          </cell>
          <cell r="R316">
            <v>308468057350</v>
          </cell>
          <cell r="S316">
            <v>46135</v>
          </cell>
          <cell r="T316" t="str">
            <v>No inspection</v>
          </cell>
          <cell r="U316">
            <v>10302.51</v>
          </cell>
          <cell r="V316" t="str">
            <v>PAYMENT</v>
          </cell>
          <cell r="W316" t="str">
            <v>OK</v>
          </cell>
          <cell r="X316" t="str">
            <v>FCA</v>
          </cell>
          <cell r="Y316" t="str">
            <v>Lucid</v>
          </cell>
          <cell r="Z316" t="str">
            <v>x</v>
          </cell>
          <cell r="AA316" t="str">
            <v>x</v>
          </cell>
        </row>
        <row r="317">
          <cell r="B317" t="str">
            <v>INV06793</v>
          </cell>
          <cell r="E317">
            <v>235.5</v>
          </cell>
          <cell r="F317" t="str">
            <v>HAN26001307</v>
          </cell>
          <cell r="H317" t="str">
            <v>FCZ</v>
          </cell>
          <cell r="I317" t="str">
            <v>HOPPER</v>
          </cell>
          <cell r="J317" t="str">
            <v>Schenker</v>
          </cell>
          <cell r="K317" t="str">
            <v>Schenker</v>
          </cell>
          <cell r="L317" t="str">
            <v>HN</v>
          </cell>
          <cell r="M317" t="str">
            <v>CZ</v>
          </cell>
          <cell r="N317">
            <v>46136</v>
          </cell>
          <cell r="O317">
            <v>46136</v>
          </cell>
          <cell r="P317">
            <v>46139</v>
          </cell>
          <cell r="Q317">
            <v>3</v>
          </cell>
          <cell r="R317">
            <v>308468378060</v>
          </cell>
          <cell r="S317">
            <v>46136</v>
          </cell>
          <cell r="T317" t="str">
            <v>No inspection</v>
          </cell>
          <cell r="U317">
            <v>1554395.7</v>
          </cell>
          <cell r="V317" t="str">
            <v>PAYMENT</v>
          </cell>
          <cell r="W317" t="str">
            <v>OK</v>
          </cell>
          <cell r="X317" t="str">
            <v>EXW</v>
          </cell>
          <cell r="Y317" t="str">
            <v>x</v>
          </cell>
          <cell r="Z317" t="str">
            <v>x</v>
          </cell>
          <cell r="AA317" t="str">
            <v>x</v>
          </cell>
        </row>
        <row r="318">
          <cell r="B318" t="str">
            <v>INV06794</v>
          </cell>
          <cell r="E318">
            <v>1043.8</v>
          </cell>
          <cell r="F318" t="str">
            <v>45T0467170</v>
          </cell>
          <cell r="H318" t="str">
            <v>FTX</v>
          </cell>
          <cell r="I318" t="str">
            <v>Hopper, Grover, Icer</v>
          </cell>
          <cell r="J318" t="str">
            <v>Expeditors</v>
          </cell>
          <cell r="K318" t="str">
            <v>Expeditors</v>
          </cell>
          <cell r="L318" t="str">
            <v>HN</v>
          </cell>
          <cell r="M318" t="str">
            <v>US</v>
          </cell>
          <cell r="N318">
            <v>46136</v>
          </cell>
          <cell r="O318">
            <v>46136</v>
          </cell>
          <cell r="P318">
            <v>46141</v>
          </cell>
          <cell r="Q318">
            <v>5</v>
          </cell>
          <cell r="R318">
            <v>308469967060</v>
          </cell>
          <cell r="S318">
            <v>46136</v>
          </cell>
          <cell r="T318" t="str">
            <v>No inspection</v>
          </cell>
          <cell r="U318">
            <v>5093319.51</v>
          </cell>
          <cell r="V318" t="str">
            <v>PAYMENT</v>
          </cell>
          <cell r="W318" t="str">
            <v>OK</v>
          </cell>
          <cell r="X318" t="str">
            <v>EXW</v>
          </cell>
          <cell r="Y318" t="str">
            <v>x</v>
          </cell>
          <cell r="Z318" t="str">
            <v>x</v>
          </cell>
          <cell r="AA318" t="str">
            <v>x</v>
          </cell>
        </row>
        <row r="319">
          <cell r="B319" t="str">
            <v>INV06795</v>
          </cell>
          <cell r="E319">
            <v>26.8</v>
          </cell>
          <cell r="F319" t="str">
            <v>870941818235</v>
          </cell>
          <cell r="H319" t="str">
            <v>Jabil MX</v>
          </cell>
          <cell r="I319" t="str">
            <v>HLOB</v>
          </cell>
          <cell r="J319" t="str">
            <v>FedEx</v>
          </cell>
          <cell r="K319" t="str">
            <v>VVMV</v>
          </cell>
          <cell r="L319" t="str">
            <v>HN</v>
          </cell>
          <cell r="M319" t="str">
            <v>MX</v>
          </cell>
          <cell r="N319">
            <v>46135</v>
          </cell>
          <cell r="O319">
            <v>46135</v>
          </cell>
          <cell r="P319">
            <v>46142</v>
          </cell>
          <cell r="Q319">
            <v>7</v>
          </cell>
          <cell r="R319" t="str">
            <v>308463100911
308463112441
308463122831
308463134951</v>
          </cell>
          <cell r="S319">
            <v>46135</v>
          </cell>
          <cell r="T319" t="str">
            <v>Inspection</v>
          </cell>
          <cell r="U319">
            <v>41509.440000000002</v>
          </cell>
          <cell r="V319" t="str">
            <v>NO PAYMENT</v>
          </cell>
          <cell r="W319" t="str">
            <v>No need</v>
          </cell>
          <cell r="X319" t="str">
            <v>FCA</v>
          </cell>
          <cell r="Y319" t="str">
            <v>PURE</v>
          </cell>
          <cell r="Z319" t="str">
            <v>x</v>
          </cell>
          <cell r="AA319" t="str">
            <v>x</v>
          </cell>
        </row>
        <row r="320">
          <cell r="B320" t="str">
            <v>E01076</v>
          </cell>
          <cell r="E320">
            <v>10.4</v>
          </cell>
          <cell r="F320" t="str">
            <v>870976480782</v>
          </cell>
          <cell r="H320" t="str">
            <v>Kingston</v>
          </cell>
          <cell r="I320" t="str">
            <v>IC</v>
          </cell>
          <cell r="J320" t="str">
            <v>FedEx</v>
          </cell>
          <cell r="K320" t="str">
            <v>VVMV</v>
          </cell>
          <cell r="L320" t="str">
            <v>HN</v>
          </cell>
          <cell r="M320" t="str">
            <v>TW</v>
          </cell>
          <cell r="N320">
            <v>46135</v>
          </cell>
          <cell r="O320">
            <v>46135</v>
          </cell>
          <cell r="P320">
            <v>46141</v>
          </cell>
          <cell r="Q320">
            <v>6</v>
          </cell>
          <cell r="R320">
            <v>308463187011</v>
          </cell>
          <cell r="S320">
            <v>46135</v>
          </cell>
          <cell r="T320" t="str">
            <v>Inspection</v>
          </cell>
          <cell r="U320">
            <v>98996.62</v>
          </cell>
          <cell r="V320" t="str">
            <v>NO PAYMENT</v>
          </cell>
          <cell r="W320" t="str">
            <v>No need</v>
          </cell>
          <cell r="X320" t="str">
            <v>FCA</v>
          </cell>
          <cell r="Y320" t="str">
            <v>PURE</v>
          </cell>
          <cell r="Z320" t="str">
            <v>x</v>
          </cell>
          <cell r="AA320" t="str">
            <v>PM charge customs fee to Customer</v>
          </cell>
        </row>
        <row r="321">
          <cell r="B321" t="str">
            <v>E01077</v>
          </cell>
          <cell r="E321">
            <v>2</v>
          </cell>
          <cell r="F321" t="str">
            <v>6182047362</v>
          </cell>
          <cell r="H321" t="str">
            <v>u-blox AG</v>
          </cell>
          <cell r="I321" t="str">
            <v>IC</v>
          </cell>
          <cell r="J321" t="str">
            <v>DHL</v>
          </cell>
          <cell r="K321" t="str">
            <v>VVMV</v>
          </cell>
          <cell r="L321" t="str">
            <v>HN</v>
          </cell>
          <cell r="M321" t="str">
            <v>AT</v>
          </cell>
          <cell r="N321">
            <v>46136</v>
          </cell>
          <cell r="O321">
            <v>46136</v>
          </cell>
          <cell r="P321">
            <v>46142</v>
          </cell>
          <cell r="Q321">
            <v>6</v>
          </cell>
          <cell r="R321">
            <v>308465389801</v>
          </cell>
          <cell r="S321">
            <v>46135</v>
          </cell>
          <cell r="T321" t="str">
            <v>Inspection</v>
          </cell>
          <cell r="U321">
            <v>8275</v>
          </cell>
          <cell r="V321" t="str">
            <v>NO PAYMENT</v>
          </cell>
          <cell r="W321" t="str">
            <v>No need</v>
          </cell>
          <cell r="X321" t="str">
            <v>FCA</v>
          </cell>
          <cell r="Y321" t="str">
            <v>Lucid</v>
          </cell>
          <cell r="Z321" t="str">
            <v>x</v>
          </cell>
          <cell r="AA321" t="str">
            <v>Vincent charge $100 to supplier</v>
          </cell>
        </row>
        <row r="322">
          <cell r="B322" t="str">
            <v>E01078</v>
          </cell>
          <cell r="H322" t="str">
            <v>Min Aik</v>
          </cell>
          <cell r="J322" t="e">
            <v>#N/A</v>
          </cell>
          <cell r="K322" t="e">
            <v>#N/A</v>
          </cell>
          <cell r="L322" t="str">
            <v>HN</v>
          </cell>
          <cell r="O322">
            <v>0</v>
          </cell>
          <cell r="P322" t="str">
            <v>In Transit</v>
          </cell>
          <cell r="Q322" t="e">
            <v>#VALUE!</v>
          </cell>
          <cell r="W322" t="str">
            <v>No need</v>
          </cell>
        </row>
        <row r="323">
          <cell r="B323" t="str">
            <v>E01079</v>
          </cell>
          <cell r="E323">
            <v>1.4</v>
          </cell>
          <cell r="F323" t="str">
            <v>870983530164</v>
          </cell>
          <cell r="H323" t="str">
            <v>FJZ</v>
          </cell>
          <cell r="J323" t="str">
            <v>FedEx</v>
          </cell>
          <cell r="K323" t="str">
            <v>VVMV</v>
          </cell>
          <cell r="L323" t="str">
            <v>HN</v>
          </cell>
          <cell r="M323" t="str">
            <v>US</v>
          </cell>
          <cell r="N323">
            <v>46136</v>
          </cell>
          <cell r="O323">
            <v>46136</v>
          </cell>
          <cell r="P323">
            <v>46153</v>
          </cell>
          <cell r="Q323">
            <v>17</v>
          </cell>
          <cell r="R323">
            <v>308467321651</v>
          </cell>
          <cell r="S323">
            <v>46136</v>
          </cell>
          <cell r="T323" t="str">
            <v>Inspection</v>
          </cell>
          <cell r="U323">
            <v>20782.8</v>
          </cell>
          <cell r="V323" t="str">
            <v>NO PAYMENT</v>
          </cell>
          <cell r="W323" t="str">
            <v>No need</v>
          </cell>
          <cell r="X323" t="str">
            <v>DAP</v>
          </cell>
          <cell r="Y323" t="str">
            <v>PURE</v>
          </cell>
          <cell r="Z323" t="str">
            <v>Ship material</v>
          </cell>
          <cell r="AA323" t="str">
            <v>UHAN charged PPV amount: $363.70 for freight &amp; customs fee</v>
          </cell>
        </row>
        <row r="324">
          <cell r="B324" t="str">
            <v>INV06796</v>
          </cell>
          <cell r="E324">
            <v>19.2</v>
          </cell>
          <cell r="F324" t="str">
            <v>871021353954</v>
          </cell>
          <cell r="H324" t="str">
            <v>PURE US</v>
          </cell>
          <cell r="I324" t="str">
            <v>NAPPER</v>
          </cell>
          <cell r="J324" t="str">
            <v>FedEx</v>
          </cell>
          <cell r="K324" t="str">
            <v>VVMV</v>
          </cell>
          <cell r="L324" t="str">
            <v>HN</v>
          </cell>
          <cell r="M324" t="str">
            <v>US</v>
          </cell>
          <cell r="N324">
            <v>46136</v>
          </cell>
          <cell r="O324">
            <v>46136</v>
          </cell>
          <cell r="P324">
            <v>46146</v>
          </cell>
          <cell r="Q324">
            <v>10</v>
          </cell>
          <cell r="R324">
            <v>308468110700</v>
          </cell>
          <cell r="S324">
            <v>46136</v>
          </cell>
          <cell r="T324" t="str">
            <v>No inspection</v>
          </cell>
          <cell r="U324">
            <v>56475.51</v>
          </cell>
          <cell r="V324" t="str">
            <v>PAYMENT</v>
          </cell>
          <cell r="W324" t="str">
            <v>OK</v>
          </cell>
          <cell r="X324" t="str">
            <v>FCA</v>
          </cell>
          <cell r="Y324" t="str">
            <v>PURE</v>
          </cell>
          <cell r="Z324" t="str">
            <v>x</v>
          </cell>
          <cell r="AA324" t="str">
            <v xml:space="preserve">Customer paid $100 the custom fee </v>
          </cell>
        </row>
        <row r="325">
          <cell r="B325" t="str">
            <v>INV06797</v>
          </cell>
          <cell r="E325">
            <v>30.6</v>
          </cell>
          <cell r="F325" t="str">
            <v>871021688946</v>
          </cell>
          <cell r="H325" t="str">
            <v>Jabil MX</v>
          </cell>
          <cell r="I325" t="str">
            <v>HLOB</v>
          </cell>
          <cell r="J325" t="str">
            <v>FedEx</v>
          </cell>
          <cell r="K325" t="str">
            <v>VVMV</v>
          </cell>
          <cell r="L325" t="str">
            <v>HN</v>
          </cell>
          <cell r="M325" t="str">
            <v>MX</v>
          </cell>
          <cell r="N325">
            <v>46136</v>
          </cell>
          <cell r="O325">
            <v>46136</v>
          </cell>
          <cell r="P325">
            <v>46153</v>
          </cell>
          <cell r="Q325">
            <v>17</v>
          </cell>
          <cell r="R325" t="str">
            <v>308468165411
308468209621
308468228151
308468248231
308468261311</v>
          </cell>
          <cell r="S325">
            <v>46136</v>
          </cell>
          <cell r="T325" t="str">
            <v>Inspection</v>
          </cell>
          <cell r="U325">
            <v>145283.03999999998</v>
          </cell>
          <cell r="V325" t="str">
            <v>NO PAYMENT</v>
          </cell>
          <cell r="W325" t="str">
            <v>No need</v>
          </cell>
          <cell r="X325" t="str">
            <v>FCA</v>
          </cell>
          <cell r="Y325" t="str">
            <v>PURE</v>
          </cell>
          <cell r="Z325" t="str">
            <v>x</v>
          </cell>
          <cell r="AA325" t="str">
            <v>x</v>
          </cell>
        </row>
        <row r="326">
          <cell r="B326" t="str">
            <v>INV06798</v>
          </cell>
          <cell r="E326">
            <v>1648</v>
          </cell>
          <cell r="F326" t="str">
            <v>SHAN0487913</v>
          </cell>
          <cell r="H326" t="str">
            <v>Lucid Arizona</v>
          </cell>
          <cell r="I326" t="str">
            <v>VCU, UCC, FRONT, CABIM ,REAR, DCM</v>
          </cell>
          <cell r="J326" t="str">
            <v>DSV</v>
          </cell>
          <cell r="K326" t="str">
            <v>VVMV</v>
          </cell>
          <cell r="L326" t="str">
            <v>HN</v>
          </cell>
          <cell r="M326" t="str">
            <v>US</v>
          </cell>
          <cell r="N326">
            <v>46140</v>
          </cell>
          <cell r="O326">
            <v>46140</v>
          </cell>
          <cell r="P326">
            <v>46182</v>
          </cell>
          <cell r="Q326">
            <v>42</v>
          </cell>
          <cell r="R326">
            <v>308481297960</v>
          </cell>
          <cell r="S326">
            <v>46140</v>
          </cell>
          <cell r="T326" t="str">
            <v>No inspection</v>
          </cell>
          <cell r="U326">
            <v>254229.24</v>
          </cell>
          <cell r="V326" t="str">
            <v>PAYMENT</v>
          </cell>
          <cell r="W326" t="str">
            <v>OK</v>
          </cell>
          <cell r="X326" t="str">
            <v>FCA</v>
          </cell>
          <cell r="Y326" t="str">
            <v>Lucid</v>
          </cell>
          <cell r="Z326" t="str">
            <v>x</v>
          </cell>
          <cell r="AA326" t="str">
            <v>x</v>
          </cell>
        </row>
        <row r="327">
          <cell r="B327" t="str">
            <v>INV06799</v>
          </cell>
          <cell r="E327">
            <v>31.8</v>
          </cell>
          <cell r="F327" t="str">
            <v>871028559805</v>
          </cell>
          <cell r="H327" t="str">
            <v>PURE US</v>
          </cell>
          <cell r="I327" t="str">
            <v>USHER</v>
          </cell>
          <cell r="J327" t="str">
            <v>FedEx</v>
          </cell>
          <cell r="K327" t="str">
            <v>VVMV</v>
          </cell>
          <cell r="L327" t="str">
            <v>HN</v>
          </cell>
          <cell r="M327" t="str">
            <v>US</v>
          </cell>
          <cell r="N327">
            <v>46136</v>
          </cell>
          <cell r="O327">
            <v>46136</v>
          </cell>
          <cell r="P327">
            <v>46146</v>
          </cell>
          <cell r="Q327">
            <v>10</v>
          </cell>
          <cell r="R327">
            <v>308472037110</v>
          </cell>
          <cell r="S327">
            <v>46136</v>
          </cell>
          <cell r="T327" t="str">
            <v>No inspection</v>
          </cell>
          <cell r="U327">
            <v>210670.5</v>
          </cell>
          <cell r="V327" t="str">
            <v>PAYMENT</v>
          </cell>
          <cell r="W327" t="str">
            <v>OK</v>
          </cell>
          <cell r="X327" t="str">
            <v>FCA</v>
          </cell>
          <cell r="Y327" t="str">
            <v>PURE</v>
          </cell>
          <cell r="Z327" t="str">
            <v>x</v>
          </cell>
          <cell r="AA327" t="str">
            <v xml:space="preserve"> Customer paid the custom fee</v>
          </cell>
        </row>
        <row r="328">
          <cell r="B328" t="str">
            <v>E01080</v>
          </cell>
          <cell r="E328">
            <v>5.0999999999999996</v>
          </cell>
          <cell r="F328" t="str">
            <v>871170169878</v>
          </cell>
          <cell r="H328" t="str">
            <v>HQ1</v>
          </cell>
          <cell r="I328" t="str">
            <v>IC, SSD</v>
          </cell>
          <cell r="J328" t="str">
            <v>FedEx</v>
          </cell>
          <cell r="K328" t="str">
            <v>VVMV</v>
          </cell>
          <cell r="L328" t="str">
            <v>HN</v>
          </cell>
          <cell r="M328" t="str">
            <v>US</v>
          </cell>
          <cell r="N328">
            <v>46141</v>
          </cell>
          <cell r="O328">
            <v>46141</v>
          </cell>
          <cell r="P328">
            <v>46174</v>
          </cell>
          <cell r="Q328">
            <v>33</v>
          </cell>
          <cell r="R328" t="str">
            <v>308485520140
308485533331</v>
          </cell>
          <cell r="S328">
            <v>46141</v>
          </cell>
          <cell r="T328" t="str">
            <v>Inspection</v>
          </cell>
          <cell r="U328">
            <v>923.54</v>
          </cell>
          <cell r="V328" t="str">
            <v>NO PAYMENT</v>
          </cell>
          <cell r="W328" t="str">
            <v>No need</v>
          </cell>
          <cell r="X328" t="str">
            <v>DAP</v>
          </cell>
          <cell r="Y328" t="str">
            <v>Transfer</v>
          </cell>
          <cell r="Z328" t="str">
            <v>Transfer material</v>
          </cell>
          <cell r="AA328" t="str">
            <v>x</v>
          </cell>
        </row>
        <row r="329">
          <cell r="B329" t="str">
            <v>INV06800</v>
          </cell>
          <cell r="E329">
            <v>401.2</v>
          </cell>
          <cell r="F329" t="str">
            <v>45T0469576</v>
          </cell>
          <cell r="H329" t="str">
            <v>FTX</v>
          </cell>
          <cell r="I329" t="str">
            <v>Grover, Hopper</v>
          </cell>
          <cell r="J329" t="str">
            <v>Expeditors</v>
          </cell>
          <cell r="K329" t="str">
            <v>Expeditors</v>
          </cell>
          <cell r="L329" t="str">
            <v>HN</v>
          </cell>
          <cell r="M329" t="str">
            <v>US</v>
          </cell>
          <cell r="N329">
            <v>46141</v>
          </cell>
          <cell r="O329">
            <v>46141</v>
          </cell>
          <cell r="P329">
            <v>46147</v>
          </cell>
          <cell r="Q329">
            <v>6</v>
          </cell>
          <cell r="R329">
            <v>308486444250</v>
          </cell>
          <cell r="S329">
            <v>46141</v>
          </cell>
          <cell r="T329" t="str">
            <v>No inspection</v>
          </cell>
          <cell r="U329">
            <v>1317716.23</v>
          </cell>
          <cell r="V329" t="str">
            <v>PAYMENT</v>
          </cell>
          <cell r="W329" t="str">
            <v>OK</v>
          </cell>
          <cell r="X329" t="str">
            <v>EXW</v>
          </cell>
          <cell r="Y329" t="str">
            <v>x</v>
          </cell>
          <cell r="Z329" t="str">
            <v>x</v>
          </cell>
          <cell r="AA329" t="str">
            <v>x</v>
          </cell>
        </row>
        <row r="330">
          <cell r="B330" t="str">
            <v>INV06801</v>
          </cell>
          <cell r="E330">
            <v>219.7</v>
          </cell>
          <cell r="F330" t="str">
            <v>HAN26001356</v>
          </cell>
          <cell r="H330" t="str">
            <v>FCZ</v>
          </cell>
          <cell r="I330" t="str">
            <v>Grover, Hopper</v>
          </cell>
          <cell r="J330" t="str">
            <v>Schenker</v>
          </cell>
          <cell r="K330" t="str">
            <v>Schenker</v>
          </cell>
          <cell r="L330" t="str">
            <v>HN</v>
          </cell>
          <cell r="M330" t="str">
            <v>CZ</v>
          </cell>
          <cell r="N330">
            <v>46141</v>
          </cell>
          <cell r="O330">
            <v>46141</v>
          </cell>
          <cell r="P330">
            <v>46154</v>
          </cell>
          <cell r="Q330">
            <v>13</v>
          </cell>
          <cell r="R330">
            <v>308486218850</v>
          </cell>
          <cell r="S330">
            <v>46141</v>
          </cell>
          <cell r="T330" t="str">
            <v>No inspection</v>
          </cell>
          <cell r="U330">
            <v>764295.1</v>
          </cell>
          <cell r="V330" t="str">
            <v>PAYMENT</v>
          </cell>
          <cell r="W330" t="str">
            <v>OK</v>
          </cell>
          <cell r="X330" t="str">
            <v>EXW</v>
          </cell>
          <cell r="Y330" t="str">
            <v>x</v>
          </cell>
          <cell r="Z330" t="str">
            <v>x</v>
          </cell>
          <cell r="AA330" t="str">
            <v>x</v>
          </cell>
        </row>
        <row r="331">
          <cell r="B331" t="str">
            <v>Sample 748</v>
          </cell>
          <cell r="E331">
            <v>3.75</v>
          </cell>
          <cell r="F331" t="str">
            <v>871200383520</v>
          </cell>
          <cell r="H331" t="str">
            <v>Guangdong booster</v>
          </cell>
          <cell r="J331" t="str">
            <v>FedEx</v>
          </cell>
          <cell r="K331" t="str">
            <v>VVMV</v>
          </cell>
          <cell r="L331" t="str">
            <v>HN</v>
          </cell>
          <cell r="M331" t="str">
            <v>CN</v>
          </cell>
          <cell r="N331">
            <v>46141</v>
          </cell>
          <cell r="O331">
            <v>46141</v>
          </cell>
          <cell r="P331">
            <v>46164</v>
          </cell>
          <cell r="Q331">
            <v>23</v>
          </cell>
          <cell r="R331" t="str">
            <v>x</v>
          </cell>
          <cell r="S331" t="str">
            <v>x</v>
          </cell>
          <cell r="T331" t="str">
            <v>x</v>
          </cell>
          <cell r="U331">
            <v>26.9</v>
          </cell>
          <cell r="V331" t="str">
            <v>NO PAYMENT</v>
          </cell>
          <cell r="W331" t="str">
            <v>No need</v>
          </cell>
          <cell r="X331" t="str">
            <v>DAP</v>
          </cell>
          <cell r="Y331" t="str">
            <v>PURE</v>
          </cell>
          <cell r="Z331" t="str">
            <v>Ship ME's sample</v>
          </cell>
          <cell r="AA331" t="str">
            <v>x</v>
          </cell>
        </row>
        <row r="332">
          <cell r="B332" t="str">
            <v>INV06802</v>
          </cell>
          <cell r="E332">
            <v>1.7</v>
          </cell>
          <cell r="F332" t="str">
            <v>871405823261</v>
          </cell>
          <cell r="H332" t="str">
            <v>HQ1</v>
          </cell>
          <cell r="I332" t="str">
            <v>SSD</v>
          </cell>
          <cell r="J332" t="str">
            <v>FedEx</v>
          </cell>
          <cell r="K332" t="str">
            <v>VVMV</v>
          </cell>
          <cell r="L332" t="str">
            <v>HN</v>
          </cell>
          <cell r="M332" t="str">
            <v>US</v>
          </cell>
          <cell r="N332">
            <v>46147</v>
          </cell>
          <cell r="O332">
            <v>46147</v>
          </cell>
          <cell r="P332">
            <v>46157</v>
          </cell>
          <cell r="Q332">
            <v>10</v>
          </cell>
          <cell r="R332">
            <v>308496277300</v>
          </cell>
          <cell r="S332">
            <v>46147</v>
          </cell>
          <cell r="T332" t="str">
            <v>No inspection</v>
          </cell>
          <cell r="U332">
            <v>1154.94</v>
          </cell>
          <cell r="V332" t="str">
            <v>NO PAYMENT</v>
          </cell>
          <cell r="W332" t="str">
            <v>No need</v>
          </cell>
          <cell r="X332" t="str">
            <v>DAP</v>
          </cell>
          <cell r="Y332" t="str">
            <v>OEM</v>
          </cell>
          <cell r="Z332" t="str">
            <v>Transfer FG</v>
          </cell>
          <cell r="AA332" t="str">
            <v>x</v>
          </cell>
        </row>
        <row r="333">
          <cell r="B333" t="str">
            <v>INV06803</v>
          </cell>
          <cell r="E333">
            <v>2989.2</v>
          </cell>
          <cell r="F333" t="str">
            <v>SHAN0488557</v>
          </cell>
          <cell r="H333" t="str">
            <v>Lucid Arizona</v>
          </cell>
          <cell r="I333" t="str">
            <v>VCU, UCC, FRONT, CABIM ,REAR</v>
          </cell>
          <cell r="J333" t="str">
            <v>DSV</v>
          </cell>
          <cell r="K333" t="str">
            <v>VVMV</v>
          </cell>
          <cell r="L333" t="str">
            <v>HN</v>
          </cell>
          <cell r="M333" t="str">
            <v>US</v>
          </cell>
          <cell r="N333">
            <v>46148</v>
          </cell>
          <cell r="O333">
            <v>46148</v>
          </cell>
          <cell r="P333" t="str">
            <v>release ngay 28</v>
          </cell>
          <cell r="Q333" t="e">
            <v>#VALUE!</v>
          </cell>
          <cell r="R333">
            <v>308497198020</v>
          </cell>
          <cell r="S333">
            <v>46148</v>
          </cell>
          <cell r="T333" t="str">
            <v>No inspection</v>
          </cell>
          <cell r="U333">
            <v>452660.4</v>
          </cell>
          <cell r="V333" t="str">
            <v>PAYMENT</v>
          </cell>
          <cell r="W333" t="str">
            <v>OK</v>
          </cell>
          <cell r="X333" t="str">
            <v>FCA</v>
          </cell>
          <cell r="Y333" t="str">
            <v>Lucid</v>
          </cell>
          <cell r="Z333" t="str">
            <v>x</v>
          </cell>
          <cell r="AA333" t="str">
            <v>x</v>
          </cell>
        </row>
        <row r="334">
          <cell r="B334" t="str">
            <v>INV06804</v>
          </cell>
          <cell r="E334">
            <v>896</v>
          </cell>
          <cell r="F334" t="str">
            <v>SRAF0303921</v>
          </cell>
          <cell r="H334" t="str">
            <v>HELLA</v>
          </cell>
          <cell r="I334" t="str">
            <v>HCU</v>
          </cell>
          <cell r="J334" t="str">
            <v>DSV</v>
          </cell>
          <cell r="K334" t="str">
            <v>VVMV</v>
          </cell>
          <cell r="L334" t="str">
            <v>HN</v>
          </cell>
          <cell r="M334" t="str">
            <v>DE</v>
          </cell>
          <cell r="N334">
            <v>46150</v>
          </cell>
          <cell r="O334">
            <v>46150</v>
          </cell>
          <cell r="P334">
            <v>46160</v>
          </cell>
          <cell r="Q334">
            <v>10</v>
          </cell>
          <cell r="R334">
            <v>308503937510</v>
          </cell>
          <cell r="S334">
            <v>46150</v>
          </cell>
          <cell r="T334" t="str">
            <v>No inspection</v>
          </cell>
          <cell r="U334">
            <v>134625.60000000001</v>
          </cell>
          <cell r="V334" t="str">
            <v>PAYMENT</v>
          </cell>
          <cell r="W334" t="str">
            <v>OK</v>
          </cell>
          <cell r="X334" t="str">
            <v>FCA</v>
          </cell>
          <cell r="Y334" t="str">
            <v>Lucid</v>
          </cell>
          <cell r="Z334" t="str">
            <v>x</v>
          </cell>
          <cell r="AA334" t="str">
            <v>x</v>
          </cell>
        </row>
        <row r="335">
          <cell r="B335" t="str">
            <v>Sample 749</v>
          </cell>
          <cell r="E335">
            <v>0.1</v>
          </cell>
          <cell r="F335" t="str">
            <v>871356397669</v>
          </cell>
          <cell r="H335" t="str">
            <v>Monolithic Power</v>
          </cell>
          <cell r="I335" t="str">
            <v>IC</v>
          </cell>
          <cell r="J335" t="str">
            <v>FedEx</v>
          </cell>
          <cell r="K335" t="str">
            <v>x</v>
          </cell>
          <cell r="L335" t="str">
            <v>HN</v>
          </cell>
          <cell r="M335" t="str">
            <v>CN</v>
          </cell>
          <cell r="N335">
            <v>46147</v>
          </cell>
          <cell r="O335">
            <v>46147</v>
          </cell>
          <cell r="P335">
            <v>46155</v>
          </cell>
          <cell r="Q335">
            <v>8</v>
          </cell>
          <cell r="R335" t="str">
            <v>x</v>
          </cell>
          <cell r="S335" t="str">
            <v>x</v>
          </cell>
          <cell r="T335" t="str">
            <v>x</v>
          </cell>
          <cell r="U335">
            <v>4.38</v>
          </cell>
          <cell r="V335" t="str">
            <v>NO PAYMENT</v>
          </cell>
          <cell r="W335" t="str">
            <v>No need</v>
          </cell>
          <cell r="X335" t="str">
            <v>DAP</v>
          </cell>
          <cell r="Y335" t="str">
            <v>PURE</v>
          </cell>
          <cell r="Z335" t="str">
            <v>Ship QA's sample for evaluation</v>
          </cell>
          <cell r="AA335" t="str">
            <v>x</v>
          </cell>
        </row>
        <row r="336">
          <cell r="B336" t="str">
            <v>INV06805</v>
          </cell>
          <cell r="E336">
            <v>29.4</v>
          </cell>
          <cell r="F336" t="str">
            <v>871457955186</v>
          </cell>
          <cell r="H336" t="str">
            <v>PURE US</v>
          </cell>
          <cell r="I336" t="str">
            <v>SSD</v>
          </cell>
          <cell r="J336" t="str">
            <v>FedEx</v>
          </cell>
          <cell r="K336" t="str">
            <v>VVMV</v>
          </cell>
          <cell r="L336" t="str">
            <v>HN</v>
          </cell>
          <cell r="M336" t="str">
            <v>US</v>
          </cell>
          <cell r="N336">
            <v>46148</v>
          </cell>
          <cell r="O336">
            <v>46148</v>
          </cell>
          <cell r="P336">
            <v>46160</v>
          </cell>
          <cell r="Q336">
            <v>12</v>
          </cell>
          <cell r="R336">
            <v>308499778330</v>
          </cell>
          <cell r="S336">
            <v>46148</v>
          </cell>
          <cell r="T336" t="str">
            <v>No inspection</v>
          </cell>
          <cell r="U336">
            <v>307890.71999999997</v>
          </cell>
          <cell r="V336" t="str">
            <v>NO PAYMENT</v>
          </cell>
          <cell r="W336" t="str">
            <v>No need</v>
          </cell>
          <cell r="X336" t="str">
            <v>FCA</v>
          </cell>
          <cell r="Y336" t="str">
            <v>PURE</v>
          </cell>
          <cell r="Z336" t="str">
            <v>x</v>
          </cell>
          <cell r="AA336" t="str">
            <v>Customer paid the customs fee.</v>
          </cell>
        </row>
        <row r="337">
          <cell r="B337" t="str">
            <v>INV06806</v>
          </cell>
          <cell r="E337">
            <v>2988</v>
          </cell>
          <cell r="F337" t="str">
            <v>SHAN0489221</v>
          </cell>
          <cell r="H337" t="str">
            <v>Lucid Arizona</v>
          </cell>
          <cell r="I337" t="str">
            <v>VCU, FRONT, CABIN, REAR,UCC, BCM</v>
          </cell>
          <cell r="J337" t="str">
            <v>DSV</v>
          </cell>
          <cell r="K337" t="str">
            <v>VVMV</v>
          </cell>
          <cell r="L337" t="str">
            <v>HN</v>
          </cell>
          <cell r="M337" t="str">
            <v>US</v>
          </cell>
          <cell r="N337">
            <v>46150</v>
          </cell>
          <cell r="O337">
            <v>46150</v>
          </cell>
          <cell r="P337" t="str">
            <v>release ngay 01</v>
          </cell>
          <cell r="Q337" t="e">
            <v>#VALUE!</v>
          </cell>
          <cell r="R337">
            <v>308509293650</v>
          </cell>
          <cell r="S337">
            <v>46150</v>
          </cell>
          <cell r="T337" t="str">
            <v>No inspection</v>
          </cell>
          <cell r="U337">
            <v>434505.96</v>
          </cell>
          <cell r="V337" t="str">
            <v>PAYMENT</v>
          </cell>
          <cell r="W337" t="str">
            <v>OK</v>
          </cell>
          <cell r="X337" t="str">
            <v>FCA</v>
          </cell>
          <cell r="Y337" t="str">
            <v>Lucid</v>
          </cell>
          <cell r="Z337" t="str">
            <v>x</v>
          </cell>
          <cell r="AA337" t="str">
            <v>x</v>
          </cell>
        </row>
        <row r="338">
          <cell r="B338" t="str">
            <v>E01081</v>
          </cell>
          <cell r="E338">
            <v>8.5</v>
          </cell>
          <cell r="F338" t="str">
            <v>871789669810</v>
          </cell>
          <cell r="H338" t="str">
            <v>HQ1</v>
          </cell>
          <cell r="J338" t="str">
            <v>FedEx</v>
          </cell>
          <cell r="K338" t="str">
            <v>VVMV</v>
          </cell>
          <cell r="L338" t="str">
            <v>HN</v>
          </cell>
          <cell r="M338" t="str">
            <v>US</v>
          </cell>
          <cell r="N338">
            <v>46157</v>
          </cell>
          <cell r="O338">
            <v>46157</v>
          </cell>
          <cell r="P338">
            <v>46164</v>
          </cell>
          <cell r="Q338">
            <v>7</v>
          </cell>
          <cell r="R338" t="str">
            <v>308516900701
308532227900</v>
          </cell>
          <cell r="S338">
            <v>46157</v>
          </cell>
          <cell r="T338" t="str">
            <v>Inspection</v>
          </cell>
          <cell r="U338">
            <v>2766.17</v>
          </cell>
          <cell r="V338" t="str">
            <v>NO PAYMENT</v>
          </cell>
          <cell r="W338" t="str">
            <v>No need</v>
          </cell>
          <cell r="X338" t="str">
            <v>DAP</v>
          </cell>
          <cell r="Y338" t="str">
            <v>Transfer</v>
          </cell>
          <cell r="Z338" t="str">
            <v>Transfer material + FG</v>
          </cell>
          <cell r="AA338" t="str">
            <v>x</v>
          </cell>
        </row>
        <row r="339">
          <cell r="B339" t="str">
            <v>INV06807</v>
          </cell>
          <cell r="E339">
            <v>889.7</v>
          </cell>
          <cell r="F339" t="str">
            <v>HAN26001441</v>
          </cell>
          <cell r="H339" t="str">
            <v>FCZ</v>
          </cell>
          <cell r="I339" t="str">
            <v>HOPPER, GROVER, ICER</v>
          </cell>
          <cell r="J339" t="str">
            <v>Schenker</v>
          </cell>
          <cell r="K339" t="str">
            <v>Schenker</v>
          </cell>
          <cell r="L339" t="str">
            <v>HN</v>
          </cell>
          <cell r="M339" t="str">
            <v>CZ</v>
          </cell>
          <cell r="N339">
            <v>46150</v>
          </cell>
          <cell r="O339">
            <v>46150</v>
          </cell>
          <cell r="P339">
            <v>46157</v>
          </cell>
          <cell r="Q339">
            <v>7</v>
          </cell>
          <cell r="R339">
            <v>308510475510</v>
          </cell>
          <cell r="S339">
            <v>46150</v>
          </cell>
          <cell r="T339" t="str">
            <v>No inspection</v>
          </cell>
          <cell r="U339">
            <v>2825388.2</v>
          </cell>
          <cell r="V339" t="str">
            <v>PAYMENT</v>
          </cell>
          <cell r="W339" t="str">
            <v>OK</v>
          </cell>
          <cell r="X339" t="str">
            <v>EXW</v>
          </cell>
          <cell r="Y339" t="str">
            <v>x</v>
          </cell>
          <cell r="Z339" t="str">
            <v>x</v>
          </cell>
          <cell r="AA339" t="str">
            <v>x</v>
          </cell>
        </row>
        <row r="340">
          <cell r="B340" t="str">
            <v>INV06808</v>
          </cell>
          <cell r="E340">
            <v>429.8</v>
          </cell>
          <cell r="F340" t="str">
            <v>45T0470665</v>
          </cell>
          <cell r="H340" t="str">
            <v>FTX</v>
          </cell>
          <cell r="I340" t="str">
            <v>HOPPER, GROVER, IGER</v>
          </cell>
          <cell r="J340" t="str">
            <v>Expeditors</v>
          </cell>
          <cell r="K340" t="str">
            <v>Expeditors</v>
          </cell>
          <cell r="L340" t="str">
            <v>HN</v>
          </cell>
          <cell r="M340" t="str">
            <v>US</v>
          </cell>
          <cell r="N340">
            <v>46150</v>
          </cell>
          <cell r="O340">
            <v>46150</v>
          </cell>
          <cell r="P340">
            <v>46156</v>
          </cell>
          <cell r="Q340">
            <v>6</v>
          </cell>
          <cell r="R340">
            <v>308509866400</v>
          </cell>
          <cell r="S340">
            <v>46150</v>
          </cell>
          <cell r="T340" t="str">
            <v>No inspection</v>
          </cell>
          <cell r="U340">
            <v>2624219.9</v>
          </cell>
          <cell r="V340" t="str">
            <v>PAYMENT</v>
          </cell>
          <cell r="W340" t="str">
            <v>OK</v>
          </cell>
          <cell r="X340" t="str">
            <v>EXW</v>
          </cell>
          <cell r="Y340" t="str">
            <v>x</v>
          </cell>
          <cell r="Z340" t="str">
            <v>x</v>
          </cell>
          <cell r="AA340" t="str">
            <v>x</v>
          </cell>
        </row>
        <row r="341">
          <cell r="B341" t="str">
            <v>Sample 750</v>
          </cell>
          <cell r="E341">
            <v>0.25</v>
          </cell>
          <cell r="F341" t="str">
            <v>871828566511</v>
          </cell>
          <cell r="H341" t="str">
            <v>PURE US</v>
          </cell>
          <cell r="I341" t="str">
            <v>Label</v>
          </cell>
          <cell r="J341" t="str">
            <v>FedEx</v>
          </cell>
          <cell r="K341" t="str">
            <v>x</v>
          </cell>
          <cell r="L341" t="str">
            <v>HN</v>
          </cell>
          <cell r="M341" t="str">
            <v>US</v>
          </cell>
          <cell r="N341">
            <v>46157</v>
          </cell>
          <cell r="O341">
            <v>46157</v>
          </cell>
          <cell r="P341">
            <v>46163</v>
          </cell>
          <cell r="Q341">
            <v>6</v>
          </cell>
          <cell r="R341" t="str">
            <v>x</v>
          </cell>
          <cell r="S341" t="str">
            <v>x</v>
          </cell>
          <cell r="T341" t="str">
            <v>x</v>
          </cell>
          <cell r="U341">
            <v>11.8</v>
          </cell>
          <cell r="V341" t="str">
            <v>No payment</v>
          </cell>
          <cell r="W341" t="str">
            <v>No need</v>
          </cell>
          <cell r="X341" t="str">
            <v>FCA</v>
          </cell>
          <cell r="Y341" t="str">
            <v>x</v>
          </cell>
          <cell r="Z341" t="str">
            <v>x</v>
          </cell>
          <cell r="AA341" t="str">
            <v>x</v>
          </cell>
        </row>
        <row r="342">
          <cell r="B342" t="str">
            <v>INV06809</v>
          </cell>
          <cell r="E342">
            <v>137.6</v>
          </cell>
          <cell r="F342" t="str">
            <v>8257157414</v>
          </cell>
          <cell r="H342" t="str">
            <v>AVNET US</v>
          </cell>
          <cell r="I342" t="str">
            <v>PCBA</v>
          </cell>
          <cell r="J342" t="str">
            <v>DHL</v>
          </cell>
          <cell r="K342" t="str">
            <v>VVMV</v>
          </cell>
          <cell r="L342" t="str">
            <v>HN</v>
          </cell>
          <cell r="M342" t="str">
            <v>US</v>
          </cell>
          <cell r="N342">
            <v>46150</v>
          </cell>
          <cell r="O342">
            <v>46150</v>
          </cell>
          <cell r="P342">
            <v>46155</v>
          </cell>
          <cell r="Q342">
            <v>5</v>
          </cell>
          <cell r="R342">
            <v>308509328650</v>
          </cell>
          <cell r="S342">
            <v>46150</v>
          </cell>
          <cell r="T342" t="str">
            <v>No inspection</v>
          </cell>
          <cell r="U342">
            <v>168790.5</v>
          </cell>
          <cell r="V342" t="str">
            <v>PAYMENT</v>
          </cell>
          <cell r="W342" t="str">
            <v>OK</v>
          </cell>
          <cell r="X342" t="str">
            <v>FCA</v>
          </cell>
          <cell r="Y342" t="str">
            <v>EFI</v>
          </cell>
          <cell r="Z342" t="str">
            <v>x</v>
          </cell>
          <cell r="AA342" t="str">
            <v>x</v>
          </cell>
        </row>
        <row r="343">
          <cell r="B343" t="str">
            <v>INV06810</v>
          </cell>
          <cell r="E343">
            <v>11.8</v>
          </cell>
          <cell r="F343" t="str">
            <v>871517570081</v>
          </cell>
          <cell r="H343" t="str">
            <v>PURE US</v>
          </cell>
          <cell r="I343" t="str">
            <v>SSD</v>
          </cell>
          <cell r="J343" t="str">
            <v>FedEx</v>
          </cell>
          <cell r="K343" t="str">
            <v>VVMV</v>
          </cell>
          <cell r="L343" t="str">
            <v>HN</v>
          </cell>
          <cell r="M343" t="str">
            <v>US</v>
          </cell>
          <cell r="N343">
            <v>46150</v>
          </cell>
          <cell r="O343">
            <v>46150</v>
          </cell>
          <cell r="P343">
            <v>46155</v>
          </cell>
          <cell r="Q343">
            <v>5</v>
          </cell>
          <cell r="R343" t="str">
            <v>308506457361
308506703541</v>
          </cell>
          <cell r="S343">
            <v>46150</v>
          </cell>
          <cell r="T343" t="str">
            <v>Inspection</v>
          </cell>
          <cell r="U343">
            <v>3486</v>
          </cell>
          <cell r="V343" t="str">
            <v>NO PAYMENT</v>
          </cell>
          <cell r="W343" t="str">
            <v>No need</v>
          </cell>
          <cell r="X343" t="str">
            <v>FCA</v>
          </cell>
          <cell r="Y343" t="str">
            <v>PURE</v>
          </cell>
          <cell r="Z343" t="str">
            <v>x</v>
          </cell>
          <cell r="AA343" t="str">
            <v>Customer has already paid the customs fee</v>
          </cell>
        </row>
        <row r="344">
          <cell r="B344" t="str">
            <v>INV06811</v>
          </cell>
          <cell r="E344">
            <v>15</v>
          </cell>
          <cell r="F344" t="str">
            <v>SRAF0316158</v>
          </cell>
          <cell r="H344" t="str">
            <v>Lucid HQ</v>
          </cell>
          <cell r="I344" t="str">
            <v>USB</v>
          </cell>
          <cell r="J344" t="str">
            <v>DSV</v>
          </cell>
          <cell r="K344" t="str">
            <v>VVMV</v>
          </cell>
          <cell r="L344" t="str">
            <v>HN</v>
          </cell>
          <cell r="M344" t="str">
            <v>US</v>
          </cell>
          <cell r="N344">
            <v>46153</v>
          </cell>
          <cell r="O344">
            <v>46153</v>
          </cell>
          <cell r="P344">
            <v>46156</v>
          </cell>
          <cell r="Q344">
            <v>3</v>
          </cell>
          <cell r="R344">
            <v>308517224430</v>
          </cell>
          <cell r="S344">
            <v>46153</v>
          </cell>
          <cell r="T344" t="str">
            <v>No inspection</v>
          </cell>
          <cell r="U344">
            <v>1723.8</v>
          </cell>
          <cell r="V344" t="str">
            <v>PAYMENT</v>
          </cell>
          <cell r="W344" t="str">
            <v>OK</v>
          </cell>
          <cell r="X344" t="str">
            <v>FCA</v>
          </cell>
          <cell r="Y344" t="str">
            <v>Lucid</v>
          </cell>
          <cell r="Z344" t="str">
            <v>x</v>
          </cell>
          <cell r="AA344" t="str">
            <v>x</v>
          </cell>
        </row>
        <row r="345">
          <cell r="B345" t="str">
            <v>INV06812</v>
          </cell>
          <cell r="E345">
            <v>36.200000000000003</v>
          </cell>
          <cell r="F345" t="str">
            <v>871557906776</v>
          </cell>
          <cell r="H345" t="str">
            <v>PURE US</v>
          </cell>
          <cell r="I345" t="str">
            <v>KIPPER, NATTER, OTTER, USHER</v>
          </cell>
          <cell r="J345" t="str">
            <v>FedEx</v>
          </cell>
          <cell r="K345" t="str">
            <v>VVMV</v>
          </cell>
          <cell r="L345" t="str">
            <v>HN</v>
          </cell>
          <cell r="M345" t="str">
            <v>US</v>
          </cell>
          <cell r="N345">
            <v>46150</v>
          </cell>
          <cell r="O345">
            <v>46150</v>
          </cell>
          <cell r="P345">
            <v>46160</v>
          </cell>
          <cell r="Q345">
            <v>10</v>
          </cell>
          <cell r="R345">
            <v>308510109410</v>
          </cell>
          <cell r="S345">
            <v>46150</v>
          </cell>
          <cell r="T345" t="str">
            <v>No inspection</v>
          </cell>
          <cell r="U345">
            <v>64191.11</v>
          </cell>
          <cell r="V345" t="str">
            <v>NO PAYMENT</v>
          </cell>
          <cell r="W345" t="str">
            <v>No need</v>
          </cell>
          <cell r="X345" t="str">
            <v>FCA</v>
          </cell>
          <cell r="Y345" t="str">
            <v>PURE</v>
          </cell>
          <cell r="Z345" t="str">
            <v>x</v>
          </cell>
          <cell r="AA345" t="str">
            <v>Customer has already paid the customs fee</v>
          </cell>
        </row>
        <row r="346">
          <cell r="B346" t="str">
            <v>INV06813</v>
          </cell>
          <cell r="E346">
            <v>302.39999999999998</v>
          </cell>
          <cell r="F346" t="str">
            <v>45T0470795</v>
          </cell>
          <cell r="H346" t="str">
            <v>FTX</v>
          </cell>
          <cell r="I346" t="str">
            <v>HOPPER, NATTER, GROVER, OTTER, ICER</v>
          </cell>
          <cell r="J346" t="str">
            <v>Expeditors</v>
          </cell>
          <cell r="K346" t="str">
            <v>Expeditors</v>
          </cell>
          <cell r="L346" t="str">
            <v>HN</v>
          </cell>
          <cell r="M346" t="str">
            <v>US</v>
          </cell>
          <cell r="N346">
            <v>46150</v>
          </cell>
          <cell r="O346">
            <v>46150</v>
          </cell>
          <cell r="P346">
            <v>46157</v>
          </cell>
          <cell r="Q346">
            <v>7</v>
          </cell>
          <cell r="R346">
            <v>308510231910</v>
          </cell>
          <cell r="S346">
            <v>46150</v>
          </cell>
          <cell r="T346" t="str">
            <v>No inspection</v>
          </cell>
          <cell r="U346">
            <v>3779155.31</v>
          </cell>
          <cell r="V346" t="str">
            <v>PAYMENT</v>
          </cell>
          <cell r="W346" t="str">
            <v>OK</v>
          </cell>
          <cell r="X346" t="str">
            <v>EXW</v>
          </cell>
          <cell r="Y346" t="str">
            <v>x</v>
          </cell>
          <cell r="Z346" t="str">
            <v>x</v>
          </cell>
          <cell r="AA346" t="str">
            <v>x</v>
          </cell>
        </row>
        <row r="347">
          <cell r="B347" t="str">
            <v>INV06814</v>
          </cell>
          <cell r="E347">
            <v>3400.2</v>
          </cell>
          <cell r="F347" t="str">
            <v>SDSV1402998</v>
          </cell>
          <cell r="H347" t="str">
            <v>Lucid Arizona</v>
          </cell>
          <cell r="I347" t="str">
            <v>BCM, Cabin, Front, Rear, VCU</v>
          </cell>
          <cell r="J347" t="str">
            <v>DSV</v>
          </cell>
          <cell r="K347" t="str">
            <v>VVMV</v>
          </cell>
          <cell r="L347" t="str">
            <v>HN</v>
          </cell>
          <cell r="M347" t="str">
            <v>US</v>
          </cell>
          <cell r="N347">
            <v>46157</v>
          </cell>
          <cell r="O347">
            <v>46157</v>
          </cell>
          <cell r="P347" t="str">
            <v>release ngay 05</v>
          </cell>
          <cell r="Q347" t="e">
            <v>#VALUE!</v>
          </cell>
          <cell r="R347">
            <v>308531144960</v>
          </cell>
          <cell r="S347">
            <v>46157</v>
          </cell>
          <cell r="T347" t="str">
            <v>No inspection</v>
          </cell>
          <cell r="U347">
            <v>404640.24</v>
          </cell>
          <cell r="V347" t="str">
            <v>PAYMENT</v>
          </cell>
          <cell r="W347" t="str">
            <v>ok</v>
          </cell>
          <cell r="X347" t="str">
            <v>FCA</v>
          </cell>
          <cell r="Y347" t="str">
            <v>Lucid</v>
          </cell>
          <cell r="Z347" t="str">
            <v>x</v>
          </cell>
          <cell r="AA347" t="str">
            <v>x</v>
          </cell>
        </row>
        <row r="348">
          <cell r="B348" t="str">
            <v>E01082</v>
          </cell>
          <cell r="E348">
            <v>2.6</v>
          </cell>
          <cell r="F348" t="str">
            <v>7079794363</v>
          </cell>
          <cell r="H348" t="str">
            <v>Kingston</v>
          </cell>
          <cell r="J348" t="str">
            <v>DHL</v>
          </cell>
          <cell r="K348" t="str">
            <v>VVMV</v>
          </cell>
          <cell r="L348" t="str">
            <v>HN</v>
          </cell>
          <cell r="M348" t="str">
            <v>TW</v>
          </cell>
          <cell r="N348">
            <v>46154</v>
          </cell>
          <cell r="O348">
            <v>46154</v>
          </cell>
          <cell r="P348">
            <v>46155</v>
          </cell>
          <cell r="Q348">
            <v>1</v>
          </cell>
          <cell r="W348" t="str">
            <v>No need</v>
          </cell>
        </row>
        <row r="349">
          <cell r="B349" t="str">
            <v>INV06815</v>
          </cell>
          <cell r="E349">
            <v>14.4</v>
          </cell>
          <cell r="F349" t="str">
            <v>871781995572</v>
          </cell>
          <cell r="H349" t="str">
            <v>Jabil MX</v>
          </cell>
          <cell r="I349" t="str">
            <v>HLOB</v>
          </cell>
          <cell r="J349" t="str">
            <v>FedEx</v>
          </cell>
          <cell r="K349" t="str">
            <v>VVMV</v>
          </cell>
          <cell r="L349" t="str">
            <v>HN</v>
          </cell>
          <cell r="M349" t="str">
            <v>MX</v>
          </cell>
          <cell r="N349">
            <v>46157</v>
          </cell>
          <cell r="O349">
            <v>46157</v>
          </cell>
          <cell r="P349">
            <v>46162</v>
          </cell>
          <cell r="Q349">
            <v>5</v>
          </cell>
          <cell r="R349" t="str">
            <v>308519052461
308519055521
308519067751
308519076961</v>
          </cell>
          <cell r="S349">
            <v>46156</v>
          </cell>
          <cell r="T349" t="str">
            <v>Inspection</v>
          </cell>
          <cell r="U349">
            <v>2594.34</v>
          </cell>
          <cell r="V349" t="str">
            <v>NO PAYMENT</v>
          </cell>
          <cell r="W349" t="str">
            <v>No need</v>
          </cell>
          <cell r="X349" t="str">
            <v>FCA</v>
          </cell>
          <cell r="Y349" t="str">
            <v>PURE</v>
          </cell>
          <cell r="Z349" t="str">
            <v>x</v>
          </cell>
          <cell r="AA349" t="str">
            <v>x</v>
          </cell>
        </row>
        <row r="350">
          <cell r="B350" t="str">
            <v>Sample 751</v>
          </cell>
          <cell r="E350">
            <v>0.6</v>
          </cell>
          <cell r="F350" t="str">
            <v>6422872352</v>
          </cell>
          <cell r="H350" t="str">
            <v>HQ1</v>
          </cell>
          <cell r="I350" t="str">
            <v>IC</v>
          </cell>
          <cell r="J350" t="str">
            <v>DHL</v>
          </cell>
          <cell r="K350" t="str">
            <v>X</v>
          </cell>
          <cell r="L350" t="str">
            <v>HN</v>
          </cell>
          <cell r="M350" t="str">
            <v>US</v>
          </cell>
          <cell r="N350">
            <v>46154</v>
          </cell>
          <cell r="O350">
            <v>46154</v>
          </cell>
          <cell r="P350">
            <v>46155</v>
          </cell>
          <cell r="Q350">
            <v>1</v>
          </cell>
          <cell r="R350" t="str">
            <v>x</v>
          </cell>
          <cell r="S350" t="str">
            <v>x</v>
          </cell>
          <cell r="T350" t="str">
            <v>x</v>
          </cell>
          <cell r="U350">
            <v>72</v>
          </cell>
          <cell r="V350" t="str">
            <v>NO PAYMENT</v>
          </cell>
          <cell r="W350" t="str">
            <v>No need</v>
          </cell>
          <cell r="X350" t="str">
            <v>FCA</v>
          </cell>
          <cell r="Y350" t="str">
            <v>x</v>
          </cell>
          <cell r="Z350" t="str">
            <v>x</v>
          </cell>
          <cell r="AA350" t="str">
            <v>x</v>
          </cell>
        </row>
        <row r="351">
          <cell r="B351" t="str">
            <v>INV06816</v>
          </cell>
          <cell r="E351">
            <v>881</v>
          </cell>
          <cell r="F351" t="str">
            <v>SRAF0325729</v>
          </cell>
          <cell r="H351" t="str">
            <v>HELLA</v>
          </cell>
          <cell r="I351" t="str">
            <v>HCU</v>
          </cell>
          <cell r="J351" t="str">
            <v>DSV</v>
          </cell>
          <cell r="K351" t="str">
            <v>VVMV</v>
          </cell>
          <cell r="L351" t="str">
            <v>HN</v>
          </cell>
          <cell r="M351" t="str">
            <v>DE</v>
          </cell>
          <cell r="N351">
            <v>46157</v>
          </cell>
          <cell r="O351">
            <v>46157</v>
          </cell>
          <cell r="P351">
            <v>46170</v>
          </cell>
          <cell r="Q351">
            <v>13</v>
          </cell>
          <cell r="R351">
            <v>308536109730</v>
          </cell>
          <cell r="S351">
            <v>46157</v>
          </cell>
          <cell r="T351" t="str">
            <v>No inspection</v>
          </cell>
          <cell r="U351">
            <v>134625.60000000001</v>
          </cell>
          <cell r="V351" t="str">
            <v>PAYMENT</v>
          </cell>
          <cell r="W351" t="str">
            <v>ok</v>
          </cell>
          <cell r="X351" t="str">
            <v>FCA</v>
          </cell>
          <cell r="Y351" t="str">
            <v>Lucid</v>
          </cell>
          <cell r="Z351" t="str">
            <v>x</v>
          </cell>
          <cell r="AA351" t="str">
            <v>x</v>
          </cell>
        </row>
        <row r="352">
          <cell r="B352" t="str">
            <v>INV06817</v>
          </cell>
          <cell r="E352">
            <v>2755.4</v>
          </cell>
          <cell r="F352" t="str">
            <v>SHAN0490575</v>
          </cell>
          <cell r="H352" t="str">
            <v>Lucid Arizona</v>
          </cell>
          <cell r="I352" t="str">
            <v>VCU, Rear, BCM, Front, CABIN</v>
          </cell>
          <cell r="J352" t="str">
            <v>DSV</v>
          </cell>
          <cell r="K352" t="str">
            <v>VVMV</v>
          </cell>
          <cell r="L352" t="str">
            <v>HN</v>
          </cell>
          <cell r="M352" t="str">
            <v>US</v>
          </cell>
          <cell r="N352">
            <v>46157</v>
          </cell>
          <cell r="O352">
            <v>46157</v>
          </cell>
          <cell r="P352" t="str">
            <v>release ngay 10</v>
          </cell>
          <cell r="Q352" t="e">
            <v>#VALUE!</v>
          </cell>
          <cell r="R352">
            <v>308534984940</v>
          </cell>
          <cell r="S352">
            <v>46157</v>
          </cell>
          <cell r="T352" t="str">
            <v>No inspection</v>
          </cell>
          <cell r="U352">
            <v>354085.44</v>
          </cell>
          <cell r="V352" t="str">
            <v>PAYMENT</v>
          </cell>
          <cell r="W352" t="str">
            <v>ok</v>
          </cell>
          <cell r="X352" t="str">
            <v>FCA</v>
          </cell>
          <cell r="Y352" t="str">
            <v>Lucid</v>
          </cell>
          <cell r="Z352" t="str">
            <v>x</v>
          </cell>
          <cell r="AA352" t="str">
            <v>x</v>
          </cell>
        </row>
        <row r="353">
          <cell r="B353" t="str">
            <v>INV06818</v>
          </cell>
          <cell r="E353">
            <v>8</v>
          </cell>
          <cell r="F353" t="str">
            <v>872009826743</v>
          </cell>
          <cell r="H353" t="str">
            <v>CTU</v>
          </cell>
          <cell r="I353" t="str">
            <v>CUPCAKE</v>
          </cell>
          <cell r="J353" t="str">
            <v>FedEx</v>
          </cell>
          <cell r="K353" t="str">
            <v>VVMV</v>
          </cell>
          <cell r="L353" t="str">
            <v>HN</v>
          </cell>
          <cell r="M353" t="str">
            <v>CN</v>
          </cell>
          <cell r="N353">
            <v>46162</v>
          </cell>
          <cell r="O353">
            <v>46162</v>
          </cell>
          <cell r="P353">
            <v>46168</v>
          </cell>
          <cell r="Q353">
            <v>6</v>
          </cell>
          <cell r="R353">
            <v>308544706100</v>
          </cell>
          <cell r="S353">
            <v>46162</v>
          </cell>
          <cell r="T353" t="str">
            <v>No inspection</v>
          </cell>
          <cell r="U353">
            <v>1657.05</v>
          </cell>
          <cell r="V353" t="str">
            <v>NO PAYMENT</v>
          </cell>
          <cell r="W353" t="str">
            <v>No need</v>
          </cell>
          <cell r="X353" t="str">
            <v>DAP</v>
          </cell>
          <cell r="Y353" t="str">
            <v>OEM</v>
          </cell>
          <cell r="Z353" t="str">
            <v>Ship to CTU</v>
          </cell>
          <cell r="AA353" t="str">
            <v>x</v>
          </cell>
        </row>
        <row r="354">
          <cell r="B354" t="str">
            <v>INV06819</v>
          </cell>
          <cell r="E354">
            <v>290.8</v>
          </cell>
          <cell r="F354" t="str">
            <v>ELHAN01780</v>
          </cell>
          <cell r="H354" t="str">
            <v>AIC</v>
          </cell>
          <cell r="I354" t="str">
            <v>PCBA, IC</v>
          </cell>
          <cell r="J354" t="str">
            <v>Evergreen</v>
          </cell>
          <cell r="K354" t="str">
            <v>Evergreen</v>
          </cell>
          <cell r="L354" t="str">
            <v>HN</v>
          </cell>
          <cell r="M354" t="str">
            <v>TW</v>
          </cell>
          <cell r="N354">
            <v>46160</v>
          </cell>
          <cell r="O354">
            <v>46160</v>
          </cell>
          <cell r="P354">
            <v>46163</v>
          </cell>
          <cell r="Q354">
            <v>3</v>
          </cell>
          <cell r="R354" t="str">
            <v>308542590440
308542658602
308542840821</v>
          </cell>
          <cell r="S354">
            <v>46160</v>
          </cell>
          <cell r="T354" t="str">
            <v>No inspection</v>
          </cell>
          <cell r="U354">
            <v>87569.829999999973</v>
          </cell>
          <cell r="V354" t="str">
            <v>PAYMENT</v>
          </cell>
          <cell r="W354" t="str">
            <v>ok</v>
          </cell>
          <cell r="X354" t="str">
            <v>EXW</v>
          </cell>
          <cell r="Y354" t="str">
            <v>x</v>
          </cell>
          <cell r="Z354" t="str">
            <v>x</v>
          </cell>
          <cell r="AA354" t="str">
            <v>x</v>
          </cell>
        </row>
        <row r="355">
          <cell r="B355" t="str">
            <v>Sample 752</v>
          </cell>
          <cell r="E355">
            <v>1.1000000000000001</v>
          </cell>
          <cell r="F355" t="str">
            <v>1Z219F5A0499860910</v>
          </cell>
          <cell r="H355" t="str">
            <v>AIC</v>
          </cell>
          <cell r="I355" t="str">
            <v>PCBA</v>
          </cell>
          <cell r="J355" t="str">
            <v>UPS</v>
          </cell>
          <cell r="K355" t="str">
            <v>x</v>
          </cell>
          <cell r="L355" t="str">
            <v>HN</v>
          </cell>
          <cell r="M355" t="str">
            <v>TW</v>
          </cell>
          <cell r="N355">
            <v>46157</v>
          </cell>
          <cell r="O355">
            <v>46157</v>
          </cell>
          <cell r="P355">
            <v>46164</v>
          </cell>
          <cell r="Q355">
            <v>7</v>
          </cell>
          <cell r="R355" t="str">
            <v>x</v>
          </cell>
          <cell r="S355" t="str">
            <v>x</v>
          </cell>
          <cell r="T355" t="str">
            <v>x</v>
          </cell>
          <cell r="U355">
            <v>100</v>
          </cell>
          <cell r="V355" t="str">
            <v>NO PAYMENT</v>
          </cell>
          <cell r="W355" t="str">
            <v>No need</v>
          </cell>
          <cell r="X355" t="str">
            <v>FCA</v>
          </cell>
          <cell r="Y355" t="str">
            <v>x</v>
          </cell>
          <cell r="Z355" t="str">
            <v>x</v>
          </cell>
          <cell r="AA355" t="str">
            <v>x</v>
          </cell>
        </row>
        <row r="356">
          <cell r="B356" t="str">
            <v>INV06820</v>
          </cell>
          <cell r="E356">
            <v>1</v>
          </cell>
          <cell r="F356" t="str">
            <v>871787641322</v>
          </cell>
          <cell r="H356" t="str">
            <v xml:space="preserve">RAHI </v>
          </cell>
          <cell r="I356" t="str">
            <v>DDR4</v>
          </cell>
          <cell r="J356" t="str">
            <v>FedEx</v>
          </cell>
          <cell r="K356" t="str">
            <v>VVMV</v>
          </cell>
          <cell r="L356" t="str">
            <v>HN</v>
          </cell>
          <cell r="M356" t="str">
            <v>TW</v>
          </cell>
          <cell r="N356">
            <v>46157</v>
          </cell>
          <cell r="O356">
            <v>46157</v>
          </cell>
          <cell r="P356">
            <v>46163</v>
          </cell>
          <cell r="Q356">
            <v>6</v>
          </cell>
          <cell r="R356">
            <v>308530107931</v>
          </cell>
          <cell r="S356">
            <v>46156</v>
          </cell>
          <cell r="T356" t="str">
            <v>Inspection</v>
          </cell>
          <cell r="U356">
            <v>508.72</v>
          </cell>
          <cell r="V356" t="str">
            <v>NO PAYMENT</v>
          </cell>
          <cell r="W356" t="str">
            <v>No need</v>
          </cell>
          <cell r="X356" t="str">
            <v>DAP</v>
          </cell>
          <cell r="Y356" t="str">
            <v>OEM</v>
          </cell>
          <cell r="Z356" t="str">
            <v>RMA</v>
          </cell>
          <cell r="AA356" t="str">
            <v>x</v>
          </cell>
        </row>
        <row r="357">
          <cell r="B357" t="str">
            <v>INV06821</v>
          </cell>
          <cell r="E357">
            <v>849.8</v>
          </cell>
          <cell r="F357" t="str">
            <v>HAN26001540</v>
          </cell>
          <cell r="H357" t="str">
            <v>FCZ</v>
          </cell>
          <cell r="I357" t="str">
            <v>Grover, Hopper, Icer</v>
          </cell>
          <cell r="J357" t="str">
            <v>Schenker</v>
          </cell>
          <cell r="K357" t="str">
            <v>Schenker</v>
          </cell>
          <cell r="L357" t="str">
            <v>HN</v>
          </cell>
          <cell r="M357" t="str">
            <v>CZ</v>
          </cell>
          <cell r="N357">
            <v>46157</v>
          </cell>
          <cell r="O357">
            <v>46157</v>
          </cell>
          <cell r="P357">
            <v>46164</v>
          </cell>
          <cell r="Q357">
            <v>7</v>
          </cell>
          <cell r="R357">
            <v>308534348640</v>
          </cell>
          <cell r="S357">
            <v>46157</v>
          </cell>
          <cell r="T357" t="str">
            <v>No inspection</v>
          </cell>
          <cell r="U357">
            <v>2856890.6</v>
          </cell>
          <cell r="V357" t="str">
            <v>PAYMENT</v>
          </cell>
          <cell r="W357" t="str">
            <v>ok</v>
          </cell>
          <cell r="X357" t="str">
            <v>EXW</v>
          </cell>
          <cell r="Y357" t="str">
            <v>x</v>
          </cell>
          <cell r="Z357" t="str">
            <v>x</v>
          </cell>
          <cell r="AA357" t="str">
            <v>x</v>
          </cell>
        </row>
        <row r="358">
          <cell r="B358" t="str">
            <v>INV06822</v>
          </cell>
          <cell r="E358">
            <v>1476.1</v>
          </cell>
          <cell r="F358" t="str">
            <v>45T0474170</v>
          </cell>
          <cell r="H358" t="str">
            <v>FTX</v>
          </cell>
          <cell r="I358" t="str">
            <v>Eiger, Grover, Hopper, Napper, Piper</v>
          </cell>
          <cell r="J358" t="str">
            <v>Expeditors</v>
          </cell>
          <cell r="K358" t="str">
            <v>Expeditors</v>
          </cell>
          <cell r="L358" t="str">
            <v>HN</v>
          </cell>
          <cell r="M358" t="str">
            <v>US</v>
          </cell>
          <cell r="N358">
            <v>46157</v>
          </cell>
          <cell r="O358">
            <v>46157</v>
          </cell>
          <cell r="P358">
            <v>46164</v>
          </cell>
          <cell r="Q358">
            <v>7</v>
          </cell>
          <cell r="R358">
            <v>308533627200</v>
          </cell>
          <cell r="S358">
            <v>46157</v>
          </cell>
          <cell r="T358" t="str">
            <v>No inspection</v>
          </cell>
          <cell r="U358">
            <v>7594457.4000000004</v>
          </cell>
          <cell r="V358" t="str">
            <v>PAYMENT</v>
          </cell>
          <cell r="W358" t="str">
            <v>ok</v>
          </cell>
          <cell r="X358" t="str">
            <v>EXW</v>
          </cell>
          <cell r="Y358" t="str">
            <v>x</v>
          </cell>
          <cell r="Z358" t="str">
            <v>x</v>
          </cell>
          <cell r="AA358" t="str">
            <v>x</v>
          </cell>
        </row>
        <row r="359">
          <cell r="B359" t="str">
            <v>INV06823</v>
          </cell>
          <cell r="E359">
            <v>306</v>
          </cell>
          <cell r="F359" t="str">
            <v>45T0474631</v>
          </cell>
          <cell r="H359" t="str">
            <v>FTX</v>
          </cell>
          <cell r="I359" t="str">
            <v>Grover</v>
          </cell>
          <cell r="J359" t="str">
            <v>Expeditors</v>
          </cell>
          <cell r="K359" t="str">
            <v>Expeditors</v>
          </cell>
          <cell r="L359" t="str">
            <v>HN</v>
          </cell>
          <cell r="M359" t="str">
            <v>US</v>
          </cell>
          <cell r="N359">
            <v>46157</v>
          </cell>
          <cell r="O359">
            <v>46157</v>
          </cell>
          <cell r="P359">
            <v>46162</v>
          </cell>
          <cell r="Q359">
            <v>5</v>
          </cell>
          <cell r="R359">
            <v>308533091810</v>
          </cell>
          <cell r="S359">
            <v>46157</v>
          </cell>
          <cell r="T359" t="str">
            <v>No inspection</v>
          </cell>
          <cell r="U359">
            <v>604566</v>
          </cell>
          <cell r="V359" t="str">
            <v>PAYMENT</v>
          </cell>
          <cell r="W359" t="str">
            <v>ok</v>
          </cell>
          <cell r="X359" t="str">
            <v>EXW</v>
          </cell>
          <cell r="Y359" t="str">
            <v>x</v>
          </cell>
          <cell r="Z359" t="str">
            <v>x</v>
          </cell>
          <cell r="AA359" t="str">
            <v>x</v>
          </cell>
        </row>
        <row r="360">
          <cell r="B360" t="str">
            <v>INV06824</v>
          </cell>
          <cell r="E360">
            <v>60.9</v>
          </cell>
          <cell r="F360" t="str">
            <v>871830013098</v>
          </cell>
          <cell r="H360" t="str">
            <v>PURE US</v>
          </cell>
          <cell r="I360" t="str">
            <v>KIPPER, HLOB</v>
          </cell>
          <cell r="J360" t="str">
            <v>FedEx</v>
          </cell>
          <cell r="K360" t="str">
            <v>VVMV</v>
          </cell>
          <cell r="L360" t="str">
            <v>HN</v>
          </cell>
          <cell r="M360" t="str">
            <v>US</v>
          </cell>
          <cell r="N360">
            <v>46160</v>
          </cell>
          <cell r="O360">
            <v>46160</v>
          </cell>
          <cell r="P360">
            <v>46171</v>
          </cell>
          <cell r="Q360">
            <v>11</v>
          </cell>
          <cell r="R360">
            <v>308532271300</v>
          </cell>
          <cell r="S360">
            <v>46157</v>
          </cell>
          <cell r="T360" t="str">
            <v>No inspection</v>
          </cell>
          <cell r="U360">
            <v>322033.42</v>
          </cell>
          <cell r="V360" t="str">
            <v>PAYMENT</v>
          </cell>
          <cell r="W360" t="str">
            <v>ok</v>
          </cell>
          <cell r="X360" t="str">
            <v>FCA</v>
          </cell>
          <cell r="Y360" t="str">
            <v>PURE</v>
          </cell>
          <cell r="Z360" t="str">
            <v>x</v>
          </cell>
          <cell r="AA360" t="str">
            <v>Customer has already paid the customs fee</v>
          </cell>
        </row>
        <row r="361">
          <cell r="B361" t="str">
            <v>INV06825</v>
          </cell>
          <cell r="E361">
            <v>12.3</v>
          </cell>
          <cell r="F361" t="str">
            <v>871830993950</v>
          </cell>
          <cell r="H361" t="str">
            <v>PURE IN</v>
          </cell>
          <cell r="I361" t="str">
            <v>KIPPER</v>
          </cell>
          <cell r="J361" t="str">
            <v>FedEx</v>
          </cell>
          <cell r="K361" t="str">
            <v>VVMV</v>
          </cell>
          <cell r="L361" t="str">
            <v>HN</v>
          </cell>
          <cell r="M361" t="str">
            <v>IN</v>
          </cell>
          <cell r="N361">
            <v>46160</v>
          </cell>
          <cell r="O361">
            <v>46160</v>
          </cell>
          <cell r="P361">
            <v>46164</v>
          </cell>
          <cell r="Q361">
            <v>4</v>
          </cell>
          <cell r="R361">
            <v>308533240650</v>
          </cell>
          <cell r="S361">
            <v>46157</v>
          </cell>
          <cell r="T361" t="str">
            <v>No inspection</v>
          </cell>
          <cell r="U361">
            <v>653.35</v>
          </cell>
          <cell r="V361" t="str">
            <v>NO PAYMENT</v>
          </cell>
          <cell r="W361" t="str">
            <v>No need</v>
          </cell>
          <cell r="X361" t="str">
            <v>FCA</v>
          </cell>
          <cell r="Y361" t="str">
            <v>PURE</v>
          </cell>
          <cell r="Z361" t="str">
            <v>x</v>
          </cell>
          <cell r="AA361" t="str">
            <v>Customer has already paid the customs fee</v>
          </cell>
        </row>
        <row r="362">
          <cell r="B362" t="str">
            <v>INV06826</v>
          </cell>
          <cell r="E362">
            <v>44.6</v>
          </cell>
          <cell r="F362" t="str">
            <v>871831181610</v>
          </cell>
          <cell r="H362" t="str">
            <v>PURE SF04</v>
          </cell>
          <cell r="I362" t="str">
            <v>KIPPER</v>
          </cell>
          <cell r="J362" t="str">
            <v>FedEx</v>
          </cell>
          <cell r="K362" t="str">
            <v>VVMV</v>
          </cell>
          <cell r="L362" t="str">
            <v>HN</v>
          </cell>
          <cell r="M362" t="str">
            <v>US</v>
          </cell>
          <cell r="N362">
            <v>46160</v>
          </cell>
          <cell r="O362">
            <v>46160</v>
          </cell>
          <cell r="P362">
            <v>46171</v>
          </cell>
          <cell r="Q362">
            <v>11</v>
          </cell>
          <cell r="R362">
            <v>308533349040</v>
          </cell>
          <cell r="S362">
            <v>46157</v>
          </cell>
          <cell r="T362" t="str">
            <v>No inspection</v>
          </cell>
          <cell r="U362">
            <v>13962.85</v>
          </cell>
          <cell r="V362" t="str">
            <v>NO PAYMENT</v>
          </cell>
          <cell r="W362" t="str">
            <v>No need</v>
          </cell>
          <cell r="X362" t="str">
            <v>FCA</v>
          </cell>
          <cell r="Y362" t="str">
            <v>PURE</v>
          </cell>
          <cell r="Z362" t="str">
            <v>x</v>
          </cell>
          <cell r="AA362" t="str">
            <v>Customer has already paid the customs fee</v>
          </cell>
        </row>
        <row r="363">
          <cell r="B363" t="str">
            <v>INV06827</v>
          </cell>
          <cell r="E363">
            <v>58.5</v>
          </cell>
          <cell r="F363" t="str">
            <v>871832599803</v>
          </cell>
          <cell r="H363" t="str">
            <v>PURE SLC5</v>
          </cell>
          <cell r="I363" t="str">
            <v>KIPPER</v>
          </cell>
          <cell r="J363" t="str">
            <v>FedEx</v>
          </cell>
          <cell r="K363" t="str">
            <v>VVMV</v>
          </cell>
          <cell r="L363" t="str">
            <v>HN</v>
          </cell>
          <cell r="M363" t="str">
            <v>US</v>
          </cell>
          <cell r="N363">
            <v>46160</v>
          </cell>
          <cell r="O363">
            <v>46160</v>
          </cell>
          <cell r="P363">
            <v>46178</v>
          </cell>
          <cell r="Q363">
            <v>18</v>
          </cell>
          <cell r="R363">
            <v>308532289460</v>
          </cell>
          <cell r="S363">
            <v>46157</v>
          </cell>
          <cell r="T363" t="str">
            <v>No inspection</v>
          </cell>
          <cell r="U363">
            <v>21475.84</v>
          </cell>
          <cell r="V363" t="str">
            <v>NO PAYMENT</v>
          </cell>
          <cell r="W363" t="str">
            <v>No need</v>
          </cell>
          <cell r="X363" t="str">
            <v>FCA</v>
          </cell>
          <cell r="Y363" t="str">
            <v>PURE</v>
          </cell>
          <cell r="Z363" t="str">
            <v>x</v>
          </cell>
          <cell r="AA363" t="str">
            <v>Customer has already paid the customs fee</v>
          </cell>
        </row>
        <row r="364">
          <cell r="B364" t="str">
            <v>INV06828</v>
          </cell>
          <cell r="E364">
            <v>2500.4</v>
          </cell>
          <cell r="F364" t="str">
            <v>SHAN0491666</v>
          </cell>
          <cell r="H364" t="str">
            <v>Lucid Arizona</v>
          </cell>
          <cell r="I364" t="str">
            <v>VCU, FRONT, CABIN, REAR, BCM, DCM</v>
          </cell>
          <cell r="J364" t="str">
            <v>DSV</v>
          </cell>
          <cell r="K364" t="str">
            <v>VVMV</v>
          </cell>
          <cell r="L364" t="str">
            <v>HN</v>
          </cell>
          <cell r="M364" t="str">
            <v>US</v>
          </cell>
          <cell r="N364">
            <v>46164</v>
          </cell>
          <cell r="O364">
            <v>46164</v>
          </cell>
          <cell r="P364" t="str">
            <v>release ngay 11</v>
          </cell>
          <cell r="Q364" t="e">
            <v>#VALUE!</v>
          </cell>
          <cell r="R364">
            <v>308553103850</v>
          </cell>
          <cell r="S364">
            <v>46164</v>
          </cell>
          <cell r="T364" t="str">
            <v>No inspection</v>
          </cell>
          <cell r="U364">
            <v>339139.98</v>
          </cell>
          <cell r="V364" t="str">
            <v>PAYMENT</v>
          </cell>
          <cell r="W364" t="str">
            <v>OK</v>
          </cell>
          <cell r="X364" t="str">
            <v>FCA</v>
          </cell>
          <cell r="Y364" t="str">
            <v>Lucid</v>
          </cell>
          <cell r="Z364" t="str">
            <v>x</v>
          </cell>
          <cell r="AA364" t="str">
            <v>x</v>
          </cell>
        </row>
        <row r="365">
          <cell r="B365" t="str">
            <v>E01083</v>
          </cell>
          <cell r="E365">
            <v>98.2</v>
          </cell>
          <cell r="F365" t="str">
            <v xml:space="preserve">DIM111012787 </v>
          </cell>
          <cell r="H365" t="str">
            <v>Kingston TW</v>
          </cell>
          <cell r="I365" t="str">
            <v>IC</v>
          </cell>
          <cell r="J365" t="str">
            <v>DIMERCO</v>
          </cell>
          <cell r="K365" t="str">
            <v>Dimerco</v>
          </cell>
          <cell r="L365" t="str">
            <v>HN</v>
          </cell>
          <cell r="M365" t="str">
            <v>TW</v>
          </cell>
          <cell r="N365">
            <v>46161</v>
          </cell>
          <cell r="O365">
            <v>46161</v>
          </cell>
          <cell r="P365">
            <v>46164</v>
          </cell>
          <cell r="Q365">
            <v>3</v>
          </cell>
          <cell r="R365">
            <v>308543960931</v>
          </cell>
          <cell r="S365">
            <v>46161</v>
          </cell>
          <cell r="T365" t="str">
            <v>Inspection</v>
          </cell>
          <cell r="U365">
            <v>4254540.4000000004</v>
          </cell>
          <cell r="V365" t="str">
            <v>NO PAYMENT</v>
          </cell>
          <cell r="W365" t="str">
            <v>No need</v>
          </cell>
          <cell r="X365" t="str">
            <v>EXW</v>
          </cell>
          <cell r="Y365" t="str">
            <v>PURE</v>
          </cell>
          <cell r="Z365" t="str">
            <v>x</v>
          </cell>
          <cell r="AA365" t="str">
            <v>x</v>
          </cell>
        </row>
        <row r="366">
          <cell r="B366" t="str">
            <v>INV06829</v>
          </cell>
          <cell r="E366">
            <v>75.3</v>
          </cell>
          <cell r="F366" t="str">
            <v>45T0475035</v>
          </cell>
          <cell r="H366" t="str">
            <v>FTX</v>
          </cell>
          <cell r="I366" t="str">
            <v>PIPER</v>
          </cell>
          <cell r="J366" t="str">
            <v>Expeditors</v>
          </cell>
          <cell r="K366" t="str">
            <v>Expeditors</v>
          </cell>
          <cell r="L366" t="str">
            <v>HN</v>
          </cell>
          <cell r="M366" t="str">
            <v>US</v>
          </cell>
          <cell r="N366">
            <v>46161</v>
          </cell>
          <cell r="O366">
            <v>46161</v>
          </cell>
          <cell r="P366">
            <v>46175</v>
          </cell>
          <cell r="Q366">
            <v>14</v>
          </cell>
          <cell r="R366">
            <v>308545153030</v>
          </cell>
          <cell r="S366">
            <v>46161</v>
          </cell>
          <cell r="T366" t="str">
            <v>No inspection</v>
          </cell>
          <cell r="U366">
            <v>1299848.8500000001</v>
          </cell>
          <cell r="V366" t="str">
            <v>PAYMENT</v>
          </cell>
          <cell r="W366" t="str">
            <v>OK</v>
          </cell>
          <cell r="X366" t="str">
            <v>EXW</v>
          </cell>
          <cell r="Y366" t="str">
            <v>x</v>
          </cell>
          <cell r="Z366" t="str">
            <v>x</v>
          </cell>
          <cell r="AA366" t="str">
            <v>x</v>
          </cell>
        </row>
        <row r="367">
          <cell r="B367" t="str">
            <v>INV06830</v>
          </cell>
          <cell r="E367">
            <v>704.8</v>
          </cell>
          <cell r="F367" t="str">
            <v>SRAF0334358</v>
          </cell>
          <cell r="H367" t="str">
            <v>HELLA</v>
          </cell>
          <cell r="I367" t="str">
            <v>HCU</v>
          </cell>
          <cell r="J367" t="str">
            <v>DSV</v>
          </cell>
          <cell r="K367" t="str">
            <v>VVMV</v>
          </cell>
          <cell r="L367" t="str">
            <v>HN</v>
          </cell>
          <cell r="M367" t="str">
            <v>DE</v>
          </cell>
          <cell r="N367">
            <v>46164</v>
          </cell>
          <cell r="O367">
            <v>46164</v>
          </cell>
          <cell r="P367">
            <v>46171</v>
          </cell>
          <cell r="Q367">
            <v>7</v>
          </cell>
          <cell r="R367">
            <v>308558744930</v>
          </cell>
          <cell r="S367">
            <v>46164</v>
          </cell>
          <cell r="T367" t="str">
            <v>No inspection</v>
          </cell>
          <cell r="U367">
            <v>107700.48</v>
          </cell>
          <cell r="V367" t="str">
            <v>PAYMENT</v>
          </cell>
          <cell r="W367" t="str">
            <v>OK</v>
          </cell>
          <cell r="X367" t="str">
            <v>FCA</v>
          </cell>
          <cell r="Y367" t="str">
            <v>Lucid</v>
          </cell>
          <cell r="Z367" t="str">
            <v>x</v>
          </cell>
          <cell r="AA367" t="str">
            <v>x</v>
          </cell>
        </row>
        <row r="368">
          <cell r="B368" t="str">
            <v>INV06831</v>
          </cell>
          <cell r="E368">
            <v>2672.6</v>
          </cell>
          <cell r="F368" t="str">
            <v>SHAN0492118</v>
          </cell>
          <cell r="H368" t="str">
            <v>Lucid Arizona</v>
          </cell>
          <cell r="I368" t="str">
            <v>VCU, FRONT, CABIN, REAR, BCM,DCM</v>
          </cell>
          <cell r="J368" t="str">
            <v>DSV</v>
          </cell>
          <cell r="K368" t="str">
            <v>VVMV</v>
          </cell>
          <cell r="L368" t="str">
            <v>HN</v>
          </cell>
          <cell r="M368" t="str">
            <v>US</v>
          </cell>
          <cell r="N368">
            <v>46164</v>
          </cell>
          <cell r="O368">
            <v>46164</v>
          </cell>
          <cell r="P368" t="str">
            <v>release ngay 11</v>
          </cell>
          <cell r="Q368" t="e">
            <v>#VALUE!</v>
          </cell>
          <cell r="R368">
            <v>308556955730</v>
          </cell>
          <cell r="S368">
            <v>46164</v>
          </cell>
          <cell r="T368" t="str">
            <v>No inspection</v>
          </cell>
          <cell r="U368">
            <v>346640.64000000001</v>
          </cell>
          <cell r="V368" t="str">
            <v>PAYMENT</v>
          </cell>
          <cell r="W368" t="str">
            <v>OK</v>
          </cell>
          <cell r="X368" t="str">
            <v>FCA</v>
          </cell>
          <cell r="Y368" t="str">
            <v>Lucid</v>
          </cell>
          <cell r="Z368" t="str">
            <v>x</v>
          </cell>
          <cell r="AA368" t="str">
            <v>x</v>
          </cell>
        </row>
        <row r="369">
          <cell r="B369" t="str">
            <v>Sample 753</v>
          </cell>
          <cell r="E369">
            <v>0.3</v>
          </cell>
          <cell r="F369" t="str">
            <v>2869707912</v>
          </cell>
          <cell r="H369" t="str">
            <v>HQ1</v>
          </cell>
          <cell r="I369" t="str">
            <v>label</v>
          </cell>
          <cell r="J369" t="str">
            <v>DHL</v>
          </cell>
          <cell r="K369" t="str">
            <v>x</v>
          </cell>
          <cell r="L369" t="str">
            <v>HN</v>
          </cell>
          <cell r="M369" t="str">
            <v>US</v>
          </cell>
          <cell r="N369">
            <v>46163</v>
          </cell>
          <cell r="O369">
            <v>46163</v>
          </cell>
          <cell r="P369">
            <v>46169</v>
          </cell>
          <cell r="Q369">
            <v>6</v>
          </cell>
          <cell r="R369" t="str">
            <v>x</v>
          </cell>
          <cell r="S369" t="str">
            <v>x</v>
          </cell>
          <cell r="T369" t="str">
            <v>x</v>
          </cell>
          <cell r="U369">
            <v>26.54</v>
          </cell>
          <cell r="V369" t="str">
            <v>NO PAYMENT</v>
          </cell>
          <cell r="W369" t="str">
            <v>No need</v>
          </cell>
          <cell r="X369" t="str">
            <v>DAP</v>
          </cell>
          <cell r="Y369" t="str">
            <v>PURE</v>
          </cell>
          <cell r="Z369" t="str">
            <v>Ship material</v>
          </cell>
          <cell r="AA369" t="str">
            <v>charge 300 usd freight &amp; customs fee to customer (buyer Ivy inform Joanne Ong)</v>
          </cell>
        </row>
        <row r="370">
          <cell r="B370" t="str">
            <v>E01084</v>
          </cell>
          <cell r="E370">
            <v>61.7</v>
          </cell>
          <cell r="F370" t="str">
            <v>45T0476978</v>
          </cell>
          <cell r="H370" t="str">
            <v>Arrow</v>
          </cell>
          <cell r="J370" t="str">
            <v>Expeditors</v>
          </cell>
          <cell r="K370" t="str">
            <v>Expeditors</v>
          </cell>
          <cell r="L370" t="str">
            <v>HN</v>
          </cell>
          <cell r="M370" t="str">
            <v>MX</v>
          </cell>
          <cell r="N370">
            <v>46170</v>
          </cell>
          <cell r="O370">
            <v>46170</v>
          </cell>
          <cell r="P370">
            <v>46181</v>
          </cell>
          <cell r="Q370">
            <v>11</v>
          </cell>
          <cell r="R370">
            <v>308570208721</v>
          </cell>
          <cell r="S370">
            <v>46168</v>
          </cell>
          <cell r="T370" t="str">
            <v>Inspection</v>
          </cell>
          <cell r="U370">
            <v>7488</v>
          </cell>
          <cell r="V370" t="str">
            <v>NO PAYMENT</v>
          </cell>
          <cell r="W370" t="str">
            <v>No need</v>
          </cell>
          <cell r="X370" t="str">
            <v>EXW</v>
          </cell>
          <cell r="Y370" t="str">
            <v>x</v>
          </cell>
          <cell r="Z370" t="str">
            <v>x</v>
          </cell>
          <cell r="AA370" t="str">
            <v>x</v>
          </cell>
        </row>
        <row r="371">
          <cell r="B371" t="str">
            <v>INV06832</v>
          </cell>
          <cell r="E371">
            <v>734.3</v>
          </cell>
          <cell r="F371" t="str">
            <v>45T0475805</v>
          </cell>
          <cell r="H371" t="str">
            <v>FTX</v>
          </cell>
          <cell r="I371" t="str">
            <v>HOPPER, GROVER, PIPER</v>
          </cell>
          <cell r="J371" t="str">
            <v>Expeditors</v>
          </cell>
          <cell r="K371" t="str">
            <v>Expeditors</v>
          </cell>
          <cell r="L371" t="str">
            <v>HN</v>
          </cell>
          <cell r="M371" t="str">
            <v>US</v>
          </cell>
          <cell r="N371">
            <v>46164</v>
          </cell>
          <cell r="O371">
            <v>46164</v>
          </cell>
          <cell r="P371">
            <v>46175</v>
          </cell>
          <cell r="Q371">
            <v>11</v>
          </cell>
          <cell r="R371">
            <v>308558476460</v>
          </cell>
          <cell r="S371">
            <v>46164</v>
          </cell>
          <cell r="T371" t="str">
            <v>No inspection</v>
          </cell>
          <cell r="U371">
            <v>2813575.04</v>
          </cell>
          <cell r="V371" t="str">
            <v>PAYMENT</v>
          </cell>
          <cell r="W371" t="str">
            <v>OK</v>
          </cell>
          <cell r="X371" t="str">
            <v>EXW</v>
          </cell>
          <cell r="Y371" t="str">
            <v>x</v>
          </cell>
          <cell r="Z371" t="str">
            <v>x</v>
          </cell>
          <cell r="AA371" t="str">
            <v>x</v>
          </cell>
        </row>
        <row r="372">
          <cell r="B372" t="str">
            <v>INV06833</v>
          </cell>
          <cell r="E372">
            <v>470.2</v>
          </cell>
          <cell r="F372" t="str">
            <v>HAN26001610</v>
          </cell>
          <cell r="H372" t="str">
            <v>FCZ</v>
          </cell>
          <cell r="I372" t="str">
            <v>HOPPER, GROVER</v>
          </cell>
          <cell r="J372" t="str">
            <v>Schenker</v>
          </cell>
          <cell r="K372" t="str">
            <v>Schenker</v>
          </cell>
          <cell r="L372" t="str">
            <v>HN</v>
          </cell>
          <cell r="M372" t="str">
            <v>CZ</v>
          </cell>
          <cell r="N372">
            <v>46164</v>
          </cell>
          <cell r="O372">
            <v>46164</v>
          </cell>
          <cell r="P372">
            <v>46174</v>
          </cell>
          <cell r="Q372">
            <v>10</v>
          </cell>
          <cell r="R372">
            <v>308558281860</v>
          </cell>
          <cell r="S372">
            <v>46164</v>
          </cell>
          <cell r="T372" t="str">
            <v>No inspection</v>
          </cell>
          <cell r="U372">
            <v>821415.39</v>
          </cell>
          <cell r="V372" t="str">
            <v>PAYMENT</v>
          </cell>
          <cell r="W372" t="str">
            <v>OK</v>
          </cell>
          <cell r="X372" t="str">
            <v>EXW</v>
          </cell>
          <cell r="Y372" t="str">
            <v>x</v>
          </cell>
          <cell r="Z372" t="str">
            <v>x</v>
          </cell>
          <cell r="AA372" t="str">
            <v>x</v>
          </cell>
        </row>
        <row r="373">
          <cell r="B373" t="str">
            <v>INV06834</v>
          </cell>
          <cell r="E373">
            <v>8.4</v>
          </cell>
          <cell r="F373" t="str">
            <v>872176809111</v>
          </cell>
          <cell r="H373" t="str">
            <v>PURE</v>
          </cell>
          <cell r="I373" t="str">
            <v>SSD</v>
          </cell>
          <cell r="J373" t="str">
            <v>FedEx</v>
          </cell>
          <cell r="K373" t="str">
            <v>VVMV</v>
          </cell>
          <cell r="L373" t="str">
            <v>HN</v>
          </cell>
          <cell r="M373" t="str">
            <v>US</v>
          </cell>
          <cell r="N373">
            <v>46167</v>
          </cell>
          <cell r="O373">
            <v>46167</v>
          </cell>
          <cell r="P373">
            <v>46175</v>
          </cell>
          <cell r="Q373">
            <v>8</v>
          </cell>
          <cell r="R373">
            <v>308555319020</v>
          </cell>
          <cell r="S373">
            <v>46164</v>
          </cell>
          <cell r="T373" t="str">
            <v>No inspection</v>
          </cell>
          <cell r="U373">
            <v>484.72</v>
          </cell>
          <cell r="V373" t="str">
            <v>NO PAYMENT</v>
          </cell>
          <cell r="W373" t="str">
            <v>No need</v>
          </cell>
          <cell r="X373" t="str">
            <v>FCA</v>
          </cell>
          <cell r="Y373" t="str">
            <v>PURE</v>
          </cell>
          <cell r="Z373" t="str">
            <v>x</v>
          </cell>
          <cell r="AA373" t="str">
            <v>Customer has already paid the customs fee</v>
          </cell>
        </row>
        <row r="374">
          <cell r="B374" t="str">
            <v>INV06835</v>
          </cell>
          <cell r="E374">
            <v>143.30000000000001</v>
          </cell>
          <cell r="F374" t="str">
            <v>2846211896</v>
          </cell>
          <cell r="H374" t="str">
            <v>AVNET</v>
          </cell>
          <cell r="I374" t="str">
            <v>PCBA</v>
          </cell>
          <cell r="J374" t="str">
            <v>DHL</v>
          </cell>
          <cell r="K374" t="str">
            <v>VVMV</v>
          </cell>
          <cell r="L374" t="str">
            <v>HN</v>
          </cell>
          <cell r="M374" t="str">
            <v>US</v>
          </cell>
          <cell r="N374">
            <v>46168</v>
          </cell>
          <cell r="O374">
            <v>46168</v>
          </cell>
          <cell r="P374">
            <v>46174</v>
          </cell>
          <cell r="Q374">
            <v>6</v>
          </cell>
          <cell r="R374">
            <v>308556901500</v>
          </cell>
          <cell r="S374">
            <v>46168</v>
          </cell>
          <cell r="T374" t="str">
            <v>No inspection</v>
          </cell>
          <cell r="U374">
            <v>155664.95000000001</v>
          </cell>
          <cell r="V374" t="str">
            <v>PAYMENT</v>
          </cell>
          <cell r="W374" t="str">
            <v>OK</v>
          </cell>
          <cell r="X374" t="str">
            <v>FCA</v>
          </cell>
          <cell r="Y374" t="str">
            <v>EFI</v>
          </cell>
          <cell r="Z374" t="str">
            <v>x</v>
          </cell>
          <cell r="AA374" t="str">
            <v>x</v>
          </cell>
        </row>
        <row r="375">
          <cell r="B375" t="str">
            <v>INV06836</v>
          </cell>
          <cell r="E375">
            <v>334.7</v>
          </cell>
          <cell r="F375" t="str">
            <v>HAN26001665</v>
          </cell>
          <cell r="H375" t="str">
            <v>FCZ</v>
          </cell>
          <cell r="I375" t="str">
            <v>HOPPER, GROVER</v>
          </cell>
          <cell r="J375" t="str">
            <v>Schenker</v>
          </cell>
          <cell r="K375" t="str">
            <v>Schenker</v>
          </cell>
          <cell r="L375" t="str">
            <v>HN</v>
          </cell>
          <cell r="M375" t="str">
            <v>CZ</v>
          </cell>
          <cell r="N375">
            <v>46164</v>
          </cell>
          <cell r="O375">
            <v>46164</v>
          </cell>
          <cell r="P375">
            <v>46174</v>
          </cell>
          <cell r="Q375">
            <v>10</v>
          </cell>
          <cell r="R375">
            <v>308558217830</v>
          </cell>
          <cell r="S375">
            <v>46164</v>
          </cell>
          <cell r="T375" t="str">
            <v>No inspection</v>
          </cell>
          <cell r="U375">
            <v>510057.6</v>
          </cell>
          <cell r="V375" t="str">
            <v>PAYMENT</v>
          </cell>
          <cell r="W375" t="str">
            <v>OK</v>
          </cell>
          <cell r="X375" t="str">
            <v>EXW</v>
          </cell>
          <cell r="Y375" t="str">
            <v>x</v>
          </cell>
          <cell r="Z375" t="str">
            <v>x</v>
          </cell>
          <cell r="AA375" t="str">
            <v>x</v>
          </cell>
        </row>
        <row r="376">
          <cell r="B376" t="str">
            <v>INV06837</v>
          </cell>
          <cell r="E376">
            <v>262.39999999999998</v>
          </cell>
          <cell r="F376" t="str">
            <v>HAN26001666</v>
          </cell>
          <cell r="H376" t="str">
            <v>FCZ</v>
          </cell>
          <cell r="I376" t="str">
            <v>GROVER</v>
          </cell>
          <cell r="J376" t="str">
            <v>Schenker</v>
          </cell>
          <cell r="K376" t="str">
            <v>Schenker</v>
          </cell>
          <cell r="L376" t="str">
            <v>HN</v>
          </cell>
          <cell r="M376" t="str">
            <v>CZ</v>
          </cell>
          <cell r="N376">
            <v>46164</v>
          </cell>
          <cell r="O376">
            <v>46164</v>
          </cell>
          <cell r="P376">
            <v>46174</v>
          </cell>
          <cell r="Q376">
            <v>10</v>
          </cell>
          <cell r="R376">
            <v>308558337860</v>
          </cell>
          <cell r="S376">
            <v>46164</v>
          </cell>
          <cell r="T376" t="str">
            <v>No inspection</v>
          </cell>
          <cell r="U376">
            <v>517239.8</v>
          </cell>
          <cell r="V376" t="str">
            <v>PAYMENT</v>
          </cell>
          <cell r="W376" t="str">
            <v>OK</v>
          </cell>
          <cell r="X376" t="str">
            <v>EXW</v>
          </cell>
          <cell r="Y376" t="str">
            <v>x</v>
          </cell>
          <cell r="Z376" t="str">
            <v>x</v>
          </cell>
          <cell r="AA376" t="str">
            <v>x</v>
          </cell>
        </row>
        <row r="377">
          <cell r="B377" t="str">
            <v>INV06838</v>
          </cell>
          <cell r="E377">
            <v>511</v>
          </cell>
          <cell r="F377" t="str">
            <v>HBL2606001</v>
          </cell>
          <cell r="H377" t="str">
            <v>DAA</v>
          </cell>
          <cell r="I377" t="str">
            <v>USB</v>
          </cell>
          <cell r="J377" t="str">
            <v>Prime</v>
          </cell>
          <cell r="K377" t="str">
            <v>Prime</v>
          </cell>
          <cell r="L377" t="str">
            <v>HN</v>
          </cell>
          <cell r="M377" t="str">
            <v>MX</v>
          </cell>
          <cell r="N377">
            <v>46171</v>
          </cell>
          <cell r="O377">
            <v>46171</v>
          </cell>
          <cell r="P377" t="str">
            <v>depart ngay 08/06</v>
          </cell>
          <cell r="Q377" t="e">
            <v>#VALUE!</v>
          </cell>
          <cell r="R377">
            <v>308580678620</v>
          </cell>
          <cell r="S377">
            <v>46170</v>
          </cell>
          <cell r="T377" t="str">
            <v>No inspection</v>
          </cell>
          <cell r="U377">
            <v>57919.68</v>
          </cell>
          <cell r="V377" t="str">
            <v>PAYMENT</v>
          </cell>
          <cell r="W377" t="str">
            <v>Ok</v>
          </cell>
          <cell r="X377" t="str">
            <v>EXW</v>
          </cell>
          <cell r="Y377" t="str">
            <v>x</v>
          </cell>
          <cell r="Z377" t="str">
            <v>x</v>
          </cell>
          <cell r="AA377" t="str">
            <v>x</v>
          </cell>
        </row>
        <row r="378">
          <cell r="B378" t="str">
            <v>E01085</v>
          </cell>
          <cell r="E378">
            <v>8.1</v>
          </cell>
          <cell r="F378" t="str">
            <v>872064816080</v>
          </cell>
          <cell r="H378" t="str">
            <v>Unigen MY</v>
          </cell>
          <cell r="I378" t="str">
            <v>Material</v>
          </cell>
          <cell r="J378" t="str">
            <v>FedEx</v>
          </cell>
          <cell r="K378" t="str">
            <v>VVMV</v>
          </cell>
          <cell r="L378" t="str">
            <v>HN</v>
          </cell>
          <cell r="M378" t="str">
            <v>MY</v>
          </cell>
          <cell r="N378">
            <v>46164</v>
          </cell>
          <cell r="O378">
            <v>46164</v>
          </cell>
          <cell r="P378">
            <v>46168</v>
          </cell>
          <cell r="Q378">
            <v>4</v>
          </cell>
          <cell r="R378">
            <v>308554485761</v>
          </cell>
          <cell r="S378">
            <v>46163</v>
          </cell>
          <cell r="T378" t="str">
            <v>Inspection</v>
          </cell>
          <cell r="U378">
            <v>656.66</v>
          </cell>
          <cell r="V378" t="str">
            <v>NO PAYMENT</v>
          </cell>
          <cell r="W378" t="str">
            <v>No need</v>
          </cell>
          <cell r="X378" t="str">
            <v>FCA</v>
          </cell>
          <cell r="Y378" t="str">
            <v>Transfer</v>
          </cell>
          <cell r="Z378" t="str">
            <v>x</v>
          </cell>
          <cell r="AA378" t="str">
            <v>x</v>
          </cell>
        </row>
        <row r="379">
          <cell r="B379" t="str">
            <v>INV06839</v>
          </cell>
          <cell r="E379">
            <v>1581.6</v>
          </cell>
          <cell r="F379" t="str">
            <v>SHAN0492876</v>
          </cell>
          <cell r="H379" t="str">
            <v>Lucid Arizona</v>
          </cell>
          <cell r="I379" t="str">
            <v>FRONT, CABIN, REAR, DCM</v>
          </cell>
          <cell r="J379" t="str">
            <v>DSV</v>
          </cell>
          <cell r="K379" t="str">
            <v>VVMV</v>
          </cell>
          <cell r="L379" t="str">
            <v>HN</v>
          </cell>
          <cell r="M379" t="str">
            <v>US</v>
          </cell>
          <cell r="N379">
            <v>46175</v>
          </cell>
          <cell r="O379">
            <v>46175</v>
          </cell>
          <cell r="P379" t="str">
            <v>arrived CN ngay 07</v>
          </cell>
          <cell r="Q379" t="e">
            <v>#VALUE!</v>
          </cell>
          <cell r="R379">
            <v>308595999740</v>
          </cell>
          <cell r="S379">
            <v>46175</v>
          </cell>
          <cell r="T379" t="str">
            <v>No inspection</v>
          </cell>
          <cell r="U379">
            <v>202900.56</v>
          </cell>
          <cell r="V379" t="str">
            <v>PAYMENT</v>
          </cell>
          <cell r="W379" t="str">
            <v>OK</v>
          </cell>
          <cell r="X379" t="str">
            <v>FCA</v>
          </cell>
          <cell r="Y379" t="str">
            <v>Lucid</v>
          </cell>
          <cell r="Z379" t="str">
            <v>x</v>
          </cell>
          <cell r="AA379" t="str">
            <v>x</v>
          </cell>
        </row>
        <row r="380">
          <cell r="B380" t="str">
            <v>INV06840</v>
          </cell>
          <cell r="E380">
            <v>344.4</v>
          </cell>
          <cell r="F380" t="str">
            <v>SRAF0345144</v>
          </cell>
          <cell r="H380" t="str">
            <v>HELLA</v>
          </cell>
          <cell r="I380" t="str">
            <v>HCU</v>
          </cell>
          <cell r="J380" t="str">
            <v>DSV</v>
          </cell>
          <cell r="K380" t="str">
            <v>VVMV</v>
          </cell>
          <cell r="L380" t="str">
            <v>HN</v>
          </cell>
          <cell r="M380" t="str">
            <v>DE</v>
          </cell>
          <cell r="N380">
            <v>46171</v>
          </cell>
          <cell r="O380">
            <v>46171</v>
          </cell>
          <cell r="P380">
            <v>46181</v>
          </cell>
          <cell r="Q380">
            <v>10</v>
          </cell>
          <cell r="R380">
            <v>308585802140</v>
          </cell>
          <cell r="S380">
            <v>46171</v>
          </cell>
          <cell r="T380" t="str">
            <v>No inspection</v>
          </cell>
          <cell r="U380">
            <v>53850.239999999998</v>
          </cell>
          <cell r="V380" t="str">
            <v>PAYMENT</v>
          </cell>
          <cell r="W380" t="str">
            <v>OK</v>
          </cell>
          <cell r="X380" t="str">
            <v>FCA</v>
          </cell>
          <cell r="Y380" t="str">
            <v>Lucid</v>
          </cell>
          <cell r="Z380" t="str">
            <v>x</v>
          </cell>
          <cell r="AA380" t="str">
            <v>x</v>
          </cell>
        </row>
        <row r="381">
          <cell r="B381" t="str">
            <v>Sample 754</v>
          </cell>
          <cell r="E381">
            <v>9.1999999999999998E-2</v>
          </cell>
          <cell r="F381" t="str">
            <v>872266860800</v>
          </cell>
          <cell r="H381" t="str">
            <v>PURE US</v>
          </cell>
          <cell r="I381" t="str">
            <v>IC</v>
          </cell>
          <cell r="J381" t="str">
            <v>FedEx</v>
          </cell>
          <cell r="K381" t="str">
            <v>X</v>
          </cell>
          <cell r="L381" t="str">
            <v>HN</v>
          </cell>
          <cell r="M381" t="str">
            <v>US</v>
          </cell>
          <cell r="N381">
            <v>46169</v>
          </cell>
          <cell r="O381">
            <v>46169</v>
          </cell>
          <cell r="P381">
            <v>46174</v>
          </cell>
          <cell r="Q381">
            <v>5</v>
          </cell>
          <cell r="R381" t="str">
            <v>x</v>
          </cell>
          <cell r="S381" t="str">
            <v>x</v>
          </cell>
          <cell r="T381" t="str">
            <v>x</v>
          </cell>
          <cell r="U381">
            <v>1</v>
          </cell>
          <cell r="V381" t="str">
            <v>NO PAYMENT</v>
          </cell>
          <cell r="W381" t="str">
            <v>No need</v>
          </cell>
          <cell r="X381" t="str">
            <v>DAP</v>
          </cell>
          <cell r="Y381" t="str">
            <v>PURE</v>
          </cell>
          <cell r="Z381" t="str">
            <v>Ship QA's sample for evaluation</v>
          </cell>
          <cell r="AA381" t="str">
            <v>x</v>
          </cell>
        </row>
        <row r="382">
          <cell r="B382" t="str">
            <v>INV06841</v>
          </cell>
          <cell r="E382">
            <v>8.5</v>
          </cell>
          <cell r="F382" t="str">
            <v>872294130863</v>
          </cell>
          <cell r="H382" t="str">
            <v>Lucid HQ</v>
          </cell>
          <cell r="I382" t="str">
            <v>CCCV2</v>
          </cell>
          <cell r="J382" t="str">
            <v>FedEx</v>
          </cell>
          <cell r="K382" t="str">
            <v>VVMV</v>
          </cell>
          <cell r="L382" t="str">
            <v>HN</v>
          </cell>
          <cell r="M382" t="str">
            <v>US</v>
          </cell>
          <cell r="N382">
            <v>46170</v>
          </cell>
          <cell r="O382">
            <v>46170</v>
          </cell>
          <cell r="P382">
            <v>46174</v>
          </cell>
          <cell r="Q382">
            <v>4</v>
          </cell>
          <cell r="R382">
            <v>308579461320</v>
          </cell>
          <cell r="S382">
            <v>46170</v>
          </cell>
          <cell r="T382" t="str">
            <v>No inspection</v>
          </cell>
          <cell r="U382">
            <v>5111.04</v>
          </cell>
          <cell r="V382" t="str">
            <v>PAYMENT</v>
          </cell>
          <cell r="W382" t="str">
            <v>OK</v>
          </cell>
          <cell r="X382" t="str">
            <v>FCA</v>
          </cell>
          <cell r="Y382" t="str">
            <v>Lucid</v>
          </cell>
          <cell r="Z382" t="str">
            <v>x</v>
          </cell>
          <cell r="AA382" t="str">
            <v>x</v>
          </cell>
        </row>
        <row r="383">
          <cell r="B383" t="str">
            <v>INV06842</v>
          </cell>
          <cell r="E383">
            <v>5.6</v>
          </cell>
          <cell r="F383" t="str">
            <v>5377659383</v>
          </cell>
          <cell r="H383" t="str">
            <v>HQ1</v>
          </cell>
          <cell r="I383" t="str">
            <v>SSD</v>
          </cell>
          <cell r="J383" t="str">
            <v>DHL</v>
          </cell>
          <cell r="K383" t="str">
            <v>VVMV</v>
          </cell>
          <cell r="L383" t="str">
            <v>HN</v>
          </cell>
          <cell r="M383" t="str">
            <v>US</v>
          </cell>
          <cell r="N383">
            <v>46169</v>
          </cell>
          <cell r="O383">
            <v>46169</v>
          </cell>
          <cell r="P383">
            <v>46174</v>
          </cell>
          <cell r="Q383">
            <v>5</v>
          </cell>
          <cell r="R383">
            <v>308574827100</v>
          </cell>
          <cell r="S383">
            <v>46169</v>
          </cell>
          <cell r="T383" t="str">
            <v>No inspection</v>
          </cell>
          <cell r="U383">
            <v>14250.51</v>
          </cell>
          <cell r="V383" t="str">
            <v>NO PAYMENT</v>
          </cell>
          <cell r="W383" t="str">
            <v>No need</v>
          </cell>
          <cell r="X383" t="str">
            <v>DAP</v>
          </cell>
          <cell r="Y383" t="str">
            <v>Transfer</v>
          </cell>
          <cell r="Z383" t="str">
            <v>Transfer FG</v>
          </cell>
          <cell r="AA383" t="str">
            <v>x</v>
          </cell>
        </row>
        <row r="384">
          <cell r="B384" t="str">
            <v>INV06843</v>
          </cell>
          <cell r="E384">
            <v>6.6</v>
          </cell>
          <cell r="F384" t="str">
            <v>3379555572</v>
          </cell>
          <cell r="H384" t="str">
            <v>AVNET US</v>
          </cell>
          <cell r="I384" t="str">
            <v>PCBA</v>
          </cell>
          <cell r="J384" t="str">
            <v>DHL</v>
          </cell>
          <cell r="K384" t="str">
            <v>VVMV</v>
          </cell>
          <cell r="L384" t="str">
            <v>HN</v>
          </cell>
          <cell r="M384" t="str">
            <v>US</v>
          </cell>
          <cell r="N384">
            <v>46169</v>
          </cell>
          <cell r="O384">
            <v>46169</v>
          </cell>
          <cell r="P384">
            <v>46174</v>
          </cell>
          <cell r="Q384">
            <v>5</v>
          </cell>
          <cell r="R384">
            <v>308575442360</v>
          </cell>
          <cell r="S384">
            <v>46169</v>
          </cell>
          <cell r="T384" t="str">
            <v>No inspection</v>
          </cell>
          <cell r="U384">
            <v>11455.45</v>
          </cell>
          <cell r="V384" t="str">
            <v>PAYMENT</v>
          </cell>
          <cell r="W384" t="str">
            <v>ok</v>
          </cell>
          <cell r="X384" t="str">
            <v>FCA</v>
          </cell>
          <cell r="Y384" t="str">
            <v>EFI</v>
          </cell>
          <cell r="Z384" t="str">
            <v>x</v>
          </cell>
          <cell r="AA384" t="str">
            <v>x</v>
          </cell>
        </row>
        <row r="385">
          <cell r="B385" t="str">
            <v>INV06844</v>
          </cell>
          <cell r="E385">
            <v>1537.2</v>
          </cell>
          <cell r="F385" t="str">
            <v>SHAN0493323</v>
          </cell>
          <cell r="H385" t="str">
            <v>Lucid Arizona</v>
          </cell>
          <cell r="I385" t="str">
            <v>VCU, FRONT, CABIN, REAR, DCM, BCM</v>
          </cell>
          <cell r="J385" t="str">
            <v>DSV</v>
          </cell>
          <cell r="K385" t="str">
            <v>VVMV</v>
          </cell>
          <cell r="L385" t="str">
            <v>HN</v>
          </cell>
          <cell r="M385" t="str">
            <v>US</v>
          </cell>
          <cell r="N385">
            <v>46181</v>
          </cell>
          <cell r="O385">
            <v>46181</v>
          </cell>
          <cell r="P385" t="str">
            <v>arrived CN ngay 17</v>
          </cell>
          <cell r="Q385" t="e">
            <v>#VALUE!</v>
          </cell>
          <cell r="R385">
            <v>308613998620</v>
          </cell>
          <cell r="S385">
            <v>46181</v>
          </cell>
          <cell r="T385" t="str">
            <v>No inspection</v>
          </cell>
          <cell r="U385">
            <v>229650.48</v>
          </cell>
          <cell r="V385" t="str">
            <v>PAYMENT</v>
          </cell>
          <cell r="W385" t="str">
            <v>OK</v>
          </cell>
          <cell r="X385" t="str">
            <v>FCA</v>
          </cell>
          <cell r="Y385" t="str">
            <v>Lucid</v>
          </cell>
          <cell r="Z385" t="str">
            <v>x</v>
          </cell>
          <cell r="AA385" t="str">
            <v>x</v>
          </cell>
        </row>
        <row r="386">
          <cell r="B386" t="str">
            <v>E01086</v>
          </cell>
          <cell r="E386">
            <v>1.4</v>
          </cell>
          <cell r="F386" t="str">
            <v>7958647502</v>
          </cell>
          <cell r="H386" t="str">
            <v>SIFO</v>
          </cell>
          <cell r="I386" t="str">
            <v>Sample board</v>
          </cell>
          <cell r="J386" t="str">
            <v>DHL</v>
          </cell>
          <cell r="K386" t="str">
            <v>x</v>
          </cell>
          <cell r="L386" t="str">
            <v>HN</v>
          </cell>
          <cell r="M386" t="str">
            <v>CN</v>
          </cell>
          <cell r="N386">
            <v>46170</v>
          </cell>
          <cell r="O386">
            <v>46170</v>
          </cell>
          <cell r="P386">
            <v>46175</v>
          </cell>
          <cell r="Q386">
            <v>5</v>
          </cell>
          <cell r="R386" t="str">
            <v>x</v>
          </cell>
          <cell r="S386" t="str">
            <v>x</v>
          </cell>
          <cell r="T386" t="str">
            <v>x</v>
          </cell>
          <cell r="U386">
            <v>34.909999999999997</v>
          </cell>
          <cell r="V386" t="str">
            <v>NO PAYMENT</v>
          </cell>
          <cell r="W386" t="str">
            <v>No need</v>
          </cell>
          <cell r="X386" t="str">
            <v>DAP</v>
          </cell>
          <cell r="Y386" t="str">
            <v>Ford</v>
          </cell>
          <cell r="Z386" t="str">
            <v>Ship MTE's sample board</v>
          </cell>
          <cell r="AA386" t="str">
            <v>x</v>
          </cell>
        </row>
        <row r="387">
          <cell r="B387" t="str">
            <v>INV06845</v>
          </cell>
          <cell r="E387">
            <v>55.1</v>
          </cell>
          <cell r="F387" t="str">
            <v>45T0477144</v>
          </cell>
          <cell r="H387" t="str">
            <v>PURE UPS</v>
          </cell>
          <cell r="I387" t="str">
            <v>FRU</v>
          </cell>
          <cell r="J387" t="str">
            <v>Expeditors</v>
          </cell>
          <cell r="K387" t="str">
            <v>Expeditors</v>
          </cell>
          <cell r="L387" t="str">
            <v>HN</v>
          </cell>
          <cell r="M387" t="str">
            <v>US</v>
          </cell>
          <cell r="N387">
            <v>46170</v>
          </cell>
          <cell r="O387">
            <v>46170</v>
          </cell>
          <cell r="P387">
            <v>46181</v>
          </cell>
          <cell r="Q387">
            <v>11</v>
          </cell>
          <cell r="R387">
            <v>308580163860</v>
          </cell>
          <cell r="S387">
            <v>46170</v>
          </cell>
          <cell r="T387" t="str">
            <v>No inspection</v>
          </cell>
          <cell r="U387">
            <v>98529.16</v>
          </cell>
          <cell r="V387" t="str">
            <v>PAYMENT</v>
          </cell>
          <cell r="W387" t="str">
            <v>OK</v>
          </cell>
          <cell r="X387" t="str">
            <v>EXW</v>
          </cell>
          <cell r="Y387" t="str">
            <v>x</v>
          </cell>
          <cell r="Z387" t="str">
            <v>x</v>
          </cell>
          <cell r="AA387" t="str">
            <v>x</v>
          </cell>
        </row>
        <row r="388">
          <cell r="B388" t="str">
            <v>INV06846</v>
          </cell>
          <cell r="E388">
            <v>10.8</v>
          </cell>
          <cell r="F388" t="str">
            <v>872317804815</v>
          </cell>
          <cell r="H388" t="str">
            <v>Jabil MX</v>
          </cell>
          <cell r="I388" t="str">
            <v>HLOB</v>
          </cell>
          <cell r="J388" t="str">
            <v>FedEx</v>
          </cell>
          <cell r="K388" t="str">
            <v>VVMV</v>
          </cell>
          <cell r="L388" t="str">
            <v>HN</v>
          </cell>
          <cell r="M388" t="str">
            <v>MX</v>
          </cell>
          <cell r="N388">
            <v>46170</v>
          </cell>
          <cell r="O388">
            <v>46170</v>
          </cell>
          <cell r="P388">
            <v>46174</v>
          </cell>
          <cell r="Q388">
            <v>4</v>
          </cell>
          <cell r="R388" t="str">
            <v>308577664641
308577690911</v>
          </cell>
          <cell r="S388">
            <v>46170</v>
          </cell>
          <cell r="T388" t="str">
            <v>Inspection</v>
          </cell>
          <cell r="U388">
            <v>12971.7</v>
          </cell>
          <cell r="V388" t="str">
            <v>NO PAYMENT</v>
          </cell>
          <cell r="W388" t="str">
            <v>No need</v>
          </cell>
          <cell r="X388" t="str">
            <v>FCA</v>
          </cell>
          <cell r="Y388" t="str">
            <v>PURE</v>
          </cell>
          <cell r="Z388" t="str">
            <v>x</v>
          </cell>
          <cell r="AA388" t="str">
            <v>x</v>
          </cell>
        </row>
        <row r="389">
          <cell r="B389" t="str">
            <v>INV06847</v>
          </cell>
          <cell r="E389">
            <v>87</v>
          </cell>
          <cell r="F389" t="str">
            <v>872630187531</v>
          </cell>
          <cell r="H389" t="str">
            <v>Jabil MX</v>
          </cell>
          <cell r="I389" t="str">
            <v>HLOB</v>
          </cell>
          <cell r="J389" t="str">
            <v>FedEx</v>
          </cell>
          <cell r="K389" t="str">
            <v>VVMV</v>
          </cell>
          <cell r="L389" t="str">
            <v>HN</v>
          </cell>
          <cell r="M389" t="str">
            <v>MX</v>
          </cell>
          <cell r="N389">
            <v>46177</v>
          </cell>
          <cell r="O389">
            <v>46177</v>
          </cell>
          <cell r="P389">
            <v>46182</v>
          </cell>
          <cell r="Q389">
            <v>5</v>
          </cell>
          <cell r="R389">
            <v>308604587120</v>
          </cell>
          <cell r="S389">
            <v>46177</v>
          </cell>
          <cell r="T389" t="str">
            <v>No inspection</v>
          </cell>
          <cell r="U389">
            <v>1033780.8</v>
          </cell>
          <cell r="V389" t="str">
            <v>PAYMENT</v>
          </cell>
          <cell r="W389" t="str">
            <v>OK</v>
          </cell>
          <cell r="X389" t="str">
            <v>FCA</v>
          </cell>
          <cell r="Y389" t="str">
            <v>PURE</v>
          </cell>
          <cell r="Z389" t="str">
            <v>x</v>
          </cell>
          <cell r="AA389" t="str">
            <v>x</v>
          </cell>
        </row>
        <row r="390">
          <cell r="B390" t="str">
            <v>INV06848</v>
          </cell>
          <cell r="E390">
            <v>1240.5999999999999</v>
          </cell>
          <cell r="F390" t="str">
            <v>45T0477526</v>
          </cell>
          <cell r="H390" t="str">
            <v>FTX</v>
          </cell>
          <cell r="I390" t="str">
            <v>Hopper, grover, Icer</v>
          </cell>
          <cell r="J390" t="str">
            <v>Expeditors</v>
          </cell>
          <cell r="K390" t="str">
            <v>Expeditors</v>
          </cell>
          <cell r="L390" t="str">
            <v>HN</v>
          </cell>
          <cell r="M390" t="str">
            <v>US</v>
          </cell>
          <cell r="N390">
            <v>46171</v>
          </cell>
          <cell r="O390">
            <v>46171</v>
          </cell>
          <cell r="P390">
            <v>46182</v>
          </cell>
          <cell r="Q390">
            <v>11</v>
          </cell>
          <cell r="R390">
            <v>308584507140</v>
          </cell>
          <cell r="S390">
            <v>46171</v>
          </cell>
          <cell r="T390" t="str">
            <v>No inspection</v>
          </cell>
          <cell r="U390">
            <v>5568729.5199999996</v>
          </cell>
          <cell r="V390" t="str">
            <v>PAYMENT</v>
          </cell>
          <cell r="W390" t="str">
            <v>OK</v>
          </cell>
          <cell r="X390" t="str">
            <v>EXW</v>
          </cell>
          <cell r="Y390" t="str">
            <v>x</v>
          </cell>
          <cell r="Z390" t="str">
            <v>x</v>
          </cell>
          <cell r="AA390" t="str">
            <v>x</v>
          </cell>
        </row>
        <row r="391">
          <cell r="B391" t="str">
            <v>INV06849</v>
          </cell>
          <cell r="E391">
            <v>262.2</v>
          </cell>
          <cell r="F391" t="str">
            <v>HAN26001730</v>
          </cell>
          <cell r="H391" t="str">
            <v>FCZ</v>
          </cell>
          <cell r="I391" t="str">
            <v>Grover, piper</v>
          </cell>
          <cell r="J391" t="str">
            <v>Schenker</v>
          </cell>
          <cell r="K391" t="str">
            <v>Schenker</v>
          </cell>
          <cell r="L391" t="str">
            <v>HN</v>
          </cell>
          <cell r="M391" t="str">
            <v>CZ</v>
          </cell>
          <cell r="N391">
            <v>46171</v>
          </cell>
          <cell r="O391">
            <v>46171</v>
          </cell>
          <cell r="P391">
            <v>46177</v>
          </cell>
          <cell r="Q391">
            <v>6</v>
          </cell>
          <cell r="R391">
            <v>308586523840</v>
          </cell>
          <cell r="S391">
            <v>46171</v>
          </cell>
          <cell r="T391" t="str">
            <v>No inspection</v>
          </cell>
          <cell r="U391">
            <v>795106.4</v>
          </cell>
          <cell r="V391" t="str">
            <v>PAYMENT</v>
          </cell>
          <cell r="W391" t="str">
            <v>OK</v>
          </cell>
          <cell r="X391" t="str">
            <v>EXW</v>
          </cell>
          <cell r="Y391" t="str">
            <v>x</v>
          </cell>
          <cell r="Z391" t="str">
            <v>x</v>
          </cell>
          <cell r="AA391" t="str">
            <v>x</v>
          </cell>
        </row>
        <row r="392">
          <cell r="B392" t="str">
            <v>INV06850</v>
          </cell>
          <cell r="E392">
            <v>303</v>
          </cell>
          <cell r="F392" t="str">
            <v>HAN26001731</v>
          </cell>
          <cell r="H392" t="str">
            <v>FCZ</v>
          </cell>
          <cell r="I392" t="str">
            <v>Grover</v>
          </cell>
          <cell r="J392" t="str">
            <v>Schenker</v>
          </cell>
          <cell r="K392" t="str">
            <v>Schenker</v>
          </cell>
          <cell r="L392" t="str">
            <v>HN</v>
          </cell>
          <cell r="M392" t="str">
            <v>CZ</v>
          </cell>
          <cell r="N392">
            <v>46171</v>
          </cell>
          <cell r="O392">
            <v>46171</v>
          </cell>
          <cell r="P392">
            <v>46177</v>
          </cell>
          <cell r="Q392">
            <v>6</v>
          </cell>
          <cell r="R392">
            <v>308586692760</v>
          </cell>
          <cell r="S392">
            <v>46171</v>
          </cell>
          <cell r="T392" t="str">
            <v>No inspection</v>
          </cell>
          <cell r="U392">
            <v>604566</v>
          </cell>
          <cell r="V392" t="str">
            <v>PAYMENT</v>
          </cell>
          <cell r="W392" t="str">
            <v>OK</v>
          </cell>
          <cell r="X392" t="str">
            <v>EXW</v>
          </cell>
          <cell r="Y392" t="str">
            <v>x</v>
          </cell>
          <cell r="Z392" t="str">
            <v>x</v>
          </cell>
          <cell r="AA392" t="str">
            <v>x</v>
          </cell>
        </row>
        <row r="393">
          <cell r="B393" t="str">
            <v>INV06851</v>
          </cell>
          <cell r="E393">
            <v>150.4</v>
          </cell>
          <cell r="F393" t="str">
            <v>HAN26001732</v>
          </cell>
          <cell r="H393" t="str">
            <v>FCZ</v>
          </cell>
          <cell r="I393" t="str">
            <v>Grover</v>
          </cell>
          <cell r="J393" t="str">
            <v>Schenker</v>
          </cell>
          <cell r="K393" t="str">
            <v>Schenker</v>
          </cell>
          <cell r="L393" t="str">
            <v>HN</v>
          </cell>
          <cell r="M393" t="str">
            <v>CZ</v>
          </cell>
          <cell r="N393">
            <v>46171</v>
          </cell>
          <cell r="O393">
            <v>46171</v>
          </cell>
          <cell r="P393">
            <v>46177</v>
          </cell>
          <cell r="Q393">
            <v>6</v>
          </cell>
          <cell r="R393">
            <v>308586764160</v>
          </cell>
          <cell r="S393">
            <v>46171</v>
          </cell>
          <cell r="T393" t="str">
            <v>No inspection</v>
          </cell>
          <cell r="U393">
            <v>504625.8</v>
          </cell>
          <cell r="V393" t="str">
            <v>PAYMENT</v>
          </cell>
          <cell r="W393" t="str">
            <v>OK</v>
          </cell>
          <cell r="X393" t="str">
            <v>EXW</v>
          </cell>
          <cell r="Y393" t="str">
            <v>x</v>
          </cell>
          <cell r="Z393" t="str">
            <v>x</v>
          </cell>
          <cell r="AA393" t="str">
            <v>x</v>
          </cell>
        </row>
        <row r="394">
          <cell r="B394" t="str">
            <v>INV06852</v>
          </cell>
          <cell r="E394">
            <v>127</v>
          </cell>
          <cell r="F394" t="str">
            <v>HAN26001733</v>
          </cell>
          <cell r="H394" t="str">
            <v>FCZ</v>
          </cell>
          <cell r="I394" t="str">
            <v>Hopper</v>
          </cell>
          <cell r="J394" t="str">
            <v>Schenker</v>
          </cell>
          <cell r="K394" t="str">
            <v>Schenker</v>
          </cell>
          <cell r="L394" t="str">
            <v>HN</v>
          </cell>
          <cell r="M394" t="str">
            <v>CZ</v>
          </cell>
          <cell r="N394">
            <v>46171</v>
          </cell>
          <cell r="O394">
            <v>46171</v>
          </cell>
          <cell r="P394">
            <v>46177</v>
          </cell>
          <cell r="Q394">
            <v>6</v>
          </cell>
          <cell r="R394">
            <v>308586839760</v>
          </cell>
          <cell r="S394">
            <v>46171</v>
          </cell>
          <cell r="T394" t="str">
            <v>No inspection</v>
          </cell>
          <cell r="U394">
            <v>860700</v>
          </cell>
          <cell r="V394" t="str">
            <v>PAYMENT</v>
          </cell>
          <cell r="W394" t="str">
            <v>OK</v>
          </cell>
          <cell r="X394" t="str">
            <v>EXW</v>
          </cell>
          <cell r="Y394" t="str">
            <v>x</v>
          </cell>
          <cell r="Z394" t="str">
            <v>x</v>
          </cell>
          <cell r="AA394" t="str">
            <v>x</v>
          </cell>
        </row>
        <row r="395">
          <cell r="B395" t="str">
            <v>INV06853</v>
          </cell>
          <cell r="E395">
            <v>127</v>
          </cell>
          <cell r="F395" t="str">
            <v>HAN26001734</v>
          </cell>
          <cell r="H395" t="str">
            <v>FCZ</v>
          </cell>
          <cell r="I395" t="str">
            <v>Hopper</v>
          </cell>
          <cell r="J395" t="str">
            <v>Schenker</v>
          </cell>
          <cell r="K395" t="str">
            <v>Schenker</v>
          </cell>
          <cell r="L395" t="str">
            <v>HN</v>
          </cell>
          <cell r="M395" t="str">
            <v>CZ</v>
          </cell>
          <cell r="N395">
            <v>46171</v>
          </cell>
          <cell r="O395">
            <v>46171</v>
          </cell>
          <cell r="P395">
            <v>46177</v>
          </cell>
          <cell r="Q395">
            <v>6</v>
          </cell>
          <cell r="R395">
            <v>308586901250</v>
          </cell>
          <cell r="S395">
            <v>46171</v>
          </cell>
          <cell r="T395" t="str">
            <v>No inspection</v>
          </cell>
          <cell r="U395">
            <v>860700</v>
          </cell>
          <cell r="V395" t="str">
            <v>PAYMENT</v>
          </cell>
          <cell r="W395" t="str">
            <v>OK</v>
          </cell>
          <cell r="X395" t="str">
            <v>EXW</v>
          </cell>
          <cell r="Y395" t="str">
            <v>x</v>
          </cell>
          <cell r="Z395" t="str">
            <v>x</v>
          </cell>
          <cell r="AA395" t="str">
            <v>x</v>
          </cell>
        </row>
        <row r="396">
          <cell r="B396" t="str">
            <v>INV06854</v>
          </cell>
          <cell r="E396">
            <v>56.1</v>
          </cell>
          <cell r="F396" t="str">
            <v>HAN26001735</v>
          </cell>
          <cell r="H396" t="str">
            <v>FCZ</v>
          </cell>
          <cell r="I396" t="str">
            <v>Hopper, grover, piper</v>
          </cell>
          <cell r="J396" t="str">
            <v>Schenker</v>
          </cell>
          <cell r="K396" t="str">
            <v>Schenker</v>
          </cell>
          <cell r="L396" t="str">
            <v>HN</v>
          </cell>
          <cell r="M396" t="str">
            <v>CZ</v>
          </cell>
          <cell r="N396">
            <v>46175</v>
          </cell>
          <cell r="O396">
            <v>46175</v>
          </cell>
          <cell r="P396">
            <v>46182</v>
          </cell>
          <cell r="Q396">
            <v>7</v>
          </cell>
          <cell r="R396">
            <v>308587091320</v>
          </cell>
          <cell r="S396">
            <v>46175</v>
          </cell>
          <cell r="T396" t="str">
            <v>No inspection</v>
          </cell>
          <cell r="U396">
            <v>949994.9</v>
          </cell>
          <cell r="V396" t="str">
            <v>PAYMENT</v>
          </cell>
          <cell r="W396" t="str">
            <v>OK</v>
          </cell>
          <cell r="X396" t="str">
            <v>EXW</v>
          </cell>
          <cell r="Y396" t="str">
            <v>x</v>
          </cell>
          <cell r="Z396" t="str">
            <v>x</v>
          </cell>
          <cell r="AA396" t="str">
            <v>x</v>
          </cell>
        </row>
        <row r="397">
          <cell r="B397" t="str">
            <v>INV06855</v>
          </cell>
          <cell r="E397">
            <v>28.5</v>
          </cell>
          <cell r="F397" t="str">
            <v>HAN26001736</v>
          </cell>
          <cell r="H397" t="str">
            <v>FCZ</v>
          </cell>
          <cell r="I397" t="str">
            <v>Hopper, grover, piper</v>
          </cell>
          <cell r="J397" t="str">
            <v>Schenker</v>
          </cell>
          <cell r="K397" t="str">
            <v>Schenker</v>
          </cell>
          <cell r="L397" t="str">
            <v>HN</v>
          </cell>
          <cell r="M397" t="str">
            <v>CZ</v>
          </cell>
          <cell r="N397">
            <v>46175</v>
          </cell>
          <cell r="O397">
            <v>46175</v>
          </cell>
          <cell r="P397">
            <v>46182</v>
          </cell>
          <cell r="Q397">
            <v>7</v>
          </cell>
          <cell r="R397">
            <v>308587147430</v>
          </cell>
          <cell r="S397">
            <v>46175</v>
          </cell>
          <cell r="T397" t="str">
            <v>No inspection</v>
          </cell>
          <cell r="U397">
            <v>792876.2</v>
          </cell>
          <cell r="V397" t="str">
            <v>PAYMENT</v>
          </cell>
          <cell r="W397" t="str">
            <v>OK</v>
          </cell>
          <cell r="X397" t="str">
            <v>EXW</v>
          </cell>
          <cell r="Y397" t="str">
            <v>x</v>
          </cell>
          <cell r="Z397" t="str">
            <v>x</v>
          </cell>
          <cell r="AA397" t="str">
            <v>x</v>
          </cell>
        </row>
        <row r="398">
          <cell r="B398" t="str">
            <v>INV06856</v>
          </cell>
          <cell r="E398">
            <v>19.7</v>
          </cell>
          <cell r="F398" t="str">
            <v>HAN26001737</v>
          </cell>
          <cell r="H398" t="str">
            <v>FCZ</v>
          </cell>
          <cell r="I398" t="str">
            <v>PIPER</v>
          </cell>
          <cell r="J398" t="str">
            <v>Schenker</v>
          </cell>
          <cell r="K398" t="str">
            <v>Schenker</v>
          </cell>
          <cell r="L398" t="str">
            <v>HN</v>
          </cell>
          <cell r="M398" t="str">
            <v>CZ</v>
          </cell>
          <cell r="N398">
            <v>46175</v>
          </cell>
          <cell r="O398">
            <v>46175</v>
          </cell>
          <cell r="P398">
            <v>46182</v>
          </cell>
          <cell r="Q398">
            <v>7</v>
          </cell>
          <cell r="R398">
            <v>308587209620</v>
          </cell>
          <cell r="S398">
            <v>46175</v>
          </cell>
          <cell r="T398" t="str">
            <v>No inspection</v>
          </cell>
          <cell r="U398">
            <v>747386.1</v>
          </cell>
          <cell r="V398" t="str">
            <v>PAYMENT</v>
          </cell>
          <cell r="W398" t="str">
            <v>OK</v>
          </cell>
          <cell r="X398" t="str">
            <v>EXW</v>
          </cell>
          <cell r="Y398" t="str">
            <v>x</v>
          </cell>
          <cell r="Z398" t="str">
            <v>x</v>
          </cell>
          <cell r="AA398" t="str">
            <v>x</v>
          </cell>
        </row>
        <row r="399">
          <cell r="B399" t="str">
            <v>E01087</v>
          </cell>
          <cell r="E399">
            <v>1.1000000000000001</v>
          </cell>
          <cell r="F399" t="str">
            <v>872329335608</v>
          </cell>
          <cell r="H399" t="str">
            <v>HQ1</v>
          </cell>
          <cell r="I399" t="str">
            <v>PCBA, STEEL</v>
          </cell>
          <cell r="J399" t="str">
            <v>FedEx</v>
          </cell>
          <cell r="K399" t="str">
            <v>VVMV</v>
          </cell>
          <cell r="L399" t="str">
            <v>HN</v>
          </cell>
          <cell r="M399" t="str">
            <v>US</v>
          </cell>
          <cell r="N399">
            <v>46171</v>
          </cell>
          <cell r="O399">
            <v>46171</v>
          </cell>
          <cell r="P399">
            <v>46182</v>
          </cell>
          <cell r="Q399">
            <v>11</v>
          </cell>
          <cell r="R399">
            <v>308582689831</v>
          </cell>
          <cell r="S399">
            <v>46171</v>
          </cell>
          <cell r="T399" t="str">
            <v>Inspection</v>
          </cell>
          <cell r="U399">
            <v>194.2</v>
          </cell>
          <cell r="V399" t="str">
            <v>NO PAYMENT</v>
          </cell>
          <cell r="W399" t="str">
            <v>No need</v>
          </cell>
          <cell r="X399" t="str">
            <v>DAP</v>
          </cell>
          <cell r="Y399" t="str">
            <v>Transfer</v>
          </cell>
          <cell r="Z399" t="str">
            <v>Transfer material</v>
          </cell>
          <cell r="AA399" t="str">
            <v>x</v>
          </cell>
        </row>
        <row r="400">
          <cell r="B400" t="str">
            <v>E01088</v>
          </cell>
          <cell r="E400">
            <v>1.6</v>
          </cell>
          <cell r="F400" t="str">
            <v>872937608055</v>
          </cell>
          <cell r="H400" t="str">
            <v>Unigen MY</v>
          </cell>
          <cell r="I400" t="str">
            <v>Material</v>
          </cell>
          <cell r="J400" t="str">
            <v>FedEx</v>
          </cell>
          <cell r="K400" t="str">
            <v>VVMV</v>
          </cell>
          <cell r="L400" t="str">
            <v>HN</v>
          </cell>
          <cell r="M400" t="str">
            <v>MY</v>
          </cell>
          <cell r="N400">
            <v>46178</v>
          </cell>
          <cell r="O400">
            <v>46178</v>
          </cell>
          <cell r="P400">
            <v>46189</v>
          </cell>
          <cell r="Q400">
            <v>11</v>
          </cell>
          <cell r="R400">
            <v>308629080711</v>
          </cell>
          <cell r="S400">
            <v>46185</v>
          </cell>
          <cell r="T400" t="str">
            <v>Inspection</v>
          </cell>
          <cell r="U400">
            <v>2056.8000000000002</v>
          </cell>
          <cell r="V400" t="str">
            <v>NO PAYMENT</v>
          </cell>
          <cell r="W400" t="str">
            <v>No need</v>
          </cell>
          <cell r="X400" t="str">
            <v>FCA</v>
          </cell>
          <cell r="Y400" t="str">
            <v>Transfer</v>
          </cell>
          <cell r="Z400" t="str">
            <v>Transfer material</v>
          </cell>
          <cell r="AA400" t="str">
            <v>x</v>
          </cell>
        </row>
        <row r="401">
          <cell r="B401" t="str">
            <v>INV06857</v>
          </cell>
          <cell r="E401">
            <v>3420</v>
          </cell>
          <cell r="F401" t="str">
            <v>SHAN0493629</v>
          </cell>
          <cell r="H401" t="str">
            <v>Lucid Arizona</v>
          </cell>
          <cell r="I401" t="str">
            <v>VCU, FRONT, CABIN, REAR, DCM, BCM</v>
          </cell>
          <cell r="J401" t="str">
            <v>DSV</v>
          </cell>
          <cell r="K401" t="str">
            <v>VVMV</v>
          </cell>
          <cell r="L401" t="str">
            <v>HN</v>
          </cell>
          <cell r="M401" t="str">
            <v>US</v>
          </cell>
          <cell r="N401">
            <v>46181</v>
          </cell>
          <cell r="O401">
            <v>46181</v>
          </cell>
          <cell r="P401" t="str">
            <v>arrived CN ngay 17</v>
          </cell>
          <cell r="Q401" t="e">
            <v>#VALUE!</v>
          </cell>
          <cell r="R401">
            <v>308614119500</v>
          </cell>
          <cell r="S401">
            <v>46181</v>
          </cell>
          <cell r="T401" t="str">
            <v>No inspection</v>
          </cell>
          <cell r="U401">
            <v>460298.88</v>
          </cell>
          <cell r="V401" t="str">
            <v>PAYMENT</v>
          </cell>
          <cell r="W401" t="str">
            <v>OK</v>
          </cell>
          <cell r="X401" t="str">
            <v>FCA</v>
          </cell>
          <cell r="Y401" t="str">
            <v>Lucid</v>
          </cell>
          <cell r="Z401" t="str">
            <v>x</v>
          </cell>
          <cell r="AA401" t="str">
            <v>x</v>
          </cell>
        </row>
        <row r="402">
          <cell r="B402" t="str">
            <v>Sample 755</v>
          </cell>
          <cell r="E402">
            <v>0.3</v>
          </cell>
          <cell r="F402" t="str">
            <v>872574906937</v>
          </cell>
          <cell r="H402" t="str">
            <v>TE</v>
          </cell>
          <cell r="I402" t="str">
            <v>Connector</v>
          </cell>
          <cell r="J402" t="str">
            <v>FedEx</v>
          </cell>
          <cell r="K402" t="str">
            <v>x</v>
          </cell>
          <cell r="L402" t="str">
            <v>HN</v>
          </cell>
          <cell r="M402" t="str">
            <v>US</v>
          </cell>
          <cell r="N402">
            <v>46176</v>
          </cell>
          <cell r="O402">
            <v>46176</v>
          </cell>
          <cell r="P402">
            <v>46183</v>
          </cell>
          <cell r="Q402">
            <v>7</v>
          </cell>
          <cell r="R402" t="str">
            <v>x</v>
          </cell>
          <cell r="S402" t="str">
            <v>x</v>
          </cell>
          <cell r="T402" t="str">
            <v>x</v>
          </cell>
          <cell r="U402">
            <v>5.95</v>
          </cell>
          <cell r="V402" t="str">
            <v>NO PAYMENT</v>
          </cell>
          <cell r="W402" t="str">
            <v>No need</v>
          </cell>
          <cell r="X402" t="str">
            <v>FCA</v>
          </cell>
          <cell r="Y402" t="str">
            <v>x</v>
          </cell>
          <cell r="Z402" t="str">
            <v>x</v>
          </cell>
          <cell r="AA402" t="str">
            <v>x</v>
          </cell>
        </row>
        <row r="403">
          <cell r="B403" t="str">
            <v>INV06858</v>
          </cell>
          <cell r="E403">
            <v>4</v>
          </cell>
          <cell r="F403" t="str">
            <v>1689420681</v>
          </cell>
          <cell r="H403" t="str">
            <v>AIC</v>
          </cell>
          <cell r="I403" t="str">
            <v>PCBA</v>
          </cell>
          <cell r="J403" t="str">
            <v>DHL</v>
          </cell>
          <cell r="K403" t="str">
            <v>VVMV</v>
          </cell>
          <cell r="L403" t="str">
            <v>HN</v>
          </cell>
          <cell r="M403" t="str">
            <v>TW</v>
          </cell>
          <cell r="N403">
            <v>46175</v>
          </cell>
          <cell r="O403">
            <v>46175</v>
          </cell>
          <cell r="P403">
            <v>46176</v>
          </cell>
          <cell r="Q403">
            <v>1</v>
          </cell>
          <cell r="R403">
            <v>308596890030</v>
          </cell>
          <cell r="S403">
            <v>46175</v>
          </cell>
          <cell r="T403" t="str">
            <v>No inspection</v>
          </cell>
          <cell r="U403">
            <v>1006.04</v>
          </cell>
          <cell r="V403" t="str">
            <v>PAYMENT</v>
          </cell>
          <cell r="W403" t="str">
            <v>OK</v>
          </cell>
          <cell r="X403" t="str">
            <v>FCA</v>
          </cell>
          <cell r="Y403" t="str">
            <v>AIC</v>
          </cell>
          <cell r="Z403" t="str">
            <v>x</v>
          </cell>
          <cell r="AA403" t="str">
            <v>x</v>
          </cell>
        </row>
        <row r="404">
          <cell r="B404" t="str">
            <v>INV06859</v>
          </cell>
          <cell r="E404">
            <v>688.8</v>
          </cell>
          <cell r="F404" t="str">
            <v>SRAF0368380</v>
          </cell>
          <cell r="H404" t="str">
            <v>HELLA</v>
          </cell>
          <cell r="I404" t="str">
            <v>HCU</v>
          </cell>
          <cell r="J404" t="str">
            <v>DSV</v>
          </cell>
          <cell r="K404" t="str">
            <v>VVMV</v>
          </cell>
          <cell r="L404" t="str">
            <v>HN</v>
          </cell>
          <cell r="M404" t="str">
            <v>DE</v>
          </cell>
          <cell r="N404">
            <v>46183</v>
          </cell>
          <cell r="O404">
            <v>46183</v>
          </cell>
          <cell r="P404">
            <v>46192</v>
          </cell>
          <cell r="Q404">
            <v>9</v>
          </cell>
          <cell r="R404">
            <v>308618679410</v>
          </cell>
          <cell r="S404">
            <v>46183</v>
          </cell>
          <cell r="T404" t="str">
            <v>No inspection</v>
          </cell>
          <cell r="U404">
            <v>107700.48</v>
          </cell>
          <cell r="V404" t="str">
            <v>PAYMENT</v>
          </cell>
          <cell r="W404" t="str">
            <v>ok</v>
          </cell>
          <cell r="X404" t="str">
            <v>FCA</v>
          </cell>
          <cell r="Y404" t="str">
            <v>Lucid</v>
          </cell>
          <cell r="Z404" t="str">
            <v>x</v>
          </cell>
          <cell r="AA404" t="str">
            <v>x</v>
          </cell>
        </row>
        <row r="405">
          <cell r="B405" t="str">
            <v>INV06860</v>
          </cell>
          <cell r="E405">
            <v>123.2</v>
          </cell>
          <cell r="F405" t="str">
            <v>ELHAN01783</v>
          </cell>
          <cell r="H405" t="str">
            <v>AIC</v>
          </cell>
          <cell r="I405" t="str">
            <v>PCBA, IC</v>
          </cell>
          <cell r="J405" t="str">
            <v>Evergreen</v>
          </cell>
          <cell r="K405" t="str">
            <v>Evergreen</v>
          </cell>
          <cell r="L405" t="str">
            <v>HN</v>
          </cell>
          <cell r="M405" t="str">
            <v>TW</v>
          </cell>
          <cell r="N405">
            <v>46176</v>
          </cell>
          <cell r="O405">
            <v>46176</v>
          </cell>
          <cell r="P405">
            <v>46182</v>
          </cell>
          <cell r="Q405">
            <v>6</v>
          </cell>
          <cell r="R405" t="str">
            <v>308597772360
308597814730</v>
          </cell>
          <cell r="S405">
            <v>46176</v>
          </cell>
          <cell r="T405" t="str">
            <v>Inspection</v>
          </cell>
          <cell r="U405">
            <v>45902.400000000009</v>
          </cell>
          <cell r="V405" t="str">
            <v>PAYMENT</v>
          </cell>
          <cell r="W405" t="str">
            <v>ok</v>
          </cell>
          <cell r="X405" t="str">
            <v>EXW</v>
          </cell>
          <cell r="Y405" t="str">
            <v>x</v>
          </cell>
          <cell r="Z405" t="str">
            <v>x</v>
          </cell>
          <cell r="AA405" t="str">
            <v>x</v>
          </cell>
        </row>
        <row r="406">
          <cell r="B406" t="str">
            <v>E01089</v>
          </cell>
          <cell r="E406">
            <v>8.9</v>
          </cell>
          <cell r="F406" t="str">
            <v>872639262181</v>
          </cell>
          <cell r="H406" t="str">
            <v>HQ1</v>
          </cell>
          <cell r="I406" t="str">
            <v>IC, RES, TRANS, DIODE, LABEL, CAP</v>
          </cell>
          <cell r="J406" t="str">
            <v>FedEx</v>
          </cell>
          <cell r="K406" t="str">
            <v>VVMV</v>
          </cell>
          <cell r="L406" t="str">
            <v>HN</v>
          </cell>
          <cell r="M406" t="str">
            <v>US</v>
          </cell>
          <cell r="N406">
            <v>46178</v>
          </cell>
          <cell r="O406">
            <v>46178</v>
          </cell>
          <cell r="P406">
            <v>46183</v>
          </cell>
          <cell r="Q406">
            <v>5</v>
          </cell>
          <cell r="R406">
            <v>308605891001</v>
          </cell>
          <cell r="S406">
            <v>46178</v>
          </cell>
          <cell r="T406" t="str">
            <v>Inspection</v>
          </cell>
          <cell r="U406">
            <v>38436.839999999997</v>
          </cell>
          <cell r="V406" t="str">
            <v>NO PAYMENT</v>
          </cell>
          <cell r="W406" t="str">
            <v>No need</v>
          </cell>
          <cell r="X406" t="str">
            <v>DAP</v>
          </cell>
          <cell r="Y406" t="str">
            <v>Transfer</v>
          </cell>
          <cell r="Z406" t="str">
            <v>Transfer material</v>
          </cell>
          <cell r="AA406" t="str">
            <v>x</v>
          </cell>
        </row>
        <row r="407">
          <cell r="B407" t="str">
            <v>INV06861</v>
          </cell>
          <cell r="E407">
            <v>1350.6</v>
          </cell>
          <cell r="F407" t="str">
            <v>45T0479942</v>
          </cell>
          <cell r="H407" t="str">
            <v>FTX</v>
          </cell>
          <cell r="I407" t="str">
            <v>Hopper, Grover</v>
          </cell>
          <cell r="J407" t="str">
            <v>Expeditors</v>
          </cell>
          <cell r="K407" t="str">
            <v>Expeditors</v>
          </cell>
          <cell r="L407" t="str">
            <v>HN</v>
          </cell>
          <cell r="M407" t="str">
            <v>US</v>
          </cell>
          <cell r="N407">
            <v>46178</v>
          </cell>
          <cell r="O407">
            <v>46178</v>
          </cell>
          <cell r="P407">
            <v>46184</v>
          </cell>
          <cell r="Q407">
            <v>6</v>
          </cell>
          <cell r="R407">
            <v>308608895730</v>
          </cell>
          <cell r="S407">
            <v>46178</v>
          </cell>
          <cell r="T407" t="str">
            <v>No inspection</v>
          </cell>
          <cell r="U407">
            <v>3718303.99</v>
          </cell>
          <cell r="V407" t="str">
            <v>PAYMENT</v>
          </cell>
          <cell r="W407" t="str">
            <v>ok</v>
          </cell>
          <cell r="X407" t="str">
            <v>EXW</v>
          </cell>
          <cell r="Y407" t="str">
            <v>x</v>
          </cell>
          <cell r="Z407" t="str">
            <v>x</v>
          </cell>
          <cell r="AA407" t="str">
            <v>x</v>
          </cell>
        </row>
        <row r="408">
          <cell r="B408" t="str">
            <v>INV06862</v>
          </cell>
          <cell r="E408">
            <v>299.7</v>
          </cell>
          <cell r="F408" t="str">
            <v>HAN26001849</v>
          </cell>
          <cell r="H408" t="str">
            <v>FCZ</v>
          </cell>
          <cell r="I408" t="str">
            <v>Grover</v>
          </cell>
          <cell r="J408" t="str">
            <v>Schenker</v>
          </cell>
          <cell r="K408" t="str">
            <v>Schenker</v>
          </cell>
          <cell r="L408" t="str">
            <v>HN</v>
          </cell>
          <cell r="M408" t="str">
            <v>CZ</v>
          </cell>
          <cell r="N408">
            <v>46178</v>
          </cell>
          <cell r="O408">
            <v>46178</v>
          </cell>
          <cell r="P408">
            <v>46183</v>
          </cell>
          <cell r="Q408">
            <v>5</v>
          </cell>
          <cell r="R408">
            <v>308608391140</v>
          </cell>
          <cell r="S408">
            <v>46178</v>
          </cell>
          <cell r="T408" t="str">
            <v>No inspection</v>
          </cell>
          <cell r="U408">
            <v>583843.30000000005</v>
          </cell>
          <cell r="V408" t="str">
            <v>PAYMENT</v>
          </cell>
          <cell r="W408" t="str">
            <v>ok</v>
          </cell>
          <cell r="X408" t="str">
            <v>EXW</v>
          </cell>
          <cell r="Y408" t="str">
            <v>x</v>
          </cell>
          <cell r="Z408" t="str">
            <v>x</v>
          </cell>
          <cell r="AA408" t="str">
            <v>x</v>
          </cell>
        </row>
        <row r="409">
          <cell r="B409" t="str">
            <v>INV06863</v>
          </cell>
          <cell r="E409">
            <v>144.80000000000001</v>
          </cell>
          <cell r="F409" t="str">
            <v>HAN26001850</v>
          </cell>
          <cell r="H409" t="str">
            <v>FCZ</v>
          </cell>
          <cell r="I409" t="str">
            <v>Hopper, Grover</v>
          </cell>
          <cell r="J409" t="str">
            <v>Schenker</v>
          </cell>
          <cell r="K409" t="str">
            <v>Schenker</v>
          </cell>
          <cell r="L409" t="str">
            <v>HN</v>
          </cell>
          <cell r="M409" t="str">
            <v>CZ</v>
          </cell>
          <cell r="N409">
            <v>46178</v>
          </cell>
          <cell r="O409">
            <v>46178</v>
          </cell>
          <cell r="P409">
            <v>46183</v>
          </cell>
          <cell r="Q409">
            <v>5</v>
          </cell>
          <cell r="R409">
            <v>308608450640</v>
          </cell>
          <cell r="S409">
            <v>46178</v>
          </cell>
          <cell r="T409" t="str">
            <v>No inspection</v>
          </cell>
          <cell r="U409">
            <v>650066.72</v>
          </cell>
          <cell r="V409" t="str">
            <v>PAYMENT</v>
          </cell>
          <cell r="W409" t="str">
            <v>ok</v>
          </cell>
          <cell r="X409" t="str">
            <v>EXW</v>
          </cell>
          <cell r="Y409" t="str">
            <v>x</v>
          </cell>
          <cell r="Z409" t="str">
            <v>x</v>
          </cell>
          <cell r="AA409" t="str">
            <v>x</v>
          </cell>
        </row>
        <row r="410">
          <cell r="B410" t="str">
            <v>INV06864</v>
          </cell>
          <cell r="E410">
            <v>65.099999999999994</v>
          </cell>
          <cell r="F410" t="str">
            <v>HAN26001851</v>
          </cell>
          <cell r="H410" t="str">
            <v>FCZ</v>
          </cell>
          <cell r="I410" t="str">
            <v>Hopper, Grover, Piper</v>
          </cell>
          <cell r="J410" t="str">
            <v>Schenker</v>
          </cell>
          <cell r="K410" t="str">
            <v>Schenker</v>
          </cell>
          <cell r="L410" t="str">
            <v>HN</v>
          </cell>
          <cell r="M410" t="str">
            <v>CZ</v>
          </cell>
          <cell r="N410">
            <v>46178</v>
          </cell>
          <cell r="O410">
            <v>46178</v>
          </cell>
          <cell r="P410">
            <v>46183</v>
          </cell>
          <cell r="Q410">
            <v>5</v>
          </cell>
          <cell r="R410">
            <v>308608491240</v>
          </cell>
          <cell r="S410">
            <v>46178</v>
          </cell>
          <cell r="T410" t="str">
            <v>No inspection</v>
          </cell>
          <cell r="U410">
            <v>538296.69999999995</v>
          </cell>
          <cell r="V410" t="str">
            <v>PAYMENT</v>
          </cell>
          <cell r="W410" t="str">
            <v>ok</v>
          </cell>
          <cell r="X410" t="str">
            <v>EXW</v>
          </cell>
          <cell r="Y410" t="str">
            <v>x</v>
          </cell>
          <cell r="Z410" t="str">
            <v>x</v>
          </cell>
          <cell r="AA410" t="str">
            <v>x</v>
          </cell>
        </row>
        <row r="411">
          <cell r="B411" t="str">
            <v>Sample 756</v>
          </cell>
          <cell r="E411">
            <v>1.653</v>
          </cell>
          <cell r="F411" t="str">
            <v>872758765274</v>
          </cell>
          <cell r="H411" t="str">
            <v>COMPEQ</v>
          </cell>
          <cell r="I411" t="str">
            <v>PCB</v>
          </cell>
          <cell r="J411" t="str">
            <v>FedEx</v>
          </cell>
          <cell r="K411" t="str">
            <v>X</v>
          </cell>
          <cell r="L411" t="str">
            <v>HN</v>
          </cell>
          <cell r="M411" t="str">
            <v>CN</v>
          </cell>
          <cell r="N411">
            <v>46181</v>
          </cell>
          <cell r="O411">
            <v>46181</v>
          </cell>
          <cell r="P411">
            <v>46190</v>
          </cell>
          <cell r="Q411">
            <v>9</v>
          </cell>
          <cell r="R411" t="str">
            <v>x</v>
          </cell>
          <cell r="S411" t="str">
            <v>x</v>
          </cell>
          <cell r="T411" t="str">
            <v>x</v>
          </cell>
          <cell r="U411">
            <v>1036.72</v>
          </cell>
          <cell r="V411" t="str">
            <v>NO PAYMENT</v>
          </cell>
          <cell r="W411" t="str">
            <v>No need</v>
          </cell>
          <cell r="X411" t="str">
            <v>DAP</v>
          </cell>
          <cell r="Y411" t="str">
            <v>PURE</v>
          </cell>
          <cell r="Z411" t="str">
            <v>Ship QA's sample for evaluation</v>
          </cell>
          <cell r="AA411" t="str">
            <v>x</v>
          </cell>
        </row>
        <row r="412">
          <cell r="B412" t="str">
            <v>INV06865</v>
          </cell>
          <cell r="E412">
            <v>207</v>
          </cell>
          <cell r="F412" t="str">
            <v>872758354931</v>
          </cell>
          <cell r="H412" t="str">
            <v>Jabil MX</v>
          </cell>
          <cell r="I412" t="str">
            <v>HLOB</v>
          </cell>
          <cell r="J412" t="str">
            <v>FedEx</v>
          </cell>
          <cell r="K412" t="str">
            <v>VVMV</v>
          </cell>
          <cell r="L412" t="str">
            <v>HN</v>
          </cell>
          <cell r="M412" t="str">
            <v>MX</v>
          </cell>
          <cell r="N412">
            <v>46181</v>
          </cell>
          <cell r="O412">
            <v>46181</v>
          </cell>
          <cell r="P412">
            <v>46189</v>
          </cell>
          <cell r="Q412">
            <v>8</v>
          </cell>
          <cell r="R412">
            <v>308614931350</v>
          </cell>
          <cell r="S412">
            <v>46181</v>
          </cell>
          <cell r="T412" t="str">
            <v>No inspection</v>
          </cell>
          <cell r="U412">
            <v>2713674.6</v>
          </cell>
          <cell r="V412" t="str">
            <v>PAYMENT</v>
          </cell>
          <cell r="W412" t="str">
            <v>ok</v>
          </cell>
          <cell r="X412" t="str">
            <v>FCA</v>
          </cell>
          <cell r="Y412" t="str">
            <v>PURE</v>
          </cell>
          <cell r="Z412" t="str">
            <v>x</v>
          </cell>
          <cell r="AA412" t="str">
            <v>x</v>
          </cell>
        </row>
        <row r="413">
          <cell r="B413" t="str">
            <v>E01090</v>
          </cell>
          <cell r="E413">
            <v>492</v>
          </cell>
          <cell r="F413" t="str">
            <v>873089523978</v>
          </cell>
          <cell r="H413" t="str">
            <v>HQ1</v>
          </cell>
          <cell r="I413" t="str">
            <v>Material</v>
          </cell>
          <cell r="J413" t="str">
            <v>FedEx</v>
          </cell>
          <cell r="K413" t="str">
            <v>VVMV</v>
          </cell>
          <cell r="L413" t="str">
            <v>HN</v>
          </cell>
          <cell r="M413" t="str">
            <v>US</v>
          </cell>
          <cell r="N413">
            <v>46189</v>
          </cell>
          <cell r="O413">
            <v>46189</v>
          </cell>
          <cell r="P413">
            <v>46199</v>
          </cell>
          <cell r="Q413">
            <v>10</v>
          </cell>
          <cell r="R413" t="str">
            <v>308642066741
308642068511</v>
          </cell>
          <cell r="S413">
            <v>46189</v>
          </cell>
          <cell r="T413" t="str">
            <v>Inspection</v>
          </cell>
          <cell r="U413">
            <v>113572.19</v>
          </cell>
          <cell r="V413" t="str">
            <v>NO PAYMENT</v>
          </cell>
          <cell r="W413" t="str">
            <v>No need</v>
          </cell>
          <cell r="X413" t="str">
            <v>FCA</v>
          </cell>
          <cell r="Y413" t="str">
            <v>Transfer</v>
          </cell>
          <cell r="Z413" t="str">
            <v>x</v>
          </cell>
          <cell r="AA413" t="str">
            <v>x</v>
          </cell>
        </row>
        <row r="414">
          <cell r="B414" t="str">
            <v>INV06866</v>
          </cell>
          <cell r="E414">
            <v>1590</v>
          </cell>
          <cell r="F414" t="str">
            <v>SRAF0376319</v>
          </cell>
          <cell r="H414" t="str">
            <v>Lucid Arizona</v>
          </cell>
          <cell r="I414" t="str">
            <v>REAR, CABIN, FRONT, DCM</v>
          </cell>
          <cell r="J414" t="str">
            <v>DSV</v>
          </cell>
          <cell r="K414" t="str">
            <v>VVMV</v>
          </cell>
          <cell r="L414" t="str">
            <v>HN</v>
          </cell>
          <cell r="M414" t="str">
            <v>US</v>
          </cell>
          <cell r="N414">
            <v>46184</v>
          </cell>
          <cell r="O414">
            <v>46184</v>
          </cell>
          <cell r="P414" t="str">
            <v>depart ngay 22</v>
          </cell>
          <cell r="Q414" t="e">
            <v>#VALUE!</v>
          </cell>
          <cell r="R414">
            <v>308625301260</v>
          </cell>
          <cell r="S414">
            <v>46184</v>
          </cell>
          <cell r="T414" t="str">
            <v>No inspection</v>
          </cell>
          <cell r="U414">
            <v>333398.15999999997</v>
          </cell>
          <cell r="V414" t="str">
            <v>PAYMENT</v>
          </cell>
          <cell r="W414" t="str">
            <v>OK</v>
          </cell>
          <cell r="X414" t="str">
            <v>FCA</v>
          </cell>
          <cell r="Y414" t="str">
            <v>Lucid</v>
          </cell>
          <cell r="Z414" t="str">
            <v>x</v>
          </cell>
          <cell r="AA414" t="str">
            <v>x</v>
          </cell>
        </row>
        <row r="415">
          <cell r="B415" t="str">
            <v>INV06867</v>
          </cell>
          <cell r="E415">
            <v>66.5</v>
          </cell>
          <cell r="F415" t="str">
            <v>MIQSGN05203</v>
          </cell>
          <cell r="H415" t="str">
            <v>EFI LONDONDERRY</v>
          </cell>
          <cell r="I415" t="str">
            <v>PCBA</v>
          </cell>
          <cell r="J415" t="str">
            <v>Noatum</v>
          </cell>
          <cell r="K415" t="str">
            <v>Noatum</v>
          </cell>
          <cell r="L415" t="str">
            <v>HN</v>
          </cell>
          <cell r="M415" t="str">
            <v>US</v>
          </cell>
          <cell r="N415">
            <v>46190</v>
          </cell>
          <cell r="O415">
            <v>46190</v>
          </cell>
          <cell r="P415" t="str">
            <v>In Transit</v>
          </cell>
          <cell r="Q415" t="e">
            <v>#VALUE!</v>
          </cell>
          <cell r="R415">
            <v>308630999520</v>
          </cell>
          <cell r="S415">
            <v>46190</v>
          </cell>
          <cell r="T415" t="str">
            <v>No inspection</v>
          </cell>
          <cell r="U415">
            <v>21347.200000000001</v>
          </cell>
          <cell r="V415" t="str">
            <v>PAYMENT</v>
          </cell>
          <cell r="W415" t="str">
            <v>ok</v>
          </cell>
          <cell r="X415" t="str">
            <v>EXW</v>
          </cell>
          <cell r="Y415" t="str">
            <v>x</v>
          </cell>
          <cell r="Z415" t="str">
            <v>x</v>
          </cell>
          <cell r="AA415" t="str">
            <v>x</v>
          </cell>
        </row>
        <row r="416">
          <cell r="B416" t="str">
            <v>E01091</v>
          </cell>
          <cell r="H416" t="str">
            <v xml:space="preserve">DVN </v>
          </cell>
          <cell r="J416" t="str">
            <v>truck</v>
          </cell>
          <cell r="K416" t="str">
            <v>truck</v>
          </cell>
          <cell r="L416" t="str">
            <v>HN</v>
          </cell>
          <cell r="M416" t="str">
            <v>VN</v>
          </cell>
          <cell r="N416">
            <v>46182</v>
          </cell>
          <cell r="O416">
            <v>46182</v>
          </cell>
          <cell r="P416">
            <v>46182</v>
          </cell>
          <cell r="Q416">
            <v>0</v>
          </cell>
          <cell r="W416" t="str">
            <v>No need</v>
          </cell>
        </row>
        <row r="417">
          <cell r="B417" t="str">
            <v>Sample 757</v>
          </cell>
          <cell r="E417">
            <v>0.56999999999999995</v>
          </cell>
          <cell r="F417" t="str">
            <v>5972713375</v>
          </cell>
          <cell r="H417" t="str">
            <v>Microchip TH</v>
          </cell>
          <cell r="I417" t="str">
            <v>IC</v>
          </cell>
          <cell r="J417" t="str">
            <v>DHL</v>
          </cell>
          <cell r="K417" t="str">
            <v>x</v>
          </cell>
          <cell r="L417" t="str">
            <v>HN</v>
          </cell>
          <cell r="M417" t="str">
            <v>TH</v>
          </cell>
          <cell r="N417">
            <v>46182</v>
          </cell>
          <cell r="O417">
            <v>46182</v>
          </cell>
          <cell r="P417">
            <v>46183</v>
          </cell>
          <cell r="Q417">
            <v>1</v>
          </cell>
          <cell r="R417" t="str">
            <v>x</v>
          </cell>
          <cell r="S417" t="str">
            <v>x</v>
          </cell>
          <cell r="T417" t="str">
            <v>x</v>
          </cell>
          <cell r="U417">
            <v>102.64</v>
          </cell>
          <cell r="V417" t="str">
            <v>NO PAYMENT</v>
          </cell>
          <cell r="W417" t="str">
            <v>No need</v>
          </cell>
          <cell r="X417" t="str">
            <v>FCA</v>
          </cell>
          <cell r="Y417" t="str">
            <v>x</v>
          </cell>
          <cell r="Z417" t="str">
            <v>x</v>
          </cell>
          <cell r="AA417" t="str">
            <v>x</v>
          </cell>
        </row>
        <row r="418">
          <cell r="B418" t="str">
            <v>INV06868</v>
          </cell>
          <cell r="E418">
            <v>8.5</v>
          </cell>
          <cell r="F418" t="str">
            <v>1226922071</v>
          </cell>
          <cell r="H418" t="str">
            <v>AVNET US</v>
          </cell>
          <cell r="I418" t="str">
            <v>PCBA</v>
          </cell>
          <cell r="J418" t="str">
            <v>DHL</v>
          </cell>
          <cell r="K418" t="str">
            <v>VVMV</v>
          </cell>
          <cell r="L418" t="str">
            <v>HN</v>
          </cell>
          <cell r="M418" t="str">
            <v>US</v>
          </cell>
          <cell r="N418">
            <v>46183</v>
          </cell>
          <cell r="O418">
            <v>46183</v>
          </cell>
          <cell r="P418">
            <v>46185</v>
          </cell>
          <cell r="Q418">
            <v>2</v>
          </cell>
          <cell r="R418">
            <v>308622713730</v>
          </cell>
          <cell r="S418">
            <v>46183</v>
          </cell>
          <cell r="T418" t="str">
            <v>No inspection</v>
          </cell>
          <cell r="U418">
            <v>8215</v>
          </cell>
          <cell r="V418" t="str">
            <v>PAYMENT</v>
          </cell>
          <cell r="W418" t="str">
            <v>ok</v>
          </cell>
          <cell r="X418" t="str">
            <v>FCA</v>
          </cell>
          <cell r="Y418" t="str">
            <v>EFI</v>
          </cell>
          <cell r="Z418" t="str">
            <v>x</v>
          </cell>
          <cell r="AA418" t="str">
            <v>x</v>
          </cell>
        </row>
        <row r="419">
          <cell r="B419" t="str">
            <v>INV06869</v>
          </cell>
          <cell r="E419">
            <v>1.6</v>
          </cell>
          <cell r="F419" t="str">
            <v>872885278038</v>
          </cell>
          <cell r="H419" t="str">
            <v>INGRASYS</v>
          </cell>
          <cell r="I419" t="str">
            <v>DDR4</v>
          </cell>
          <cell r="J419" t="str">
            <v>FedEx</v>
          </cell>
          <cell r="K419" t="str">
            <v>VVMV</v>
          </cell>
          <cell r="L419" t="str">
            <v>HN</v>
          </cell>
          <cell r="M419" t="str">
            <v>TW</v>
          </cell>
          <cell r="N419">
            <v>46184</v>
          </cell>
          <cell r="O419">
            <v>46184</v>
          </cell>
          <cell r="P419">
            <v>46191</v>
          </cell>
          <cell r="Q419">
            <v>7</v>
          </cell>
          <cell r="R419">
            <v>308625059801</v>
          </cell>
          <cell r="S419">
            <v>46183</v>
          </cell>
          <cell r="T419" t="str">
            <v>Inspection</v>
          </cell>
          <cell r="U419">
            <v>484.92</v>
          </cell>
          <cell r="V419" t="str">
            <v>NO PAYMENT</v>
          </cell>
          <cell r="W419" t="str">
            <v>No need</v>
          </cell>
          <cell r="X419" t="str">
            <v>DAP</v>
          </cell>
          <cell r="Y419" t="str">
            <v>OEM</v>
          </cell>
          <cell r="Z419" t="str">
            <v>RMA</v>
          </cell>
          <cell r="AA419" t="str">
            <v>x</v>
          </cell>
        </row>
        <row r="420">
          <cell r="B420" t="str">
            <v>INV06870</v>
          </cell>
          <cell r="E420">
            <v>1952.4</v>
          </cell>
          <cell r="F420" t="str">
            <v>SRAF0381658</v>
          </cell>
          <cell r="H420" t="str">
            <v>Lucid Arizona</v>
          </cell>
          <cell r="I420" t="str">
            <v>REAR, CABIN, FRONT, DCM</v>
          </cell>
          <cell r="J420" t="str">
            <v>DSV</v>
          </cell>
          <cell r="K420" t="str">
            <v>VVMV</v>
          </cell>
          <cell r="L420" t="str">
            <v>HN</v>
          </cell>
          <cell r="M420" t="str">
            <v>US</v>
          </cell>
          <cell r="N420">
            <v>46184</v>
          </cell>
          <cell r="O420">
            <v>46184</v>
          </cell>
          <cell r="P420" t="str">
            <v>depart ngay 22</v>
          </cell>
          <cell r="Q420" t="e">
            <v>#VALUE!</v>
          </cell>
          <cell r="R420">
            <v>308627486700</v>
          </cell>
          <cell r="S420">
            <v>46184</v>
          </cell>
          <cell r="T420" t="str">
            <v>No inspection</v>
          </cell>
          <cell r="U420">
            <v>352662.72</v>
          </cell>
          <cell r="V420" t="str">
            <v>PAYMENT</v>
          </cell>
          <cell r="W420" t="str">
            <v>OK</v>
          </cell>
          <cell r="X420" t="str">
            <v>FCA</v>
          </cell>
          <cell r="Y420" t="str">
            <v>Lucid</v>
          </cell>
          <cell r="Z420" t="str">
            <v>x</v>
          </cell>
          <cell r="AA420" t="str">
            <v>x</v>
          </cell>
        </row>
        <row r="421">
          <cell r="B421" t="str">
            <v>INV06871</v>
          </cell>
          <cell r="E421">
            <v>861</v>
          </cell>
          <cell r="F421" t="str">
            <v>SRAF0387100</v>
          </cell>
          <cell r="H421" t="str">
            <v>HELLA</v>
          </cell>
          <cell r="I421" t="str">
            <v>HCU</v>
          </cell>
          <cell r="J421" t="str">
            <v>DSV</v>
          </cell>
          <cell r="K421" t="str">
            <v>VVMV</v>
          </cell>
          <cell r="L421" t="str">
            <v>HN</v>
          </cell>
          <cell r="M421" t="str">
            <v>DE</v>
          </cell>
          <cell r="N421">
            <v>46190</v>
          </cell>
          <cell r="O421">
            <v>46190</v>
          </cell>
          <cell r="P421">
            <v>46196</v>
          </cell>
          <cell r="Q421">
            <v>6</v>
          </cell>
          <cell r="R421">
            <v>308647836250</v>
          </cell>
          <cell r="S421">
            <v>46190</v>
          </cell>
          <cell r="T421" t="str">
            <v>No inspection</v>
          </cell>
          <cell r="U421">
            <v>134625.60000000001</v>
          </cell>
          <cell r="V421" t="str">
            <v>PAYMENT</v>
          </cell>
          <cell r="W421" t="str">
            <v>OK</v>
          </cell>
          <cell r="X421" t="str">
            <v>FCA</v>
          </cell>
          <cell r="Y421" t="str">
            <v>Lucid</v>
          </cell>
          <cell r="Z421" t="str">
            <v>x</v>
          </cell>
          <cell r="AA421" t="str">
            <v>x</v>
          </cell>
        </row>
        <row r="422">
          <cell r="B422" t="str">
            <v>INV06872</v>
          </cell>
          <cell r="E422">
            <v>2119.9</v>
          </cell>
          <cell r="F422" t="str">
            <v>45T0481394</v>
          </cell>
          <cell r="H422" t="str">
            <v>FTX</v>
          </cell>
          <cell r="I422" t="str">
            <v>HOPPER, GROVER, ICER</v>
          </cell>
          <cell r="J422" t="str">
            <v>Expeditors</v>
          </cell>
          <cell r="K422" t="str">
            <v>Expeditors</v>
          </cell>
          <cell r="L422" t="str">
            <v>HN</v>
          </cell>
          <cell r="M422" t="str">
            <v>US</v>
          </cell>
          <cell r="N422">
            <v>46185</v>
          </cell>
          <cell r="O422">
            <v>46185</v>
          </cell>
          <cell r="P422">
            <v>46197</v>
          </cell>
          <cell r="Q422">
            <v>12</v>
          </cell>
          <cell r="R422">
            <v>308630546030</v>
          </cell>
          <cell r="S422">
            <v>46185</v>
          </cell>
          <cell r="T422" t="str">
            <v>No inspection</v>
          </cell>
          <cell r="U422">
            <v>9105783</v>
          </cell>
          <cell r="V422" t="str">
            <v>PAYMENT</v>
          </cell>
          <cell r="W422" t="str">
            <v>OK</v>
          </cell>
          <cell r="X422" t="str">
            <v>EXW</v>
          </cell>
          <cell r="Y422" t="str">
            <v>x</v>
          </cell>
          <cell r="Z422" t="str">
            <v>x</v>
          </cell>
          <cell r="AA422" t="str">
            <v>x</v>
          </cell>
        </row>
        <row r="423">
          <cell r="B423" t="str">
            <v>INV06873</v>
          </cell>
          <cell r="E423">
            <v>82.8</v>
          </cell>
          <cell r="F423" t="str">
            <v>HAN26002004</v>
          </cell>
          <cell r="H423" t="str">
            <v>FCZ</v>
          </cell>
          <cell r="I423" t="str">
            <v>HOPPER</v>
          </cell>
          <cell r="J423" t="str">
            <v>Schenker</v>
          </cell>
          <cell r="K423" t="str">
            <v>Schenker</v>
          </cell>
          <cell r="L423" t="str">
            <v>HN</v>
          </cell>
          <cell r="M423" t="str">
            <v>CZ</v>
          </cell>
          <cell r="N423">
            <v>46185</v>
          </cell>
          <cell r="O423">
            <v>46185</v>
          </cell>
          <cell r="P423">
            <v>46192</v>
          </cell>
          <cell r="Q423">
            <v>7</v>
          </cell>
          <cell r="R423">
            <v>308631536200</v>
          </cell>
          <cell r="S423">
            <v>46185</v>
          </cell>
          <cell r="T423" t="str">
            <v>No inspection</v>
          </cell>
          <cell r="U423">
            <v>512265.6</v>
          </cell>
          <cell r="V423" t="str">
            <v>PAYMENT</v>
          </cell>
          <cell r="W423" t="str">
            <v>OK</v>
          </cell>
          <cell r="X423" t="str">
            <v>EXW</v>
          </cell>
          <cell r="Y423" t="str">
            <v>x</v>
          </cell>
          <cell r="Z423" t="str">
            <v>x</v>
          </cell>
          <cell r="AA423" t="str">
            <v>x</v>
          </cell>
        </row>
        <row r="424">
          <cell r="B424" t="str">
            <v>INV06874</v>
          </cell>
          <cell r="E424">
            <v>147.6</v>
          </cell>
          <cell r="F424" t="str">
            <v>HAN26002005</v>
          </cell>
          <cell r="H424" t="str">
            <v>FCZ</v>
          </cell>
          <cell r="I424" t="str">
            <v>HOPPER</v>
          </cell>
          <cell r="J424" t="str">
            <v>Schenker</v>
          </cell>
          <cell r="K424" t="str">
            <v>Schenker</v>
          </cell>
          <cell r="L424" t="str">
            <v>HN</v>
          </cell>
          <cell r="M424" t="str">
            <v>CZ</v>
          </cell>
          <cell r="N424">
            <v>46185</v>
          </cell>
          <cell r="O424">
            <v>46185</v>
          </cell>
          <cell r="P424">
            <v>46192</v>
          </cell>
          <cell r="Q424">
            <v>7</v>
          </cell>
          <cell r="R424">
            <v>308631577350</v>
          </cell>
          <cell r="S424">
            <v>46185</v>
          </cell>
          <cell r="T424" t="str">
            <v>No inspection</v>
          </cell>
          <cell r="U424">
            <v>775688.4</v>
          </cell>
          <cell r="V424" t="str">
            <v>PAYMENT</v>
          </cell>
          <cell r="W424" t="str">
            <v>OK</v>
          </cell>
          <cell r="X424" t="str">
            <v>EXW</v>
          </cell>
          <cell r="Y424" t="str">
            <v>x</v>
          </cell>
          <cell r="Z424" t="str">
            <v>x</v>
          </cell>
          <cell r="AA424" t="str">
            <v>x</v>
          </cell>
        </row>
        <row r="425">
          <cell r="B425" t="str">
            <v>INV06875</v>
          </cell>
          <cell r="E425">
            <v>204.1</v>
          </cell>
          <cell r="F425" t="str">
            <v>HAN26002006</v>
          </cell>
          <cell r="H425" t="str">
            <v>FCZ</v>
          </cell>
          <cell r="I425" t="str">
            <v>HOPPER, GROVER</v>
          </cell>
          <cell r="J425" t="str">
            <v>Schenker</v>
          </cell>
          <cell r="K425" t="str">
            <v>Schenker</v>
          </cell>
          <cell r="L425" t="str">
            <v>HN</v>
          </cell>
          <cell r="M425" t="str">
            <v>CZ</v>
          </cell>
          <cell r="N425">
            <v>46185</v>
          </cell>
          <cell r="O425">
            <v>46185</v>
          </cell>
          <cell r="P425">
            <v>46192</v>
          </cell>
          <cell r="Q425">
            <v>7</v>
          </cell>
          <cell r="R425">
            <v>308631632910</v>
          </cell>
          <cell r="S425">
            <v>46185</v>
          </cell>
          <cell r="T425" t="str">
            <v>No inspection</v>
          </cell>
          <cell r="U425">
            <v>678785.34</v>
          </cell>
          <cell r="V425" t="str">
            <v>PAYMENT</v>
          </cell>
          <cell r="W425" t="str">
            <v>OK</v>
          </cell>
          <cell r="X425" t="str">
            <v>EXW</v>
          </cell>
          <cell r="Y425" t="str">
            <v>x</v>
          </cell>
          <cell r="Z425" t="str">
            <v>x</v>
          </cell>
          <cell r="AA425" t="str">
            <v>x</v>
          </cell>
        </row>
        <row r="426">
          <cell r="B426" t="str">
            <v>INV06876</v>
          </cell>
          <cell r="E426">
            <v>22.2</v>
          </cell>
          <cell r="F426" t="str">
            <v>872985192579</v>
          </cell>
          <cell r="H426" t="str">
            <v>EFI ITALY</v>
          </cell>
          <cell r="I426" t="str">
            <v>PCBA</v>
          </cell>
          <cell r="J426" t="str">
            <v>FedEx</v>
          </cell>
          <cell r="K426" t="str">
            <v>VVMV</v>
          </cell>
          <cell r="L426" t="str">
            <v>HN</v>
          </cell>
          <cell r="M426" t="str">
            <v>IT</v>
          </cell>
          <cell r="N426">
            <v>46185</v>
          </cell>
          <cell r="O426">
            <v>46185</v>
          </cell>
          <cell r="P426">
            <v>46191</v>
          </cell>
          <cell r="Q426">
            <v>6</v>
          </cell>
          <cell r="R426">
            <v>308630813650</v>
          </cell>
          <cell r="S426">
            <v>46185</v>
          </cell>
          <cell r="T426" t="str">
            <v>No inspection</v>
          </cell>
          <cell r="U426">
            <v>11384.16</v>
          </cell>
          <cell r="V426" t="str">
            <v>PAYMENT</v>
          </cell>
          <cell r="W426" t="str">
            <v>OK</v>
          </cell>
          <cell r="X426" t="str">
            <v>FCA</v>
          </cell>
          <cell r="Y426" t="str">
            <v>EFI</v>
          </cell>
          <cell r="Z426" t="str">
            <v>x</v>
          </cell>
          <cell r="AA426" t="str">
            <v>x</v>
          </cell>
        </row>
        <row r="427">
          <cell r="B427" t="str">
            <v>INV06877</v>
          </cell>
          <cell r="H427" t="str">
            <v>AVNET US</v>
          </cell>
          <cell r="J427" t="str">
            <v>??</v>
          </cell>
          <cell r="K427" t="str">
            <v>VVMV</v>
          </cell>
          <cell r="L427" t="str">
            <v>HN</v>
          </cell>
          <cell r="N427">
            <v>46189</v>
          </cell>
          <cell r="O427">
            <v>46189</v>
          </cell>
          <cell r="P427" t="str">
            <v>In Transit</v>
          </cell>
          <cell r="Q427" t="e">
            <v>#VALUE!</v>
          </cell>
          <cell r="W427" t="str">
            <v>No need</v>
          </cell>
        </row>
        <row r="428">
          <cell r="B428" t="str">
            <v>INV06878</v>
          </cell>
          <cell r="E428">
            <v>207.4</v>
          </cell>
          <cell r="F428" t="str">
            <v>872979096738</v>
          </cell>
          <cell r="H428" t="str">
            <v>Jabil MX</v>
          </cell>
          <cell r="I428" t="str">
            <v>HLOB</v>
          </cell>
          <cell r="J428" t="str">
            <v>FedEx</v>
          </cell>
          <cell r="K428" t="str">
            <v>VVMV</v>
          </cell>
          <cell r="L428" t="str">
            <v>HN</v>
          </cell>
          <cell r="M428" t="str">
            <v>MX</v>
          </cell>
          <cell r="N428">
            <v>46185</v>
          </cell>
          <cell r="O428">
            <v>46185</v>
          </cell>
          <cell r="P428">
            <v>46189</v>
          </cell>
          <cell r="Q428">
            <v>4</v>
          </cell>
          <cell r="R428">
            <v>308630868030</v>
          </cell>
          <cell r="S428">
            <v>46185</v>
          </cell>
          <cell r="T428" t="str">
            <v>No inspection</v>
          </cell>
          <cell r="U428">
            <v>2713674.6</v>
          </cell>
          <cell r="V428" t="str">
            <v>PAYMENT</v>
          </cell>
          <cell r="W428" t="str">
            <v>OK</v>
          </cell>
          <cell r="X428" t="str">
            <v>FCA</v>
          </cell>
          <cell r="Y428" t="str">
            <v>PURE</v>
          </cell>
          <cell r="Z428" t="str">
            <v>x</v>
          </cell>
          <cell r="AA428" t="str">
            <v>x</v>
          </cell>
        </row>
        <row r="429">
          <cell r="B429" t="str">
            <v>INV06879</v>
          </cell>
          <cell r="E429">
            <v>92.5</v>
          </cell>
          <cell r="F429" t="str">
            <v>872986781703</v>
          </cell>
          <cell r="H429" t="str">
            <v>EFI ISAREL</v>
          </cell>
          <cell r="I429" t="str">
            <v>ASM</v>
          </cell>
          <cell r="J429" t="str">
            <v>FedEx</v>
          </cell>
          <cell r="K429" t="str">
            <v>VVMV</v>
          </cell>
          <cell r="L429" t="str">
            <v>HN</v>
          </cell>
          <cell r="M429" t="str">
            <v>IL</v>
          </cell>
          <cell r="N429">
            <v>46185</v>
          </cell>
          <cell r="O429">
            <v>46185</v>
          </cell>
          <cell r="P429">
            <v>46198</v>
          </cell>
          <cell r="Q429">
            <v>13</v>
          </cell>
          <cell r="R429">
            <v>308630914230</v>
          </cell>
          <cell r="S429">
            <v>46185</v>
          </cell>
          <cell r="T429" t="str">
            <v>No inspection</v>
          </cell>
          <cell r="U429">
            <v>32019.05</v>
          </cell>
          <cell r="V429" t="str">
            <v>PAYMENT</v>
          </cell>
          <cell r="W429" t="str">
            <v>OK</v>
          </cell>
          <cell r="X429" t="str">
            <v>FCA</v>
          </cell>
          <cell r="Y429" t="str">
            <v>EFI</v>
          </cell>
          <cell r="Z429" t="str">
            <v>x</v>
          </cell>
          <cell r="AA429" t="str">
            <v>x</v>
          </cell>
        </row>
        <row r="430">
          <cell r="B430" t="str">
            <v>INV06880</v>
          </cell>
          <cell r="E430">
            <v>30.7</v>
          </cell>
          <cell r="F430" t="str">
            <v>873019579334</v>
          </cell>
          <cell r="H430" t="str">
            <v>LUCID HQ</v>
          </cell>
          <cell r="I430" t="str">
            <v>ICC, UCC MID</v>
          </cell>
          <cell r="J430" t="str">
            <v>FedEx</v>
          </cell>
          <cell r="K430" t="str">
            <v>VVMV</v>
          </cell>
          <cell r="L430" t="str">
            <v>HN</v>
          </cell>
          <cell r="M430" t="str">
            <v>US</v>
          </cell>
          <cell r="N430">
            <v>46191</v>
          </cell>
          <cell r="O430">
            <v>46191</v>
          </cell>
          <cell r="P430">
            <v>46196</v>
          </cell>
          <cell r="Q430">
            <v>5</v>
          </cell>
          <cell r="R430">
            <v>308640745030</v>
          </cell>
          <cell r="S430">
            <v>46188</v>
          </cell>
          <cell r="T430" t="str">
            <v>No inspection</v>
          </cell>
          <cell r="U430">
            <v>13845.92</v>
          </cell>
          <cell r="V430" t="str">
            <v>PAYMENT</v>
          </cell>
          <cell r="W430" t="str">
            <v>ok</v>
          </cell>
          <cell r="X430" t="str">
            <v>FCA</v>
          </cell>
          <cell r="Y430" t="str">
            <v>Lucid</v>
          </cell>
          <cell r="Z430" t="str">
            <v>x</v>
          </cell>
          <cell r="AA430" t="str">
            <v>x</v>
          </cell>
        </row>
        <row r="431">
          <cell r="B431" t="str">
            <v>INV06881</v>
          </cell>
          <cell r="E431">
            <v>142.19999999999999</v>
          </cell>
          <cell r="F431" t="str">
            <v>SRAF0388475</v>
          </cell>
          <cell r="H431" t="str">
            <v>LUCID Coolidge</v>
          </cell>
          <cell r="I431" t="str">
            <v>UCC MID</v>
          </cell>
          <cell r="J431" t="str">
            <v>DSV</v>
          </cell>
          <cell r="K431" t="str">
            <v>VVMV</v>
          </cell>
          <cell r="L431" t="str">
            <v>HN</v>
          </cell>
          <cell r="M431" t="str">
            <v>US</v>
          </cell>
          <cell r="N431">
            <v>46192</v>
          </cell>
          <cell r="O431">
            <v>46192</v>
          </cell>
          <cell r="P431" t="str">
            <v>arrived LA ngay 23</v>
          </cell>
          <cell r="Q431" t="e">
            <v>#VALUE!</v>
          </cell>
          <cell r="R431">
            <v>308650996750</v>
          </cell>
          <cell r="S431">
            <v>46191</v>
          </cell>
          <cell r="T431" t="str">
            <v>No inspection</v>
          </cell>
          <cell r="U431">
            <v>56509.04</v>
          </cell>
          <cell r="V431" t="str">
            <v>PAYMENT</v>
          </cell>
          <cell r="W431" t="str">
            <v>OK</v>
          </cell>
          <cell r="X431" t="str">
            <v>FCA</v>
          </cell>
          <cell r="Y431" t="str">
            <v>Lucid</v>
          </cell>
          <cell r="Z431" t="str">
            <v>x</v>
          </cell>
          <cell r="AA431" t="str">
            <v>x</v>
          </cell>
        </row>
        <row r="432">
          <cell r="B432" t="str">
            <v>INV06882</v>
          </cell>
          <cell r="E432">
            <v>1715.4</v>
          </cell>
          <cell r="F432" t="str">
            <v>SRAF0389800</v>
          </cell>
          <cell r="H432" t="str">
            <v>Lucid Arizona</v>
          </cell>
          <cell r="I432" t="str">
            <v>REAR, UCC, BCM, DCM, FRONT, CABIN</v>
          </cell>
          <cell r="J432" t="str">
            <v>DSV</v>
          </cell>
          <cell r="K432" t="str">
            <v>VVMV</v>
          </cell>
          <cell r="L432" t="str">
            <v>HN</v>
          </cell>
          <cell r="M432" t="str">
            <v>US</v>
          </cell>
          <cell r="N432">
            <v>46191</v>
          </cell>
          <cell r="O432">
            <v>46191</v>
          </cell>
          <cell r="P432" t="str">
            <v>In Transit</v>
          </cell>
          <cell r="Q432" t="e">
            <v>#VALUE!</v>
          </cell>
          <cell r="R432">
            <v>308649051120</v>
          </cell>
          <cell r="S432">
            <v>46190</v>
          </cell>
          <cell r="T432" t="str">
            <v>No inspection</v>
          </cell>
          <cell r="U432">
            <v>282679.56</v>
          </cell>
          <cell r="V432" t="str">
            <v>PAYMENT</v>
          </cell>
          <cell r="W432" t="str">
            <v>ok</v>
          </cell>
          <cell r="X432" t="str">
            <v>FCA</v>
          </cell>
          <cell r="Y432" t="str">
            <v>Lucid</v>
          </cell>
          <cell r="Z432" t="str">
            <v>x</v>
          </cell>
          <cell r="AA432" t="str">
            <v>x</v>
          </cell>
        </row>
        <row r="433">
          <cell r="B433" t="str">
            <v>INV06883</v>
          </cell>
          <cell r="E433">
            <v>7</v>
          </cell>
          <cell r="F433" t="str">
            <v>873056855970</v>
          </cell>
          <cell r="H433" t="str">
            <v>HQ1</v>
          </cell>
          <cell r="I433" t="str">
            <v>SSD</v>
          </cell>
          <cell r="J433" t="str">
            <v>FedEx</v>
          </cell>
          <cell r="K433" t="str">
            <v>VVMV</v>
          </cell>
          <cell r="L433" t="str">
            <v>HN</v>
          </cell>
          <cell r="M433" t="str">
            <v>US</v>
          </cell>
          <cell r="N433">
            <v>46188</v>
          </cell>
          <cell r="O433">
            <v>46188</v>
          </cell>
          <cell r="P433">
            <v>46191</v>
          </cell>
          <cell r="Q433">
            <v>3</v>
          </cell>
          <cell r="R433">
            <v>308638133920</v>
          </cell>
          <cell r="S433">
            <v>46188</v>
          </cell>
          <cell r="T433" t="str">
            <v>No inspection</v>
          </cell>
          <cell r="U433">
            <v>10682.2</v>
          </cell>
          <cell r="V433" t="str">
            <v>NO PAYMENT</v>
          </cell>
          <cell r="W433" t="str">
            <v>No need</v>
          </cell>
          <cell r="X433" t="str">
            <v>DAP</v>
          </cell>
          <cell r="Y433" t="str">
            <v>Transfer</v>
          </cell>
          <cell r="Z433" t="str">
            <v>Transfer FG</v>
          </cell>
          <cell r="AA433" t="str">
            <v>x</v>
          </cell>
        </row>
        <row r="434">
          <cell r="B434" t="str">
            <v>Sample 758</v>
          </cell>
          <cell r="E434">
            <v>0.7</v>
          </cell>
          <cell r="F434" t="str">
            <v>1202764113</v>
          </cell>
          <cell r="H434" t="str">
            <v>Gultech</v>
          </cell>
          <cell r="I434" t="str">
            <v>PCB</v>
          </cell>
          <cell r="J434" t="str">
            <v>DHL</v>
          </cell>
          <cell r="K434" t="str">
            <v>x</v>
          </cell>
          <cell r="L434" t="str">
            <v>HN</v>
          </cell>
          <cell r="M434" t="str">
            <v>CN</v>
          </cell>
          <cell r="N434">
            <v>46188</v>
          </cell>
          <cell r="O434">
            <v>46188</v>
          </cell>
          <cell r="P434">
            <v>46189</v>
          </cell>
          <cell r="Q434">
            <v>1</v>
          </cell>
          <cell r="R434" t="str">
            <v>x</v>
          </cell>
          <cell r="S434" t="str">
            <v>x</v>
          </cell>
          <cell r="T434" t="str">
            <v>x</v>
          </cell>
          <cell r="U434">
            <v>11.84</v>
          </cell>
          <cell r="V434" t="str">
            <v>NO PAYMENT</v>
          </cell>
          <cell r="W434" t="str">
            <v>No need</v>
          </cell>
          <cell r="X434" t="str">
            <v>FCA</v>
          </cell>
          <cell r="Y434" t="str">
            <v>x</v>
          </cell>
          <cell r="Z434" t="str">
            <v>x</v>
          </cell>
          <cell r="AA434" t="str">
            <v>x</v>
          </cell>
        </row>
        <row r="435">
          <cell r="B435" t="str">
            <v>INV06884</v>
          </cell>
          <cell r="E435">
            <v>2162.4</v>
          </cell>
          <cell r="F435" t="str">
            <v>SRAF0397703</v>
          </cell>
          <cell r="H435" t="str">
            <v>Lucid Arizona</v>
          </cell>
          <cell r="I435" t="str">
            <v>VCU, REAR, UCC, BCM, FRONT, CABIN,DCM</v>
          </cell>
          <cell r="J435" t="str">
            <v>DSV</v>
          </cell>
          <cell r="K435" t="str">
            <v>VVMV</v>
          </cell>
          <cell r="L435" t="str">
            <v>HN</v>
          </cell>
          <cell r="M435" t="str">
            <v>US</v>
          </cell>
          <cell r="N435">
            <v>46192</v>
          </cell>
          <cell r="O435">
            <v>46192</v>
          </cell>
          <cell r="P435" t="str">
            <v>In Transit</v>
          </cell>
          <cell r="Q435" t="e">
            <v>#VALUE!</v>
          </cell>
          <cell r="R435">
            <v>308655841230</v>
          </cell>
          <cell r="S435">
            <v>46192</v>
          </cell>
          <cell r="T435" t="str">
            <v>No inspection</v>
          </cell>
          <cell r="U435">
            <v>447690</v>
          </cell>
          <cell r="V435" t="str">
            <v>PAYMENT</v>
          </cell>
          <cell r="W435" t="str">
            <v>OK</v>
          </cell>
          <cell r="X435" t="str">
            <v>FCA</v>
          </cell>
          <cell r="Y435" t="str">
            <v>Lucid</v>
          </cell>
          <cell r="Z435" t="str">
            <v>x</v>
          </cell>
          <cell r="AA435" t="str">
            <v>x</v>
          </cell>
        </row>
        <row r="436">
          <cell r="B436" t="str">
            <v>INV06885</v>
          </cell>
          <cell r="E436">
            <v>2618.6</v>
          </cell>
          <cell r="F436" t="str">
            <v>SRAF0397740</v>
          </cell>
          <cell r="H436" t="str">
            <v>Lucid Arizona</v>
          </cell>
          <cell r="I436" t="str">
            <v>ICC, CCCV2, FRONT, CABIN, REAR</v>
          </cell>
          <cell r="J436" t="str">
            <v>DSV</v>
          </cell>
          <cell r="K436" t="str">
            <v>VVMV</v>
          </cell>
          <cell r="L436" t="str">
            <v>HN</v>
          </cell>
          <cell r="M436" t="str">
            <v>US</v>
          </cell>
          <cell r="N436">
            <v>46192</v>
          </cell>
          <cell r="O436">
            <v>46192</v>
          </cell>
          <cell r="P436" t="str">
            <v>In Transit</v>
          </cell>
          <cell r="Q436" t="e">
            <v>#VALUE!</v>
          </cell>
          <cell r="R436">
            <v>308656963440</v>
          </cell>
          <cell r="S436">
            <v>46192</v>
          </cell>
          <cell r="T436" t="str">
            <v>No inspection</v>
          </cell>
          <cell r="U436">
            <v>498840.12</v>
          </cell>
          <cell r="V436" t="str">
            <v>PAYMENT</v>
          </cell>
          <cell r="W436" t="str">
            <v>OK</v>
          </cell>
          <cell r="X436" t="str">
            <v>FCA</v>
          </cell>
          <cell r="Y436" t="str">
            <v>Lucid</v>
          </cell>
          <cell r="Z436" t="str">
            <v>x</v>
          </cell>
          <cell r="AA436" t="str">
            <v>x</v>
          </cell>
        </row>
        <row r="437">
          <cell r="B437" t="str">
            <v>INV06886</v>
          </cell>
          <cell r="E437">
            <v>15.5</v>
          </cell>
          <cell r="F437" t="str">
            <v>873177259590</v>
          </cell>
          <cell r="H437" t="str">
            <v>PURE US</v>
          </cell>
          <cell r="I437" t="str">
            <v>HLOB</v>
          </cell>
          <cell r="J437" t="str">
            <v>FedEx</v>
          </cell>
          <cell r="K437" t="str">
            <v>VVMV</v>
          </cell>
          <cell r="L437" t="str">
            <v>HN</v>
          </cell>
          <cell r="M437" t="str">
            <v>US</v>
          </cell>
          <cell r="N437">
            <v>46190</v>
          </cell>
          <cell r="O437">
            <v>46190</v>
          </cell>
          <cell r="P437">
            <v>46204</v>
          </cell>
          <cell r="Q437">
            <v>14</v>
          </cell>
          <cell r="R437" t="str">
            <v>308645674061
308645636851</v>
          </cell>
          <cell r="S437">
            <v>46190</v>
          </cell>
          <cell r="T437" t="str">
            <v>Inspection</v>
          </cell>
          <cell r="U437">
            <v>7783.02</v>
          </cell>
          <cell r="V437" t="str">
            <v>NO PAYMENT</v>
          </cell>
          <cell r="W437" t="str">
            <v>No need</v>
          </cell>
          <cell r="X437" t="str">
            <v>FCA</v>
          </cell>
          <cell r="Y437" t="str">
            <v>PURE</v>
          </cell>
          <cell r="Z437" t="str">
            <v>RMA</v>
          </cell>
          <cell r="AA437" t="str">
            <v>x</v>
          </cell>
        </row>
        <row r="438">
          <cell r="B438" t="str">
            <v>INV06887</v>
          </cell>
          <cell r="E438">
            <v>10.6</v>
          </cell>
          <cell r="F438" t="str">
            <v>873136551716</v>
          </cell>
          <cell r="H438" t="str">
            <v>Jabil MX</v>
          </cell>
          <cell r="I438" t="str">
            <v>HLOB</v>
          </cell>
          <cell r="J438" t="str">
            <v>FedEx</v>
          </cell>
          <cell r="K438" t="str">
            <v>VVMV</v>
          </cell>
          <cell r="L438" t="str">
            <v>HN</v>
          </cell>
          <cell r="M438" t="str">
            <v>MX</v>
          </cell>
          <cell r="N438">
            <v>46190</v>
          </cell>
          <cell r="O438">
            <v>46190</v>
          </cell>
          <cell r="P438">
            <v>46193</v>
          </cell>
          <cell r="Q438">
            <v>3</v>
          </cell>
          <cell r="R438">
            <v>308645704751</v>
          </cell>
          <cell r="S438">
            <v>46190</v>
          </cell>
          <cell r="T438" t="str">
            <v>Inspection</v>
          </cell>
          <cell r="U438">
            <v>22075.65</v>
          </cell>
          <cell r="V438" t="str">
            <v>NO PAYMENT</v>
          </cell>
          <cell r="W438" t="str">
            <v>No need</v>
          </cell>
          <cell r="X438" t="str">
            <v>FCA</v>
          </cell>
          <cell r="Y438" t="str">
            <v>PURE</v>
          </cell>
          <cell r="Z438" t="str">
            <v>x</v>
          </cell>
          <cell r="AA438" t="str">
            <v>x</v>
          </cell>
        </row>
        <row r="439">
          <cell r="B439" t="str">
            <v>INV06888</v>
          </cell>
          <cell r="E439">
            <v>102</v>
          </cell>
          <cell r="F439" t="str">
            <v>2221953241</v>
          </cell>
          <cell r="H439" t="str">
            <v>AVNET US</v>
          </cell>
          <cell r="I439" t="str">
            <v>PCBA</v>
          </cell>
          <cell r="J439" t="str">
            <v>DHL</v>
          </cell>
          <cell r="K439" t="str">
            <v>VVMV</v>
          </cell>
          <cell r="L439" t="str">
            <v>HN</v>
          </cell>
          <cell r="M439" t="str">
            <v>US</v>
          </cell>
          <cell r="N439">
            <v>46192</v>
          </cell>
          <cell r="O439">
            <v>46192</v>
          </cell>
          <cell r="P439">
            <v>46197</v>
          </cell>
          <cell r="Q439">
            <v>5</v>
          </cell>
          <cell r="R439">
            <v>308655163740</v>
          </cell>
          <cell r="S439">
            <v>46192</v>
          </cell>
          <cell r="T439" t="str">
            <v>No inspection</v>
          </cell>
          <cell r="U439">
            <v>133686.25</v>
          </cell>
          <cell r="V439" t="str">
            <v>PAYMENT</v>
          </cell>
          <cell r="W439" t="str">
            <v>OK</v>
          </cell>
          <cell r="X439" t="str">
            <v>FCA</v>
          </cell>
          <cell r="Y439" t="str">
            <v>EFI</v>
          </cell>
          <cell r="Z439" t="str">
            <v>x</v>
          </cell>
          <cell r="AA439" t="str">
            <v>x</v>
          </cell>
        </row>
        <row r="440">
          <cell r="B440" t="str">
            <v>Sample 759</v>
          </cell>
          <cell r="E440">
            <v>0.24399999999999999</v>
          </cell>
          <cell r="F440" t="str">
            <v>873247472608</v>
          </cell>
          <cell r="H440" t="str">
            <v>Unigen MY</v>
          </cell>
          <cell r="I440" t="str">
            <v>IC</v>
          </cell>
          <cell r="J440" t="str">
            <v>FedEx</v>
          </cell>
          <cell r="K440" t="str">
            <v>VVMV</v>
          </cell>
          <cell r="L440" t="str">
            <v>HN</v>
          </cell>
          <cell r="M440" t="str">
            <v>MY</v>
          </cell>
          <cell r="N440">
            <v>46192</v>
          </cell>
          <cell r="O440">
            <v>46192</v>
          </cell>
          <cell r="P440">
            <v>46196</v>
          </cell>
          <cell r="Q440">
            <v>4</v>
          </cell>
          <cell r="R440" t="str">
            <v>x</v>
          </cell>
          <cell r="S440" t="str">
            <v>x</v>
          </cell>
          <cell r="T440" t="str">
            <v>x</v>
          </cell>
          <cell r="U440">
            <v>34.659999999999997</v>
          </cell>
          <cell r="V440" t="str">
            <v>NO PAYMENT</v>
          </cell>
          <cell r="W440" t="str">
            <v>No need</v>
          </cell>
          <cell r="X440" t="str">
            <v>FCA</v>
          </cell>
          <cell r="Y440" t="str">
            <v>x</v>
          </cell>
          <cell r="Z440" t="str">
            <v>x</v>
          </cell>
          <cell r="AA440" t="str">
            <v>x</v>
          </cell>
        </row>
        <row r="441">
          <cell r="B441" t="str">
            <v>INV06889</v>
          </cell>
          <cell r="E441">
            <v>1344.1</v>
          </cell>
          <cell r="F441" t="str">
            <v>45T0483089</v>
          </cell>
          <cell r="H441" t="str">
            <v>FTX</v>
          </cell>
          <cell r="I441" t="str">
            <v>HOPPER, GROVER</v>
          </cell>
          <cell r="J441" t="str">
            <v>Expeditors</v>
          </cell>
          <cell r="K441" t="str">
            <v>Expeditors</v>
          </cell>
          <cell r="L441" t="str">
            <v>HN</v>
          </cell>
          <cell r="M441" t="str">
            <v>US</v>
          </cell>
          <cell r="N441">
            <v>46197</v>
          </cell>
          <cell r="O441">
            <v>46197</v>
          </cell>
          <cell r="P441">
            <v>46204</v>
          </cell>
          <cell r="Q441">
            <v>7</v>
          </cell>
          <cell r="R441">
            <v>308670778160</v>
          </cell>
          <cell r="S441">
            <v>46197</v>
          </cell>
          <cell r="T441" t="str">
            <v>No inspection</v>
          </cell>
          <cell r="U441">
            <v>5344308.01</v>
          </cell>
          <cell r="V441" t="str">
            <v>PAYMENT</v>
          </cell>
          <cell r="W441" t="str">
            <v>OK</v>
          </cell>
          <cell r="X441" t="str">
            <v>EXW</v>
          </cell>
          <cell r="Y441" t="str">
            <v>x</v>
          </cell>
          <cell r="Z441" t="str">
            <v>x</v>
          </cell>
          <cell r="AA441" t="str">
            <v>x</v>
          </cell>
        </row>
        <row r="442">
          <cell r="B442" t="str">
            <v>INV06890</v>
          </cell>
          <cell r="E442">
            <v>127.8</v>
          </cell>
          <cell r="F442" t="str">
            <v>HAN26002086</v>
          </cell>
          <cell r="H442" t="str">
            <v>FCZ</v>
          </cell>
          <cell r="I442" t="str">
            <v>HOPPER</v>
          </cell>
          <cell r="J442" t="str">
            <v>Schenker</v>
          </cell>
          <cell r="K442" t="str">
            <v>Schenker</v>
          </cell>
          <cell r="L442" t="str">
            <v>HN</v>
          </cell>
          <cell r="M442" t="str">
            <v>CZ</v>
          </cell>
          <cell r="N442">
            <v>46192</v>
          </cell>
          <cell r="O442">
            <v>46192</v>
          </cell>
          <cell r="P442">
            <v>46205</v>
          </cell>
          <cell r="Q442">
            <v>13</v>
          </cell>
          <cell r="R442">
            <v>308655289520</v>
          </cell>
          <cell r="S442">
            <v>46192</v>
          </cell>
          <cell r="T442" t="str">
            <v>No inspection</v>
          </cell>
          <cell r="U442">
            <v>860700</v>
          </cell>
          <cell r="V442" t="str">
            <v>PAYMENT</v>
          </cell>
          <cell r="W442" t="str">
            <v>OK</v>
          </cell>
          <cell r="X442" t="str">
            <v>EXW</v>
          </cell>
          <cell r="Y442" t="str">
            <v>x</v>
          </cell>
          <cell r="Z442" t="str">
            <v>x</v>
          </cell>
          <cell r="AA442" t="str">
            <v>x</v>
          </cell>
        </row>
        <row r="443">
          <cell r="B443" t="str">
            <v>INV06891</v>
          </cell>
          <cell r="E443">
            <v>92.1</v>
          </cell>
          <cell r="F443" t="str">
            <v>HAN26002087</v>
          </cell>
          <cell r="H443" t="str">
            <v>FCZ</v>
          </cell>
          <cell r="I443" t="str">
            <v>HOPPER, GROVER, ICER</v>
          </cell>
          <cell r="J443" t="str">
            <v>Schenker</v>
          </cell>
          <cell r="K443" t="str">
            <v>Schenker</v>
          </cell>
          <cell r="L443" t="str">
            <v>HN</v>
          </cell>
          <cell r="M443" t="str">
            <v>CZ</v>
          </cell>
          <cell r="N443">
            <v>46192</v>
          </cell>
          <cell r="O443">
            <v>46192</v>
          </cell>
          <cell r="P443">
            <v>46205</v>
          </cell>
          <cell r="Q443">
            <v>13</v>
          </cell>
          <cell r="R443">
            <v>308655249250</v>
          </cell>
          <cell r="S443">
            <v>46192</v>
          </cell>
          <cell r="T443" t="str">
            <v>No inspection</v>
          </cell>
          <cell r="U443">
            <v>559943.16</v>
          </cell>
          <cell r="V443" t="str">
            <v>PAYMENT</v>
          </cell>
          <cell r="W443" t="str">
            <v>OK</v>
          </cell>
          <cell r="X443" t="str">
            <v>EXW</v>
          </cell>
          <cell r="Y443" t="str">
            <v>x</v>
          </cell>
          <cell r="Z443" t="str">
            <v>x</v>
          </cell>
          <cell r="AA443" t="str">
            <v>x</v>
          </cell>
        </row>
        <row r="444">
          <cell r="B444" t="str">
            <v>E01092</v>
          </cell>
          <cell r="E444">
            <v>216</v>
          </cell>
          <cell r="F444" t="str">
            <v>SHANS0003200</v>
          </cell>
          <cell r="H444" t="str">
            <v>HQ1</v>
          </cell>
          <cell r="I444" t="str">
            <v>box, tray, cover</v>
          </cell>
          <cell r="J444" t="str">
            <v>FedEx Log</v>
          </cell>
          <cell r="K444" t="str">
            <v>VVMV</v>
          </cell>
          <cell r="L444" t="str">
            <v>HN</v>
          </cell>
          <cell r="M444" t="str">
            <v>US</v>
          </cell>
          <cell r="N444">
            <v>46198</v>
          </cell>
          <cell r="O444">
            <v>46198</v>
          </cell>
          <cell r="P444" t="str">
            <v>depart ngay 29</v>
          </cell>
          <cell r="Q444" t="e">
            <v>#VALUE!</v>
          </cell>
          <cell r="R444">
            <v>308665095931</v>
          </cell>
          <cell r="S444">
            <v>46197</v>
          </cell>
          <cell r="T444" t="str">
            <v>Inspection</v>
          </cell>
          <cell r="U444">
            <v>1188.75</v>
          </cell>
          <cell r="V444" t="str">
            <v>NO PAYMENT</v>
          </cell>
          <cell r="W444" t="str">
            <v>No need</v>
          </cell>
          <cell r="X444" t="str">
            <v>FCA</v>
          </cell>
          <cell r="Y444" t="str">
            <v>Transfer</v>
          </cell>
          <cell r="Z444" t="str">
            <v>x</v>
          </cell>
          <cell r="AA444" t="str">
            <v>x</v>
          </cell>
        </row>
        <row r="445">
          <cell r="B445" t="str">
            <v>INV06892</v>
          </cell>
          <cell r="E445">
            <v>1445.4</v>
          </cell>
          <cell r="F445" t="str">
            <v>SRAF0402876</v>
          </cell>
          <cell r="H445" t="str">
            <v>Lucid Arizona</v>
          </cell>
          <cell r="I445" t="str">
            <v>VCU, UCC, BCM, FRONT, CABIN, REAR, DCM</v>
          </cell>
          <cell r="J445" t="str">
            <v>DSV</v>
          </cell>
          <cell r="K445" t="str">
            <v>VVMV</v>
          </cell>
          <cell r="L445" t="str">
            <v>HN</v>
          </cell>
          <cell r="M445" t="str">
            <v>US</v>
          </cell>
          <cell r="N445">
            <v>46198</v>
          </cell>
          <cell r="O445">
            <v>46198</v>
          </cell>
          <cell r="P445" t="str">
            <v>In Transit</v>
          </cell>
          <cell r="Q445" t="e">
            <v>#VALUE!</v>
          </cell>
          <cell r="R445">
            <v>308673841360</v>
          </cell>
          <cell r="S445">
            <v>46198</v>
          </cell>
          <cell r="T445" t="str">
            <v>No inspection</v>
          </cell>
          <cell r="U445">
            <v>251136.36</v>
          </cell>
          <cell r="V445" t="str">
            <v>PAYMENT</v>
          </cell>
          <cell r="W445" t="str">
            <v>ok</v>
          </cell>
          <cell r="X445" t="str">
            <v>FCA</v>
          </cell>
          <cell r="Y445" t="str">
            <v>Lucid</v>
          </cell>
          <cell r="Z445" t="str">
            <v>x</v>
          </cell>
          <cell r="AA445" t="str">
            <v>x</v>
          </cell>
        </row>
        <row r="446">
          <cell r="B446" t="str">
            <v>INV06893</v>
          </cell>
          <cell r="E446">
            <v>861</v>
          </cell>
          <cell r="F446" t="str">
            <v>SRAF0405433</v>
          </cell>
          <cell r="H446" t="str">
            <v>HELLA</v>
          </cell>
          <cell r="I446" t="str">
            <v>HCU</v>
          </cell>
          <cell r="J446" t="str">
            <v>DSV</v>
          </cell>
          <cell r="K446" t="str">
            <v>VVMV</v>
          </cell>
          <cell r="L446" t="str">
            <v>HN</v>
          </cell>
          <cell r="M446" t="str">
            <v>DE</v>
          </cell>
          <cell r="N446">
            <v>46199</v>
          </cell>
          <cell r="O446">
            <v>46199</v>
          </cell>
          <cell r="P446" t="str">
            <v>depart ngay 28</v>
          </cell>
          <cell r="Q446" t="e">
            <v>#VALUE!</v>
          </cell>
          <cell r="R446">
            <v>308674573820</v>
          </cell>
          <cell r="S446">
            <v>46198</v>
          </cell>
          <cell r="T446" t="str">
            <v>No inspection</v>
          </cell>
          <cell r="U446">
            <v>134625.60000000001</v>
          </cell>
          <cell r="V446" t="str">
            <v>PAYMENT</v>
          </cell>
          <cell r="W446" t="str">
            <v>OK</v>
          </cell>
          <cell r="X446" t="str">
            <v>FCA</v>
          </cell>
          <cell r="Y446" t="str">
            <v>Lucid</v>
          </cell>
          <cell r="Z446" t="str">
            <v>x</v>
          </cell>
          <cell r="AA446" t="str">
            <v>x</v>
          </cell>
        </row>
        <row r="447">
          <cell r="B447" t="str">
            <v>INV06894</v>
          </cell>
          <cell r="E447">
            <v>2280</v>
          </cell>
          <cell r="F447" t="str">
            <v>SRAF0404351</v>
          </cell>
          <cell r="H447" t="str">
            <v>Lucid Arizona</v>
          </cell>
          <cell r="I447" t="str">
            <v>VCU, UCC, BCM, FRONT, CABIN, REAR, DCM</v>
          </cell>
          <cell r="J447" t="str">
            <v>DSV</v>
          </cell>
          <cell r="K447" t="str">
            <v>VVMV</v>
          </cell>
          <cell r="L447" t="str">
            <v>HN</v>
          </cell>
          <cell r="M447" t="str">
            <v>US</v>
          </cell>
          <cell r="N447">
            <v>46198</v>
          </cell>
          <cell r="O447">
            <v>46198</v>
          </cell>
          <cell r="P447" t="str">
            <v>In Transit</v>
          </cell>
          <cell r="Q447" t="e">
            <v>#VALUE!</v>
          </cell>
          <cell r="R447">
            <v>308674016840</v>
          </cell>
          <cell r="S447">
            <v>46198</v>
          </cell>
          <cell r="T447" t="str">
            <v>No inspection</v>
          </cell>
          <cell r="U447">
            <v>431352</v>
          </cell>
          <cell r="V447" t="str">
            <v>PAYMENT</v>
          </cell>
          <cell r="W447" t="str">
            <v>ok</v>
          </cell>
          <cell r="X447" t="str">
            <v>FCA</v>
          </cell>
          <cell r="Y447" t="str">
            <v>Lucid</v>
          </cell>
          <cell r="Z447" t="str">
            <v>x</v>
          </cell>
          <cell r="AA447" t="str">
            <v>x</v>
          </cell>
        </row>
        <row r="448">
          <cell r="B448" t="str">
            <v>INV06895</v>
          </cell>
          <cell r="E448">
            <v>0.8</v>
          </cell>
          <cell r="F448" t="str">
            <v>873426735274</v>
          </cell>
          <cell r="H448" t="str">
            <v>IXSYSTEMS</v>
          </cell>
          <cell r="I448" t="str">
            <v>DDR4</v>
          </cell>
          <cell r="J448" t="str">
            <v>FedEx</v>
          </cell>
          <cell r="K448" t="str">
            <v>VVMV</v>
          </cell>
          <cell r="L448" t="str">
            <v>HN</v>
          </cell>
          <cell r="M448" t="str">
            <v>US</v>
          </cell>
          <cell r="N448">
            <v>46197</v>
          </cell>
          <cell r="O448">
            <v>46197</v>
          </cell>
          <cell r="P448">
            <v>46202</v>
          </cell>
          <cell r="Q448">
            <v>5</v>
          </cell>
          <cell r="R448">
            <v>308665242821</v>
          </cell>
          <cell r="S448">
            <v>46196</v>
          </cell>
          <cell r="T448" t="str">
            <v>Inspection</v>
          </cell>
          <cell r="U448">
            <v>210.78</v>
          </cell>
          <cell r="V448" t="str">
            <v>NO PAYMENT</v>
          </cell>
          <cell r="W448" t="str">
            <v>No need</v>
          </cell>
          <cell r="X448" t="str">
            <v>DAP</v>
          </cell>
          <cell r="Y448" t="str">
            <v>OEM</v>
          </cell>
          <cell r="Z448" t="str">
            <v>RMA</v>
          </cell>
          <cell r="AA448" t="str">
            <v>x</v>
          </cell>
        </row>
        <row r="449">
          <cell r="B449" t="str">
            <v>INV06896</v>
          </cell>
          <cell r="E449">
            <v>169</v>
          </cell>
          <cell r="F449" t="str">
            <v>MIQSGN05223</v>
          </cell>
          <cell r="H449" t="str">
            <v>EFI LONDONDERRY</v>
          </cell>
          <cell r="I449" t="str">
            <v>PCBA</v>
          </cell>
          <cell r="J449" t="str">
            <v>Noatum</v>
          </cell>
          <cell r="K449" t="str">
            <v>Noatum</v>
          </cell>
          <cell r="L449" t="str">
            <v>HN</v>
          </cell>
          <cell r="M449" t="str">
            <v>US</v>
          </cell>
          <cell r="N449">
            <v>46197</v>
          </cell>
          <cell r="O449">
            <v>46197</v>
          </cell>
          <cell r="P449" t="str">
            <v>In Transit</v>
          </cell>
          <cell r="Q449" t="e">
            <v>#VALUE!</v>
          </cell>
          <cell r="R449">
            <v>308671551000</v>
          </cell>
          <cell r="S449">
            <v>46197</v>
          </cell>
          <cell r="T449" t="str">
            <v>No inspection</v>
          </cell>
          <cell r="U449">
            <v>66710</v>
          </cell>
          <cell r="V449" t="str">
            <v>PAYMENT</v>
          </cell>
          <cell r="W449" t="str">
            <v>OK</v>
          </cell>
          <cell r="X449" t="str">
            <v>EXW</v>
          </cell>
          <cell r="Y449" t="str">
            <v>x</v>
          </cell>
          <cell r="Z449" t="str">
            <v>x</v>
          </cell>
          <cell r="AA449" t="str">
            <v>x</v>
          </cell>
        </row>
        <row r="450">
          <cell r="B450" t="str">
            <v>Sample 760</v>
          </cell>
          <cell r="E450">
            <v>0.28799999999999998</v>
          </cell>
          <cell r="F450" t="str">
            <v>873481904116</v>
          </cell>
          <cell r="H450" t="str">
            <v>GCE TW</v>
          </cell>
          <cell r="I450" t="str">
            <v>PCB</v>
          </cell>
          <cell r="J450" t="str">
            <v>FedEx</v>
          </cell>
          <cell r="K450" t="str">
            <v>X</v>
          </cell>
          <cell r="L450" t="str">
            <v>HN</v>
          </cell>
          <cell r="M450" t="str">
            <v>TW</v>
          </cell>
          <cell r="N450">
            <v>46197</v>
          </cell>
          <cell r="O450">
            <v>46197</v>
          </cell>
          <cell r="P450">
            <v>46199</v>
          </cell>
          <cell r="Q450">
            <v>2</v>
          </cell>
          <cell r="R450" t="str">
            <v>x</v>
          </cell>
          <cell r="S450" t="str">
            <v>x</v>
          </cell>
          <cell r="T450" t="str">
            <v>x</v>
          </cell>
          <cell r="U450">
            <v>22.43</v>
          </cell>
          <cell r="V450" t="str">
            <v>NO PAYMENT</v>
          </cell>
          <cell r="W450" t="str">
            <v>No need</v>
          </cell>
          <cell r="X450" t="str">
            <v>FCA</v>
          </cell>
          <cell r="Y450" t="str">
            <v>x</v>
          </cell>
          <cell r="Z450" t="str">
            <v>x</v>
          </cell>
          <cell r="AA450" t="str">
            <v>x</v>
          </cell>
        </row>
        <row r="451">
          <cell r="B451" t="str">
            <v>INV06897</v>
          </cell>
          <cell r="E451">
            <v>40.5</v>
          </cell>
          <cell r="F451" t="str">
            <v>7719743323</v>
          </cell>
          <cell r="H451" t="str">
            <v>AVNET US</v>
          </cell>
          <cell r="I451" t="str">
            <v>PCBA</v>
          </cell>
          <cell r="J451" t="str">
            <v>DHL</v>
          </cell>
          <cell r="K451" t="str">
            <v>VVMV</v>
          </cell>
          <cell r="L451" t="str">
            <v>HN</v>
          </cell>
          <cell r="M451" t="str">
            <v>US</v>
          </cell>
          <cell r="N451">
            <v>46198</v>
          </cell>
          <cell r="O451">
            <v>46198</v>
          </cell>
          <cell r="P451">
            <v>46203</v>
          </cell>
          <cell r="Q451">
            <v>5</v>
          </cell>
          <cell r="R451">
            <v>308673929340</v>
          </cell>
          <cell r="S451">
            <v>46198</v>
          </cell>
          <cell r="T451" t="str">
            <v>No inspection</v>
          </cell>
          <cell r="U451">
            <v>49353.68</v>
          </cell>
          <cell r="V451" t="str">
            <v>PAYMENT</v>
          </cell>
          <cell r="W451" t="str">
            <v>ok</v>
          </cell>
          <cell r="X451" t="str">
            <v>FCA</v>
          </cell>
          <cell r="Y451" t="str">
            <v>EFI</v>
          </cell>
          <cell r="Z451" t="str">
            <v>x</v>
          </cell>
          <cell r="AA451" t="str">
            <v>x</v>
          </cell>
        </row>
        <row r="452">
          <cell r="B452" t="str">
            <v>INV06898</v>
          </cell>
          <cell r="E452">
            <v>2.5</v>
          </cell>
          <cell r="F452" t="str">
            <v>873536960285</v>
          </cell>
          <cell r="H452" t="str">
            <v>EFI ISAREL</v>
          </cell>
          <cell r="I452" t="str">
            <v>PCBA</v>
          </cell>
          <cell r="J452" t="str">
            <v>FedEx</v>
          </cell>
          <cell r="K452" t="str">
            <v>VVMV</v>
          </cell>
          <cell r="L452" t="str">
            <v>HN</v>
          </cell>
          <cell r="M452" t="str">
            <v>IL</v>
          </cell>
          <cell r="N452">
            <v>46198</v>
          </cell>
          <cell r="O452">
            <v>46198</v>
          </cell>
          <cell r="P452">
            <v>46204</v>
          </cell>
          <cell r="Q452">
            <v>6</v>
          </cell>
          <cell r="R452">
            <v>308673985600</v>
          </cell>
          <cell r="S452">
            <v>46198</v>
          </cell>
          <cell r="T452" t="str">
            <v>No inspection</v>
          </cell>
          <cell r="U452">
            <v>653.45000000000005</v>
          </cell>
          <cell r="V452" t="str">
            <v>PAYMENT</v>
          </cell>
          <cell r="W452" t="str">
            <v>ok</v>
          </cell>
          <cell r="X452" t="str">
            <v>FCA</v>
          </cell>
          <cell r="Y452" t="str">
            <v>EFI</v>
          </cell>
          <cell r="Z452" t="str">
            <v>x</v>
          </cell>
          <cell r="AA452" t="str">
            <v>x</v>
          </cell>
        </row>
        <row r="453">
          <cell r="B453" t="str">
            <v>INV06899</v>
          </cell>
          <cell r="E453">
            <v>102.7</v>
          </cell>
          <cell r="F453" t="str">
            <v>6002930511</v>
          </cell>
          <cell r="H453" t="str">
            <v>AVNET US</v>
          </cell>
          <cell r="I453" t="str">
            <v>PCBA</v>
          </cell>
          <cell r="J453" t="str">
            <v>DHL</v>
          </cell>
          <cell r="K453" t="str">
            <v>VVMV</v>
          </cell>
          <cell r="L453" t="str">
            <v>HN</v>
          </cell>
          <cell r="M453" t="str">
            <v>US</v>
          </cell>
          <cell r="N453">
            <v>46199</v>
          </cell>
          <cell r="O453">
            <v>46199</v>
          </cell>
          <cell r="P453">
            <v>46204</v>
          </cell>
          <cell r="Q453">
            <v>5</v>
          </cell>
          <cell r="R453">
            <v>308679162910</v>
          </cell>
          <cell r="S453">
            <v>46199</v>
          </cell>
          <cell r="T453" t="str">
            <v>No inspection</v>
          </cell>
          <cell r="U453">
            <v>173723.75</v>
          </cell>
          <cell r="V453" t="str">
            <v>PAYMENT</v>
          </cell>
          <cell r="W453" t="str">
            <v>OK</v>
          </cell>
          <cell r="X453" t="str">
            <v>FCA</v>
          </cell>
          <cell r="Y453" t="str">
            <v>EFI</v>
          </cell>
          <cell r="Z453" t="str">
            <v>x</v>
          </cell>
          <cell r="AA453" t="str">
            <v>x</v>
          </cell>
        </row>
        <row r="454">
          <cell r="B454" t="str">
            <v>INV06900</v>
          </cell>
          <cell r="E454">
            <v>230.7</v>
          </cell>
          <cell r="F454" t="str">
            <v>HAN26002192</v>
          </cell>
          <cell r="H454" t="str">
            <v>FCZ</v>
          </cell>
          <cell r="I454" t="str">
            <v>HOPPER, GROVER</v>
          </cell>
          <cell r="J454" t="str">
            <v>Schenker</v>
          </cell>
          <cell r="K454" t="str">
            <v>Schenker</v>
          </cell>
          <cell r="L454" t="str">
            <v>HN</v>
          </cell>
          <cell r="M454" t="str">
            <v>CZ</v>
          </cell>
          <cell r="N454">
            <v>46199</v>
          </cell>
          <cell r="O454">
            <v>46199</v>
          </cell>
          <cell r="P454" t="str">
            <v>arrive lux ngay 27</v>
          </cell>
          <cell r="Q454" t="e">
            <v>#VALUE!</v>
          </cell>
          <cell r="R454">
            <v>308680361160</v>
          </cell>
          <cell r="S454">
            <v>46199</v>
          </cell>
          <cell r="T454" t="str">
            <v>No inspection</v>
          </cell>
          <cell r="U454">
            <v>681073.4</v>
          </cell>
          <cell r="V454" t="str">
            <v>PAYMENT</v>
          </cell>
          <cell r="W454" t="str">
            <v>OK</v>
          </cell>
          <cell r="X454" t="str">
            <v>EXW</v>
          </cell>
          <cell r="Y454" t="str">
            <v>x</v>
          </cell>
          <cell r="Z454" t="str">
            <v>x</v>
          </cell>
          <cell r="AA454" t="str">
            <v>x</v>
          </cell>
        </row>
        <row r="455">
          <cell r="B455" t="str">
            <v>INV06901</v>
          </cell>
          <cell r="E455">
            <v>157.4</v>
          </cell>
          <cell r="F455" t="str">
            <v>HAN26002193</v>
          </cell>
          <cell r="H455" t="str">
            <v>FCZ</v>
          </cell>
          <cell r="I455" t="str">
            <v>HOPPER, GROVER, ICER</v>
          </cell>
          <cell r="J455" t="str">
            <v>Schenker</v>
          </cell>
          <cell r="K455" t="str">
            <v>Schenker</v>
          </cell>
          <cell r="L455" t="str">
            <v>HN</v>
          </cell>
          <cell r="M455" t="str">
            <v>CZ</v>
          </cell>
          <cell r="N455">
            <v>46199</v>
          </cell>
          <cell r="O455">
            <v>46199</v>
          </cell>
          <cell r="P455" t="str">
            <v>arrive lux ngay 27</v>
          </cell>
          <cell r="Q455" t="e">
            <v>#VALUE!</v>
          </cell>
          <cell r="R455">
            <v>308680451610</v>
          </cell>
          <cell r="S455">
            <v>46199</v>
          </cell>
          <cell r="T455" t="str">
            <v>No inspection</v>
          </cell>
          <cell r="U455">
            <v>600657.59</v>
          </cell>
          <cell r="V455" t="str">
            <v>PAYMENT</v>
          </cell>
          <cell r="W455" t="str">
            <v>OK</v>
          </cell>
          <cell r="X455" t="str">
            <v>EXW</v>
          </cell>
          <cell r="Y455" t="str">
            <v>x</v>
          </cell>
          <cell r="Z455" t="str">
            <v>x</v>
          </cell>
          <cell r="AA455" t="str">
            <v>x</v>
          </cell>
        </row>
        <row r="456">
          <cell r="B456" t="str">
            <v>INV06902</v>
          </cell>
          <cell r="E456">
            <v>201.6</v>
          </cell>
          <cell r="F456" t="str">
            <v>HAN26002194</v>
          </cell>
          <cell r="H456" t="str">
            <v>FCZ</v>
          </cell>
          <cell r="I456" t="str">
            <v>HOPPER, GROVER</v>
          </cell>
          <cell r="J456" t="str">
            <v>Schenker</v>
          </cell>
          <cell r="K456" t="str">
            <v>Schenker</v>
          </cell>
          <cell r="L456" t="str">
            <v>HN</v>
          </cell>
          <cell r="M456" t="str">
            <v>CZ</v>
          </cell>
          <cell r="N456">
            <v>46199</v>
          </cell>
          <cell r="O456">
            <v>46199</v>
          </cell>
          <cell r="P456" t="str">
            <v>arrive lux ngay 27</v>
          </cell>
          <cell r="Q456" t="e">
            <v>#VALUE!</v>
          </cell>
          <cell r="R456">
            <v>308680498730</v>
          </cell>
          <cell r="S456">
            <v>46199</v>
          </cell>
          <cell r="T456" t="str">
            <v>No inspection</v>
          </cell>
          <cell r="U456">
            <v>884514.6</v>
          </cell>
          <cell r="V456" t="str">
            <v>PAYMENT</v>
          </cell>
          <cell r="W456" t="str">
            <v>OK</v>
          </cell>
          <cell r="X456" t="str">
            <v>EXW</v>
          </cell>
          <cell r="Y456" t="str">
            <v>x</v>
          </cell>
          <cell r="Z456" t="str">
            <v>x</v>
          </cell>
          <cell r="AA456" t="str">
            <v>x</v>
          </cell>
        </row>
        <row r="457">
          <cell r="B457" t="str">
            <v>INV06903</v>
          </cell>
          <cell r="E457">
            <v>99.8</v>
          </cell>
          <cell r="F457" t="str">
            <v>HAN26002195</v>
          </cell>
          <cell r="H457" t="str">
            <v>FCZ</v>
          </cell>
          <cell r="I457" t="str">
            <v>HOPPER, GROVER</v>
          </cell>
          <cell r="J457" t="str">
            <v>Schenker</v>
          </cell>
          <cell r="K457" t="str">
            <v>Schenker</v>
          </cell>
          <cell r="L457" t="str">
            <v>HN</v>
          </cell>
          <cell r="M457" t="str">
            <v>CZ</v>
          </cell>
          <cell r="N457">
            <v>46199</v>
          </cell>
          <cell r="O457">
            <v>46199</v>
          </cell>
          <cell r="P457" t="str">
            <v>arrive lux ngay 27</v>
          </cell>
          <cell r="Q457" t="e">
            <v>#VALUE!</v>
          </cell>
          <cell r="R457">
            <v>308680557050</v>
          </cell>
          <cell r="S457">
            <v>46199</v>
          </cell>
          <cell r="T457" t="str">
            <v>No inspection</v>
          </cell>
          <cell r="U457">
            <v>605782.80000000005</v>
          </cell>
          <cell r="V457" t="str">
            <v>PAYMENT</v>
          </cell>
          <cell r="W457" t="str">
            <v>OK</v>
          </cell>
          <cell r="X457" t="str">
            <v>EXW</v>
          </cell>
          <cell r="Y457" t="str">
            <v>x</v>
          </cell>
          <cell r="Z457" t="str">
            <v>x</v>
          </cell>
          <cell r="AA457" t="str">
            <v>x</v>
          </cell>
        </row>
        <row r="458">
          <cell r="B458" t="str">
            <v>INV06904</v>
          </cell>
          <cell r="E458">
            <v>37.799999999999997</v>
          </cell>
          <cell r="F458" t="str">
            <v>HAN26002196</v>
          </cell>
          <cell r="H458" t="str">
            <v>FCZ</v>
          </cell>
          <cell r="I458" t="str">
            <v>HOPPER</v>
          </cell>
          <cell r="J458" t="str">
            <v>Schenker</v>
          </cell>
          <cell r="K458" t="str">
            <v>Schenker</v>
          </cell>
          <cell r="L458" t="str">
            <v>HN</v>
          </cell>
          <cell r="M458" t="str">
            <v>CZ</v>
          </cell>
          <cell r="N458">
            <v>46199</v>
          </cell>
          <cell r="O458">
            <v>46199</v>
          </cell>
          <cell r="P458" t="str">
            <v>arrive lux ngay 27</v>
          </cell>
          <cell r="Q458" t="e">
            <v>#VALUE!</v>
          </cell>
          <cell r="R458">
            <v>308680712010</v>
          </cell>
          <cell r="S458">
            <v>46199</v>
          </cell>
          <cell r="T458" t="str">
            <v>No inspection</v>
          </cell>
          <cell r="U458">
            <v>256132.8</v>
          </cell>
          <cell r="V458" t="str">
            <v>PAYMENT</v>
          </cell>
          <cell r="W458" t="str">
            <v>OK</v>
          </cell>
          <cell r="X458" t="str">
            <v>EXW</v>
          </cell>
          <cell r="Y458" t="str">
            <v>x</v>
          </cell>
          <cell r="Z458" t="str">
            <v>x</v>
          </cell>
          <cell r="AA458" t="str">
            <v>x</v>
          </cell>
        </row>
        <row r="459">
          <cell r="B459" t="str">
            <v>INV06905</v>
          </cell>
          <cell r="E459">
            <v>23</v>
          </cell>
          <cell r="F459" t="str">
            <v>HAN26002197</v>
          </cell>
          <cell r="H459" t="str">
            <v>FCZ</v>
          </cell>
          <cell r="I459" t="str">
            <v>PIPER</v>
          </cell>
          <cell r="J459" t="str">
            <v>Schenker</v>
          </cell>
          <cell r="K459" t="str">
            <v>Schenker</v>
          </cell>
          <cell r="L459" t="str">
            <v>HN</v>
          </cell>
          <cell r="M459" t="str">
            <v>CZ</v>
          </cell>
          <cell r="N459">
            <v>46199</v>
          </cell>
          <cell r="O459">
            <v>46199</v>
          </cell>
          <cell r="P459" t="str">
            <v>arrive lux ngay 27</v>
          </cell>
          <cell r="Q459" t="e">
            <v>#VALUE!</v>
          </cell>
          <cell r="R459">
            <v>308680747600</v>
          </cell>
          <cell r="S459">
            <v>46199</v>
          </cell>
          <cell r="T459" t="str">
            <v>No inspection</v>
          </cell>
          <cell r="U459">
            <v>996514.8</v>
          </cell>
          <cell r="V459" t="str">
            <v>PAYMENT</v>
          </cell>
          <cell r="W459" t="str">
            <v>OK</v>
          </cell>
          <cell r="X459" t="str">
            <v>EXW</v>
          </cell>
          <cell r="Y459" t="str">
            <v>x</v>
          </cell>
          <cell r="Z459" t="str">
            <v>x</v>
          </cell>
          <cell r="AA459" t="str">
            <v>x</v>
          </cell>
        </row>
        <row r="460">
          <cell r="B460" t="str">
            <v>INV06906</v>
          </cell>
          <cell r="E460">
            <v>2153.6</v>
          </cell>
          <cell r="F460" t="str">
            <v>45T0485837</v>
          </cell>
          <cell r="H460" t="str">
            <v>FTX</v>
          </cell>
          <cell r="I460" t="str">
            <v>HOPPER, GROVER, ICER</v>
          </cell>
          <cell r="J460" t="str">
            <v>Expeditors</v>
          </cell>
          <cell r="K460" t="str">
            <v>Expeditors</v>
          </cell>
          <cell r="L460" t="str">
            <v>HN</v>
          </cell>
          <cell r="M460" t="str">
            <v>US</v>
          </cell>
          <cell r="N460">
            <v>46202</v>
          </cell>
          <cell r="O460">
            <v>46202</v>
          </cell>
          <cell r="P460" t="str">
            <v>release ngay 03</v>
          </cell>
          <cell r="Q460" t="e">
            <v>#VALUE!</v>
          </cell>
          <cell r="R460">
            <v>308688914720</v>
          </cell>
          <cell r="S460">
            <v>46202</v>
          </cell>
          <cell r="T460" t="str">
            <v>No inspection</v>
          </cell>
          <cell r="U460">
            <v>9834343.8599999994</v>
          </cell>
          <cell r="V460" t="str">
            <v>PAYMENT</v>
          </cell>
          <cell r="W460" t="str">
            <v>OK</v>
          </cell>
          <cell r="X460" t="str">
            <v>EXW</v>
          </cell>
          <cell r="Y460" t="str">
            <v>x</v>
          </cell>
          <cell r="Z460" t="str">
            <v>x</v>
          </cell>
          <cell r="AA460" t="str">
            <v>x</v>
          </cell>
        </row>
        <row r="461">
          <cell r="B461" t="str">
            <v>INV06907</v>
          </cell>
          <cell r="E461">
            <v>391.7</v>
          </cell>
          <cell r="F461" t="str">
            <v>873595365496</v>
          </cell>
          <cell r="H461" t="str">
            <v>Jabil MX</v>
          </cell>
          <cell r="I461" t="str">
            <v>HLOB</v>
          </cell>
          <cell r="J461" t="str">
            <v>FedEx</v>
          </cell>
          <cell r="K461" t="str">
            <v>VVMV</v>
          </cell>
          <cell r="L461" t="str">
            <v>HN</v>
          </cell>
          <cell r="M461" t="str">
            <v>MX</v>
          </cell>
          <cell r="N461">
            <v>46199</v>
          </cell>
          <cell r="O461">
            <v>46199</v>
          </cell>
          <cell r="P461">
            <v>46204</v>
          </cell>
          <cell r="Q461">
            <v>5</v>
          </cell>
          <cell r="R461">
            <v>308681230230</v>
          </cell>
          <cell r="S461">
            <v>46199</v>
          </cell>
          <cell r="T461" t="str">
            <v>No inspection</v>
          </cell>
          <cell r="U461">
            <v>3315953.67</v>
          </cell>
          <cell r="V461" t="str">
            <v>PAYMENT</v>
          </cell>
          <cell r="W461" t="str">
            <v>OK</v>
          </cell>
          <cell r="X461" t="str">
            <v>FCA</v>
          </cell>
          <cell r="Y461" t="str">
            <v>PURE</v>
          </cell>
          <cell r="Z461" t="str">
            <v>x</v>
          </cell>
          <cell r="AA461" t="str">
            <v>x</v>
          </cell>
        </row>
        <row r="462">
          <cell r="B462" t="str">
            <v>Sample 761</v>
          </cell>
          <cell r="E462">
            <v>0.2</v>
          </cell>
          <cell r="F462" t="str">
            <v>873594727629</v>
          </cell>
          <cell r="H462" t="str">
            <v>Amphenol</v>
          </cell>
          <cell r="I462" t="str">
            <v>Connector</v>
          </cell>
          <cell r="J462" t="str">
            <v>FedEx</v>
          </cell>
          <cell r="K462" t="str">
            <v>X</v>
          </cell>
          <cell r="L462" t="str">
            <v>HN</v>
          </cell>
          <cell r="M462" t="str">
            <v>CN</v>
          </cell>
          <cell r="N462">
            <v>46199</v>
          </cell>
          <cell r="O462">
            <v>46199</v>
          </cell>
          <cell r="P462">
            <v>46204</v>
          </cell>
          <cell r="Q462">
            <v>5</v>
          </cell>
          <cell r="R462" t="str">
            <v>x</v>
          </cell>
          <cell r="S462" t="str">
            <v>x</v>
          </cell>
          <cell r="T462" t="str">
            <v>x</v>
          </cell>
          <cell r="U462">
            <v>4.38</v>
          </cell>
          <cell r="V462" t="str">
            <v>NO PAYMENT</v>
          </cell>
          <cell r="W462" t="str">
            <v>No need</v>
          </cell>
          <cell r="X462" t="str">
            <v>FCA</v>
          </cell>
          <cell r="Y462" t="str">
            <v>x</v>
          </cell>
          <cell r="Z462" t="str">
            <v>x</v>
          </cell>
          <cell r="AA462" t="str">
            <v>x</v>
          </cell>
        </row>
        <row r="463">
          <cell r="B463" t="str">
            <v>Sample 762</v>
          </cell>
          <cell r="E463">
            <v>0.2</v>
          </cell>
          <cell r="F463" t="str">
            <v>873684163107</v>
          </cell>
          <cell r="H463" t="str">
            <v>RTX</v>
          </cell>
          <cell r="I463" t="str">
            <v>IC</v>
          </cell>
          <cell r="J463" t="str">
            <v>FedEx</v>
          </cell>
          <cell r="K463" t="str">
            <v>X</v>
          </cell>
          <cell r="L463" t="str">
            <v>HN</v>
          </cell>
          <cell r="M463" t="str">
            <v>TW</v>
          </cell>
          <cell r="N463">
            <v>46202</v>
          </cell>
          <cell r="O463">
            <v>46202</v>
          </cell>
          <cell r="P463">
            <v>46206</v>
          </cell>
          <cell r="Q463">
            <v>4</v>
          </cell>
          <cell r="R463" t="str">
            <v>x</v>
          </cell>
          <cell r="S463" t="str">
            <v>x</v>
          </cell>
          <cell r="T463" t="str">
            <v>x</v>
          </cell>
          <cell r="U463">
            <v>1</v>
          </cell>
          <cell r="V463" t="str">
            <v>NO PAYMENT</v>
          </cell>
          <cell r="W463" t="str">
            <v>No need</v>
          </cell>
          <cell r="X463" t="str">
            <v>DAP</v>
          </cell>
          <cell r="Y463" t="str">
            <v>PURE</v>
          </cell>
          <cell r="Z463" t="str">
            <v>Ship QA's sample for evaluation</v>
          </cell>
          <cell r="AA463" t="str">
            <v>x</v>
          </cell>
        </row>
        <row r="464">
          <cell r="B464" t="str">
            <v>INV06908</v>
          </cell>
          <cell r="E464">
            <v>24</v>
          </cell>
          <cell r="F464" t="str">
            <v>873679801164</v>
          </cell>
          <cell r="H464" t="str">
            <v>EFI ITALY</v>
          </cell>
          <cell r="I464" t="str">
            <v>PCBA</v>
          </cell>
          <cell r="J464" t="str">
            <v>FedEx</v>
          </cell>
          <cell r="K464" t="str">
            <v>VVMV</v>
          </cell>
          <cell r="L464" t="str">
            <v>HN</v>
          </cell>
          <cell r="M464" t="str">
            <v>IT</v>
          </cell>
          <cell r="N464">
            <v>46202</v>
          </cell>
          <cell r="O464">
            <v>46202</v>
          </cell>
          <cell r="P464" t="str">
            <v>release ngay 05</v>
          </cell>
          <cell r="Q464" t="e">
            <v>#VALUE!</v>
          </cell>
          <cell r="R464">
            <v>308688276430</v>
          </cell>
          <cell r="S464">
            <v>46202</v>
          </cell>
          <cell r="T464" t="str">
            <v>No inspection</v>
          </cell>
          <cell r="U464">
            <v>6692.04</v>
          </cell>
          <cell r="V464" t="str">
            <v>PAYMENT</v>
          </cell>
          <cell r="W464" t="str">
            <v>OK</v>
          </cell>
          <cell r="X464" t="str">
            <v>FCA</v>
          </cell>
          <cell r="Y464" t="str">
            <v>EFI</v>
          </cell>
          <cell r="Z464" t="str">
            <v>x</v>
          </cell>
          <cell r="AA464" t="str">
            <v>x</v>
          </cell>
        </row>
        <row r="465">
          <cell r="B465" t="str">
            <v>INV06909</v>
          </cell>
          <cell r="E465">
            <v>8.1</v>
          </cell>
          <cell r="F465" t="str">
            <v>873683682739</v>
          </cell>
          <cell r="H465" t="str">
            <v>HQ1</v>
          </cell>
          <cell r="I465" t="str">
            <v>SSD, DDR3</v>
          </cell>
          <cell r="J465" t="str">
            <v>FedEx</v>
          </cell>
          <cell r="K465" t="str">
            <v>VVMV</v>
          </cell>
          <cell r="L465" t="str">
            <v>HN</v>
          </cell>
          <cell r="M465" t="str">
            <v>US</v>
          </cell>
          <cell r="N465">
            <v>46202</v>
          </cell>
          <cell r="O465">
            <v>46202</v>
          </cell>
          <cell r="P465">
            <v>46205</v>
          </cell>
          <cell r="Q465">
            <v>3</v>
          </cell>
          <cell r="R465">
            <v>308689437840</v>
          </cell>
          <cell r="S465">
            <v>46202</v>
          </cell>
          <cell r="T465" t="str">
            <v>No inspection</v>
          </cell>
          <cell r="U465">
            <v>158505.38</v>
          </cell>
          <cell r="V465" t="str">
            <v>PAYMENT</v>
          </cell>
          <cell r="W465" t="str">
            <v>OK</v>
          </cell>
          <cell r="X465" t="str">
            <v>DAP</v>
          </cell>
          <cell r="Y465" t="str">
            <v>Transfer</v>
          </cell>
          <cell r="Z465" t="str">
            <v>Transfer FG</v>
          </cell>
          <cell r="AA465" t="str">
            <v>x</v>
          </cell>
        </row>
        <row r="466">
          <cell r="B466" t="str">
            <v>Sample 763</v>
          </cell>
          <cell r="E466">
            <v>2.2999999999999998</v>
          </cell>
          <cell r="F466" t="str">
            <v>4791608220</v>
          </cell>
          <cell r="H466" t="str">
            <v>AVNET US</v>
          </cell>
          <cell r="I466" t="str">
            <v>Res, Cap</v>
          </cell>
          <cell r="J466" t="str">
            <v>DHL</v>
          </cell>
          <cell r="K466" t="str">
            <v>X</v>
          </cell>
          <cell r="L466" t="str">
            <v>HN</v>
          </cell>
          <cell r="M466" t="str">
            <v>US</v>
          </cell>
          <cell r="N466">
            <v>46204</v>
          </cell>
          <cell r="O466">
            <v>46204</v>
          </cell>
          <cell r="P466" t="str">
            <v>arrived LA ngay 02</v>
          </cell>
          <cell r="Q466" t="e">
            <v>#VALUE!</v>
          </cell>
          <cell r="R466" t="str">
            <v>x</v>
          </cell>
          <cell r="S466" t="str">
            <v>x</v>
          </cell>
          <cell r="T466" t="str">
            <v>x</v>
          </cell>
          <cell r="U466">
            <v>46.85</v>
          </cell>
          <cell r="V466" t="str">
            <v>NO PAYMENT</v>
          </cell>
          <cell r="W466" t="str">
            <v>No need</v>
          </cell>
          <cell r="X466" t="str">
            <v>FCA</v>
          </cell>
          <cell r="Y466" t="str">
            <v>x</v>
          </cell>
          <cell r="Z466" t="str">
            <v>x</v>
          </cell>
          <cell r="AA466" t="str">
            <v>x</v>
          </cell>
        </row>
        <row r="467">
          <cell r="B467" t="str">
            <v>E01093</v>
          </cell>
          <cell r="E467">
            <v>1.9</v>
          </cell>
          <cell r="F467" t="str">
            <v>4791600015</v>
          </cell>
          <cell r="H467" t="str">
            <v>AVNET US</v>
          </cell>
          <cell r="I467" t="str">
            <v>IC</v>
          </cell>
          <cell r="J467" t="str">
            <v>DHL</v>
          </cell>
          <cell r="K467" t="str">
            <v>VVMV</v>
          </cell>
          <cell r="L467" t="str">
            <v>HN</v>
          </cell>
          <cell r="M467" t="str">
            <v>US</v>
          </cell>
          <cell r="N467">
            <v>46204</v>
          </cell>
          <cell r="O467">
            <v>46204</v>
          </cell>
          <cell r="P467" t="str">
            <v>arrived LA ngay 02</v>
          </cell>
          <cell r="Q467" t="e">
            <v>#VALUE!</v>
          </cell>
          <cell r="R467">
            <v>308694947061</v>
          </cell>
          <cell r="S467">
            <v>46203</v>
          </cell>
          <cell r="T467" t="str">
            <v>Inspection</v>
          </cell>
          <cell r="U467">
            <v>1586.27</v>
          </cell>
          <cell r="V467" t="str">
            <v>NO PAYMENT</v>
          </cell>
          <cell r="W467" t="str">
            <v>No need</v>
          </cell>
          <cell r="X467" t="str">
            <v>FCA</v>
          </cell>
          <cell r="Y467" t="str">
            <v>Lucid</v>
          </cell>
          <cell r="Z467" t="str">
            <v>x</v>
          </cell>
          <cell r="AA467" t="str">
            <v>Buyer charged $100 to supplier</v>
          </cell>
        </row>
        <row r="468">
          <cell r="B468" t="str">
            <v>INV06910</v>
          </cell>
          <cell r="E468">
            <v>606.79999999999995</v>
          </cell>
          <cell r="F468" t="str">
            <v>SRAF0426503</v>
          </cell>
          <cell r="H468" t="str">
            <v>HELLA</v>
          </cell>
          <cell r="I468" t="str">
            <v>HCU</v>
          </cell>
          <cell r="J468" t="str">
            <v>DSV</v>
          </cell>
          <cell r="K468" t="str">
            <v>VVMV</v>
          </cell>
          <cell r="L468" t="str">
            <v>HN</v>
          </cell>
          <cell r="M468" t="str">
            <v>DE</v>
          </cell>
          <cell r="N468">
            <v>46206</v>
          </cell>
          <cell r="O468">
            <v>46206</v>
          </cell>
          <cell r="P468" t="str">
            <v>In Transit</v>
          </cell>
          <cell r="Q468" t="e">
            <v>#VALUE!</v>
          </cell>
          <cell r="R468">
            <v>308703498850</v>
          </cell>
          <cell r="S468">
            <v>46206</v>
          </cell>
          <cell r="T468" t="str">
            <v>No inspection</v>
          </cell>
          <cell r="U468">
            <v>92742.080000000002</v>
          </cell>
          <cell r="V468" t="str">
            <v>PAYMENT</v>
          </cell>
          <cell r="W468" t="str">
            <v>OK</v>
          </cell>
          <cell r="X468" t="str">
            <v>FCA</v>
          </cell>
        </row>
        <row r="469">
          <cell r="B469" t="str">
            <v>INV06911</v>
          </cell>
          <cell r="E469">
            <v>37.700000000000003</v>
          </cell>
          <cell r="F469" t="str">
            <v>873686955560</v>
          </cell>
          <cell r="H469" t="str">
            <v>FORD</v>
          </cell>
          <cell r="I469" t="str">
            <v>PCBA</v>
          </cell>
          <cell r="J469" t="str">
            <v>FedEx</v>
          </cell>
          <cell r="K469" t="str">
            <v>VVMV</v>
          </cell>
          <cell r="L469" t="str">
            <v>HN</v>
          </cell>
          <cell r="M469" t="str">
            <v>US</v>
          </cell>
          <cell r="N469">
            <v>46202</v>
          </cell>
          <cell r="O469">
            <v>46202</v>
          </cell>
          <cell r="P469" t="str">
            <v>clearance delay</v>
          </cell>
          <cell r="Q469" t="e">
            <v>#VALUE!</v>
          </cell>
          <cell r="R469">
            <v>308690314500</v>
          </cell>
          <cell r="S469">
            <v>46202</v>
          </cell>
          <cell r="T469" t="str">
            <v>No inspection</v>
          </cell>
          <cell r="U469">
            <v>8590.5</v>
          </cell>
          <cell r="V469" t="str">
            <v>PAYMENT</v>
          </cell>
          <cell r="W469" t="str">
            <v>OK</v>
          </cell>
          <cell r="X469" t="str">
            <v>DAP</v>
          </cell>
          <cell r="Y469" t="str">
            <v>Ford</v>
          </cell>
          <cell r="Z469" t="str">
            <v>Ship FG</v>
          </cell>
          <cell r="AA469" t="str">
            <v>Oscar charged $1186 to Ford</v>
          </cell>
        </row>
        <row r="470">
          <cell r="B470" t="str">
            <v>INV06912</v>
          </cell>
          <cell r="F470" t="str">
            <v>HANA80812</v>
          </cell>
          <cell r="H470" t="str">
            <v>LUCID ARIZONA</v>
          </cell>
          <cell r="J470" t="str">
            <v>DHL</v>
          </cell>
          <cell r="K470" t="str">
            <v>VVMV</v>
          </cell>
          <cell r="L470" t="str">
            <v>HN</v>
          </cell>
          <cell r="N470">
            <v>46210</v>
          </cell>
          <cell r="O470">
            <v>46210</v>
          </cell>
          <cell r="P470" t="str">
            <v>In Transit</v>
          </cell>
          <cell r="Q470" t="e">
            <v>#VALUE!</v>
          </cell>
          <cell r="W470" t="str">
            <v>No need</v>
          </cell>
        </row>
        <row r="471">
          <cell r="B471" t="str">
            <v>INV06913</v>
          </cell>
          <cell r="E471">
            <v>283</v>
          </cell>
          <cell r="F471" t="str">
            <v>ELHAN01787</v>
          </cell>
          <cell r="H471" t="str">
            <v>AIC TW</v>
          </cell>
          <cell r="I471" t="str">
            <v>PCBA</v>
          </cell>
          <cell r="J471" t="str">
            <v>Evergreen</v>
          </cell>
          <cell r="K471" t="str">
            <v>Evergreen</v>
          </cell>
          <cell r="L471" t="str">
            <v>HN</v>
          </cell>
          <cell r="M471" t="str">
            <v>TW</v>
          </cell>
          <cell r="N471">
            <v>46203</v>
          </cell>
          <cell r="O471">
            <v>46203</v>
          </cell>
          <cell r="P471" t="str">
            <v>In Transit</v>
          </cell>
          <cell r="Q471" t="e">
            <v>#VALUE!</v>
          </cell>
          <cell r="R471">
            <v>308692917800</v>
          </cell>
          <cell r="S471">
            <v>46203</v>
          </cell>
          <cell r="T471" t="str">
            <v>No inspection</v>
          </cell>
          <cell r="U471">
            <v>101518.8</v>
          </cell>
          <cell r="V471" t="str">
            <v>PAYMENT</v>
          </cell>
          <cell r="W471" t="str">
            <v>ok</v>
          </cell>
          <cell r="X471" t="str">
            <v>EXW</v>
          </cell>
          <cell r="Y471" t="str">
            <v>x</v>
          </cell>
          <cell r="Z471" t="str">
            <v>x</v>
          </cell>
          <cell r="AA471" t="str">
            <v>x</v>
          </cell>
        </row>
        <row r="472">
          <cell r="B472" t="str">
            <v>INV06914</v>
          </cell>
          <cell r="E472">
            <v>1013.9</v>
          </cell>
          <cell r="F472" t="str">
            <v>45T0486220</v>
          </cell>
          <cell r="H472" t="str">
            <v>FTX</v>
          </cell>
          <cell r="I472" t="str">
            <v>HOPPER, GROVER, ICER, PIPER</v>
          </cell>
          <cell r="J472" t="str">
            <v>Expeditors</v>
          </cell>
          <cell r="K472" t="str">
            <v>Expeditors</v>
          </cell>
          <cell r="L472" t="str">
            <v>HN</v>
          </cell>
          <cell r="M472" t="str">
            <v>US</v>
          </cell>
          <cell r="N472">
            <v>46203</v>
          </cell>
          <cell r="O472">
            <v>46203</v>
          </cell>
          <cell r="P472" t="str">
            <v>release ngay 03</v>
          </cell>
          <cell r="Q472" t="e">
            <v>#VALUE!</v>
          </cell>
          <cell r="R472">
            <v>308693420360</v>
          </cell>
          <cell r="S472">
            <v>46203</v>
          </cell>
          <cell r="T472" t="str">
            <v>No inspection</v>
          </cell>
          <cell r="U472">
            <v>4223536.29</v>
          </cell>
          <cell r="V472" t="str">
            <v>PAYMENT</v>
          </cell>
          <cell r="W472" t="str">
            <v>ok</v>
          </cell>
          <cell r="X472" t="str">
            <v>EXW</v>
          </cell>
          <cell r="Y472" t="str">
            <v>x</v>
          </cell>
          <cell r="Z472" t="str">
            <v>x</v>
          </cell>
          <cell r="AA472" t="str">
            <v>x</v>
          </cell>
        </row>
        <row r="473">
          <cell r="B473" t="str">
            <v>INV06915</v>
          </cell>
          <cell r="E473">
            <v>17</v>
          </cell>
          <cell r="F473" t="str">
            <v>HAN26002251</v>
          </cell>
          <cell r="H473" t="str">
            <v>FOXCONN</v>
          </cell>
          <cell r="I473" t="str">
            <v>HOPPER, GROVER</v>
          </cell>
          <cell r="J473" t="str">
            <v>Schenker</v>
          </cell>
          <cell r="K473" t="str">
            <v>Schenker</v>
          </cell>
          <cell r="L473" t="str">
            <v>HN</v>
          </cell>
          <cell r="M473" t="str">
            <v>CZ</v>
          </cell>
          <cell r="N473">
            <v>46205</v>
          </cell>
          <cell r="O473">
            <v>46205</v>
          </cell>
          <cell r="P473" t="str">
            <v>arrived frankurt ngay 05</v>
          </cell>
          <cell r="Q473" t="e">
            <v>#VALUE!</v>
          </cell>
          <cell r="R473" t="str">
            <v>308698803511
308698893331
308698939201</v>
          </cell>
          <cell r="S473">
            <v>46205</v>
          </cell>
          <cell r="T473" t="str">
            <v>Inspection</v>
          </cell>
          <cell r="U473">
            <v>5261.4299999999985</v>
          </cell>
          <cell r="V473" t="str">
            <v>NO PAYMENT</v>
          </cell>
          <cell r="W473" t="str">
            <v>No need</v>
          </cell>
          <cell r="X473" t="str">
            <v>EXW</v>
          </cell>
        </row>
        <row r="474">
          <cell r="B474" t="str">
            <v>INV06916</v>
          </cell>
          <cell r="E474">
            <v>23.3</v>
          </cell>
          <cell r="F474" t="str">
            <v>HAN26002252</v>
          </cell>
          <cell r="H474" t="str">
            <v>FCZ</v>
          </cell>
          <cell r="I474" t="str">
            <v>ICER</v>
          </cell>
          <cell r="J474" t="str">
            <v>Schenker</v>
          </cell>
          <cell r="K474" t="str">
            <v>Schenker</v>
          </cell>
          <cell r="L474" t="str">
            <v>HN</v>
          </cell>
          <cell r="M474" t="str">
            <v>CZ</v>
          </cell>
          <cell r="N474">
            <v>46206</v>
          </cell>
          <cell r="O474">
            <v>46206</v>
          </cell>
          <cell r="P474" t="str">
            <v>arrived frankurt ngay 05</v>
          </cell>
          <cell r="Q474" t="e">
            <v>#VALUE!</v>
          </cell>
          <cell r="R474">
            <v>308707245510</v>
          </cell>
          <cell r="S474">
            <v>46206</v>
          </cell>
          <cell r="T474" t="str">
            <v>No inspection</v>
          </cell>
          <cell r="U474">
            <v>232442.4</v>
          </cell>
          <cell r="V474" t="str">
            <v>PAYMENT</v>
          </cell>
          <cell r="W474" t="str">
            <v>OK</v>
          </cell>
          <cell r="X474" t="str">
            <v>EXW</v>
          </cell>
        </row>
        <row r="475">
          <cell r="B475" t="str">
            <v>Sample 764</v>
          </cell>
          <cell r="E475">
            <v>0.9</v>
          </cell>
          <cell r="F475" t="str">
            <v>873861714820</v>
          </cell>
          <cell r="H475" t="str">
            <v>HQ1</v>
          </cell>
          <cell r="I475" t="str">
            <v>LABEL</v>
          </cell>
          <cell r="J475" t="str">
            <v>FedEx</v>
          </cell>
          <cell r="K475" t="str">
            <v>X</v>
          </cell>
          <cell r="L475" t="str">
            <v>HN</v>
          </cell>
          <cell r="N475">
            <v>46205</v>
          </cell>
          <cell r="O475">
            <v>46205</v>
          </cell>
          <cell r="P475" t="str">
            <v>release ngay 04</v>
          </cell>
          <cell r="Q475" t="e">
            <v>#VALUE!</v>
          </cell>
          <cell r="R475" t="str">
            <v>x</v>
          </cell>
          <cell r="S475" t="str">
            <v>x</v>
          </cell>
          <cell r="T475" t="str">
            <v>x</v>
          </cell>
          <cell r="U475">
            <v>5</v>
          </cell>
          <cell r="V475" t="str">
            <v>NO PAYMENT</v>
          </cell>
          <cell r="W475" t="str">
            <v>No need</v>
          </cell>
          <cell r="X475" t="str">
            <v>FCA</v>
          </cell>
        </row>
        <row r="476">
          <cell r="B476" t="str">
            <v>E01094</v>
          </cell>
          <cell r="E476">
            <v>3.5</v>
          </cell>
          <cell r="F476" t="str">
            <v>873906789633</v>
          </cell>
          <cell r="H476" t="str">
            <v>HQ1</v>
          </cell>
          <cell r="I476" t="str">
            <v>Material</v>
          </cell>
          <cell r="J476" t="str">
            <v>FedEx</v>
          </cell>
          <cell r="K476" t="str">
            <v>VVMV</v>
          </cell>
          <cell r="L476" t="str">
            <v>HN</v>
          </cell>
          <cell r="M476" t="str">
            <v>US</v>
          </cell>
          <cell r="N476">
            <v>46206</v>
          </cell>
          <cell r="O476">
            <v>46206</v>
          </cell>
          <cell r="P476" t="str">
            <v>arrived CA ngay 04</v>
          </cell>
          <cell r="Q476" t="e">
            <v>#VALUE!</v>
          </cell>
          <cell r="R476">
            <v>308702290761</v>
          </cell>
          <cell r="S476">
            <v>46205</v>
          </cell>
          <cell r="T476" t="str">
            <v>Inspection</v>
          </cell>
          <cell r="U476">
            <v>10519.88</v>
          </cell>
          <cell r="V476" t="str">
            <v>NO PAYMENT</v>
          </cell>
          <cell r="W476" t="str">
            <v>No need</v>
          </cell>
          <cell r="X476" t="str">
            <v>DAP</v>
          </cell>
        </row>
        <row r="477">
          <cell r="B477" t="str">
            <v>INV06917</v>
          </cell>
          <cell r="E477">
            <v>32.9</v>
          </cell>
          <cell r="F477" t="str">
            <v>7569519053</v>
          </cell>
          <cell r="H477" t="str">
            <v>AVNET US</v>
          </cell>
          <cell r="I477" t="str">
            <v>PCBA</v>
          </cell>
          <cell r="J477" t="str">
            <v>DHL</v>
          </cell>
          <cell r="K477" t="str">
            <v>VVMV</v>
          </cell>
          <cell r="L477" t="str">
            <v>HN</v>
          </cell>
          <cell r="M477" t="str">
            <v>US</v>
          </cell>
          <cell r="N477">
            <v>46206</v>
          </cell>
          <cell r="O477">
            <v>46206</v>
          </cell>
          <cell r="P477" t="str">
            <v>arrived LA ngay 04</v>
          </cell>
          <cell r="Q477" t="e">
            <v>#VALUE!</v>
          </cell>
          <cell r="R477">
            <v>308702571830</v>
          </cell>
          <cell r="S477">
            <v>46206</v>
          </cell>
          <cell r="T477" t="str">
            <v>No inspection</v>
          </cell>
          <cell r="U477">
            <v>34884.5</v>
          </cell>
          <cell r="V477" t="str">
            <v>PAYMENT</v>
          </cell>
          <cell r="W477" t="str">
            <v>OK</v>
          </cell>
          <cell r="X477" t="str">
            <v>FCA</v>
          </cell>
        </row>
        <row r="478">
          <cell r="B478" t="str">
            <v>INV06918</v>
          </cell>
          <cell r="E478">
            <v>46.3</v>
          </cell>
          <cell r="F478" t="str">
            <v>HAN26002257</v>
          </cell>
          <cell r="H478" t="str">
            <v>FCZ</v>
          </cell>
          <cell r="I478" t="str">
            <v>HOPPER, GROVER</v>
          </cell>
          <cell r="J478" t="str">
            <v>Schenker</v>
          </cell>
          <cell r="K478" t="str">
            <v>Schenker</v>
          </cell>
          <cell r="L478" t="str">
            <v>HN</v>
          </cell>
          <cell r="M478" t="str">
            <v>CZ</v>
          </cell>
          <cell r="N478">
            <v>46206</v>
          </cell>
          <cell r="O478">
            <v>46206</v>
          </cell>
          <cell r="P478" t="str">
            <v>arrived frankurt ngay 05</v>
          </cell>
          <cell r="Q478" t="e">
            <v>#VALUE!</v>
          </cell>
          <cell r="R478">
            <v>308705603530</v>
          </cell>
          <cell r="S478">
            <v>46206</v>
          </cell>
          <cell r="T478" t="str">
            <v>No inspection</v>
          </cell>
          <cell r="U478">
            <v>76711.820000000007</v>
          </cell>
          <cell r="V478" t="str">
            <v>PAYMENT</v>
          </cell>
          <cell r="W478" t="str">
            <v>OK</v>
          </cell>
          <cell r="X478" t="str">
            <v>EXW</v>
          </cell>
        </row>
        <row r="479">
          <cell r="B479" t="str">
            <v>INV06919</v>
          </cell>
          <cell r="H479" t="str">
            <v>INGRASYS</v>
          </cell>
          <cell r="J479" t="str">
            <v>FedEx</v>
          </cell>
          <cell r="K479" t="str">
            <v>VVMV</v>
          </cell>
          <cell r="L479" t="str">
            <v>HN</v>
          </cell>
          <cell r="N479">
            <v>46210</v>
          </cell>
          <cell r="O479">
            <v>46210</v>
          </cell>
          <cell r="P479" t="str">
            <v>In Transit</v>
          </cell>
          <cell r="Q479" t="e">
            <v>#VALUE!</v>
          </cell>
          <cell r="W479" t="str">
            <v>No need</v>
          </cell>
        </row>
        <row r="480">
          <cell r="H480" t="e">
            <v>#N/A</v>
          </cell>
          <cell r="J480" t="e">
            <v>#N/A</v>
          </cell>
          <cell r="K480" t="e">
            <v>#N/A</v>
          </cell>
          <cell r="L480" t="str">
            <v>HN</v>
          </cell>
          <cell r="N480" t="e">
            <v>#N/A</v>
          </cell>
          <cell r="O480" t="e">
            <v>#N/A</v>
          </cell>
          <cell r="P480" t="str">
            <v>In Transit</v>
          </cell>
          <cell r="Q480" t="e">
            <v>#VALUE!</v>
          </cell>
          <cell r="W480" t="str">
            <v>No need</v>
          </cell>
        </row>
        <row r="481">
          <cell r="H481" t="e">
            <v>#N/A</v>
          </cell>
          <cell r="J481" t="e">
            <v>#N/A</v>
          </cell>
          <cell r="K481" t="e">
            <v>#N/A</v>
          </cell>
          <cell r="L481" t="str">
            <v>HN</v>
          </cell>
          <cell r="N481" t="e">
            <v>#N/A</v>
          </cell>
          <cell r="O481" t="e">
            <v>#N/A</v>
          </cell>
          <cell r="P481" t="str">
            <v>In Transit</v>
          </cell>
          <cell r="Q481" t="e">
            <v>#VALUE!</v>
          </cell>
          <cell r="W481" t="str">
            <v>No need</v>
          </cell>
        </row>
        <row r="482">
          <cell r="H482" t="e">
            <v>#N/A</v>
          </cell>
          <cell r="J482" t="e">
            <v>#N/A</v>
          </cell>
          <cell r="K482" t="e">
            <v>#N/A</v>
          </cell>
          <cell r="L482" t="str">
            <v>HN</v>
          </cell>
          <cell r="N482" t="e">
            <v>#N/A</v>
          </cell>
          <cell r="O482" t="e">
            <v>#N/A</v>
          </cell>
          <cell r="P482" t="str">
            <v>In Transit</v>
          </cell>
          <cell r="Q482" t="e">
            <v>#VALUE!</v>
          </cell>
          <cell r="W482" t="str">
            <v>No need</v>
          </cell>
        </row>
        <row r="483">
          <cell r="H483" t="e">
            <v>#N/A</v>
          </cell>
          <cell r="J483" t="e">
            <v>#N/A</v>
          </cell>
          <cell r="K483" t="e">
            <v>#N/A</v>
          </cell>
          <cell r="L483" t="str">
            <v>HN</v>
          </cell>
          <cell r="N483" t="e">
            <v>#N/A</v>
          </cell>
          <cell r="O483" t="e">
            <v>#N/A</v>
          </cell>
          <cell r="P483" t="str">
            <v>In Transit</v>
          </cell>
          <cell r="Q483" t="e">
            <v>#VALUE!</v>
          </cell>
          <cell r="W483" t="str">
            <v>No need</v>
          </cell>
        </row>
        <row r="484">
          <cell r="H484" t="e">
            <v>#N/A</v>
          </cell>
          <cell r="J484" t="e">
            <v>#N/A</v>
          </cell>
          <cell r="K484" t="e">
            <v>#N/A</v>
          </cell>
          <cell r="L484" t="str">
            <v>HN</v>
          </cell>
          <cell r="N484" t="e">
            <v>#N/A</v>
          </cell>
          <cell r="O484" t="e">
            <v>#N/A</v>
          </cell>
          <cell r="P484" t="str">
            <v>In Transit</v>
          </cell>
          <cell r="Q484" t="e">
            <v>#VALUE!</v>
          </cell>
          <cell r="W484" t="str">
            <v>No need</v>
          </cell>
        </row>
        <row r="485">
          <cell r="H485" t="e">
            <v>#N/A</v>
          </cell>
          <cell r="J485" t="e">
            <v>#N/A</v>
          </cell>
          <cell r="K485" t="e">
            <v>#N/A</v>
          </cell>
          <cell r="L485" t="str">
            <v>HN</v>
          </cell>
          <cell r="N485" t="e">
            <v>#N/A</v>
          </cell>
          <cell r="O485" t="e">
            <v>#N/A</v>
          </cell>
          <cell r="P485" t="str">
            <v>In Transit</v>
          </cell>
          <cell r="Q485" t="e">
            <v>#VALUE!</v>
          </cell>
          <cell r="W485" t="str">
            <v>No need</v>
          </cell>
        </row>
        <row r="486">
          <cell r="H486" t="e">
            <v>#N/A</v>
          </cell>
          <cell r="J486" t="e">
            <v>#N/A</v>
          </cell>
          <cell r="K486" t="e">
            <v>#N/A</v>
          </cell>
          <cell r="L486" t="str">
            <v>HN</v>
          </cell>
          <cell r="N486" t="e">
            <v>#N/A</v>
          </cell>
          <cell r="O486" t="e">
            <v>#N/A</v>
          </cell>
          <cell r="P486" t="str">
            <v>In Transit</v>
          </cell>
          <cell r="Q486" t="e">
            <v>#VALUE!</v>
          </cell>
          <cell r="W486" t="str">
            <v>No need</v>
          </cell>
        </row>
        <row r="487">
          <cell r="H487" t="e">
            <v>#N/A</v>
          </cell>
          <cell r="J487" t="e">
            <v>#N/A</v>
          </cell>
          <cell r="K487" t="e">
            <v>#N/A</v>
          </cell>
          <cell r="L487" t="str">
            <v>HN</v>
          </cell>
          <cell r="N487" t="e">
            <v>#N/A</v>
          </cell>
          <cell r="O487" t="e">
            <v>#N/A</v>
          </cell>
          <cell r="P487" t="str">
            <v>In Transit</v>
          </cell>
          <cell r="Q487" t="e">
            <v>#VALUE!</v>
          </cell>
          <cell r="W487" t="str">
            <v>No need</v>
          </cell>
        </row>
        <row r="488">
          <cell r="H488" t="e">
            <v>#N/A</v>
          </cell>
          <cell r="J488" t="e">
            <v>#N/A</v>
          </cell>
          <cell r="K488" t="e">
            <v>#N/A</v>
          </cell>
          <cell r="L488" t="str">
            <v>HN</v>
          </cell>
          <cell r="N488" t="e">
            <v>#N/A</v>
          </cell>
          <cell r="O488" t="e">
            <v>#N/A</v>
          </cell>
          <cell r="P488" t="str">
            <v>In Transit</v>
          </cell>
          <cell r="Q488" t="e">
            <v>#VALUE!</v>
          </cell>
          <cell r="W488" t="str">
            <v>No need</v>
          </cell>
        </row>
        <row r="489">
          <cell r="H489" t="e">
            <v>#N/A</v>
          </cell>
          <cell r="J489" t="e">
            <v>#N/A</v>
          </cell>
          <cell r="K489" t="e">
            <v>#N/A</v>
          </cell>
          <cell r="L489" t="str">
            <v>HN</v>
          </cell>
          <cell r="N489" t="e">
            <v>#N/A</v>
          </cell>
          <cell r="O489" t="e">
            <v>#N/A</v>
          </cell>
          <cell r="P489" t="str">
            <v>In Transit</v>
          </cell>
          <cell r="Q489" t="e">
            <v>#VALUE!</v>
          </cell>
          <cell r="W489" t="str">
            <v>No need</v>
          </cell>
        </row>
        <row r="490">
          <cell r="H490" t="e">
            <v>#N/A</v>
          </cell>
          <cell r="J490" t="e">
            <v>#N/A</v>
          </cell>
          <cell r="K490" t="e">
            <v>#N/A</v>
          </cell>
          <cell r="L490" t="str">
            <v>HN</v>
          </cell>
          <cell r="N490" t="e">
            <v>#N/A</v>
          </cell>
          <cell r="O490" t="e">
            <v>#N/A</v>
          </cell>
          <cell r="P490" t="str">
            <v>In Transit</v>
          </cell>
          <cell r="Q490" t="e">
            <v>#VALUE!</v>
          </cell>
          <cell r="W490" t="str">
            <v>No need</v>
          </cell>
        </row>
        <row r="491">
          <cell r="H491" t="e">
            <v>#N/A</v>
          </cell>
          <cell r="J491" t="e">
            <v>#N/A</v>
          </cell>
          <cell r="K491" t="e">
            <v>#N/A</v>
          </cell>
          <cell r="L491" t="str">
            <v>HN</v>
          </cell>
          <cell r="N491" t="e">
            <v>#N/A</v>
          </cell>
          <cell r="O491" t="e">
            <v>#N/A</v>
          </cell>
          <cell r="P491" t="str">
            <v>In Transit</v>
          </cell>
          <cell r="Q491" t="e">
            <v>#VALUE!</v>
          </cell>
          <cell r="W491" t="str">
            <v>No need</v>
          </cell>
        </row>
        <row r="492">
          <cell r="H492" t="e">
            <v>#N/A</v>
          </cell>
          <cell r="J492" t="e">
            <v>#N/A</v>
          </cell>
          <cell r="K492" t="e">
            <v>#N/A</v>
          </cell>
          <cell r="L492" t="str">
            <v>HN</v>
          </cell>
          <cell r="N492" t="e">
            <v>#N/A</v>
          </cell>
          <cell r="O492" t="e">
            <v>#N/A</v>
          </cell>
          <cell r="P492" t="str">
            <v>In Transit</v>
          </cell>
          <cell r="Q492" t="e">
            <v>#VALUE!</v>
          </cell>
          <cell r="W492" t="str">
            <v>No need</v>
          </cell>
        </row>
        <row r="493">
          <cell r="H493" t="e">
            <v>#N/A</v>
          </cell>
          <cell r="J493" t="e">
            <v>#N/A</v>
          </cell>
          <cell r="K493" t="e">
            <v>#N/A</v>
          </cell>
          <cell r="L493" t="str">
            <v>HN</v>
          </cell>
          <cell r="N493" t="e">
            <v>#N/A</v>
          </cell>
          <cell r="O493" t="e">
            <v>#N/A</v>
          </cell>
          <cell r="P493" t="str">
            <v>In Transit</v>
          </cell>
          <cell r="Q493" t="e">
            <v>#VALUE!</v>
          </cell>
          <cell r="W493" t="str">
            <v>No need</v>
          </cell>
        </row>
        <row r="494">
          <cell r="H494" t="e">
            <v>#N/A</v>
          </cell>
          <cell r="J494" t="e">
            <v>#N/A</v>
          </cell>
          <cell r="K494" t="e">
            <v>#N/A</v>
          </cell>
          <cell r="L494" t="str">
            <v>HN</v>
          </cell>
          <cell r="N494" t="e">
            <v>#N/A</v>
          </cell>
          <cell r="O494" t="e">
            <v>#N/A</v>
          </cell>
          <cell r="P494" t="str">
            <v>In Transit</v>
          </cell>
          <cell r="Q494" t="e">
            <v>#VALUE!</v>
          </cell>
          <cell r="W494" t="str">
            <v>No need</v>
          </cell>
        </row>
        <row r="495">
          <cell r="H495" t="e">
            <v>#N/A</v>
          </cell>
          <cell r="J495" t="e">
            <v>#N/A</v>
          </cell>
          <cell r="K495" t="e">
            <v>#N/A</v>
          </cell>
          <cell r="L495" t="str">
            <v>HN</v>
          </cell>
          <cell r="N495" t="e">
            <v>#N/A</v>
          </cell>
          <cell r="O495" t="e">
            <v>#N/A</v>
          </cell>
          <cell r="P495" t="str">
            <v>In Transit</v>
          </cell>
          <cell r="Q495" t="e">
            <v>#VALUE!</v>
          </cell>
          <cell r="W495" t="str">
            <v>No need</v>
          </cell>
        </row>
        <row r="496">
          <cell r="H496" t="e">
            <v>#N/A</v>
          </cell>
          <cell r="J496" t="e">
            <v>#N/A</v>
          </cell>
          <cell r="K496" t="e">
            <v>#N/A</v>
          </cell>
          <cell r="L496" t="str">
            <v>HN</v>
          </cell>
          <cell r="N496" t="e">
            <v>#N/A</v>
          </cell>
          <cell r="O496" t="e">
            <v>#N/A</v>
          </cell>
          <cell r="P496" t="str">
            <v>In Transit</v>
          </cell>
          <cell r="Q496" t="e">
            <v>#VALUE!</v>
          </cell>
          <cell r="W496" t="str">
            <v>No need</v>
          </cell>
        </row>
        <row r="497">
          <cell r="H497" t="e">
            <v>#N/A</v>
          </cell>
          <cell r="J497" t="e">
            <v>#N/A</v>
          </cell>
          <cell r="K497" t="e">
            <v>#N/A</v>
          </cell>
          <cell r="L497" t="str">
            <v>HN</v>
          </cell>
          <cell r="N497" t="e">
            <v>#N/A</v>
          </cell>
          <cell r="O497" t="e">
            <v>#N/A</v>
          </cell>
          <cell r="P497" t="str">
            <v>In Transit</v>
          </cell>
          <cell r="Q497" t="e">
            <v>#VALUE!</v>
          </cell>
          <cell r="W497" t="str">
            <v>No need</v>
          </cell>
        </row>
        <row r="498">
          <cell r="H498" t="e">
            <v>#N/A</v>
          </cell>
          <cell r="J498" t="e">
            <v>#N/A</v>
          </cell>
          <cell r="K498" t="e">
            <v>#N/A</v>
          </cell>
          <cell r="L498" t="str">
            <v>HN</v>
          </cell>
          <cell r="N498" t="e">
            <v>#N/A</v>
          </cell>
          <cell r="O498" t="e">
            <v>#N/A</v>
          </cell>
          <cell r="P498" t="str">
            <v>In Transit</v>
          </cell>
          <cell r="Q498" t="e">
            <v>#VALUE!</v>
          </cell>
          <cell r="W498" t="str">
            <v>No need</v>
          </cell>
        </row>
        <row r="499">
          <cell r="H499" t="e">
            <v>#N/A</v>
          </cell>
          <cell r="J499" t="e">
            <v>#N/A</v>
          </cell>
          <cell r="K499" t="e">
            <v>#N/A</v>
          </cell>
          <cell r="L499" t="str">
            <v>HN</v>
          </cell>
          <cell r="N499" t="e">
            <v>#N/A</v>
          </cell>
          <cell r="O499" t="e">
            <v>#N/A</v>
          </cell>
          <cell r="P499" t="str">
            <v>In Transit</v>
          </cell>
          <cell r="Q499" t="e">
            <v>#VALUE!</v>
          </cell>
          <cell r="W499" t="str">
            <v>No need</v>
          </cell>
        </row>
        <row r="500">
          <cell r="H500" t="e">
            <v>#N/A</v>
          </cell>
          <cell r="J500" t="e">
            <v>#N/A</v>
          </cell>
          <cell r="K500" t="e">
            <v>#N/A</v>
          </cell>
          <cell r="L500" t="str">
            <v>HN</v>
          </cell>
          <cell r="N500" t="e">
            <v>#N/A</v>
          </cell>
          <cell r="O500" t="e">
            <v>#N/A</v>
          </cell>
          <cell r="P500" t="str">
            <v>In Transit</v>
          </cell>
          <cell r="Q500" t="e">
            <v>#VALUE!</v>
          </cell>
          <cell r="W500" t="str">
            <v>No need</v>
          </cell>
        </row>
        <row r="501">
          <cell r="H501" t="e">
            <v>#N/A</v>
          </cell>
          <cell r="J501" t="e">
            <v>#N/A</v>
          </cell>
          <cell r="K501" t="e">
            <v>#N/A</v>
          </cell>
          <cell r="L501" t="str">
            <v>HN</v>
          </cell>
          <cell r="N501" t="e">
            <v>#N/A</v>
          </cell>
          <cell r="O501" t="e">
            <v>#N/A</v>
          </cell>
          <cell r="P501" t="str">
            <v>In Transit</v>
          </cell>
          <cell r="Q501" t="e">
            <v>#VALUE!</v>
          </cell>
          <cell r="W501" t="str">
            <v>No need</v>
          </cell>
        </row>
        <row r="502">
          <cell r="H502" t="e">
            <v>#N/A</v>
          </cell>
          <cell r="J502" t="e">
            <v>#N/A</v>
          </cell>
          <cell r="K502" t="e">
            <v>#N/A</v>
          </cell>
          <cell r="L502" t="str">
            <v>HN</v>
          </cell>
          <cell r="N502" t="e">
            <v>#N/A</v>
          </cell>
          <cell r="O502" t="e">
            <v>#N/A</v>
          </cell>
          <cell r="P502" t="str">
            <v>In Transit</v>
          </cell>
          <cell r="Q502" t="e">
            <v>#VALUE!</v>
          </cell>
          <cell r="W502" t="str">
            <v>No need</v>
          </cell>
        </row>
        <row r="503">
          <cell r="H503" t="e">
            <v>#N/A</v>
          </cell>
          <cell r="J503" t="e">
            <v>#N/A</v>
          </cell>
          <cell r="K503" t="e">
            <v>#N/A</v>
          </cell>
          <cell r="L503" t="str">
            <v>HN</v>
          </cell>
          <cell r="N503" t="e">
            <v>#N/A</v>
          </cell>
          <cell r="O503" t="e">
            <v>#N/A</v>
          </cell>
          <cell r="P503" t="str">
            <v>In Transit</v>
          </cell>
          <cell r="Q503" t="e">
            <v>#VALUE!</v>
          </cell>
          <cell r="W503" t="str">
            <v>No need</v>
          </cell>
        </row>
        <row r="504">
          <cell r="H504" t="e">
            <v>#N/A</v>
          </cell>
          <cell r="J504" t="e">
            <v>#N/A</v>
          </cell>
          <cell r="K504" t="e">
            <v>#N/A</v>
          </cell>
          <cell r="L504" t="str">
            <v>HN</v>
          </cell>
          <cell r="N504" t="e">
            <v>#N/A</v>
          </cell>
          <cell r="O504" t="e">
            <v>#N/A</v>
          </cell>
          <cell r="P504" t="str">
            <v>In Transit</v>
          </cell>
          <cell r="Q504" t="e">
            <v>#VALUE!</v>
          </cell>
          <cell r="W504" t="str">
            <v>No need</v>
          </cell>
        </row>
        <row r="505">
          <cell r="H505" t="e">
            <v>#N/A</v>
          </cell>
          <cell r="J505" t="e">
            <v>#N/A</v>
          </cell>
          <cell r="K505" t="e">
            <v>#N/A</v>
          </cell>
          <cell r="L505" t="str">
            <v>HN</v>
          </cell>
          <cell r="N505" t="e">
            <v>#N/A</v>
          </cell>
          <cell r="O505" t="e">
            <v>#N/A</v>
          </cell>
          <cell r="P505" t="str">
            <v>In Transit</v>
          </cell>
          <cell r="Q505" t="e">
            <v>#VALUE!</v>
          </cell>
          <cell r="W505" t="str">
            <v>No need</v>
          </cell>
        </row>
        <row r="506">
          <cell r="H506" t="e">
            <v>#N/A</v>
          </cell>
          <cell r="J506" t="e">
            <v>#N/A</v>
          </cell>
          <cell r="K506" t="e">
            <v>#N/A</v>
          </cell>
          <cell r="L506" t="str">
            <v>HN</v>
          </cell>
          <cell r="N506" t="e">
            <v>#N/A</v>
          </cell>
          <cell r="O506" t="e">
            <v>#N/A</v>
          </cell>
          <cell r="P506" t="str">
            <v>In Transit</v>
          </cell>
          <cell r="Q506" t="e">
            <v>#VALUE!</v>
          </cell>
          <cell r="W506" t="str">
            <v>No need</v>
          </cell>
        </row>
        <row r="507">
          <cell r="H507" t="e">
            <v>#N/A</v>
          </cell>
          <cell r="J507" t="e">
            <v>#N/A</v>
          </cell>
          <cell r="K507" t="e">
            <v>#N/A</v>
          </cell>
          <cell r="L507" t="str">
            <v>HN</v>
          </cell>
          <cell r="N507" t="e">
            <v>#N/A</v>
          </cell>
          <cell r="O507" t="e">
            <v>#N/A</v>
          </cell>
          <cell r="P507" t="str">
            <v>In Transit</v>
          </cell>
          <cell r="Q507" t="e">
            <v>#VALUE!</v>
          </cell>
          <cell r="W507" t="str">
            <v>No need</v>
          </cell>
        </row>
        <row r="508">
          <cell r="H508" t="e">
            <v>#N/A</v>
          </cell>
          <cell r="J508" t="e">
            <v>#N/A</v>
          </cell>
          <cell r="K508" t="e">
            <v>#N/A</v>
          </cell>
          <cell r="L508" t="str">
            <v>HN</v>
          </cell>
          <cell r="N508" t="e">
            <v>#N/A</v>
          </cell>
          <cell r="O508" t="e">
            <v>#N/A</v>
          </cell>
          <cell r="P508" t="str">
            <v>In Transit</v>
          </cell>
          <cell r="Q508" t="e">
            <v>#VALUE!</v>
          </cell>
          <cell r="W508" t="str">
            <v>No need</v>
          </cell>
        </row>
        <row r="509">
          <cell r="H509" t="e">
            <v>#N/A</v>
          </cell>
          <cell r="J509" t="e">
            <v>#N/A</v>
          </cell>
          <cell r="K509" t="e">
            <v>#N/A</v>
          </cell>
          <cell r="L509" t="str">
            <v>HN</v>
          </cell>
          <cell r="N509" t="e">
            <v>#N/A</v>
          </cell>
          <cell r="O509" t="e">
            <v>#N/A</v>
          </cell>
          <cell r="P509" t="str">
            <v>In Transit</v>
          </cell>
          <cell r="Q509" t="e">
            <v>#VALUE!</v>
          </cell>
          <cell r="W509" t="str">
            <v>No need</v>
          </cell>
        </row>
        <row r="510">
          <cell r="H510" t="e">
            <v>#N/A</v>
          </cell>
          <cell r="J510" t="e">
            <v>#N/A</v>
          </cell>
          <cell r="K510" t="e">
            <v>#N/A</v>
          </cell>
          <cell r="L510" t="str">
            <v>HN</v>
          </cell>
          <cell r="N510" t="e">
            <v>#N/A</v>
          </cell>
          <cell r="O510" t="e">
            <v>#N/A</v>
          </cell>
          <cell r="P510" t="str">
            <v>In Transit</v>
          </cell>
          <cell r="Q510" t="e">
            <v>#VALUE!</v>
          </cell>
          <cell r="W510" t="str">
            <v>No need</v>
          </cell>
        </row>
        <row r="511">
          <cell r="H511" t="e">
            <v>#N/A</v>
          </cell>
          <cell r="J511" t="e">
            <v>#N/A</v>
          </cell>
          <cell r="K511" t="e">
            <v>#N/A</v>
          </cell>
          <cell r="L511" t="str">
            <v>HN</v>
          </cell>
          <cell r="N511" t="e">
            <v>#N/A</v>
          </cell>
          <cell r="O511" t="e">
            <v>#N/A</v>
          </cell>
          <cell r="P511" t="str">
            <v>In Transit</v>
          </cell>
          <cell r="Q511" t="e">
            <v>#VALUE!</v>
          </cell>
          <cell r="W511" t="str">
            <v>No need</v>
          </cell>
        </row>
        <row r="512">
          <cell r="H512" t="e">
            <v>#N/A</v>
          </cell>
          <cell r="J512" t="e">
            <v>#N/A</v>
          </cell>
          <cell r="K512" t="e">
            <v>#N/A</v>
          </cell>
          <cell r="L512" t="str">
            <v>HN</v>
          </cell>
          <cell r="N512" t="e">
            <v>#N/A</v>
          </cell>
          <cell r="O512" t="e">
            <v>#N/A</v>
          </cell>
          <cell r="P512" t="str">
            <v>In Transit</v>
          </cell>
          <cell r="Q512" t="e">
            <v>#VALUE!</v>
          </cell>
          <cell r="W512" t="str">
            <v>No need</v>
          </cell>
        </row>
        <row r="513">
          <cell r="H513" t="e">
            <v>#N/A</v>
          </cell>
          <cell r="J513" t="e">
            <v>#N/A</v>
          </cell>
          <cell r="K513" t="e">
            <v>#N/A</v>
          </cell>
          <cell r="L513" t="str">
            <v>HN</v>
          </cell>
          <cell r="N513" t="e">
            <v>#N/A</v>
          </cell>
          <cell r="O513" t="e">
            <v>#N/A</v>
          </cell>
          <cell r="P513" t="str">
            <v>In Transit</v>
          </cell>
          <cell r="Q513" t="e">
            <v>#VALUE!</v>
          </cell>
          <cell r="W513" t="str">
            <v>No need</v>
          </cell>
        </row>
        <row r="514">
          <cell r="H514" t="e">
            <v>#N/A</v>
          </cell>
          <cell r="J514" t="e">
            <v>#N/A</v>
          </cell>
          <cell r="K514" t="e">
            <v>#N/A</v>
          </cell>
          <cell r="L514" t="str">
            <v>HN</v>
          </cell>
          <cell r="N514" t="e">
            <v>#N/A</v>
          </cell>
          <cell r="O514" t="e">
            <v>#N/A</v>
          </cell>
          <cell r="P514" t="str">
            <v>In Transit</v>
          </cell>
          <cell r="Q514" t="e">
            <v>#VALUE!</v>
          </cell>
          <cell r="W514" t="str">
            <v>No need</v>
          </cell>
        </row>
        <row r="515">
          <cell r="H515" t="e">
            <v>#N/A</v>
          </cell>
          <cell r="J515" t="e">
            <v>#N/A</v>
          </cell>
          <cell r="K515" t="e">
            <v>#N/A</v>
          </cell>
          <cell r="L515" t="str">
            <v>HN</v>
          </cell>
          <cell r="N515" t="e">
            <v>#N/A</v>
          </cell>
          <cell r="O515" t="e">
            <v>#N/A</v>
          </cell>
          <cell r="P515" t="str">
            <v>In Transit</v>
          </cell>
          <cell r="Q515" t="e">
            <v>#VALUE!</v>
          </cell>
          <cell r="W515" t="str">
            <v>No need</v>
          </cell>
        </row>
        <row r="516">
          <cell r="H516" t="e">
            <v>#N/A</v>
          </cell>
          <cell r="J516" t="e">
            <v>#N/A</v>
          </cell>
          <cell r="K516" t="e">
            <v>#N/A</v>
          </cell>
          <cell r="L516" t="str">
            <v>HN</v>
          </cell>
          <cell r="N516" t="e">
            <v>#N/A</v>
          </cell>
          <cell r="O516" t="e">
            <v>#N/A</v>
          </cell>
          <cell r="P516" t="str">
            <v>In Transit</v>
          </cell>
          <cell r="Q516" t="e">
            <v>#VALUE!</v>
          </cell>
          <cell r="W516" t="str">
            <v>No need</v>
          </cell>
        </row>
        <row r="517">
          <cell r="H517" t="e">
            <v>#N/A</v>
          </cell>
          <cell r="J517" t="e">
            <v>#N/A</v>
          </cell>
          <cell r="K517" t="e">
            <v>#N/A</v>
          </cell>
          <cell r="L517" t="str">
            <v>HN</v>
          </cell>
          <cell r="N517" t="e">
            <v>#N/A</v>
          </cell>
          <cell r="O517" t="e">
            <v>#N/A</v>
          </cell>
          <cell r="P517" t="str">
            <v>In Transit</v>
          </cell>
          <cell r="Q517" t="e">
            <v>#VALUE!</v>
          </cell>
          <cell r="W517" t="str">
            <v>No need</v>
          </cell>
        </row>
        <row r="518">
          <cell r="H518" t="e">
            <v>#N/A</v>
          </cell>
          <cell r="J518" t="e">
            <v>#N/A</v>
          </cell>
          <cell r="K518" t="e">
            <v>#N/A</v>
          </cell>
          <cell r="L518" t="str">
            <v>HN</v>
          </cell>
          <cell r="N518" t="e">
            <v>#N/A</v>
          </cell>
          <cell r="O518" t="e">
            <v>#N/A</v>
          </cell>
          <cell r="P518" t="str">
            <v>In Transit</v>
          </cell>
          <cell r="Q518" t="e">
            <v>#VALUE!</v>
          </cell>
          <cell r="W518" t="str">
            <v>No need</v>
          </cell>
        </row>
        <row r="519">
          <cell r="H519" t="e">
            <v>#N/A</v>
          </cell>
          <cell r="J519" t="e">
            <v>#N/A</v>
          </cell>
          <cell r="K519" t="e">
            <v>#N/A</v>
          </cell>
          <cell r="L519" t="str">
            <v>HN</v>
          </cell>
          <cell r="N519" t="e">
            <v>#N/A</v>
          </cell>
          <cell r="O519" t="e">
            <v>#N/A</v>
          </cell>
          <cell r="P519" t="str">
            <v>In Transit</v>
          </cell>
          <cell r="Q519" t="e">
            <v>#VALUE!</v>
          </cell>
          <cell r="W519" t="str">
            <v>No need</v>
          </cell>
        </row>
        <row r="520">
          <cell r="H520" t="e">
            <v>#N/A</v>
          </cell>
          <cell r="J520" t="e">
            <v>#N/A</v>
          </cell>
          <cell r="K520" t="e">
            <v>#N/A</v>
          </cell>
          <cell r="L520" t="str">
            <v>HN</v>
          </cell>
          <cell r="N520" t="e">
            <v>#N/A</v>
          </cell>
          <cell r="O520" t="e">
            <v>#N/A</v>
          </cell>
          <cell r="P520" t="str">
            <v>In Transit</v>
          </cell>
          <cell r="Q520" t="e">
            <v>#VALUE!</v>
          </cell>
          <cell r="W520" t="str">
            <v>No need</v>
          </cell>
        </row>
        <row r="521">
          <cell r="H521" t="e">
            <v>#N/A</v>
          </cell>
          <cell r="J521" t="e">
            <v>#N/A</v>
          </cell>
          <cell r="K521" t="e">
            <v>#N/A</v>
          </cell>
          <cell r="L521" t="str">
            <v>HN</v>
          </cell>
          <cell r="N521" t="e">
            <v>#N/A</v>
          </cell>
          <cell r="O521" t="e">
            <v>#N/A</v>
          </cell>
          <cell r="P521" t="str">
            <v>In Transit</v>
          </cell>
          <cell r="Q521" t="e">
            <v>#VALUE!</v>
          </cell>
          <cell r="W521" t="str">
            <v>No need</v>
          </cell>
        </row>
        <row r="522">
          <cell r="H522" t="e">
            <v>#N/A</v>
          </cell>
          <cell r="J522" t="e">
            <v>#N/A</v>
          </cell>
          <cell r="K522" t="e">
            <v>#N/A</v>
          </cell>
          <cell r="L522" t="str">
            <v>HN</v>
          </cell>
          <cell r="N522" t="e">
            <v>#N/A</v>
          </cell>
          <cell r="O522" t="e">
            <v>#N/A</v>
          </cell>
          <cell r="P522" t="str">
            <v>In Transit</v>
          </cell>
          <cell r="Q522" t="e">
            <v>#VALUE!</v>
          </cell>
          <cell r="W522" t="str">
            <v>No need</v>
          </cell>
        </row>
        <row r="523">
          <cell r="H523" t="e">
            <v>#N/A</v>
          </cell>
          <cell r="J523" t="e">
            <v>#N/A</v>
          </cell>
          <cell r="K523" t="e">
            <v>#N/A</v>
          </cell>
          <cell r="L523" t="str">
            <v>HN</v>
          </cell>
          <cell r="N523" t="e">
            <v>#N/A</v>
          </cell>
          <cell r="O523" t="e">
            <v>#N/A</v>
          </cell>
          <cell r="P523" t="str">
            <v>In Transit</v>
          </cell>
          <cell r="Q523" t="e">
            <v>#VALUE!</v>
          </cell>
          <cell r="W523" t="str">
            <v>No need</v>
          </cell>
        </row>
        <row r="524">
          <cell r="H524" t="e">
            <v>#N/A</v>
          </cell>
          <cell r="J524" t="e">
            <v>#N/A</v>
          </cell>
          <cell r="K524" t="e">
            <v>#N/A</v>
          </cell>
          <cell r="L524" t="str">
            <v>HN</v>
          </cell>
          <cell r="N524" t="e">
            <v>#N/A</v>
          </cell>
          <cell r="O524" t="e">
            <v>#N/A</v>
          </cell>
          <cell r="P524" t="str">
            <v>In Transit</v>
          </cell>
          <cell r="Q524" t="e">
            <v>#VALUE!</v>
          </cell>
          <cell r="W524" t="str">
            <v>No need</v>
          </cell>
        </row>
        <row r="525">
          <cell r="H525" t="e">
            <v>#N/A</v>
          </cell>
          <cell r="J525" t="e">
            <v>#N/A</v>
          </cell>
          <cell r="K525" t="e">
            <v>#N/A</v>
          </cell>
          <cell r="L525" t="str">
            <v>HN</v>
          </cell>
          <cell r="N525" t="e">
            <v>#N/A</v>
          </cell>
          <cell r="O525" t="e">
            <v>#N/A</v>
          </cell>
          <cell r="P525" t="str">
            <v>In Transit</v>
          </cell>
          <cell r="Q525" t="e">
            <v>#VALUE!</v>
          </cell>
          <cell r="W525" t="str">
            <v>No need</v>
          </cell>
        </row>
        <row r="526">
          <cell r="H526" t="e">
            <v>#N/A</v>
          </cell>
          <cell r="J526" t="e">
            <v>#N/A</v>
          </cell>
          <cell r="K526" t="e">
            <v>#N/A</v>
          </cell>
          <cell r="L526" t="str">
            <v>HN</v>
          </cell>
          <cell r="N526" t="e">
            <v>#N/A</v>
          </cell>
          <cell r="O526" t="e">
            <v>#N/A</v>
          </cell>
          <cell r="P526" t="str">
            <v>In Transit</v>
          </cell>
          <cell r="Q526" t="e">
            <v>#VALUE!</v>
          </cell>
          <cell r="W526" t="str">
            <v>No need</v>
          </cell>
        </row>
        <row r="527">
          <cell r="H527" t="e">
            <v>#N/A</v>
          </cell>
          <cell r="J527" t="e">
            <v>#N/A</v>
          </cell>
          <cell r="K527" t="e">
            <v>#N/A</v>
          </cell>
          <cell r="L527" t="str">
            <v>HN</v>
          </cell>
          <cell r="N527" t="e">
            <v>#N/A</v>
          </cell>
          <cell r="O527" t="e">
            <v>#N/A</v>
          </cell>
          <cell r="P527" t="str">
            <v>In Transit</v>
          </cell>
          <cell r="Q527" t="e">
            <v>#VALUE!</v>
          </cell>
          <cell r="W527" t="str">
            <v>No need</v>
          </cell>
        </row>
        <row r="528">
          <cell r="H528" t="e">
            <v>#N/A</v>
          </cell>
          <cell r="J528" t="e">
            <v>#N/A</v>
          </cell>
          <cell r="K528" t="e">
            <v>#N/A</v>
          </cell>
          <cell r="L528" t="str">
            <v>HN</v>
          </cell>
          <cell r="N528" t="e">
            <v>#N/A</v>
          </cell>
          <cell r="O528" t="e">
            <v>#N/A</v>
          </cell>
          <cell r="P528" t="str">
            <v>In Transit</v>
          </cell>
          <cell r="Q528" t="e">
            <v>#VALUE!</v>
          </cell>
          <cell r="W528" t="str">
            <v>No need</v>
          </cell>
        </row>
        <row r="529">
          <cell r="H529" t="e">
            <v>#N/A</v>
          </cell>
          <cell r="J529" t="e">
            <v>#N/A</v>
          </cell>
          <cell r="K529" t="e">
            <v>#N/A</v>
          </cell>
          <cell r="L529" t="str">
            <v>HN</v>
          </cell>
          <cell r="N529" t="e">
            <v>#N/A</v>
          </cell>
          <cell r="O529" t="e">
            <v>#N/A</v>
          </cell>
          <cell r="P529" t="str">
            <v>In Transit</v>
          </cell>
          <cell r="Q529" t="e">
            <v>#VALUE!</v>
          </cell>
          <cell r="W529" t="str">
            <v>No need</v>
          </cell>
        </row>
        <row r="530">
          <cell r="H530" t="e">
            <v>#N/A</v>
          </cell>
          <cell r="J530" t="e">
            <v>#N/A</v>
          </cell>
          <cell r="K530" t="e">
            <v>#N/A</v>
          </cell>
          <cell r="L530" t="str">
            <v>HN</v>
          </cell>
          <cell r="N530" t="e">
            <v>#N/A</v>
          </cell>
          <cell r="O530" t="e">
            <v>#N/A</v>
          </cell>
          <cell r="P530" t="str">
            <v>In Transit</v>
          </cell>
          <cell r="Q530" t="e">
            <v>#VALUE!</v>
          </cell>
          <cell r="W530" t="str">
            <v>No need</v>
          </cell>
        </row>
        <row r="531">
          <cell r="H531" t="e">
            <v>#N/A</v>
          </cell>
          <cell r="J531" t="e">
            <v>#N/A</v>
          </cell>
          <cell r="K531" t="e">
            <v>#N/A</v>
          </cell>
          <cell r="L531" t="str">
            <v>HN</v>
          </cell>
          <cell r="N531" t="e">
            <v>#N/A</v>
          </cell>
          <cell r="O531" t="e">
            <v>#N/A</v>
          </cell>
          <cell r="P531" t="str">
            <v>In Transit</v>
          </cell>
          <cell r="Q531" t="e">
            <v>#VALUE!</v>
          </cell>
          <cell r="W531" t="str">
            <v>No need</v>
          </cell>
        </row>
        <row r="532">
          <cell r="H532" t="e">
            <v>#N/A</v>
          </cell>
          <cell r="J532" t="e">
            <v>#N/A</v>
          </cell>
          <cell r="K532" t="e">
            <v>#N/A</v>
          </cell>
          <cell r="L532" t="str">
            <v>HN</v>
          </cell>
          <cell r="N532" t="e">
            <v>#N/A</v>
          </cell>
          <cell r="O532" t="e">
            <v>#N/A</v>
          </cell>
          <cell r="P532" t="str">
            <v>In Transit</v>
          </cell>
          <cell r="Q532" t="e">
            <v>#VALUE!</v>
          </cell>
          <cell r="W532" t="str">
            <v>No need</v>
          </cell>
        </row>
        <row r="533">
          <cell r="H533" t="e">
            <v>#N/A</v>
          </cell>
          <cell r="J533" t="e">
            <v>#N/A</v>
          </cell>
          <cell r="K533" t="e">
            <v>#N/A</v>
          </cell>
          <cell r="L533" t="str">
            <v>HN</v>
          </cell>
          <cell r="N533" t="e">
            <v>#N/A</v>
          </cell>
          <cell r="O533" t="e">
            <v>#N/A</v>
          </cell>
          <cell r="P533" t="str">
            <v>In Transit</v>
          </cell>
          <cell r="Q533" t="e">
            <v>#VALUE!</v>
          </cell>
          <cell r="W533" t="str">
            <v>No need</v>
          </cell>
        </row>
        <row r="534">
          <cell r="H534" t="e">
            <v>#N/A</v>
          </cell>
          <cell r="J534" t="e">
            <v>#N/A</v>
          </cell>
          <cell r="K534" t="e">
            <v>#N/A</v>
          </cell>
          <cell r="L534" t="str">
            <v>HN</v>
          </cell>
          <cell r="N534" t="e">
            <v>#N/A</v>
          </cell>
          <cell r="O534" t="e">
            <v>#N/A</v>
          </cell>
          <cell r="P534" t="str">
            <v>In Transit</v>
          </cell>
          <cell r="Q534" t="e">
            <v>#VALUE!</v>
          </cell>
          <cell r="W534" t="str">
            <v>No need</v>
          </cell>
        </row>
        <row r="535">
          <cell r="H535" t="e">
            <v>#N/A</v>
          </cell>
          <cell r="J535" t="e">
            <v>#N/A</v>
          </cell>
          <cell r="K535" t="e">
            <v>#N/A</v>
          </cell>
          <cell r="L535" t="str">
            <v>HN</v>
          </cell>
          <cell r="N535" t="e">
            <v>#N/A</v>
          </cell>
          <cell r="O535" t="e">
            <v>#N/A</v>
          </cell>
          <cell r="P535" t="str">
            <v>In Transit</v>
          </cell>
          <cell r="Q535" t="e">
            <v>#VALUE!</v>
          </cell>
          <cell r="W535" t="str">
            <v>No need</v>
          </cell>
        </row>
        <row r="536">
          <cell r="H536" t="e">
            <v>#N/A</v>
          </cell>
          <cell r="J536" t="e">
            <v>#N/A</v>
          </cell>
          <cell r="K536" t="e">
            <v>#N/A</v>
          </cell>
          <cell r="L536" t="str">
            <v>HN</v>
          </cell>
          <cell r="N536" t="e">
            <v>#N/A</v>
          </cell>
          <cell r="O536" t="e">
            <v>#N/A</v>
          </cell>
          <cell r="P536" t="str">
            <v>In Transit</v>
          </cell>
          <cell r="Q536" t="e">
            <v>#VALUE!</v>
          </cell>
          <cell r="W536" t="str">
            <v>No need</v>
          </cell>
        </row>
        <row r="537">
          <cell r="H537" t="e">
            <v>#N/A</v>
          </cell>
          <cell r="J537" t="e">
            <v>#N/A</v>
          </cell>
          <cell r="K537" t="e">
            <v>#N/A</v>
          </cell>
          <cell r="L537" t="str">
            <v>HN</v>
          </cell>
          <cell r="N537" t="e">
            <v>#N/A</v>
          </cell>
          <cell r="O537" t="e">
            <v>#N/A</v>
          </cell>
          <cell r="P537" t="str">
            <v>In Transit</v>
          </cell>
          <cell r="Q537" t="e">
            <v>#VALUE!</v>
          </cell>
          <cell r="W537" t="str">
            <v>No need</v>
          </cell>
        </row>
        <row r="538">
          <cell r="H538" t="e">
            <v>#N/A</v>
          </cell>
          <cell r="J538" t="e">
            <v>#N/A</v>
          </cell>
          <cell r="K538" t="e">
            <v>#N/A</v>
          </cell>
          <cell r="L538" t="str">
            <v>HN</v>
          </cell>
          <cell r="N538" t="e">
            <v>#N/A</v>
          </cell>
          <cell r="O538" t="e">
            <v>#N/A</v>
          </cell>
          <cell r="P538" t="str">
            <v>In Transit</v>
          </cell>
          <cell r="Q538" t="e">
            <v>#VALUE!</v>
          </cell>
          <cell r="W538" t="str">
            <v>No need</v>
          </cell>
        </row>
        <row r="539">
          <cell r="H539" t="e">
            <v>#N/A</v>
          </cell>
          <cell r="J539" t="e">
            <v>#N/A</v>
          </cell>
          <cell r="K539" t="e">
            <v>#N/A</v>
          </cell>
          <cell r="L539" t="str">
            <v>HN</v>
          </cell>
          <cell r="N539" t="e">
            <v>#N/A</v>
          </cell>
          <cell r="O539" t="e">
            <v>#N/A</v>
          </cell>
          <cell r="P539" t="str">
            <v>In Transit</v>
          </cell>
          <cell r="Q539" t="e">
            <v>#VALUE!</v>
          </cell>
          <cell r="W539" t="str">
            <v>No need</v>
          </cell>
        </row>
        <row r="540">
          <cell r="H540" t="e">
            <v>#N/A</v>
          </cell>
          <cell r="J540" t="e">
            <v>#N/A</v>
          </cell>
          <cell r="K540" t="e">
            <v>#N/A</v>
          </cell>
          <cell r="L540" t="str">
            <v>HN</v>
          </cell>
          <cell r="N540" t="e">
            <v>#N/A</v>
          </cell>
          <cell r="O540" t="e">
            <v>#N/A</v>
          </cell>
          <cell r="P540" t="str">
            <v>In Transit</v>
          </cell>
          <cell r="Q540" t="e">
            <v>#VALUE!</v>
          </cell>
          <cell r="W540" t="str">
            <v>No need</v>
          </cell>
        </row>
        <row r="541">
          <cell r="H541" t="e">
            <v>#N/A</v>
          </cell>
          <cell r="J541" t="e">
            <v>#N/A</v>
          </cell>
          <cell r="K541" t="e">
            <v>#N/A</v>
          </cell>
          <cell r="L541" t="str">
            <v>HN</v>
          </cell>
          <cell r="N541" t="e">
            <v>#N/A</v>
          </cell>
          <cell r="O541" t="e">
            <v>#N/A</v>
          </cell>
          <cell r="P541" t="str">
            <v>In Transit</v>
          </cell>
          <cell r="Q541" t="e">
            <v>#VALUE!</v>
          </cell>
          <cell r="W541" t="str">
            <v>No need</v>
          </cell>
        </row>
        <row r="542">
          <cell r="H542" t="e">
            <v>#N/A</v>
          </cell>
          <cell r="J542" t="e">
            <v>#N/A</v>
          </cell>
          <cell r="K542" t="e">
            <v>#N/A</v>
          </cell>
          <cell r="L542" t="str">
            <v>HN</v>
          </cell>
          <cell r="N542" t="e">
            <v>#N/A</v>
          </cell>
          <cell r="O542" t="e">
            <v>#N/A</v>
          </cell>
          <cell r="P542" t="str">
            <v>In Transit</v>
          </cell>
          <cell r="Q542" t="e">
            <v>#VALUE!</v>
          </cell>
          <cell r="W542" t="str">
            <v>No need</v>
          </cell>
        </row>
        <row r="543">
          <cell r="H543" t="e">
            <v>#N/A</v>
          </cell>
          <cell r="J543" t="e">
            <v>#N/A</v>
          </cell>
          <cell r="K543" t="e">
            <v>#N/A</v>
          </cell>
          <cell r="L543" t="str">
            <v>HN</v>
          </cell>
          <cell r="N543" t="e">
            <v>#N/A</v>
          </cell>
          <cell r="O543" t="e">
            <v>#N/A</v>
          </cell>
          <cell r="P543" t="str">
            <v>In Transit</v>
          </cell>
          <cell r="Q543" t="e">
            <v>#VALUE!</v>
          </cell>
          <cell r="W543" t="str">
            <v>No need</v>
          </cell>
        </row>
        <row r="544">
          <cell r="H544" t="e">
            <v>#N/A</v>
          </cell>
          <cell r="J544" t="e">
            <v>#N/A</v>
          </cell>
          <cell r="K544" t="e">
            <v>#N/A</v>
          </cell>
          <cell r="L544" t="str">
            <v>HN</v>
          </cell>
          <cell r="N544" t="e">
            <v>#N/A</v>
          </cell>
          <cell r="O544" t="e">
            <v>#N/A</v>
          </cell>
          <cell r="P544" t="str">
            <v>In Transit</v>
          </cell>
          <cell r="Q544" t="e">
            <v>#VALUE!</v>
          </cell>
          <cell r="W544" t="str">
            <v>No need</v>
          </cell>
        </row>
        <row r="545">
          <cell r="H545" t="e">
            <v>#N/A</v>
          </cell>
          <cell r="J545" t="e">
            <v>#N/A</v>
          </cell>
          <cell r="K545" t="e">
            <v>#N/A</v>
          </cell>
          <cell r="L545" t="str">
            <v>HN</v>
          </cell>
          <cell r="N545" t="e">
            <v>#N/A</v>
          </cell>
          <cell r="O545" t="e">
            <v>#N/A</v>
          </cell>
          <cell r="P545" t="str">
            <v>In Transit</v>
          </cell>
          <cell r="Q545" t="e">
            <v>#VALUE!</v>
          </cell>
          <cell r="W545" t="str">
            <v>No need</v>
          </cell>
        </row>
        <row r="546">
          <cell r="H546" t="e">
            <v>#N/A</v>
          </cell>
          <cell r="J546" t="e">
            <v>#N/A</v>
          </cell>
          <cell r="K546" t="e">
            <v>#N/A</v>
          </cell>
          <cell r="L546" t="str">
            <v>HN</v>
          </cell>
          <cell r="N546" t="e">
            <v>#N/A</v>
          </cell>
          <cell r="O546" t="e">
            <v>#N/A</v>
          </cell>
          <cell r="P546" t="str">
            <v>In Transit</v>
          </cell>
          <cell r="Q546" t="e">
            <v>#VALUE!</v>
          </cell>
          <cell r="W546" t="str">
            <v>No need</v>
          </cell>
        </row>
        <row r="547">
          <cell r="H547" t="e">
            <v>#N/A</v>
          </cell>
          <cell r="J547" t="e">
            <v>#N/A</v>
          </cell>
          <cell r="K547" t="e">
            <v>#N/A</v>
          </cell>
          <cell r="L547" t="str">
            <v>HN</v>
          </cell>
          <cell r="N547" t="e">
            <v>#N/A</v>
          </cell>
          <cell r="O547" t="e">
            <v>#N/A</v>
          </cell>
          <cell r="P547" t="str">
            <v>In Transit</v>
          </cell>
          <cell r="Q547" t="e">
            <v>#VALUE!</v>
          </cell>
          <cell r="W547" t="str">
            <v>No need</v>
          </cell>
        </row>
        <row r="548">
          <cell r="H548" t="e">
            <v>#N/A</v>
          </cell>
          <cell r="J548" t="e">
            <v>#N/A</v>
          </cell>
          <cell r="K548" t="e">
            <v>#N/A</v>
          </cell>
          <cell r="L548" t="str">
            <v>HN</v>
          </cell>
          <cell r="N548" t="e">
            <v>#N/A</v>
          </cell>
          <cell r="O548" t="e">
            <v>#N/A</v>
          </cell>
          <cell r="P548" t="str">
            <v>In Transit</v>
          </cell>
          <cell r="Q548" t="e">
            <v>#VALUE!</v>
          </cell>
          <cell r="W548" t="str">
            <v>No need</v>
          </cell>
        </row>
        <row r="549">
          <cell r="H549" t="e">
            <v>#N/A</v>
          </cell>
          <cell r="J549" t="e">
            <v>#N/A</v>
          </cell>
          <cell r="K549" t="e">
            <v>#N/A</v>
          </cell>
          <cell r="L549" t="str">
            <v>HN</v>
          </cell>
          <cell r="N549" t="e">
            <v>#N/A</v>
          </cell>
          <cell r="O549" t="e">
            <v>#N/A</v>
          </cell>
          <cell r="P549" t="str">
            <v>In Transit</v>
          </cell>
          <cell r="Q549" t="e">
            <v>#VALUE!</v>
          </cell>
          <cell r="W549" t="str">
            <v>No need</v>
          </cell>
        </row>
        <row r="550">
          <cell r="H550" t="e">
            <v>#N/A</v>
          </cell>
          <cell r="J550" t="e">
            <v>#N/A</v>
          </cell>
          <cell r="K550" t="e">
            <v>#N/A</v>
          </cell>
          <cell r="L550" t="str">
            <v>HN</v>
          </cell>
          <cell r="N550" t="e">
            <v>#N/A</v>
          </cell>
          <cell r="O550" t="e">
            <v>#N/A</v>
          </cell>
          <cell r="P550" t="str">
            <v>In Transit</v>
          </cell>
          <cell r="Q550" t="e">
            <v>#VALUE!</v>
          </cell>
          <cell r="W550" t="str">
            <v>No need</v>
          </cell>
        </row>
        <row r="551">
          <cell r="H551" t="e">
            <v>#N/A</v>
          </cell>
          <cell r="J551" t="e">
            <v>#N/A</v>
          </cell>
          <cell r="K551" t="e">
            <v>#N/A</v>
          </cell>
          <cell r="L551" t="str">
            <v>HN</v>
          </cell>
          <cell r="N551" t="e">
            <v>#N/A</v>
          </cell>
          <cell r="O551" t="e">
            <v>#N/A</v>
          </cell>
          <cell r="P551" t="str">
            <v>In Transit</v>
          </cell>
          <cell r="Q551" t="e">
            <v>#VALUE!</v>
          </cell>
          <cell r="W551" t="str">
            <v>No need</v>
          </cell>
        </row>
        <row r="552">
          <cell r="H552" t="e">
            <v>#N/A</v>
          </cell>
          <cell r="J552" t="e">
            <v>#N/A</v>
          </cell>
          <cell r="K552" t="e">
            <v>#N/A</v>
          </cell>
          <cell r="L552" t="str">
            <v>HN</v>
          </cell>
          <cell r="N552" t="e">
            <v>#N/A</v>
          </cell>
          <cell r="O552" t="e">
            <v>#N/A</v>
          </cell>
          <cell r="P552" t="str">
            <v>In Transit</v>
          </cell>
          <cell r="Q552" t="e">
            <v>#VALUE!</v>
          </cell>
          <cell r="W552" t="str">
            <v>No need</v>
          </cell>
        </row>
        <row r="553">
          <cell r="H553" t="e">
            <v>#N/A</v>
          </cell>
          <cell r="J553" t="e">
            <v>#N/A</v>
          </cell>
          <cell r="K553" t="e">
            <v>#N/A</v>
          </cell>
          <cell r="L553" t="str">
            <v>HN</v>
          </cell>
          <cell r="N553" t="e">
            <v>#N/A</v>
          </cell>
          <cell r="O553" t="e">
            <v>#N/A</v>
          </cell>
          <cell r="P553" t="str">
            <v>In Transit</v>
          </cell>
          <cell r="Q553" t="e">
            <v>#VALUE!</v>
          </cell>
          <cell r="W553" t="str">
            <v>No need</v>
          </cell>
        </row>
        <row r="554">
          <cell r="H554" t="e">
            <v>#N/A</v>
          </cell>
          <cell r="J554" t="e">
            <v>#N/A</v>
          </cell>
          <cell r="K554" t="e">
            <v>#N/A</v>
          </cell>
          <cell r="L554" t="str">
            <v>HN</v>
          </cell>
          <cell r="N554" t="e">
            <v>#N/A</v>
          </cell>
          <cell r="O554" t="e">
            <v>#N/A</v>
          </cell>
          <cell r="P554" t="str">
            <v>In Transit</v>
          </cell>
          <cell r="Q554" t="e">
            <v>#VALUE!</v>
          </cell>
          <cell r="W554" t="str">
            <v>No need</v>
          </cell>
        </row>
        <row r="555">
          <cell r="H555" t="e">
            <v>#N/A</v>
          </cell>
          <cell r="J555" t="e">
            <v>#N/A</v>
          </cell>
          <cell r="K555" t="e">
            <v>#N/A</v>
          </cell>
          <cell r="L555" t="str">
            <v>HN</v>
          </cell>
          <cell r="N555" t="e">
            <v>#N/A</v>
          </cell>
          <cell r="O555" t="e">
            <v>#N/A</v>
          </cell>
          <cell r="P555" t="str">
            <v>In Transit</v>
          </cell>
          <cell r="Q555" t="e">
            <v>#VALUE!</v>
          </cell>
          <cell r="W555" t="str">
            <v>No need</v>
          </cell>
        </row>
        <row r="556">
          <cell r="H556" t="e">
            <v>#N/A</v>
          </cell>
          <cell r="J556" t="e">
            <v>#N/A</v>
          </cell>
          <cell r="K556" t="e">
            <v>#N/A</v>
          </cell>
          <cell r="L556" t="str">
            <v>HN</v>
          </cell>
          <cell r="N556" t="e">
            <v>#N/A</v>
          </cell>
          <cell r="O556" t="e">
            <v>#N/A</v>
          </cell>
          <cell r="P556" t="str">
            <v>In Transit</v>
          </cell>
          <cell r="Q556" t="e">
            <v>#VALUE!</v>
          </cell>
          <cell r="W556" t="str">
            <v>No need</v>
          </cell>
        </row>
        <row r="557">
          <cell r="H557" t="e">
            <v>#N/A</v>
          </cell>
          <cell r="J557" t="e">
            <v>#N/A</v>
          </cell>
          <cell r="K557" t="e">
            <v>#N/A</v>
          </cell>
          <cell r="L557" t="str">
            <v>HN</v>
          </cell>
          <cell r="N557" t="e">
            <v>#N/A</v>
          </cell>
          <cell r="O557" t="e">
            <v>#N/A</v>
          </cell>
          <cell r="P557" t="str">
            <v>In Transit</v>
          </cell>
          <cell r="Q557" t="e">
            <v>#VALUE!</v>
          </cell>
          <cell r="W557" t="str">
            <v>No need</v>
          </cell>
        </row>
        <row r="558">
          <cell r="H558" t="e">
            <v>#N/A</v>
          </cell>
          <cell r="J558" t="e">
            <v>#N/A</v>
          </cell>
          <cell r="K558" t="e">
            <v>#N/A</v>
          </cell>
          <cell r="L558" t="str">
            <v>HN</v>
          </cell>
          <cell r="N558" t="e">
            <v>#N/A</v>
          </cell>
          <cell r="O558" t="e">
            <v>#N/A</v>
          </cell>
          <cell r="P558" t="str">
            <v>In Transit</v>
          </cell>
          <cell r="Q558" t="e">
            <v>#VALUE!</v>
          </cell>
          <cell r="W558" t="str">
            <v>No need</v>
          </cell>
        </row>
        <row r="559">
          <cell r="H559" t="e">
            <v>#N/A</v>
          </cell>
          <cell r="J559" t="e">
            <v>#N/A</v>
          </cell>
          <cell r="K559" t="e">
            <v>#N/A</v>
          </cell>
          <cell r="L559" t="str">
            <v>HN</v>
          </cell>
          <cell r="N559" t="e">
            <v>#N/A</v>
          </cell>
          <cell r="O559" t="e">
            <v>#N/A</v>
          </cell>
          <cell r="P559" t="str">
            <v>In Transit</v>
          </cell>
          <cell r="Q559" t="e">
            <v>#VALUE!</v>
          </cell>
          <cell r="W559" t="str">
            <v>No need</v>
          </cell>
        </row>
        <row r="560">
          <cell r="H560" t="e">
            <v>#N/A</v>
          </cell>
          <cell r="J560" t="e">
            <v>#N/A</v>
          </cell>
          <cell r="K560" t="e">
            <v>#N/A</v>
          </cell>
          <cell r="L560" t="str">
            <v>HN</v>
          </cell>
          <cell r="N560" t="e">
            <v>#N/A</v>
          </cell>
          <cell r="O560" t="e">
            <v>#N/A</v>
          </cell>
          <cell r="P560" t="str">
            <v>In Transit</v>
          </cell>
          <cell r="Q560" t="e">
            <v>#VALUE!</v>
          </cell>
          <cell r="W560" t="str">
            <v>No need</v>
          </cell>
        </row>
        <row r="561">
          <cell r="H561" t="e">
            <v>#N/A</v>
          </cell>
          <cell r="J561" t="e">
            <v>#N/A</v>
          </cell>
          <cell r="K561" t="e">
            <v>#N/A</v>
          </cell>
          <cell r="L561" t="str">
            <v>HN</v>
          </cell>
          <cell r="N561" t="e">
            <v>#N/A</v>
          </cell>
          <cell r="O561" t="e">
            <v>#N/A</v>
          </cell>
          <cell r="P561" t="str">
            <v>In Transit</v>
          </cell>
          <cell r="Q561" t="e">
            <v>#VALUE!</v>
          </cell>
          <cell r="W561" t="str">
            <v>No need</v>
          </cell>
        </row>
        <row r="562">
          <cell r="H562" t="e">
            <v>#N/A</v>
          </cell>
          <cell r="J562" t="e">
            <v>#N/A</v>
          </cell>
          <cell r="K562" t="e">
            <v>#N/A</v>
          </cell>
          <cell r="L562" t="str">
            <v>HN</v>
          </cell>
          <cell r="N562" t="e">
            <v>#N/A</v>
          </cell>
          <cell r="O562" t="e">
            <v>#N/A</v>
          </cell>
          <cell r="P562" t="str">
            <v>In Transit</v>
          </cell>
          <cell r="Q562" t="e">
            <v>#VALUE!</v>
          </cell>
          <cell r="W562" t="str">
            <v>No need</v>
          </cell>
        </row>
        <row r="563">
          <cell r="H563" t="e">
            <v>#N/A</v>
          </cell>
          <cell r="J563" t="e">
            <v>#N/A</v>
          </cell>
          <cell r="K563" t="e">
            <v>#N/A</v>
          </cell>
          <cell r="L563" t="str">
            <v>HN</v>
          </cell>
          <cell r="N563" t="e">
            <v>#N/A</v>
          </cell>
          <cell r="O563" t="e">
            <v>#N/A</v>
          </cell>
          <cell r="P563" t="str">
            <v>In Transit</v>
          </cell>
          <cell r="Q563" t="e">
            <v>#VALUE!</v>
          </cell>
          <cell r="W563" t="str">
            <v>No need</v>
          </cell>
        </row>
        <row r="564">
          <cell r="H564" t="e">
            <v>#N/A</v>
          </cell>
          <cell r="J564" t="e">
            <v>#N/A</v>
          </cell>
          <cell r="K564" t="e">
            <v>#N/A</v>
          </cell>
          <cell r="L564" t="str">
            <v>HN</v>
          </cell>
          <cell r="N564" t="e">
            <v>#N/A</v>
          </cell>
          <cell r="O564" t="e">
            <v>#N/A</v>
          </cell>
          <cell r="P564" t="str">
            <v>In Transit</v>
          </cell>
          <cell r="Q564" t="e">
            <v>#VALUE!</v>
          </cell>
          <cell r="W564" t="str">
            <v>No need</v>
          </cell>
        </row>
        <row r="565">
          <cell r="H565" t="e">
            <v>#N/A</v>
          </cell>
          <cell r="J565" t="e">
            <v>#N/A</v>
          </cell>
          <cell r="K565" t="e">
            <v>#N/A</v>
          </cell>
          <cell r="L565" t="str">
            <v>HN</v>
          </cell>
          <cell r="N565" t="e">
            <v>#N/A</v>
          </cell>
          <cell r="O565" t="e">
            <v>#N/A</v>
          </cell>
          <cell r="P565" t="str">
            <v>In Transit</v>
          </cell>
          <cell r="Q565" t="e">
            <v>#VALUE!</v>
          </cell>
          <cell r="W565" t="str">
            <v>No need</v>
          </cell>
        </row>
        <row r="566">
          <cell r="H566" t="e">
            <v>#N/A</v>
          </cell>
          <cell r="J566" t="e">
            <v>#N/A</v>
          </cell>
          <cell r="K566" t="e">
            <v>#N/A</v>
          </cell>
          <cell r="L566" t="str">
            <v>HN</v>
          </cell>
          <cell r="N566" t="e">
            <v>#N/A</v>
          </cell>
          <cell r="O566" t="e">
            <v>#N/A</v>
          </cell>
          <cell r="P566" t="str">
            <v>In Transit</v>
          </cell>
          <cell r="Q566" t="e">
            <v>#VALUE!</v>
          </cell>
          <cell r="W566" t="str">
            <v>No need</v>
          </cell>
        </row>
        <row r="567">
          <cell r="H567" t="e">
            <v>#N/A</v>
          </cell>
          <cell r="J567" t="e">
            <v>#N/A</v>
          </cell>
          <cell r="K567" t="e">
            <v>#N/A</v>
          </cell>
          <cell r="L567" t="str">
            <v>HN</v>
          </cell>
          <cell r="N567" t="e">
            <v>#N/A</v>
          </cell>
          <cell r="O567" t="e">
            <v>#N/A</v>
          </cell>
          <cell r="P567" t="str">
            <v>In Transit</v>
          </cell>
          <cell r="Q567" t="e">
            <v>#VALUE!</v>
          </cell>
          <cell r="W567" t="str">
            <v>No need</v>
          </cell>
        </row>
        <row r="568">
          <cell r="H568" t="e">
            <v>#N/A</v>
          </cell>
          <cell r="J568" t="e">
            <v>#N/A</v>
          </cell>
          <cell r="K568" t="e">
            <v>#N/A</v>
          </cell>
          <cell r="L568" t="str">
            <v>HN</v>
          </cell>
          <cell r="N568" t="e">
            <v>#N/A</v>
          </cell>
          <cell r="O568" t="e">
            <v>#N/A</v>
          </cell>
          <cell r="P568" t="str">
            <v>In Transit</v>
          </cell>
          <cell r="Q568" t="e">
            <v>#VALUE!</v>
          </cell>
          <cell r="W568" t="str">
            <v>No need</v>
          </cell>
        </row>
        <row r="569">
          <cell r="H569" t="e">
            <v>#N/A</v>
          </cell>
          <cell r="J569" t="e">
            <v>#N/A</v>
          </cell>
          <cell r="K569" t="e">
            <v>#N/A</v>
          </cell>
          <cell r="L569" t="str">
            <v>HN</v>
          </cell>
          <cell r="N569" t="e">
            <v>#N/A</v>
          </cell>
          <cell r="O569" t="e">
            <v>#N/A</v>
          </cell>
          <cell r="P569" t="str">
            <v>In Transit</v>
          </cell>
          <cell r="Q569" t="e">
            <v>#VALUE!</v>
          </cell>
          <cell r="W569" t="str">
            <v>No need</v>
          </cell>
        </row>
        <row r="570">
          <cell r="H570" t="e">
            <v>#N/A</v>
          </cell>
          <cell r="J570" t="e">
            <v>#N/A</v>
          </cell>
          <cell r="K570" t="e">
            <v>#N/A</v>
          </cell>
          <cell r="L570" t="str">
            <v>HN</v>
          </cell>
          <cell r="N570" t="e">
            <v>#N/A</v>
          </cell>
          <cell r="O570" t="e">
            <v>#N/A</v>
          </cell>
          <cell r="P570" t="str">
            <v>In Transit</v>
          </cell>
          <cell r="Q570" t="e">
            <v>#VALUE!</v>
          </cell>
          <cell r="W570" t="str">
            <v>No need</v>
          </cell>
        </row>
        <row r="571">
          <cell r="H571" t="e">
            <v>#N/A</v>
          </cell>
          <cell r="J571" t="e">
            <v>#N/A</v>
          </cell>
          <cell r="K571" t="e">
            <v>#N/A</v>
          </cell>
          <cell r="L571" t="str">
            <v>HN</v>
          </cell>
          <cell r="N571" t="e">
            <v>#N/A</v>
          </cell>
          <cell r="O571" t="e">
            <v>#N/A</v>
          </cell>
          <cell r="P571" t="str">
            <v>In Transit</v>
          </cell>
          <cell r="Q571" t="e">
            <v>#VALUE!</v>
          </cell>
          <cell r="W571" t="str">
            <v>No need</v>
          </cell>
        </row>
        <row r="572">
          <cell r="H572" t="e">
            <v>#N/A</v>
          </cell>
          <cell r="J572" t="e">
            <v>#N/A</v>
          </cell>
          <cell r="K572" t="e">
            <v>#N/A</v>
          </cell>
          <cell r="L572" t="str">
            <v>HN</v>
          </cell>
          <cell r="N572" t="e">
            <v>#N/A</v>
          </cell>
          <cell r="O572" t="e">
            <v>#N/A</v>
          </cell>
          <cell r="P572" t="str">
            <v>In Transit</v>
          </cell>
          <cell r="Q572" t="e">
            <v>#VALUE!</v>
          </cell>
          <cell r="W572" t="str">
            <v>No need</v>
          </cell>
        </row>
        <row r="573">
          <cell r="H573" t="e">
            <v>#N/A</v>
          </cell>
          <cell r="J573" t="e">
            <v>#N/A</v>
          </cell>
          <cell r="K573" t="e">
            <v>#N/A</v>
          </cell>
          <cell r="L573" t="str">
            <v>HN</v>
          </cell>
          <cell r="N573" t="e">
            <v>#N/A</v>
          </cell>
          <cell r="O573" t="e">
            <v>#N/A</v>
          </cell>
          <cell r="P573" t="str">
            <v>In Transit</v>
          </cell>
          <cell r="Q573" t="e">
            <v>#VALUE!</v>
          </cell>
          <cell r="W573" t="str">
            <v>No need</v>
          </cell>
        </row>
        <row r="574">
          <cell r="H574" t="e">
            <v>#N/A</v>
          </cell>
          <cell r="J574" t="e">
            <v>#N/A</v>
          </cell>
          <cell r="K574" t="e">
            <v>#N/A</v>
          </cell>
          <cell r="L574" t="str">
            <v>HN</v>
          </cell>
          <cell r="N574" t="e">
            <v>#N/A</v>
          </cell>
          <cell r="O574" t="e">
            <v>#N/A</v>
          </cell>
          <cell r="P574" t="str">
            <v>In Transit</v>
          </cell>
          <cell r="Q574" t="e">
            <v>#VALUE!</v>
          </cell>
          <cell r="W574" t="str">
            <v>No need</v>
          </cell>
        </row>
        <row r="575">
          <cell r="H575" t="e">
            <v>#N/A</v>
          </cell>
          <cell r="J575" t="e">
            <v>#N/A</v>
          </cell>
          <cell r="K575" t="e">
            <v>#N/A</v>
          </cell>
          <cell r="L575" t="str">
            <v>HN</v>
          </cell>
          <cell r="N575" t="e">
            <v>#N/A</v>
          </cell>
          <cell r="O575" t="e">
            <v>#N/A</v>
          </cell>
          <cell r="P575" t="str">
            <v>In Transit</v>
          </cell>
          <cell r="Q575" t="e">
            <v>#VALUE!</v>
          </cell>
          <cell r="W575" t="str">
            <v>No need</v>
          </cell>
        </row>
        <row r="576">
          <cell r="H576" t="e">
            <v>#N/A</v>
          </cell>
          <cell r="J576" t="e">
            <v>#N/A</v>
          </cell>
          <cell r="K576" t="e">
            <v>#N/A</v>
          </cell>
          <cell r="L576" t="str">
            <v>HN</v>
          </cell>
          <cell r="N576" t="e">
            <v>#N/A</v>
          </cell>
          <cell r="O576" t="e">
            <v>#N/A</v>
          </cell>
          <cell r="P576" t="str">
            <v>In Transit</v>
          </cell>
          <cell r="Q576" t="e">
            <v>#VALUE!</v>
          </cell>
          <cell r="W576" t="str">
            <v>No need</v>
          </cell>
        </row>
        <row r="577">
          <cell r="H577" t="e">
            <v>#N/A</v>
          </cell>
          <cell r="J577" t="e">
            <v>#N/A</v>
          </cell>
          <cell r="K577" t="e">
            <v>#N/A</v>
          </cell>
          <cell r="L577" t="str">
            <v>HN</v>
          </cell>
          <cell r="N577" t="e">
            <v>#N/A</v>
          </cell>
          <cell r="O577" t="e">
            <v>#N/A</v>
          </cell>
          <cell r="P577" t="str">
            <v>In Transit</v>
          </cell>
          <cell r="Q577" t="e">
            <v>#VALUE!</v>
          </cell>
          <cell r="W577" t="str">
            <v>No need</v>
          </cell>
        </row>
        <row r="578">
          <cell r="H578" t="e">
            <v>#N/A</v>
          </cell>
          <cell r="J578" t="e">
            <v>#N/A</v>
          </cell>
          <cell r="K578" t="e">
            <v>#N/A</v>
          </cell>
          <cell r="L578" t="str">
            <v>HN</v>
          </cell>
          <cell r="N578" t="e">
            <v>#N/A</v>
          </cell>
          <cell r="O578" t="e">
            <v>#N/A</v>
          </cell>
          <cell r="P578" t="str">
            <v>In Transit</v>
          </cell>
          <cell r="Q578" t="e">
            <v>#VALUE!</v>
          </cell>
          <cell r="W578" t="str">
            <v>No need</v>
          </cell>
        </row>
        <row r="579">
          <cell r="H579" t="e">
            <v>#N/A</v>
          </cell>
          <cell r="J579" t="e">
            <v>#N/A</v>
          </cell>
          <cell r="K579" t="e">
            <v>#N/A</v>
          </cell>
          <cell r="L579" t="str">
            <v>HN</v>
          </cell>
          <cell r="N579" t="e">
            <v>#N/A</v>
          </cell>
          <cell r="O579" t="e">
            <v>#N/A</v>
          </cell>
          <cell r="P579" t="str">
            <v>In Transit</v>
          </cell>
          <cell r="Q579" t="e">
            <v>#VALUE!</v>
          </cell>
          <cell r="W579" t="str">
            <v>No need</v>
          </cell>
        </row>
        <row r="580">
          <cell r="H580" t="e">
            <v>#N/A</v>
          </cell>
          <cell r="J580" t="e">
            <v>#N/A</v>
          </cell>
          <cell r="K580" t="e">
            <v>#N/A</v>
          </cell>
          <cell r="L580" t="str">
            <v>HN</v>
          </cell>
          <cell r="N580" t="e">
            <v>#N/A</v>
          </cell>
          <cell r="O580" t="e">
            <v>#N/A</v>
          </cell>
          <cell r="P580" t="str">
            <v>In Transit</v>
          </cell>
          <cell r="Q580" t="e">
            <v>#VALUE!</v>
          </cell>
          <cell r="W580" t="str">
            <v>No need</v>
          </cell>
        </row>
        <row r="581">
          <cell r="H581" t="e">
            <v>#N/A</v>
          </cell>
          <cell r="J581" t="e">
            <v>#N/A</v>
          </cell>
          <cell r="K581" t="e">
            <v>#N/A</v>
          </cell>
          <cell r="L581" t="str">
            <v>HN</v>
          </cell>
          <cell r="N581" t="e">
            <v>#N/A</v>
          </cell>
          <cell r="O581" t="e">
            <v>#N/A</v>
          </cell>
          <cell r="P581" t="str">
            <v>In Transit</v>
          </cell>
          <cell r="Q581" t="e">
            <v>#VALUE!</v>
          </cell>
          <cell r="W581" t="str">
            <v>No need</v>
          </cell>
        </row>
        <row r="582">
          <cell r="H582" t="e">
            <v>#N/A</v>
          </cell>
          <cell r="J582" t="e">
            <v>#N/A</v>
          </cell>
          <cell r="K582" t="e">
            <v>#N/A</v>
          </cell>
          <cell r="L582" t="str">
            <v>HN</v>
          </cell>
          <cell r="N582" t="e">
            <v>#N/A</v>
          </cell>
          <cell r="O582" t="e">
            <v>#N/A</v>
          </cell>
          <cell r="P582" t="str">
            <v>In Transit</v>
          </cell>
          <cell r="Q582" t="e">
            <v>#VALUE!</v>
          </cell>
          <cell r="W582" t="str">
            <v>No need</v>
          </cell>
        </row>
        <row r="583">
          <cell r="H583" t="e">
            <v>#N/A</v>
          </cell>
          <cell r="J583" t="e">
            <v>#N/A</v>
          </cell>
          <cell r="K583" t="e">
            <v>#N/A</v>
          </cell>
          <cell r="L583" t="str">
            <v>HN</v>
          </cell>
          <cell r="N583" t="e">
            <v>#N/A</v>
          </cell>
          <cell r="O583" t="e">
            <v>#N/A</v>
          </cell>
          <cell r="P583" t="str">
            <v>In Transit</v>
          </cell>
          <cell r="Q583" t="e">
            <v>#VALUE!</v>
          </cell>
          <cell r="W583" t="str">
            <v>No need</v>
          </cell>
        </row>
        <row r="584">
          <cell r="H584" t="e">
            <v>#N/A</v>
          </cell>
          <cell r="J584" t="e">
            <v>#N/A</v>
          </cell>
          <cell r="K584" t="e">
            <v>#N/A</v>
          </cell>
          <cell r="L584" t="str">
            <v>HN</v>
          </cell>
          <cell r="N584" t="e">
            <v>#N/A</v>
          </cell>
          <cell r="O584" t="e">
            <v>#N/A</v>
          </cell>
          <cell r="P584" t="str">
            <v>In Transit</v>
          </cell>
          <cell r="Q584" t="e">
            <v>#VALUE!</v>
          </cell>
          <cell r="W584" t="str">
            <v>No need</v>
          </cell>
        </row>
        <row r="585">
          <cell r="H585" t="e">
            <v>#N/A</v>
          </cell>
          <cell r="J585" t="e">
            <v>#N/A</v>
          </cell>
          <cell r="K585" t="e">
            <v>#N/A</v>
          </cell>
          <cell r="L585" t="str">
            <v>HN</v>
          </cell>
          <cell r="N585" t="e">
            <v>#N/A</v>
          </cell>
          <cell r="O585" t="e">
            <v>#N/A</v>
          </cell>
          <cell r="P585" t="str">
            <v>In Transit</v>
          </cell>
          <cell r="Q585" t="e">
            <v>#VALUE!</v>
          </cell>
          <cell r="W585" t="str">
            <v>No need</v>
          </cell>
        </row>
        <row r="586">
          <cell r="H586" t="e">
            <v>#N/A</v>
          </cell>
          <cell r="J586" t="e">
            <v>#N/A</v>
          </cell>
          <cell r="K586" t="e">
            <v>#N/A</v>
          </cell>
          <cell r="L586" t="str">
            <v>HN</v>
          </cell>
          <cell r="N586" t="e">
            <v>#N/A</v>
          </cell>
          <cell r="O586" t="e">
            <v>#N/A</v>
          </cell>
          <cell r="P586" t="str">
            <v>In Transit</v>
          </cell>
          <cell r="Q586" t="e">
            <v>#VALUE!</v>
          </cell>
          <cell r="W586" t="str">
            <v>No need</v>
          </cell>
        </row>
        <row r="587">
          <cell r="H587" t="e">
            <v>#N/A</v>
          </cell>
          <cell r="J587" t="e">
            <v>#N/A</v>
          </cell>
          <cell r="K587" t="e">
            <v>#N/A</v>
          </cell>
          <cell r="L587" t="str">
            <v>HN</v>
          </cell>
          <cell r="N587" t="e">
            <v>#N/A</v>
          </cell>
          <cell r="O587" t="e">
            <v>#N/A</v>
          </cell>
          <cell r="P587" t="str">
            <v>In Transit</v>
          </cell>
          <cell r="Q587" t="e">
            <v>#VALUE!</v>
          </cell>
          <cell r="W587" t="str">
            <v>No need</v>
          </cell>
        </row>
        <row r="588">
          <cell r="H588" t="e">
            <v>#N/A</v>
          </cell>
          <cell r="J588" t="e">
            <v>#N/A</v>
          </cell>
          <cell r="K588" t="e">
            <v>#N/A</v>
          </cell>
          <cell r="L588" t="str">
            <v>HN</v>
          </cell>
          <cell r="N588" t="e">
            <v>#N/A</v>
          </cell>
          <cell r="O588" t="e">
            <v>#N/A</v>
          </cell>
          <cell r="P588" t="str">
            <v>In Transit</v>
          </cell>
          <cell r="Q588" t="e">
            <v>#VALUE!</v>
          </cell>
          <cell r="W588" t="str">
            <v>No need</v>
          </cell>
        </row>
        <row r="589">
          <cell r="H589" t="e">
            <v>#N/A</v>
          </cell>
          <cell r="J589" t="e">
            <v>#N/A</v>
          </cell>
          <cell r="K589" t="e">
            <v>#N/A</v>
          </cell>
          <cell r="L589" t="str">
            <v>HN</v>
          </cell>
          <cell r="N589" t="e">
            <v>#N/A</v>
          </cell>
          <cell r="O589" t="e">
            <v>#N/A</v>
          </cell>
          <cell r="P589" t="str">
            <v>In Transit</v>
          </cell>
          <cell r="Q589" t="e">
            <v>#VALUE!</v>
          </cell>
          <cell r="W589" t="str">
            <v>No need</v>
          </cell>
        </row>
        <row r="590">
          <cell r="H590" t="e">
            <v>#N/A</v>
          </cell>
          <cell r="J590" t="e">
            <v>#N/A</v>
          </cell>
          <cell r="K590" t="e">
            <v>#N/A</v>
          </cell>
          <cell r="L590" t="str">
            <v>HN</v>
          </cell>
          <cell r="N590" t="e">
            <v>#N/A</v>
          </cell>
          <cell r="O590" t="e">
            <v>#N/A</v>
          </cell>
          <cell r="P590" t="str">
            <v>In Transit</v>
          </cell>
          <cell r="Q590" t="e">
            <v>#VALUE!</v>
          </cell>
          <cell r="W590" t="str">
            <v>No need</v>
          </cell>
        </row>
        <row r="591">
          <cell r="H591" t="e">
            <v>#N/A</v>
          </cell>
          <cell r="J591" t="e">
            <v>#N/A</v>
          </cell>
          <cell r="K591" t="e">
            <v>#N/A</v>
          </cell>
          <cell r="L591" t="str">
            <v>HN</v>
          </cell>
          <cell r="N591" t="e">
            <v>#N/A</v>
          </cell>
          <cell r="O591" t="e">
            <v>#N/A</v>
          </cell>
          <cell r="P591" t="str">
            <v>In Transit</v>
          </cell>
          <cell r="Q591" t="e">
            <v>#VALUE!</v>
          </cell>
          <cell r="W591" t="str">
            <v>No need</v>
          </cell>
        </row>
        <row r="592">
          <cell r="H592" t="e">
            <v>#N/A</v>
          </cell>
          <cell r="J592" t="e">
            <v>#N/A</v>
          </cell>
          <cell r="K592" t="e">
            <v>#N/A</v>
          </cell>
          <cell r="L592" t="str">
            <v>HN</v>
          </cell>
          <cell r="N592" t="e">
            <v>#N/A</v>
          </cell>
          <cell r="O592" t="e">
            <v>#N/A</v>
          </cell>
          <cell r="P592" t="str">
            <v>In Transit</v>
          </cell>
          <cell r="Q592" t="e">
            <v>#VALUE!</v>
          </cell>
          <cell r="W592" t="str">
            <v>No need</v>
          </cell>
        </row>
        <row r="593">
          <cell r="H593" t="e">
            <v>#N/A</v>
          </cell>
          <cell r="J593" t="e">
            <v>#N/A</v>
          </cell>
          <cell r="K593" t="e">
            <v>#N/A</v>
          </cell>
          <cell r="L593" t="str">
            <v>HN</v>
          </cell>
          <cell r="N593" t="e">
            <v>#N/A</v>
          </cell>
          <cell r="O593" t="e">
            <v>#N/A</v>
          </cell>
          <cell r="P593" t="str">
            <v>In Transit</v>
          </cell>
          <cell r="Q593" t="e">
            <v>#VALUE!</v>
          </cell>
          <cell r="W593" t="str">
            <v>No need</v>
          </cell>
        </row>
        <row r="594">
          <cell r="H594" t="e">
            <v>#N/A</v>
          </cell>
          <cell r="J594" t="e">
            <v>#N/A</v>
          </cell>
          <cell r="K594" t="e">
            <v>#N/A</v>
          </cell>
          <cell r="L594" t="str">
            <v>HN</v>
          </cell>
          <cell r="N594" t="e">
            <v>#N/A</v>
          </cell>
          <cell r="O594" t="e">
            <v>#N/A</v>
          </cell>
          <cell r="P594" t="str">
            <v>In Transit</v>
          </cell>
          <cell r="Q594" t="e">
            <v>#VALUE!</v>
          </cell>
          <cell r="W594" t="str">
            <v>No need</v>
          </cell>
        </row>
        <row r="595">
          <cell r="H595" t="e">
            <v>#N/A</v>
          </cell>
          <cell r="J595" t="e">
            <v>#N/A</v>
          </cell>
          <cell r="K595" t="e">
            <v>#N/A</v>
          </cell>
          <cell r="L595" t="str">
            <v>HN</v>
          </cell>
          <cell r="N595" t="e">
            <v>#N/A</v>
          </cell>
          <cell r="O595" t="e">
            <v>#N/A</v>
          </cell>
          <cell r="P595" t="str">
            <v>In Transit</v>
          </cell>
          <cell r="Q595" t="e">
            <v>#VALUE!</v>
          </cell>
          <cell r="W595" t="str">
            <v>No need</v>
          </cell>
        </row>
        <row r="596">
          <cell r="H596" t="e">
            <v>#N/A</v>
          </cell>
          <cell r="J596" t="e">
            <v>#N/A</v>
          </cell>
          <cell r="K596" t="e">
            <v>#N/A</v>
          </cell>
          <cell r="L596" t="str">
            <v>HN</v>
          </cell>
          <cell r="N596" t="e">
            <v>#N/A</v>
          </cell>
          <cell r="O596" t="e">
            <v>#N/A</v>
          </cell>
          <cell r="P596" t="str">
            <v>In Transit</v>
          </cell>
          <cell r="Q596" t="e">
            <v>#VALUE!</v>
          </cell>
          <cell r="W596" t="str">
            <v>No need</v>
          </cell>
        </row>
        <row r="597">
          <cell r="H597" t="e">
            <v>#N/A</v>
          </cell>
          <cell r="J597" t="e">
            <v>#N/A</v>
          </cell>
          <cell r="K597" t="e">
            <v>#N/A</v>
          </cell>
          <cell r="L597" t="str">
            <v>HN</v>
          </cell>
          <cell r="N597" t="e">
            <v>#N/A</v>
          </cell>
          <cell r="O597" t="e">
            <v>#N/A</v>
          </cell>
          <cell r="P597" t="str">
            <v>In Transit</v>
          </cell>
          <cell r="Q597" t="e">
            <v>#VALUE!</v>
          </cell>
          <cell r="W597" t="str">
            <v>No need</v>
          </cell>
        </row>
        <row r="598">
          <cell r="H598" t="e">
            <v>#N/A</v>
          </cell>
          <cell r="J598" t="e">
            <v>#N/A</v>
          </cell>
          <cell r="K598" t="e">
            <v>#N/A</v>
          </cell>
          <cell r="L598" t="str">
            <v>HN</v>
          </cell>
          <cell r="N598" t="e">
            <v>#N/A</v>
          </cell>
          <cell r="O598" t="e">
            <v>#N/A</v>
          </cell>
          <cell r="P598" t="str">
            <v>In Transit</v>
          </cell>
          <cell r="Q598" t="e">
            <v>#VALUE!</v>
          </cell>
          <cell r="W598" t="str">
            <v>No need</v>
          </cell>
        </row>
        <row r="599">
          <cell r="H599" t="e">
            <v>#N/A</v>
          </cell>
          <cell r="J599" t="e">
            <v>#N/A</v>
          </cell>
          <cell r="K599" t="e">
            <v>#N/A</v>
          </cell>
          <cell r="L599" t="str">
            <v>HN</v>
          </cell>
          <cell r="N599" t="e">
            <v>#N/A</v>
          </cell>
          <cell r="O599" t="e">
            <v>#N/A</v>
          </cell>
          <cell r="P599" t="str">
            <v>In Transit</v>
          </cell>
          <cell r="Q599" t="e">
            <v>#VALUE!</v>
          </cell>
          <cell r="W599" t="str">
            <v>No need</v>
          </cell>
        </row>
        <row r="600">
          <cell r="H600" t="e">
            <v>#N/A</v>
          </cell>
          <cell r="J600" t="e">
            <v>#N/A</v>
          </cell>
          <cell r="K600" t="e">
            <v>#N/A</v>
          </cell>
          <cell r="L600" t="str">
            <v>HN</v>
          </cell>
          <cell r="N600" t="e">
            <v>#N/A</v>
          </cell>
          <cell r="O600" t="e">
            <v>#N/A</v>
          </cell>
          <cell r="P600" t="str">
            <v>In Transit</v>
          </cell>
          <cell r="Q600" t="e">
            <v>#VALUE!</v>
          </cell>
          <cell r="W600" t="str">
            <v>No need</v>
          </cell>
        </row>
        <row r="601">
          <cell r="H601" t="e">
            <v>#N/A</v>
          </cell>
          <cell r="J601" t="e">
            <v>#N/A</v>
          </cell>
          <cell r="K601" t="e">
            <v>#N/A</v>
          </cell>
          <cell r="L601" t="str">
            <v>HN</v>
          </cell>
          <cell r="N601" t="e">
            <v>#N/A</v>
          </cell>
          <cell r="O601" t="e">
            <v>#N/A</v>
          </cell>
          <cell r="P601" t="str">
            <v>In Transit</v>
          </cell>
          <cell r="Q601" t="e">
            <v>#VALUE!</v>
          </cell>
          <cell r="W601" t="str">
            <v>No need</v>
          </cell>
        </row>
        <row r="602">
          <cell r="H602" t="e">
            <v>#N/A</v>
          </cell>
          <cell r="J602" t="e">
            <v>#N/A</v>
          </cell>
          <cell r="K602" t="e">
            <v>#N/A</v>
          </cell>
          <cell r="L602" t="str">
            <v>HN</v>
          </cell>
          <cell r="N602" t="e">
            <v>#N/A</v>
          </cell>
          <cell r="O602" t="e">
            <v>#N/A</v>
          </cell>
          <cell r="P602" t="str">
            <v>In Transit</v>
          </cell>
          <cell r="Q602" t="e">
            <v>#VALUE!</v>
          </cell>
          <cell r="W602" t="str">
            <v>No need</v>
          </cell>
        </row>
        <row r="603">
          <cell r="H603" t="e">
            <v>#N/A</v>
          </cell>
          <cell r="J603" t="e">
            <v>#N/A</v>
          </cell>
          <cell r="K603" t="e">
            <v>#N/A</v>
          </cell>
          <cell r="L603" t="str">
            <v>HN</v>
          </cell>
          <cell r="N603" t="e">
            <v>#N/A</v>
          </cell>
          <cell r="O603" t="e">
            <v>#N/A</v>
          </cell>
          <cell r="P603" t="str">
            <v>In Transit</v>
          </cell>
          <cell r="Q603" t="e">
            <v>#VALUE!</v>
          </cell>
          <cell r="W603" t="str">
            <v>No need</v>
          </cell>
        </row>
        <row r="604">
          <cell r="H604" t="e">
            <v>#N/A</v>
          </cell>
          <cell r="J604" t="e">
            <v>#N/A</v>
          </cell>
          <cell r="K604" t="e">
            <v>#N/A</v>
          </cell>
          <cell r="L604" t="str">
            <v>HN</v>
          </cell>
          <cell r="N604" t="e">
            <v>#N/A</v>
          </cell>
          <cell r="O604" t="e">
            <v>#N/A</v>
          </cell>
          <cell r="P604" t="str">
            <v>In Transit</v>
          </cell>
          <cell r="Q604" t="e">
            <v>#VALUE!</v>
          </cell>
          <cell r="W604" t="str">
            <v>No need</v>
          </cell>
        </row>
        <row r="605">
          <cell r="H605" t="e">
            <v>#N/A</v>
          </cell>
          <cell r="J605" t="e">
            <v>#N/A</v>
          </cell>
          <cell r="K605" t="e">
            <v>#N/A</v>
          </cell>
          <cell r="L605" t="str">
            <v>HN</v>
          </cell>
          <cell r="N605" t="e">
            <v>#N/A</v>
          </cell>
          <cell r="O605" t="e">
            <v>#N/A</v>
          </cell>
          <cell r="P605" t="str">
            <v>In Transit</v>
          </cell>
          <cell r="Q605" t="e">
            <v>#VALUE!</v>
          </cell>
          <cell r="W605" t="str">
            <v>No need</v>
          </cell>
        </row>
        <row r="606">
          <cell r="H606" t="e">
            <v>#N/A</v>
          </cell>
          <cell r="J606" t="e">
            <v>#N/A</v>
          </cell>
          <cell r="K606" t="e">
            <v>#N/A</v>
          </cell>
          <cell r="L606" t="str">
            <v>HN</v>
          </cell>
          <cell r="N606" t="e">
            <v>#N/A</v>
          </cell>
          <cell r="O606" t="e">
            <v>#N/A</v>
          </cell>
          <cell r="P606" t="str">
            <v>In Transit</v>
          </cell>
          <cell r="Q606" t="e">
            <v>#VALUE!</v>
          </cell>
          <cell r="W606" t="str">
            <v>No need</v>
          </cell>
        </row>
        <row r="607">
          <cell r="H607" t="e">
            <v>#N/A</v>
          </cell>
          <cell r="J607" t="e">
            <v>#N/A</v>
          </cell>
          <cell r="K607" t="e">
            <v>#N/A</v>
          </cell>
          <cell r="L607" t="str">
            <v>HN</v>
          </cell>
          <cell r="N607" t="e">
            <v>#N/A</v>
          </cell>
          <cell r="O607" t="e">
            <v>#N/A</v>
          </cell>
          <cell r="P607" t="str">
            <v>In Transit</v>
          </cell>
          <cell r="Q607" t="e">
            <v>#VALUE!</v>
          </cell>
          <cell r="W607" t="str">
            <v>No need</v>
          </cell>
        </row>
        <row r="608">
          <cell r="H608" t="e">
            <v>#N/A</v>
          </cell>
          <cell r="J608" t="e">
            <v>#N/A</v>
          </cell>
          <cell r="K608" t="e">
            <v>#N/A</v>
          </cell>
          <cell r="L608" t="str">
            <v>HN</v>
          </cell>
          <cell r="N608" t="e">
            <v>#N/A</v>
          </cell>
          <cell r="O608" t="e">
            <v>#N/A</v>
          </cell>
          <cell r="P608" t="str">
            <v>In Transit</v>
          </cell>
          <cell r="Q608" t="e">
            <v>#VALUE!</v>
          </cell>
          <cell r="W608" t="str">
            <v>No need</v>
          </cell>
        </row>
        <row r="609">
          <cell r="H609" t="e">
            <v>#N/A</v>
          </cell>
          <cell r="J609" t="e">
            <v>#N/A</v>
          </cell>
          <cell r="K609" t="e">
            <v>#N/A</v>
          </cell>
          <cell r="L609" t="str">
            <v>HN</v>
          </cell>
          <cell r="N609" t="e">
            <v>#N/A</v>
          </cell>
          <cell r="O609" t="e">
            <v>#N/A</v>
          </cell>
          <cell r="P609" t="str">
            <v>In Transit</v>
          </cell>
          <cell r="Q609" t="e">
            <v>#VALUE!</v>
          </cell>
          <cell r="W609" t="str">
            <v>No need</v>
          </cell>
        </row>
        <row r="610">
          <cell r="H610" t="e">
            <v>#N/A</v>
          </cell>
          <cell r="J610" t="e">
            <v>#N/A</v>
          </cell>
          <cell r="K610" t="e">
            <v>#N/A</v>
          </cell>
          <cell r="L610" t="str">
            <v>HN</v>
          </cell>
          <cell r="N610" t="e">
            <v>#N/A</v>
          </cell>
          <cell r="O610" t="e">
            <v>#N/A</v>
          </cell>
          <cell r="P610" t="str">
            <v>In Transit</v>
          </cell>
          <cell r="Q610" t="e">
            <v>#VALUE!</v>
          </cell>
          <cell r="W610" t="str">
            <v>No need</v>
          </cell>
        </row>
        <row r="611">
          <cell r="H611" t="e">
            <v>#N/A</v>
          </cell>
          <cell r="J611" t="e">
            <v>#N/A</v>
          </cell>
          <cell r="K611" t="e">
            <v>#N/A</v>
          </cell>
          <cell r="L611" t="str">
            <v>HN</v>
          </cell>
          <cell r="N611" t="e">
            <v>#N/A</v>
          </cell>
          <cell r="O611" t="e">
            <v>#N/A</v>
          </cell>
          <cell r="P611" t="str">
            <v>In Transit</v>
          </cell>
          <cell r="Q611" t="e">
            <v>#VALUE!</v>
          </cell>
          <cell r="W611" t="str">
            <v>No need</v>
          </cell>
        </row>
        <row r="612">
          <cell r="H612" t="e">
            <v>#N/A</v>
          </cell>
          <cell r="J612" t="e">
            <v>#N/A</v>
          </cell>
          <cell r="K612" t="e">
            <v>#N/A</v>
          </cell>
          <cell r="L612" t="str">
            <v>HN</v>
          </cell>
          <cell r="N612" t="e">
            <v>#N/A</v>
          </cell>
          <cell r="O612" t="e">
            <v>#N/A</v>
          </cell>
          <cell r="P612" t="str">
            <v>In Transit</v>
          </cell>
          <cell r="Q612" t="e">
            <v>#VALUE!</v>
          </cell>
          <cell r="W612" t="str">
            <v>No need</v>
          </cell>
        </row>
        <row r="613">
          <cell r="H613" t="e">
            <v>#N/A</v>
          </cell>
          <cell r="J613" t="e">
            <v>#N/A</v>
          </cell>
          <cell r="K613" t="e">
            <v>#N/A</v>
          </cell>
          <cell r="L613" t="str">
            <v>HN</v>
          </cell>
          <cell r="N613" t="e">
            <v>#N/A</v>
          </cell>
          <cell r="O613" t="e">
            <v>#N/A</v>
          </cell>
          <cell r="P613" t="str">
            <v>In Transit</v>
          </cell>
          <cell r="Q613" t="e">
            <v>#VALUE!</v>
          </cell>
          <cell r="W613" t="str">
            <v>No need</v>
          </cell>
        </row>
        <row r="614">
          <cell r="H614" t="e">
            <v>#N/A</v>
          </cell>
          <cell r="J614" t="e">
            <v>#N/A</v>
          </cell>
          <cell r="K614" t="e">
            <v>#N/A</v>
          </cell>
          <cell r="L614" t="str">
            <v>HN</v>
          </cell>
          <cell r="N614" t="e">
            <v>#N/A</v>
          </cell>
          <cell r="O614" t="e">
            <v>#N/A</v>
          </cell>
          <cell r="P614" t="str">
            <v>In Transit</v>
          </cell>
          <cell r="Q614" t="e">
            <v>#VALUE!</v>
          </cell>
          <cell r="W614" t="str">
            <v>No need</v>
          </cell>
        </row>
        <row r="615">
          <cell r="H615" t="e">
            <v>#N/A</v>
          </cell>
          <cell r="J615" t="e">
            <v>#N/A</v>
          </cell>
          <cell r="K615" t="e">
            <v>#N/A</v>
          </cell>
          <cell r="L615" t="str">
            <v>HN</v>
          </cell>
          <cell r="N615" t="e">
            <v>#N/A</v>
          </cell>
          <cell r="O615" t="e">
            <v>#N/A</v>
          </cell>
          <cell r="P615" t="str">
            <v>In Transit</v>
          </cell>
          <cell r="Q615" t="e">
            <v>#VALUE!</v>
          </cell>
          <cell r="W615" t="str">
            <v>No need</v>
          </cell>
        </row>
        <row r="616">
          <cell r="H616" t="e">
            <v>#N/A</v>
          </cell>
          <cell r="J616" t="e">
            <v>#N/A</v>
          </cell>
          <cell r="K616" t="e">
            <v>#N/A</v>
          </cell>
          <cell r="L616" t="str">
            <v>HN</v>
          </cell>
          <cell r="N616" t="e">
            <v>#N/A</v>
          </cell>
          <cell r="O616" t="e">
            <v>#N/A</v>
          </cell>
          <cell r="P616" t="str">
            <v>In Transit</v>
          </cell>
          <cell r="Q616" t="e">
            <v>#VALUE!</v>
          </cell>
          <cell r="W616" t="str">
            <v>No need</v>
          </cell>
        </row>
        <row r="617">
          <cell r="H617" t="e">
            <v>#N/A</v>
          </cell>
          <cell r="J617" t="e">
            <v>#N/A</v>
          </cell>
          <cell r="K617" t="e">
            <v>#N/A</v>
          </cell>
          <cell r="L617" t="str">
            <v>HN</v>
          </cell>
          <cell r="N617" t="e">
            <v>#N/A</v>
          </cell>
          <cell r="O617" t="e">
            <v>#N/A</v>
          </cell>
          <cell r="P617" t="str">
            <v>In Transit</v>
          </cell>
          <cell r="Q617" t="e">
            <v>#VALUE!</v>
          </cell>
          <cell r="W617" t="str">
            <v>No need</v>
          </cell>
        </row>
        <row r="618">
          <cell r="H618" t="e">
            <v>#N/A</v>
          </cell>
          <cell r="J618" t="e">
            <v>#N/A</v>
          </cell>
          <cell r="K618" t="e">
            <v>#N/A</v>
          </cell>
          <cell r="L618" t="str">
            <v>HN</v>
          </cell>
          <cell r="N618" t="e">
            <v>#N/A</v>
          </cell>
          <cell r="O618" t="e">
            <v>#N/A</v>
          </cell>
          <cell r="P618" t="str">
            <v>In Transit</v>
          </cell>
          <cell r="Q618" t="e">
            <v>#VALUE!</v>
          </cell>
          <cell r="W618" t="str">
            <v>No need</v>
          </cell>
        </row>
        <row r="619">
          <cell r="H619" t="e">
            <v>#N/A</v>
          </cell>
          <cell r="J619" t="e">
            <v>#N/A</v>
          </cell>
          <cell r="K619" t="e">
            <v>#N/A</v>
          </cell>
          <cell r="L619" t="str">
            <v>HN</v>
          </cell>
          <cell r="N619" t="e">
            <v>#N/A</v>
          </cell>
          <cell r="O619" t="e">
            <v>#N/A</v>
          </cell>
          <cell r="P619" t="str">
            <v>In Transit</v>
          </cell>
          <cell r="Q619" t="e">
            <v>#VALUE!</v>
          </cell>
          <cell r="W619" t="str">
            <v>No need</v>
          </cell>
        </row>
        <row r="620">
          <cell r="H620" t="e">
            <v>#N/A</v>
          </cell>
          <cell r="J620" t="e">
            <v>#N/A</v>
          </cell>
          <cell r="K620" t="e">
            <v>#N/A</v>
          </cell>
          <cell r="L620" t="str">
            <v>HN</v>
          </cell>
          <cell r="N620" t="e">
            <v>#N/A</v>
          </cell>
          <cell r="O620" t="e">
            <v>#N/A</v>
          </cell>
          <cell r="P620" t="str">
            <v>In Transit</v>
          </cell>
          <cell r="Q620" t="e">
            <v>#VALUE!</v>
          </cell>
          <cell r="W620" t="str">
            <v>No need</v>
          </cell>
        </row>
        <row r="621">
          <cell r="H621" t="e">
            <v>#N/A</v>
          </cell>
          <cell r="J621" t="e">
            <v>#N/A</v>
          </cell>
          <cell r="K621" t="e">
            <v>#N/A</v>
          </cell>
          <cell r="L621" t="str">
            <v>HN</v>
          </cell>
          <cell r="N621" t="e">
            <v>#N/A</v>
          </cell>
          <cell r="O621" t="e">
            <v>#N/A</v>
          </cell>
          <cell r="P621" t="str">
            <v>In Transit</v>
          </cell>
          <cell r="Q621" t="e">
            <v>#VALUE!</v>
          </cell>
          <cell r="W621" t="str">
            <v>No need</v>
          </cell>
        </row>
        <row r="622">
          <cell r="H622" t="e">
            <v>#N/A</v>
          </cell>
          <cell r="J622" t="e">
            <v>#N/A</v>
          </cell>
          <cell r="K622" t="e">
            <v>#N/A</v>
          </cell>
          <cell r="L622" t="str">
            <v>HN</v>
          </cell>
          <cell r="N622" t="e">
            <v>#N/A</v>
          </cell>
          <cell r="O622" t="e">
            <v>#N/A</v>
          </cell>
          <cell r="P622" t="str">
            <v>In Transit</v>
          </cell>
          <cell r="Q622" t="e">
            <v>#VALUE!</v>
          </cell>
          <cell r="W622" t="str">
            <v>No need</v>
          </cell>
        </row>
        <row r="623">
          <cell r="H623" t="e">
            <v>#N/A</v>
          </cell>
          <cell r="J623" t="e">
            <v>#N/A</v>
          </cell>
          <cell r="K623" t="e">
            <v>#N/A</v>
          </cell>
          <cell r="L623" t="str">
            <v>HN</v>
          </cell>
          <cell r="N623" t="e">
            <v>#N/A</v>
          </cell>
          <cell r="O623" t="e">
            <v>#N/A</v>
          </cell>
          <cell r="P623" t="str">
            <v>In Transit</v>
          </cell>
          <cell r="Q623" t="e">
            <v>#VALUE!</v>
          </cell>
          <cell r="W623" t="str">
            <v>No need</v>
          </cell>
        </row>
        <row r="624">
          <cell r="H624" t="e">
            <v>#N/A</v>
          </cell>
          <cell r="J624" t="e">
            <v>#N/A</v>
          </cell>
          <cell r="K624" t="e">
            <v>#N/A</v>
          </cell>
          <cell r="L624" t="str">
            <v>HN</v>
          </cell>
          <cell r="N624" t="e">
            <v>#N/A</v>
          </cell>
          <cell r="O624" t="e">
            <v>#N/A</v>
          </cell>
          <cell r="P624" t="str">
            <v>In Transit</v>
          </cell>
          <cell r="Q624" t="e">
            <v>#VALUE!</v>
          </cell>
          <cell r="W624" t="str">
            <v>No need</v>
          </cell>
        </row>
        <row r="625">
          <cell r="H625" t="e">
            <v>#N/A</v>
          </cell>
          <cell r="J625" t="e">
            <v>#N/A</v>
          </cell>
          <cell r="K625" t="e">
            <v>#N/A</v>
          </cell>
          <cell r="L625" t="str">
            <v>HN</v>
          </cell>
          <cell r="N625" t="e">
            <v>#N/A</v>
          </cell>
          <cell r="O625" t="e">
            <v>#N/A</v>
          </cell>
          <cell r="P625" t="str">
            <v>In Transit</v>
          </cell>
          <cell r="Q625" t="e">
            <v>#VALUE!</v>
          </cell>
          <cell r="W625" t="str">
            <v>No need</v>
          </cell>
        </row>
        <row r="626">
          <cell r="H626" t="e">
            <v>#N/A</v>
          </cell>
          <cell r="J626" t="e">
            <v>#N/A</v>
          </cell>
          <cell r="K626" t="e">
            <v>#N/A</v>
          </cell>
          <cell r="L626" t="str">
            <v>HN</v>
          </cell>
          <cell r="N626" t="e">
            <v>#N/A</v>
          </cell>
          <cell r="O626" t="e">
            <v>#N/A</v>
          </cell>
          <cell r="P626" t="str">
            <v>In Transit</v>
          </cell>
          <cell r="Q626" t="e">
            <v>#VALUE!</v>
          </cell>
          <cell r="W626" t="str">
            <v>No need</v>
          </cell>
        </row>
        <row r="627">
          <cell r="H627" t="e">
            <v>#N/A</v>
          </cell>
          <cell r="J627" t="e">
            <v>#N/A</v>
          </cell>
          <cell r="K627" t="e">
            <v>#N/A</v>
          </cell>
          <cell r="L627" t="str">
            <v>HN</v>
          </cell>
          <cell r="N627" t="e">
            <v>#N/A</v>
          </cell>
          <cell r="O627" t="e">
            <v>#N/A</v>
          </cell>
          <cell r="P627" t="str">
            <v>In Transit</v>
          </cell>
          <cell r="Q627" t="e">
            <v>#VALUE!</v>
          </cell>
          <cell r="W627" t="str">
            <v>No need</v>
          </cell>
        </row>
        <row r="628">
          <cell r="H628" t="e">
            <v>#N/A</v>
          </cell>
          <cell r="J628" t="e">
            <v>#N/A</v>
          </cell>
          <cell r="K628" t="e">
            <v>#N/A</v>
          </cell>
          <cell r="L628" t="str">
            <v>HN</v>
          </cell>
          <cell r="N628" t="e">
            <v>#N/A</v>
          </cell>
          <cell r="O628" t="e">
            <v>#N/A</v>
          </cell>
          <cell r="P628" t="str">
            <v>In Transit</v>
          </cell>
          <cell r="Q628" t="e">
            <v>#VALUE!</v>
          </cell>
          <cell r="W628" t="str">
            <v>No need</v>
          </cell>
        </row>
        <row r="629">
          <cell r="H629" t="e">
            <v>#N/A</v>
          </cell>
          <cell r="J629" t="e">
            <v>#N/A</v>
          </cell>
          <cell r="K629" t="e">
            <v>#N/A</v>
          </cell>
          <cell r="L629" t="str">
            <v>HN</v>
          </cell>
          <cell r="N629" t="e">
            <v>#N/A</v>
          </cell>
          <cell r="O629" t="e">
            <v>#N/A</v>
          </cell>
          <cell r="P629" t="str">
            <v>In Transit</v>
          </cell>
          <cell r="Q629" t="e">
            <v>#VALUE!</v>
          </cell>
          <cell r="W629" t="str">
            <v>No need</v>
          </cell>
        </row>
        <row r="630">
          <cell r="H630" t="e">
            <v>#N/A</v>
          </cell>
          <cell r="J630" t="e">
            <v>#N/A</v>
          </cell>
          <cell r="K630" t="e">
            <v>#N/A</v>
          </cell>
          <cell r="L630" t="str">
            <v>HN</v>
          </cell>
          <cell r="N630" t="e">
            <v>#N/A</v>
          </cell>
          <cell r="O630" t="e">
            <v>#N/A</v>
          </cell>
          <cell r="P630" t="str">
            <v>In Transit</v>
          </cell>
          <cell r="Q630" t="e">
            <v>#VALUE!</v>
          </cell>
          <cell r="W630" t="str">
            <v>No need</v>
          </cell>
        </row>
        <row r="631">
          <cell r="H631" t="e">
            <v>#N/A</v>
          </cell>
          <cell r="J631" t="e">
            <v>#N/A</v>
          </cell>
          <cell r="K631" t="e">
            <v>#N/A</v>
          </cell>
          <cell r="L631" t="str">
            <v>HN</v>
          </cell>
          <cell r="N631" t="e">
            <v>#N/A</v>
          </cell>
          <cell r="O631" t="e">
            <v>#N/A</v>
          </cell>
          <cell r="P631" t="str">
            <v>In Transit</v>
          </cell>
          <cell r="Q631" t="e">
            <v>#VALUE!</v>
          </cell>
          <cell r="W631" t="str">
            <v>No need</v>
          </cell>
        </row>
        <row r="632">
          <cell r="H632" t="e">
            <v>#N/A</v>
          </cell>
          <cell r="J632" t="e">
            <v>#N/A</v>
          </cell>
          <cell r="K632" t="e">
            <v>#N/A</v>
          </cell>
          <cell r="L632" t="str">
            <v>HN</v>
          </cell>
          <cell r="N632" t="e">
            <v>#N/A</v>
          </cell>
          <cell r="O632" t="e">
            <v>#N/A</v>
          </cell>
          <cell r="P632" t="str">
            <v>In Transit</v>
          </cell>
          <cell r="Q632" t="e">
            <v>#VALUE!</v>
          </cell>
          <cell r="W632" t="str">
            <v>No need</v>
          </cell>
        </row>
        <row r="633">
          <cell r="H633" t="e">
            <v>#N/A</v>
          </cell>
          <cell r="J633" t="e">
            <v>#N/A</v>
          </cell>
          <cell r="K633" t="e">
            <v>#N/A</v>
          </cell>
          <cell r="L633" t="str">
            <v>HN</v>
          </cell>
          <cell r="N633" t="e">
            <v>#N/A</v>
          </cell>
          <cell r="O633" t="e">
            <v>#N/A</v>
          </cell>
          <cell r="P633" t="str">
            <v>In Transit</v>
          </cell>
          <cell r="Q633" t="e">
            <v>#VALUE!</v>
          </cell>
          <cell r="W633" t="str">
            <v>No need</v>
          </cell>
        </row>
        <row r="634">
          <cell r="H634" t="e">
            <v>#N/A</v>
          </cell>
          <cell r="J634" t="e">
            <v>#N/A</v>
          </cell>
          <cell r="K634" t="e">
            <v>#N/A</v>
          </cell>
          <cell r="L634" t="str">
            <v>HN</v>
          </cell>
          <cell r="N634" t="e">
            <v>#N/A</v>
          </cell>
          <cell r="O634" t="e">
            <v>#N/A</v>
          </cell>
          <cell r="P634" t="str">
            <v>In Transit</v>
          </cell>
          <cell r="Q634" t="e">
            <v>#VALUE!</v>
          </cell>
          <cell r="W634" t="str">
            <v>No need</v>
          </cell>
        </row>
        <row r="635">
          <cell r="H635" t="e">
            <v>#N/A</v>
          </cell>
          <cell r="J635" t="e">
            <v>#N/A</v>
          </cell>
          <cell r="K635" t="e">
            <v>#N/A</v>
          </cell>
          <cell r="L635" t="str">
            <v>HN</v>
          </cell>
          <cell r="N635" t="e">
            <v>#N/A</v>
          </cell>
          <cell r="O635" t="e">
            <v>#N/A</v>
          </cell>
          <cell r="P635" t="str">
            <v>In Transit</v>
          </cell>
          <cell r="Q635" t="e">
            <v>#VALUE!</v>
          </cell>
          <cell r="W635" t="str">
            <v>No need</v>
          </cell>
        </row>
        <row r="636">
          <cell r="H636" t="e">
            <v>#N/A</v>
          </cell>
          <cell r="J636" t="e">
            <v>#N/A</v>
          </cell>
          <cell r="K636" t="e">
            <v>#N/A</v>
          </cell>
          <cell r="L636" t="str">
            <v>HN</v>
          </cell>
          <cell r="N636" t="e">
            <v>#N/A</v>
          </cell>
          <cell r="O636" t="e">
            <v>#N/A</v>
          </cell>
          <cell r="P636" t="str">
            <v>In Transit</v>
          </cell>
          <cell r="Q636" t="e">
            <v>#VALUE!</v>
          </cell>
          <cell r="W636" t="str">
            <v>No need</v>
          </cell>
        </row>
        <row r="637">
          <cell r="H637" t="e">
            <v>#N/A</v>
          </cell>
          <cell r="J637" t="e">
            <v>#N/A</v>
          </cell>
          <cell r="K637" t="e">
            <v>#N/A</v>
          </cell>
          <cell r="L637" t="str">
            <v>HN</v>
          </cell>
          <cell r="N637" t="e">
            <v>#N/A</v>
          </cell>
          <cell r="O637" t="e">
            <v>#N/A</v>
          </cell>
          <cell r="P637" t="str">
            <v>In Transit</v>
          </cell>
          <cell r="Q637" t="e">
            <v>#VALUE!</v>
          </cell>
          <cell r="W637" t="str">
            <v>No need</v>
          </cell>
        </row>
        <row r="638">
          <cell r="H638" t="e">
            <v>#N/A</v>
          </cell>
          <cell r="J638" t="e">
            <v>#N/A</v>
          </cell>
          <cell r="K638" t="e">
            <v>#N/A</v>
          </cell>
          <cell r="L638" t="str">
            <v>HN</v>
          </cell>
          <cell r="N638" t="e">
            <v>#N/A</v>
          </cell>
          <cell r="O638" t="e">
            <v>#N/A</v>
          </cell>
          <cell r="P638" t="str">
            <v>In Transit</v>
          </cell>
          <cell r="Q638" t="e">
            <v>#VALUE!</v>
          </cell>
          <cell r="W638" t="str">
            <v>No need</v>
          </cell>
        </row>
        <row r="639">
          <cell r="H639" t="e">
            <v>#N/A</v>
          </cell>
          <cell r="J639" t="e">
            <v>#N/A</v>
          </cell>
          <cell r="K639" t="e">
            <v>#N/A</v>
          </cell>
          <cell r="L639" t="str">
            <v>HN</v>
          </cell>
          <cell r="N639" t="e">
            <v>#N/A</v>
          </cell>
          <cell r="O639" t="e">
            <v>#N/A</v>
          </cell>
          <cell r="P639" t="str">
            <v>In Transit</v>
          </cell>
          <cell r="Q639" t="e">
            <v>#VALUE!</v>
          </cell>
          <cell r="W639" t="str">
            <v>No need</v>
          </cell>
        </row>
        <row r="640">
          <cell r="H640" t="e">
            <v>#N/A</v>
          </cell>
          <cell r="J640" t="e">
            <v>#N/A</v>
          </cell>
          <cell r="K640" t="e">
            <v>#N/A</v>
          </cell>
          <cell r="L640" t="str">
            <v>HN</v>
          </cell>
          <cell r="N640" t="e">
            <v>#N/A</v>
          </cell>
          <cell r="O640" t="e">
            <v>#N/A</v>
          </cell>
          <cell r="P640" t="str">
            <v>In Transit</v>
          </cell>
          <cell r="Q640" t="e">
            <v>#VALUE!</v>
          </cell>
          <cell r="W640" t="str">
            <v>No need</v>
          </cell>
        </row>
        <row r="641">
          <cell r="H641" t="e">
            <v>#N/A</v>
          </cell>
          <cell r="J641" t="e">
            <v>#N/A</v>
          </cell>
          <cell r="K641" t="e">
            <v>#N/A</v>
          </cell>
          <cell r="L641" t="str">
            <v>HN</v>
          </cell>
          <cell r="N641" t="e">
            <v>#N/A</v>
          </cell>
          <cell r="O641" t="e">
            <v>#N/A</v>
          </cell>
          <cell r="P641" t="str">
            <v>In Transit</v>
          </cell>
          <cell r="Q641" t="e">
            <v>#VALUE!</v>
          </cell>
          <cell r="W641" t="str">
            <v>No need</v>
          </cell>
        </row>
        <row r="642">
          <cell r="H642" t="e">
            <v>#N/A</v>
          </cell>
          <cell r="J642" t="e">
            <v>#N/A</v>
          </cell>
          <cell r="K642" t="e">
            <v>#N/A</v>
          </cell>
          <cell r="L642" t="str">
            <v>HN</v>
          </cell>
          <cell r="N642" t="e">
            <v>#N/A</v>
          </cell>
          <cell r="O642" t="e">
            <v>#N/A</v>
          </cell>
          <cell r="P642" t="str">
            <v>In Transit</v>
          </cell>
          <cell r="Q642" t="e">
            <v>#VALUE!</v>
          </cell>
          <cell r="W642" t="str">
            <v>No need</v>
          </cell>
        </row>
        <row r="643">
          <cell r="H643" t="e">
            <v>#N/A</v>
          </cell>
          <cell r="J643" t="e">
            <v>#N/A</v>
          </cell>
          <cell r="K643" t="e">
            <v>#N/A</v>
          </cell>
          <cell r="L643" t="str">
            <v>HN</v>
          </cell>
          <cell r="N643" t="e">
            <v>#N/A</v>
          </cell>
          <cell r="O643" t="e">
            <v>#N/A</v>
          </cell>
          <cell r="P643" t="str">
            <v>In Transit</v>
          </cell>
          <cell r="Q643" t="e">
            <v>#VALUE!</v>
          </cell>
          <cell r="W643" t="str">
            <v>No need</v>
          </cell>
        </row>
        <row r="644">
          <cell r="H644" t="e">
            <v>#N/A</v>
          </cell>
          <cell r="J644" t="e">
            <v>#N/A</v>
          </cell>
          <cell r="K644" t="e">
            <v>#N/A</v>
          </cell>
          <cell r="L644" t="str">
            <v>HN</v>
          </cell>
          <cell r="N644" t="e">
            <v>#N/A</v>
          </cell>
          <cell r="O644" t="e">
            <v>#N/A</v>
          </cell>
          <cell r="P644" t="str">
            <v>In Transit</v>
          </cell>
          <cell r="Q644" t="e">
            <v>#VALUE!</v>
          </cell>
          <cell r="W644" t="str">
            <v>No need</v>
          </cell>
        </row>
        <row r="645">
          <cell r="H645" t="e">
            <v>#N/A</v>
          </cell>
          <cell r="J645" t="e">
            <v>#N/A</v>
          </cell>
          <cell r="K645" t="e">
            <v>#N/A</v>
          </cell>
          <cell r="L645" t="str">
            <v>HN</v>
          </cell>
          <cell r="N645" t="e">
            <v>#N/A</v>
          </cell>
          <cell r="O645" t="e">
            <v>#N/A</v>
          </cell>
          <cell r="P645" t="str">
            <v>In Transit</v>
          </cell>
          <cell r="Q645" t="e">
            <v>#VALUE!</v>
          </cell>
          <cell r="W645" t="str">
            <v>No need</v>
          </cell>
        </row>
        <row r="646">
          <cell r="H646" t="e">
            <v>#N/A</v>
          </cell>
          <cell r="J646" t="e">
            <v>#N/A</v>
          </cell>
          <cell r="K646" t="e">
            <v>#N/A</v>
          </cell>
          <cell r="L646" t="str">
            <v>HN</v>
          </cell>
          <cell r="N646" t="e">
            <v>#N/A</v>
          </cell>
          <cell r="O646" t="e">
            <v>#N/A</v>
          </cell>
          <cell r="P646" t="str">
            <v>In Transit</v>
          </cell>
          <cell r="Q646" t="e">
            <v>#VALUE!</v>
          </cell>
          <cell r="W646" t="str">
            <v>No need</v>
          </cell>
        </row>
        <row r="647">
          <cell r="H647" t="e">
            <v>#N/A</v>
          </cell>
          <cell r="J647" t="e">
            <v>#N/A</v>
          </cell>
          <cell r="K647" t="e">
            <v>#N/A</v>
          </cell>
          <cell r="L647" t="str">
            <v>HN</v>
          </cell>
          <cell r="N647" t="e">
            <v>#N/A</v>
          </cell>
          <cell r="O647" t="e">
            <v>#N/A</v>
          </cell>
          <cell r="P647" t="str">
            <v>In Transit</v>
          </cell>
          <cell r="Q647" t="e">
            <v>#VALUE!</v>
          </cell>
          <cell r="W647" t="str">
            <v>No need</v>
          </cell>
        </row>
        <row r="648">
          <cell r="H648" t="e">
            <v>#N/A</v>
          </cell>
          <cell r="J648" t="e">
            <v>#N/A</v>
          </cell>
          <cell r="K648" t="e">
            <v>#N/A</v>
          </cell>
          <cell r="L648" t="str">
            <v>HN</v>
          </cell>
          <cell r="N648" t="e">
            <v>#N/A</v>
          </cell>
          <cell r="O648" t="e">
            <v>#N/A</v>
          </cell>
          <cell r="P648" t="str">
            <v>In Transit</v>
          </cell>
          <cell r="Q648" t="e">
            <v>#VALUE!</v>
          </cell>
          <cell r="W648" t="str">
            <v>No need</v>
          </cell>
        </row>
        <row r="649">
          <cell r="H649" t="e">
            <v>#N/A</v>
          </cell>
          <cell r="J649" t="e">
            <v>#N/A</v>
          </cell>
          <cell r="K649" t="e">
            <v>#N/A</v>
          </cell>
          <cell r="L649" t="str">
            <v>HN</v>
          </cell>
          <cell r="N649" t="e">
            <v>#N/A</v>
          </cell>
          <cell r="O649" t="e">
            <v>#N/A</v>
          </cell>
          <cell r="P649" t="str">
            <v>In Transit</v>
          </cell>
          <cell r="Q649" t="e">
            <v>#VALUE!</v>
          </cell>
          <cell r="W649" t="str">
            <v>No need</v>
          </cell>
        </row>
        <row r="650">
          <cell r="H650" t="e">
            <v>#N/A</v>
          </cell>
          <cell r="J650" t="e">
            <v>#N/A</v>
          </cell>
          <cell r="K650" t="e">
            <v>#N/A</v>
          </cell>
          <cell r="L650" t="str">
            <v>HN</v>
          </cell>
          <cell r="N650" t="e">
            <v>#N/A</v>
          </cell>
          <cell r="O650" t="e">
            <v>#N/A</v>
          </cell>
          <cell r="P650" t="str">
            <v>In Transit</v>
          </cell>
          <cell r="Q650" t="e">
            <v>#VALUE!</v>
          </cell>
          <cell r="W650" t="str">
            <v>No need</v>
          </cell>
        </row>
        <row r="651">
          <cell r="H651" t="e">
            <v>#N/A</v>
          </cell>
          <cell r="J651" t="e">
            <v>#N/A</v>
          </cell>
          <cell r="K651" t="e">
            <v>#N/A</v>
          </cell>
          <cell r="L651" t="str">
            <v>HN</v>
          </cell>
          <cell r="N651" t="e">
            <v>#N/A</v>
          </cell>
          <cell r="O651" t="e">
            <v>#N/A</v>
          </cell>
          <cell r="P651" t="str">
            <v>In Transit</v>
          </cell>
          <cell r="Q651" t="e">
            <v>#VALUE!</v>
          </cell>
          <cell r="W651" t="str">
            <v>No need</v>
          </cell>
        </row>
        <row r="652">
          <cell r="H652" t="e">
            <v>#N/A</v>
          </cell>
          <cell r="J652" t="e">
            <v>#N/A</v>
          </cell>
          <cell r="K652" t="e">
            <v>#N/A</v>
          </cell>
          <cell r="L652" t="str">
            <v>HN</v>
          </cell>
          <cell r="N652" t="e">
            <v>#N/A</v>
          </cell>
          <cell r="O652" t="e">
            <v>#N/A</v>
          </cell>
          <cell r="P652" t="str">
            <v>In Transit</v>
          </cell>
          <cell r="Q652" t="e">
            <v>#VALUE!</v>
          </cell>
          <cell r="W652" t="str">
            <v>No need</v>
          </cell>
        </row>
        <row r="653">
          <cell r="H653" t="e">
            <v>#N/A</v>
          </cell>
          <cell r="J653" t="e">
            <v>#N/A</v>
          </cell>
          <cell r="K653" t="e">
            <v>#N/A</v>
          </cell>
          <cell r="L653" t="str">
            <v>HN</v>
          </cell>
          <cell r="N653" t="e">
            <v>#N/A</v>
          </cell>
          <cell r="O653" t="e">
            <v>#N/A</v>
          </cell>
          <cell r="P653" t="str">
            <v>In Transit</v>
          </cell>
          <cell r="Q653" t="e">
            <v>#VALUE!</v>
          </cell>
          <cell r="W653" t="str">
            <v>No need</v>
          </cell>
        </row>
        <row r="654">
          <cell r="H654" t="e">
            <v>#N/A</v>
          </cell>
          <cell r="J654" t="e">
            <v>#N/A</v>
          </cell>
          <cell r="K654" t="e">
            <v>#N/A</v>
          </cell>
          <cell r="L654" t="str">
            <v>HN</v>
          </cell>
          <cell r="N654" t="e">
            <v>#N/A</v>
          </cell>
          <cell r="O654" t="e">
            <v>#N/A</v>
          </cell>
          <cell r="P654" t="str">
            <v>In Transit</v>
          </cell>
          <cell r="Q654" t="e">
            <v>#VALUE!</v>
          </cell>
          <cell r="W654" t="str">
            <v>No need</v>
          </cell>
        </row>
        <row r="655">
          <cell r="H655" t="e">
            <v>#N/A</v>
          </cell>
          <cell r="J655" t="e">
            <v>#N/A</v>
          </cell>
          <cell r="K655" t="e">
            <v>#N/A</v>
          </cell>
          <cell r="L655" t="str">
            <v>HN</v>
          </cell>
          <cell r="N655" t="e">
            <v>#N/A</v>
          </cell>
          <cell r="O655" t="e">
            <v>#N/A</v>
          </cell>
          <cell r="P655" t="str">
            <v>In Transit</v>
          </cell>
          <cell r="Q655" t="e">
            <v>#VALUE!</v>
          </cell>
          <cell r="W655" t="str">
            <v>No need</v>
          </cell>
        </row>
        <row r="656">
          <cell r="H656" t="e">
            <v>#N/A</v>
          </cell>
          <cell r="J656" t="e">
            <v>#N/A</v>
          </cell>
          <cell r="K656" t="e">
            <v>#N/A</v>
          </cell>
          <cell r="L656" t="str">
            <v>HN</v>
          </cell>
          <cell r="N656" t="e">
            <v>#N/A</v>
          </cell>
          <cell r="O656" t="e">
            <v>#N/A</v>
          </cell>
          <cell r="P656" t="str">
            <v>In Transit</v>
          </cell>
          <cell r="Q656" t="e">
            <v>#VALUE!</v>
          </cell>
          <cell r="W656" t="str">
            <v>No need</v>
          </cell>
        </row>
        <row r="657">
          <cell r="H657" t="e">
            <v>#N/A</v>
          </cell>
          <cell r="J657" t="e">
            <v>#N/A</v>
          </cell>
          <cell r="K657" t="e">
            <v>#N/A</v>
          </cell>
          <cell r="L657" t="str">
            <v>HN</v>
          </cell>
          <cell r="N657" t="e">
            <v>#N/A</v>
          </cell>
          <cell r="O657" t="e">
            <v>#N/A</v>
          </cell>
          <cell r="P657" t="str">
            <v>In Transit</v>
          </cell>
          <cell r="Q657" t="e">
            <v>#VALUE!</v>
          </cell>
          <cell r="W657" t="str">
            <v>No need</v>
          </cell>
        </row>
        <row r="658">
          <cell r="H658" t="e">
            <v>#N/A</v>
          </cell>
          <cell r="J658" t="e">
            <v>#N/A</v>
          </cell>
          <cell r="K658" t="e">
            <v>#N/A</v>
          </cell>
          <cell r="L658" t="str">
            <v>HN</v>
          </cell>
          <cell r="N658" t="e">
            <v>#N/A</v>
          </cell>
          <cell r="O658" t="e">
            <v>#N/A</v>
          </cell>
          <cell r="P658" t="str">
            <v>In Transit</v>
          </cell>
          <cell r="Q658" t="e">
            <v>#VALUE!</v>
          </cell>
          <cell r="W658" t="str">
            <v>No need</v>
          </cell>
        </row>
        <row r="659">
          <cell r="H659" t="e">
            <v>#N/A</v>
          </cell>
          <cell r="J659" t="e">
            <v>#N/A</v>
          </cell>
          <cell r="K659" t="e">
            <v>#N/A</v>
          </cell>
          <cell r="L659" t="str">
            <v>HN</v>
          </cell>
          <cell r="N659" t="e">
            <v>#N/A</v>
          </cell>
          <cell r="O659" t="e">
            <v>#N/A</v>
          </cell>
          <cell r="P659" t="str">
            <v>In Transit</v>
          </cell>
          <cell r="Q659" t="e">
            <v>#VALUE!</v>
          </cell>
          <cell r="W659" t="str">
            <v>No need</v>
          </cell>
        </row>
        <row r="660">
          <cell r="H660" t="e">
            <v>#N/A</v>
          </cell>
          <cell r="J660" t="e">
            <v>#N/A</v>
          </cell>
          <cell r="K660" t="e">
            <v>#N/A</v>
          </cell>
          <cell r="L660" t="str">
            <v>HN</v>
          </cell>
          <cell r="N660" t="e">
            <v>#N/A</v>
          </cell>
          <cell r="O660" t="e">
            <v>#N/A</v>
          </cell>
          <cell r="P660" t="str">
            <v>In Transit</v>
          </cell>
          <cell r="Q660" t="e">
            <v>#VALUE!</v>
          </cell>
          <cell r="W660" t="str">
            <v>No need</v>
          </cell>
        </row>
        <row r="661">
          <cell r="H661" t="e">
            <v>#N/A</v>
          </cell>
          <cell r="J661" t="e">
            <v>#N/A</v>
          </cell>
          <cell r="K661" t="e">
            <v>#N/A</v>
          </cell>
          <cell r="L661" t="str">
            <v>HN</v>
          </cell>
          <cell r="N661" t="e">
            <v>#N/A</v>
          </cell>
          <cell r="O661" t="e">
            <v>#N/A</v>
          </cell>
          <cell r="P661" t="str">
            <v>In Transit</v>
          </cell>
          <cell r="Q661" t="e">
            <v>#VALUE!</v>
          </cell>
          <cell r="W661" t="str">
            <v>No need</v>
          </cell>
        </row>
        <row r="662">
          <cell r="H662" t="e">
            <v>#N/A</v>
          </cell>
          <cell r="J662" t="e">
            <v>#N/A</v>
          </cell>
          <cell r="K662" t="e">
            <v>#N/A</v>
          </cell>
          <cell r="L662" t="str">
            <v>HN</v>
          </cell>
          <cell r="N662" t="e">
            <v>#N/A</v>
          </cell>
          <cell r="O662" t="e">
            <v>#N/A</v>
          </cell>
          <cell r="P662" t="str">
            <v>In Transit</v>
          </cell>
          <cell r="Q662" t="e">
            <v>#VALUE!</v>
          </cell>
          <cell r="W662" t="str">
            <v>No need</v>
          </cell>
        </row>
        <row r="663">
          <cell r="H663" t="e">
            <v>#N/A</v>
          </cell>
          <cell r="J663" t="e">
            <v>#N/A</v>
          </cell>
          <cell r="K663" t="e">
            <v>#N/A</v>
          </cell>
          <cell r="L663" t="str">
            <v>HN</v>
          </cell>
          <cell r="N663" t="e">
            <v>#N/A</v>
          </cell>
          <cell r="O663" t="e">
            <v>#N/A</v>
          </cell>
          <cell r="P663" t="str">
            <v>In Transit</v>
          </cell>
          <cell r="Q663" t="e">
            <v>#VALUE!</v>
          </cell>
          <cell r="W663" t="str">
            <v>No need</v>
          </cell>
        </row>
        <row r="664">
          <cell r="H664" t="e">
            <v>#N/A</v>
          </cell>
          <cell r="J664" t="e">
            <v>#N/A</v>
          </cell>
          <cell r="K664" t="e">
            <v>#N/A</v>
          </cell>
          <cell r="L664" t="str">
            <v>HN</v>
          </cell>
          <cell r="N664" t="e">
            <v>#N/A</v>
          </cell>
          <cell r="O664" t="e">
            <v>#N/A</v>
          </cell>
          <cell r="P664" t="str">
            <v>In Transit</v>
          </cell>
          <cell r="Q664" t="e">
            <v>#VALUE!</v>
          </cell>
          <cell r="W664" t="str">
            <v>No need</v>
          </cell>
        </row>
        <row r="665">
          <cell r="H665" t="e">
            <v>#N/A</v>
          </cell>
          <cell r="J665" t="e">
            <v>#N/A</v>
          </cell>
          <cell r="K665" t="e">
            <v>#N/A</v>
          </cell>
          <cell r="L665" t="str">
            <v>HN</v>
          </cell>
          <cell r="N665" t="e">
            <v>#N/A</v>
          </cell>
          <cell r="O665" t="e">
            <v>#N/A</v>
          </cell>
          <cell r="P665" t="str">
            <v>In Transit</v>
          </cell>
          <cell r="Q665" t="e">
            <v>#VALUE!</v>
          </cell>
          <cell r="W665" t="str">
            <v>No need</v>
          </cell>
        </row>
        <row r="666">
          <cell r="H666" t="e">
            <v>#N/A</v>
          </cell>
          <cell r="J666" t="e">
            <v>#N/A</v>
          </cell>
          <cell r="K666" t="e">
            <v>#N/A</v>
          </cell>
          <cell r="L666" t="str">
            <v>HN</v>
          </cell>
          <cell r="N666" t="e">
            <v>#N/A</v>
          </cell>
          <cell r="O666" t="e">
            <v>#N/A</v>
          </cell>
          <cell r="P666" t="str">
            <v>In Transit</v>
          </cell>
          <cell r="Q666" t="e">
            <v>#VALUE!</v>
          </cell>
          <cell r="W666" t="str">
            <v>No need</v>
          </cell>
        </row>
        <row r="667">
          <cell r="H667" t="e">
            <v>#N/A</v>
          </cell>
          <cell r="J667" t="e">
            <v>#N/A</v>
          </cell>
          <cell r="K667" t="e">
            <v>#N/A</v>
          </cell>
          <cell r="L667" t="str">
            <v>HN</v>
          </cell>
          <cell r="N667" t="e">
            <v>#N/A</v>
          </cell>
          <cell r="O667" t="e">
            <v>#N/A</v>
          </cell>
          <cell r="P667" t="str">
            <v>In Transit</v>
          </cell>
          <cell r="Q667" t="e">
            <v>#VALUE!</v>
          </cell>
          <cell r="W667" t="str">
            <v>No need</v>
          </cell>
        </row>
        <row r="668">
          <cell r="H668" t="e">
            <v>#N/A</v>
          </cell>
          <cell r="J668" t="e">
            <v>#N/A</v>
          </cell>
          <cell r="K668" t="e">
            <v>#N/A</v>
          </cell>
          <cell r="L668" t="str">
            <v>HN</v>
          </cell>
          <cell r="N668" t="e">
            <v>#N/A</v>
          </cell>
          <cell r="O668" t="e">
            <v>#N/A</v>
          </cell>
          <cell r="P668" t="str">
            <v>In Transit</v>
          </cell>
          <cell r="Q668" t="e">
            <v>#VALUE!</v>
          </cell>
          <cell r="W668" t="str">
            <v>No need</v>
          </cell>
        </row>
        <row r="669">
          <cell r="H669" t="e">
            <v>#N/A</v>
          </cell>
          <cell r="J669" t="e">
            <v>#N/A</v>
          </cell>
          <cell r="K669" t="e">
            <v>#N/A</v>
          </cell>
          <cell r="L669" t="str">
            <v>HN</v>
          </cell>
          <cell r="N669" t="e">
            <v>#N/A</v>
          </cell>
          <cell r="O669" t="e">
            <v>#N/A</v>
          </cell>
          <cell r="P669" t="str">
            <v>In Transit</v>
          </cell>
          <cell r="Q669" t="e">
            <v>#VALUE!</v>
          </cell>
          <cell r="W669" t="str">
            <v>No need</v>
          </cell>
        </row>
        <row r="670">
          <cell r="H670" t="e">
            <v>#N/A</v>
          </cell>
          <cell r="J670" t="e">
            <v>#N/A</v>
          </cell>
          <cell r="K670" t="e">
            <v>#N/A</v>
          </cell>
          <cell r="L670" t="str">
            <v>HN</v>
          </cell>
          <cell r="N670" t="e">
            <v>#N/A</v>
          </cell>
          <cell r="O670" t="e">
            <v>#N/A</v>
          </cell>
          <cell r="P670" t="str">
            <v>In Transit</v>
          </cell>
          <cell r="Q670" t="e">
            <v>#VALUE!</v>
          </cell>
          <cell r="W670" t="str">
            <v>No need</v>
          </cell>
        </row>
        <row r="671">
          <cell r="H671" t="e">
            <v>#N/A</v>
          </cell>
          <cell r="J671" t="e">
            <v>#N/A</v>
          </cell>
          <cell r="K671" t="e">
            <v>#N/A</v>
          </cell>
          <cell r="L671" t="str">
            <v>HN</v>
          </cell>
          <cell r="N671" t="e">
            <v>#N/A</v>
          </cell>
          <cell r="O671" t="e">
            <v>#N/A</v>
          </cell>
          <cell r="P671" t="str">
            <v>In Transit</v>
          </cell>
          <cell r="Q671" t="e">
            <v>#VALUE!</v>
          </cell>
          <cell r="W671" t="str">
            <v>No need</v>
          </cell>
        </row>
        <row r="672">
          <cell r="H672" t="e">
            <v>#N/A</v>
          </cell>
          <cell r="J672" t="e">
            <v>#N/A</v>
          </cell>
          <cell r="K672" t="e">
            <v>#N/A</v>
          </cell>
          <cell r="L672" t="str">
            <v>HN</v>
          </cell>
          <cell r="N672" t="e">
            <v>#N/A</v>
          </cell>
          <cell r="O672" t="e">
            <v>#N/A</v>
          </cell>
          <cell r="P672" t="str">
            <v>In Transit</v>
          </cell>
          <cell r="Q672" t="e">
            <v>#VALUE!</v>
          </cell>
          <cell r="W672" t="str">
            <v>No need</v>
          </cell>
        </row>
        <row r="673">
          <cell r="H673" t="e">
            <v>#N/A</v>
          </cell>
          <cell r="J673" t="e">
            <v>#N/A</v>
          </cell>
          <cell r="K673" t="e">
            <v>#N/A</v>
          </cell>
          <cell r="L673" t="str">
            <v>HN</v>
          </cell>
          <cell r="N673" t="e">
            <v>#N/A</v>
          </cell>
          <cell r="O673" t="e">
            <v>#N/A</v>
          </cell>
          <cell r="P673" t="str">
            <v>In Transit</v>
          </cell>
          <cell r="Q673" t="e">
            <v>#VALUE!</v>
          </cell>
          <cell r="W673" t="str">
            <v>No need</v>
          </cell>
        </row>
        <row r="674">
          <cell r="H674" t="e">
            <v>#N/A</v>
          </cell>
          <cell r="J674" t="e">
            <v>#N/A</v>
          </cell>
          <cell r="K674" t="e">
            <v>#N/A</v>
          </cell>
          <cell r="L674" t="str">
            <v>HN</v>
          </cell>
          <cell r="N674" t="e">
            <v>#N/A</v>
          </cell>
          <cell r="O674" t="e">
            <v>#N/A</v>
          </cell>
          <cell r="P674" t="str">
            <v>In Transit</v>
          </cell>
          <cell r="Q674" t="e">
            <v>#VALUE!</v>
          </cell>
          <cell r="W674" t="str">
            <v>No need</v>
          </cell>
        </row>
        <row r="675">
          <cell r="H675" t="e">
            <v>#N/A</v>
          </cell>
          <cell r="J675" t="e">
            <v>#N/A</v>
          </cell>
          <cell r="K675" t="e">
            <v>#N/A</v>
          </cell>
          <cell r="L675" t="str">
            <v>HN</v>
          </cell>
          <cell r="N675" t="e">
            <v>#N/A</v>
          </cell>
          <cell r="O675" t="e">
            <v>#N/A</v>
          </cell>
          <cell r="P675" t="str">
            <v>In Transit</v>
          </cell>
          <cell r="Q675" t="e">
            <v>#VALUE!</v>
          </cell>
          <cell r="W675" t="str">
            <v>No need</v>
          </cell>
        </row>
        <row r="676">
          <cell r="H676" t="e">
            <v>#N/A</v>
          </cell>
          <cell r="J676" t="e">
            <v>#N/A</v>
          </cell>
          <cell r="K676" t="e">
            <v>#N/A</v>
          </cell>
          <cell r="L676" t="str">
            <v>HN</v>
          </cell>
          <cell r="N676" t="e">
            <v>#N/A</v>
          </cell>
          <cell r="O676" t="e">
            <v>#N/A</v>
          </cell>
          <cell r="P676" t="str">
            <v>In Transit</v>
          </cell>
          <cell r="Q676" t="e">
            <v>#VALUE!</v>
          </cell>
          <cell r="W676" t="str">
            <v>No need</v>
          </cell>
        </row>
        <row r="677">
          <cell r="H677" t="e">
            <v>#N/A</v>
          </cell>
          <cell r="J677" t="e">
            <v>#N/A</v>
          </cell>
          <cell r="K677" t="e">
            <v>#N/A</v>
          </cell>
          <cell r="L677" t="str">
            <v>HN</v>
          </cell>
          <cell r="N677" t="e">
            <v>#N/A</v>
          </cell>
          <cell r="O677" t="e">
            <v>#N/A</v>
          </cell>
          <cell r="P677" t="str">
            <v>In Transit</v>
          </cell>
          <cell r="Q677" t="e">
            <v>#VALUE!</v>
          </cell>
          <cell r="W677" t="str">
            <v>No need</v>
          </cell>
        </row>
        <row r="678">
          <cell r="H678" t="e">
            <v>#N/A</v>
          </cell>
          <cell r="J678" t="e">
            <v>#N/A</v>
          </cell>
          <cell r="K678" t="e">
            <v>#N/A</v>
          </cell>
          <cell r="L678" t="str">
            <v>HN</v>
          </cell>
          <cell r="N678" t="e">
            <v>#N/A</v>
          </cell>
          <cell r="O678" t="e">
            <v>#N/A</v>
          </cell>
          <cell r="P678" t="str">
            <v>In Transit</v>
          </cell>
          <cell r="Q678" t="e">
            <v>#VALUE!</v>
          </cell>
          <cell r="W678" t="str">
            <v>No need</v>
          </cell>
        </row>
        <row r="679">
          <cell r="H679" t="e">
            <v>#N/A</v>
          </cell>
          <cell r="J679" t="e">
            <v>#N/A</v>
          </cell>
          <cell r="K679" t="e">
            <v>#N/A</v>
          </cell>
          <cell r="L679" t="str">
            <v>HN</v>
          </cell>
          <cell r="N679" t="e">
            <v>#N/A</v>
          </cell>
          <cell r="O679" t="e">
            <v>#N/A</v>
          </cell>
          <cell r="P679" t="str">
            <v>In Transit</v>
          </cell>
          <cell r="Q679" t="e">
            <v>#VALUE!</v>
          </cell>
          <cell r="W679" t="str">
            <v>No need</v>
          </cell>
        </row>
        <row r="680">
          <cell r="H680" t="e">
            <v>#N/A</v>
          </cell>
          <cell r="J680" t="e">
            <v>#N/A</v>
          </cell>
          <cell r="K680" t="e">
            <v>#N/A</v>
          </cell>
          <cell r="L680" t="str">
            <v>HN</v>
          </cell>
          <cell r="N680" t="e">
            <v>#N/A</v>
          </cell>
          <cell r="O680" t="e">
            <v>#N/A</v>
          </cell>
          <cell r="P680" t="str">
            <v>In Transit</v>
          </cell>
          <cell r="Q680" t="e">
            <v>#VALUE!</v>
          </cell>
          <cell r="W680" t="str">
            <v>No need</v>
          </cell>
        </row>
        <row r="681">
          <cell r="H681" t="e">
            <v>#N/A</v>
          </cell>
          <cell r="J681" t="e">
            <v>#N/A</v>
          </cell>
          <cell r="K681" t="e">
            <v>#N/A</v>
          </cell>
          <cell r="L681" t="str">
            <v>HN</v>
          </cell>
          <cell r="N681" t="e">
            <v>#N/A</v>
          </cell>
          <cell r="O681" t="e">
            <v>#N/A</v>
          </cell>
          <cell r="P681" t="str">
            <v>In Transit</v>
          </cell>
          <cell r="Q681" t="e">
            <v>#VALUE!</v>
          </cell>
          <cell r="W681" t="str">
            <v>No need</v>
          </cell>
        </row>
        <row r="682">
          <cell r="H682" t="e">
            <v>#N/A</v>
          </cell>
          <cell r="J682" t="e">
            <v>#N/A</v>
          </cell>
          <cell r="K682" t="e">
            <v>#N/A</v>
          </cell>
          <cell r="L682" t="str">
            <v>HN</v>
          </cell>
          <cell r="N682" t="e">
            <v>#N/A</v>
          </cell>
          <cell r="O682" t="e">
            <v>#N/A</v>
          </cell>
          <cell r="P682" t="str">
            <v>In Transit</v>
          </cell>
          <cell r="Q682" t="e">
            <v>#VALUE!</v>
          </cell>
          <cell r="W682" t="str">
            <v>No need</v>
          </cell>
        </row>
        <row r="683">
          <cell r="H683" t="e">
            <v>#N/A</v>
          </cell>
          <cell r="J683" t="e">
            <v>#N/A</v>
          </cell>
          <cell r="K683" t="e">
            <v>#N/A</v>
          </cell>
          <cell r="L683" t="str">
            <v>HN</v>
          </cell>
          <cell r="N683" t="e">
            <v>#N/A</v>
          </cell>
          <cell r="O683" t="e">
            <v>#N/A</v>
          </cell>
          <cell r="P683" t="str">
            <v>In Transit</v>
          </cell>
          <cell r="Q683" t="e">
            <v>#VALUE!</v>
          </cell>
          <cell r="W683" t="str">
            <v>No need</v>
          </cell>
        </row>
        <row r="684">
          <cell r="H684" t="e">
            <v>#N/A</v>
          </cell>
          <cell r="J684" t="e">
            <v>#N/A</v>
          </cell>
          <cell r="K684" t="e">
            <v>#N/A</v>
          </cell>
          <cell r="L684" t="str">
            <v>HN</v>
          </cell>
          <cell r="N684" t="e">
            <v>#N/A</v>
          </cell>
          <cell r="O684" t="e">
            <v>#N/A</v>
          </cell>
          <cell r="P684" t="str">
            <v>In Transit</v>
          </cell>
          <cell r="Q684" t="e">
            <v>#VALUE!</v>
          </cell>
          <cell r="W684" t="str">
            <v>No need</v>
          </cell>
        </row>
        <row r="685">
          <cell r="H685" t="e">
            <v>#N/A</v>
          </cell>
          <cell r="J685" t="e">
            <v>#N/A</v>
          </cell>
          <cell r="K685" t="e">
            <v>#N/A</v>
          </cell>
          <cell r="L685" t="str">
            <v>HN</v>
          </cell>
          <cell r="N685" t="e">
            <v>#N/A</v>
          </cell>
          <cell r="O685" t="e">
            <v>#N/A</v>
          </cell>
          <cell r="P685" t="str">
            <v>In Transit</v>
          </cell>
          <cell r="Q685" t="e">
            <v>#VALUE!</v>
          </cell>
          <cell r="W685" t="str">
            <v>No need</v>
          </cell>
        </row>
        <row r="686">
          <cell r="H686" t="e">
            <v>#N/A</v>
          </cell>
          <cell r="J686" t="e">
            <v>#N/A</v>
          </cell>
          <cell r="K686" t="e">
            <v>#N/A</v>
          </cell>
          <cell r="L686" t="str">
            <v>HN</v>
          </cell>
          <cell r="N686" t="e">
            <v>#N/A</v>
          </cell>
          <cell r="O686" t="e">
            <v>#N/A</v>
          </cell>
          <cell r="P686" t="str">
            <v>In Transit</v>
          </cell>
          <cell r="Q686" t="e">
            <v>#VALUE!</v>
          </cell>
          <cell r="W686" t="str">
            <v>No need</v>
          </cell>
        </row>
        <row r="687">
          <cell r="H687" t="e">
            <v>#N/A</v>
          </cell>
          <cell r="J687" t="e">
            <v>#N/A</v>
          </cell>
          <cell r="K687" t="e">
            <v>#N/A</v>
          </cell>
          <cell r="L687" t="str">
            <v>HN</v>
          </cell>
          <cell r="N687" t="e">
            <v>#N/A</v>
          </cell>
          <cell r="O687" t="e">
            <v>#N/A</v>
          </cell>
          <cell r="P687" t="str">
            <v>In Transit</v>
          </cell>
          <cell r="Q687" t="e">
            <v>#VALUE!</v>
          </cell>
          <cell r="W687" t="str">
            <v>No need</v>
          </cell>
        </row>
        <row r="688">
          <cell r="H688" t="e">
            <v>#N/A</v>
          </cell>
          <cell r="J688" t="e">
            <v>#N/A</v>
          </cell>
          <cell r="K688" t="e">
            <v>#N/A</v>
          </cell>
          <cell r="L688" t="str">
            <v>HN</v>
          </cell>
          <cell r="N688" t="e">
            <v>#N/A</v>
          </cell>
          <cell r="O688" t="e">
            <v>#N/A</v>
          </cell>
          <cell r="P688" t="str">
            <v>In Transit</v>
          </cell>
          <cell r="Q688" t="e">
            <v>#VALUE!</v>
          </cell>
          <cell r="W688" t="str">
            <v>No need</v>
          </cell>
        </row>
        <row r="689">
          <cell r="H689" t="e">
            <v>#N/A</v>
          </cell>
          <cell r="J689" t="e">
            <v>#N/A</v>
          </cell>
          <cell r="K689" t="e">
            <v>#N/A</v>
          </cell>
          <cell r="L689" t="str">
            <v>HN</v>
          </cell>
          <cell r="N689" t="e">
            <v>#N/A</v>
          </cell>
          <cell r="O689" t="e">
            <v>#N/A</v>
          </cell>
          <cell r="P689" t="str">
            <v>In Transit</v>
          </cell>
          <cell r="Q689" t="e">
            <v>#VALUE!</v>
          </cell>
          <cell r="W689" t="str">
            <v>No need</v>
          </cell>
        </row>
        <row r="690">
          <cell r="H690" t="e">
            <v>#N/A</v>
          </cell>
          <cell r="J690" t="e">
            <v>#N/A</v>
          </cell>
          <cell r="K690" t="e">
            <v>#N/A</v>
          </cell>
          <cell r="L690" t="str">
            <v>HN</v>
          </cell>
          <cell r="N690" t="e">
            <v>#N/A</v>
          </cell>
          <cell r="O690" t="e">
            <v>#N/A</v>
          </cell>
          <cell r="P690" t="str">
            <v>In Transit</v>
          </cell>
          <cell r="Q690" t="e">
            <v>#VALUE!</v>
          </cell>
          <cell r="W690" t="str">
            <v>No need</v>
          </cell>
        </row>
        <row r="691">
          <cell r="H691" t="e">
            <v>#N/A</v>
          </cell>
          <cell r="J691" t="e">
            <v>#N/A</v>
          </cell>
          <cell r="K691" t="e">
            <v>#N/A</v>
          </cell>
          <cell r="L691" t="str">
            <v>HN</v>
          </cell>
          <cell r="N691" t="e">
            <v>#N/A</v>
          </cell>
          <cell r="O691" t="e">
            <v>#N/A</v>
          </cell>
          <cell r="P691" t="str">
            <v>In Transit</v>
          </cell>
          <cell r="Q691" t="e">
            <v>#VALUE!</v>
          </cell>
          <cell r="W691" t="str">
            <v>No need</v>
          </cell>
        </row>
        <row r="692">
          <cell r="H692" t="e">
            <v>#N/A</v>
          </cell>
          <cell r="J692" t="e">
            <v>#N/A</v>
          </cell>
          <cell r="K692" t="e">
            <v>#N/A</v>
          </cell>
          <cell r="L692" t="str">
            <v>HN</v>
          </cell>
          <cell r="N692" t="e">
            <v>#N/A</v>
          </cell>
          <cell r="O692" t="e">
            <v>#N/A</v>
          </cell>
          <cell r="P692" t="str">
            <v>In Transit</v>
          </cell>
          <cell r="Q692" t="e">
            <v>#VALUE!</v>
          </cell>
          <cell r="W692" t="str">
            <v>No need</v>
          </cell>
        </row>
      </sheetData>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sheetDataSet>
      <sheetData sheetId="0">
        <row r="11">
          <cell r="B11">
            <v>308702571830</v>
          </cell>
          <cell r="E11">
            <v>46206</v>
          </cell>
          <cell r="F11" t="str">
            <v>18ID</v>
          </cell>
          <cell r="G11" t="str">
            <v>E42</v>
          </cell>
        </row>
        <row r="12">
          <cell r="B12">
            <v>308703498850</v>
          </cell>
          <cell r="E12">
            <v>46206</v>
          </cell>
          <cell r="F12" t="str">
            <v>18ID</v>
          </cell>
          <cell r="G12" t="str">
            <v>E42</v>
          </cell>
        </row>
        <row r="13">
          <cell r="B13">
            <v>308705603530</v>
          </cell>
          <cell r="E13">
            <v>46206</v>
          </cell>
          <cell r="F13" t="str">
            <v>18ID</v>
          </cell>
          <cell r="G13" t="str">
            <v>E42</v>
          </cell>
        </row>
        <row r="14">
          <cell r="B14">
            <v>308707245510</v>
          </cell>
          <cell r="E14">
            <v>46206</v>
          </cell>
          <cell r="F14" t="str">
            <v>18ID</v>
          </cell>
          <cell r="G14" t="str">
            <v>E42</v>
          </cell>
        </row>
        <row r="15">
          <cell r="B15">
            <v>308698803511</v>
          </cell>
          <cell r="E15">
            <v>46205</v>
          </cell>
          <cell r="F15" t="str">
            <v>18ID</v>
          </cell>
          <cell r="G15" t="str">
            <v>G23</v>
          </cell>
        </row>
        <row r="16">
          <cell r="B16">
            <v>308698893331</v>
          </cell>
          <cell r="E16">
            <v>46205</v>
          </cell>
          <cell r="F16" t="str">
            <v>18ID</v>
          </cell>
          <cell r="G16" t="str">
            <v>G23</v>
          </cell>
        </row>
        <row r="17">
          <cell r="B17">
            <v>308698939201</v>
          </cell>
          <cell r="E17">
            <v>46205</v>
          </cell>
          <cell r="F17" t="str">
            <v>18ID</v>
          </cell>
          <cell r="G17" t="str">
            <v>G23</v>
          </cell>
        </row>
        <row r="18">
          <cell r="B18">
            <v>308702290761</v>
          </cell>
          <cell r="E18">
            <v>46205</v>
          </cell>
          <cell r="F18" t="str">
            <v>18ID</v>
          </cell>
          <cell r="G18" t="str">
            <v>B13</v>
          </cell>
        </row>
        <row r="19">
          <cell r="B19">
            <v>108391181400</v>
          </cell>
          <cell r="E19">
            <v>46204</v>
          </cell>
          <cell r="F19" t="str">
            <v>18ID</v>
          </cell>
          <cell r="G19" t="str">
            <v>G13</v>
          </cell>
        </row>
        <row r="20">
          <cell r="B20">
            <v>308698404510</v>
          </cell>
          <cell r="E20">
            <v>46204</v>
          </cell>
          <cell r="F20" t="str">
            <v>18ID</v>
          </cell>
          <cell r="G20" t="str">
            <v>B11</v>
          </cell>
        </row>
        <row r="21">
          <cell r="B21">
            <v>308692917800</v>
          </cell>
          <cell r="E21">
            <v>46203</v>
          </cell>
          <cell r="F21" t="str">
            <v>18ID</v>
          </cell>
          <cell r="G21" t="str">
            <v>E42</v>
          </cell>
        </row>
        <row r="22">
          <cell r="B22">
            <v>108388442260</v>
          </cell>
          <cell r="E22">
            <v>46203</v>
          </cell>
          <cell r="F22" t="str">
            <v>18ID</v>
          </cell>
          <cell r="G22" t="str">
            <v>E11</v>
          </cell>
        </row>
        <row r="23">
          <cell r="B23">
            <v>308693420360</v>
          </cell>
          <cell r="E23">
            <v>46203</v>
          </cell>
          <cell r="F23" t="str">
            <v>18ID</v>
          </cell>
          <cell r="G23" t="str">
            <v>E42</v>
          </cell>
        </row>
        <row r="24">
          <cell r="B24">
            <v>308694947061</v>
          </cell>
          <cell r="E24">
            <v>46203</v>
          </cell>
          <cell r="F24" t="str">
            <v>18ID</v>
          </cell>
          <cell r="G24" t="str">
            <v>B13</v>
          </cell>
        </row>
        <row r="25">
          <cell r="B25">
            <v>108387284350</v>
          </cell>
          <cell r="E25">
            <v>46203</v>
          </cell>
          <cell r="F25" t="str">
            <v>18ID</v>
          </cell>
          <cell r="G25" t="str">
            <v>E11</v>
          </cell>
        </row>
        <row r="26">
          <cell r="B26">
            <v>108387289840</v>
          </cell>
          <cell r="E26">
            <v>46203</v>
          </cell>
          <cell r="F26" t="str">
            <v>18ID</v>
          </cell>
          <cell r="G26" t="str">
            <v>E11</v>
          </cell>
        </row>
        <row r="27">
          <cell r="B27">
            <v>108387367100</v>
          </cell>
          <cell r="E27">
            <v>46203</v>
          </cell>
          <cell r="F27" t="str">
            <v>18ID</v>
          </cell>
          <cell r="G27" t="str">
            <v>E11</v>
          </cell>
        </row>
        <row r="28">
          <cell r="B28">
            <v>108387634500</v>
          </cell>
          <cell r="E28">
            <v>46203</v>
          </cell>
          <cell r="F28" t="str">
            <v>18ID</v>
          </cell>
          <cell r="G28" t="str">
            <v>E11</v>
          </cell>
        </row>
        <row r="29">
          <cell r="B29">
            <v>108388004650</v>
          </cell>
          <cell r="E29">
            <v>46203</v>
          </cell>
          <cell r="F29" t="str">
            <v>18ID</v>
          </cell>
          <cell r="G29" t="str">
            <v>E11</v>
          </cell>
        </row>
        <row r="30">
          <cell r="B30">
            <v>108388077930</v>
          </cell>
          <cell r="E30">
            <v>46203</v>
          </cell>
          <cell r="F30" t="str">
            <v>18ID</v>
          </cell>
          <cell r="G30" t="str">
            <v>E11</v>
          </cell>
        </row>
        <row r="31">
          <cell r="B31">
            <v>108388518820</v>
          </cell>
          <cell r="E31">
            <v>46203</v>
          </cell>
          <cell r="F31" t="str">
            <v>18ID</v>
          </cell>
          <cell r="G31" t="str">
            <v>E13</v>
          </cell>
        </row>
        <row r="32">
          <cell r="B32">
            <v>108388779660</v>
          </cell>
          <cell r="E32">
            <v>46203</v>
          </cell>
          <cell r="F32" t="str">
            <v>18ID</v>
          </cell>
          <cell r="G32" t="str">
            <v>E13</v>
          </cell>
        </row>
        <row r="33">
          <cell r="B33">
            <v>108388934250</v>
          </cell>
          <cell r="E33">
            <v>46203</v>
          </cell>
          <cell r="F33" t="str">
            <v>18ID</v>
          </cell>
          <cell r="G33" t="str">
            <v>E13</v>
          </cell>
        </row>
        <row r="34">
          <cell r="B34">
            <v>108388946040</v>
          </cell>
          <cell r="E34">
            <v>46203</v>
          </cell>
          <cell r="F34" t="str">
            <v>18ID</v>
          </cell>
          <cell r="G34" t="str">
            <v>E15</v>
          </cell>
        </row>
        <row r="35">
          <cell r="B35">
            <v>108389058740</v>
          </cell>
          <cell r="E35">
            <v>46203</v>
          </cell>
          <cell r="F35" t="str">
            <v>18ID</v>
          </cell>
          <cell r="G35" t="str">
            <v>E11</v>
          </cell>
        </row>
        <row r="36">
          <cell r="B36">
            <v>108389188720</v>
          </cell>
          <cell r="E36">
            <v>46203</v>
          </cell>
          <cell r="F36" t="str">
            <v>18ID</v>
          </cell>
          <cell r="G36" t="str">
            <v>E11</v>
          </cell>
        </row>
        <row r="37">
          <cell r="B37">
            <v>108389225450</v>
          </cell>
          <cell r="E37">
            <v>46203</v>
          </cell>
          <cell r="F37" t="str">
            <v>18ID</v>
          </cell>
          <cell r="G37" t="str">
            <v>E11</v>
          </cell>
        </row>
        <row r="38">
          <cell r="B38">
            <v>108389251350</v>
          </cell>
          <cell r="E38">
            <v>46203</v>
          </cell>
          <cell r="F38" t="str">
            <v>18ID</v>
          </cell>
          <cell r="G38" t="str">
            <v>E11</v>
          </cell>
        </row>
        <row r="39">
          <cell r="B39">
            <v>108389439540</v>
          </cell>
          <cell r="E39">
            <v>46203</v>
          </cell>
          <cell r="F39" t="str">
            <v>18ID</v>
          </cell>
          <cell r="G39" t="str">
            <v>E11</v>
          </cell>
        </row>
        <row r="40">
          <cell r="B40">
            <v>108389448640</v>
          </cell>
          <cell r="E40">
            <v>46203</v>
          </cell>
          <cell r="F40" t="str">
            <v>18ID</v>
          </cell>
          <cell r="G40" t="str">
            <v>E11</v>
          </cell>
        </row>
        <row r="41">
          <cell r="B41">
            <v>108389521110</v>
          </cell>
          <cell r="E41">
            <v>46203</v>
          </cell>
          <cell r="F41" t="str">
            <v>18ID</v>
          </cell>
          <cell r="G41" t="str">
            <v>E11</v>
          </cell>
        </row>
        <row r="42">
          <cell r="B42">
            <v>108389706610</v>
          </cell>
          <cell r="E42">
            <v>46203</v>
          </cell>
          <cell r="F42" t="str">
            <v>18ID</v>
          </cell>
          <cell r="G42" t="str">
            <v>E11</v>
          </cell>
        </row>
        <row r="43">
          <cell r="B43">
            <v>108389909720</v>
          </cell>
          <cell r="E43">
            <v>46203</v>
          </cell>
          <cell r="F43" t="str">
            <v>18ID</v>
          </cell>
          <cell r="G43" t="str">
            <v>E11</v>
          </cell>
        </row>
        <row r="44">
          <cell r="B44">
            <v>108390052040</v>
          </cell>
          <cell r="E44">
            <v>46203</v>
          </cell>
          <cell r="F44" t="str">
            <v>18ID</v>
          </cell>
          <cell r="G44" t="str">
            <v>E11</v>
          </cell>
        </row>
        <row r="45">
          <cell r="B45">
            <v>108390096620</v>
          </cell>
          <cell r="E45">
            <v>46203</v>
          </cell>
          <cell r="F45" t="str">
            <v>18ID</v>
          </cell>
          <cell r="G45" t="str">
            <v>E15</v>
          </cell>
        </row>
        <row r="46">
          <cell r="B46">
            <v>108390406610</v>
          </cell>
          <cell r="E46">
            <v>46203</v>
          </cell>
          <cell r="F46" t="str">
            <v>18ID</v>
          </cell>
          <cell r="G46" t="str">
            <v>E11</v>
          </cell>
        </row>
        <row r="47">
          <cell r="B47">
            <v>108387029110</v>
          </cell>
          <cell r="E47">
            <v>46202</v>
          </cell>
          <cell r="F47" t="str">
            <v>18ID</v>
          </cell>
          <cell r="G47" t="str">
            <v>E13</v>
          </cell>
        </row>
        <row r="48">
          <cell r="B48">
            <v>308688914720</v>
          </cell>
          <cell r="E48">
            <v>46202</v>
          </cell>
          <cell r="F48" t="str">
            <v>18ID</v>
          </cell>
          <cell r="G48" t="str">
            <v>E42</v>
          </cell>
        </row>
        <row r="49">
          <cell r="B49">
            <v>308688276430</v>
          </cell>
          <cell r="E49">
            <v>46202</v>
          </cell>
          <cell r="F49" t="str">
            <v>18ID</v>
          </cell>
          <cell r="G49" t="str">
            <v>E42</v>
          </cell>
        </row>
        <row r="50">
          <cell r="B50">
            <v>308689437840</v>
          </cell>
          <cell r="E50">
            <v>46202</v>
          </cell>
          <cell r="F50" t="str">
            <v>18ID</v>
          </cell>
          <cell r="G50" t="str">
            <v>E42</v>
          </cell>
        </row>
        <row r="51">
          <cell r="B51">
            <v>308690314500</v>
          </cell>
          <cell r="E51">
            <v>46202</v>
          </cell>
          <cell r="F51" t="str">
            <v>18ID</v>
          </cell>
          <cell r="G51" t="str">
            <v>E42</v>
          </cell>
        </row>
        <row r="52">
          <cell r="B52">
            <v>108382902020</v>
          </cell>
          <cell r="E52">
            <v>46202</v>
          </cell>
          <cell r="F52" t="str">
            <v>18ID</v>
          </cell>
          <cell r="G52" t="str">
            <v>E11</v>
          </cell>
        </row>
        <row r="53">
          <cell r="B53">
            <v>108382978910</v>
          </cell>
          <cell r="E53">
            <v>46202</v>
          </cell>
          <cell r="F53" t="str">
            <v>18ID</v>
          </cell>
          <cell r="G53" t="str">
            <v>E11</v>
          </cell>
        </row>
        <row r="54">
          <cell r="B54">
            <v>108384845110</v>
          </cell>
          <cell r="E54">
            <v>46202</v>
          </cell>
          <cell r="F54" t="str">
            <v>18ID</v>
          </cell>
          <cell r="G54" t="str">
            <v>E11</v>
          </cell>
        </row>
        <row r="55">
          <cell r="B55">
            <v>108384996860</v>
          </cell>
          <cell r="E55">
            <v>46202</v>
          </cell>
          <cell r="F55" t="str">
            <v>18ID</v>
          </cell>
          <cell r="G55" t="str">
            <v>E11</v>
          </cell>
        </row>
        <row r="56">
          <cell r="B56">
            <v>108385158820</v>
          </cell>
          <cell r="E56">
            <v>46202</v>
          </cell>
          <cell r="F56" t="str">
            <v>18ID</v>
          </cell>
          <cell r="G56" t="str">
            <v>E11</v>
          </cell>
        </row>
        <row r="57">
          <cell r="B57">
            <v>108385239060</v>
          </cell>
          <cell r="E57">
            <v>46202</v>
          </cell>
          <cell r="F57" t="str">
            <v>18ID</v>
          </cell>
          <cell r="G57" t="str">
            <v>E11</v>
          </cell>
        </row>
        <row r="58">
          <cell r="B58">
            <v>108385271960</v>
          </cell>
          <cell r="E58">
            <v>46202</v>
          </cell>
          <cell r="F58" t="str">
            <v>18ID</v>
          </cell>
          <cell r="G58" t="str">
            <v>E11</v>
          </cell>
        </row>
        <row r="59">
          <cell r="B59">
            <v>108385311860</v>
          </cell>
          <cell r="E59">
            <v>46202</v>
          </cell>
          <cell r="F59" t="str">
            <v>18ID</v>
          </cell>
          <cell r="G59" t="str">
            <v>E11</v>
          </cell>
        </row>
        <row r="60">
          <cell r="B60">
            <v>108385344320</v>
          </cell>
          <cell r="E60">
            <v>46202</v>
          </cell>
          <cell r="F60" t="str">
            <v>18ID</v>
          </cell>
          <cell r="G60" t="str">
            <v>E11</v>
          </cell>
        </row>
        <row r="61">
          <cell r="B61">
            <v>108385378840</v>
          </cell>
          <cell r="E61">
            <v>46202</v>
          </cell>
          <cell r="F61" t="str">
            <v>18ID</v>
          </cell>
          <cell r="G61" t="str">
            <v>E11</v>
          </cell>
        </row>
        <row r="62">
          <cell r="B62">
            <v>108385523520</v>
          </cell>
          <cell r="E62">
            <v>46202</v>
          </cell>
          <cell r="F62" t="str">
            <v>18ID</v>
          </cell>
          <cell r="G62" t="str">
            <v>E11</v>
          </cell>
        </row>
        <row r="63">
          <cell r="B63">
            <v>108386268320</v>
          </cell>
          <cell r="E63">
            <v>46202</v>
          </cell>
          <cell r="F63" t="str">
            <v>18ID</v>
          </cell>
          <cell r="G63" t="str">
            <v>E11</v>
          </cell>
        </row>
        <row r="64">
          <cell r="B64">
            <v>108386318830</v>
          </cell>
          <cell r="E64">
            <v>46202</v>
          </cell>
          <cell r="F64" t="str">
            <v>18ID</v>
          </cell>
          <cell r="G64" t="str">
            <v>E15</v>
          </cell>
        </row>
        <row r="65">
          <cell r="B65">
            <v>108386514610</v>
          </cell>
          <cell r="E65">
            <v>46202</v>
          </cell>
          <cell r="F65" t="str">
            <v>18ID</v>
          </cell>
          <cell r="G65" t="str">
            <v>E13</v>
          </cell>
        </row>
        <row r="66">
          <cell r="B66">
            <v>108386926800</v>
          </cell>
          <cell r="E66">
            <v>46202</v>
          </cell>
          <cell r="F66" t="str">
            <v>18ID</v>
          </cell>
          <cell r="G66" t="str">
            <v>E11</v>
          </cell>
        </row>
        <row r="67">
          <cell r="B67">
            <v>108380873200</v>
          </cell>
          <cell r="E67">
            <v>46200</v>
          </cell>
          <cell r="F67" t="str">
            <v>18ID</v>
          </cell>
          <cell r="G67" t="str">
            <v>E15</v>
          </cell>
        </row>
        <row r="68">
          <cell r="B68">
            <v>108380906430</v>
          </cell>
          <cell r="E68">
            <v>46200</v>
          </cell>
          <cell r="F68" t="str">
            <v>18ID</v>
          </cell>
          <cell r="G68" t="str">
            <v>E15</v>
          </cell>
        </row>
        <row r="69">
          <cell r="B69">
            <v>108380967440</v>
          </cell>
          <cell r="E69">
            <v>46200</v>
          </cell>
          <cell r="F69" t="str">
            <v>18ID</v>
          </cell>
          <cell r="G69" t="str">
            <v>E15</v>
          </cell>
        </row>
        <row r="70">
          <cell r="B70">
            <v>108381003840</v>
          </cell>
          <cell r="E70">
            <v>46200</v>
          </cell>
          <cell r="F70" t="str">
            <v>18ID</v>
          </cell>
          <cell r="G70" t="str">
            <v>E15</v>
          </cell>
        </row>
        <row r="71">
          <cell r="B71">
            <v>108381059250</v>
          </cell>
          <cell r="E71">
            <v>46200</v>
          </cell>
          <cell r="F71" t="str">
            <v>18ID</v>
          </cell>
          <cell r="G71" t="str">
            <v>E13</v>
          </cell>
        </row>
        <row r="72">
          <cell r="B72">
            <v>108381147710</v>
          </cell>
          <cell r="E72">
            <v>46200</v>
          </cell>
          <cell r="F72" t="str">
            <v>18ID</v>
          </cell>
          <cell r="G72" t="str">
            <v>E15</v>
          </cell>
        </row>
        <row r="73">
          <cell r="B73">
            <v>308679162910</v>
          </cell>
          <cell r="E73">
            <v>46199</v>
          </cell>
          <cell r="F73" t="str">
            <v>18ID</v>
          </cell>
          <cell r="G73" t="str">
            <v>E42</v>
          </cell>
        </row>
        <row r="74">
          <cell r="B74">
            <v>308680361160</v>
          </cell>
          <cell r="E74">
            <v>46199</v>
          </cell>
          <cell r="F74" t="str">
            <v>18ID</v>
          </cell>
          <cell r="G74" t="str">
            <v>E42</v>
          </cell>
        </row>
        <row r="75">
          <cell r="B75">
            <v>308680451610</v>
          </cell>
          <cell r="E75">
            <v>46199</v>
          </cell>
          <cell r="F75" t="str">
            <v>18ID</v>
          </cell>
          <cell r="G75" t="str">
            <v>E42</v>
          </cell>
        </row>
        <row r="76">
          <cell r="B76">
            <v>308680498730</v>
          </cell>
          <cell r="E76">
            <v>46199</v>
          </cell>
          <cell r="F76" t="str">
            <v>18ID</v>
          </cell>
          <cell r="G76" t="str">
            <v>E42</v>
          </cell>
        </row>
        <row r="77">
          <cell r="B77">
            <v>308680557050</v>
          </cell>
          <cell r="E77">
            <v>46199</v>
          </cell>
          <cell r="F77" t="str">
            <v>18ID</v>
          </cell>
          <cell r="G77" t="str">
            <v>E42</v>
          </cell>
        </row>
        <row r="78">
          <cell r="B78">
            <v>308680712010</v>
          </cell>
          <cell r="E78">
            <v>46199</v>
          </cell>
          <cell r="F78" t="str">
            <v>18ID</v>
          </cell>
          <cell r="G78" t="str">
            <v>E42</v>
          </cell>
        </row>
        <row r="79">
          <cell r="B79">
            <v>308680747600</v>
          </cell>
          <cell r="E79">
            <v>46199</v>
          </cell>
          <cell r="F79" t="str">
            <v>18ID</v>
          </cell>
          <cell r="G79" t="str">
            <v>E42</v>
          </cell>
        </row>
        <row r="80">
          <cell r="B80">
            <v>308681230230</v>
          </cell>
          <cell r="E80">
            <v>46199</v>
          </cell>
          <cell r="F80" t="str">
            <v>18ID</v>
          </cell>
          <cell r="G80" t="str">
            <v>E42</v>
          </cell>
        </row>
        <row r="81">
          <cell r="B81">
            <v>108376949700</v>
          </cell>
          <cell r="E81">
            <v>46199</v>
          </cell>
          <cell r="F81" t="str">
            <v>18ID</v>
          </cell>
          <cell r="G81" t="str">
            <v>E11</v>
          </cell>
        </row>
        <row r="82">
          <cell r="B82">
            <v>108376980350</v>
          </cell>
          <cell r="E82">
            <v>46199</v>
          </cell>
          <cell r="F82" t="str">
            <v>18ID</v>
          </cell>
          <cell r="G82" t="str">
            <v>E11</v>
          </cell>
        </row>
        <row r="83">
          <cell r="B83">
            <v>108377015350</v>
          </cell>
          <cell r="E83">
            <v>46199</v>
          </cell>
          <cell r="F83" t="str">
            <v>18ID</v>
          </cell>
          <cell r="G83" t="str">
            <v>E11</v>
          </cell>
        </row>
        <row r="84">
          <cell r="B84">
            <v>108377332340</v>
          </cell>
          <cell r="E84">
            <v>46199</v>
          </cell>
          <cell r="F84" t="str">
            <v>18ID</v>
          </cell>
          <cell r="G84" t="str">
            <v>E11</v>
          </cell>
        </row>
        <row r="85">
          <cell r="B85">
            <v>108377603830</v>
          </cell>
          <cell r="E85">
            <v>46199</v>
          </cell>
          <cell r="F85" t="str">
            <v>18ID</v>
          </cell>
          <cell r="G85" t="str">
            <v>E11</v>
          </cell>
        </row>
        <row r="86">
          <cell r="B86">
            <v>108379105000</v>
          </cell>
          <cell r="E86">
            <v>46199</v>
          </cell>
          <cell r="F86" t="str">
            <v>18ID</v>
          </cell>
          <cell r="G86" t="str">
            <v>E11</v>
          </cell>
        </row>
        <row r="87">
          <cell r="B87">
            <v>108379158420</v>
          </cell>
          <cell r="E87">
            <v>46199</v>
          </cell>
          <cell r="F87" t="str">
            <v>18ID</v>
          </cell>
          <cell r="G87" t="str">
            <v>E11</v>
          </cell>
        </row>
        <row r="88">
          <cell r="B88">
            <v>108379190360</v>
          </cell>
          <cell r="E88">
            <v>46199</v>
          </cell>
          <cell r="F88" t="str">
            <v>18ID</v>
          </cell>
          <cell r="G88" t="str">
            <v>E11</v>
          </cell>
        </row>
        <row r="89">
          <cell r="B89">
            <v>108379231110</v>
          </cell>
          <cell r="E89">
            <v>46199</v>
          </cell>
          <cell r="F89" t="str">
            <v>18ID</v>
          </cell>
          <cell r="G89" t="str">
            <v>E11</v>
          </cell>
        </row>
        <row r="90">
          <cell r="B90">
            <v>108379327930</v>
          </cell>
          <cell r="E90">
            <v>46199</v>
          </cell>
          <cell r="F90" t="str">
            <v>18ID</v>
          </cell>
          <cell r="G90" t="str">
            <v>E11</v>
          </cell>
        </row>
        <row r="91">
          <cell r="B91">
            <v>108379402240</v>
          </cell>
          <cell r="E91">
            <v>46199</v>
          </cell>
          <cell r="F91" t="str">
            <v>18ID</v>
          </cell>
          <cell r="G91" t="str">
            <v>E11</v>
          </cell>
        </row>
        <row r="92">
          <cell r="B92">
            <v>108379595330</v>
          </cell>
          <cell r="E92">
            <v>46199</v>
          </cell>
          <cell r="F92" t="str">
            <v>18ID</v>
          </cell>
          <cell r="G92" t="str">
            <v>E11</v>
          </cell>
        </row>
        <row r="93">
          <cell r="B93">
            <v>108379738720</v>
          </cell>
          <cell r="E93">
            <v>46199</v>
          </cell>
          <cell r="F93" t="str">
            <v>18ID</v>
          </cell>
          <cell r="G93" t="str">
            <v>E11</v>
          </cell>
        </row>
        <row r="94">
          <cell r="B94">
            <v>108379760530</v>
          </cell>
          <cell r="E94">
            <v>46199</v>
          </cell>
          <cell r="F94" t="str">
            <v>18ID</v>
          </cell>
          <cell r="G94" t="str">
            <v>E11</v>
          </cell>
        </row>
        <row r="95">
          <cell r="B95">
            <v>108380112150</v>
          </cell>
          <cell r="E95">
            <v>46199</v>
          </cell>
          <cell r="F95" t="str">
            <v>18ID</v>
          </cell>
          <cell r="G95" t="str">
            <v>E11</v>
          </cell>
        </row>
        <row r="96">
          <cell r="B96">
            <v>308673841360</v>
          </cell>
          <cell r="E96">
            <v>46198</v>
          </cell>
          <cell r="F96" t="str">
            <v>18ID</v>
          </cell>
          <cell r="G96" t="str">
            <v>E42</v>
          </cell>
        </row>
        <row r="97">
          <cell r="B97">
            <v>308673929340</v>
          </cell>
          <cell r="E97">
            <v>46198</v>
          </cell>
          <cell r="F97" t="str">
            <v>18ID</v>
          </cell>
          <cell r="G97" t="str">
            <v>E42</v>
          </cell>
        </row>
        <row r="98">
          <cell r="B98">
            <v>308673985600</v>
          </cell>
          <cell r="E98">
            <v>46198</v>
          </cell>
          <cell r="F98" t="str">
            <v>18ID</v>
          </cell>
          <cell r="G98" t="str">
            <v>E42</v>
          </cell>
        </row>
        <row r="99">
          <cell r="B99">
            <v>308674016840</v>
          </cell>
          <cell r="E99">
            <v>46198</v>
          </cell>
          <cell r="F99" t="str">
            <v>18ID</v>
          </cell>
          <cell r="G99" t="str">
            <v>E42</v>
          </cell>
        </row>
        <row r="100">
          <cell r="B100">
            <v>308674573820</v>
          </cell>
          <cell r="E100">
            <v>46198</v>
          </cell>
          <cell r="F100" t="str">
            <v>18ID</v>
          </cell>
          <cell r="G100" t="str">
            <v>E42</v>
          </cell>
        </row>
        <row r="101">
          <cell r="B101">
            <v>108369852360</v>
          </cell>
          <cell r="E101">
            <v>46198</v>
          </cell>
          <cell r="F101" t="str">
            <v>18ID</v>
          </cell>
          <cell r="G101" t="str">
            <v>E13</v>
          </cell>
        </row>
        <row r="102">
          <cell r="B102">
            <v>108370127130</v>
          </cell>
          <cell r="E102">
            <v>46198</v>
          </cell>
          <cell r="F102" t="str">
            <v>18ID</v>
          </cell>
          <cell r="G102" t="str">
            <v>E13</v>
          </cell>
        </row>
        <row r="103">
          <cell r="B103">
            <v>108373055710</v>
          </cell>
          <cell r="E103">
            <v>46198</v>
          </cell>
          <cell r="F103" t="str">
            <v>18ID</v>
          </cell>
          <cell r="G103" t="str">
            <v>E11</v>
          </cell>
        </row>
        <row r="104">
          <cell r="B104">
            <v>108373073650</v>
          </cell>
          <cell r="E104">
            <v>46198</v>
          </cell>
          <cell r="F104" t="str">
            <v>18ID</v>
          </cell>
          <cell r="G104" t="str">
            <v>E11</v>
          </cell>
        </row>
        <row r="105">
          <cell r="B105">
            <v>108374695550</v>
          </cell>
          <cell r="E105">
            <v>46198</v>
          </cell>
          <cell r="F105" t="str">
            <v>18ID</v>
          </cell>
          <cell r="G105" t="str">
            <v>E13</v>
          </cell>
        </row>
        <row r="106">
          <cell r="B106">
            <v>108374735820</v>
          </cell>
          <cell r="E106">
            <v>46198</v>
          </cell>
          <cell r="F106" t="str">
            <v>18ID</v>
          </cell>
          <cell r="G106" t="str">
            <v>E13</v>
          </cell>
        </row>
        <row r="107">
          <cell r="B107">
            <v>108374860200</v>
          </cell>
          <cell r="E107">
            <v>46198</v>
          </cell>
          <cell r="F107" t="str">
            <v>18ID</v>
          </cell>
          <cell r="G107" t="str">
            <v>E13</v>
          </cell>
        </row>
        <row r="108">
          <cell r="B108">
            <v>108375205520</v>
          </cell>
          <cell r="E108">
            <v>46198</v>
          </cell>
          <cell r="F108" t="str">
            <v>18ID</v>
          </cell>
          <cell r="G108" t="str">
            <v>E15</v>
          </cell>
        </row>
        <row r="109">
          <cell r="B109">
            <v>108375275630</v>
          </cell>
          <cell r="E109">
            <v>46198</v>
          </cell>
          <cell r="F109" t="str">
            <v>18ID</v>
          </cell>
          <cell r="G109" t="str">
            <v>E11</v>
          </cell>
        </row>
        <row r="110">
          <cell r="B110">
            <v>108375347250</v>
          </cell>
          <cell r="E110">
            <v>46198</v>
          </cell>
          <cell r="F110" t="str">
            <v>18ID</v>
          </cell>
          <cell r="G110" t="str">
            <v>E11</v>
          </cell>
        </row>
        <row r="111">
          <cell r="B111">
            <v>108375416330</v>
          </cell>
          <cell r="E111">
            <v>46198</v>
          </cell>
          <cell r="F111" t="str">
            <v>18ID</v>
          </cell>
          <cell r="G111" t="str">
            <v>E11</v>
          </cell>
        </row>
        <row r="112">
          <cell r="B112">
            <v>108375677060</v>
          </cell>
          <cell r="E112">
            <v>46198</v>
          </cell>
          <cell r="F112" t="str">
            <v>18ID</v>
          </cell>
          <cell r="G112" t="str">
            <v>E11</v>
          </cell>
        </row>
        <row r="113">
          <cell r="B113">
            <v>108375696440</v>
          </cell>
          <cell r="E113">
            <v>46198</v>
          </cell>
          <cell r="F113" t="str">
            <v>18ID</v>
          </cell>
          <cell r="G113" t="str">
            <v>E11</v>
          </cell>
        </row>
        <row r="114">
          <cell r="B114">
            <v>108375718400</v>
          </cell>
          <cell r="E114">
            <v>46198</v>
          </cell>
          <cell r="F114" t="str">
            <v>18ID</v>
          </cell>
          <cell r="G114" t="str">
            <v>E11</v>
          </cell>
        </row>
        <row r="115">
          <cell r="B115">
            <v>108375743710</v>
          </cell>
          <cell r="E115">
            <v>46198</v>
          </cell>
          <cell r="F115" t="str">
            <v>18ID</v>
          </cell>
          <cell r="G115" t="str">
            <v>E11</v>
          </cell>
        </row>
        <row r="116">
          <cell r="B116">
            <v>108375768800</v>
          </cell>
          <cell r="E116">
            <v>46198</v>
          </cell>
          <cell r="F116" t="str">
            <v>18ID</v>
          </cell>
          <cell r="G116" t="str">
            <v>E11</v>
          </cell>
        </row>
        <row r="117">
          <cell r="B117">
            <v>108376062320</v>
          </cell>
          <cell r="E117">
            <v>46198</v>
          </cell>
          <cell r="F117" t="str">
            <v>18ID</v>
          </cell>
          <cell r="G117" t="str">
            <v>E11</v>
          </cell>
        </row>
        <row r="118">
          <cell r="B118">
            <v>108376118320</v>
          </cell>
          <cell r="E118">
            <v>46198</v>
          </cell>
          <cell r="F118" t="str">
            <v>18ID</v>
          </cell>
          <cell r="G118" t="str">
            <v>E11</v>
          </cell>
        </row>
        <row r="119">
          <cell r="B119">
            <v>108376187360</v>
          </cell>
          <cell r="E119">
            <v>46198</v>
          </cell>
          <cell r="F119" t="str">
            <v>18ID</v>
          </cell>
          <cell r="G119" t="str">
            <v>E11</v>
          </cell>
        </row>
        <row r="120">
          <cell r="B120">
            <v>108376237100</v>
          </cell>
          <cell r="E120">
            <v>46198</v>
          </cell>
          <cell r="F120" t="str">
            <v>18ID</v>
          </cell>
          <cell r="G120" t="str">
            <v>E11</v>
          </cell>
        </row>
        <row r="121">
          <cell r="B121">
            <v>108376242550</v>
          </cell>
          <cell r="E121">
            <v>46198</v>
          </cell>
          <cell r="F121" t="str">
            <v>18ID</v>
          </cell>
          <cell r="G121" t="str">
            <v>E11</v>
          </cell>
        </row>
        <row r="122">
          <cell r="B122">
            <v>108376335100</v>
          </cell>
          <cell r="E122">
            <v>46198</v>
          </cell>
          <cell r="F122" t="str">
            <v>18ID</v>
          </cell>
          <cell r="G122" t="str">
            <v>E11</v>
          </cell>
        </row>
        <row r="123">
          <cell r="B123">
            <v>108376356760</v>
          </cell>
          <cell r="E123">
            <v>46198</v>
          </cell>
          <cell r="F123" t="str">
            <v>18ID</v>
          </cell>
          <cell r="G123" t="str">
            <v>E11</v>
          </cell>
        </row>
        <row r="124">
          <cell r="B124">
            <v>108376367520</v>
          </cell>
          <cell r="E124">
            <v>46198</v>
          </cell>
          <cell r="F124" t="str">
            <v>18ID</v>
          </cell>
          <cell r="G124" t="str">
            <v>E11</v>
          </cell>
        </row>
        <row r="125">
          <cell r="B125">
            <v>108376377540</v>
          </cell>
          <cell r="E125">
            <v>46198</v>
          </cell>
          <cell r="F125" t="str">
            <v>18ID</v>
          </cell>
          <cell r="G125" t="str">
            <v>E13</v>
          </cell>
        </row>
        <row r="126">
          <cell r="B126">
            <v>308665095931</v>
          </cell>
          <cell r="E126">
            <v>46197</v>
          </cell>
          <cell r="F126" t="str">
            <v>18ID</v>
          </cell>
          <cell r="G126" t="str">
            <v>B13</v>
          </cell>
        </row>
        <row r="127">
          <cell r="B127">
            <v>308670778160</v>
          </cell>
          <cell r="E127">
            <v>46197</v>
          </cell>
          <cell r="F127" t="str">
            <v>18ID</v>
          </cell>
          <cell r="G127" t="str">
            <v>E42</v>
          </cell>
        </row>
        <row r="128">
          <cell r="B128">
            <v>308671551000</v>
          </cell>
          <cell r="E128">
            <v>46197</v>
          </cell>
          <cell r="F128" t="str">
            <v>18ID</v>
          </cell>
          <cell r="G128" t="str">
            <v>E42</v>
          </cell>
        </row>
        <row r="129">
          <cell r="B129">
            <v>108371688460</v>
          </cell>
          <cell r="E129">
            <v>46197</v>
          </cell>
          <cell r="F129" t="str">
            <v>18ID</v>
          </cell>
          <cell r="G129" t="str">
            <v>E11</v>
          </cell>
        </row>
        <row r="130">
          <cell r="B130">
            <v>108371744350</v>
          </cell>
          <cell r="E130">
            <v>46197</v>
          </cell>
          <cell r="F130" t="str">
            <v>18ID</v>
          </cell>
          <cell r="G130" t="str">
            <v>E11</v>
          </cell>
        </row>
        <row r="131">
          <cell r="B131">
            <v>108371825550</v>
          </cell>
          <cell r="E131">
            <v>46197</v>
          </cell>
          <cell r="F131" t="str">
            <v>18ID</v>
          </cell>
          <cell r="G131" t="str">
            <v>E11</v>
          </cell>
        </row>
        <row r="132">
          <cell r="B132">
            <v>108372082340</v>
          </cell>
          <cell r="E132">
            <v>46197</v>
          </cell>
          <cell r="F132" t="str">
            <v>18ID</v>
          </cell>
          <cell r="G132" t="str">
            <v>E11</v>
          </cell>
        </row>
        <row r="133">
          <cell r="B133">
            <v>108372263750</v>
          </cell>
          <cell r="E133">
            <v>46197</v>
          </cell>
          <cell r="F133" t="str">
            <v>18ID</v>
          </cell>
          <cell r="G133" t="str">
            <v>E11</v>
          </cell>
        </row>
        <row r="134">
          <cell r="B134">
            <v>308665242821</v>
          </cell>
          <cell r="E134">
            <v>46196</v>
          </cell>
          <cell r="F134" t="str">
            <v>18ID</v>
          </cell>
          <cell r="G134" t="str">
            <v>G23</v>
          </cell>
        </row>
        <row r="135">
          <cell r="B135">
            <v>108367566420</v>
          </cell>
          <cell r="E135">
            <v>46196</v>
          </cell>
          <cell r="F135" t="str">
            <v>18ID</v>
          </cell>
          <cell r="G135" t="str">
            <v>G13</v>
          </cell>
        </row>
        <row r="136">
          <cell r="B136">
            <v>108365686110</v>
          </cell>
          <cell r="E136">
            <v>46196</v>
          </cell>
          <cell r="F136" t="str">
            <v>18ID</v>
          </cell>
          <cell r="G136" t="str">
            <v>E11</v>
          </cell>
        </row>
        <row r="137">
          <cell r="B137">
            <v>108366995330</v>
          </cell>
          <cell r="E137">
            <v>46196</v>
          </cell>
          <cell r="F137" t="str">
            <v>18ID</v>
          </cell>
          <cell r="G137" t="str">
            <v>E11</v>
          </cell>
        </row>
        <row r="138">
          <cell r="B138">
            <v>108367011540</v>
          </cell>
          <cell r="E138">
            <v>46196</v>
          </cell>
          <cell r="F138" t="str">
            <v>18ID</v>
          </cell>
          <cell r="G138" t="str">
            <v>E11</v>
          </cell>
        </row>
        <row r="139">
          <cell r="B139">
            <v>108367045360</v>
          </cell>
          <cell r="E139">
            <v>46196</v>
          </cell>
          <cell r="F139" t="str">
            <v>18ID</v>
          </cell>
          <cell r="G139" t="str">
            <v>E11</v>
          </cell>
        </row>
        <row r="140">
          <cell r="B140">
            <v>108367547410</v>
          </cell>
          <cell r="E140">
            <v>46196</v>
          </cell>
          <cell r="F140" t="str">
            <v>18ID</v>
          </cell>
          <cell r="G140" t="str">
            <v>E11</v>
          </cell>
        </row>
        <row r="141">
          <cell r="B141">
            <v>108367585760</v>
          </cell>
          <cell r="E141">
            <v>46196</v>
          </cell>
          <cell r="F141" t="str">
            <v>18ID</v>
          </cell>
          <cell r="G141" t="str">
            <v>E11</v>
          </cell>
        </row>
        <row r="142">
          <cell r="B142">
            <v>108367613210</v>
          </cell>
          <cell r="E142">
            <v>46196</v>
          </cell>
          <cell r="F142" t="str">
            <v>18ID</v>
          </cell>
          <cell r="G142" t="str">
            <v>E11</v>
          </cell>
        </row>
        <row r="143">
          <cell r="B143">
            <v>108367651600</v>
          </cell>
          <cell r="E143">
            <v>46196</v>
          </cell>
          <cell r="F143" t="str">
            <v>18ID</v>
          </cell>
          <cell r="G143" t="str">
            <v>E11</v>
          </cell>
        </row>
        <row r="144">
          <cell r="B144">
            <v>108367688000</v>
          </cell>
          <cell r="E144">
            <v>46196</v>
          </cell>
          <cell r="F144" t="str">
            <v>18ID</v>
          </cell>
          <cell r="G144" t="str">
            <v>E11</v>
          </cell>
        </row>
        <row r="145">
          <cell r="B145">
            <v>108367757520</v>
          </cell>
          <cell r="E145">
            <v>46196</v>
          </cell>
          <cell r="F145" t="str">
            <v>18ID</v>
          </cell>
          <cell r="G145" t="str">
            <v>E11</v>
          </cell>
        </row>
        <row r="146">
          <cell r="B146">
            <v>108367802910</v>
          </cell>
          <cell r="E146">
            <v>46196</v>
          </cell>
          <cell r="F146" t="str">
            <v>18ID</v>
          </cell>
          <cell r="G146" t="str">
            <v>E11</v>
          </cell>
        </row>
        <row r="147">
          <cell r="B147">
            <v>108367841040</v>
          </cell>
          <cell r="E147">
            <v>46196</v>
          </cell>
          <cell r="F147" t="str">
            <v>18ID</v>
          </cell>
          <cell r="G147" t="str">
            <v>E11</v>
          </cell>
        </row>
        <row r="148">
          <cell r="B148">
            <v>108367923860</v>
          </cell>
          <cell r="E148">
            <v>46196</v>
          </cell>
          <cell r="F148" t="str">
            <v>18ID</v>
          </cell>
          <cell r="G148" t="str">
            <v>E11</v>
          </cell>
        </row>
        <row r="149">
          <cell r="B149">
            <v>108367970060</v>
          </cell>
          <cell r="E149">
            <v>46196</v>
          </cell>
          <cell r="F149" t="str">
            <v>18ID</v>
          </cell>
          <cell r="G149" t="str">
            <v>E11</v>
          </cell>
        </row>
        <row r="150">
          <cell r="B150">
            <v>108367978610</v>
          </cell>
          <cell r="E150">
            <v>46196</v>
          </cell>
          <cell r="F150" t="str">
            <v>18ID</v>
          </cell>
          <cell r="G150" t="str">
            <v>E11</v>
          </cell>
        </row>
        <row r="151">
          <cell r="B151">
            <v>108368003330</v>
          </cell>
          <cell r="E151">
            <v>46196</v>
          </cell>
          <cell r="F151" t="str">
            <v>18ID</v>
          </cell>
          <cell r="G151" t="str">
            <v>E11</v>
          </cell>
        </row>
        <row r="152">
          <cell r="B152">
            <v>108368130840</v>
          </cell>
          <cell r="E152">
            <v>46196</v>
          </cell>
          <cell r="F152" t="str">
            <v>18ID</v>
          </cell>
          <cell r="G152" t="str">
            <v>E11</v>
          </cell>
        </row>
        <row r="153">
          <cell r="B153">
            <v>108368290330</v>
          </cell>
          <cell r="E153">
            <v>46196</v>
          </cell>
          <cell r="F153" t="str">
            <v>18ID</v>
          </cell>
          <cell r="G153" t="str">
            <v>E11</v>
          </cell>
        </row>
        <row r="154">
          <cell r="B154">
            <v>108368316230</v>
          </cell>
          <cell r="E154">
            <v>46196</v>
          </cell>
          <cell r="F154" t="str">
            <v>18ID</v>
          </cell>
          <cell r="G154" t="str">
            <v>E11</v>
          </cell>
        </row>
        <row r="155">
          <cell r="B155">
            <v>108368356720</v>
          </cell>
          <cell r="E155">
            <v>46196</v>
          </cell>
          <cell r="F155" t="str">
            <v>18ID</v>
          </cell>
          <cell r="G155" t="str">
            <v>E11</v>
          </cell>
        </row>
        <row r="156">
          <cell r="B156">
            <v>108368361510</v>
          </cell>
          <cell r="E156">
            <v>46196</v>
          </cell>
          <cell r="F156" t="str">
            <v>18ID</v>
          </cell>
          <cell r="G156" t="str">
            <v>E11</v>
          </cell>
        </row>
        <row r="157">
          <cell r="B157">
            <v>108368440240</v>
          </cell>
          <cell r="E157">
            <v>46196</v>
          </cell>
          <cell r="F157" t="str">
            <v>18ID</v>
          </cell>
          <cell r="G157" t="str">
            <v>E11</v>
          </cell>
        </row>
        <row r="158">
          <cell r="B158">
            <v>108368452250</v>
          </cell>
          <cell r="E158">
            <v>46196</v>
          </cell>
          <cell r="F158" t="str">
            <v>18ID</v>
          </cell>
          <cell r="G158" t="str">
            <v>E11</v>
          </cell>
        </row>
        <row r="159">
          <cell r="B159">
            <v>108368457850</v>
          </cell>
          <cell r="E159">
            <v>46196</v>
          </cell>
          <cell r="F159" t="str">
            <v>18ID</v>
          </cell>
          <cell r="G159" t="str">
            <v>E11</v>
          </cell>
        </row>
        <row r="160">
          <cell r="B160">
            <v>108368584000</v>
          </cell>
          <cell r="C160" t="str">
            <v>108368584000</v>
          </cell>
          <cell r="D160">
            <v>1</v>
          </cell>
          <cell r="E160">
            <v>46196</v>
          </cell>
          <cell r="F160" t="str">
            <v>18ID</v>
          </cell>
          <cell r="G160" t="str">
            <v>E11</v>
          </cell>
        </row>
        <row r="161">
          <cell r="B161">
            <v>108368587500</v>
          </cell>
          <cell r="C161" t="str">
            <v>108368584000</v>
          </cell>
          <cell r="D161">
            <v>2</v>
          </cell>
          <cell r="E161">
            <v>46196</v>
          </cell>
          <cell r="F161" t="str">
            <v>18ID</v>
          </cell>
          <cell r="G161" t="str">
            <v>E11</v>
          </cell>
        </row>
        <row r="162">
          <cell r="B162">
            <v>108368596230</v>
          </cell>
          <cell r="E162">
            <v>46196</v>
          </cell>
          <cell r="F162" t="str">
            <v>18ID</v>
          </cell>
          <cell r="G162" t="str">
            <v>E11</v>
          </cell>
        </row>
        <row r="163">
          <cell r="B163">
            <v>108368634730</v>
          </cell>
          <cell r="E163">
            <v>46196</v>
          </cell>
          <cell r="F163" t="str">
            <v>18ID</v>
          </cell>
          <cell r="G163" t="str">
            <v>E11</v>
          </cell>
        </row>
        <row r="164">
          <cell r="B164">
            <v>108368641510</v>
          </cell>
          <cell r="E164">
            <v>46196</v>
          </cell>
          <cell r="F164" t="str">
            <v>18ID</v>
          </cell>
          <cell r="G164" t="str">
            <v>E11</v>
          </cell>
        </row>
        <row r="165">
          <cell r="B165">
            <v>108368729560</v>
          </cell>
          <cell r="E165">
            <v>46196</v>
          </cell>
          <cell r="F165" t="str">
            <v>18ID</v>
          </cell>
          <cell r="G165" t="str">
            <v>E11</v>
          </cell>
        </row>
        <row r="166">
          <cell r="B166">
            <v>108368767360</v>
          </cell>
          <cell r="E166">
            <v>46196</v>
          </cell>
          <cell r="F166" t="str">
            <v>18ID</v>
          </cell>
          <cell r="G166" t="str">
            <v>E11</v>
          </cell>
        </row>
        <row r="167">
          <cell r="B167">
            <v>108364034810</v>
          </cell>
          <cell r="E167">
            <v>46195</v>
          </cell>
          <cell r="F167" t="str">
            <v>18ID</v>
          </cell>
          <cell r="G167" t="str">
            <v>G13</v>
          </cell>
        </row>
        <row r="168">
          <cell r="B168">
            <v>108360717400</v>
          </cell>
          <cell r="E168">
            <v>46195</v>
          </cell>
          <cell r="F168" t="str">
            <v>18ID</v>
          </cell>
          <cell r="G168" t="str">
            <v>E11</v>
          </cell>
        </row>
        <row r="169">
          <cell r="B169">
            <v>108360722740</v>
          </cell>
          <cell r="E169">
            <v>46195</v>
          </cell>
          <cell r="F169" t="str">
            <v>18ID</v>
          </cell>
          <cell r="G169" t="str">
            <v>E11</v>
          </cell>
        </row>
        <row r="170">
          <cell r="B170">
            <v>108360920950</v>
          </cell>
          <cell r="E170">
            <v>46195</v>
          </cell>
          <cell r="F170" t="str">
            <v>18ID</v>
          </cell>
          <cell r="G170" t="str">
            <v>E11</v>
          </cell>
        </row>
        <row r="171">
          <cell r="B171">
            <v>108361091420</v>
          </cell>
          <cell r="E171">
            <v>46195</v>
          </cell>
          <cell r="F171" t="str">
            <v>18ID</v>
          </cell>
          <cell r="G171" t="str">
            <v>E11</v>
          </cell>
        </row>
        <row r="172">
          <cell r="B172">
            <v>108361119530</v>
          </cell>
          <cell r="E172">
            <v>46195</v>
          </cell>
          <cell r="F172" t="str">
            <v>18ID</v>
          </cell>
          <cell r="G172" t="str">
            <v>E11</v>
          </cell>
        </row>
        <row r="173">
          <cell r="B173">
            <v>108361158400</v>
          </cell>
          <cell r="E173">
            <v>46195</v>
          </cell>
          <cell r="F173" t="str">
            <v>18ID</v>
          </cell>
          <cell r="G173" t="str">
            <v>E11</v>
          </cell>
        </row>
        <row r="174">
          <cell r="B174">
            <v>108361196200</v>
          </cell>
          <cell r="E174">
            <v>46195</v>
          </cell>
          <cell r="F174" t="str">
            <v>18ID</v>
          </cell>
          <cell r="G174" t="str">
            <v>E11</v>
          </cell>
        </row>
        <row r="175">
          <cell r="B175">
            <v>108361224160</v>
          </cell>
          <cell r="E175">
            <v>46195</v>
          </cell>
          <cell r="F175" t="str">
            <v>18ID</v>
          </cell>
          <cell r="G175" t="str">
            <v>E11</v>
          </cell>
        </row>
        <row r="176">
          <cell r="B176">
            <v>108361389030</v>
          </cell>
          <cell r="E176">
            <v>46195</v>
          </cell>
          <cell r="F176" t="str">
            <v>18ID</v>
          </cell>
          <cell r="G176" t="str">
            <v>E11</v>
          </cell>
        </row>
        <row r="177">
          <cell r="B177">
            <v>108361409000</v>
          </cell>
          <cell r="E177">
            <v>46195</v>
          </cell>
          <cell r="F177" t="str">
            <v>18ID</v>
          </cell>
          <cell r="G177" t="str">
            <v>E11</v>
          </cell>
        </row>
        <row r="178">
          <cell r="B178">
            <v>108361429150</v>
          </cell>
          <cell r="E178">
            <v>46195</v>
          </cell>
          <cell r="F178" t="str">
            <v>18ID</v>
          </cell>
          <cell r="G178" t="str">
            <v>E11</v>
          </cell>
        </row>
        <row r="179">
          <cell r="B179">
            <v>108361449930</v>
          </cell>
          <cell r="E179">
            <v>46195</v>
          </cell>
          <cell r="F179" t="str">
            <v>18ID</v>
          </cell>
          <cell r="G179" t="str">
            <v>E11</v>
          </cell>
        </row>
        <row r="180">
          <cell r="B180">
            <v>108361477010</v>
          </cell>
          <cell r="E180">
            <v>46195</v>
          </cell>
          <cell r="F180" t="str">
            <v>18ID</v>
          </cell>
          <cell r="G180" t="str">
            <v>E11</v>
          </cell>
        </row>
        <row r="181">
          <cell r="B181">
            <v>108361495800</v>
          </cell>
          <cell r="E181">
            <v>46195</v>
          </cell>
          <cell r="F181" t="str">
            <v>18ID</v>
          </cell>
          <cell r="G181" t="str">
            <v>E11</v>
          </cell>
        </row>
        <row r="182">
          <cell r="B182">
            <v>108361523800</v>
          </cell>
          <cell r="E182">
            <v>46195</v>
          </cell>
          <cell r="F182" t="str">
            <v>18ID</v>
          </cell>
          <cell r="G182" t="str">
            <v>E11</v>
          </cell>
        </row>
        <row r="183">
          <cell r="B183">
            <v>108361544760</v>
          </cell>
          <cell r="E183">
            <v>46195</v>
          </cell>
          <cell r="F183" t="str">
            <v>18ID</v>
          </cell>
          <cell r="G183" t="str">
            <v>E11</v>
          </cell>
        </row>
        <row r="184">
          <cell r="B184">
            <v>108362108520</v>
          </cell>
          <cell r="E184">
            <v>46195</v>
          </cell>
          <cell r="F184" t="str">
            <v>18ID</v>
          </cell>
          <cell r="G184" t="str">
            <v>E11</v>
          </cell>
        </row>
        <row r="185">
          <cell r="B185">
            <v>108362284810</v>
          </cell>
          <cell r="E185">
            <v>46195</v>
          </cell>
          <cell r="F185" t="str">
            <v>18ID</v>
          </cell>
          <cell r="G185" t="str">
            <v>E11</v>
          </cell>
        </row>
        <row r="186">
          <cell r="B186">
            <v>108362625820</v>
          </cell>
          <cell r="E186">
            <v>46195</v>
          </cell>
          <cell r="F186" t="str">
            <v>18ID</v>
          </cell>
          <cell r="G186" t="str">
            <v>E11</v>
          </cell>
        </row>
        <row r="187">
          <cell r="B187">
            <v>108363533460</v>
          </cell>
          <cell r="E187">
            <v>46195</v>
          </cell>
          <cell r="F187" t="str">
            <v>18ID</v>
          </cell>
          <cell r="G187" t="str">
            <v>E11</v>
          </cell>
        </row>
        <row r="188">
          <cell r="B188">
            <v>108363659240</v>
          </cell>
          <cell r="E188">
            <v>46195</v>
          </cell>
          <cell r="F188" t="str">
            <v>18ID</v>
          </cell>
          <cell r="G188" t="str">
            <v>E11</v>
          </cell>
        </row>
        <row r="189">
          <cell r="B189">
            <v>108363709050</v>
          </cell>
          <cell r="E189">
            <v>46195</v>
          </cell>
          <cell r="F189" t="str">
            <v>18ID</v>
          </cell>
          <cell r="G189" t="str">
            <v>E11</v>
          </cell>
        </row>
        <row r="190">
          <cell r="B190">
            <v>108363737900</v>
          </cell>
          <cell r="E190">
            <v>46195</v>
          </cell>
          <cell r="F190" t="str">
            <v>18ID</v>
          </cell>
          <cell r="G190" t="str">
            <v>E11</v>
          </cell>
        </row>
        <row r="191">
          <cell r="B191">
            <v>108363789110</v>
          </cell>
          <cell r="E191">
            <v>46195</v>
          </cell>
          <cell r="F191" t="str">
            <v>18ID</v>
          </cell>
          <cell r="G191" t="str">
            <v>E11</v>
          </cell>
        </row>
        <row r="192">
          <cell r="B192">
            <v>108363841830</v>
          </cell>
          <cell r="E192">
            <v>46195</v>
          </cell>
          <cell r="F192" t="str">
            <v>18ID</v>
          </cell>
          <cell r="G192" t="str">
            <v>E11</v>
          </cell>
        </row>
        <row r="193">
          <cell r="B193">
            <v>108363875430</v>
          </cell>
          <cell r="E193">
            <v>46195</v>
          </cell>
          <cell r="F193" t="str">
            <v>18ID</v>
          </cell>
          <cell r="G193" t="str">
            <v>E11</v>
          </cell>
        </row>
        <row r="194">
          <cell r="B194">
            <v>108364097110</v>
          </cell>
          <cell r="E194">
            <v>46195</v>
          </cell>
          <cell r="F194" t="str">
            <v>18ID</v>
          </cell>
          <cell r="G194" t="str">
            <v>E11</v>
          </cell>
        </row>
        <row r="195">
          <cell r="B195">
            <v>108364432260</v>
          </cell>
          <cell r="E195">
            <v>46195</v>
          </cell>
          <cell r="F195" t="str">
            <v>18ID</v>
          </cell>
          <cell r="G195" t="str">
            <v>E11</v>
          </cell>
        </row>
        <row r="196">
          <cell r="B196">
            <v>108364569460</v>
          </cell>
          <cell r="E196">
            <v>46195</v>
          </cell>
          <cell r="F196" t="str">
            <v>18ID</v>
          </cell>
          <cell r="G196" t="str">
            <v>E15</v>
          </cell>
        </row>
        <row r="197">
          <cell r="B197">
            <v>108364787310</v>
          </cell>
          <cell r="E197">
            <v>46195</v>
          </cell>
          <cell r="F197" t="str">
            <v>18ID</v>
          </cell>
          <cell r="G197" t="str">
            <v>E13</v>
          </cell>
        </row>
        <row r="198">
          <cell r="B198">
            <v>108355204200</v>
          </cell>
          <cell r="E198">
            <v>46192</v>
          </cell>
          <cell r="F198" t="str">
            <v>18ID</v>
          </cell>
          <cell r="G198" t="str">
            <v>E11</v>
          </cell>
        </row>
        <row r="199">
          <cell r="B199">
            <v>308655163740</v>
          </cell>
          <cell r="E199">
            <v>46192</v>
          </cell>
          <cell r="F199" t="str">
            <v>18ID</v>
          </cell>
          <cell r="G199" t="str">
            <v>E42</v>
          </cell>
        </row>
        <row r="200">
          <cell r="B200">
            <v>308655249250</v>
          </cell>
          <cell r="E200">
            <v>46192</v>
          </cell>
          <cell r="F200" t="str">
            <v>18ID</v>
          </cell>
          <cell r="G200" t="str">
            <v>E42</v>
          </cell>
        </row>
        <row r="201">
          <cell r="B201">
            <v>308655289520</v>
          </cell>
          <cell r="E201">
            <v>46192</v>
          </cell>
          <cell r="F201" t="str">
            <v>18ID</v>
          </cell>
          <cell r="G201" t="str">
            <v>E42</v>
          </cell>
        </row>
        <row r="202">
          <cell r="B202">
            <v>308655841230</v>
          </cell>
          <cell r="E202">
            <v>46192</v>
          </cell>
          <cell r="F202" t="str">
            <v>18ID</v>
          </cell>
          <cell r="G202" t="str">
            <v>E42</v>
          </cell>
        </row>
        <row r="203">
          <cell r="B203">
            <v>308656963440</v>
          </cell>
          <cell r="E203">
            <v>46192</v>
          </cell>
          <cell r="F203" t="str">
            <v>18ID</v>
          </cell>
          <cell r="G203" t="str">
            <v>E42</v>
          </cell>
        </row>
        <row r="204">
          <cell r="B204">
            <v>108358428360</v>
          </cell>
          <cell r="E204">
            <v>46192</v>
          </cell>
          <cell r="F204" t="str">
            <v>18ID</v>
          </cell>
          <cell r="G204" t="str">
            <v>G13</v>
          </cell>
        </row>
        <row r="205">
          <cell r="B205">
            <v>108354360220</v>
          </cell>
          <cell r="E205">
            <v>46192</v>
          </cell>
          <cell r="F205" t="str">
            <v>18ID</v>
          </cell>
          <cell r="G205" t="str">
            <v>E11</v>
          </cell>
        </row>
        <row r="206">
          <cell r="B206">
            <v>108355484310</v>
          </cell>
          <cell r="E206">
            <v>46192</v>
          </cell>
          <cell r="F206" t="str">
            <v>18ID</v>
          </cell>
          <cell r="G206" t="str">
            <v>E11</v>
          </cell>
        </row>
        <row r="207">
          <cell r="B207">
            <v>108355602350</v>
          </cell>
          <cell r="E207">
            <v>46192</v>
          </cell>
          <cell r="F207" t="str">
            <v>18ID</v>
          </cell>
          <cell r="G207" t="str">
            <v>E11</v>
          </cell>
        </row>
        <row r="208">
          <cell r="B208">
            <v>108355604230</v>
          </cell>
          <cell r="E208">
            <v>46192</v>
          </cell>
          <cell r="F208" t="str">
            <v>18ID</v>
          </cell>
          <cell r="G208" t="str">
            <v>E11</v>
          </cell>
        </row>
        <row r="209">
          <cell r="B209">
            <v>108355693830</v>
          </cell>
          <cell r="E209">
            <v>46192</v>
          </cell>
          <cell r="F209" t="str">
            <v>18ID</v>
          </cell>
          <cell r="G209" t="str">
            <v>E11</v>
          </cell>
        </row>
        <row r="210">
          <cell r="B210">
            <v>108355736860</v>
          </cell>
          <cell r="E210">
            <v>46192</v>
          </cell>
          <cell r="F210" t="str">
            <v>18ID</v>
          </cell>
          <cell r="G210" t="str">
            <v>E11</v>
          </cell>
        </row>
        <row r="211">
          <cell r="B211">
            <v>108355743750</v>
          </cell>
          <cell r="E211">
            <v>46192</v>
          </cell>
          <cell r="F211" t="str">
            <v>18ID</v>
          </cell>
          <cell r="G211" t="str">
            <v>E11</v>
          </cell>
        </row>
        <row r="212">
          <cell r="B212">
            <v>108355814710</v>
          </cell>
          <cell r="E212">
            <v>46192</v>
          </cell>
          <cell r="F212" t="str">
            <v>18ID</v>
          </cell>
          <cell r="G212" t="str">
            <v>E11</v>
          </cell>
        </row>
        <row r="213">
          <cell r="B213">
            <v>108356438410</v>
          </cell>
          <cell r="E213">
            <v>46192</v>
          </cell>
          <cell r="F213" t="str">
            <v>18ID</v>
          </cell>
          <cell r="G213" t="str">
            <v>E11</v>
          </cell>
        </row>
        <row r="214">
          <cell r="B214">
            <v>108357040740</v>
          </cell>
          <cell r="E214">
            <v>46192</v>
          </cell>
          <cell r="F214" t="str">
            <v>18ID</v>
          </cell>
          <cell r="G214" t="str">
            <v>E11</v>
          </cell>
        </row>
        <row r="215">
          <cell r="B215">
            <v>108357153700</v>
          </cell>
          <cell r="E215">
            <v>46192</v>
          </cell>
          <cell r="F215" t="str">
            <v>18ID</v>
          </cell>
          <cell r="G215" t="str">
            <v>E11</v>
          </cell>
        </row>
        <row r="216">
          <cell r="B216">
            <v>108357250040</v>
          </cell>
          <cell r="E216">
            <v>46192</v>
          </cell>
          <cell r="F216" t="str">
            <v>18ID</v>
          </cell>
          <cell r="G216" t="str">
            <v>E11</v>
          </cell>
        </row>
        <row r="217">
          <cell r="B217">
            <v>108357361710</v>
          </cell>
          <cell r="E217">
            <v>46192</v>
          </cell>
          <cell r="F217" t="str">
            <v>18ID</v>
          </cell>
          <cell r="G217" t="str">
            <v>E11</v>
          </cell>
        </row>
        <row r="218">
          <cell r="B218">
            <v>108357370660</v>
          </cell>
          <cell r="E218">
            <v>46192</v>
          </cell>
          <cell r="F218" t="str">
            <v>18ID</v>
          </cell>
          <cell r="G218" t="str">
            <v>E11</v>
          </cell>
        </row>
        <row r="219">
          <cell r="B219">
            <v>108357481150</v>
          </cell>
          <cell r="E219">
            <v>46192</v>
          </cell>
          <cell r="F219" t="str">
            <v>18ID</v>
          </cell>
          <cell r="G219" t="str">
            <v>E11</v>
          </cell>
        </row>
        <row r="220">
          <cell r="B220">
            <v>108358003830</v>
          </cell>
          <cell r="E220">
            <v>46192</v>
          </cell>
          <cell r="F220" t="str">
            <v>18ID</v>
          </cell>
          <cell r="G220" t="str">
            <v>E11</v>
          </cell>
        </row>
        <row r="221">
          <cell r="B221">
            <v>108358057620</v>
          </cell>
          <cell r="E221">
            <v>46192</v>
          </cell>
          <cell r="F221" t="str">
            <v>18ID</v>
          </cell>
          <cell r="G221" t="str">
            <v>E11</v>
          </cell>
        </row>
        <row r="222">
          <cell r="B222">
            <v>108358324100</v>
          </cell>
          <cell r="E222">
            <v>46192</v>
          </cell>
          <cell r="F222" t="str">
            <v>18ID</v>
          </cell>
          <cell r="G222" t="str">
            <v>E11</v>
          </cell>
        </row>
        <row r="223">
          <cell r="B223">
            <v>108358334710</v>
          </cell>
          <cell r="E223">
            <v>46192</v>
          </cell>
          <cell r="F223" t="str">
            <v>18ID</v>
          </cell>
          <cell r="G223" t="str">
            <v>E11</v>
          </cell>
        </row>
        <row r="224">
          <cell r="B224">
            <v>108358389530</v>
          </cell>
          <cell r="E224">
            <v>46192</v>
          </cell>
          <cell r="F224" t="str">
            <v>18ID</v>
          </cell>
          <cell r="G224" t="str">
            <v>E11</v>
          </cell>
        </row>
        <row r="225">
          <cell r="B225">
            <v>108358571050</v>
          </cell>
          <cell r="E225">
            <v>46192</v>
          </cell>
          <cell r="F225" t="str">
            <v>18ID</v>
          </cell>
          <cell r="G225" t="str">
            <v>E15</v>
          </cell>
        </row>
        <row r="226">
          <cell r="B226">
            <v>108355642140</v>
          </cell>
          <cell r="E226">
            <v>46192</v>
          </cell>
          <cell r="F226" t="str">
            <v>18ID</v>
          </cell>
          <cell r="G226" t="str">
            <v>E11</v>
          </cell>
        </row>
        <row r="227">
          <cell r="B227">
            <v>108355855750</v>
          </cell>
          <cell r="E227">
            <v>46192</v>
          </cell>
          <cell r="F227" t="str">
            <v>18ID</v>
          </cell>
          <cell r="G227" t="str">
            <v>E11</v>
          </cell>
        </row>
        <row r="228">
          <cell r="B228">
            <v>308650996750</v>
          </cell>
          <cell r="E228">
            <v>46191</v>
          </cell>
          <cell r="F228" t="str">
            <v>18ID</v>
          </cell>
          <cell r="G228" t="str">
            <v>E42</v>
          </cell>
        </row>
        <row r="229">
          <cell r="B229">
            <v>108351124120</v>
          </cell>
          <cell r="E229">
            <v>46191</v>
          </cell>
          <cell r="F229" t="str">
            <v>18ID</v>
          </cell>
          <cell r="G229" t="str">
            <v>E11</v>
          </cell>
        </row>
        <row r="230">
          <cell r="B230">
            <v>108351152340</v>
          </cell>
          <cell r="E230">
            <v>46191</v>
          </cell>
          <cell r="F230" t="str">
            <v>18ID</v>
          </cell>
          <cell r="G230" t="str">
            <v>E11</v>
          </cell>
        </row>
        <row r="231">
          <cell r="B231">
            <v>108351890730</v>
          </cell>
          <cell r="E231">
            <v>46191</v>
          </cell>
          <cell r="F231" t="str">
            <v>18ID</v>
          </cell>
          <cell r="G231" t="str">
            <v>E11</v>
          </cell>
        </row>
        <row r="232">
          <cell r="B232">
            <v>108352081350</v>
          </cell>
          <cell r="E232">
            <v>46191</v>
          </cell>
          <cell r="F232" t="str">
            <v>18ID</v>
          </cell>
          <cell r="G232" t="str">
            <v>E11</v>
          </cell>
        </row>
        <row r="233">
          <cell r="B233">
            <v>108352135620</v>
          </cell>
          <cell r="E233">
            <v>46191</v>
          </cell>
          <cell r="F233" t="str">
            <v>18ID</v>
          </cell>
          <cell r="G233" t="str">
            <v>E11</v>
          </cell>
        </row>
        <row r="234">
          <cell r="B234">
            <v>108353384050</v>
          </cell>
          <cell r="E234">
            <v>46191</v>
          </cell>
          <cell r="F234" t="str">
            <v>18ID</v>
          </cell>
          <cell r="G234" t="str">
            <v>E11</v>
          </cell>
        </row>
        <row r="235">
          <cell r="B235">
            <v>108353606800</v>
          </cell>
          <cell r="E235">
            <v>46191</v>
          </cell>
          <cell r="F235" t="str">
            <v>18ID</v>
          </cell>
          <cell r="G235" t="str">
            <v>E11</v>
          </cell>
        </row>
        <row r="236">
          <cell r="B236">
            <v>108353646110</v>
          </cell>
          <cell r="E236">
            <v>46191</v>
          </cell>
          <cell r="F236" t="str">
            <v>18ID</v>
          </cell>
          <cell r="G236" t="str">
            <v>E11</v>
          </cell>
        </row>
        <row r="237">
          <cell r="B237">
            <v>108353710510</v>
          </cell>
          <cell r="E237">
            <v>46191</v>
          </cell>
          <cell r="F237" t="str">
            <v>18ID</v>
          </cell>
          <cell r="G237" t="str">
            <v>E11</v>
          </cell>
        </row>
        <row r="238">
          <cell r="B238">
            <v>108353727160</v>
          </cell>
          <cell r="E238">
            <v>46191</v>
          </cell>
          <cell r="F238" t="str">
            <v>18ID</v>
          </cell>
          <cell r="G238" t="str">
            <v>E11</v>
          </cell>
        </row>
        <row r="239">
          <cell r="B239">
            <v>108354017550</v>
          </cell>
          <cell r="E239">
            <v>46191</v>
          </cell>
          <cell r="F239" t="str">
            <v>18ID</v>
          </cell>
          <cell r="G239" t="str">
            <v>E11</v>
          </cell>
        </row>
        <row r="240">
          <cell r="B240">
            <v>108354116360</v>
          </cell>
          <cell r="E240">
            <v>46191</v>
          </cell>
          <cell r="F240" t="str">
            <v>18ID</v>
          </cell>
          <cell r="G240" t="str">
            <v>E11</v>
          </cell>
        </row>
        <row r="241">
          <cell r="B241">
            <v>108354406900</v>
          </cell>
          <cell r="E241">
            <v>46191</v>
          </cell>
          <cell r="F241" t="str">
            <v>18ID</v>
          </cell>
          <cell r="G241" t="str">
            <v>E11</v>
          </cell>
        </row>
        <row r="242">
          <cell r="B242">
            <v>108354449450</v>
          </cell>
          <cell r="E242">
            <v>46191</v>
          </cell>
          <cell r="F242" t="str">
            <v>18ID</v>
          </cell>
          <cell r="G242" t="str">
            <v>E11</v>
          </cell>
        </row>
        <row r="243">
          <cell r="B243">
            <v>108354467100</v>
          </cell>
          <cell r="E243">
            <v>46191</v>
          </cell>
          <cell r="F243" t="str">
            <v>18ID</v>
          </cell>
          <cell r="G243" t="str">
            <v>E11</v>
          </cell>
        </row>
        <row r="244">
          <cell r="B244">
            <v>108354506410</v>
          </cell>
          <cell r="E244">
            <v>46191</v>
          </cell>
          <cell r="F244" t="str">
            <v>18ID</v>
          </cell>
          <cell r="G244" t="str">
            <v>E11</v>
          </cell>
        </row>
        <row r="245">
          <cell r="B245">
            <v>108354576740</v>
          </cell>
          <cell r="E245">
            <v>46191</v>
          </cell>
          <cell r="F245" t="str">
            <v>18ID</v>
          </cell>
          <cell r="G245" t="str">
            <v>E11</v>
          </cell>
        </row>
        <row r="246">
          <cell r="B246">
            <v>108353279530</v>
          </cell>
          <cell r="E246">
            <v>46191</v>
          </cell>
          <cell r="F246" t="str">
            <v>18ID</v>
          </cell>
          <cell r="G246" t="str">
            <v>E11</v>
          </cell>
        </row>
        <row r="247">
          <cell r="B247">
            <v>108354637530</v>
          </cell>
          <cell r="E247">
            <v>46191</v>
          </cell>
          <cell r="F247" t="str">
            <v>18ID</v>
          </cell>
          <cell r="G247" t="str">
            <v>E13</v>
          </cell>
        </row>
        <row r="248">
          <cell r="B248">
            <v>308630999520</v>
          </cell>
          <cell r="E248">
            <v>46190</v>
          </cell>
          <cell r="F248" t="str">
            <v>18ID</v>
          </cell>
          <cell r="G248" t="str">
            <v>E42</v>
          </cell>
        </row>
        <row r="249">
          <cell r="B249">
            <v>308645636851</v>
          </cell>
          <cell r="E249">
            <v>46190</v>
          </cell>
          <cell r="F249" t="str">
            <v>18ID</v>
          </cell>
          <cell r="G249" t="str">
            <v>G23</v>
          </cell>
        </row>
        <row r="250">
          <cell r="B250">
            <v>308645674061</v>
          </cell>
          <cell r="E250">
            <v>46190</v>
          </cell>
          <cell r="F250" t="str">
            <v>18ID</v>
          </cell>
          <cell r="G250" t="str">
            <v>G23</v>
          </cell>
        </row>
        <row r="251">
          <cell r="B251">
            <v>308645704751</v>
          </cell>
          <cell r="E251">
            <v>46190</v>
          </cell>
          <cell r="F251" t="str">
            <v>18ID</v>
          </cell>
          <cell r="G251" t="str">
            <v>G23</v>
          </cell>
        </row>
        <row r="252">
          <cell r="B252">
            <v>308647836250</v>
          </cell>
          <cell r="E252">
            <v>46190</v>
          </cell>
          <cell r="F252" t="str">
            <v>18ID</v>
          </cell>
          <cell r="G252" t="str">
            <v>E42</v>
          </cell>
        </row>
        <row r="253">
          <cell r="B253">
            <v>308649051120</v>
          </cell>
          <cell r="E253">
            <v>46190</v>
          </cell>
          <cell r="F253" t="str">
            <v>18ID</v>
          </cell>
          <cell r="G253" t="str">
            <v>E42</v>
          </cell>
        </row>
        <row r="254">
          <cell r="B254">
            <v>108347193620</v>
          </cell>
          <cell r="E254">
            <v>46190</v>
          </cell>
          <cell r="F254" t="str">
            <v>18ID</v>
          </cell>
          <cell r="G254" t="str">
            <v>E11</v>
          </cell>
        </row>
        <row r="255">
          <cell r="B255">
            <v>108347232820</v>
          </cell>
          <cell r="E255">
            <v>46190</v>
          </cell>
          <cell r="F255" t="str">
            <v>18ID</v>
          </cell>
          <cell r="G255" t="str">
            <v>E11</v>
          </cell>
        </row>
        <row r="256">
          <cell r="B256">
            <v>108347262660</v>
          </cell>
          <cell r="E256">
            <v>46190</v>
          </cell>
          <cell r="F256" t="str">
            <v>18ID</v>
          </cell>
          <cell r="G256" t="str">
            <v>E11</v>
          </cell>
        </row>
        <row r="257">
          <cell r="B257">
            <v>108347284400</v>
          </cell>
          <cell r="E257">
            <v>46190</v>
          </cell>
          <cell r="F257" t="str">
            <v>18ID</v>
          </cell>
          <cell r="G257" t="str">
            <v>E11</v>
          </cell>
        </row>
        <row r="258">
          <cell r="B258">
            <v>108347330710</v>
          </cell>
          <cell r="E258">
            <v>46190</v>
          </cell>
          <cell r="F258" t="str">
            <v>18ID</v>
          </cell>
          <cell r="G258" t="str">
            <v>E11</v>
          </cell>
        </row>
        <row r="259">
          <cell r="B259">
            <v>108347464040</v>
          </cell>
          <cell r="E259">
            <v>46190</v>
          </cell>
          <cell r="F259" t="str">
            <v>18ID</v>
          </cell>
          <cell r="G259" t="str">
            <v>E11</v>
          </cell>
        </row>
        <row r="260">
          <cell r="B260">
            <v>108347527960</v>
          </cell>
          <cell r="E260">
            <v>46190</v>
          </cell>
          <cell r="F260" t="str">
            <v>18ID</v>
          </cell>
          <cell r="G260" t="str">
            <v>E11</v>
          </cell>
        </row>
        <row r="261">
          <cell r="B261">
            <v>108347692830</v>
          </cell>
          <cell r="E261">
            <v>46190</v>
          </cell>
          <cell r="F261" t="str">
            <v>18ID</v>
          </cell>
          <cell r="G261" t="str">
            <v>E11</v>
          </cell>
        </row>
        <row r="262">
          <cell r="B262">
            <v>108347826200</v>
          </cell>
          <cell r="E262">
            <v>46190</v>
          </cell>
          <cell r="F262" t="str">
            <v>18ID</v>
          </cell>
          <cell r="G262" t="str">
            <v>E11</v>
          </cell>
        </row>
        <row r="263">
          <cell r="B263">
            <v>108348087150</v>
          </cell>
          <cell r="E263">
            <v>46190</v>
          </cell>
          <cell r="F263" t="str">
            <v>18ID</v>
          </cell>
          <cell r="G263" t="str">
            <v>E11</v>
          </cell>
        </row>
        <row r="264">
          <cell r="B264">
            <v>108348643800</v>
          </cell>
          <cell r="E264">
            <v>46190</v>
          </cell>
          <cell r="F264" t="str">
            <v>18ID</v>
          </cell>
          <cell r="G264" t="str">
            <v>E11</v>
          </cell>
        </row>
        <row r="265">
          <cell r="B265">
            <v>108348948520</v>
          </cell>
          <cell r="E265">
            <v>46190</v>
          </cell>
          <cell r="F265" t="str">
            <v>18ID</v>
          </cell>
          <cell r="G265" t="str">
            <v>E11</v>
          </cell>
        </row>
        <row r="266">
          <cell r="B266">
            <v>108350278850</v>
          </cell>
          <cell r="E266">
            <v>46190</v>
          </cell>
          <cell r="F266" t="str">
            <v>18ID</v>
          </cell>
          <cell r="G266" t="str">
            <v>E11</v>
          </cell>
        </row>
        <row r="267">
          <cell r="B267">
            <v>108350393100</v>
          </cell>
          <cell r="E267">
            <v>46190</v>
          </cell>
          <cell r="F267" t="str">
            <v>18ID</v>
          </cell>
          <cell r="G267" t="str">
            <v>E11</v>
          </cell>
        </row>
        <row r="268">
          <cell r="B268">
            <v>108347368950</v>
          </cell>
          <cell r="E268">
            <v>46190</v>
          </cell>
          <cell r="F268" t="str">
            <v>18ID</v>
          </cell>
          <cell r="G268" t="str">
            <v>E11</v>
          </cell>
        </row>
        <row r="269">
          <cell r="B269">
            <v>108347464960</v>
          </cell>
          <cell r="E269">
            <v>46190</v>
          </cell>
          <cell r="F269" t="str">
            <v>18ID</v>
          </cell>
          <cell r="G269" t="str">
            <v>E11</v>
          </cell>
        </row>
        <row r="270">
          <cell r="B270">
            <v>108348910610</v>
          </cell>
          <cell r="E270">
            <v>46190</v>
          </cell>
          <cell r="F270" t="str">
            <v>18ID</v>
          </cell>
          <cell r="G270" t="str">
            <v>E13</v>
          </cell>
        </row>
        <row r="271">
          <cell r="B271">
            <v>308642066741</v>
          </cell>
          <cell r="C271" t="str">
            <v>308642066740</v>
          </cell>
          <cell r="D271">
            <v>1</v>
          </cell>
          <cell r="E271">
            <v>46189</v>
          </cell>
          <cell r="F271" t="str">
            <v>18ID</v>
          </cell>
          <cell r="G271" t="str">
            <v>B13</v>
          </cell>
        </row>
        <row r="272">
          <cell r="B272">
            <v>308642068511</v>
          </cell>
          <cell r="C272" t="str">
            <v>308642066740</v>
          </cell>
          <cell r="D272">
            <v>2</v>
          </cell>
          <cell r="E272">
            <v>46189</v>
          </cell>
          <cell r="F272" t="str">
            <v>18ID</v>
          </cell>
          <cell r="G272" t="str">
            <v>B13</v>
          </cell>
        </row>
        <row r="273">
          <cell r="B273">
            <v>108345418310</v>
          </cell>
          <cell r="E273">
            <v>46189</v>
          </cell>
          <cell r="F273" t="str">
            <v>18ID</v>
          </cell>
          <cell r="G273" t="str">
            <v>E11</v>
          </cell>
        </row>
        <row r="274">
          <cell r="B274">
            <v>108345444540</v>
          </cell>
          <cell r="E274">
            <v>46189</v>
          </cell>
          <cell r="F274" t="str">
            <v>18ID</v>
          </cell>
          <cell r="G274" t="str">
            <v>E11</v>
          </cell>
        </row>
        <row r="275">
          <cell r="B275">
            <v>108345473830</v>
          </cell>
          <cell r="E275">
            <v>46189</v>
          </cell>
          <cell r="F275" t="str">
            <v>18ID</v>
          </cell>
          <cell r="G275" t="str">
            <v>E11</v>
          </cell>
        </row>
        <row r="276">
          <cell r="B276">
            <v>108345545120</v>
          </cell>
          <cell r="E276">
            <v>46189</v>
          </cell>
          <cell r="F276" t="str">
            <v>18ID</v>
          </cell>
          <cell r="G276" t="str">
            <v>E11</v>
          </cell>
        </row>
        <row r="277">
          <cell r="B277">
            <v>108345740640</v>
          </cell>
          <cell r="E277">
            <v>46189</v>
          </cell>
          <cell r="F277" t="str">
            <v>18ID</v>
          </cell>
          <cell r="G277" t="str">
            <v>E11</v>
          </cell>
        </row>
        <row r="278">
          <cell r="B278">
            <v>108345853010</v>
          </cell>
          <cell r="E278">
            <v>46189</v>
          </cell>
          <cell r="F278" t="str">
            <v>18ID</v>
          </cell>
          <cell r="G278" t="str">
            <v>E11</v>
          </cell>
        </row>
        <row r="279">
          <cell r="B279">
            <v>108345925000</v>
          </cell>
          <cell r="E279">
            <v>46189</v>
          </cell>
          <cell r="F279" t="str">
            <v>18ID</v>
          </cell>
          <cell r="G279" t="str">
            <v>E11</v>
          </cell>
        </row>
        <row r="280">
          <cell r="B280">
            <v>108346022410</v>
          </cell>
          <cell r="E280">
            <v>46189</v>
          </cell>
          <cell r="F280" t="str">
            <v>18ID</v>
          </cell>
          <cell r="G280" t="str">
            <v>E11</v>
          </cell>
        </row>
        <row r="281">
          <cell r="B281">
            <v>108346169410</v>
          </cell>
          <cell r="E281">
            <v>46189</v>
          </cell>
          <cell r="F281" t="str">
            <v>18ID</v>
          </cell>
          <cell r="G281" t="str">
            <v>E11</v>
          </cell>
        </row>
        <row r="282">
          <cell r="B282">
            <v>108346337850</v>
          </cell>
          <cell r="E282">
            <v>46189</v>
          </cell>
          <cell r="F282" t="str">
            <v>18ID</v>
          </cell>
          <cell r="G282" t="str">
            <v>E11</v>
          </cell>
        </row>
        <row r="283">
          <cell r="B283">
            <v>108346382100</v>
          </cell>
          <cell r="E283">
            <v>46189</v>
          </cell>
          <cell r="F283" t="str">
            <v>18ID</v>
          </cell>
          <cell r="G283" t="str">
            <v>E11</v>
          </cell>
        </row>
        <row r="284">
          <cell r="B284">
            <v>108346387920</v>
          </cell>
          <cell r="E284">
            <v>46189</v>
          </cell>
          <cell r="F284" t="str">
            <v>18ID</v>
          </cell>
          <cell r="G284" t="str">
            <v>E11</v>
          </cell>
        </row>
        <row r="285">
          <cell r="B285">
            <v>108346409400</v>
          </cell>
          <cell r="E285">
            <v>46189</v>
          </cell>
          <cell r="F285" t="str">
            <v>18ID</v>
          </cell>
          <cell r="G285" t="str">
            <v>E11</v>
          </cell>
        </row>
        <row r="286">
          <cell r="B286">
            <v>108346449260</v>
          </cell>
          <cell r="E286">
            <v>46189</v>
          </cell>
          <cell r="F286" t="str">
            <v>18ID</v>
          </cell>
          <cell r="G286" t="str">
            <v>E11</v>
          </cell>
        </row>
        <row r="287">
          <cell r="B287">
            <v>108346594860</v>
          </cell>
          <cell r="E287">
            <v>46189</v>
          </cell>
          <cell r="F287" t="str">
            <v>18ID</v>
          </cell>
          <cell r="G287" t="str">
            <v>E11</v>
          </cell>
        </row>
        <row r="288">
          <cell r="B288">
            <v>108346599210</v>
          </cell>
          <cell r="E288">
            <v>46189</v>
          </cell>
          <cell r="F288" t="str">
            <v>18ID</v>
          </cell>
          <cell r="G288" t="str">
            <v>E11</v>
          </cell>
        </row>
        <row r="289">
          <cell r="B289">
            <v>108346603850</v>
          </cell>
          <cell r="E289">
            <v>46189</v>
          </cell>
          <cell r="F289" t="str">
            <v>18ID</v>
          </cell>
          <cell r="G289" t="str">
            <v>E11</v>
          </cell>
        </row>
        <row r="290">
          <cell r="B290">
            <v>108346672600</v>
          </cell>
          <cell r="E290">
            <v>46189</v>
          </cell>
          <cell r="F290" t="str">
            <v>18ID</v>
          </cell>
          <cell r="G290" t="str">
            <v>E11</v>
          </cell>
        </row>
        <row r="291">
          <cell r="B291">
            <v>108346686340</v>
          </cell>
          <cell r="E291">
            <v>46189</v>
          </cell>
          <cell r="F291" t="str">
            <v>18ID</v>
          </cell>
          <cell r="G291" t="str">
            <v>E11</v>
          </cell>
        </row>
        <row r="292">
          <cell r="B292">
            <v>108346716000</v>
          </cell>
          <cell r="E292">
            <v>46189</v>
          </cell>
          <cell r="F292" t="str">
            <v>18ID</v>
          </cell>
          <cell r="G292" t="str">
            <v>E11</v>
          </cell>
        </row>
        <row r="293">
          <cell r="B293">
            <v>108345604730</v>
          </cell>
          <cell r="E293">
            <v>46189</v>
          </cell>
          <cell r="F293" t="str">
            <v>18ID</v>
          </cell>
          <cell r="G293" t="str">
            <v>E11</v>
          </cell>
        </row>
        <row r="294">
          <cell r="B294">
            <v>108346245120</v>
          </cell>
          <cell r="E294">
            <v>46189</v>
          </cell>
          <cell r="F294" t="str">
            <v>18ID</v>
          </cell>
          <cell r="G294" t="str">
            <v>E11</v>
          </cell>
        </row>
        <row r="295">
          <cell r="B295">
            <v>108338873050</v>
          </cell>
          <cell r="E295">
            <v>46188</v>
          </cell>
          <cell r="F295" t="str">
            <v>18ID</v>
          </cell>
          <cell r="G295" t="str">
            <v>E11</v>
          </cell>
        </row>
        <row r="296">
          <cell r="B296">
            <v>308638133920</v>
          </cell>
          <cell r="E296">
            <v>46188</v>
          </cell>
          <cell r="F296" t="str">
            <v>18ID</v>
          </cell>
          <cell r="G296" t="str">
            <v>E42</v>
          </cell>
        </row>
        <row r="297">
          <cell r="B297">
            <v>308640410060</v>
          </cell>
          <cell r="C297" t="str">
            <v/>
          </cell>
          <cell r="E297">
            <v>46188</v>
          </cell>
          <cell r="F297" t="str">
            <v>18ID</v>
          </cell>
          <cell r="G297" t="str">
            <v>G23</v>
          </cell>
        </row>
        <row r="298">
          <cell r="B298">
            <v>308640562920</v>
          </cell>
          <cell r="C298" t="str">
            <v/>
          </cell>
          <cell r="E298">
            <v>46188</v>
          </cell>
          <cell r="F298" t="str">
            <v>18ID</v>
          </cell>
          <cell r="G298" t="str">
            <v>G23</v>
          </cell>
        </row>
        <row r="299">
          <cell r="B299">
            <v>308640604920</v>
          </cell>
          <cell r="C299" t="str">
            <v/>
          </cell>
          <cell r="E299">
            <v>46188</v>
          </cell>
          <cell r="F299" t="str">
            <v>18ID</v>
          </cell>
          <cell r="G299" t="str">
            <v>G23</v>
          </cell>
        </row>
        <row r="300">
          <cell r="B300">
            <v>308640642350</v>
          </cell>
          <cell r="C300" t="str">
            <v/>
          </cell>
          <cell r="E300">
            <v>46188</v>
          </cell>
          <cell r="F300" t="str">
            <v>18ID</v>
          </cell>
          <cell r="G300" t="str">
            <v>G23</v>
          </cell>
        </row>
        <row r="301">
          <cell r="B301">
            <v>308640980010</v>
          </cell>
          <cell r="C301" t="str">
            <v/>
          </cell>
          <cell r="E301">
            <v>46188</v>
          </cell>
          <cell r="F301" t="str">
            <v>18ID</v>
          </cell>
          <cell r="G301" t="str">
            <v>G23</v>
          </cell>
        </row>
        <row r="302">
          <cell r="B302">
            <v>308640745030</v>
          </cell>
          <cell r="E302">
            <v>46188</v>
          </cell>
          <cell r="F302" t="str">
            <v>18ID</v>
          </cell>
          <cell r="G302" t="str">
            <v>E42</v>
          </cell>
        </row>
        <row r="303">
          <cell r="B303">
            <v>308641006130</v>
          </cell>
          <cell r="C303" t="str">
            <v/>
          </cell>
          <cell r="E303">
            <v>46188</v>
          </cell>
          <cell r="F303" t="str">
            <v>18ID</v>
          </cell>
          <cell r="G303" t="str">
            <v>G23</v>
          </cell>
        </row>
        <row r="304">
          <cell r="B304">
            <v>108339222830</v>
          </cell>
          <cell r="E304">
            <v>46188</v>
          </cell>
          <cell r="F304" t="str">
            <v>18ID</v>
          </cell>
          <cell r="G304" t="str">
            <v>E11</v>
          </cell>
        </row>
        <row r="305">
          <cell r="B305">
            <v>108339296000</v>
          </cell>
          <cell r="E305">
            <v>46188</v>
          </cell>
          <cell r="F305" t="str">
            <v>18ID</v>
          </cell>
          <cell r="G305" t="str">
            <v>E11</v>
          </cell>
        </row>
        <row r="306">
          <cell r="B306">
            <v>108339340910</v>
          </cell>
          <cell r="E306">
            <v>46188</v>
          </cell>
          <cell r="F306" t="str">
            <v>18ID</v>
          </cell>
          <cell r="G306" t="str">
            <v>E11</v>
          </cell>
        </row>
        <row r="307">
          <cell r="B307">
            <v>108339385230</v>
          </cell>
          <cell r="E307">
            <v>46188</v>
          </cell>
          <cell r="F307" t="str">
            <v>18ID</v>
          </cell>
          <cell r="G307" t="str">
            <v>E11</v>
          </cell>
        </row>
        <row r="308">
          <cell r="B308">
            <v>108339409030</v>
          </cell>
          <cell r="E308">
            <v>46188</v>
          </cell>
          <cell r="F308" t="str">
            <v>18ID</v>
          </cell>
          <cell r="G308" t="str">
            <v>E11</v>
          </cell>
        </row>
        <row r="309">
          <cell r="B309">
            <v>108339453020</v>
          </cell>
          <cell r="E309">
            <v>46188</v>
          </cell>
          <cell r="F309" t="str">
            <v>18ID</v>
          </cell>
          <cell r="G309" t="str">
            <v>E11</v>
          </cell>
        </row>
        <row r="310">
          <cell r="B310">
            <v>108339559900</v>
          </cell>
          <cell r="E310">
            <v>46188</v>
          </cell>
          <cell r="F310" t="str">
            <v>18ID</v>
          </cell>
          <cell r="G310" t="str">
            <v>E11</v>
          </cell>
        </row>
        <row r="311">
          <cell r="B311">
            <v>108339731840</v>
          </cell>
          <cell r="E311">
            <v>46188</v>
          </cell>
          <cell r="F311" t="str">
            <v>18ID</v>
          </cell>
          <cell r="G311" t="str">
            <v>E11</v>
          </cell>
        </row>
        <row r="312">
          <cell r="B312">
            <v>108339953410</v>
          </cell>
          <cell r="E312">
            <v>46188</v>
          </cell>
          <cell r="F312" t="str">
            <v>18ID</v>
          </cell>
          <cell r="G312" t="str">
            <v>E11</v>
          </cell>
        </row>
        <row r="313">
          <cell r="B313">
            <v>108340102250</v>
          </cell>
          <cell r="E313">
            <v>46188</v>
          </cell>
          <cell r="F313" t="str">
            <v>18ID</v>
          </cell>
          <cell r="G313" t="str">
            <v>E11</v>
          </cell>
        </row>
        <row r="314">
          <cell r="B314">
            <v>108340140860</v>
          </cell>
          <cell r="E314">
            <v>46188</v>
          </cell>
          <cell r="F314" t="str">
            <v>18ID</v>
          </cell>
          <cell r="G314" t="str">
            <v>E11</v>
          </cell>
        </row>
        <row r="315">
          <cell r="B315">
            <v>108340198150</v>
          </cell>
          <cell r="E315">
            <v>46188</v>
          </cell>
          <cell r="F315" t="str">
            <v>18ID</v>
          </cell>
          <cell r="G315" t="str">
            <v>E11</v>
          </cell>
        </row>
        <row r="316">
          <cell r="B316">
            <v>108340219410</v>
          </cell>
          <cell r="E316">
            <v>46188</v>
          </cell>
          <cell r="F316" t="str">
            <v>18ID</v>
          </cell>
          <cell r="G316" t="str">
            <v>E11</v>
          </cell>
        </row>
        <row r="317">
          <cell r="B317">
            <v>108340281450</v>
          </cell>
          <cell r="E317">
            <v>46188</v>
          </cell>
          <cell r="F317" t="str">
            <v>18ID</v>
          </cell>
          <cell r="G317" t="str">
            <v>E11</v>
          </cell>
        </row>
        <row r="318">
          <cell r="B318">
            <v>108340283700</v>
          </cell>
          <cell r="E318">
            <v>46188</v>
          </cell>
          <cell r="F318" t="str">
            <v>18ID</v>
          </cell>
          <cell r="G318" t="str">
            <v>E11</v>
          </cell>
        </row>
        <row r="319">
          <cell r="B319">
            <v>108340296260</v>
          </cell>
          <cell r="E319">
            <v>46188</v>
          </cell>
          <cell r="F319" t="str">
            <v>18ID</v>
          </cell>
          <cell r="G319" t="str">
            <v>E11</v>
          </cell>
        </row>
        <row r="320">
          <cell r="B320">
            <v>108340381700</v>
          </cell>
          <cell r="E320">
            <v>46188</v>
          </cell>
          <cell r="F320" t="str">
            <v>18ID</v>
          </cell>
          <cell r="G320" t="str">
            <v>E11</v>
          </cell>
        </row>
        <row r="321">
          <cell r="B321">
            <v>108340395810</v>
          </cell>
          <cell r="E321">
            <v>46188</v>
          </cell>
          <cell r="F321" t="str">
            <v>18ID</v>
          </cell>
          <cell r="G321" t="str">
            <v>E11</v>
          </cell>
        </row>
        <row r="322">
          <cell r="B322">
            <v>108340450300</v>
          </cell>
          <cell r="E322">
            <v>46188</v>
          </cell>
          <cell r="F322" t="str">
            <v>18ID</v>
          </cell>
          <cell r="G322" t="str">
            <v>E11</v>
          </cell>
        </row>
        <row r="323">
          <cell r="B323">
            <v>108340529400</v>
          </cell>
          <cell r="E323">
            <v>46188</v>
          </cell>
          <cell r="F323" t="str">
            <v>18ID</v>
          </cell>
          <cell r="G323" t="str">
            <v>E11</v>
          </cell>
        </row>
        <row r="324">
          <cell r="B324">
            <v>108340559610</v>
          </cell>
          <cell r="E324">
            <v>46188</v>
          </cell>
          <cell r="F324" t="str">
            <v>18ID</v>
          </cell>
          <cell r="G324" t="str">
            <v>E11</v>
          </cell>
        </row>
        <row r="325">
          <cell r="B325">
            <v>108340581640</v>
          </cell>
          <cell r="E325">
            <v>46188</v>
          </cell>
          <cell r="F325" t="str">
            <v>18ID</v>
          </cell>
          <cell r="G325" t="str">
            <v>E11</v>
          </cell>
        </row>
        <row r="326">
          <cell r="B326">
            <v>108340623160</v>
          </cell>
          <cell r="E326">
            <v>46188</v>
          </cell>
          <cell r="F326" t="str">
            <v>18ID</v>
          </cell>
          <cell r="G326" t="str">
            <v>E11</v>
          </cell>
        </row>
        <row r="327">
          <cell r="B327">
            <v>108340671460</v>
          </cell>
          <cell r="E327">
            <v>46188</v>
          </cell>
          <cell r="F327" t="str">
            <v>18ID</v>
          </cell>
          <cell r="G327" t="str">
            <v>E11</v>
          </cell>
        </row>
        <row r="328">
          <cell r="B328">
            <v>108340860020</v>
          </cell>
          <cell r="E328">
            <v>46188</v>
          </cell>
          <cell r="F328" t="str">
            <v>18ID</v>
          </cell>
          <cell r="G328" t="str">
            <v>E11</v>
          </cell>
        </row>
        <row r="329">
          <cell r="B329">
            <v>108340876340</v>
          </cell>
          <cell r="E329">
            <v>46188</v>
          </cell>
          <cell r="F329" t="str">
            <v>18ID</v>
          </cell>
          <cell r="G329" t="str">
            <v>E11</v>
          </cell>
        </row>
        <row r="330">
          <cell r="B330">
            <v>108340894430</v>
          </cell>
          <cell r="E330">
            <v>46188</v>
          </cell>
          <cell r="F330" t="str">
            <v>18ID</v>
          </cell>
          <cell r="G330" t="str">
            <v>E11</v>
          </cell>
        </row>
        <row r="331">
          <cell r="B331">
            <v>108340898740</v>
          </cell>
          <cell r="E331">
            <v>46188</v>
          </cell>
          <cell r="F331" t="str">
            <v>18ID</v>
          </cell>
          <cell r="G331" t="str">
            <v>E11</v>
          </cell>
        </row>
        <row r="332">
          <cell r="B332">
            <v>108340935730</v>
          </cell>
          <cell r="E332">
            <v>46188</v>
          </cell>
          <cell r="F332" t="str">
            <v>18ID</v>
          </cell>
          <cell r="G332" t="str">
            <v>E11</v>
          </cell>
        </row>
        <row r="333">
          <cell r="B333">
            <v>108340988930</v>
          </cell>
          <cell r="E333">
            <v>46188</v>
          </cell>
          <cell r="F333" t="str">
            <v>18ID</v>
          </cell>
          <cell r="G333" t="str">
            <v>E11</v>
          </cell>
        </row>
        <row r="334">
          <cell r="B334">
            <v>108341028500</v>
          </cell>
          <cell r="E334">
            <v>46188</v>
          </cell>
          <cell r="F334" t="str">
            <v>18ID</v>
          </cell>
          <cell r="G334" t="str">
            <v>E11</v>
          </cell>
        </row>
        <row r="335">
          <cell r="B335">
            <v>108341123660</v>
          </cell>
          <cell r="E335">
            <v>46188</v>
          </cell>
          <cell r="F335" t="str">
            <v>18ID</v>
          </cell>
          <cell r="G335" t="str">
            <v>E11</v>
          </cell>
        </row>
        <row r="336">
          <cell r="B336">
            <v>108341209430</v>
          </cell>
          <cell r="E336">
            <v>46188</v>
          </cell>
          <cell r="F336" t="str">
            <v>18ID</v>
          </cell>
          <cell r="G336" t="str">
            <v>E11</v>
          </cell>
        </row>
        <row r="337">
          <cell r="B337">
            <v>108341304260</v>
          </cell>
          <cell r="E337">
            <v>46188</v>
          </cell>
          <cell r="F337" t="str">
            <v>18ID</v>
          </cell>
          <cell r="G337" t="str">
            <v>E11</v>
          </cell>
        </row>
        <row r="338">
          <cell r="B338">
            <v>108341322460</v>
          </cell>
          <cell r="E338">
            <v>46188</v>
          </cell>
          <cell r="F338" t="str">
            <v>18ID</v>
          </cell>
          <cell r="G338" t="str">
            <v>E11</v>
          </cell>
        </row>
        <row r="339">
          <cell r="B339">
            <v>108341362030</v>
          </cell>
          <cell r="E339">
            <v>46188</v>
          </cell>
          <cell r="F339" t="str">
            <v>18ID</v>
          </cell>
          <cell r="G339" t="str">
            <v>E11</v>
          </cell>
        </row>
        <row r="340">
          <cell r="B340">
            <v>108341409520</v>
          </cell>
          <cell r="E340">
            <v>46188</v>
          </cell>
          <cell r="F340" t="str">
            <v>18ID</v>
          </cell>
          <cell r="G340" t="str">
            <v>E11</v>
          </cell>
        </row>
        <row r="341">
          <cell r="B341">
            <v>108341436120</v>
          </cell>
          <cell r="E341">
            <v>46188</v>
          </cell>
          <cell r="F341" t="str">
            <v>18ID</v>
          </cell>
          <cell r="G341" t="str">
            <v>E11</v>
          </cell>
        </row>
        <row r="342">
          <cell r="B342">
            <v>108341440430</v>
          </cell>
          <cell r="E342">
            <v>46188</v>
          </cell>
          <cell r="F342" t="str">
            <v>18ID</v>
          </cell>
          <cell r="G342" t="str">
            <v>E11</v>
          </cell>
        </row>
        <row r="343">
          <cell r="B343">
            <v>108341460950</v>
          </cell>
          <cell r="E343">
            <v>46188</v>
          </cell>
          <cell r="F343" t="str">
            <v>18ID</v>
          </cell>
          <cell r="G343" t="str">
            <v>E11</v>
          </cell>
        </row>
        <row r="344">
          <cell r="B344">
            <v>108341483350</v>
          </cell>
          <cell r="E344">
            <v>46188</v>
          </cell>
          <cell r="F344" t="str">
            <v>18ID</v>
          </cell>
          <cell r="G344" t="str">
            <v>E11</v>
          </cell>
        </row>
        <row r="345">
          <cell r="B345">
            <v>108341501920</v>
          </cell>
          <cell r="E345">
            <v>46188</v>
          </cell>
          <cell r="F345" t="str">
            <v>18ID</v>
          </cell>
          <cell r="G345" t="str">
            <v>E11</v>
          </cell>
        </row>
        <row r="346">
          <cell r="B346">
            <v>108341554200</v>
          </cell>
          <cell r="E346">
            <v>46188</v>
          </cell>
          <cell r="F346" t="str">
            <v>18ID</v>
          </cell>
          <cell r="G346" t="str">
            <v>E11</v>
          </cell>
        </row>
        <row r="347">
          <cell r="B347">
            <v>108341656030</v>
          </cell>
          <cell r="E347">
            <v>46188</v>
          </cell>
          <cell r="F347" t="str">
            <v>18ID</v>
          </cell>
          <cell r="G347" t="str">
            <v>E11</v>
          </cell>
        </row>
        <row r="348">
          <cell r="B348">
            <v>108341715750</v>
          </cell>
          <cell r="E348">
            <v>46188</v>
          </cell>
          <cell r="F348" t="str">
            <v>18ID</v>
          </cell>
          <cell r="G348" t="str">
            <v>E11</v>
          </cell>
        </row>
        <row r="349">
          <cell r="B349">
            <v>108341735500</v>
          </cell>
          <cell r="E349">
            <v>46188</v>
          </cell>
          <cell r="F349" t="str">
            <v>18ID</v>
          </cell>
          <cell r="G349" t="str">
            <v>E11</v>
          </cell>
        </row>
        <row r="350">
          <cell r="B350">
            <v>108341855530</v>
          </cell>
          <cell r="E350">
            <v>46188</v>
          </cell>
          <cell r="F350" t="str">
            <v>18ID</v>
          </cell>
          <cell r="G350" t="str">
            <v>E11</v>
          </cell>
        </row>
        <row r="351">
          <cell r="B351">
            <v>108341863010</v>
          </cell>
          <cell r="E351">
            <v>46188</v>
          </cell>
          <cell r="F351" t="str">
            <v>18ID</v>
          </cell>
          <cell r="G351" t="str">
            <v>E11</v>
          </cell>
        </row>
        <row r="352">
          <cell r="B352">
            <v>108342079050</v>
          </cell>
          <cell r="E352">
            <v>46188</v>
          </cell>
          <cell r="F352" t="str">
            <v>18ID</v>
          </cell>
          <cell r="G352" t="str">
            <v>E11</v>
          </cell>
        </row>
        <row r="353">
          <cell r="B353">
            <v>108342167140</v>
          </cell>
          <cell r="E353">
            <v>46188</v>
          </cell>
          <cell r="F353" t="str">
            <v>18ID</v>
          </cell>
          <cell r="G353" t="str">
            <v>E11</v>
          </cell>
        </row>
        <row r="354">
          <cell r="B354">
            <v>108342345200</v>
          </cell>
          <cell r="E354">
            <v>46188</v>
          </cell>
          <cell r="F354" t="str">
            <v>18ID</v>
          </cell>
          <cell r="G354" t="str">
            <v>E11</v>
          </cell>
        </row>
        <row r="355">
          <cell r="B355">
            <v>108342448060</v>
          </cell>
          <cell r="E355">
            <v>46188</v>
          </cell>
          <cell r="F355" t="str">
            <v>18ID</v>
          </cell>
          <cell r="G355" t="str">
            <v>E11</v>
          </cell>
        </row>
        <row r="356">
          <cell r="B356">
            <v>108342595800</v>
          </cell>
          <cell r="E356">
            <v>46188</v>
          </cell>
          <cell r="F356" t="str">
            <v>18ID</v>
          </cell>
          <cell r="G356" t="str">
            <v>E11</v>
          </cell>
        </row>
        <row r="357">
          <cell r="B357">
            <v>108342708020</v>
          </cell>
          <cell r="C357" t="str">
            <v>108342708020</v>
          </cell>
          <cell r="D357">
            <v>1</v>
          </cell>
          <cell r="E357">
            <v>46188</v>
          </cell>
          <cell r="F357" t="str">
            <v>18ID</v>
          </cell>
          <cell r="G357" t="str">
            <v>E11</v>
          </cell>
        </row>
        <row r="358">
          <cell r="B358">
            <v>108342721760</v>
          </cell>
          <cell r="C358" t="str">
            <v>108342708020</v>
          </cell>
          <cell r="D358">
            <v>2</v>
          </cell>
          <cell r="E358">
            <v>46188</v>
          </cell>
          <cell r="F358" t="str">
            <v>18ID</v>
          </cell>
          <cell r="G358" t="str">
            <v>E11</v>
          </cell>
        </row>
        <row r="359">
          <cell r="B359">
            <v>108342834830</v>
          </cell>
          <cell r="E359">
            <v>46188</v>
          </cell>
          <cell r="F359" t="str">
            <v>18ID</v>
          </cell>
          <cell r="G359" t="str">
            <v>E11</v>
          </cell>
        </row>
        <row r="360">
          <cell r="B360">
            <v>108340027350</v>
          </cell>
          <cell r="E360">
            <v>46188</v>
          </cell>
          <cell r="F360" t="str">
            <v>18ID</v>
          </cell>
          <cell r="G360" t="str">
            <v>E11</v>
          </cell>
        </row>
        <row r="361">
          <cell r="B361">
            <v>108341532720</v>
          </cell>
          <cell r="E361">
            <v>46188</v>
          </cell>
          <cell r="F361" t="str">
            <v>18ID</v>
          </cell>
          <cell r="G361" t="str">
            <v>E11</v>
          </cell>
        </row>
        <row r="362">
          <cell r="B362">
            <v>108342281240</v>
          </cell>
          <cell r="E362">
            <v>46188</v>
          </cell>
          <cell r="F362" t="str">
            <v>18ID</v>
          </cell>
          <cell r="G362" t="str">
            <v>E11</v>
          </cell>
        </row>
        <row r="363">
          <cell r="B363">
            <v>108337086210</v>
          </cell>
          <cell r="E363">
            <v>46186</v>
          </cell>
          <cell r="F363" t="str">
            <v>18ID</v>
          </cell>
          <cell r="G363" t="str">
            <v>E11</v>
          </cell>
        </row>
        <row r="364">
          <cell r="B364">
            <v>108337154440</v>
          </cell>
          <cell r="E364">
            <v>46186</v>
          </cell>
          <cell r="F364" t="str">
            <v>18ID</v>
          </cell>
          <cell r="G364" t="str">
            <v>E11</v>
          </cell>
        </row>
        <row r="365">
          <cell r="B365">
            <v>108337266920</v>
          </cell>
          <cell r="E365">
            <v>46186</v>
          </cell>
          <cell r="F365" t="str">
            <v>18ID</v>
          </cell>
          <cell r="G365" t="str">
            <v>E11</v>
          </cell>
        </row>
        <row r="366">
          <cell r="B366">
            <v>108337437350</v>
          </cell>
          <cell r="E366">
            <v>46186</v>
          </cell>
          <cell r="F366" t="str">
            <v>18ID</v>
          </cell>
          <cell r="G366" t="str">
            <v>E13</v>
          </cell>
        </row>
        <row r="367">
          <cell r="B367">
            <v>308629080711</v>
          </cell>
          <cell r="E367">
            <v>46185</v>
          </cell>
          <cell r="F367" t="str">
            <v>18ID</v>
          </cell>
          <cell r="G367" t="str">
            <v>B13</v>
          </cell>
        </row>
        <row r="368">
          <cell r="B368">
            <v>308630546030</v>
          </cell>
          <cell r="E368">
            <v>46185</v>
          </cell>
          <cell r="F368" t="str">
            <v>18ID</v>
          </cell>
          <cell r="G368" t="str">
            <v>E42</v>
          </cell>
        </row>
        <row r="369">
          <cell r="B369">
            <v>308630813650</v>
          </cell>
          <cell r="E369">
            <v>46185</v>
          </cell>
          <cell r="F369" t="str">
            <v>18ID</v>
          </cell>
          <cell r="G369" t="str">
            <v>E42</v>
          </cell>
        </row>
        <row r="370">
          <cell r="B370">
            <v>308630868030</v>
          </cell>
          <cell r="E370">
            <v>46185</v>
          </cell>
          <cell r="F370" t="str">
            <v>18ID</v>
          </cell>
          <cell r="G370" t="str">
            <v>E42</v>
          </cell>
        </row>
        <row r="371">
          <cell r="B371">
            <v>308630914230</v>
          </cell>
          <cell r="E371">
            <v>46185</v>
          </cell>
          <cell r="F371" t="str">
            <v>18ID</v>
          </cell>
          <cell r="G371" t="str">
            <v>E42</v>
          </cell>
        </row>
        <row r="372">
          <cell r="B372">
            <v>308631536200</v>
          </cell>
          <cell r="E372">
            <v>46185</v>
          </cell>
          <cell r="F372" t="str">
            <v>18ID</v>
          </cell>
          <cell r="G372" t="str">
            <v>E42</v>
          </cell>
        </row>
        <row r="373">
          <cell r="B373">
            <v>308631577350</v>
          </cell>
          <cell r="E373">
            <v>46185</v>
          </cell>
          <cell r="F373" t="str">
            <v>18ID</v>
          </cell>
          <cell r="G373" t="str">
            <v>E42</v>
          </cell>
        </row>
        <row r="374">
          <cell r="B374">
            <v>308631632910</v>
          </cell>
          <cell r="E374">
            <v>46185</v>
          </cell>
          <cell r="F374" t="str">
            <v>18ID</v>
          </cell>
          <cell r="G374" t="str">
            <v>E42</v>
          </cell>
        </row>
        <row r="375">
          <cell r="B375">
            <v>108333073810</v>
          </cell>
          <cell r="E375">
            <v>46185</v>
          </cell>
          <cell r="F375" t="str">
            <v>18ID</v>
          </cell>
          <cell r="G375" t="str">
            <v>E11</v>
          </cell>
        </row>
        <row r="376">
          <cell r="B376">
            <v>108333091200</v>
          </cell>
          <cell r="E376">
            <v>46185</v>
          </cell>
          <cell r="F376" t="str">
            <v>18ID</v>
          </cell>
          <cell r="G376" t="str">
            <v>E11</v>
          </cell>
        </row>
        <row r="377">
          <cell r="B377">
            <v>108333096540</v>
          </cell>
          <cell r="E377">
            <v>46185</v>
          </cell>
          <cell r="F377" t="str">
            <v>18ID</v>
          </cell>
          <cell r="G377" t="str">
            <v>E11</v>
          </cell>
        </row>
        <row r="378">
          <cell r="B378">
            <v>108333169930</v>
          </cell>
          <cell r="E378">
            <v>46185</v>
          </cell>
          <cell r="F378" t="str">
            <v>18ID</v>
          </cell>
          <cell r="G378" t="str">
            <v>E11</v>
          </cell>
        </row>
        <row r="379">
          <cell r="B379">
            <v>108333186030</v>
          </cell>
          <cell r="E379">
            <v>46185</v>
          </cell>
          <cell r="F379" t="str">
            <v>18ID</v>
          </cell>
          <cell r="G379" t="str">
            <v>E11</v>
          </cell>
        </row>
        <row r="380">
          <cell r="B380">
            <v>108333236910</v>
          </cell>
          <cell r="E380">
            <v>46185</v>
          </cell>
          <cell r="F380" t="str">
            <v>18ID</v>
          </cell>
          <cell r="G380" t="str">
            <v>E11</v>
          </cell>
        </row>
        <row r="381">
          <cell r="B381">
            <v>108333277950</v>
          </cell>
          <cell r="E381">
            <v>46185</v>
          </cell>
          <cell r="F381" t="str">
            <v>18ID</v>
          </cell>
          <cell r="G381" t="str">
            <v>E11</v>
          </cell>
        </row>
        <row r="382">
          <cell r="B382">
            <v>108333314020</v>
          </cell>
          <cell r="E382">
            <v>46185</v>
          </cell>
          <cell r="F382" t="str">
            <v>18ID</v>
          </cell>
          <cell r="G382" t="str">
            <v>E11</v>
          </cell>
        </row>
        <row r="383">
          <cell r="B383">
            <v>108333327760</v>
          </cell>
          <cell r="E383">
            <v>46185</v>
          </cell>
          <cell r="F383" t="str">
            <v>18ID</v>
          </cell>
          <cell r="G383" t="str">
            <v>E11</v>
          </cell>
        </row>
        <row r="384">
          <cell r="B384">
            <v>108333570920</v>
          </cell>
          <cell r="E384">
            <v>46185</v>
          </cell>
          <cell r="F384" t="str">
            <v>18ID</v>
          </cell>
          <cell r="G384" t="str">
            <v>E11</v>
          </cell>
        </row>
        <row r="385">
          <cell r="B385">
            <v>108334312920</v>
          </cell>
          <cell r="E385">
            <v>46185</v>
          </cell>
          <cell r="F385" t="str">
            <v>18ID</v>
          </cell>
          <cell r="G385" t="str">
            <v>E15</v>
          </cell>
        </row>
        <row r="386">
          <cell r="B386">
            <v>108334489910</v>
          </cell>
          <cell r="E386">
            <v>46185</v>
          </cell>
          <cell r="F386" t="str">
            <v>18ID</v>
          </cell>
          <cell r="G386" t="str">
            <v>E11</v>
          </cell>
        </row>
        <row r="387">
          <cell r="B387">
            <v>108334959020</v>
          </cell>
          <cell r="E387">
            <v>46185</v>
          </cell>
          <cell r="F387" t="str">
            <v>18ID</v>
          </cell>
          <cell r="G387" t="str">
            <v>E11</v>
          </cell>
        </row>
        <row r="388">
          <cell r="B388">
            <v>108335395120</v>
          </cell>
          <cell r="E388">
            <v>46185</v>
          </cell>
          <cell r="F388" t="str">
            <v>18ID</v>
          </cell>
          <cell r="G388" t="str">
            <v>E11</v>
          </cell>
        </row>
        <row r="389">
          <cell r="B389">
            <v>108336448730</v>
          </cell>
          <cell r="E389">
            <v>46185</v>
          </cell>
          <cell r="F389" t="str">
            <v>18ID</v>
          </cell>
          <cell r="G389" t="str">
            <v>E11</v>
          </cell>
        </row>
        <row r="390">
          <cell r="B390">
            <v>108336473340</v>
          </cell>
          <cell r="C390" t="str">
            <v>108336473340</v>
          </cell>
          <cell r="D390">
            <v>1</v>
          </cell>
          <cell r="E390">
            <v>46185</v>
          </cell>
          <cell r="F390" t="str">
            <v>18ID</v>
          </cell>
          <cell r="G390" t="str">
            <v>E11</v>
          </cell>
        </row>
        <row r="391">
          <cell r="B391">
            <v>108336474740</v>
          </cell>
          <cell r="C391" t="str">
            <v>108336473340</v>
          </cell>
          <cell r="D391">
            <v>2</v>
          </cell>
          <cell r="E391">
            <v>46185</v>
          </cell>
          <cell r="F391" t="str">
            <v>18ID</v>
          </cell>
          <cell r="G391" t="str">
            <v>E11</v>
          </cell>
        </row>
        <row r="392">
          <cell r="B392">
            <v>108336590830</v>
          </cell>
          <cell r="E392">
            <v>46185</v>
          </cell>
          <cell r="F392" t="str">
            <v>18ID</v>
          </cell>
          <cell r="G392" t="str">
            <v>E11</v>
          </cell>
        </row>
        <row r="393">
          <cell r="B393">
            <v>108336419550</v>
          </cell>
          <cell r="E393">
            <v>46185</v>
          </cell>
          <cell r="F393" t="str">
            <v>18ID</v>
          </cell>
          <cell r="G393" t="str">
            <v>E11</v>
          </cell>
        </row>
        <row r="394">
          <cell r="B394">
            <v>308625301260</v>
          </cell>
          <cell r="E394">
            <v>46184</v>
          </cell>
          <cell r="F394" t="str">
            <v>18ID</v>
          </cell>
          <cell r="G394" t="str">
            <v>E42</v>
          </cell>
        </row>
        <row r="395">
          <cell r="B395">
            <v>308627486700</v>
          </cell>
          <cell r="E395">
            <v>46184</v>
          </cell>
          <cell r="F395" t="str">
            <v>18ID</v>
          </cell>
          <cell r="G395" t="str">
            <v>E42</v>
          </cell>
        </row>
        <row r="396">
          <cell r="B396">
            <v>108329097660</v>
          </cell>
          <cell r="E396">
            <v>46184</v>
          </cell>
          <cell r="F396" t="str">
            <v>18ID</v>
          </cell>
          <cell r="G396" t="str">
            <v>E11</v>
          </cell>
        </row>
        <row r="397">
          <cell r="B397">
            <v>108329189620</v>
          </cell>
          <cell r="E397">
            <v>46184</v>
          </cell>
          <cell r="F397" t="str">
            <v>18ID</v>
          </cell>
          <cell r="G397" t="str">
            <v>E11</v>
          </cell>
        </row>
        <row r="398">
          <cell r="B398">
            <v>108330405960</v>
          </cell>
          <cell r="E398">
            <v>46184</v>
          </cell>
          <cell r="F398" t="str">
            <v>18ID</v>
          </cell>
          <cell r="G398" t="str">
            <v>E11</v>
          </cell>
        </row>
        <row r="399">
          <cell r="B399">
            <v>108330456950</v>
          </cell>
          <cell r="E399">
            <v>46184</v>
          </cell>
          <cell r="F399" t="str">
            <v>18ID</v>
          </cell>
          <cell r="G399" t="str">
            <v>E11</v>
          </cell>
        </row>
        <row r="400">
          <cell r="B400">
            <v>108330595550</v>
          </cell>
          <cell r="E400">
            <v>46184</v>
          </cell>
          <cell r="F400" t="str">
            <v>18ID</v>
          </cell>
          <cell r="G400" t="str">
            <v>E11</v>
          </cell>
        </row>
        <row r="401">
          <cell r="B401">
            <v>108330674650</v>
          </cell>
          <cell r="E401">
            <v>46184</v>
          </cell>
          <cell r="F401" t="str">
            <v>18ID</v>
          </cell>
          <cell r="G401" t="str">
            <v>E11</v>
          </cell>
        </row>
        <row r="402">
          <cell r="B402">
            <v>108331025460</v>
          </cell>
          <cell r="E402">
            <v>46184</v>
          </cell>
          <cell r="F402" t="str">
            <v>18ID</v>
          </cell>
          <cell r="G402" t="str">
            <v>E11</v>
          </cell>
        </row>
        <row r="403">
          <cell r="B403">
            <v>108331312500</v>
          </cell>
          <cell r="E403">
            <v>46184</v>
          </cell>
          <cell r="F403" t="str">
            <v>18ID</v>
          </cell>
          <cell r="G403" t="str">
            <v>E11</v>
          </cell>
        </row>
        <row r="404">
          <cell r="B404">
            <v>108331444320</v>
          </cell>
          <cell r="E404">
            <v>46184</v>
          </cell>
          <cell r="F404" t="str">
            <v>18ID</v>
          </cell>
          <cell r="G404" t="str">
            <v>E11</v>
          </cell>
        </row>
        <row r="405">
          <cell r="B405">
            <v>108330517410</v>
          </cell>
          <cell r="E405">
            <v>46184</v>
          </cell>
          <cell r="F405" t="str">
            <v>18ID</v>
          </cell>
          <cell r="G405" t="str">
            <v>E11</v>
          </cell>
        </row>
        <row r="406">
          <cell r="B406">
            <v>108331628750</v>
          </cell>
          <cell r="E406">
            <v>46184</v>
          </cell>
          <cell r="F406" t="str">
            <v>18ID</v>
          </cell>
          <cell r="G406" t="str">
            <v>E11</v>
          </cell>
        </row>
        <row r="407">
          <cell r="B407">
            <v>308618679410</v>
          </cell>
          <cell r="E407">
            <v>46183</v>
          </cell>
          <cell r="F407" t="str">
            <v>18ID</v>
          </cell>
          <cell r="G407" t="str">
            <v>E42</v>
          </cell>
        </row>
        <row r="408">
          <cell r="B408">
            <v>308622713730</v>
          </cell>
          <cell r="E408">
            <v>46183</v>
          </cell>
          <cell r="F408" t="str">
            <v>18ID</v>
          </cell>
          <cell r="G408" t="str">
            <v>E42</v>
          </cell>
        </row>
        <row r="409">
          <cell r="B409">
            <v>108326788250</v>
          </cell>
          <cell r="E409">
            <v>46183</v>
          </cell>
          <cell r="F409" t="str">
            <v>18ID</v>
          </cell>
          <cell r="G409" t="str">
            <v>G13</v>
          </cell>
        </row>
        <row r="410">
          <cell r="B410">
            <v>308625059801</v>
          </cell>
          <cell r="E410">
            <v>46183</v>
          </cell>
          <cell r="F410" t="str">
            <v>18ID</v>
          </cell>
          <cell r="G410" t="str">
            <v>G23</v>
          </cell>
        </row>
        <row r="411">
          <cell r="B411">
            <v>108325142700</v>
          </cell>
          <cell r="E411">
            <v>46183</v>
          </cell>
          <cell r="F411" t="str">
            <v>18ID</v>
          </cell>
          <cell r="G411" t="str">
            <v>E11</v>
          </cell>
        </row>
        <row r="412">
          <cell r="B412">
            <v>108325362830</v>
          </cell>
          <cell r="E412">
            <v>46183</v>
          </cell>
          <cell r="F412" t="str">
            <v>18ID</v>
          </cell>
          <cell r="G412" t="str">
            <v>E11</v>
          </cell>
        </row>
        <row r="413">
          <cell r="B413">
            <v>108325566900</v>
          </cell>
          <cell r="E413">
            <v>46183</v>
          </cell>
          <cell r="F413" t="str">
            <v>18ID</v>
          </cell>
          <cell r="G413" t="str">
            <v>E11</v>
          </cell>
        </row>
        <row r="414">
          <cell r="B414">
            <v>108326595200</v>
          </cell>
          <cell r="E414">
            <v>46183</v>
          </cell>
          <cell r="F414" t="str">
            <v>18ID</v>
          </cell>
          <cell r="G414" t="str">
            <v>E11</v>
          </cell>
        </row>
        <row r="415">
          <cell r="B415">
            <v>108326645010</v>
          </cell>
          <cell r="E415">
            <v>46183</v>
          </cell>
          <cell r="F415" t="str">
            <v>18ID</v>
          </cell>
          <cell r="G415" t="str">
            <v>E11</v>
          </cell>
        </row>
        <row r="416">
          <cell r="B416">
            <v>108326752220</v>
          </cell>
          <cell r="E416">
            <v>46183</v>
          </cell>
          <cell r="F416" t="str">
            <v>18ID</v>
          </cell>
          <cell r="G416" t="str">
            <v>E11</v>
          </cell>
        </row>
        <row r="417">
          <cell r="B417">
            <v>108326895460</v>
          </cell>
          <cell r="E417">
            <v>46183</v>
          </cell>
          <cell r="F417" t="str">
            <v>18ID</v>
          </cell>
          <cell r="G417" t="str">
            <v>E11</v>
          </cell>
        </row>
        <row r="418">
          <cell r="B418">
            <v>108326961520</v>
          </cell>
          <cell r="E418">
            <v>46183</v>
          </cell>
          <cell r="F418" t="str">
            <v>18ID</v>
          </cell>
          <cell r="G418" t="str">
            <v>E11</v>
          </cell>
        </row>
        <row r="419">
          <cell r="B419">
            <v>108326967230</v>
          </cell>
          <cell r="E419">
            <v>46183</v>
          </cell>
          <cell r="F419" t="str">
            <v>18ID</v>
          </cell>
          <cell r="G419" t="str">
            <v>E11</v>
          </cell>
        </row>
        <row r="420">
          <cell r="B420">
            <v>108327045410</v>
          </cell>
          <cell r="E420">
            <v>46183</v>
          </cell>
          <cell r="F420" t="str">
            <v>18ID</v>
          </cell>
          <cell r="G420" t="str">
            <v>E11</v>
          </cell>
        </row>
        <row r="421">
          <cell r="B421">
            <v>108327059520</v>
          </cell>
          <cell r="E421">
            <v>46183</v>
          </cell>
          <cell r="F421" t="str">
            <v>18ID</v>
          </cell>
          <cell r="G421" t="str">
            <v>E11</v>
          </cell>
        </row>
        <row r="422">
          <cell r="B422">
            <v>108327159510</v>
          </cell>
          <cell r="E422">
            <v>46183</v>
          </cell>
          <cell r="F422" t="str">
            <v>18ID</v>
          </cell>
          <cell r="G422" t="str">
            <v>E11</v>
          </cell>
        </row>
        <row r="423">
          <cell r="B423">
            <v>108327268340</v>
          </cell>
          <cell r="E423">
            <v>46183</v>
          </cell>
          <cell r="F423" t="str">
            <v>18ID</v>
          </cell>
          <cell r="G423" t="str">
            <v>E11</v>
          </cell>
        </row>
        <row r="424">
          <cell r="B424">
            <v>108327328910</v>
          </cell>
          <cell r="E424">
            <v>46183</v>
          </cell>
          <cell r="F424" t="str">
            <v>18ID</v>
          </cell>
          <cell r="G424" t="str">
            <v>E11</v>
          </cell>
        </row>
        <row r="425">
          <cell r="B425">
            <v>108327422710</v>
          </cell>
          <cell r="E425">
            <v>46183</v>
          </cell>
          <cell r="F425" t="str">
            <v>18ID</v>
          </cell>
          <cell r="G425" t="str">
            <v>E11</v>
          </cell>
        </row>
        <row r="426">
          <cell r="B426">
            <v>108327660230</v>
          </cell>
          <cell r="E426">
            <v>46183</v>
          </cell>
          <cell r="F426" t="str">
            <v>18ID</v>
          </cell>
          <cell r="G426" t="str">
            <v>E11</v>
          </cell>
        </row>
        <row r="427">
          <cell r="B427">
            <v>108327903830</v>
          </cell>
          <cell r="E427">
            <v>46183</v>
          </cell>
          <cell r="F427" t="str">
            <v>18ID</v>
          </cell>
          <cell r="G427" t="str">
            <v>E11</v>
          </cell>
        </row>
        <row r="428">
          <cell r="B428">
            <v>108328575350</v>
          </cell>
          <cell r="E428">
            <v>46183</v>
          </cell>
          <cell r="F428" t="str">
            <v>18ID</v>
          </cell>
          <cell r="G428" t="str">
            <v>E11</v>
          </cell>
        </row>
        <row r="429">
          <cell r="B429">
            <v>108328609320</v>
          </cell>
          <cell r="E429">
            <v>46183</v>
          </cell>
          <cell r="F429" t="str">
            <v>18ID</v>
          </cell>
          <cell r="G429" t="str">
            <v>E11</v>
          </cell>
        </row>
        <row r="430">
          <cell r="B430">
            <v>108327050310</v>
          </cell>
          <cell r="E430">
            <v>46183</v>
          </cell>
          <cell r="F430" t="str">
            <v>18ID</v>
          </cell>
          <cell r="G430" t="str">
            <v>E15</v>
          </cell>
        </row>
        <row r="431">
          <cell r="B431">
            <v>108321492640</v>
          </cell>
          <cell r="E431">
            <v>46182</v>
          </cell>
          <cell r="F431" t="str">
            <v>18ID</v>
          </cell>
          <cell r="G431" t="str">
            <v>E11</v>
          </cell>
        </row>
        <row r="432">
          <cell r="B432">
            <v>108322723130</v>
          </cell>
          <cell r="E432">
            <v>46182</v>
          </cell>
          <cell r="F432" t="str">
            <v>18ID</v>
          </cell>
          <cell r="G432" t="str">
            <v>E11</v>
          </cell>
        </row>
        <row r="433">
          <cell r="B433">
            <v>108323023100</v>
          </cell>
          <cell r="E433">
            <v>46182</v>
          </cell>
          <cell r="F433" t="str">
            <v>18ID</v>
          </cell>
          <cell r="G433" t="str">
            <v>E11</v>
          </cell>
        </row>
        <row r="434">
          <cell r="B434">
            <v>108323054120</v>
          </cell>
          <cell r="E434">
            <v>46182</v>
          </cell>
          <cell r="F434" t="str">
            <v>18ID</v>
          </cell>
          <cell r="G434" t="str">
            <v>E11</v>
          </cell>
        </row>
        <row r="435">
          <cell r="B435">
            <v>108323070440</v>
          </cell>
          <cell r="E435">
            <v>46182</v>
          </cell>
          <cell r="F435" t="str">
            <v>18ID</v>
          </cell>
          <cell r="G435" t="str">
            <v>E11</v>
          </cell>
        </row>
        <row r="436">
          <cell r="B436">
            <v>108323105110</v>
          </cell>
          <cell r="E436">
            <v>46182</v>
          </cell>
          <cell r="F436" t="str">
            <v>18ID</v>
          </cell>
          <cell r="G436" t="str">
            <v>E11</v>
          </cell>
        </row>
        <row r="437">
          <cell r="B437">
            <v>108323175660</v>
          </cell>
          <cell r="E437">
            <v>46182</v>
          </cell>
          <cell r="F437" t="str">
            <v>18ID</v>
          </cell>
          <cell r="G437" t="str">
            <v>E11</v>
          </cell>
        </row>
        <row r="438">
          <cell r="B438">
            <v>108323306930</v>
          </cell>
          <cell r="E438">
            <v>46182</v>
          </cell>
          <cell r="F438" t="str">
            <v>18ID</v>
          </cell>
          <cell r="G438" t="str">
            <v>E11</v>
          </cell>
        </row>
        <row r="439">
          <cell r="B439">
            <v>108323322920</v>
          </cell>
          <cell r="E439">
            <v>46182</v>
          </cell>
          <cell r="F439" t="str">
            <v>18ID</v>
          </cell>
          <cell r="G439" t="str">
            <v>E11</v>
          </cell>
        </row>
        <row r="440">
          <cell r="B440">
            <v>108323455000</v>
          </cell>
          <cell r="E440">
            <v>46182</v>
          </cell>
          <cell r="F440" t="str">
            <v>18ID</v>
          </cell>
          <cell r="G440" t="str">
            <v>E11</v>
          </cell>
        </row>
        <row r="441">
          <cell r="B441">
            <v>108323660320</v>
          </cell>
          <cell r="E441">
            <v>46182</v>
          </cell>
          <cell r="F441" t="str">
            <v>18ID</v>
          </cell>
          <cell r="G441" t="str">
            <v>E11</v>
          </cell>
        </row>
        <row r="442">
          <cell r="B442">
            <v>108323698010</v>
          </cell>
          <cell r="E442">
            <v>46182</v>
          </cell>
          <cell r="F442" t="str">
            <v>18ID</v>
          </cell>
          <cell r="G442" t="str">
            <v>E11</v>
          </cell>
        </row>
        <row r="443">
          <cell r="B443">
            <v>108323770810</v>
          </cell>
          <cell r="E443">
            <v>46182</v>
          </cell>
          <cell r="F443" t="str">
            <v>18ID</v>
          </cell>
          <cell r="G443" t="str">
            <v>E11</v>
          </cell>
        </row>
        <row r="444">
          <cell r="B444">
            <v>108323806730</v>
          </cell>
          <cell r="E444">
            <v>46182</v>
          </cell>
          <cell r="F444" t="str">
            <v>18ID</v>
          </cell>
          <cell r="G444" t="str">
            <v>E11</v>
          </cell>
        </row>
        <row r="445">
          <cell r="B445">
            <v>108323809640</v>
          </cell>
          <cell r="E445">
            <v>46182</v>
          </cell>
          <cell r="F445" t="str">
            <v>18ID</v>
          </cell>
          <cell r="G445" t="str">
            <v>E11</v>
          </cell>
        </row>
        <row r="446">
          <cell r="B446">
            <v>108323956900</v>
          </cell>
          <cell r="E446">
            <v>46182</v>
          </cell>
          <cell r="F446" t="str">
            <v>18ID</v>
          </cell>
          <cell r="G446" t="str">
            <v>E11</v>
          </cell>
        </row>
        <row r="447">
          <cell r="B447">
            <v>108324167010</v>
          </cell>
          <cell r="E447">
            <v>46182</v>
          </cell>
          <cell r="F447" t="str">
            <v>18ID</v>
          </cell>
          <cell r="G447" t="str">
            <v>E11</v>
          </cell>
        </row>
        <row r="448">
          <cell r="B448">
            <v>108324273260</v>
          </cell>
          <cell r="E448">
            <v>46182</v>
          </cell>
          <cell r="F448" t="str">
            <v>18ID</v>
          </cell>
          <cell r="G448" t="str">
            <v>E11</v>
          </cell>
        </row>
        <row r="449">
          <cell r="B449">
            <v>108324322040</v>
          </cell>
          <cell r="E449">
            <v>46182</v>
          </cell>
          <cell r="F449" t="str">
            <v>18ID</v>
          </cell>
          <cell r="G449" t="str">
            <v>E11</v>
          </cell>
        </row>
        <row r="450">
          <cell r="B450">
            <v>108324685930</v>
          </cell>
          <cell r="E450">
            <v>46182</v>
          </cell>
          <cell r="F450" t="str">
            <v>18ID</v>
          </cell>
          <cell r="G450" t="str">
            <v>E11</v>
          </cell>
        </row>
        <row r="451">
          <cell r="B451">
            <v>108324703800</v>
          </cell>
          <cell r="E451">
            <v>46182</v>
          </cell>
          <cell r="F451" t="str">
            <v>18ID</v>
          </cell>
          <cell r="G451" t="str">
            <v>E11</v>
          </cell>
        </row>
        <row r="452">
          <cell r="B452">
            <v>308613998620</v>
          </cell>
          <cell r="E452">
            <v>46181</v>
          </cell>
          <cell r="F452" t="str">
            <v>18ID</v>
          </cell>
          <cell r="G452" t="str">
            <v>E42</v>
          </cell>
        </row>
        <row r="453">
          <cell r="B453">
            <v>308614119500</v>
          </cell>
          <cell r="E453">
            <v>46181</v>
          </cell>
          <cell r="F453" t="str">
            <v>18ID</v>
          </cell>
          <cell r="G453" t="str">
            <v>E42</v>
          </cell>
        </row>
        <row r="454">
          <cell r="B454">
            <v>308614931350</v>
          </cell>
          <cell r="E454">
            <v>46181</v>
          </cell>
          <cell r="F454" t="str">
            <v>18ID</v>
          </cell>
          <cell r="G454" t="str">
            <v>E42</v>
          </cell>
        </row>
        <row r="455">
          <cell r="B455">
            <v>108320385500</v>
          </cell>
          <cell r="E455">
            <v>46181</v>
          </cell>
          <cell r="F455" t="str">
            <v xml:space="preserve">18ID  </v>
          </cell>
          <cell r="G455" t="str">
            <v>G13</v>
          </cell>
        </row>
        <row r="456">
          <cell r="B456">
            <v>108314281720</v>
          </cell>
          <cell r="E456">
            <v>46181</v>
          </cell>
          <cell r="F456" t="str">
            <v>18ID</v>
          </cell>
          <cell r="G456" t="str">
            <v>E13</v>
          </cell>
        </row>
        <row r="457">
          <cell r="B457">
            <v>108316492060</v>
          </cell>
          <cell r="E457">
            <v>46181</v>
          </cell>
          <cell r="F457" t="str">
            <v>18ID</v>
          </cell>
          <cell r="G457" t="str">
            <v>E11</v>
          </cell>
        </row>
        <row r="458">
          <cell r="B458">
            <v>108316736620</v>
          </cell>
          <cell r="E458">
            <v>46181</v>
          </cell>
          <cell r="F458" t="str">
            <v>18ID</v>
          </cell>
          <cell r="G458" t="str">
            <v>E11</v>
          </cell>
        </row>
        <row r="459">
          <cell r="B459">
            <v>108317928830</v>
          </cell>
          <cell r="E459">
            <v>46181</v>
          </cell>
          <cell r="F459" t="str">
            <v>18ID</v>
          </cell>
          <cell r="G459" t="str">
            <v>E11</v>
          </cell>
        </row>
        <row r="460">
          <cell r="B460">
            <v>108318739430</v>
          </cell>
          <cell r="E460">
            <v>46181</v>
          </cell>
          <cell r="F460" t="str">
            <v>18ID</v>
          </cell>
          <cell r="G460" t="str">
            <v>E11</v>
          </cell>
        </row>
        <row r="461">
          <cell r="B461">
            <v>108318976250</v>
          </cell>
          <cell r="E461">
            <v>46181</v>
          </cell>
          <cell r="F461" t="str">
            <v>18ID</v>
          </cell>
          <cell r="G461" t="str">
            <v>E11</v>
          </cell>
        </row>
        <row r="462">
          <cell r="B462">
            <v>108319105640</v>
          </cell>
          <cell r="E462">
            <v>46181</v>
          </cell>
          <cell r="F462" t="str">
            <v>18ID</v>
          </cell>
          <cell r="G462" t="str">
            <v>E11</v>
          </cell>
        </row>
        <row r="463">
          <cell r="B463">
            <v>108319211450</v>
          </cell>
          <cell r="E463">
            <v>46181</v>
          </cell>
          <cell r="F463" t="str">
            <v>18ID</v>
          </cell>
          <cell r="G463" t="str">
            <v>E11</v>
          </cell>
        </row>
        <row r="464">
          <cell r="B464">
            <v>108319384460</v>
          </cell>
          <cell r="E464">
            <v>46181</v>
          </cell>
          <cell r="F464" t="str">
            <v>18ID</v>
          </cell>
          <cell r="G464" t="str">
            <v>E11</v>
          </cell>
        </row>
        <row r="465">
          <cell r="B465">
            <v>108319478260</v>
          </cell>
          <cell r="E465">
            <v>46181</v>
          </cell>
          <cell r="F465" t="str">
            <v>18ID</v>
          </cell>
          <cell r="G465" t="str">
            <v>E11</v>
          </cell>
        </row>
        <row r="466">
          <cell r="B466">
            <v>108319577810</v>
          </cell>
          <cell r="E466">
            <v>46181</v>
          </cell>
          <cell r="F466" t="str">
            <v>18ID</v>
          </cell>
          <cell r="G466" t="str">
            <v>E11</v>
          </cell>
        </row>
        <row r="467">
          <cell r="B467">
            <v>108319864000</v>
          </cell>
          <cell r="E467">
            <v>46181</v>
          </cell>
          <cell r="F467" t="str">
            <v>18ID</v>
          </cell>
          <cell r="G467" t="str">
            <v>E11</v>
          </cell>
        </row>
        <row r="468">
          <cell r="B468">
            <v>108319920440</v>
          </cell>
          <cell r="E468">
            <v>46181</v>
          </cell>
          <cell r="F468" t="str">
            <v>18ID</v>
          </cell>
          <cell r="G468" t="str">
            <v>E11</v>
          </cell>
        </row>
        <row r="469">
          <cell r="B469">
            <v>108320002560</v>
          </cell>
          <cell r="E469">
            <v>46181</v>
          </cell>
          <cell r="F469" t="str">
            <v>18ID</v>
          </cell>
          <cell r="G469" t="str">
            <v>E11</v>
          </cell>
        </row>
        <row r="470">
          <cell r="B470">
            <v>108320090060</v>
          </cell>
          <cell r="C470" t="str">
            <v>108320090060</v>
          </cell>
          <cell r="D470">
            <v>1</v>
          </cell>
          <cell r="E470">
            <v>46181</v>
          </cell>
          <cell r="F470" t="str">
            <v>18ID</v>
          </cell>
          <cell r="G470" t="str">
            <v>E11</v>
          </cell>
        </row>
        <row r="471">
          <cell r="B471">
            <v>108320093120</v>
          </cell>
          <cell r="C471" t="str">
            <v>108320090060</v>
          </cell>
          <cell r="D471">
            <v>2</v>
          </cell>
          <cell r="E471">
            <v>46181</v>
          </cell>
          <cell r="F471" t="str">
            <v>18ID</v>
          </cell>
          <cell r="G471" t="str">
            <v>E11</v>
          </cell>
        </row>
        <row r="472">
          <cell r="B472">
            <v>108320162530</v>
          </cell>
          <cell r="E472">
            <v>46181</v>
          </cell>
          <cell r="F472" t="str">
            <v>18ID</v>
          </cell>
          <cell r="G472" t="str">
            <v>E11</v>
          </cell>
        </row>
        <row r="473">
          <cell r="B473">
            <v>108320465260</v>
          </cell>
          <cell r="E473">
            <v>46181</v>
          </cell>
          <cell r="F473" t="str">
            <v>18ID</v>
          </cell>
          <cell r="G473" t="str">
            <v>E11</v>
          </cell>
        </row>
        <row r="474">
          <cell r="B474">
            <v>108320512530</v>
          </cell>
          <cell r="E474">
            <v>46181</v>
          </cell>
          <cell r="F474" t="str">
            <v>18ID</v>
          </cell>
          <cell r="G474" t="str">
            <v>E11</v>
          </cell>
        </row>
        <row r="475">
          <cell r="B475">
            <v>108320531910</v>
          </cell>
          <cell r="E475">
            <v>46181</v>
          </cell>
          <cell r="F475" t="str">
            <v>18ID</v>
          </cell>
          <cell r="G475" t="str">
            <v>E11</v>
          </cell>
        </row>
        <row r="476">
          <cell r="B476">
            <v>108320549520</v>
          </cell>
          <cell r="C476" t="str">
            <v>108320549520</v>
          </cell>
          <cell r="D476">
            <v>1</v>
          </cell>
          <cell r="E476">
            <v>46181</v>
          </cell>
          <cell r="F476" t="str">
            <v>18ID</v>
          </cell>
          <cell r="G476" t="str">
            <v>E11</v>
          </cell>
        </row>
        <row r="477">
          <cell r="B477">
            <v>108320552650</v>
          </cell>
          <cell r="C477" t="str">
            <v>108320549520</v>
          </cell>
          <cell r="D477">
            <v>2</v>
          </cell>
          <cell r="E477">
            <v>46181</v>
          </cell>
          <cell r="F477" t="str">
            <v>18ID</v>
          </cell>
          <cell r="G477" t="str">
            <v>E11</v>
          </cell>
        </row>
        <row r="478">
          <cell r="B478">
            <v>108320556630</v>
          </cell>
          <cell r="E478">
            <v>46181</v>
          </cell>
          <cell r="F478" t="str">
            <v>18ID</v>
          </cell>
          <cell r="G478" t="str">
            <v>E11</v>
          </cell>
        </row>
        <row r="479">
          <cell r="B479">
            <v>108320558250</v>
          </cell>
          <cell r="E479">
            <v>46181</v>
          </cell>
          <cell r="F479" t="str">
            <v>18ID</v>
          </cell>
          <cell r="G479" t="str">
            <v>E11</v>
          </cell>
        </row>
        <row r="480">
          <cell r="B480">
            <v>108315085320</v>
          </cell>
          <cell r="E480">
            <v>46179</v>
          </cell>
          <cell r="F480" t="str">
            <v>18ID</v>
          </cell>
          <cell r="G480" t="str">
            <v>E13</v>
          </cell>
        </row>
        <row r="481">
          <cell r="B481">
            <v>308605891001</v>
          </cell>
          <cell r="E481">
            <v>46178</v>
          </cell>
          <cell r="F481" t="str">
            <v>18ID</v>
          </cell>
          <cell r="G481" t="str">
            <v>B13</v>
          </cell>
        </row>
        <row r="482">
          <cell r="B482">
            <v>108311115140</v>
          </cell>
          <cell r="E482">
            <v>46178</v>
          </cell>
          <cell r="F482" t="str">
            <v>18ID</v>
          </cell>
          <cell r="G482" t="str">
            <v>E13</v>
          </cell>
        </row>
        <row r="483">
          <cell r="B483">
            <v>308608391140</v>
          </cell>
          <cell r="E483">
            <v>46178</v>
          </cell>
          <cell r="F483" t="str">
            <v>18ID</v>
          </cell>
          <cell r="G483" t="str">
            <v>E42</v>
          </cell>
        </row>
        <row r="484">
          <cell r="B484">
            <v>308608450640</v>
          </cell>
          <cell r="E484">
            <v>46178</v>
          </cell>
          <cell r="F484" t="str">
            <v>18ID</v>
          </cell>
          <cell r="G484" t="str">
            <v>E42</v>
          </cell>
        </row>
        <row r="485">
          <cell r="B485">
            <v>308608491240</v>
          </cell>
          <cell r="E485">
            <v>46178</v>
          </cell>
          <cell r="F485" t="str">
            <v>18ID</v>
          </cell>
          <cell r="G485" t="str">
            <v>E42</v>
          </cell>
        </row>
        <row r="486">
          <cell r="B486">
            <v>308608895730</v>
          </cell>
          <cell r="E486">
            <v>46178</v>
          </cell>
          <cell r="F486" t="str">
            <v>18ID</v>
          </cell>
          <cell r="G486" t="str">
            <v>E42</v>
          </cell>
        </row>
        <row r="487">
          <cell r="B487">
            <v>108310184400</v>
          </cell>
          <cell r="C487" t="str">
            <v/>
          </cell>
          <cell r="E487">
            <v>46178</v>
          </cell>
          <cell r="F487" t="str">
            <v>18ID</v>
          </cell>
          <cell r="G487" t="str">
            <v>E13</v>
          </cell>
        </row>
        <row r="488">
          <cell r="B488">
            <v>108310628050</v>
          </cell>
          <cell r="E488">
            <v>46178</v>
          </cell>
          <cell r="F488" t="str">
            <v>18ID</v>
          </cell>
          <cell r="G488" t="str">
            <v>E11</v>
          </cell>
        </row>
        <row r="489">
          <cell r="B489">
            <v>108311088210</v>
          </cell>
          <cell r="E489">
            <v>46178</v>
          </cell>
          <cell r="F489" t="str">
            <v>18ID</v>
          </cell>
          <cell r="G489" t="str">
            <v>E15</v>
          </cell>
        </row>
        <row r="490">
          <cell r="B490">
            <v>108312097460</v>
          </cell>
          <cell r="E490">
            <v>46178</v>
          </cell>
          <cell r="F490" t="str">
            <v>18ID</v>
          </cell>
          <cell r="G490" t="str">
            <v>E13</v>
          </cell>
        </row>
        <row r="491">
          <cell r="B491">
            <v>108312371900</v>
          </cell>
          <cell r="E491">
            <v>46178</v>
          </cell>
          <cell r="F491" t="str">
            <v>18ID</v>
          </cell>
          <cell r="G491" t="str">
            <v>E11</v>
          </cell>
        </row>
        <row r="492">
          <cell r="B492">
            <v>108313505900</v>
          </cell>
          <cell r="E492">
            <v>46178</v>
          </cell>
          <cell r="F492" t="str">
            <v>18ID</v>
          </cell>
          <cell r="G492" t="str">
            <v>E11</v>
          </cell>
        </row>
        <row r="493">
          <cell r="B493">
            <v>108313525830</v>
          </cell>
          <cell r="E493">
            <v>46178</v>
          </cell>
          <cell r="F493" t="str">
            <v>18ID</v>
          </cell>
          <cell r="G493" t="str">
            <v>E11</v>
          </cell>
        </row>
        <row r="494">
          <cell r="B494">
            <v>108313665610</v>
          </cell>
          <cell r="E494">
            <v>46178</v>
          </cell>
          <cell r="F494" t="str">
            <v>18ID</v>
          </cell>
          <cell r="G494" t="str">
            <v>E11</v>
          </cell>
        </row>
        <row r="495">
          <cell r="B495">
            <v>108313713060</v>
          </cell>
          <cell r="E495">
            <v>46178</v>
          </cell>
          <cell r="F495" t="str">
            <v>18ID</v>
          </cell>
          <cell r="G495" t="str">
            <v>E11</v>
          </cell>
        </row>
        <row r="496">
          <cell r="B496">
            <v>108313744710</v>
          </cell>
          <cell r="E496">
            <v>46178</v>
          </cell>
          <cell r="F496" t="str">
            <v>18ID</v>
          </cell>
          <cell r="G496" t="str">
            <v>E11</v>
          </cell>
        </row>
        <row r="497">
          <cell r="B497">
            <v>108313775250</v>
          </cell>
          <cell r="E497">
            <v>46178</v>
          </cell>
          <cell r="F497" t="str">
            <v>18ID</v>
          </cell>
          <cell r="G497" t="str">
            <v>E11</v>
          </cell>
        </row>
        <row r="498">
          <cell r="B498">
            <v>108313813310</v>
          </cell>
          <cell r="E498">
            <v>46178</v>
          </cell>
          <cell r="F498" t="str">
            <v>18ID</v>
          </cell>
          <cell r="G498" t="str">
            <v>E11</v>
          </cell>
        </row>
        <row r="499">
          <cell r="B499">
            <v>108313841640</v>
          </cell>
          <cell r="E499">
            <v>46178</v>
          </cell>
          <cell r="F499" t="str">
            <v>18ID</v>
          </cell>
          <cell r="G499" t="str">
            <v>E11</v>
          </cell>
        </row>
        <row r="500">
          <cell r="B500">
            <v>108313843850</v>
          </cell>
          <cell r="E500">
            <v>46178</v>
          </cell>
          <cell r="F500" t="str">
            <v>18ID</v>
          </cell>
          <cell r="G500" t="str">
            <v>E11</v>
          </cell>
        </row>
        <row r="501">
          <cell r="B501">
            <v>108313867320</v>
          </cell>
          <cell r="E501">
            <v>46178</v>
          </cell>
          <cell r="F501" t="str">
            <v>18ID</v>
          </cell>
          <cell r="G501" t="str">
            <v>E11</v>
          </cell>
        </row>
        <row r="502">
          <cell r="B502">
            <v>108313909800</v>
          </cell>
          <cell r="E502">
            <v>46178</v>
          </cell>
          <cell r="F502" t="str">
            <v>18ID</v>
          </cell>
          <cell r="G502" t="str">
            <v>E11</v>
          </cell>
        </row>
        <row r="503">
          <cell r="B503">
            <v>108313921920</v>
          </cell>
          <cell r="E503">
            <v>46178</v>
          </cell>
          <cell r="F503" t="str">
            <v>18ID</v>
          </cell>
          <cell r="G503" t="str">
            <v>E11</v>
          </cell>
        </row>
        <row r="504">
          <cell r="B504">
            <v>108313982930</v>
          </cell>
          <cell r="E504">
            <v>46178</v>
          </cell>
          <cell r="F504" t="str">
            <v>18ID</v>
          </cell>
          <cell r="G504" t="str">
            <v>E11</v>
          </cell>
        </row>
        <row r="505">
          <cell r="B505">
            <v>108314017450</v>
          </cell>
          <cell r="E505">
            <v>46178</v>
          </cell>
          <cell r="F505" t="str">
            <v>18ID</v>
          </cell>
          <cell r="G505" t="str">
            <v>E11</v>
          </cell>
        </row>
        <row r="506">
          <cell r="B506">
            <v>108314077910</v>
          </cell>
          <cell r="E506">
            <v>46178</v>
          </cell>
          <cell r="F506" t="str">
            <v>18ID</v>
          </cell>
          <cell r="G506" t="str">
            <v>E13</v>
          </cell>
        </row>
        <row r="507">
          <cell r="B507">
            <v>108314147650</v>
          </cell>
          <cell r="E507">
            <v>46178</v>
          </cell>
          <cell r="F507" t="str">
            <v>18ID</v>
          </cell>
          <cell r="G507" t="str">
            <v>E15</v>
          </cell>
        </row>
        <row r="508">
          <cell r="B508">
            <v>108314253240</v>
          </cell>
          <cell r="E508">
            <v>46178</v>
          </cell>
          <cell r="F508" t="str">
            <v>18ID</v>
          </cell>
          <cell r="G508" t="str">
            <v>E13</v>
          </cell>
        </row>
        <row r="509">
          <cell r="B509">
            <v>108314291630</v>
          </cell>
          <cell r="E509">
            <v>46178</v>
          </cell>
          <cell r="F509" t="str">
            <v>18ID</v>
          </cell>
          <cell r="G509" t="str">
            <v>E13</v>
          </cell>
        </row>
        <row r="510">
          <cell r="B510">
            <v>308604587120</v>
          </cell>
          <cell r="E510">
            <v>46177</v>
          </cell>
          <cell r="F510" t="str">
            <v>18ID</v>
          </cell>
          <cell r="G510" t="str">
            <v>E42</v>
          </cell>
        </row>
        <row r="511">
          <cell r="B511">
            <v>108307045120</v>
          </cell>
          <cell r="E511">
            <v>46177</v>
          </cell>
          <cell r="F511" t="str">
            <v>18ID</v>
          </cell>
          <cell r="G511" t="str">
            <v>E11</v>
          </cell>
        </row>
        <row r="512">
          <cell r="B512">
            <v>108308305340</v>
          </cell>
          <cell r="E512">
            <v>46177</v>
          </cell>
          <cell r="F512" t="str">
            <v>18ID</v>
          </cell>
          <cell r="G512" t="str">
            <v>E11</v>
          </cell>
        </row>
        <row r="513">
          <cell r="B513">
            <v>108308445120</v>
          </cell>
          <cell r="E513">
            <v>46177</v>
          </cell>
          <cell r="F513" t="str">
            <v>18ID</v>
          </cell>
          <cell r="G513" t="str">
            <v>E11</v>
          </cell>
        </row>
        <row r="514">
          <cell r="B514">
            <v>108308502740</v>
          </cell>
          <cell r="E514">
            <v>46177</v>
          </cell>
          <cell r="F514" t="str">
            <v>18ID</v>
          </cell>
          <cell r="G514" t="str">
            <v>E11</v>
          </cell>
        </row>
        <row r="515">
          <cell r="B515">
            <v>108308717050</v>
          </cell>
          <cell r="E515">
            <v>46177</v>
          </cell>
          <cell r="F515" t="str">
            <v>18ID</v>
          </cell>
          <cell r="G515" t="str">
            <v>E11</v>
          </cell>
        </row>
        <row r="516">
          <cell r="B516">
            <v>108309245920</v>
          </cell>
          <cell r="E516">
            <v>46177</v>
          </cell>
          <cell r="F516" t="str">
            <v>18ID</v>
          </cell>
          <cell r="G516" t="str">
            <v>E11</v>
          </cell>
        </row>
        <row r="517">
          <cell r="B517">
            <v>108309305420</v>
          </cell>
          <cell r="E517">
            <v>46177</v>
          </cell>
          <cell r="F517" t="str">
            <v>18ID</v>
          </cell>
          <cell r="G517" t="str">
            <v>E11</v>
          </cell>
        </row>
        <row r="518">
          <cell r="B518">
            <v>108309355450</v>
          </cell>
          <cell r="E518">
            <v>46177</v>
          </cell>
          <cell r="F518" t="str">
            <v>18ID</v>
          </cell>
          <cell r="G518" t="str">
            <v>E11</v>
          </cell>
        </row>
        <row r="519">
          <cell r="B519">
            <v>108309522750</v>
          </cell>
          <cell r="E519">
            <v>46177</v>
          </cell>
          <cell r="F519" t="str">
            <v>18ID</v>
          </cell>
          <cell r="G519" t="str">
            <v>E11</v>
          </cell>
        </row>
        <row r="520">
          <cell r="B520">
            <v>108309534320</v>
          </cell>
          <cell r="E520">
            <v>46177</v>
          </cell>
          <cell r="F520" t="str">
            <v>18ID</v>
          </cell>
          <cell r="G520" t="str">
            <v>E11</v>
          </cell>
        </row>
        <row r="521">
          <cell r="B521">
            <v>108309994660</v>
          </cell>
          <cell r="E521">
            <v>46177</v>
          </cell>
          <cell r="F521" t="str">
            <v>18ID</v>
          </cell>
          <cell r="G521" t="str">
            <v>E11</v>
          </cell>
        </row>
        <row r="522">
          <cell r="B522">
            <v>308597772361</v>
          </cell>
          <cell r="E522">
            <v>46176</v>
          </cell>
          <cell r="F522" t="str">
            <v>18ID</v>
          </cell>
          <cell r="G522" t="str">
            <v>B13</v>
          </cell>
        </row>
        <row r="523">
          <cell r="B523">
            <v>308597814730</v>
          </cell>
          <cell r="E523">
            <v>46176</v>
          </cell>
          <cell r="F523" t="str">
            <v>18ID</v>
          </cell>
          <cell r="G523" t="str">
            <v>E42</v>
          </cell>
        </row>
        <row r="524">
          <cell r="B524">
            <v>108302854810</v>
          </cell>
          <cell r="E524">
            <v>46176</v>
          </cell>
          <cell r="F524" t="str">
            <v>18ID</v>
          </cell>
          <cell r="G524" t="str">
            <v>E11</v>
          </cell>
        </row>
        <row r="525">
          <cell r="B525">
            <v>108302881300</v>
          </cell>
          <cell r="E525">
            <v>46176</v>
          </cell>
          <cell r="F525" t="str">
            <v>18ID</v>
          </cell>
          <cell r="G525" t="str">
            <v>E11</v>
          </cell>
        </row>
        <row r="526">
          <cell r="B526">
            <v>108302928860</v>
          </cell>
          <cell r="E526">
            <v>46176</v>
          </cell>
          <cell r="F526" t="str">
            <v>18ID</v>
          </cell>
          <cell r="G526" t="str">
            <v>E11</v>
          </cell>
        </row>
        <row r="527">
          <cell r="B527">
            <v>108302952110</v>
          </cell>
          <cell r="E527">
            <v>46176</v>
          </cell>
          <cell r="F527" t="str">
            <v>18ID</v>
          </cell>
          <cell r="G527" t="str">
            <v>E11</v>
          </cell>
        </row>
        <row r="528">
          <cell r="B528">
            <v>108303077850</v>
          </cell>
          <cell r="E528">
            <v>46176</v>
          </cell>
          <cell r="F528" t="str">
            <v>18ID</v>
          </cell>
          <cell r="G528" t="str">
            <v>E11</v>
          </cell>
        </row>
        <row r="529">
          <cell r="B529">
            <v>108303110750</v>
          </cell>
          <cell r="E529">
            <v>46176</v>
          </cell>
          <cell r="F529" t="str">
            <v>18ID</v>
          </cell>
          <cell r="G529" t="str">
            <v>E11</v>
          </cell>
        </row>
        <row r="530">
          <cell r="B530">
            <v>108303401400</v>
          </cell>
          <cell r="E530">
            <v>46176</v>
          </cell>
          <cell r="F530" t="str">
            <v>18ID</v>
          </cell>
          <cell r="G530" t="str">
            <v>E11</v>
          </cell>
        </row>
        <row r="531">
          <cell r="B531">
            <v>108303506730</v>
          </cell>
          <cell r="E531">
            <v>46176</v>
          </cell>
          <cell r="F531" t="str">
            <v>18ID</v>
          </cell>
          <cell r="G531" t="str">
            <v>E11</v>
          </cell>
        </row>
        <row r="532">
          <cell r="B532">
            <v>108303624330</v>
          </cell>
          <cell r="E532">
            <v>46176</v>
          </cell>
          <cell r="F532" t="str">
            <v>18ID</v>
          </cell>
          <cell r="G532" t="str">
            <v>E11</v>
          </cell>
        </row>
        <row r="533">
          <cell r="B533">
            <v>108303630150</v>
          </cell>
          <cell r="E533">
            <v>46176</v>
          </cell>
          <cell r="F533" t="str">
            <v>18ID</v>
          </cell>
          <cell r="G533" t="str">
            <v>E11</v>
          </cell>
        </row>
        <row r="534">
          <cell r="B534">
            <v>108303774130</v>
          </cell>
          <cell r="E534">
            <v>46176</v>
          </cell>
          <cell r="F534" t="str">
            <v>18ID</v>
          </cell>
          <cell r="G534" t="str">
            <v>E11</v>
          </cell>
        </row>
        <row r="535">
          <cell r="B535">
            <v>108303853340</v>
          </cell>
          <cell r="E535">
            <v>46176</v>
          </cell>
          <cell r="F535" t="str">
            <v>18ID</v>
          </cell>
          <cell r="G535" t="str">
            <v>E11</v>
          </cell>
        </row>
        <row r="536">
          <cell r="B536">
            <v>108303962800</v>
          </cell>
          <cell r="E536">
            <v>46176</v>
          </cell>
          <cell r="F536" t="str">
            <v>18ID</v>
          </cell>
          <cell r="G536" t="str">
            <v>E11</v>
          </cell>
        </row>
        <row r="537">
          <cell r="B537">
            <v>108304051660</v>
          </cell>
          <cell r="E537">
            <v>46176</v>
          </cell>
          <cell r="F537" t="str">
            <v>18ID</v>
          </cell>
          <cell r="G537" t="str">
            <v>E11</v>
          </cell>
        </row>
        <row r="538">
          <cell r="B538">
            <v>108304057410</v>
          </cell>
          <cell r="E538">
            <v>46176</v>
          </cell>
          <cell r="F538" t="str">
            <v>18ID</v>
          </cell>
          <cell r="G538" t="str">
            <v>E11</v>
          </cell>
        </row>
        <row r="539">
          <cell r="B539">
            <v>108304127630</v>
          </cell>
          <cell r="E539">
            <v>46176</v>
          </cell>
          <cell r="F539" t="str">
            <v>18ID</v>
          </cell>
          <cell r="G539" t="str">
            <v>E11</v>
          </cell>
        </row>
        <row r="540">
          <cell r="B540">
            <v>108304141520</v>
          </cell>
          <cell r="E540">
            <v>46176</v>
          </cell>
          <cell r="F540" t="str">
            <v>18ID</v>
          </cell>
          <cell r="G540" t="str">
            <v>E11</v>
          </cell>
        </row>
        <row r="541">
          <cell r="B541">
            <v>108304155740</v>
          </cell>
          <cell r="E541">
            <v>46176</v>
          </cell>
          <cell r="F541" t="str">
            <v>18ID</v>
          </cell>
          <cell r="G541" t="str">
            <v>E11</v>
          </cell>
        </row>
        <row r="542">
          <cell r="B542">
            <v>108304161930</v>
          </cell>
          <cell r="E542">
            <v>46176</v>
          </cell>
          <cell r="F542" t="str">
            <v>18ID</v>
          </cell>
          <cell r="G542" t="str">
            <v>E11</v>
          </cell>
        </row>
        <row r="543">
          <cell r="B543">
            <v>108304211410</v>
          </cell>
          <cell r="E543">
            <v>46176</v>
          </cell>
          <cell r="F543" t="str">
            <v>18ID</v>
          </cell>
          <cell r="G543" t="str">
            <v>E11</v>
          </cell>
        </row>
        <row r="544">
          <cell r="B544">
            <v>108304223420</v>
          </cell>
          <cell r="E544">
            <v>46176</v>
          </cell>
          <cell r="F544" t="str">
            <v>18ID</v>
          </cell>
          <cell r="G544" t="str">
            <v>E11</v>
          </cell>
        </row>
        <row r="545">
          <cell r="B545">
            <v>108304331000</v>
          </cell>
          <cell r="E545">
            <v>46176</v>
          </cell>
          <cell r="F545" t="str">
            <v>18ID</v>
          </cell>
          <cell r="G545" t="str">
            <v>E11</v>
          </cell>
        </row>
        <row r="546">
          <cell r="B546">
            <v>108304346030</v>
          </cell>
          <cell r="E546">
            <v>46176</v>
          </cell>
          <cell r="F546" t="str">
            <v>18ID</v>
          </cell>
          <cell r="G546" t="str">
            <v>E11</v>
          </cell>
        </row>
        <row r="547">
          <cell r="B547">
            <v>108304560560</v>
          </cell>
          <cell r="E547">
            <v>46176</v>
          </cell>
          <cell r="F547" t="str">
            <v>18ID</v>
          </cell>
          <cell r="G547" t="str">
            <v>E11</v>
          </cell>
        </row>
        <row r="548">
          <cell r="B548">
            <v>108304754020</v>
          </cell>
          <cell r="E548">
            <v>46176</v>
          </cell>
          <cell r="F548" t="str">
            <v>18ID</v>
          </cell>
          <cell r="G548" t="str">
            <v>E11</v>
          </cell>
        </row>
        <row r="549">
          <cell r="B549">
            <v>108304819820</v>
          </cell>
          <cell r="E549">
            <v>46176</v>
          </cell>
          <cell r="F549" t="str">
            <v>18ID</v>
          </cell>
          <cell r="G549" t="str">
            <v>E11</v>
          </cell>
        </row>
        <row r="550">
          <cell r="B550">
            <v>108304832160</v>
          </cell>
          <cell r="E550">
            <v>46176</v>
          </cell>
          <cell r="F550" t="str">
            <v>18ID</v>
          </cell>
          <cell r="G550" t="str">
            <v>E11</v>
          </cell>
        </row>
        <row r="551">
          <cell r="B551">
            <v>108304985020</v>
          </cell>
          <cell r="E551">
            <v>46176</v>
          </cell>
          <cell r="F551" t="str">
            <v>18ID</v>
          </cell>
          <cell r="G551" t="str">
            <v>E11</v>
          </cell>
        </row>
        <row r="552">
          <cell r="B552">
            <v>108305067400</v>
          </cell>
          <cell r="E552">
            <v>46176</v>
          </cell>
          <cell r="F552" t="str">
            <v>18ID</v>
          </cell>
          <cell r="G552" t="str">
            <v>E11</v>
          </cell>
        </row>
        <row r="553">
          <cell r="B553">
            <v>108305107260</v>
          </cell>
          <cell r="E553">
            <v>46176</v>
          </cell>
          <cell r="F553" t="str">
            <v>18ID</v>
          </cell>
          <cell r="G553" t="str">
            <v>E11</v>
          </cell>
        </row>
        <row r="554">
          <cell r="B554">
            <v>108305142850</v>
          </cell>
          <cell r="E554">
            <v>46176</v>
          </cell>
          <cell r="F554" t="str">
            <v>18ID</v>
          </cell>
          <cell r="G554" t="str">
            <v>E11</v>
          </cell>
        </row>
        <row r="555">
          <cell r="B555">
            <v>108305215760</v>
          </cell>
          <cell r="E555">
            <v>46176</v>
          </cell>
          <cell r="F555" t="str">
            <v>18ID</v>
          </cell>
          <cell r="G555" t="str">
            <v>E11</v>
          </cell>
        </row>
        <row r="556">
          <cell r="B556">
            <v>108305218820</v>
          </cell>
          <cell r="E556">
            <v>46176</v>
          </cell>
          <cell r="F556" t="str">
            <v>18ID</v>
          </cell>
          <cell r="G556" t="str">
            <v>E11</v>
          </cell>
        </row>
        <row r="557">
          <cell r="B557">
            <v>108305248920</v>
          </cell>
          <cell r="E557">
            <v>46176</v>
          </cell>
          <cell r="F557" t="str">
            <v>18ID</v>
          </cell>
          <cell r="G557" t="str">
            <v>E11</v>
          </cell>
        </row>
        <row r="558">
          <cell r="B558">
            <v>108305326140</v>
          </cell>
          <cell r="E558">
            <v>46176</v>
          </cell>
          <cell r="F558" t="str">
            <v>18ID</v>
          </cell>
          <cell r="G558" t="str">
            <v>E11</v>
          </cell>
        </row>
        <row r="559">
          <cell r="B559">
            <v>108305332660</v>
          </cell>
          <cell r="E559">
            <v>46176</v>
          </cell>
          <cell r="F559" t="str">
            <v>18ID</v>
          </cell>
          <cell r="G559" t="str">
            <v>E11</v>
          </cell>
        </row>
        <row r="560">
          <cell r="B560">
            <v>108305384830</v>
          </cell>
          <cell r="E560">
            <v>46176</v>
          </cell>
          <cell r="F560" t="str">
            <v>18ID</v>
          </cell>
          <cell r="G560" t="str">
            <v>E11</v>
          </cell>
        </row>
        <row r="561">
          <cell r="B561">
            <v>108305455050</v>
          </cell>
          <cell r="E561">
            <v>46176</v>
          </cell>
          <cell r="F561" t="str">
            <v>18ID</v>
          </cell>
          <cell r="G561" t="str">
            <v>E11</v>
          </cell>
        </row>
        <row r="562">
          <cell r="B562">
            <v>108305625040</v>
          </cell>
          <cell r="E562">
            <v>46176</v>
          </cell>
          <cell r="F562" t="str">
            <v>18ID</v>
          </cell>
          <cell r="G562" t="str">
            <v>E11</v>
          </cell>
        </row>
        <row r="563">
          <cell r="B563">
            <v>108305705100</v>
          </cell>
          <cell r="E563">
            <v>46176</v>
          </cell>
          <cell r="F563" t="str">
            <v>18ID</v>
          </cell>
          <cell r="G563" t="str">
            <v>E11</v>
          </cell>
        </row>
        <row r="564">
          <cell r="B564">
            <v>108305725620</v>
          </cell>
          <cell r="E564">
            <v>46176</v>
          </cell>
          <cell r="F564" t="str">
            <v>18ID</v>
          </cell>
          <cell r="G564" t="str">
            <v>E11</v>
          </cell>
        </row>
        <row r="565">
          <cell r="B565">
            <v>108305867940</v>
          </cell>
          <cell r="E565">
            <v>46176</v>
          </cell>
          <cell r="F565" t="str">
            <v>18ID</v>
          </cell>
          <cell r="G565" t="str">
            <v>E11</v>
          </cell>
        </row>
        <row r="566">
          <cell r="B566">
            <v>108305967930</v>
          </cell>
          <cell r="E566">
            <v>46176</v>
          </cell>
          <cell r="F566" t="str">
            <v>18ID</v>
          </cell>
          <cell r="G566" t="str">
            <v>E11</v>
          </cell>
        </row>
        <row r="567">
          <cell r="B567">
            <v>108306001530</v>
          </cell>
          <cell r="E567">
            <v>46176</v>
          </cell>
          <cell r="F567" t="str">
            <v>18ID</v>
          </cell>
          <cell r="G567" t="str">
            <v>E11</v>
          </cell>
        </row>
        <row r="568">
          <cell r="B568">
            <v>108306234740</v>
          </cell>
          <cell r="E568">
            <v>46176</v>
          </cell>
          <cell r="F568" t="str">
            <v>18ID</v>
          </cell>
          <cell r="G568" t="str">
            <v>E11</v>
          </cell>
        </row>
        <row r="569">
          <cell r="B569">
            <v>108306262150</v>
          </cell>
          <cell r="E569">
            <v>46176</v>
          </cell>
          <cell r="F569" t="str">
            <v>18ID</v>
          </cell>
          <cell r="G569" t="str">
            <v>E11</v>
          </cell>
        </row>
        <row r="570">
          <cell r="B570">
            <v>108306286210</v>
          </cell>
          <cell r="E570">
            <v>46176</v>
          </cell>
          <cell r="F570" t="str">
            <v>18ID</v>
          </cell>
          <cell r="G570" t="str">
            <v>E11</v>
          </cell>
        </row>
        <row r="571">
          <cell r="B571">
            <v>308587091320</v>
          </cell>
          <cell r="E571">
            <v>46175</v>
          </cell>
          <cell r="F571" t="str">
            <v>18ID</v>
          </cell>
          <cell r="G571" t="str">
            <v>E42</v>
          </cell>
        </row>
        <row r="572">
          <cell r="B572">
            <v>308587147430</v>
          </cell>
          <cell r="E572">
            <v>46175</v>
          </cell>
          <cell r="F572" t="str">
            <v>18ID</v>
          </cell>
          <cell r="G572" t="str">
            <v>E42</v>
          </cell>
        </row>
        <row r="573">
          <cell r="B573">
            <v>308587209620</v>
          </cell>
          <cell r="E573">
            <v>46175</v>
          </cell>
          <cell r="F573" t="str">
            <v>18ID</v>
          </cell>
          <cell r="G573" t="str">
            <v>E42</v>
          </cell>
        </row>
        <row r="574">
          <cell r="B574">
            <v>308595999740</v>
          </cell>
          <cell r="E574">
            <v>46175</v>
          </cell>
          <cell r="F574" t="str">
            <v>18ID</v>
          </cell>
          <cell r="G574" t="str">
            <v>E42</v>
          </cell>
        </row>
        <row r="575">
          <cell r="B575">
            <v>308596890030</v>
          </cell>
          <cell r="E575">
            <v>46175</v>
          </cell>
          <cell r="F575" t="str">
            <v>18ID</v>
          </cell>
          <cell r="G575" t="str">
            <v>E42</v>
          </cell>
        </row>
        <row r="576">
          <cell r="B576">
            <v>108298940630</v>
          </cell>
          <cell r="E576">
            <v>46175</v>
          </cell>
          <cell r="F576" t="str">
            <v>18ID</v>
          </cell>
          <cell r="G576" t="str">
            <v>E11</v>
          </cell>
        </row>
        <row r="577">
          <cell r="B577">
            <v>108299699430</v>
          </cell>
          <cell r="E577">
            <v>46175</v>
          </cell>
          <cell r="F577" t="str">
            <v>18ID</v>
          </cell>
          <cell r="G577" t="str">
            <v>E11</v>
          </cell>
        </row>
        <row r="578">
          <cell r="B578">
            <v>108300127460</v>
          </cell>
          <cell r="E578">
            <v>46175</v>
          </cell>
          <cell r="F578" t="str">
            <v>18ID</v>
          </cell>
          <cell r="G578" t="str">
            <v>E11</v>
          </cell>
        </row>
        <row r="579">
          <cell r="B579">
            <v>108300854540</v>
          </cell>
          <cell r="E579">
            <v>46175</v>
          </cell>
          <cell r="F579" t="str">
            <v>18ID</v>
          </cell>
          <cell r="G579" t="str">
            <v>E11</v>
          </cell>
        </row>
        <row r="580">
          <cell r="B580">
            <v>108301127060</v>
          </cell>
          <cell r="E580">
            <v>46175</v>
          </cell>
          <cell r="F580" t="str">
            <v>18ID</v>
          </cell>
          <cell r="G580" t="str">
            <v>E11</v>
          </cell>
        </row>
        <row r="581">
          <cell r="B581">
            <v>108301247020</v>
          </cell>
          <cell r="E581">
            <v>46175</v>
          </cell>
          <cell r="F581" t="str">
            <v>18ID</v>
          </cell>
          <cell r="G581" t="str">
            <v>E11</v>
          </cell>
        </row>
        <row r="582">
          <cell r="B582">
            <v>108301476510</v>
          </cell>
          <cell r="E582">
            <v>46175</v>
          </cell>
          <cell r="F582" t="str">
            <v>18ID</v>
          </cell>
          <cell r="G582" t="str">
            <v>E11</v>
          </cell>
        </row>
        <row r="583">
          <cell r="B583">
            <v>108301533760</v>
          </cell>
          <cell r="E583">
            <v>46175</v>
          </cell>
          <cell r="F583" t="str">
            <v>18ID</v>
          </cell>
          <cell r="G583" t="str">
            <v>E11</v>
          </cell>
        </row>
        <row r="584">
          <cell r="B584">
            <v>108301537410</v>
          </cell>
          <cell r="E584">
            <v>46175</v>
          </cell>
          <cell r="F584" t="str">
            <v>18ID</v>
          </cell>
          <cell r="G584" t="str">
            <v>E11</v>
          </cell>
        </row>
        <row r="585">
          <cell r="B585">
            <v>108301736800</v>
          </cell>
          <cell r="E585">
            <v>46175</v>
          </cell>
          <cell r="F585" t="str">
            <v>18ID</v>
          </cell>
          <cell r="G585" t="str">
            <v>E11</v>
          </cell>
        </row>
        <row r="586">
          <cell r="B586">
            <v>108301788340</v>
          </cell>
          <cell r="E586">
            <v>46175</v>
          </cell>
          <cell r="F586" t="str">
            <v>18ID</v>
          </cell>
          <cell r="G586" t="str">
            <v>E11</v>
          </cell>
        </row>
        <row r="587">
          <cell r="B587">
            <v>108301839550</v>
          </cell>
          <cell r="E587">
            <v>46175</v>
          </cell>
          <cell r="F587" t="str">
            <v>18ID</v>
          </cell>
          <cell r="G587" t="str">
            <v>E11</v>
          </cell>
        </row>
        <row r="588">
          <cell r="B588">
            <v>108301865340</v>
          </cell>
          <cell r="E588">
            <v>46175</v>
          </cell>
          <cell r="F588" t="str">
            <v>18ID</v>
          </cell>
          <cell r="G588" t="str">
            <v>E11</v>
          </cell>
        </row>
        <row r="589">
          <cell r="B589">
            <v>108301883210</v>
          </cell>
          <cell r="E589">
            <v>46175</v>
          </cell>
          <cell r="F589" t="str">
            <v>18ID</v>
          </cell>
          <cell r="G589" t="str">
            <v>E11</v>
          </cell>
        </row>
        <row r="590">
          <cell r="B590">
            <v>108301910620</v>
          </cell>
          <cell r="E590">
            <v>46175</v>
          </cell>
          <cell r="F590" t="str">
            <v>18ID</v>
          </cell>
          <cell r="G590" t="str">
            <v>E11</v>
          </cell>
        </row>
        <row r="591">
          <cell r="B591">
            <v>108301948050</v>
          </cell>
          <cell r="E591">
            <v>46175</v>
          </cell>
          <cell r="F591" t="str">
            <v>18ID</v>
          </cell>
          <cell r="G591" t="str">
            <v>E11</v>
          </cell>
        </row>
        <row r="592">
          <cell r="B592">
            <v>108302011200</v>
          </cell>
          <cell r="E592">
            <v>46175</v>
          </cell>
          <cell r="F592" t="str">
            <v>18ID</v>
          </cell>
          <cell r="G592" t="str">
            <v>E11</v>
          </cell>
        </row>
        <row r="593">
          <cell r="B593">
            <v>108302064250</v>
          </cell>
          <cell r="E593">
            <v>46175</v>
          </cell>
          <cell r="F593" t="str">
            <v>18ID</v>
          </cell>
          <cell r="G593" t="str">
            <v>E11</v>
          </cell>
        </row>
        <row r="594">
          <cell r="B594">
            <v>108302066500</v>
          </cell>
          <cell r="E594">
            <v>46175</v>
          </cell>
          <cell r="F594" t="str">
            <v>18ID</v>
          </cell>
          <cell r="G594" t="str">
            <v>E11</v>
          </cell>
        </row>
        <row r="595">
          <cell r="B595">
            <v>108302103930</v>
          </cell>
          <cell r="E595">
            <v>46175</v>
          </cell>
          <cell r="F595" t="str">
            <v>18ID</v>
          </cell>
          <cell r="G595" t="str">
            <v>E11</v>
          </cell>
        </row>
        <row r="596">
          <cell r="B596">
            <v>108302226320</v>
          </cell>
          <cell r="E596">
            <v>46175</v>
          </cell>
          <cell r="F596" t="str">
            <v>18ID</v>
          </cell>
          <cell r="G596" t="str">
            <v>E11</v>
          </cell>
        </row>
        <row r="597">
          <cell r="B597">
            <v>108302265960</v>
          </cell>
          <cell r="C597" t="str">
            <v>108302265960</v>
          </cell>
          <cell r="D597">
            <v>1</v>
          </cell>
          <cell r="E597">
            <v>46175</v>
          </cell>
          <cell r="F597" t="str">
            <v>18ID</v>
          </cell>
          <cell r="G597" t="str">
            <v>E11</v>
          </cell>
        </row>
        <row r="598">
          <cell r="B598">
            <v>108302309510</v>
          </cell>
          <cell r="C598" t="str">
            <v>108302265960</v>
          </cell>
          <cell r="D598">
            <v>2</v>
          </cell>
          <cell r="E598">
            <v>46175</v>
          </cell>
          <cell r="F598" t="str">
            <v>18ID</v>
          </cell>
          <cell r="G598" t="str">
            <v>E11</v>
          </cell>
        </row>
        <row r="599">
          <cell r="B599">
            <v>108302340750</v>
          </cell>
          <cell r="C599" t="str">
            <v>108302265960</v>
          </cell>
          <cell r="D599">
            <v>3</v>
          </cell>
          <cell r="E599">
            <v>46175</v>
          </cell>
          <cell r="F599" t="str">
            <v>18ID</v>
          </cell>
          <cell r="G599" t="str">
            <v>E11</v>
          </cell>
        </row>
        <row r="600">
          <cell r="B600">
            <v>108302341930</v>
          </cell>
          <cell r="C600" t="str">
            <v>108302265960</v>
          </cell>
          <cell r="D600">
            <v>4</v>
          </cell>
          <cell r="E600">
            <v>46175</v>
          </cell>
          <cell r="F600" t="str">
            <v>18ID</v>
          </cell>
          <cell r="G600" t="str">
            <v>E11</v>
          </cell>
        </row>
        <row r="601">
          <cell r="B601">
            <v>108302344140</v>
          </cell>
          <cell r="C601" t="str">
            <v>108302265960</v>
          </cell>
          <cell r="D601">
            <v>5</v>
          </cell>
          <cell r="E601">
            <v>46175</v>
          </cell>
          <cell r="F601" t="str">
            <v>18ID</v>
          </cell>
          <cell r="G601" t="str">
            <v>E11</v>
          </cell>
        </row>
        <row r="602">
          <cell r="B602">
            <v>108302383230</v>
          </cell>
          <cell r="E602">
            <v>46175</v>
          </cell>
          <cell r="F602" t="str">
            <v>18ID</v>
          </cell>
          <cell r="G602" t="str">
            <v>E11</v>
          </cell>
        </row>
        <row r="603">
          <cell r="B603">
            <v>108302425230</v>
          </cell>
          <cell r="E603">
            <v>46175</v>
          </cell>
          <cell r="F603" t="str">
            <v>18ID</v>
          </cell>
          <cell r="G603" t="str">
            <v>E11</v>
          </cell>
        </row>
        <row r="604">
          <cell r="B604">
            <v>108302481560</v>
          </cell>
          <cell r="E604">
            <v>46175</v>
          </cell>
          <cell r="F604" t="str">
            <v>18ID</v>
          </cell>
          <cell r="G604" t="str">
            <v>E11</v>
          </cell>
        </row>
        <row r="605">
          <cell r="B605">
            <v>108302505400</v>
          </cell>
          <cell r="E605">
            <v>46175</v>
          </cell>
          <cell r="F605" t="str">
            <v>18ID</v>
          </cell>
          <cell r="G605" t="str">
            <v>E11</v>
          </cell>
        </row>
        <row r="606">
          <cell r="B606">
            <v>108302539920</v>
          </cell>
          <cell r="E606">
            <v>46175</v>
          </cell>
          <cell r="F606" t="str">
            <v>18ID</v>
          </cell>
          <cell r="G606" t="str">
            <v>E11</v>
          </cell>
        </row>
        <row r="607">
          <cell r="B607">
            <v>108302566520</v>
          </cell>
          <cell r="E607">
            <v>46175</v>
          </cell>
          <cell r="F607" t="str">
            <v>18ID</v>
          </cell>
          <cell r="G607" t="str">
            <v>E11</v>
          </cell>
        </row>
        <row r="608">
          <cell r="B608">
            <v>108296994960</v>
          </cell>
          <cell r="E608">
            <v>46174</v>
          </cell>
          <cell r="F608" t="str">
            <v>18ID</v>
          </cell>
          <cell r="G608" t="str">
            <v>E13</v>
          </cell>
        </row>
        <row r="609">
          <cell r="B609">
            <v>108289565640</v>
          </cell>
          <cell r="E609">
            <v>46171</v>
          </cell>
          <cell r="F609" t="str">
            <v>18ID</v>
          </cell>
          <cell r="G609" t="str">
            <v>E13</v>
          </cell>
        </row>
        <row r="610">
          <cell r="B610">
            <v>108290728450</v>
          </cell>
          <cell r="E610">
            <v>46171</v>
          </cell>
          <cell r="F610" t="str">
            <v>18ID</v>
          </cell>
          <cell r="G610" t="str">
            <v>E13</v>
          </cell>
        </row>
        <row r="611">
          <cell r="B611">
            <v>108288915010</v>
          </cell>
          <cell r="E611">
            <v>46171</v>
          </cell>
          <cell r="F611" t="str">
            <v>18ID</v>
          </cell>
          <cell r="G611" t="str">
            <v>G13</v>
          </cell>
        </row>
        <row r="612">
          <cell r="B612">
            <v>308582689831</v>
          </cell>
          <cell r="E612">
            <v>46171</v>
          </cell>
          <cell r="F612" t="str">
            <v>18ID</v>
          </cell>
          <cell r="G612" t="str">
            <v>B13</v>
          </cell>
        </row>
        <row r="613">
          <cell r="B613">
            <v>308584507140</v>
          </cell>
          <cell r="E613">
            <v>46171</v>
          </cell>
          <cell r="F613" t="str">
            <v>18ID</v>
          </cell>
          <cell r="G613" t="str">
            <v>E42</v>
          </cell>
        </row>
        <row r="614">
          <cell r="B614">
            <v>308585802140</v>
          </cell>
          <cell r="E614">
            <v>46171</v>
          </cell>
          <cell r="F614" t="str">
            <v>18ID</v>
          </cell>
          <cell r="G614" t="str">
            <v>E42</v>
          </cell>
        </row>
        <row r="615">
          <cell r="B615">
            <v>308586523840</v>
          </cell>
          <cell r="E615">
            <v>46171</v>
          </cell>
          <cell r="F615" t="str">
            <v>18ID</v>
          </cell>
          <cell r="G615" t="str">
            <v>E42</v>
          </cell>
        </row>
        <row r="616">
          <cell r="B616">
            <v>308586692760</v>
          </cell>
          <cell r="E616">
            <v>46171</v>
          </cell>
          <cell r="F616" t="str">
            <v>18ID</v>
          </cell>
          <cell r="G616" t="str">
            <v>E42</v>
          </cell>
        </row>
        <row r="617">
          <cell r="B617">
            <v>308586764160</v>
          </cell>
          <cell r="E617">
            <v>46171</v>
          </cell>
          <cell r="F617" t="str">
            <v>18ID</v>
          </cell>
          <cell r="G617" t="str">
            <v>E42</v>
          </cell>
        </row>
        <row r="618">
          <cell r="B618">
            <v>308586839760</v>
          </cell>
          <cell r="E618">
            <v>46171</v>
          </cell>
          <cell r="F618" t="str">
            <v>18ID</v>
          </cell>
          <cell r="G618" t="str">
            <v>E42</v>
          </cell>
        </row>
        <row r="619">
          <cell r="B619">
            <v>308586901250</v>
          </cell>
          <cell r="E619">
            <v>46171</v>
          </cell>
          <cell r="F619" t="str">
            <v>18ID</v>
          </cell>
          <cell r="G619" t="str">
            <v>E42</v>
          </cell>
        </row>
        <row r="620">
          <cell r="B620">
            <v>108288532660</v>
          </cell>
          <cell r="E620">
            <v>46171</v>
          </cell>
          <cell r="F620" t="str">
            <v>18ID</v>
          </cell>
          <cell r="G620" t="str">
            <v>E11</v>
          </cell>
        </row>
        <row r="621">
          <cell r="B621">
            <v>108288725200</v>
          </cell>
          <cell r="E621">
            <v>46171</v>
          </cell>
          <cell r="F621" t="str">
            <v>18ID</v>
          </cell>
          <cell r="G621" t="str">
            <v>E13</v>
          </cell>
        </row>
        <row r="622">
          <cell r="B622">
            <v>108288741300</v>
          </cell>
          <cell r="E622">
            <v>46171</v>
          </cell>
          <cell r="F622" t="str">
            <v>18ID</v>
          </cell>
          <cell r="G622" t="str">
            <v>E13</v>
          </cell>
        </row>
        <row r="623">
          <cell r="B623">
            <v>108288844200</v>
          </cell>
          <cell r="E623">
            <v>46171</v>
          </cell>
          <cell r="F623" t="str">
            <v>18ID</v>
          </cell>
          <cell r="G623" t="str">
            <v>E13</v>
          </cell>
        </row>
        <row r="624">
          <cell r="B624">
            <v>108289153820</v>
          </cell>
          <cell r="E624">
            <v>46171</v>
          </cell>
          <cell r="F624" t="str">
            <v>18ID</v>
          </cell>
          <cell r="G624" t="str">
            <v>E13</v>
          </cell>
        </row>
        <row r="625">
          <cell r="B625">
            <v>108289268360</v>
          </cell>
          <cell r="E625">
            <v>46171</v>
          </cell>
          <cell r="F625" t="str">
            <v>18ID</v>
          </cell>
          <cell r="G625" t="str">
            <v>E15</v>
          </cell>
        </row>
        <row r="626">
          <cell r="B626">
            <v>108289370820</v>
          </cell>
          <cell r="E626">
            <v>46171</v>
          </cell>
          <cell r="F626" t="str">
            <v>18ID</v>
          </cell>
          <cell r="G626" t="str">
            <v>E15</v>
          </cell>
        </row>
        <row r="627">
          <cell r="B627">
            <v>108289455740</v>
          </cell>
          <cell r="E627">
            <v>46171</v>
          </cell>
          <cell r="F627" t="str">
            <v>18ID</v>
          </cell>
          <cell r="G627" t="str">
            <v>E15</v>
          </cell>
        </row>
        <row r="628">
          <cell r="B628">
            <v>108289554810</v>
          </cell>
          <cell r="E628">
            <v>46171</v>
          </cell>
          <cell r="F628" t="str">
            <v>18ID</v>
          </cell>
          <cell r="G628" t="str">
            <v>E15</v>
          </cell>
        </row>
        <row r="629">
          <cell r="B629">
            <v>108289607530</v>
          </cell>
          <cell r="E629">
            <v>46171</v>
          </cell>
          <cell r="F629" t="str">
            <v>18ID</v>
          </cell>
          <cell r="G629" t="str">
            <v>E11</v>
          </cell>
        </row>
        <row r="630">
          <cell r="B630">
            <v>108289740310</v>
          </cell>
          <cell r="E630">
            <v>46171</v>
          </cell>
          <cell r="F630" t="str">
            <v>18ID</v>
          </cell>
          <cell r="G630" t="str">
            <v>E11</v>
          </cell>
        </row>
        <row r="631">
          <cell r="B631">
            <v>108289968840</v>
          </cell>
          <cell r="E631">
            <v>46171</v>
          </cell>
          <cell r="F631" t="str">
            <v>18ID</v>
          </cell>
          <cell r="G631" t="str">
            <v>E15</v>
          </cell>
        </row>
        <row r="632">
          <cell r="B632">
            <v>108290724400</v>
          </cell>
          <cell r="E632">
            <v>46171</v>
          </cell>
          <cell r="F632" t="str">
            <v>18ID</v>
          </cell>
          <cell r="G632" t="str">
            <v>E11</v>
          </cell>
        </row>
        <row r="633">
          <cell r="B633">
            <v>108290773510</v>
          </cell>
          <cell r="E633">
            <v>46171</v>
          </cell>
          <cell r="F633" t="str">
            <v>18ID</v>
          </cell>
          <cell r="G633" t="str">
            <v>E11</v>
          </cell>
        </row>
        <row r="634">
          <cell r="B634">
            <v>108291010920</v>
          </cell>
          <cell r="E634">
            <v>46171</v>
          </cell>
          <cell r="F634" t="str">
            <v>18ID</v>
          </cell>
          <cell r="G634" t="str">
            <v>E11</v>
          </cell>
        </row>
        <row r="635">
          <cell r="B635">
            <v>108291119900</v>
          </cell>
          <cell r="E635">
            <v>46171</v>
          </cell>
          <cell r="F635" t="str">
            <v>18ID</v>
          </cell>
          <cell r="G635" t="str">
            <v>E11</v>
          </cell>
        </row>
        <row r="636">
          <cell r="B636">
            <v>108291238900</v>
          </cell>
          <cell r="E636">
            <v>46171</v>
          </cell>
          <cell r="F636" t="str">
            <v>18ID</v>
          </cell>
          <cell r="G636" t="str">
            <v>E11</v>
          </cell>
        </row>
        <row r="637">
          <cell r="B637">
            <v>108291286130</v>
          </cell>
          <cell r="E637">
            <v>46171</v>
          </cell>
          <cell r="F637" t="str">
            <v>18ID</v>
          </cell>
          <cell r="G637" t="str">
            <v>E11</v>
          </cell>
        </row>
        <row r="638">
          <cell r="B638">
            <v>108291373300</v>
          </cell>
          <cell r="E638">
            <v>46171</v>
          </cell>
          <cell r="F638" t="str">
            <v>18ID</v>
          </cell>
          <cell r="G638" t="str">
            <v>E11</v>
          </cell>
        </row>
        <row r="639">
          <cell r="B639">
            <v>108291395810</v>
          </cell>
          <cell r="E639">
            <v>46171</v>
          </cell>
          <cell r="F639" t="str">
            <v>18ID</v>
          </cell>
          <cell r="G639" t="str">
            <v>E11</v>
          </cell>
        </row>
        <row r="640">
          <cell r="B640">
            <v>108291445730</v>
          </cell>
          <cell r="E640">
            <v>46171</v>
          </cell>
          <cell r="F640" t="str">
            <v>18ID</v>
          </cell>
          <cell r="G640" t="str">
            <v>E11</v>
          </cell>
        </row>
        <row r="641">
          <cell r="B641">
            <v>108291849740</v>
          </cell>
          <cell r="E641">
            <v>46171</v>
          </cell>
          <cell r="F641" t="str">
            <v>18ID</v>
          </cell>
          <cell r="G641" t="str">
            <v>E15</v>
          </cell>
        </row>
        <row r="642">
          <cell r="B642">
            <v>108291605440</v>
          </cell>
          <cell r="E642">
            <v>46171</v>
          </cell>
          <cell r="F642" t="str">
            <v>18ID</v>
          </cell>
          <cell r="G642" t="str">
            <v>E11</v>
          </cell>
        </row>
        <row r="643">
          <cell r="B643">
            <v>108288349300</v>
          </cell>
          <cell r="E643">
            <v>46171</v>
          </cell>
          <cell r="F643" t="str">
            <v>18ID</v>
          </cell>
          <cell r="G643" t="str">
            <v>E13</v>
          </cell>
        </row>
        <row r="644">
          <cell r="B644">
            <v>108290351040</v>
          </cell>
          <cell r="E644">
            <v>46171</v>
          </cell>
          <cell r="F644" t="str">
            <v>18ID</v>
          </cell>
          <cell r="G644" t="str">
            <v>E11</v>
          </cell>
        </row>
        <row r="645">
          <cell r="B645">
            <v>108285438810</v>
          </cell>
          <cell r="E645">
            <v>46170</v>
          </cell>
          <cell r="F645" t="str">
            <v>18ID</v>
          </cell>
          <cell r="G645" t="str">
            <v>E13</v>
          </cell>
        </row>
        <row r="646">
          <cell r="B646">
            <v>308577664641</v>
          </cell>
          <cell r="E646">
            <v>46170</v>
          </cell>
          <cell r="F646" t="str">
            <v>18ID</v>
          </cell>
          <cell r="G646" t="str">
            <v>G23</v>
          </cell>
        </row>
        <row r="647">
          <cell r="B647">
            <v>308577690911</v>
          </cell>
          <cell r="E647">
            <v>46170</v>
          </cell>
          <cell r="F647" t="str">
            <v>18ID</v>
          </cell>
          <cell r="G647" t="str">
            <v>G23</v>
          </cell>
        </row>
        <row r="648">
          <cell r="B648">
            <v>308579461320</v>
          </cell>
          <cell r="E648">
            <v>46170</v>
          </cell>
          <cell r="F648" t="str">
            <v>18ID</v>
          </cell>
          <cell r="G648" t="str">
            <v>E42</v>
          </cell>
        </row>
        <row r="649">
          <cell r="B649">
            <v>308580163860</v>
          </cell>
          <cell r="E649">
            <v>46170</v>
          </cell>
          <cell r="F649" t="str">
            <v>18ID</v>
          </cell>
          <cell r="G649" t="str">
            <v>E42</v>
          </cell>
        </row>
        <row r="650">
          <cell r="B650">
            <v>308580678620</v>
          </cell>
          <cell r="E650">
            <v>46170</v>
          </cell>
          <cell r="F650" t="str">
            <v>18ID</v>
          </cell>
          <cell r="G650" t="str">
            <v>E42</v>
          </cell>
        </row>
        <row r="651">
          <cell r="B651">
            <v>108284349940</v>
          </cell>
          <cell r="E651">
            <v>46170</v>
          </cell>
          <cell r="F651" t="str">
            <v>18ID</v>
          </cell>
          <cell r="G651" t="str">
            <v>E11</v>
          </cell>
        </row>
        <row r="652">
          <cell r="B652">
            <v>108284628320</v>
          </cell>
          <cell r="E652">
            <v>46170</v>
          </cell>
          <cell r="F652" t="str">
            <v>18ID</v>
          </cell>
          <cell r="G652" t="str">
            <v>E11</v>
          </cell>
        </row>
        <row r="653">
          <cell r="B653">
            <v>108284738440</v>
          </cell>
          <cell r="E653">
            <v>46170</v>
          </cell>
          <cell r="F653" t="str">
            <v>18ID</v>
          </cell>
          <cell r="G653" t="str">
            <v>E11</v>
          </cell>
        </row>
        <row r="654">
          <cell r="B654">
            <v>108284738810</v>
          </cell>
          <cell r="E654">
            <v>46170</v>
          </cell>
          <cell r="F654" t="str">
            <v>18ID</v>
          </cell>
          <cell r="G654" t="str">
            <v>E11</v>
          </cell>
        </row>
        <row r="655">
          <cell r="B655">
            <v>108285265100</v>
          </cell>
          <cell r="E655">
            <v>46170</v>
          </cell>
          <cell r="F655" t="str">
            <v>18ID</v>
          </cell>
          <cell r="G655" t="str">
            <v>E11</v>
          </cell>
        </row>
        <row r="656">
          <cell r="B656">
            <v>108285268010</v>
          </cell>
          <cell r="E656">
            <v>46170</v>
          </cell>
          <cell r="F656" t="str">
            <v>18ID</v>
          </cell>
          <cell r="G656" t="str">
            <v>E11</v>
          </cell>
        </row>
        <row r="657">
          <cell r="B657">
            <v>108286731010</v>
          </cell>
          <cell r="E657">
            <v>46170</v>
          </cell>
          <cell r="F657" t="str">
            <v>18ID</v>
          </cell>
          <cell r="G657" t="str">
            <v>E11</v>
          </cell>
        </row>
        <row r="658">
          <cell r="B658">
            <v>108287392510</v>
          </cell>
          <cell r="E658">
            <v>46170</v>
          </cell>
          <cell r="F658" t="str">
            <v>18ID</v>
          </cell>
          <cell r="G658" t="str">
            <v>E11</v>
          </cell>
        </row>
        <row r="659">
          <cell r="B659">
            <v>108287416860</v>
          </cell>
          <cell r="E659">
            <v>46170</v>
          </cell>
          <cell r="F659" t="str">
            <v>18ID</v>
          </cell>
          <cell r="G659" t="str">
            <v>E11</v>
          </cell>
        </row>
        <row r="660">
          <cell r="B660">
            <v>108287492020</v>
          </cell>
          <cell r="E660">
            <v>46170</v>
          </cell>
          <cell r="F660" t="str">
            <v>18ID</v>
          </cell>
          <cell r="G660" t="str">
            <v>E11</v>
          </cell>
        </row>
        <row r="661">
          <cell r="B661">
            <v>108287496330</v>
          </cell>
          <cell r="E661">
            <v>46170</v>
          </cell>
          <cell r="F661" t="str">
            <v>18ID</v>
          </cell>
          <cell r="G661" t="str">
            <v>E11</v>
          </cell>
        </row>
        <row r="662">
          <cell r="B662">
            <v>108287540060</v>
          </cell>
          <cell r="E662">
            <v>46170</v>
          </cell>
          <cell r="F662" t="str">
            <v>18ID</v>
          </cell>
          <cell r="G662" t="str">
            <v>E11</v>
          </cell>
        </row>
        <row r="663">
          <cell r="B663">
            <v>108287560250</v>
          </cell>
          <cell r="E663">
            <v>46170</v>
          </cell>
          <cell r="F663" t="str">
            <v>18ID</v>
          </cell>
          <cell r="G663" t="str">
            <v>E11</v>
          </cell>
        </row>
        <row r="664">
          <cell r="B664">
            <v>108287600740</v>
          </cell>
          <cell r="E664">
            <v>46170</v>
          </cell>
          <cell r="F664" t="str">
            <v>18ID</v>
          </cell>
          <cell r="G664" t="str">
            <v>E11</v>
          </cell>
        </row>
        <row r="665">
          <cell r="B665">
            <v>108287997900</v>
          </cell>
          <cell r="E665">
            <v>46170</v>
          </cell>
          <cell r="F665" t="str">
            <v>18ID</v>
          </cell>
          <cell r="G665" t="str">
            <v>E11</v>
          </cell>
        </row>
        <row r="666">
          <cell r="B666">
            <v>108288020040</v>
          </cell>
          <cell r="E666">
            <v>46170</v>
          </cell>
          <cell r="F666" t="str">
            <v>18ID</v>
          </cell>
          <cell r="G666" t="str">
            <v>E11</v>
          </cell>
        </row>
        <row r="667">
          <cell r="B667">
            <v>108288030100</v>
          </cell>
          <cell r="E667">
            <v>46170</v>
          </cell>
          <cell r="F667" t="str">
            <v>18ID</v>
          </cell>
          <cell r="G667" t="str">
            <v>E11</v>
          </cell>
        </row>
        <row r="668">
          <cell r="B668">
            <v>108288042660</v>
          </cell>
          <cell r="E668">
            <v>46170</v>
          </cell>
          <cell r="F668" t="str">
            <v>18ID</v>
          </cell>
          <cell r="G668" t="str">
            <v>E11</v>
          </cell>
        </row>
        <row r="669">
          <cell r="B669">
            <v>108288050840</v>
          </cell>
          <cell r="E669">
            <v>46170</v>
          </cell>
          <cell r="F669" t="str">
            <v>18ID</v>
          </cell>
          <cell r="G669" t="str">
            <v>E11</v>
          </cell>
        </row>
        <row r="670">
          <cell r="B670">
            <v>108288062740</v>
          </cell>
          <cell r="E670">
            <v>46170</v>
          </cell>
          <cell r="F670" t="str">
            <v>18ID</v>
          </cell>
          <cell r="G670" t="str">
            <v>E11</v>
          </cell>
        </row>
        <row r="671">
          <cell r="B671">
            <v>108288041630</v>
          </cell>
          <cell r="E671">
            <v>46170</v>
          </cell>
          <cell r="F671" t="str">
            <v>18ID</v>
          </cell>
          <cell r="G671" t="str">
            <v>E11</v>
          </cell>
        </row>
        <row r="672">
          <cell r="B672">
            <v>108279516110</v>
          </cell>
          <cell r="E672">
            <v>46169</v>
          </cell>
          <cell r="F672" t="str">
            <v>18ID</v>
          </cell>
          <cell r="G672" t="str">
            <v>E11</v>
          </cell>
        </row>
        <row r="673">
          <cell r="B673">
            <v>108282851460</v>
          </cell>
          <cell r="E673">
            <v>46169</v>
          </cell>
          <cell r="F673" t="str">
            <v>18ID</v>
          </cell>
          <cell r="G673" t="str">
            <v>E11</v>
          </cell>
        </row>
        <row r="674">
          <cell r="B674">
            <v>308574827100</v>
          </cell>
          <cell r="E674">
            <v>46169</v>
          </cell>
          <cell r="F674" t="str">
            <v>18ID</v>
          </cell>
          <cell r="G674" t="str">
            <v>E42</v>
          </cell>
        </row>
        <row r="675">
          <cell r="B675">
            <v>308575442360</v>
          </cell>
          <cell r="E675">
            <v>46169</v>
          </cell>
          <cell r="F675" t="str">
            <v>18ID</v>
          </cell>
          <cell r="G675" t="str">
            <v>E42</v>
          </cell>
        </row>
        <row r="676">
          <cell r="B676">
            <v>108283278610</v>
          </cell>
          <cell r="E676">
            <v>46169</v>
          </cell>
          <cell r="F676" t="str">
            <v>18ID</v>
          </cell>
          <cell r="G676" t="str">
            <v>G13</v>
          </cell>
        </row>
        <row r="677">
          <cell r="B677">
            <v>108282608230</v>
          </cell>
          <cell r="E677">
            <v>46169</v>
          </cell>
          <cell r="F677" t="str">
            <v>18ID</v>
          </cell>
          <cell r="G677" t="str">
            <v>E13</v>
          </cell>
        </row>
        <row r="678">
          <cell r="B678">
            <v>108283244161</v>
          </cell>
          <cell r="E678">
            <v>46169</v>
          </cell>
          <cell r="F678" t="str">
            <v>18ID</v>
          </cell>
          <cell r="G678" t="str">
            <v>E13</v>
          </cell>
        </row>
        <row r="679">
          <cell r="B679">
            <v>108280584310</v>
          </cell>
          <cell r="E679">
            <v>46169</v>
          </cell>
          <cell r="F679" t="str">
            <v>18ID</v>
          </cell>
          <cell r="G679" t="str">
            <v>E11</v>
          </cell>
        </row>
        <row r="680">
          <cell r="B680">
            <v>108282461450</v>
          </cell>
          <cell r="E680">
            <v>46169</v>
          </cell>
          <cell r="F680" t="str">
            <v>18ID</v>
          </cell>
          <cell r="G680" t="str">
            <v>E11</v>
          </cell>
        </row>
        <row r="681">
          <cell r="B681">
            <v>108282760610</v>
          </cell>
          <cell r="E681">
            <v>46169</v>
          </cell>
          <cell r="F681" t="str">
            <v>18ID</v>
          </cell>
          <cell r="G681" t="str">
            <v>E11</v>
          </cell>
        </row>
        <row r="682">
          <cell r="B682">
            <v>108283249060</v>
          </cell>
          <cell r="E682">
            <v>46169</v>
          </cell>
          <cell r="F682" t="str">
            <v>18ID</v>
          </cell>
          <cell r="G682" t="str">
            <v>E11</v>
          </cell>
        </row>
        <row r="683">
          <cell r="B683">
            <v>108283587160</v>
          </cell>
          <cell r="E683">
            <v>46169</v>
          </cell>
          <cell r="F683" t="str">
            <v>18ID</v>
          </cell>
          <cell r="G683" t="str">
            <v>E11</v>
          </cell>
        </row>
        <row r="684">
          <cell r="B684">
            <v>108283683800</v>
          </cell>
          <cell r="E684">
            <v>46169</v>
          </cell>
          <cell r="F684" t="str">
            <v>18ID</v>
          </cell>
          <cell r="G684" t="str">
            <v>E11</v>
          </cell>
        </row>
        <row r="685">
          <cell r="B685">
            <v>108283742710</v>
          </cell>
          <cell r="E685">
            <v>46169</v>
          </cell>
          <cell r="F685" t="str">
            <v>18ID</v>
          </cell>
          <cell r="G685" t="str">
            <v>E11</v>
          </cell>
        </row>
        <row r="686">
          <cell r="B686">
            <v>108284068430</v>
          </cell>
          <cell r="E686">
            <v>46169</v>
          </cell>
          <cell r="F686" t="str">
            <v>18ID</v>
          </cell>
          <cell r="G686" t="str">
            <v>E11</v>
          </cell>
        </row>
        <row r="687">
          <cell r="B687">
            <v>108284045440</v>
          </cell>
          <cell r="E687">
            <v>46169</v>
          </cell>
          <cell r="F687" t="str">
            <v>18ID</v>
          </cell>
          <cell r="G687" t="str">
            <v>E11</v>
          </cell>
        </row>
        <row r="688">
          <cell r="B688">
            <v>108284114410</v>
          </cell>
          <cell r="E688">
            <v>46169</v>
          </cell>
          <cell r="F688" t="str">
            <v>18ID</v>
          </cell>
          <cell r="G688" t="str">
            <v>E11</v>
          </cell>
        </row>
        <row r="689">
          <cell r="B689">
            <v>108277155120</v>
          </cell>
          <cell r="E689">
            <v>46168</v>
          </cell>
          <cell r="F689" t="str">
            <v>18ID</v>
          </cell>
          <cell r="G689" t="str">
            <v>E13</v>
          </cell>
        </row>
        <row r="690">
          <cell r="B690">
            <v>308556901500</v>
          </cell>
          <cell r="E690">
            <v>46168</v>
          </cell>
          <cell r="F690" t="str">
            <v>18ID</v>
          </cell>
          <cell r="G690" t="str">
            <v>E42</v>
          </cell>
        </row>
        <row r="691">
          <cell r="B691">
            <v>108277290700</v>
          </cell>
          <cell r="E691">
            <v>46168</v>
          </cell>
          <cell r="F691" t="str">
            <v>18ID</v>
          </cell>
          <cell r="G691" t="str">
            <v>E13</v>
          </cell>
        </row>
        <row r="692">
          <cell r="B692">
            <v>108277391130</v>
          </cell>
          <cell r="E692">
            <v>46168</v>
          </cell>
          <cell r="F692" t="str">
            <v>18ID</v>
          </cell>
          <cell r="G692" t="str">
            <v>E13</v>
          </cell>
        </row>
        <row r="693">
          <cell r="B693">
            <v>308570208721</v>
          </cell>
          <cell r="E693">
            <v>46168</v>
          </cell>
          <cell r="F693" t="str">
            <v>18ID</v>
          </cell>
          <cell r="G693" t="str">
            <v>B13</v>
          </cell>
        </row>
        <row r="694">
          <cell r="B694">
            <v>108279655260</v>
          </cell>
          <cell r="E694">
            <v>46168</v>
          </cell>
          <cell r="F694" t="str">
            <v>18ID</v>
          </cell>
          <cell r="G694" t="str">
            <v>G13</v>
          </cell>
        </row>
        <row r="695">
          <cell r="B695">
            <v>108279696820</v>
          </cell>
          <cell r="E695">
            <v>46168</v>
          </cell>
          <cell r="F695" t="str">
            <v>18ID</v>
          </cell>
          <cell r="G695" t="str">
            <v>E13</v>
          </cell>
        </row>
        <row r="696">
          <cell r="B696">
            <v>108276621500</v>
          </cell>
          <cell r="E696">
            <v>46168</v>
          </cell>
          <cell r="F696" t="str">
            <v>18ID</v>
          </cell>
          <cell r="G696" t="str">
            <v>E15</v>
          </cell>
        </row>
        <row r="697">
          <cell r="B697">
            <v>108277141340</v>
          </cell>
          <cell r="E697">
            <v>46168</v>
          </cell>
          <cell r="F697" t="str">
            <v>18ID</v>
          </cell>
          <cell r="G697" t="str">
            <v>E11</v>
          </cell>
        </row>
        <row r="698">
          <cell r="B698">
            <v>108277159320</v>
          </cell>
          <cell r="E698">
            <v>46168</v>
          </cell>
          <cell r="F698" t="str">
            <v>18ID</v>
          </cell>
          <cell r="G698" t="str">
            <v>E11</v>
          </cell>
        </row>
        <row r="699">
          <cell r="B699">
            <v>108277197450</v>
          </cell>
          <cell r="E699">
            <v>46168</v>
          </cell>
          <cell r="F699" t="str">
            <v>18ID</v>
          </cell>
          <cell r="G699" t="str">
            <v>E11</v>
          </cell>
        </row>
        <row r="700">
          <cell r="B700">
            <v>108277316230</v>
          </cell>
          <cell r="E700">
            <v>46168</v>
          </cell>
          <cell r="F700" t="str">
            <v>18ID</v>
          </cell>
          <cell r="G700" t="str">
            <v>E11</v>
          </cell>
        </row>
        <row r="701">
          <cell r="B701">
            <v>108277360110</v>
          </cell>
          <cell r="E701">
            <v>46168</v>
          </cell>
          <cell r="F701" t="str">
            <v>18ID</v>
          </cell>
          <cell r="G701" t="str">
            <v>E11</v>
          </cell>
        </row>
        <row r="702">
          <cell r="B702">
            <v>108277380260</v>
          </cell>
          <cell r="E702">
            <v>46168</v>
          </cell>
          <cell r="F702" t="str">
            <v>18ID</v>
          </cell>
          <cell r="G702" t="str">
            <v>E11</v>
          </cell>
        </row>
        <row r="703">
          <cell r="B703">
            <v>108278127640</v>
          </cell>
          <cell r="E703">
            <v>46168</v>
          </cell>
          <cell r="F703" t="str">
            <v>18ID</v>
          </cell>
          <cell r="G703" t="str">
            <v>E11</v>
          </cell>
        </row>
        <row r="704">
          <cell r="B704">
            <v>108278214920</v>
          </cell>
          <cell r="E704">
            <v>46168</v>
          </cell>
          <cell r="F704" t="str">
            <v>18ID</v>
          </cell>
          <cell r="G704" t="str">
            <v>E11</v>
          </cell>
        </row>
        <row r="705">
          <cell r="B705">
            <v>108278448830</v>
          </cell>
          <cell r="E705">
            <v>46168</v>
          </cell>
          <cell r="F705" t="str">
            <v>18ID</v>
          </cell>
          <cell r="G705" t="str">
            <v>E11</v>
          </cell>
        </row>
        <row r="706">
          <cell r="B706">
            <v>108279100750</v>
          </cell>
          <cell r="E706">
            <v>46168</v>
          </cell>
          <cell r="F706" t="str">
            <v>18ID</v>
          </cell>
          <cell r="G706" t="str">
            <v>E11</v>
          </cell>
        </row>
        <row r="707">
          <cell r="B707">
            <v>108279137850</v>
          </cell>
          <cell r="E707">
            <v>46168</v>
          </cell>
          <cell r="F707" t="str">
            <v>18ID</v>
          </cell>
          <cell r="G707" t="str">
            <v>E11</v>
          </cell>
        </row>
        <row r="708">
          <cell r="B708">
            <v>108279205050</v>
          </cell>
          <cell r="E708">
            <v>46168</v>
          </cell>
          <cell r="F708" t="str">
            <v>18ID</v>
          </cell>
          <cell r="G708" t="str">
            <v>E11</v>
          </cell>
        </row>
        <row r="709">
          <cell r="B709">
            <v>108279340410</v>
          </cell>
          <cell r="E709">
            <v>46168</v>
          </cell>
          <cell r="F709" t="str">
            <v>18ID</v>
          </cell>
          <cell r="G709" t="str">
            <v>E11</v>
          </cell>
        </row>
        <row r="710">
          <cell r="B710">
            <v>108279353560</v>
          </cell>
          <cell r="E710">
            <v>46168</v>
          </cell>
          <cell r="F710" t="str">
            <v>18ID</v>
          </cell>
          <cell r="G710" t="str">
            <v>E11</v>
          </cell>
        </row>
        <row r="711">
          <cell r="B711">
            <v>108279462320</v>
          </cell>
          <cell r="E711">
            <v>46168</v>
          </cell>
          <cell r="F711" t="str">
            <v>18ID</v>
          </cell>
          <cell r="G711" t="str">
            <v>E11</v>
          </cell>
        </row>
        <row r="712">
          <cell r="B712">
            <v>108279626340</v>
          </cell>
          <cell r="E712">
            <v>46168</v>
          </cell>
          <cell r="F712" t="str">
            <v>18ID</v>
          </cell>
          <cell r="G712" t="str">
            <v>E11</v>
          </cell>
        </row>
        <row r="713">
          <cell r="B713">
            <v>108279739520</v>
          </cell>
          <cell r="E713">
            <v>46168</v>
          </cell>
          <cell r="F713" t="str">
            <v>18ID</v>
          </cell>
          <cell r="G713" t="str">
            <v>E11</v>
          </cell>
        </row>
        <row r="714">
          <cell r="B714">
            <v>108280003900</v>
          </cell>
          <cell r="E714">
            <v>46168</v>
          </cell>
          <cell r="F714" t="str">
            <v>18ID</v>
          </cell>
          <cell r="G714" t="str">
            <v>E11</v>
          </cell>
        </row>
        <row r="715">
          <cell r="B715">
            <v>108280052160</v>
          </cell>
          <cell r="E715">
            <v>46168</v>
          </cell>
          <cell r="F715" t="str">
            <v>18ID</v>
          </cell>
          <cell r="G715" t="str">
            <v>E11</v>
          </cell>
        </row>
        <row r="716">
          <cell r="B716">
            <v>108280071430</v>
          </cell>
          <cell r="E716">
            <v>46168</v>
          </cell>
          <cell r="F716" t="str">
            <v>18ID</v>
          </cell>
          <cell r="G716" t="str">
            <v>E11</v>
          </cell>
        </row>
        <row r="717">
          <cell r="B717">
            <v>108280081930</v>
          </cell>
          <cell r="E717">
            <v>46168</v>
          </cell>
          <cell r="F717" t="str">
            <v>18ID</v>
          </cell>
          <cell r="G717" t="str">
            <v>E11</v>
          </cell>
        </row>
        <row r="718">
          <cell r="B718">
            <v>108280084620</v>
          </cell>
          <cell r="E718">
            <v>46168</v>
          </cell>
          <cell r="F718" t="str">
            <v>18ID</v>
          </cell>
          <cell r="G718" t="str">
            <v>E11</v>
          </cell>
        </row>
        <row r="719">
          <cell r="B719">
            <v>108280088930</v>
          </cell>
          <cell r="E719">
            <v>46168</v>
          </cell>
          <cell r="F719" t="str">
            <v>18ID</v>
          </cell>
          <cell r="G719" t="str">
            <v>E11</v>
          </cell>
        </row>
        <row r="720">
          <cell r="B720">
            <v>108278553830</v>
          </cell>
          <cell r="E720">
            <v>46168</v>
          </cell>
          <cell r="F720" t="str">
            <v>18ID</v>
          </cell>
          <cell r="G720" t="str">
            <v>E11</v>
          </cell>
        </row>
        <row r="721">
          <cell r="B721">
            <v>108274075230</v>
          </cell>
          <cell r="E721">
            <v>46167</v>
          </cell>
          <cell r="F721" t="str">
            <v>18ID</v>
          </cell>
          <cell r="G721" t="str">
            <v>G13</v>
          </cell>
        </row>
        <row r="722">
          <cell r="B722">
            <v>108269465950</v>
          </cell>
          <cell r="E722">
            <v>46167</v>
          </cell>
          <cell r="F722" t="str">
            <v>18ID</v>
          </cell>
          <cell r="G722" t="str">
            <v>E11</v>
          </cell>
        </row>
        <row r="723">
          <cell r="B723">
            <v>108271894950</v>
          </cell>
          <cell r="E723">
            <v>46167</v>
          </cell>
          <cell r="F723" t="str">
            <v>18ID</v>
          </cell>
          <cell r="G723" t="str">
            <v>E11</v>
          </cell>
        </row>
        <row r="724">
          <cell r="B724">
            <v>108272217760</v>
          </cell>
          <cell r="E724">
            <v>46167</v>
          </cell>
          <cell r="F724" t="str">
            <v>18ID</v>
          </cell>
          <cell r="G724" t="str">
            <v>E11</v>
          </cell>
        </row>
        <row r="725">
          <cell r="B725">
            <v>108275044140</v>
          </cell>
          <cell r="E725">
            <v>46167</v>
          </cell>
          <cell r="F725" t="str">
            <v>18ID</v>
          </cell>
          <cell r="G725" t="str">
            <v>E11</v>
          </cell>
        </row>
        <row r="726">
          <cell r="B726">
            <v>108275053500</v>
          </cell>
          <cell r="E726">
            <v>46167</v>
          </cell>
          <cell r="F726" t="str">
            <v>18ID</v>
          </cell>
          <cell r="G726" t="str">
            <v>E11</v>
          </cell>
        </row>
        <row r="727">
          <cell r="B727">
            <v>108275208420</v>
          </cell>
          <cell r="E727">
            <v>46167</v>
          </cell>
          <cell r="F727" t="str">
            <v>18ID</v>
          </cell>
          <cell r="G727" t="str">
            <v>E11</v>
          </cell>
        </row>
        <row r="728">
          <cell r="B728">
            <v>108275280630</v>
          </cell>
          <cell r="E728">
            <v>46167</v>
          </cell>
          <cell r="F728" t="str">
            <v>18ID</v>
          </cell>
          <cell r="G728" t="str">
            <v>E11</v>
          </cell>
        </row>
        <row r="729">
          <cell r="B729">
            <v>108275293120</v>
          </cell>
          <cell r="E729">
            <v>46167</v>
          </cell>
          <cell r="F729" t="str">
            <v>18ID</v>
          </cell>
          <cell r="G729" t="str">
            <v>E11</v>
          </cell>
        </row>
        <row r="730">
          <cell r="B730">
            <v>108275340830</v>
          </cell>
          <cell r="E730">
            <v>46167</v>
          </cell>
          <cell r="F730" t="str">
            <v>18ID</v>
          </cell>
          <cell r="G730" t="str">
            <v>E11</v>
          </cell>
        </row>
        <row r="731">
          <cell r="B731">
            <v>108275392150</v>
          </cell>
          <cell r="E731">
            <v>46167</v>
          </cell>
          <cell r="F731" t="str">
            <v>18ID</v>
          </cell>
          <cell r="G731" t="str">
            <v>E11</v>
          </cell>
        </row>
        <row r="732">
          <cell r="B732">
            <v>108275443950</v>
          </cell>
          <cell r="E732">
            <v>46167</v>
          </cell>
          <cell r="F732" t="str">
            <v>18ID</v>
          </cell>
          <cell r="G732" t="str">
            <v>E11</v>
          </cell>
        </row>
        <row r="733">
          <cell r="B733">
            <v>108275447120</v>
          </cell>
          <cell r="E733">
            <v>46167</v>
          </cell>
          <cell r="F733" t="str">
            <v>18ID</v>
          </cell>
          <cell r="G733" t="str">
            <v>E11</v>
          </cell>
        </row>
        <row r="734">
          <cell r="B734">
            <v>108275454120</v>
          </cell>
          <cell r="E734">
            <v>46167</v>
          </cell>
          <cell r="F734" t="str">
            <v>18ID</v>
          </cell>
          <cell r="G734" t="str">
            <v>E11</v>
          </cell>
        </row>
        <row r="735">
          <cell r="B735">
            <v>108275486100</v>
          </cell>
          <cell r="E735">
            <v>46167</v>
          </cell>
          <cell r="F735" t="str">
            <v>18ID</v>
          </cell>
          <cell r="G735" t="str">
            <v>E11</v>
          </cell>
        </row>
        <row r="736">
          <cell r="B736">
            <v>108275492360</v>
          </cell>
          <cell r="E736">
            <v>46167</v>
          </cell>
          <cell r="F736" t="str">
            <v>18ID</v>
          </cell>
          <cell r="G736" t="str">
            <v>E11</v>
          </cell>
        </row>
        <row r="737">
          <cell r="B737">
            <v>108275509160</v>
          </cell>
          <cell r="E737">
            <v>46167</v>
          </cell>
          <cell r="F737" t="str">
            <v>18ID</v>
          </cell>
          <cell r="G737" t="str">
            <v>E11</v>
          </cell>
        </row>
        <row r="738">
          <cell r="B738">
            <v>108275530420</v>
          </cell>
          <cell r="E738">
            <v>46167</v>
          </cell>
          <cell r="F738" t="str">
            <v>18ID</v>
          </cell>
          <cell r="G738" t="str">
            <v>E11</v>
          </cell>
        </row>
        <row r="739">
          <cell r="B739">
            <v>108275574740</v>
          </cell>
          <cell r="E739">
            <v>46167</v>
          </cell>
          <cell r="F739" t="str">
            <v>18ID</v>
          </cell>
          <cell r="G739" t="str">
            <v>E11</v>
          </cell>
        </row>
        <row r="740">
          <cell r="B740">
            <v>108275582660</v>
          </cell>
          <cell r="E740">
            <v>46167</v>
          </cell>
          <cell r="F740" t="str">
            <v>18ID</v>
          </cell>
          <cell r="G740" t="str">
            <v>E11</v>
          </cell>
        </row>
        <row r="741">
          <cell r="B741">
            <v>108275605540</v>
          </cell>
          <cell r="E741">
            <v>46167</v>
          </cell>
          <cell r="F741" t="str">
            <v>18ID</v>
          </cell>
          <cell r="G741" t="str">
            <v>E11</v>
          </cell>
        </row>
        <row r="742">
          <cell r="B742">
            <v>108275623740</v>
          </cell>
          <cell r="E742">
            <v>46167</v>
          </cell>
          <cell r="F742" t="str">
            <v>18ID</v>
          </cell>
          <cell r="G742" t="str">
            <v>E11</v>
          </cell>
        </row>
        <row r="743">
          <cell r="B743">
            <v>108275640430</v>
          </cell>
          <cell r="E743">
            <v>46167</v>
          </cell>
          <cell r="F743" t="str">
            <v>18ID</v>
          </cell>
          <cell r="G743" t="str">
            <v>E11</v>
          </cell>
        </row>
        <row r="744">
          <cell r="B744">
            <v>108275655020</v>
          </cell>
          <cell r="E744">
            <v>46167</v>
          </cell>
          <cell r="F744" t="str">
            <v>18ID</v>
          </cell>
          <cell r="G744" t="str">
            <v>E11</v>
          </cell>
        </row>
        <row r="745">
          <cell r="B745">
            <v>108275668760</v>
          </cell>
          <cell r="E745">
            <v>46167</v>
          </cell>
          <cell r="F745" t="str">
            <v>18ID</v>
          </cell>
          <cell r="G745" t="str">
            <v>E11</v>
          </cell>
        </row>
        <row r="746">
          <cell r="B746">
            <v>108275696320</v>
          </cell>
          <cell r="E746">
            <v>46167</v>
          </cell>
          <cell r="F746" t="str">
            <v>18ID</v>
          </cell>
          <cell r="G746" t="str">
            <v>E11</v>
          </cell>
        </row>
        <row r="747">
          <cell r="B747">
            <v>108275703100</v>
          </cell>
          <cell r="E747">
            <v>46167</v>
          </cell>
          <cell r="F747" t="str">
            <v>18ID</v>
          </cell>
          <cell r="G747" t="str">
            <v>E11</v>
          </cell>
        </row>
        <row r="748">
          <cell r="B748">
            <v>108275730510</v>
          </cell>
          <cell r="E748">
            <v>46167</v>
          </cell>
          <cell r="F748" t="str">
            <v>18ID</v>
          </cell>
          <cell r="G748" t="str">
            <v>E11</v>
          </cell>
        </row>
        <row r="749">
          <cell r="B749">
            <v>108275741820</v>
          </cell>
          <cell r="E749">
            <v>46167</v>
          </cell>
          <cell r="F749" t="str">
            <v>18ID</v>
          </cell>
          <cell r="G749" t="str">
            <v>E11</v>
          </cell>
        </row>
        <row r="750">
          <cell r="B750">
            <v>108275769010</v>
          </cell>
          <cell r="E750">
            <v>46167</v>
          </cell>
          <cell r="F750" t="str">
            <v>18ID</v>
          </cell>
          <cell r="G750" t="str">
            <v>E11</v>
          </cell>
        </row>
        <row r="751">
          <cell r="B751">
            <v>108275788610</v>
          </cell>
          <cell r="E751">
            <v>46167</v>
          </cell>
          <cell r="F751" t="str">
            <v>18ID</v>
          </cell>
          <cell r="G751" t="str">
            <v>E11</v>
          </cell>
        </row>
        <row r="752">
          <cell r="B752">
            <v>108275794910</v>
          </cell>
          <cell r="E752">
            <v>46167</v>
          </cell>
          <cell r="F752" t="str">
            <v>18ID</v>
          </cell>
          <cell r="G752" t="str">
            <v>E11</v>
          </cell>
        </row>
        <row r="753">
          <cell r="B753">
            <v>108275821250</v>
          </cell>
          <cell r="E753">
            <v>46167</v>
          </cell>
          <cell r="F753" t="str">
            <v>18ID</v>
          </cell>
          <cell r="G753" t="str">
            <v>E11</v>
          </cell>
        </row>
        <row r="754">
          <cell r="B754">
            <v>108275861630</v>
          </cell>
          <cell r="E754">
            <v>46167</v>
          </cell>
          <cell r="F754" t="str">
            <v>18ID</v>
          </cell>
          <cell r="G754" t="str">
            <v>E11</v>
          </cell>
        </row>
        <row r="755">
          <cell r="B755">
            <v>108275872130</v>
          </cell>
          <cell r="E755">
            <v>46167</v>
          </cell>
          <cell r="F755" t="str">
            <v>18ID</v>
          </cell>
          <cell r="G755" t="str">
            <v>E11</v>
          </cell>
        </row>
        <row r="756">
          <cell r="B756">
            <v>108275887750</v>
          </cell>
          <cell r="E756">
            <v>46167</v>
          </cell>
          <cell r="F756" t="str">
            <v>18ID</v>
          </cell>
          <cell r="G756" t="str">
            <v>E11</v>
          </cell>
        </row>
        <row r="757">
          <cell r="B757">
            <v>108275898250</v>
          </cell>
          <cell r="E757">
            <v>46167</v>
          </cell>
          <cell r="F757" t="str">
            <v>18ID</v>
          </cell>
          <cell r="G757" t="str">
            <v>E11</v>
          </cell>
        </row>
        <row r="758">
          <cell r="B758">
            <v>108275908200</v>
          </cell>
          <cell r="E758">
            <v>46167</v>
          </cell>
          <cell r="F758" t="str">
            <v>18ID</v>
          </cell>
          <cell r="G758" t="str">
            <v>E13</v>
          </cell>
        </row>
        <row r="759">
          <cell r="B759">
            <v>108276113960</v>
          </cell>
          <cell r="E759">
            <v>46167</v>
          </cell>
          <cell r="F759" t="str">
            <v>18ID</v>
          </cell>
          <cell r="G759" t="str">
            <v>E11</v>
          </cell>
        </row>
        <row r="760">
          <cell r="B760">
            <v>108276114700</v>
          </cell>
          <cell r="E760">
            <v>46167</v>
          </cell>
          <cell r="F760" t="str">
            <v>18ID</v>
          </cell>
          <cell r="G760" t="str">
            <v>E11</v>
          </cell>
        </row>
        <row r="761">
          <cell r="B761">
            <v>108276136950</v>
          </cell>
          <cell r="E761">
            <v>46167</v>
          </cell>
          <cell r="F761" t="str">
            <v>18ID</v>
          </cell>
          <cell r="G761" t="str">
            <v>E11</v>
          </cell>
        </row>
        <row r="762">
          <cell r="B762">
            <v>108276159350</v>
          </cell>
          <cell r="E762">
            <v>46167</v>
          </cell>
          <cell r="F762" t="str">
            <v>18ID</v>
          </cell>
          <cell r="G762" t="str">
            <v>E11</v>
          </cell>
        </row>
        <row r="763">
          <cell r="B763">
            <v>108276175230</v>
          </cell>
          <cell r="E763">
            <v>46167</v>
          </cell>
          <cell r="F763" t="str">
            <v>18ID</v>
          </cell>
          <cell r="G763" t="str">
            <v>E11</v>
          </cell>
        </row>
        <row r="764">
          <cell r="B764">
            <v>108276176300</v>
          </cell>
          <cell r="E764">
            <v>46167</v>
          </cell>
          <cell r="F764" t="str">
            <v>18ID</v>
          </cell>
          <cell r="G764" t="str">
            <v>E11</v>
          </cell>
        </row>
        <row r="765">
          <cell r="B765">
            <v>108276180720</v>
          </cell>
          <cell r="E765">
            <v>46167</v>
          </cell>
          <cell r="F765" t="str">
            <v>18ID</v>
          </cell>
          <cell r="G765" t="str">
            <v>E11</v>
          </cell>
        </row>
        <row r="766">
          <cell r="B766">
            <v>108276189930</v>
          </cell>
          <cell r="E766">
            <v>46167</v>
          </cell>
          <cell r="F766" t="str">
            <v>18ID</v>
          </cell>
          <cell r="G766" t="str">
            <v>E11</v>
          </cell>
        </row>
        <row r="767">
          <cell r="B767">
            <v>108276197040</v>
          </cell>
          <cell r="E767">
            <v>46167</v>
          </cell>
          <cell r="F767" t="str">
            <v>18ID</v>
          </cell>
          <cell r="G767" t="str">
            <v>E11</v>
          </cell>
        </row>
        <row r="768">
          <cell r="B768">
            <v>108275660360</v>
          </cell>
          <cell r="E768">
            <v>46167</v>
          </cell>
          <cell r="F768" t="str">
            <v>18ID</v>
          </cell>
          <cell r="G768" t="str">
            <v>E11</v>
          </cell>
        </row>
        <row r="769">
          <cell r="B769">
            <v>108275745060</v>
          </cell>
          <cell r="E769">
            <v>46167</v>
          </cell>
          <cell r="F769" t="str">
            <v>18ID</v>
          </cell>
          <cell r="G769" t="str">
            <v>E11</v>
          </cell>
        </row>
        <row r="770">
          <cell r="B770">
            <v>308553103850</v>
          </cell>
          <cell r="E770">
            <v>46164</v>
          </cell>
          <cell r="F770" t="str">
            <v>18ID</v>
          </cell>
          <cell r="G770" t="str">
            <v>E42</v>
          </cell>
        </row>
        <row r="771">
          <cell r="B771">
            <v>308555319020</v>
          </cell>
          <cell r="E771">
            <v>46164</v>
          </cell>
          <cell r="F771" t="str">
            <v>18ID</v>
          </cell>
          <cell r="G771" t="str">
            <v>E42</v>
          </cell>
        </row>
        <row r="772">
          <cell r="B772">
            <v>308556955730</v>
          </cell>
          <cell r="E772">
            <v>46164</v>
          </cell>
          <cell r="F772" t="str">
            <v>18ID</v>
          </cell>
          <cell r="G772" t="str">
            <v>E42</v>
          </cell>
        </row>
        <row r="773">
          <cell r="B773">
            <v>108268419230</v>
          </cell>
          <cell r="E773">
            <v>46164</v>
          </cell>
          <cell r="F773" t="str">
            <v>18ID</v>
          </cell>
          <cell r="G773" t="str">
            <v>G13</v>
          </cell>
        </row>
        <row r="774">
          <cell r="B774">
            <v>308558217830</v>
          </cell>
          <cell r="E774">
            <v>46164</v>
          </cell>
          <cell r="F774" t="str">
            <v>18ID</v>
          </cell>
          <cell r="G774" t="str">
            <v>E42</v>
          </cell>
        </row>
        <row r="775">
          <cell r="B775">
            <v>308558281860</v>
          </cell>
          <cell r="E775">
            <v>46164</v>
          </cell>
          <cell r="F775" t="str">
            <v>18ID</v>
          </cell>
          <cell r="G775" t="str">
            <v>E42</v>
          </cell>
        </row>
        <row r="776">
          <cell r="B776">
            <v>308558337860</v>
          </cell>
          <cell r="E776">
            <v>46164</v>
          </cell>
          <cell r="F776" t="str">
            <v>18ID</v>
          </cell>
          <cell r="G776" t="str">
            <v>E42</v>
          </cell>
        </row>
        <row r="777">
          <cell r="B777">
            <v>308558476460</v>
          </cell>
          <cell r="E777">
            <v>46164</v>
          </cell>
          <cell r="F777" t="str">
            <v>18ID</v>
          </cell>
          <cell r="G777" t="str">
            <v>E42</v>
          </cell>
        </row>
        <row r="778">
          <cell r="B778">
            <v>308558744930</v>
          </cell>
          <cell r="E778">
            <v>46164</v>
          </cell>
          <cell r="F778" t="str">
            <v>18ID</v>
          </cell>
          <cell r="G778" t="str">
            <v>E42</v>
          </cell>
        </row>
        <row r="779">
          <cell r="B779">
            <v>108268655610</v>
          </cell>
          <cell r="E779">
            <v>46164</v>
          </cell>
          <cell r="F779" t="str">
            <v>18ID</v>
          </cell>
          <cell r="G779" t="str">
            <v>E13</v>
          </cell>
        </row>
        <row r="780">
          <cell r="B780">
            <v>108267266440</v>
          </cell>
          <cell r="E780">
            <v>46164</v>
          </cell>
          <cell r="F780" t="str">
            <v>18ID</v>
          </cell>
          <cell r="G780" t="str">
            <v>E11</v>
          </cell>
        </row>
        <row r="781">
          <cell r="B781">
            <v>108267273700</v>
          </cell>
          <cell r="E781">
            <v>46164</v>
          </cell>
          <cell r="F781" t="str">
            <v>18ID</v>
          </cell>
          <cell r="G781" t="str">
            <v>E11</v>
          </cell>
        </row>
        <row r="782">
          <cell r="B782">
            <v>108267328150</v>
          </cell>
          <cell r="E782">
            <v>46164</v>
          </cell>
          <cell r="F782" t="str">
            <v>18ID</v>
          </cell>
          <cell r="G782" t="str">
            <v>E11</v>
          </cell>
        </row>
        <row r="783">
          <cell r="B783">
            <v>108267543900</v>
          </cell>
          <cell r="C783" t="str">
            <v>108267543900</v>
          </cell>
          <cell r="D783">
            <v>1</v>
          </cell>
          <cell r="E783">
            <v>46164</v>
          </cell>
          <cell r="F783" t="str">
            <v>18ID</v>
          </cell>
          <cell r="G783" t="str">
            <v>E11</v>
          </cell>
        </row>
        <row r="784">
          <cell r="B784">
            <v>108267600010</v>
          </cell>
          <cell r="C784" t="str">
            <v>108267543900</v>
          </cell>
          <cell r="D784">
            <v>2</v>
          </cell>
          <cell r="E784">
            <v>46164</v>
          </cell>
          <cell r="F784" t="str">
            <v>18ID</v>
          </cell>
          <cell r="G784" t="str">
            <v>E11</v>
          </cell>
        </row>
        <row r="785">
          <cell r="B785">
            <v>108267606530</v>
          </cell>
          <cell r="C785" t="str">
            <v>108267543900</v>
          </cell>
          <cell r="D785">
            <v>3</v>
          </cell>
          <cell r="E785">
            <v>46164</v>
          </cell>
          <cell r="F785" t="str">
            <v>18ID</v>
          </cell>
          <cell r="G785" t="str">
            <v>E11</v>
          </cell>
        </row>
        <row r="786">
          <cell r="B786">
            <v>108267614560</v>
          </cell>
          <cell r="C786" t="str">
            <v>108267543900</v>
          </cell>
          <cell r="D786">
            <v>4</v>
          </cell>
          <cell r="E786">
            <v>46164</v>
          </cell>
          <cell r="F786" t="str">
            <v>18ID</v>
          </cell>
          <cell r="G786" t="str">
            <v>E11</v>
          </cell>
        </row>
        <row r="787">
          <cell r="B787">
            <v>108267646430</v>
          </cell>
          <cell r="C787" t="str">
            <v>108267646430</v>
          </cell>
          <cell r="D787">
            <v>1</v>
          </cell>
          <cell r="E787">
            <v>46164</v>
          </cell>
          <cell r="F787" t="str">
            <v>18ID</v>
          </cell>
          <cell r="G787" t="str">
            <v>E11</v>
          </cell>
        </row>
        <row r="788">
          <cell r="B788">
            <v>108267683860</v>
          </cell>
          <cell r="C788" t="str">
            <v>108267646430</v>
          </cell>
          <cell r="D788">
            <v>2</v>
          </cell>
          <cell r="E788">
            <v>46164</v>
          </cell>
          <cell r="F788" t="str">
            <v>18ID</v>
          </cell>
          <cell r="G788" t="str">
            <v>E11</v>
          </cell>
        </row>
        <row r="789">
          <cell r="B789">
            <v>108268037510</v>
          </cell>
          <cell r="E789">
            <v>46164</v>
          </cell>
          <cell r="F789" t="str">
            <v>18ID</v>
          </cell>
          <cell r="G789" t="str">
            <v>E11</v>
          </cell>
        </row>
        <row r="790">
          <cell r="B790">
            <v>108268110640</v>
          </cell>
          <cell r="E790">
            <v>46164</v>
          </cell>
          <cell r="F790" t="str">
            <v>18ID</v>
          </cell>
          <cell r="G790" t="str">
            <v>E11</v>
          </cell>
        </row>
        <row r="791">
          <cell r="B791">
            <v>108268222310</v>
          </cell>
          <cell r="E791">
            <v>46164</v>
          </cell>
          <cell r="F791" t="str">
            <v>18ID</v>
          </cell>
          <cell r="G791" t="str">
            <v>E11</v>
          </cell>
        </row>
        <row r="792">
          <cell r="B792">
            <v>108268513140</v>
          </cell>
          <cell r="E792">
            <v>46164</v>
          </cell>
          <cell r="F792" t="str">
            <v>18ID</v>
          </cell>
          <cell r="G792" t="str">
            <v>E11</v>
          </cell>
        </row>
        <row r="793">
          <cell r="B793">
            <v>108268687660</v>
          </cell>
          <cell r="E793">
            <v>46164</v>
          </cell>
          <cell r="F793" t="str">
            <v>18ID</v>
          </cell>
          <cell r="G793" t="str">
            <v>E11</v>
          </cell>
        </row>
        <row r="794">
          <cell r="B794">
            <v>108268728260</v>
          </cell>
          <cell r="E794">
            <v>46164</v>
          </cell>
          <cell r="F794" t="str">
            <v>18ID</v>
          </cell>
          <cell r="G794" t="str">
            <v>E11</v>
          </cell>
        </row>
        <row r="795">
          <cell r="B795">
            <v>108268771920</v>
          </cell>
          <cell r="E795">
            <v>46164</v>
          </cell>
          <cell r="F795" t="str">
            <v>18ID</v>
          </cell>
          <cell r="G795" t="str">
            <v>E11</v>
          </cell>
        </row>
        <row r="796">
          <cell r="B796">
            <v>108269406010</v>
          </cell>
          <cell r="E796">
            <v>46164</v>
          </cell>
          <cell r="F796" t="str">
            <v>18ID</v>
          </cell>
          <cell r="G796" t="str">
            <v>E11</v>
          </cell>
        </row>
        <row r="797">
          <cell r="B797">
            <v>108269435260</v>
          </cell>
          <cell r="E797">
            <v>46164</v>
          </cell>
          <cell r="F797" t="str">
            <v>18ID</v>
          </cell>
          <cell r="G797" t="str">
            <v>E11</v>
          </cell>
        </row>
        <row r="798">
          <cell r="B798">
            <v>108265172740</v>
          </cell>
          <cell r="E798">
            <v>46163</v>
          </cell>
          <cell r="F798" t="str">
            <v>18ID</v>
          </cell>
          <cell r="G798" t="str">
            <v>E13</v>
          </cell>
        </row>
        <row r="799">
          <cell r="B799">
            <v>108265199340</v>
          </cell>
          <cell r="E799">
            <v>46163</v>
          </cell>
          <cell r="F799" t="str">
            <v>18ID</v>
          </cell>
          <cell r="G799" t="str">
            <v>E13</v>
          </cell>
        </row>
        <row r="800">
          <cell r="B800">
            <v>108263507110</v>
          </cell>
          <cell r="E800">
            <v>46163</v>
          </cell>
          <cell r="F800" t="str">
            <v>18ID</v>
          </cell>
          <cell r="G800" t="str">
            <v>E13</v>
          </cell>
        </row>
        <row r="801">
          <cell r="B801">
            <v>108263911230</v>
          </cell>
          <cell r="E801">
            <v>46163</v>
          </cell>
          <cell r="F801" t="str">
            <v>18ID</v>
          </cell>
          <cell r="G801" t="str">
            <v>E13</v>
          </cell>
        </row>
        <row r="802">
          <cell r="B802">
            <v>108263646410</v>
          </cell>
          <cell r="E802">
            <v>46163</v>
          </cell>
          <cell r="F802" t="str">
            <v>18ID</v>
          </cell>
          <cell r="G802" t="str">
            <v>E13</v>
          </cell>
        </row>
        <row r="803">
          <cell r="B803">
            <v>308554485761</v>
          </cell>
          <cell r="E803">
            <v>46163</v>
          </cell>
          <cell r="F803" t="str">
            <v>18ID</v>
          </cell>
          <cell r="G803" t="str">
            <v>B13</v>
          </cell>
        </row>
        <row r="804">
          <cell r="B804">
            <v>108263337010</v>
          </cell>
          <cell r="E804">
            <v>46163</v>
          </cell>
          <cell r="F804" t="str">
            <v>18ID</v>
          </cell>
          <cell r="G804" t="str">
            <v>E11</v>
          </cell>
        </row>
        <row r="805">
          <cell r="B805">
            <v>108264937100</v>
          </cell>
          <cell r="E805">
            <v>46163</v>
          </cell>
          <cell r="F805" t="str">
            <v>18ID</v>
          </cell>
          <cell r="G805" t="str">
            <v>G13</v>
          </cell>
        </row>
        <row r="806">
          <cell r="B806">
            <v>108262237160</v>
          </cell>
          <cell r="E806">
            <v>46163</v>
          </cell>
          <cell r="F806" t="str">
            <v>18ID</v>
          </cell>
          <cell r="G806" t="str">
            <v>E11</v>
          </cell>
        </row>
        <row r="807">
          <cell r="B807">
            <v>108262321640</v>
          </cell>
          <cell r="E807">
            <v>46163</v>
          </cell>
          <cell r="F807" t="str">
            <v>18ID</v>
          </cell>
          <cell r="G807" t="str">
            <v>E11</v>
          </cell>
        </row>
        <row r="808">
          <cell r="B808">
            <v>108262405640</v>
          </cell>
          <cell r="E808">
            <v>46163</v>
          </cell>
          <cell r="F808" t="str">
            <v>18ID</v>
          </cell>
          <cell r="G808" t="str">
            <v>E11</v>
          </cell>
        </row>
        <row r="809">
          <cell r="B809">
            <v>108263037850</v>
          </cell>
          <cell r="E809">
            <v>46163</v>
          </cell>
          <cell r="F809" t="str">
            <v>18ID</v>
          </cell>
          <cell r="G809" t="str">
            <v>E11</v>
          </cell>
        </row>
        <row r="810">
          <cell r="B810">
            <v>108263184740</v>
          </cell>
          <cell r="E810">
            <v>46163</v>
          </cell>
          <cell r="F810" t="str">
            <v>18ID</v>
          </cell>
          <cell r="G810" t="str">
            <v>E11</v>
          </cell>
        </row>
        <row r="811">
          <cell r="B811">
            <v>108263548850</v>
          </cell>
          <cell r="E811">
            <v>46163</v>
          </cell>
          <cell r="F811" t="str">
            <v>18ID</v>
          </cell>
          <cell r="G811" t="str">
            <v>E11</v>
          </cell>
        </row>
        <row r="812">
          <cell r="B812">
            <v>108263921730</v>
          </cell>
          <cell r="E812">
            <v>46163</v>
          </cell>
          <cell r="F812" t="str">
            <v>18ID</v>
          </cell>
          <cell r="G812" t="str">
            <v>E11</v>
          </cell>
        </row>
        <row r="813">
          <cell r="B813">
            <v>108264055800</v>
          </cell>
          <cell r="E813">
            <v>46163</v>
          </cell>
          <cell r="F813" t="str">
            <v>18ID</v>
          </cell>
          <cell r="G813" t="str">
            <v>E11</v>
          </cell>
        </row>
        <row r="814">
          <cell r="B814">
            <v>108264583010</v>
          </cell>
          <cell r="E814">
            <v>46163</v>
          </cell>
          <cell r="F814" t="str">
            <v>18ID</v>
          </cell>
          <cell r="G814" t="str">
            <v>E11</v>
          </cell>
        </row>
        <row r="815">
          <cell r="B815">
            <v>108264645900</v>
          </cell>
          <cell r="E815">
            <v>46163</v>
          </cell>
          <cell r="F815" t="str">
            <v>18ID</v>
          </cell>
          <cell r="G815" t="str">
            <v>E11</v>
          </cell>
        </row>
        <row r="816">
          <cell r="B816">
            <v>108265406910</v>
          </cell>
          <cell r="E816">
            <v>46163</v>
          </cell>
          <cell r="F816" t="str">
            <v>18ID</v>
          </cell>
          <cell r="G816" t="str">
            <v>E11</v>
          </cell>
        </row>
        <row r="817">
          <cell r="B817">
            <v>108265456020</v>
          </cell>
          <cell r="E817">
            <v>46163</v>
          </cell>
          <cell r="F817" t="str">
            <v>18ID</v>
          </cell>
          <cell r="G817" t="str">
            <v>E11</v>
          </cell>
        </row>
        <row r="818">
          <cell r="B818">
            <v>108265470940</v>
          </cell>
          <cell r="E818">
            <v>46163</v>
          </cell>
          <cell r="F818" t="str">
            <v>18ID</v>
          </cell>
          <cell r="G818" t="str">
            <v>E11</v>
          </cell>
        </row>
        <row r="819">
          <cell r="B819">
            <v>108265481810</v>
          </cell>
          <cell r="E819">
            <v>46163</v>
          </cell>
          <cell r="F819" t="str">
            <v>18ID</v>
          </cell>
          <cell r="G819" t="str">
            <v>E11</v>
          </cell>
        </row>
        <row r="820">
          <cell r="B820">
            <v>108265498350</v>
          </cell>
          <cell r="E820">
            <v>46163</v>
          </cell>
          <cell r="F820" t="str">
            <v>18ID</v>
          </cell>
          <cell r="G820" t="str">
            <v>E11</v>
          </cell>
        </row>
        <row r="821">
          <cell r="B821">
            <v>108265503950</v>
          </cell>
          <cell r="E821">
            <v>46163</v>
          </cell>
          <cell r="F821" t="str">
            <v>18ID</v>
          </cell>
          <cell r="G821" t="str">
            <v>E11</v>
          </cell>
        </row>
        <row r="822">
          <cell r="B822">
            <v>108265515960</v>
          </cell>
          <cell r="E822">
            <v>46163</v>
          </cell>
          <cell r="F822" t="str">
            <v>18ID</v>
          </cell>
          <cell r="G822" t="str">
            <v>E11</v>
          </cell>
        </row>
        <row r="823">
          <cell r="B823">
            <v>108265519940</v>
          </cell>
          <cell r="E823">
            <v>46163</v>
          </cell>
          <cell r="F823" t="str">
            <v>18ID</v>
          </cell>
          <cell r="G823" t="str">
            <v>E11</v>
          </cell>
        </row>
        <row r="824">
          <cell r="B824">
            <v>108265523440</v>
          </cell>
          <cell r="E824">
            <v>46163</v>
          </cell>
          <cell r="F824" t="str">
            <v>18ID</v>
          </cell>
          <cell r="G824" t="str">
            <v>E11</v>
          </cell>
        </row>
        <row r="825">
          <cell r="B825">
            <v>108265530000</v>
          </cell>
          <cell r="E825">
            <v>46163</v>
          </cell>
          <cell r="F825" t="str">
            <v>18ID</v>
          </cell>
          <cell r="G825" t="str">
            <v>E11</v>
          </cell>
        </row>
        <row r="826">
          <cell r="B826">
            <v>108265533720</v>
          </cell>
          <cell r="E826">
            <v>46163</v>
          </cell>
          <cell r="F826" t="str">
            <v>18ID</v>
          </cell>
          <cell r="G826" t="str">
            <v>E11</v>
          </cell>
        </row>
        <row r="827">
          <cell r="B827">
            <v>308544706100</v>
          </cell>
          <cell r="E827">
            <v>46162</v>
          </cell>
          <cell r="F827" t="str">
            <v>18ID</v>
          </cell>
          <cell r="G827" t="str">
            <v>E42</v>
          </cell>
        </row>
        <row r="828">
          <cell r="B828">
            <v>108259790220</v>
          </cell>
          <cell r="E828">
            <v>46162</v>
          </cell>
          <cell r="F828" t="str">
            <v>18ID</v>
          </cell>
          <cell r="G828" t="str">
            <v>E11</v>
          </cell>
        </row>
        <row r="829">
          <cell r="B829">
            <v>108259886120</v>
          </cell>
          <cell r="E829">
            <v>46162</v>
          </cell>
          <cell r="F829" t="str">
            <v>18ID</v>
          </cell>
          <cell r="G829" t="str">
            <v>E11</v>
          </cell>
        </row>
        <row r="830">
          <cell r="B830">
            <v>108260593450</v>
          </cell>
          <cell r="E830">
            <v>46162</v>
          </cell>
          <cell r="F830" t="str">
            <v>18ID</v>
          </cell>
          <cell r="G830" t="str">
            <v>E11</v>
          </cell>
        </row>
        <row r="831">
          <cell r="B831">
            <v>108260641750</v>
          </cell>
          <cell r="E831">
            <v>46162</v>
          </cell>
          <cell r="F831" t="str">
            <v>18ID</v>
          </cell>
          <cell r="G831" t="str">
            <v>E11</v>
          </cell>
        </row>
        <row r="832">
          <cell r="B832">
            <v>108260894120</v>
          </cell>
          <cell r="E832">
            <v>46162</v>
          </cell>
          <cell r="F832" t="str">
            <v>18ID</v>
          </cell>
          <cell r="G832" t="str">
            <v>E11</v>
          </cell>
        </row>
        <row r="833">
          <cell r="B833">
            <v>108261027340</v>
          </cell>
          <cell r="E833">
            <v>46162</v>
          </cell>
          <cell r="F833" t="str">
            <v>18ID</v>
          </cell>
          <cell r="G833" t="str">
            <v>E11</v>
          </cell>
        </row>
        <row r="834">
          <cell r="B834">
            <v>108261095720</v>
          </cell>
          <cell r="E834">
            <v>46162</v>
          </cell>
          <cell r="F834" t="str">
            <v>18ID</v>
          </cell>
          <cell r="G834" t="str">
            <v>E11</v>
          </cell>
        </row>
        <row r="835">
          <cell r="B835">
            <v>108261154520</v>
          </cell>
          <cell r="E835">
            <v>46162</v>
          </cell>
          <cell r="F835" t="str">
            <v>18ID</v>
          </cell>
          <cell r="G835" t="str">
            <v>E11</v>
          </cell>
        </row>
        <row r="836">
          <cell r="B836">
            <v>108261241430</v>
          </cell>
          <cell r="E836">
            <v>46162</v>
          </cell>
          <cell r="F836" t="str">
            <v>18ID</v>
          </cell>
          <cell r="G836" t="str">
            <v>E11</v>
          </cell>
        </row>
        <row r="837">
          <cell r="B837">
            <v>108261308150</v>
          </cell>
          <cell r="E837">
            <v>46162</v>
          </cell>
          <cell r="F837" t="str">
            <v>18ID</v>
          </cell>
          <cell r="G837" t="str">
            <v>E11</v>
          </cell>
        </row>
        <row r="838">
          <cell r="B838">
            <v>108261341160</v>
          </cell>
          <cell r="E838">
            <v>46162</v>
          </cell>
          <cell r="F838" t="str">
            <v>18ID</v>
          </cell>
          <cell r="G838" t="str">
            <v>E11</v>
          </cell>
        </row>
        <row r="839">
          <cell r="B839">
            <v>108261341900</v>
          </cell>
          <cell r="E839">
            <v>46162</v>
          </cell>
          <cell r="F839" t="str">
            <v>18ID</v>
          </cell>
          <cell r="G839" t="str">
            <v>E11</v>
          </cell>
        </row>
        <row r="840">
          <cell r="B840">
            <v>108261370450</v>
          </cell>
          <cell r="E840">
            <v>46162</v>
          </cell>
          <cell r="F840" t="str">
            <v>18ID</v>
          </cell>
          <cell r="G840" t="str">
            <v>E11</v>
          </cell>
        </row>
        <row r="841">
          <cell r="B841">
            <v>108254933140</v>
          </cell>
          <cell r="E841">
            <v>46161</v>
          </cell>
          <cell r="F841" t="str">
            <v xml:space="preserve">18ID  </v>
          </cell>
          <cell r="G841" t="str">
            <v>G13</v>
          </cell>
        </row>
        <row r="842">
          <cell r="B842">
            <v>108257103510</v>
          </cell>
          <cell r="E842">
            <v>46161</v>
          </cell>
          <cell r="F842" t="str">
            <v>18ID</v>
          </cell>
          <cell r="G842" t="str">
            <v>E13</v>
          </cell>
        </row>
        <row r="843">
          <cell r="B843">
            <v>308543960931</v>
          </cell>
          <cell r="E843">
            <v>46161</v>
          </cell>
          <cell r="F843" t="str">
            <v>18ID</v>
          </cell>
          <cell r="G843" t="str">
            <v>B13</v>
          </cell>
        </row>
        <row r="844">
          <cell r="B844">
            <v>308545153030</v>
          </cell>
          <cell r="E844">
            <v>46161</v>
          </cell>
          <cell r="F844" t="str">
            <v>18ID</v>
          </cell>
          <cell r="G844" t="str">
            <v>E42</v>
          </cell>
        </row>
        <row r="845">
          <cell r="B845">
            <v>108253749810</v>
          </cell>
          <cell r="E845">
            <v>46161</v>
          </cell>
          <cell r="F845" t="str">
            <v>18ID</v>
          </cell>
          <cell r="G845" t="str">
            <v>E11</v>
          </cell>
        </row>
        <row r="846">
          <cell r="B846">
            <v>108254178650</v>
          </cell>
          <cell r="E846">
            <v>46161</v>
          </cell>
          <cell r="F846" t="str">
            <v>18ID</v>
          </cell>
          <cell r="G846" t="str">
            <v>E11</v>
          </cell>
        </row>
        <row r="847">
          <cell r="B847">
            <v>108254201900</v>
          </cell>
          <cell r="E847">
            <v>46161</v>
          </cell>
          <cell r="F847" t="str">
            <v>18ID</v>
          </cell>
          <cell r="G847" t="str">
            <v>E11</v>
          </cell>
        </row>
        <row r="848">
          <cell r="B848">
            <v>108254538930</v>
          </cell>
          <cell r="E848">
            <v>46161</v>
          </cell>
          <cell r="F848" t="str">
            <v>18ID</v>
          </cell>
          <cell r="G848" t="str">
            <v>E11</v>
          </cell>
        </row>
        <row r="849">
          <cell r="B849">
            <v>108255506810</v>
          </cell>
          <cell r="E849">
            <v>46161</v>
          </cell>
          <cell r="F849" t="str">
            <v>18ID</v>
          </cell>
          <cell r="G849" t="str">
            <v>E11</v>
          </cell>
        </row>
        <row r="850">
          <cell r="B850">
            <v>108255865210</v>
          </cell>
          <cell r="E850">
            <v>46161</v>
          </cell>
          <cell r="F850" t="str">
            <v>18ID</v>
          </cell>
          <cell r="G850" t="str">
            <v>E11</v>
          </cell>
        </row>
        <row r="851">
          <cell r="B851">
            <v>108256659230</v>
          </cell>
          <cell r="E851">
            <v>46161</v>
          </cell>
          <cell r="F851" t="str">
            <v>18ID</v>
          </cell>
          <cell r="G851" t="str">
            <v>E11</v>
          </cell>
        </row>
        <row r="852">
          <cell r="B852">
            <v>108256812310</v>
          </cell>
          <cell r="E852">
            <v>46161</v>
          </cell>
          <cell r="F852" t="str">
            <v>18ID</v>
          </cell>
          <cell r="G852" t="str">
            <v>E11</v>
          </cell>
        </row>
        <row r="853">
          <cell r="B853">
            <v>108256908100</v>
          </cell>
          <cell r="E853">
            <v>46161</v>
          </cell>
          <cell r="F853" t="str">
            <v>18ID</v>
          </cell>
          <cell r="G853" t="str">
            <v>E11</v>
          </cell>
        </row>
        <row r="854">
          <cell r="B854">
            <v>108257005730</v>
          </cell>
          <cell r="E854">
            <v>46161</v>
          </cell>
          <cell r="F854" t="str">
            <v>18ID</v>
          </cell>
          <cell r="G854" t="str">
            <v>E11</v>
          </cell>
        </row>
        <row r="855">
          <cell r="B855">
            <v>108257090320</v>
          </cell>
          <cell r="E855">
            <v>46161</v>
          </cell>
          <cell r="F855" t="str">
            <v>18ID</v>
          </cell>
          <cell r="G855" t="str">
            <v>E11</v>
          </cell>
        </row>
        <row r="856">
          <cell r="B856">
            <v>108257177820</v>
          </cell>
          <cell r="E856">
            <v>46161</v>
          </cell>
          <cell r="F856" t="str">
            <v>18ID</v>
          </cell>
          <cell r="G856" t="str">
            <v>E11</v>
          </cell>
        </row>
        <row r="857">
          <cell r="B857">
            <v>108257271840</v>
          </cell>
          <cell r="E857">
            <v>46161</v>
          </cell>
          <cell r="F857" t="str">
            <v>18ID</v>
          </cell>
          <cell r="G857" t="str">
            <v>E11</v>
          </cell>
        </row>
        <row r="858">
          <cell r="B858">
            <v>108257286800</v>
          </cell>
          <cell r="E858">
            <v>46161</v>
          </cell>
          <cell r="F858" t="str">
            <v>18ID</v>
          </cell>
          <cell r="G858" t="str">
            <v>E11</v>
          </cell>
        </row>
        <row r="859">
          <cell r="B859">
            <v>108257363060</v>
          </cell>
          <cell r="E859">
            <v>46161</v>
          </cell>
          <cell r="F859" t="str">
            <v>18ID</v>
          </cell>
          <cell r="G859" t="str">
            <v>E11</v>
          </cell>
        </row>
        <row r="860">
          <cell r="B860">
            <v>308542590440</v>
          </cell>
          <cell r="E860">
            <v>46160</v>
          </cell>
          <cell r="F860" t="str">
            <v>18ID</v>
          </cell>
          <cell r="G860" t="str">
            <v>E42</v>
          </cell>
        </row>
        <row r="861">
          <cell r="B861">
            <v>308542840821</v>
          </cell>
          <cell r="E861">
            <v>46160</v>
          </cell>
          <cell r="F861" t="str">
            <v>18ID</v>
          </cell>
          <cell r="G861" t="str">
            <v>G23</v>
          </cell>
        </row>
        <row r="862">
          <cell r="B862">
            <v>308542658602</v>
          </cell>
          <cell r="E862">
            <v>46160</v>
          </cell>
          <cell r="F862" t="str">
            <v>18ID</v>
          </cell>
          <cell r="G862" t="str">
            <v>B13</v>
          </cell>
        </row>
        <row r="863">
          <cell r="B863">
            <v>108249964760</v>
          </cell>
          <cell r="E863">
            <v>46160</v>
          </cell>
          <cell r="F863" t="str">
            <v>18ID</v>
          </cell>
          <cell r="G863" t="str">
            <v>E11</v>
          </cell>
        </row>
        <row r="864">
          <cell r="B864">
            <v>108250825210</v>
          </cell>
          <cell r="E864">
            <v>46160</v>
          </cell>
          <cell r="F864" t="str">
            <v>18ID</v>
          </cell>
          <cell r="G864" t="str">
            <v>E11</v>
          </cell>
        </row>
        <row r="865">
          <cell r="B865">
            <v>108250921110</v>
          </cell>
          <cell r="E865">
            <v>46160</v>
          </cell>
          <cell r="F865" t="str">
            <v>18ID</v>
          </cell>
          <cell r="G865" t="str">
            <v>E11</v>
          </cell>
        </row>
        <row r="866">
          <cell r="B866">
            <v>108251096920</v>
          </cell>
          <cell r="E866">
            <v>46160</v>
          </cell>
          <cell r="F866" t="str">
            <v>18ID</v>
          </cell>
          <cell r="G866" t="str">
            <v>E11</v>
          </cell>
        </row>
        <row r="867">
          <cell r="B867">
            <v>108251157010</v>
          </cell>
          <cell r="E867">
            <v>46160</v>
          </cell>
          <cell r="F867" t="str">
            <v>18ID</v>
          </cell>
          <cell r="G867" t="str">
            <v>E11</v>
          </cell>
        </row>
        <row r="868">
          <cell r="B868">
            <v>108251166330</v>
          </cell>
          <cell r="E868">
            <v>46160</v>
          </cell>
          <cell r="F868" t="str">
            <v>18ID</v>
          </cell>
          <cell r="G868" t="str">
            <v>E11</v>
          </cell>
        </row>
        <row r="869">
          <cell r="B869">
            <v>108251172260</v>
          </cell>
          <cell r="E869">
            <v>46160</v>
          </cell>
          <cell r="F869" t="str">
            <v>18ID</v>
          </cell>
          <cell r="G869" t="str">
            <v>E11</v>
          </cell>
        </row>
        <row r="870">
          <cell r="B870">
            <v>108251839730</v>
          </cell>
          <cell r="E870">
            <v>46160</v>
          </cell>
          <cell r="F870" t="str">
            <v>18ID</v>
          </cell>
          <cell r="G870" t="str">
            <v>E11</v>
          </cell>
        </row>
        <row r="871">
          <cell r="B871">
            <v>108252060710</v>
          </cell>
          <cell r="E871">
            <v>46160</v>
          </cell>
          <cell r="F871" t="str">
            <v>18ID</v>
          </cell>
          <cell r="G871" t="str">
            <v>E11</v>
          </cell>
        </row>
        <row r="872">
          <cell r="B872">
            <v>108252341630</v>
          </cell>
          <cell r="E872">
            <v>46160</v>
          </cell>
          <cell r="F872" t="str">
            <v>18ID</v>
          </cell>
          <cell r="G872" t="str">
            <v>E11</v>
          </cell>
        </row>
        <row r="873">
          <cell r="B873">
            <v>108252617430</v>
          </cell>
          <cell r="E873">
            <v>46160</v>
          </cell>
          <cell r="F873" t="str">
            <v>18ID</v>
          </cell>
          <cell r="G873" t="str">
            <v>E11</v>
          </cell>
        </row>
        <row r="874">
          <cell r="B874">
            <v>108253143720</v>
          </cell>
          <cell r="E874">
            <v>46160</v>
          </cell>
          <cell r="F874" t="str">
            <v>18ID</v>
          </cell>
          <cell r="G874" t="str">
            <v>E11</v>
          </cell>
        </row>
        <row r="875">
          <cell r="B875">
            <v>108253210440</v>
          </cell>
          <cell r="E875">
            <v>46160</v>
          </cell>
          <cell r="F875" t="str">
            <v>18ID</v>
          </cell>
          <cell r="G875" t="str">
            <v>E11</v>
          </cell>
        </row>
        <row r="876">
          <cell r="B876">
            <v>108253212540</v>
          </cell>
          <cell r="E876">
            <v>46160</v>
          </cell>
          <cell r="F876" t="str">
            <v>18ID</v>
          </cell>
          <cell r="G876" t="str">
            <v>E11</v>
          </cell>
        </row>
        <row r="877">
          <cell r="B877">
            <v>108253254320</v>
          </cell>
          <cell r="E877">
            <v>46160</v>
          </cell>
          <cell r="F877" t="str">
            <v>18ID</v>
          </cell>
          <cell r="G877" t="str">
            <v>E11</v>
          </cell>
        </row>
        <row r="878">
          <cell r="B878">
            <v>108253287220</v>
          </cell>
          <cell r="E878">
            <v>46160</v>
          </cell>
          <cell r="F878" t="str">
            <v>18ID</v>
          </cell>
          <cell r="G878" t="str">
            <v>E11</v>
          </cell>
        </row>
        <row r="879">
          <cell r="B879">
            <v>108250175940</v>
          </cell>
          <cell r="E879">
            <v>46160</v>
          </cell>
          <cell r="F879" t="str">
            <v>18ID</v>
          </cell>
          <cell r="G879" t="str">
            <v>E13</v>
          </cell>
        </row>
        <row r="880">
          <cell r="B880">
            <v>108248579830</v>
          </cell>
          <cell r="E880">
            <v>46158</v>
          </cell>
          <cell r="F880" t="str">
            <v>18ID</v>
          </cell>
          <cell r="G880" t="str">
            <v>E11</v>
          </cell>
        </row>
        <row r="881">
          <cell r="B881">
            <v>108248588710</v>
          </cell>
          <cell r="E881">
            <v>46158</v>
          </cell>
          <cell r="F881" t="str">
            <v>18ID</v>
          </cell>
          <cell r="G881" t="str">
            <v>E11</v>
          </cell>
        </row>
        <row r="882">
          <cell r="B882">
            <v>108248598620</v>
          </cell>
          <cell r="E882">
            <v>46158</v>
          </cell>
          <cell r="F882" t="str">
            <v>18ID</v>
          </cell>
          <cell r="G882" t="str">
            <v>E11</v>
          </cell>
        </row>
        <row r="883">
          <cell r="B883">
            <v>108248616230</v>
          </cell>
          <cell r="E883">
            <v>46158</v>
          </cell>
          <cell r="F883" t="str">
            <v>18ID</v>
          </cell>
          <cell r="G883" t="str">
            <v>E11</v>
          </cell>
        </row>
        <row r="884">
          <cell r="B884">
            <v>108248619250</v>
          </cell>
          <cell r="E884">
            <v>46158</v>
          </cell>
          <cell r="F884" t="str">
            <v>18ID</v>
          </cell>
          <cell r="G884" t="str">
            <v>E11</v>
          </cell>
        </row>
        <row r="885">
          <cell r="B885">
            <v>108248658230</v>
          </cell>
          <cell r="E885">
            <v>46158</v>
          </cell>
          <cell r="F885" t="str">
            <v>18ID</v>
          </cell>
          <cell r="G885" t="str">
            <v>E11</v>
          </cell>
        </row>
        <row r="886">
          <cell r="B886">
            <v>108248071630</v>
          </cell>
          <cell r="E886">
            <v>46158</v>
          </cell>
          <cell r="F886" t="str">
            <v>18ID</v>
          </cell>
          <cell r="G886" t="str">
            <v>E13</v>
          </cell>
        </row>
        <row r="887">
          <cell r="B887">
            <v>308516900701</v>
          </cell>
          <cell r="E887">
            <v>46157</v>
          </cell>
          <cell r="F887" t="str">
            <v>18ID</v>
          </cell>
          <cell r="G887" t="str">
            <v>B13</v>
          </cell>
        </row>
        <row r="888">
          <cell r="B888">
            <v>308531144960</v>
          </cell>
          <cell r="E888">
            <v>46157</v>
          </cell>
          <cell r="F888" t="str">
            <v>18ID</v>
          </cell>
          <cell r="G888" t="str">
            <v>E42</v>
          </cell>
        </row>
        <row r="889">
          <cell r="B889">
            <v>308534984940</v>
          </cell>
          <cell r="E889">
            <v>46157</v>
          </cell>
          <cell r="F889" t="str">
            <v>18ID</v>
          </cell>
          <cell r="G889" t="str">
            <v>E42</v>
          </cell>
        </row>
        <row r="890">
          <cell r="B890">
            <v>308532227900</v>
          </cell>
          <cell r="E890">
            <v>46157</v>
          </cell>
          <cell r="F890" t="str">
            <v>18ID</v>
          </cell>
          <cell r="G890" t="str">
            <v>E42</v>
          </cell>
        </row>
        <row r="891">
          <cell r="B891">
            <v>308532271300</v>
          </cell>
          <cell r="E891">
            <v>46157</v>
          </cell>
          <cell r="F891" t="str">
            <v>18ID</v>
          </cell>
          <cell r="G891" t="str">
            <v>E42</v>
          </cell>
        </row>
        <row r="892">
          <cell r="B892">
            <v>308532289460</v>
          </cell>
          <cell r="E892">
            <v>46157</v>
          </cell>
          <cell r="F892" t="str">
            <v>18ID</v>
          </cell>
          <cell r="G892" t="str">
            <v>E42</v>
          </cell>
        </row>
        <row r="893">
          <cell r="B893">
            <v>308533091810</v>
          </cell>
          <cell r="E893">
            <v>46157</v>
          </cell>
          <cell r="F893" t="str">
            <v>18ID</v>
          </cell>
          <cell r="G893" t="str">
            <v>E42</v>
          </cell>
        </row>
        <row r="894">
          <cell r="B894">
            <v>308533627200</v>
          </cell>
          <cell r="E894">
            <v>46157</v>
          </cell>
          <cell r="F894" t="str">
            <v>18ID</v>
          </cell>
          <cell r="G894" t="str">
            <v>E42</v>
          </cell>
        </row>
        <row r="895">
          <cell r="B895">
            <v>308533240650</v>
          </cell>
          <cell r="E895">
            <v>46157</v>
          </cell>
          <cell r="F895" t="str">
            <v>18ID</v>
          </cell>
          <cell r="G895" t="str">
            <v>E42</v>
          </cell>
        </row>
        <row r="896">
          <cell r="B896">
            <v>308533349040</v>
          </cell>
          <cell r="E896">
            <v>46157</v>
          </cell>
          <cell r="F896" t="str">
            <v>18ID</v>
          </cell>
          <cell r="G896" t="str">
            <v>E42</v>
          </cell>
        </row>
        <row r="897">
          <cell r="B897">
            <v>308534348640</v>
          </cell>
          <cell r="E897">
            <v>46157</v>
          </cell>
          <cell r="F897" t="str">
            <v>18ID</v>
          </cell>
          <cell r="G897" t="str">
            <v>E42</v>
          </cell>
        </row>
        <row r="898">
          <cell r="B898">
            <v>308536109730</v>
          </cell>
          <cell r="E898">
            <v>46157</v>
          </cell>
          <cell r="F898" t="str">
            <v>18ID</v>
          </cell>
          <cell r="G898" t="str">
            <v>E42</v>
          </cell>
        </row>
        <row r="899">
          <cell r="B899">
            <v>108243346150</v>
          </cell>
          <cell r="E899">
            <v>46157</v>
          </cell>
          <cell r="F899" t="str">
            <v>18ID</v>
          </cell>
          <cell r="G899" t="str">
            <v>E11</v>
          </cell>
        </row>
        <row r="900">
          <cell r="B900">
            <v>108243824840</v>
          </cell>
          <cell r="E900">
            <v>46157</v>
          </cell>
          <cell r="F900" t="str">
            <v>18ID</v>
          </cell>
          <cell r="G900" t="str">
            <v>E11</v>
          </cell>
        </row>
        <row r="901">
          <cell r="B901">
            <v>108243921440</v>
          </cell>
          <cell r="E901">
            <v>46157</v>
          </cell>
          <cell r="F901" t="str">
            <v>18ID</v>
          </cell>
          <cell r="G901" t="str">
            <v>E11</v>
          </cell>
        </row>
        <row r="902">
          <cell r="B902">
            <v>108244009640</v>
          </cell>
          <cell r="E902">
            <v>46157</v>
          </cell>
          <cell r="F902" t="str">
            <v>18ID</v>
          </cell>
          <cell r="G902" t="str">
            <v>E11</v>
          </cell>
        </row>
        <row r="903">
          <cell r="B903">
            <v>108244031600</v>
          </cell>
          <cell r="E903">
            <v>46157</v>
          </cell>
          <cell r="F903" t="str">
            <v>18ID</v>
          </cell>
          <cell r="G903" t="str">
            <v>E11</v>
          </cell>
        </row>
        <row r="904">
          <cell r="B904">
            <v>108244198420</v>
          </cell>
          <cell r="E904">
            <v>46157</v>
          </cell>
          <cell r="F904" t="str">
            <v>18ID</v>
          </cell>
          <cell r="G904" t="str">
            <v>E11</v>
          </cell>
        </row>
        <row r="905">
          <cell r="B905">
            <v>108244340040</v>
          </cell>
          <cell r="E905">
            <v>46157</v>
          </cell>
          <cell r="F905" t="str">
            <v>18ID</v>
          </cell>
          <cell r="G905" t="str">
            <v>E11</v>
          </cell>
        </row>
        <row r="906">
          <cell r="B906">
            <v>108244360710</v>
          </cell>
          <cell r="E906">
            <v>46157</v>
          </cell>
          <cell r="F906" t="str">
            <v>18ID</v>
          </cell>
          <cell r="G906" t="str">
            <v>E11</v>
          </cell>
        </row>
        <row r="907">
          <cell r="B907">
            <v>108244415050</v>
          </cell>
          <cell r="E907">
            <v>46157</v>
          </cell>
          <cell r="F907" t="str">
            <v>18ID</v>
          </cell>
          <cell r="G907" t="str">
            <v>E11</v>
          </cell>
        </row>
        <row r="908">
          <cell r="B908">
            <v>108244496400</v>
          </cell>
          <cell r="E908">
            <v>46157</v>
          </cell>
          <cell r="F908" t="str">
            <v>18ID</v>
          </cell>
          <cell r="G908" t="str">
            <v>E11</v>
          </cell>
        </row>
        <row r="909">
          <cell r="B909">
            <v>108244521230</v>
          </cell>
          <cell r="E909">
            <v>46157</v>
          </cell>
          <cell r="F909" t="str">
            <v>18ID</v>
          </cell>
          <cell r="G909" t="str">
            <v>E11</v>
          </cell>
        </row>
        <row r="910">
          <cell r="B910">
            <v>108244684550</v>
          </cell>
          <cell r="E910">
            <v>46157</v>
          </cell>
          <cell r="F910" t="str">
            <v>18ID</v>
          </cell>
          <cell r="G910" t="str">
            <v>E11</v>
          </cell>
        </row>
        <row r="911">
          <cell r="B911">
            <v>108246765100</v>
          </cell>
          <cell r="E911">
            <v>46157</v>
          </cell>
          <cell r="F911" t="str">
            <v>18ID</v>
          </cell>
          <cell r="G911" t="str">
            <v>E11</v>
          </cell>
        </row>
        <row r="912">
          <cell r="B912">
            <v>108246770220</v>
          </cell>
          <cell r="E912">
            <v>46157</v>
          </cell>
          <cell r="F912" t="str">
            <v>18ID</v>
          </cell>
          <cell r="G912" t="str">
            <v>E11</v>
          </cell>
        </row>
        <row r="913">
          <cell r="B913">
            <v>108246784110</v>
          </cell>
          <cell r="E913">
            <v>46157</v>
          </cell>
          <cell r="F913" t="str">
            <v>18ID</v>
          </cell>
          <cell r="G913" t="str">
            <v>E11</v>
          </cell>
        </row>
        <row r="914">
          <cell r="B914">
            <v>108246813620</v>
          </cell>
          <cell r="E914">
            <v>46157</v>
          </cell>
          <cell r="F914" t="str">
            <v>18ID</v>
          </cell>
          <cell r="G914" t="str">
            <v>E11</v>
          </cell>
        </row>
        <row r="915">
          <cell r="B915">
            <v>108247010760</v>
          </cell>
          <cell r="E915">
            <v>46157</v>
          </cell>
          <cell r="F915" t="str">
            <v>18ID</v>
          </cell>
          <cell r="G915" t="str">
            <v>E11</v>
          </cell>
        </row>
        <row r="916">
          <cell r="B916">
            <v>308519052461</v>
          </cell>
          <cell r="E916">
            <v>46156</v>
          </cell>
          <cell r="F916" t="str">
            <v>18ID</v>
          </cell>
          <cell r="G916" t="str">
            <v>G23</v>
          </cell>
        </row>
        <row r="917">
          <cell r="B917">
            <v>308519055521</v>
          </cell>
          <cell r="E917">
            <v>46156</v>
          </cell>
          <cell r="F917" t="str">
            <v>18ID</v>
          </cell>
          <cell r="G917" t="str">
            <v>G23</v>
          </cell>
        </row>
        <row r="918">
          <cell r="B918">
            <v>308519067751</v>
          </cell>
          <cell r="E918">
            <v>46156</v>
          </cell>
          <cell r="F918" t="str">
            <v>18ID</v>
          </cell>
          <cell r="G918" t="str">
            <v>G23</v>
          </cell>
        </row>
        <row r="919">
          <cell r="B919">
            <v>308519076961</v>
          </cell>
          <cell r="E919">
            <v>46156</v>
          </cell>
          <cell r="F919" t="str">
            <v>18ID</v>
          </cell>
          <cell r="G919" t="str">
            <v>G23</v>
          </cell>
        </row>
        <row r="920">
          <cell r="B920">
            <v>308530107931</v>
          </cell>
          <cell r="E920">
            <v>46156</v>
          </cell>
          <cell r="F920" t="str">
            <v>18ID</v>
          </cell>
          <cell r="G920" t="str">
            <v>G23</v>
          </cell>
        </row>
        <row r="921">
          <cell r="B921">
            <v>108239266000</v>
          </cell>
          <cell r="E921">
            <v>46156</v>
          </cell>
          <cell r="F921" t="str">
            <v>18ID</v>
          </cell>
          <cell r="G921" t="str">
            <v>E11</v>
          </cell>
        </row>
        <row r="922">
          <cell r="B922">
            <v>108239308700</v>
          </cell>
          <cell r="E922">
            <v>46156</v>
          </cell>
          <cell r="F922" t="str">
            <v>18ID</v>
          </cell>
          <cell r="G922" t="str">
            <v>E11</v>
          </cell>
        </row>
        <row r="923">
          <cell r="B923">
            <v>108240109130</v>
          </cell>
          <cell r="E923">
            <v>46156</v>
          </cell>
          <cell r="F923" t="str">
            <v>18ID</v>
          </cell>
          <cell r="G923" t="str">
            <v>E11</v>
          </cell>
        </row>
        <row r="924">
          <cell r="B924">
            <v>108241930160</v>
          </cell>
          <cell r="E924">
            <v>46156</v>
          </cell>
          <cell r="F924" t="str">
            <v>18ID</v>
          </cell>
          <cell r="G924" t="str">
            <v>E11</v>
          </cell>
        </row>
        <row r="925">
          <cell r="B925">
            <v>108242047060</v>
          </cell>
          <cell r="E925">
            <v>46156</v>
          </cell>
          <cell r="F925" t="str">
            <v>18ID</v>
          </cell>
          <cell r="G925" t="str">
            <v>E11</v>
          </cell>
        </row>
        <row r="926">
          <cell r="B926">
            <v>108242135850</v>
          </cell>
          <cell r="E926">
            <v>46156</v>
          </cell>
          <cell r="F926" t="str">
            <v>18ID</v>
          </cell>
          <cell r="G926" t="str">
            <v>E11</v>
          </cell>
        </row>
        <row r="927">
          <cell r="B927">
            <v>108242159320</v>
          </cell>
          <cell r="E927">
            <v>46156</v>
          </cell>
          <cell r="F927" t="str">
            <v>18ID</v>
          </cell>
          <cell r="G927" t="str">
            <v>E11</v>
          </cell>
        </row>
        <row r="928">
          <cell r="B928">
            <v>108242228510</v>
          </cell>
          <cell r="E928">
            <v>46156</v>
          </cell>
          <cell r="F928" t="str">
            <v>18ID</v>
          </cell>
          <cell r="G928" t="str">
            <v>E11</v>
          </cell>
        </row>
        <row r="929">
          <cell r="B929">
            <v>108242269110</v>
          </cell>
          <cell r="E929">
            <v>46156</v>
          </cell>
          <cell r="F929" t="str">
            <v>18ID</v>
          </cell>
          <cell r="G929" t="str">
            <v>E11</v>
          </cell>
        </row>
        <row r="930">
          <cell r="B930">
            <v>108242372820</v>
          </cell>
          <cell r="E930">
            <v>46156</v>
          </cell>
          <cell r="F930" t="str">
            <v>18ID</v>
          </cell>
          <cell r="G930" t="str">
            <v>E11</v>
          </cell>
        </row>
        <row r="931">
          <cell r="B931">
            <v>108242558210</v>
          </cell>
          <cell r="E931">
            <v>46156</v>
          </cell>
          <cell r="F931" t="str">
            <v>18ID</v>
          </cell>
          <cell r="G931" t="str">
            <v>E11</v>
          </cell>
        </row>
        <row r="932">
          <cell r="B932">
            <v>108242612110</v>
          </cell>
          <cell r="E932">
            <v>46156</v>
          </cell>
          <cell r="F932" t="str">
            <v>18ID</v>
          </cell>
          <cell r="G932" t="str">
            <v>E11</v>
          </cell>
        </row>
        <row r="933">
          <cell r="B933">
            <v>108242648730</v>
          </cell>
          <cell r="E933">
            <v>46156</v>
          </cell>
          <cell r="F933" t="str">
            <v>18ID</v>
          </cell>
          <cell r="G933" t="str">
            <v>E11</v>
          </cell>
        </row>
        <row r="934">
          <cell r="B934">
            <v>108242718950</v>
          </cell>
          <cell r="E934">
            <v>46156</v>
          </cell>
          <cell r="F934" t="str">
            <v>18ID</v>
          </cell>
          <cell r="G934" t="str">
            <v>E11</v>
          </cell>
        </row>
        <row r="935">
          <cell r="B935">
            <v>108242804020</v>
          </cell>
          <cell r="E935">
            <v>46156</v>
          </cell>
          <cell r="F935" t="str">
            <v>18ID</v>
          </cell>
          <cell r="G935" t="str">
            <v>E11</v>
          </cell>
        </row>
        <row r="936">
          <cell r="B936">
            <v>108242915320</v>
          </cell>
          <cell r="E936">
            <v>46156</v>
          </cell>
          <cell r="F936" t="str">
            <v>18ID</v>
          </cell>
          <cell r="G936" t="str">
            <v>E11</v>
          </cell>
        </row>
        <row r="937">
          <cell r="B937">
            <v>108242960560</v>
          </cell>
          <cell r="E937">
            <v>46156</v>
          </cell>
          <cell r="F937" t="str">
            <v>18ID</v>
          </cell>
          <cell r="G937" t="str">
            <v>E11</v>
          </cell>
        </row>
        <row r="938">
          <cell r="B938">
            <v>108242977730</v>
          </cell>
          <cell r="E938">
            <v>46156</v>
          </cell>
          <cell r="F938" t="str">
            <v>18ID</v>
          </cell>
          <cell r="G938" t="str">
            <v>E11</v>
          </cell>
        </row>
        <row r="939">
          <cell r="B939">
            <v>108242990920</v>
          </cell>
          <cell r="C939" t="str">
            <v>108242990920</v>
          </cell>
          <cell r="D939">
            <v>1</v>
          </cell>
          <cell r="E939">
            <v>46156</v>
          </cell>
          <cell r="F939" t="str">
            <v>18ID</v>
          </cell>
          <cell r="G939" t="str">
            <v>E11</v>
          </cell>
        </row>
        <row r="940">
          <cell r="B940">
            <v>108242994160</v>
          </cell>
          <cell r="C940" t="str">
            <v>108242990920</v>
          </cell>
          <cell r="D940">
            <v>2</v>
          </cell>
          <cell r="E940">
            <v>46156</v>
          </cell>
          <cell r="F940" t="str">
            <v>18ID</v>
          </cell>
          <cell r="G940" t="str">
            <v>E11</v>
          </cell>
        </row>
        <row r="941">
          <cell r="B941">
            <v>108242996850</v>
          </cell>
          <cell r="E941">
            <v>46156</v>
          </cell>
          <cell r="F941" t="str">
            <v>18ID</v>
          </cell>
          <cell r="G941" t="str">
            <v>E11</v>
          </cell>
        </row>
        <row r="942">
          <cell r="B942">
            <v>108243015640</v>
          </cell>
          <cell r="E942">
            <v>46156</v>
          </cell>
          <cell r="F942" t="str">
            <v>18ID</v>
          </cell>
          <cell r="G942" t="str">
            <v>E11</v>
          </cell>
        </row>
        <row r="943">
          <cell r="B943">
            <v>108243054950</v>
          </cell>
          <cell r="E943">
            <v>46156</v>
          </cell>
          <cell r="F943" t="str">
            <v>18ID</v>
          </cell>
          <cell r="G943" t="str">
            <v>E11</v>
          </cell>
        </row>
        <row r="944">
          <cell r="B944">
            <v>108243056240</v>
          </cell>
          <cell r="E944">
            <v>46156</v>
          </cell>
          <cell r="F944" t="str">
            <v>18ID</v>
          </cell>
          <cell r="G944" t="str">
            <v>E11</v>
          </cell>
        </row>
        <row r="945">
          <cell r="B945">
            <v>108243060810</v>
          </cell>
          <cell r="E945">
            <v>46156</v>
          </cell>
          <cell r="F945" t="str">
            <v>18ID</v>
          </cell>
          <cell r="G945" t="str">
            <v>E11</v>
          </cell>
        </row>
        <row r="946">
          <cell r="B946">
            <v>108243069910</v>
          </cell>
          <cell r="E946">
            <v>46156</v>
          </cell>
          <cell r="F946" t="str">
            <v>18ID</v>
          </cell>
          <cell r="G946" t="str">
            <v>E11</v>
          </cell>
        </row>
        <row r="947">
          <cell r="B947">
            <v>108243074220</v>
          </cell>
          <cell r="E947">
            <v>46156</v>
          </cell>
          <cell r="F947" t="str">
            <v>18ID</v>
          </cell>
          <cell r="G947" t="str">
            <v>E11</v>
          </cell>
        </row>
        <row r="948">
          <cell r="B948">
            <v>108236007350</v>
          </cell>
          <cell r="E948">
            <v>46155</v>
          </cell>
          <cell r="F948" t="str">
            <v>18ID</v>
          </cell>
          <cell r="G948" t="str">
            <v>E11</v>
          </cell>
        </row>
        <row r="949">
          <cell r="B949">
            <v>108236134420</v>
          </cell>
          <cell r="E949">
            <v>46155</v>
          </cell>
          <cell r="F949" t="str">
            <v>18ID</v>
          </cell>
          <cell r="G949" t="str">
            <v>E11</v>
          </cell>
        </row>
        <row r="950">
          <cell r="B950">
            <v>108236290260</v>
          </cell>
          <cell r="E950">
            <v>46155</v>
          </cell>
          <cell r="F950" t="str">
            <v>18ID</v>
          </cell>
          <cell r="G950" t="str">
            <v>E11</v>
          </cell>
        </row>
        <row r="951">
          <cell r="B951">
            <v>108236640260</v>
          </cell>
          <cell r="E951">
            <v>46155</v>
          </cell>
          <cell r="F951" t="str">
            <v>18ID</v>
          </cell>
          <cell r="G951" t="str">
            <v>E11</v>
          </cell>
        </row>
        <row r="952">
          <cell r="B952">
            <v>108236653930</v>
          </cell>
          <cell r="E952">
            <v>46155</v>
          </cell>
          <cell r="F952" t="str">
            <v>18ID</v>
          </cell>
          <cell r="G952" t="str">
            <v>E15</v>
          </cell>
        </row>
        <row r="953">
          <cell r="B953">
            <v>108236737230</v>
          </cell>
          <cell r="E953">
            <v>46155</v>
          </cell>
          <cell r="F953" t="str">
            <v>18ID</v>
          </cell>
          <cell r="G953" t="str">
            <v>E11</v>
          </cell>
        </row>
        <row r="954">
          <cell r="B954">
            <v>108237612230</v>
          </cell>
          <cell r="E954">
            <v>46155</v>
          </cell>
          <cell r="F954" t="str">
            <v>18ID</v>
          </cell>
          <cell r="G954" t="str">
            <v>E11</v>
          </cell>
        </row>
        <row r="955">
          <cell r="B955">
            <v>108237672100</v>
          </cell>
          <cell r="E955">
            <v>46155</v>
          </cell>
          <cell r="F955" t="str">
            <v>18ID</v>
          </cell>
          <cell r="G955" t="str">
            <v>E11</v>
          </cell>
        </row>
        <row r="956">
          <cell r="B956">
            <v>108237694500</v>
          </cell>
          <cell r="E956">
            <v>46155</v>
          </cell>
          <cell r="F956" t="str">
            <v>18ID</v>
          </cell>
          <cell r="G956" t="str">
            <v>E11</v>
          </cell>
        </row>
        <row r="957">
          <cell r="B957">
            <v>108237837260</v>
          </cell>
          <cell r="E957">
            <v>46155</v>
          </cell>
          <cell r="F957" t="str">
            <v>18ID</v>
          </cell>
          <cell r="G957" t="str">
            <v>E11</v>
          </cell>
        </row>
        <row r="958">
          <cell r="B958">
            <v>108237962710</v>
          </cell>
          <cell r="E958">
            <v>46155</v>
          </cell>
          <cell r="F958" t="str">
            <v>18ID</v>
          </cell>
          <cell r="G958" t="str">
            <v>E11</v>
          </cell>
        </row>
        <row r="959">
          <cell r="B959">
            <v>108238474740</v>
          </cell>
          <cell r="E959">
            <v>46155</v>
          </cell>
          <cell r="F959" t="str">
            <v>18ID</v>
          </cell>
          <cell r="G959" t="str">
            <v>E11</v>
          </cell>
        </row>
        <row r="960">
          <cell r="B960">
            <v>108238538550</v>
          </cell>
          <cell r="E960">
            <v>46155</v>
          </cell>
          <cell r="F960" t="str">
            <v>18ID</v>
          </cell>
          <cell r="G960" t="str">
            <v>E11</v>
          </cell>
        </row>
        <row r="961">
          <cell r="B961">
            <v>108238614410</v>
          </cell>
          <cell r="E961">
            <v>46155</v>
          </cell>
          <cell r="F961" t="str">
            <v>18ID</v>
          </cell>
          <cell r="G961" t="str">
            <v>E11</v>
          </cell>
        </row>
        <row r="962">
          <cell r="B962">
            <v>108238713110</v>
          </cell>
          <cell r="E962">
            <v>46155</v>
          </cell>
          <cell r="F962" t="str">
            <v>18ID</v>
          </cell>
          <cell r="G962" t="str">
            <v>E11</v>
          </cell>
        </row>
        <row r="963">
          <cell r="B963">
            <v>108238763140</v>
          </cell>
          <cell r="E963">
            <v>46155</v>
          </cell>
          <cell r="F963" t="str">
            <v>18ID</v>
          </cell>
          <cell r="G963" t="str">
            <v>E11</v>
          </cell>
        </row>
        <row r="964">
          <cell r="B964">
            <v>108238781450</v>
          </cell>
          <cell r="E964">
            <v>46155</v>
          </cell>
          <cell r="F964" t="str">
            <v>18ID</v>
          </cell>
          <cell r="G964" t="str">
            <v>E11</v>
          </cell>
        </row>
        <row r="965">
          <cell r="B965">
            <v>108238842460</v>
          </cell>
          <cell r="E965">
            <v>46155</v>
          </cell>
          <cell r="F965" t="str">
            <v>18ID</v>
          </cell>
          <cell r="G965" t="str">
            <v>E11</v>
          </cell>
        </row>
        <row r="966">
          <cell r="B966">
            <v>108238887960</v>
          </cell>
          <cell r="E966">
            <v>46155</v>
          </cell>
          <cell r="F966" t="str">
            <v>18ID</v>
          </cell>
          <cell r="G966" t="str">
            <v>E11</v>
          </cell>
        </row>
        <row r="967">
          <cell r="B967">
            <v>108238915150</v>
          </cell>
          <cell r="E967">
            <v>46155</v>
          </cell>
          <cell r="F967" t="str">
            <v>18ID</v>
          </cell>
          <cell r="G967" t="str">
            <v>E11</v>
          </cell>
        </row>
        <row r="968">
          <cell r="B968">
            <v>108238948420</v>
          </cell>
          <cell r="E968">
            <v>46155</v>
          </cell>
          <cell r="F968" t="str">
            <v>18ID</v>
          </cell>
          <cell r="G968" t="str">
            <v>E11</v>
          </cell>
        </row>
        <row r="969">
          <cell r="B969">
            <v>108238994140</v>
          </cell>
          <cell r="E969">
            <v>46155</v>
          </cell>
          <cell r="F969" t="str">
            <v>18ID</v>
          </cell>
          <cell r="G969" t="str">
            <v>E11</v>
          </cell>
        </row>
        <row r="970">
          <cell r="B970">
            <v>108237195730</v>
          </cell>
          <cell r="E970">
            <v>46155</v>
          </cell>
          <cell r="F970" t="str">
            <v>18ID</v>
          </cell>
          <cell r="G970" t="str">
            <v>E13</v>
          </cell>
        </row>
        <row r="971">
          <cell r="B971">
            <v>108232936230</v>
          </cell>
          <cell r="E971">
            <v>46154</v>
          </cell>
          <cell r="F971" t="str">
            <v>18ID</v>
          </cell>
          <cell r="G971" t="str">
            <v>E13</v>
          </cell>
        </row>
        <row r="972">
          <cell r="B972">
            <v>108234949650</v>
          </cell>
          <cell r="E972">
            <v>46154</v>
          </cell>
          <cell r="F972" t="str">
            <v>18ID</v>
          </cell>
          <cell r="G972" t="str">
            <v>G13</v>
          </cell>
        </row>
        <row r="973">
          <cell r="B973">
            <v>108229470860</v>
          </cell>
          <cell r="E973">
            <v>46154</v>
          </cell>
          <cell r="F973" t="str">
            <v>18ID</v>
          </cell>
          <cell r="G973" t="str">
            <v>E11</v>
          </cell>
        </row>
        <row r="974">
          <cell r="B974">
            <v>108232684820</v>
          </cell>
          <cell r="E974">
            <v>46154</v>
          </cell>
          <cell r="F974" t="str">
            <v>18ID</v>
          </cell>
          <cell r="G974" t="str">
            <v>E15</v>
          </cell>
        </row>
        <row r="975">
          <cell r="B975">
            <v>108233062450</v>
          </cell>
          <cell r="E975">
            <v>46154</v>
          </cell>
          <cell r="F975" t="str">
            <v>18ID</v>
          </cell>
          <cell r="G975" t="str">
            <v>E11</v>
          </cell>
        </row>
        <row r="976">
          <cell r="B976">
            <v>108233190810</v>
          </cell>
          <cell r="E976">
            <v>46154</v>
          </cell>
          <cell r="F976" t="str">
            <v>18ID</v>
          </cell>
          <cell r="G976" t="str">
            <v>E11</v>
          </cell>
        </row>
        <row r="977">
          <cell r="B977">
            <v>108233315150</v>
          </cell>
          <cell r="E977">
            <v>46154</v>
          </cell>
          <cell r="F977" t="str">
            <v>18ID</v>
          </cell>
          <cell r="G977" t="str">
            <v>E11</v>
          </cell>
        </row>
        <row r="978">
          <cell r="B978">
            <v>108233428110</v>
          </cell>
          <cell r="E978">
            <v>46154</v>
          </cell>
          <cell r="F978" t="str">
            <v>18ID</v>
          </cell>
          <cell r="G978" t="str">
            <v>E11</v>
          </cell>
        </row>
        <row r="979">
          <cell r="B979">
            <v>108233528060</v>
          </cell>
          <cell r="E979">
            <v>46154</v>
          </cell>
          <cell r="F979" t="str">
            <v>18ID</v>
          </cell>
          <cell r="G979" t="str">
            <v>E11</v>
          </cell>
        </row>
        <row r="980">
          <cell r="B980">
            <v>108233581260</v>
          </cell>
          <cell r="E980">
            <v>46154</v>
          </cell>
          <cell r="F980" t="str">
            <v>18ID</v>
          </cell>
          <cell r="G980" t="str">
            <v>E11</v>
          </cell>
        </row>
        <row r="981">
          <cell r="B981">
            <v>108233666110</v>
          </cell>
          <cell r="E981">
            <v>46154</v>
          </cell>
          <cell r="F981" t="str">
            <v>18ID</v>
          </cell>
          <cell r="G981" t="str">
            <v>E11</v>
          </cell>
        </row>
        <row r="982">
          <cell r="B982">
            <v>108233682320</v>
          </cell>
          <cell r="E982">
            <v>46154</v>
          </cell>
          <cell r="F982" t="str">
            <v>18ID</v>
          </cell>
          <cell r="G982" t="str">
            <v>E11</v>
          </cell>
        </row>
        <row r="983">
          <cell r="B983">
            <v>108233860600</v>
          </cell>
          <cell r="E983">
            <v>46154</v>
          </cell>
          <cell r="F983" t="str">
            <v>18ID</v>
          </cell>
          <cell r="G983" t="str">
            <v>E11</v>
          </cell>
        </row>
        <row r="984">
          <cell r="B984">
            <v>108233992900</v>
          </cell>
          <cell r="E984">
            <v>46154</v>
          </cell>
          <cell r="F984" t="str">
            <v>18ID</v>
          </cell>
          <cell r="G984" t="str">
            <v>E11</v>
          </cell>
        </row>
        <row r="985">
          <cell r="B985">
            <v>108234182560</v>
          </cell>
          <cell r="E985">
            <v>46154</v>
          </cell>
          <cell r="F985" t="str">
            <v>18ID</v>
          </cell>
          <cell r="G985" t="str">
            <v>E11</v>
          </cell>
        </row>
        <row r="986">
          <cell r="B986">
            <v>108234286420</v>
          </cell>
          <cell r="E986">
            <v>46154</v>
          </cell>
          <cell r="F986" t="str">
            <v>18ID</v>
          </cell>
          <cell r="G986" t="str">
            <v>E11</v>
          </cell>
        </row>
        <row r="987">
          <cell r="B987">
            <v>108234390240</v>
          </cell>
          <cell r="E987">
            <v>46154</v>
          </cell>
          <cell r="F987" t="str">
            <v>18ID</v>
          </cell>
          <cell r="G987" t="str">
            <v>E11</v>
          </cell>
        </row>
        <row r="988">
          <cell r="B988">
            <v>108234459650</v>
          </cell>
          <cell r="E988">
            <v>46154</v>
          </cell>
          <cell r="F988" t="str">
            <v>18ID</v>
          </cell>
          <cell r="G988" t="str">
            <v>E11</v>
          </cell>
        </row>
        <row r="989">
          <cell r="B989">
            <v>108234555700</v>
          </cell>
          <cell r="E989">
            <v>46154</v>
          </cell>
          <cell r="F989" t="str">
            <v>18ID</v>
          </cell>
          <cell r="G989" t="str">
            <v>E11</v>
          </cell>
        </row>
        <row r="990">
          <cell r="B990">
            <v>108234640620</v>
          </cell>
          <cell r="E990">
            <v>46154</v>
          </cell>
          <cell r="F990" t="str">
            <v>18ID</v>
          </cell>
          <cell r="G990" t="str">
            <v>E11</v>
          </cell>
        </row>
        <row r="991">
          <cell r="B991">
            <v>108234776860</v>
          </cell>
          <cell r="E991">
            <v>46154</v>
          </cell>
          <cell r="F991" t="str">
            <v>18ID</v>
          </cell>
          <cell r="G991" t="str">
            <v>E11</v>
          </cell>
        </row>
        <row r="992">
          <cell r="B992">
            <v>108234800330</v>
          </cell>
          <cell r="E992">
            <v>46154</v>
          </cell>
          <cell r="F992" t="str">
            <v>18ID</v>
          </cell>
          <cell r="G992" t="str">
            <v>E11</v>
          </cell>
        </row>
        <row r="993">
          <cell r="B993">
            <v>108234831940</v>
          </cell>
          <cell r="E993">
            <v>46154</v>
          </cell>
          <cell r="F993" t="str">
            <v>18ID</v>
          </cell>
          <cell r="G993" t="str">
            <v>E11</v>
          </cell>
        </row>
        <row r="994">
          <cell r="B994">
            <v>108234856920</v>
          </cell>
          <cell r="E994">
            <v>46154</v>
          </cell>
          <cell r="F994" t="str">
            <v>18ID</v>
          </cell>
          <cell r="G994" t="str">
            <v>E11</v>
          </cell>
        </row>
        <row r="995">
          <cell r="B995">
            <v>108234886910</v>
          </cell>
          <cell r="E995">
            <v>46154</v>
          </cell>
          <cell r="F995" t="str">
            <v>18ID</v>
          </cell>
          <cell r="G995" t="str">
            <v>E11</v>
          </cell>
        </row>
        <row r="996">
          <cell r="B996">
            <v>108234939740</v>
          </cell>
          <cell r="E996">
            <v>46154</v>
          </cell>
          <cell r="F996" t="str">
            <v>18ID</v>
          </cell>
          <cell r="G996" t="str">
            <v>E11</v>
          </cell>
        </row>
        <row r="997">
          <cell r="B997">
            <v>108230931210</v>
          </cell>
          <cell r="E997">
            <v>46153</v>
          </cell>
          <cell r="F997" t="str">
            <v>18ID</v>
          </cell>
          <cell r="G997" t="str">
            <v>E13</v>
          </cell>
        </row>
        <row r="998">
          <cell r="B998">
            <v>108230941710</v>
          </cell>
          <cell r="E998">
            <v>46153</v>
          </cell>
          <cell r="F998" t="str">
            <v>18ID</v>
          </cell>
          <cell r="G998" t="str">
            <v>E13</v>
          </cell>
        </row>
        <row r="999">
          <cell r="B999">
            <v>108228141560</v>
          </cell>
          <cell r="E999">
            <v>46153</v>
          </cell>
          <cell r="F999" t="str">
            <v>18ID</v>
          </cell>
          <cell r="G999" t="str">
            <v>E11</v>
          </cell>
        </row>
        <row r="1000">
          <cell r="B1000">
            <v>308515993130</v>
          </cell>
          <cell r="C1000" t="str">
            <v/>
          </cell>
          <cell r="E1000">
            <v>46153</v>
          </cell>
          <cell r="F1000" t="str">
            <v>18ID</v>
          </cell>
          <cell r="G1000" t="str">
            <v>B13</v>
          </cell>
        </row>
        <row r="1001">
          <cell r="B1001">
            <v>308517224430</v>
          </cell>
          <cell r="E1001">
            <v>46153</v>
          </cell>
          <cell r="F1001" t="str">
            <v>18ID</v>
          </cell>
          <cell r="G1001" t="str">
            <v>E42</v>
          </cell>
        </row>
        <row r="1002">
          <cell r="B1002">
            <v>108226444540</v>
          </cell>
          <cell r="E1002">
            <v>46153</v>
          </cell>
          <cell r="F1002" t="str">
            <v>18ID</v>
          </cell>
          <cell r="G1002" t="str">
            <v>E11</v>
          </cell>
        </row>
        <row r="1003">
          <cell r="B1003">
            <v>108226912510</v>
          </cell>
          <cell r="E1003">
            <v>46153</v>
          </cell>
          <cell r="F1003" t="str">
            <v>18ID</v>
          </cell>
          <cell r="G1003" t="str">
            <v>E11</v>
          </cell>
        </row>
        <row r="1004">
          <cell r="B1004">
            <v>108227034420</v>
          </cell>
          <cell r="E1004">
            <v>46153</v>
          </cell>
          <cell r="F1004" t="str">
            <v>18ID</v>
          </cell>
          <cell r="G1004" t="str">
            <v>E11</v>
          </cell>
        </row>
        <row r="1005">
          <cell r="B1005">
            <v>108230027510</v>
          </cell>
          <cell r="E1005">
            <v>46153</v>
          </cell>
          <cell r="F1005" t="str">
            <v>18ID</v>
          </cell>
          <cell r="G1005" t="str">
            <v>E11</v>
          </cell>
        </row>
        <row r="1006">
          <cell r="B1006">
            <v>108230268200</v>
          </cell>
          <cell r="E1006">
            <v>46153</v>
          </cell>
          <cell r="F1006" t="str">
            <v>18ID</v>
          </cell>
          <cell r="G1006" t="str">
            <v>E11</v>
          </cell>
        </row>
        <row r="1007">
          <cell r="B1007">
            <v>108230421610</v>
          </cell>
          <cell r="E1007">
            <v>46153</v>
          </cell>
          <cell r="F1007" t="str">
            <v>18ID</v>
          </cell>
          <cell r="G1007" t="str">
            <v>E11</v>
          </cell>
        </row>
        <row r="1008">
          <cell r="B1008">
            <v>108230500710</v>
          </cell>
          <cell r="E1008">
            <v>46153</v>
          </cell>
          <cell r="F1008" t="str">
            <v>18ID</v>
          </cell>
          <cell r="G1008" t="str">
            <v>E11</v>
          </cell>
        </row>
        <row r="1009">
          <cell r="B1009">
            <v>108224861620</v>
          </cell>
          <cell r="E1009">
            <v>46151</v>
          </cell>
          <cell r="F1009" t="str">
            <v>18ID</v>
          </cell>
          <cell r="G1009" t="str">
            <v>E13</v>
          </cell>
        </row>
        <row r="1010">
          <cell r="B1010">
            <v>108224317500</v>
          </cell>
          <cell r="E1010">
            <v>46151</v>
          </cell>
          <cell r="F1010" t="str">
            <v>18ID</v>
          </cell>
          <cell r="G1010" t="str">
            <v>E13</v>
          </cell>
        </row>
        <row r="1011">
          <cell r="B1011">
            <v>308503937510</v>
          </cell>
          <cell r="E1011">
            <v>46150</v>
          </cell>
          <cell r="F1011" t="str">
            <v>18ID</v>
          </cell>
          <cell r="G1011" t="str">
            <v>E42</v>
          </cell>
        </row>
        <row r="1012">
          <cell r="B1012">
            <v>308506457361</v>
          </cell>
          <cell r="E1012">
            <v>46150</v>
          </cell>
          <cell r="F1012" t="str">
            <v>18ID</v>
          </cell>
          <cell r="G1012" t="str">
            <v>G23</v>
          </cell>
        </row>
        <row r="1013">
          <cell r="B1013">
            <v>308506703541</v>
          </cell>
          <cell r="E1013">
            <v>46150</v>
          </cell>
          <cell r="F1013" t="str">
            <v>18ID</v>
          </cell>
          <cell r="G1013" t="str">
            <v>G23</v>
          </cell>
        </row>
        <row r="1014">
          <cell r="B1014">
            <v>308509293650</v>
          </cell>
          <cell r="E1014">
            <v>46150</v>
          </cell>
          <cell r="F1014" t="str">
            <v>18ID</v>
          </cell>
          <cell r="G1014" t="str">
            <v>E42</v>
          </cell>
        </row>
        <row r="1015">
          <cell r="B1015">
            <v>308509328650</v>
          </cell>
          <cell r="E1015">
            <v>46150</v>
          </cell>
          <cell r="F1015" t="str">
            <v>18ID</v>
          </cell>
          <cell r="G1015" t="str">
            <v>E42</v>
          </cell>
        </row>
        <row r="1016">
          <cell r="B1016">
            <v>308509866400</v>
          </cell>
          <cell r="E1016">
            <v>46150</v>
          </cell>
          <cell r="F1016" t="str">
            <v>18ID</v>
          </cell>
          <cell r="G1016" t="str">
            <v>E42</v>
          </cell>
        </row>
        <row r="1017">
          <cell r="B1017">
            <v>308510231910</v>
          </cell>
          <cell r="E1017">
            <v>46150</v>
          </cell>
          <cell r="F1017" t="str">
            <v>18ID</v>
          </cell>
          <cell r="G1017" t="str">
            <v>E42</v>
          </cell>
        </row>
        <row r="1018">
          <cell r="B1018">
            <v>308510109410</v>
          </cell>
          <cell r="E1018">
            <v>46150</v>
          </cell>
          <cell r="F1018" t="str">
            <v>18ID</v>
          </cell>
          <cell r="G1018" t="str">
            <v>E42</v>
          </cell>
        </row>
        <row r="1019">
          <cell r="B1019">
            <v>308510475510</v>
          </cell>
          <cell r="E1019">
            <v>46150</v>
          </cell>
          <cell r="F1019" t="str">
            <v>18ID</v>
          </cell>
          <cell r="G1019" t="str">
            <v>E42</v>
          </cell>
        </row>
        <row r="1020">
          <cell r="B1020">
            <v>108222125320</v>
          </cell>
          <cell r="E1020">
            <v>46150</v>
          </cell>
          <cell r="F1020" t="str">
            <v>18ID</v>
          </cell>
          <cell r="G1020" t="str">
            <v>E13</v>
          </cell>
        </row>
        <row r="1021">
          <cell r="B1021">
            <v>108222763500</v>
          </cell>
          <cell r="E1021">
            <v>46150</v>
          </cell>
          <cell r="F1021" t="str">
            <v>18ID</v>
          </cell>
          <cell r="G1021" t="str">
            <v>E11</v>
          </cell>
        </row>
        <row r="1022">
          <cell r="B1022">
            <v>108219446860</v>
          </cell>
          <cell r="E1022">
            <v>46149</v>
          </cell>
          <cell r="F1022" t="str">
            <v>18ID</v>
          </cell>
          <cell r="G1022" t="str">
            <v>E13</v>
          </cell>
        </row>
        <row r="1023">
          <cell r="B1023">
            <v>108217968240</v>
          </cell>
          <cell r="E1023">
            <v>46149</v>
          </cell>
          <cell r="F1023" t="str">
            <v>18ID</v>
          </cell>
          <cell r="G1023" t="str">
            <v>E13</v>
          </cell>
        </row>
        <row r="1024">
          <cell r="B1024">
            <v>108215736530</v>
          </cell>
          <cell r="E1024">
            <v>46149</v>
          </cell>
          <cell r="F1024" t="str">
            <v>18ID</v>
          </cell>
          <cell r="G1024" t="str">
            <v>E11</v>
          </cell>
        </row>
        <row r="1025">
          <cell r="B1025">
            <v>108216831700</v>
          </cell>
          <cell r="E1025">
            <v>46149</v>
          </cell>
          <cell r="F1025" t="str">
            <v>18ID</v>
          </cell>
          <cell r="G1025" t="str">
            <v>E11</v>
          </cell>
        </row>
        <row r="1026">
          <cell r="B1026">
            <v>108218135060</v>
          </cell>
          <cell r="E1026">
            <v>46149</v>
          </cell>
          <cell r="F1026" t="str">
            <v>18ID</v>
          </cell>
          <cell r="G1026" t="str">
            <v>E11</v>
          </cell>
        </row>
        <row r="1027">
          <cell r="B1027">
            <v>108218222010</v>
          </cell>
          <cell r="E1027">
            <v>46149</v>
          </cell>
          <cell r="F1027" t="str">
            <v>18ID</v>
          </cell>
          <cell r="G1027" t="str">
            <v>E11</v>
          </cell>
        </row>
        <row r="1028">
          <cell r="B1028">
            <v>108218306120</v>
          </cell>
          <cell r="E1028">
            <v>46149</v>
          </cell>
          <cell r="F1028" t="str">
            <v>18ID</v>
          </cell>
          <cell r="G1028" t="str">
            <v>E11</v>
          </cell>
        </row>
        <row r="1029">
          <cell r="B1029">
            <v>108218398740</v>
          </cell>
          <cell r="E1029">
            <v>46149</v>
          </cell>
          <cell r="F1029" t="str">
            <v>18ID</v>
          </cell>
          <cell r="G1029" t="str">
            <v>E11</v>
          </cell>
        </row>
        <row r="1030">
          <cell r="B1030">
            <v>308497198020</v>
          </cell>
          <cell r="E1030">
            <v>46148</v>
          </cell>
          <cell r="F1030" t="str">
            <v>18ID</v>
          </cell>
          <cell r="G1030" t="str">
            <v>E42</v>
          </cell>
        </row>
        <row r="1031">
          <cell r="B1031">
            <v>108214033320</v>
          </cell>
          <cell r="E1031">
            <v>46148</v>
          </cell>
          <cell r="F1031" t="str">
            <v>18ID</v>
          </cell>
          <cell r="G1031" t="str">
            <v>E13</v>
          </cell>
        </row>
        <row r="1032">
          <cell r="B1032">
            <v>308499778330</v>
          </cell>
          <cell r="E1032">
            <v>46148</v>
          </cell>
          <cell r="F1032" t="str">
            <v>18ID</v>
          </cell>
          <cell r="G1032" t="str">
            <v>E42</v>
          </cell>
        </row>
        <row r="1033">
          <cell r="B1033">
            <v>108212636120</v>
          </cell>
          <cell r="E1033">
            <v>46148</v>
          </cell>
          <cell r="F1033" t="str">
            <v>18ID</v>
          </cell>
          <cell r="G1033" t="str">
            <v>E11</v>
          </cell>
        </row>
        <row r="1034">
          <cell r="B1034">
            <v>108212943310</v>
          </cell>
          <cell r="C1034" t="str">
            <v>108212943310</v>
          </cell>
          <cell r="D1034">
            <v>1</v>
          </cell>
          <cell r="E1034">
            <v>46148</v>
          </cell>
          <cell r="F1034" t="str">
            <v>18ID</v>
          </cell>
          <cell r="G1034" t="str">
            <v>E11</v>
          </cell>
        </row>
        <row r="1035">
          <cell r="B1035">
            <v>108212990540</v>
          </cell>
          <cell r="C1035" t="str">
            <v>108212943310</v>
          </cell>
          <cell r="D1035">
            <v>2</v>
          </cell>
          <cell r="E1035">
            <v>46148</v>
          </cell>
          <cell r="F1035" t="str">
            <v>18ID</v>
          </cell>
          <cell r="G1035" t="str">
            <v>E11</v>
          </cell>
        </row>
        <row r="1036">
          <cell r="B1036">
            <v>108213104420</v>
          </cell>
          <cell r="E1036">
            <v>46148</v>
          </cell>
          <cell r="F1036" t="str">
            <v>18ID</v>
          </cell>
          <cell r="G1036" t="str">
            <v>E11</v>
          </cell>
        </row>
        <row r="1037">
          <cell r="B1037">
            <v>108206278130</v>
          </cell>
          <cell r="E1037">
            <v>46147</v>
          </cell>
          <cell r="F1037" t="str">
            <v>18ID</v>
          </cell>
          <cell r="G1037" t="str">
            <v>E13</v>
          </cell>
        </row>
        <row r="1038">
          <cell r="B1038">
            <v>308496277300</v>
          </cell>
          <cell r="E1038">
            <v>46147</v>
          </cell>
          <cell r="F1038" t="str">
            <v>18ID</v>
          </cell>
          <cell r="G1038" t="str">
            <v>E42</v>
          </cell>
        </row>
        <row r="1039">
          <cell r="B1039">
            <v>108207503130</v>
          </cell>
          <cell r="E1039">
            <v>46147</v>
          </cell>
          <cell r="F1039" t="str">
            <v>18ID</v>
          </cell>
          <cell r="G1039" t="str">
            <v>E11</v>
          </cell>
        </row>
        <row r="1040">
          <cell r="B1040">
            <v>108208212710</v>
          </cell>
          <cell r="E1040">
            <v>46147</v>
          </cell>
          <cell r="F1040" t="str">
            <v>18ID</v>
          </cell>
          <cell r="G1040" t="str">
            <v>E11</v>
          </cell>
        </row>
        <row r="1041">
          <cell r="B1041">
            <v>108208546720</v>
          </cell>
          <cell r="E1041">
            <v>46147</v>
          </cell>
          <cell r="F1041" t="str">
            <v>18ID</v>
          </cell>
          <cell r="G1041" t="str">
            <v>E11</v>
          </cell>
        </row>
        <row r="1042">
          <cell r="B1042">
            <v>108208656840</v>
          </cell>
          <cell r="E1042">
            <v>46147</v>
          </cell>
          <cell r="F1042" t="str">
            <v>18ID</v>
          </cell>
          <cell r="G1042" t="str">
            <v>E11</v>
          </cell>
        </row>
        <row r="1043">
          <cell r="B1043">
            <v>108209331420</v>
          </cell>
          <cell r="E1043">
            <v>46147</v>
          </cell>
          <cell r="F1043" t="str">
            <v>18ID</v>
          </cell>
          <cell r="G1043" t="str">
            <v>E11</v>
          </cell>
        </row>
        <row r="1044">
          <cell r="B1044">
            <v>108209356140</v>
          </cell>
          <cell r="E1044">
            <v>46147</v>
          </cell>
          <cell r="F1044" t="str">
            <v>18ID</v>
          </cell>
          <cell r="G1044" t="str">
            <v>E11</v>
          </cell>
        </row>
        <row r="1045">
          <cell r="B1045">
            <v>108209401310</v>
          </cell>
          <cell r="E1045">
            <v>46147</v>
          </cell>
          <cell r="F1045" t="str">
            <v>18ID</v>
          </cell>
          <cell r="G1045" t="str">
            <v>E11</v>
          </cell>
        </row>
        <row r="1046">
          <cell r="B1046">
            <v>108209484830</v>
          </cell>
          <cell r="E1046">
            <v>46147</v>
          </cell>
          <cell r="F1046" t="str">
            <v>18ID</v>
          </cell>
          <cell r="G1046" t="str">
            <v>E11</v>
          </cell>
        </row>
        <row r="1047">
          <cell r="B1047">
            <v>108209555530</v>
          </cell>
          <cell r="E1047">
            <v>46147</v>
          </cell>
          <cell r="F1047" t="str">
            <v>18ID</v>
          </cell>
          <cell r="G1047" t="str">
            <v>E11</v>
          </cell>
        </row>
        <row r="1048">
          <cell r="B1048">
            <v>108209791540</v>
          </cell>
          <cell r="E1048">
            <v>46147</v>
          </cell>
          <cell r="F1048" t="str">
            <v>18ID</v>
          </cell>
          <cell r="G1048" t="str">
            <v>E11</v>
          </cell>
        </row>
        <row r="1049">
          <cell r="B1049">
            <v>108209794930</v>
          </cell>
          <cell r="E1049">
            <v>46147</v>
          </cell>
          <cell r="F1049" t="str">
            <v>18ID</v>
          </cell>
          <cell r="G1049" t="str">
            <v>E11</v>
          </cell>
        </row>
        <row r="1050">
          <cell r="B1050">
            <v>108210006110</v>
          </cell>
          <cell r="E1050">
            <v>46147</v>
          </cell>
          <cell r="F1050" t="str">
            <v>18ID</v>
          </cell>
          <cell r="G1050" t="str">
            <v>E11</v>
          </cell>
        </row>
        <row r="1051">
          <cell r="B1051">
            <v>108210052750</v>
          </cell>
          <cell r="E1051">
            <v>46147</v>
          </cell>
          <cell r="F1051" t="str">
            <v>18ID</v>
          </cell>
          <cell r="G1051" t="str">
            <v>E11</v>
          </cell>
        </row>
        <row r="1052">
          <cell r="B1052">
            <v>108210205720</v>
          </cell>
          <cell r="E1052">
            <v>46147</v>
          </cell>
          <cell r="F1052" t="str">
            <v>18ID</v>
          </cell>
          <cell r="G1052" t="str">
            <v>E11</v>
          </cell>
        </row>
        <row r="1053">
          <cell r="B1053">
            <v>108210338130</v>
          </cell>
          <cell r="E1053">
            <v>46147</v>
          </cell>
          <cell r="F1053" t="str">
            <v>18ID</v>
          </cell>
          <cell r="G1053" t="str">
            <v>E11</v>
          </cell>
        </row>
        <row r="1054">
          <cell r="B1054">
            <v>108210339860</v>
          </cell>
          <cell r="E1054">
            <v>46147</v>
          </cell>
          <cell r="F1054" t="str">
            <v>18ID</v>
          </cell>
          <cell r="G1054" t="str">
            <v>E11</v>
          </cell>
        </row>
        <row r="1055">
          <cell r="B1055">
            <v>108210397960</v>
          </cell>
          <cell r="E1055">
            <v>46147</v>
          </cell>
          <cell r="F1055" t="str">
            <v>18ID</v>
          </cell>
          <cell r="G1055" t="str">
            <v>E11</v>
          </cell>
        </row>
        <row r="1056">
          <cell r="B1056">
            <v>108210435060</v>
          </cell>
          <cell r="E1056">
            <v>46147</v>
          </cell>
          <cell r="F1056" t="str">
            <v>18ID</v>
          </cell>
          <cell r="G1056" t="str">
            <v>E11</v>
          </cell>
        </row>
        <row r="1057">
          <cell r="B1057">
            <v>108210492020</v>
          </cell>
          <cell r="E1057">
            <v>46147</v>
          </cell>
          <cell r="F1057" t="str">
            <v>18ID</v>
          </cell>
          <cell r="G1057" t="str">
            <v>E11</v>
          </cell>
        </row>
        <row r="1058">
          <cell r="B1058">
            <v>108210526800</v>
          </cell>
          <cell r="E1058">
            <v>46147</v>
          </cell>
          <cell r="F1058" t="str">
            <v>18ID</v>
          </cell>
          <cell r="G1058" t="str">
            <v>E11</v>
          </cell>
        </row>
        <row r="1059">
          <cell r="B1059">
            <v>108210698520</v>
          </cell>
          <cell r="E1059">
            <v>46147</v>
          </cell>
          <cell r="F1059" t="str">
            <v>18ID</v>
          </cell>
          <cell r="G1059" t="str">
            <v>E11</v>
          </cell>
        </row>
        <row r="1060">
          <cell r="B1060">
            <v>108210768040</v>
          </cell>
          <cell r="E1060">
            <v>46147</v>
          </cell>
          <cell r="F1060" t="str">
            <v>18ID</v>
          </cell>
          <cell r="G1060" t="str">
            <v>E11</v>
          </cell>
        </row>
        <row r="1061">
          <cell r="B1061">
            <v>108211250340</v>
          </cell>
          <cell r="E1061">
            <v>46147</v>
          </cell>
          <cell r="F1061" t="str">
            <v>18ID</v>
          </cell>
          <cell r="G1061" t="str">
            <v>E15</v>
          </cell>
        </row>
        <row r="1062">
          <cell r="B1062">
            <v>108202904460</v>
          </cell>
          <cell r="E1062">
            <v>46146</v>
          </cell>
          <cell r="F1062" t="str">
            <v>18ID</v>
          </cell>
          <cell r="G1062" t="str">
            <v>E11</v>
          </cell>
        </row>
        <row r="1063">
          <cell r="B1063">
            <v>108206938010</v>
          </cell>
          <cell r="E1063">
            <v>46146</v>
          </cell>
          <cell r="F1063" t="str">
            <v xml:space="preserve">18ID  </v>
          </cell>
          <cell r="G1063" t="str">
            <v>G13</v>
          </cell>
        </row>
        <row r="1064">
          <cell r="B1064">
            <v>108203087860</v>
          </cell>
          <cell r="E1064">
            <v>46146</v>
          </cell>
          <cell r="F1064" t="str">
            <v>18ID</v>
          </cell>
          <cell r="G1064" t="str">
            <v>E11</v>
          </cell>
        </row>
        <row r="1065">
          <cell r="B1065">
            <v>108203100240</v>
          </cell>
          <cell r="E1065">
            <v>46146</v>
          </cell>
          <cell r="F1065" t="str">
            <v>18ID</v>
          </cell>
          <cell r="G1065" t="str">
            <v>E11</v>
          </cell>
        </row>
        <row r="1066">
          <cell r="B1066">
            <v>108203116560</v>
          </cell>
          <cell r="E1066">
            <v>46146</v>
          </cell>
          <cell r="F1066" t="str">
            <v>18ID</v>
          </cell>
          <cell r="G1066" t="str">
            <v>E11</v>
          </cell>
        </row>
        <row r="1067">
          <cell r="B1067">
            <v>108203224400</v>
          </cell>
          <cell r="E1067">
            <v>46146</v>
          </cell>
          <cell r="F1067" t="str">
            <v>18ID</v>
          </cell>
          <cell r="G1067" t="str">
            <v>E11</v>
          </cell>
        </row>
        <row r="1068">
          <cell r="B1068">
            <v>108203279000</v>
          </cell>
          <cell r="E1068">
            <v>46146</v>
          </cell>
          <cell r="F1068" t="str">
            <v>18ID</v>
          </cell>
          <cell r="G1068" t="str">
            <v>E11</v>
          </cell>
        </row>
        <row r="1069">
          <cell r="B1069">
            <v>108203333820</v>
          </cell>
          <cell r="E1069">
            <v>46146</v>
          </cell>
          <cell r="F1069" t="str">
            <v>18ID</v>
          </cell>
          <cell r="G1069" t="str">
            <v>E11</v>
          </cell>
        </row>
        <row r="1070">
          <cell r="B1070">
            <v>108203365060</v>
          </cell>
          <cell r="E1070">
            <v>46146</v>
          </cell>
          <cell r="F1070" t="str">
            <v>18ID</v>
          </cell>
          <cell r="G1070" t="str">
            <v>E11</v>
          </cell>
        </row>
        <row r="1071">
          <cell r="B1071">
            <v>108203516410</v>
          </cell>
          <cell r="E1071">
            <v>46146</v>
          </cell>
          <cell r="F1071" t="str">
            <v>18ID</v>
          </cell>
          <cell r="G1071" t="str">
            <v>E11</v>
          </cell>
        </row>
        <row r="1072">
          <cell r="B1072">
            <v>108203655710</v>
          </cell>
          <cell r="E1072">
            <v>46146</v>
          </cell>
          <cell r="F1072" t="str">
            <v>18ID</v>
          </cell>
          <cell r="G1072" t="str">
            <v>E11</v>
          </cell>
        </row>
        <row r="1073">
          <cell r="B1073">
            <v>108203765350</v>
          </cell>
          <cell r="E1073">
            <v>46146</v>
          </cell>
          <cell r="F1073" t="str">
            <v>18ID</v>
          </cell>
          <cell r="G1073" t="str">
            <v>E11</v>
          </cell>
        </row>
        <row r="1074">
          <cell r="B1074">
            <v>108203837120</v>
          </cell>
          <cell r="E1074">
            <v>46146</v>
          </cell>
          <cell r="F1074" t="str">
            <v>18ID</v>
          </cell>
          <cell r="G1074" t="str">
            <v>E11</v>
          </cell>
        </row>
        <row r="1075">
          <cell r="B1075">
            <v>108203886450</v>
          </cell>
          <cell r="E1075">
            <v>46146</v>
          </cell>
          <cell r="F1075" t="str">
            <v>18ID</v>
          </cell>
          <cell r="G1075" t="str">
            <v>E11</v>
          </cell>
        </row>
        <row r="1076">
          <cell r="B1076">
            <v>108203907120</v>
          </cell>
          <cell r="E1076">
            <v>46146</v>
          </cell>
          <cell r="F1076" t="str">
            <v>18ID</v>
          </cell>
          <cell r="G1076" t="str">
            <v>E11</v>
          </cell>
        </row>
        <row r="1077">
          <cell r="B1077">
            <v>108204088640</v>
          </cell>
          <cell r="E1077">
            <v>46146</v>
          </cell>
          <cell r="F1077" t="str">
            <v>18ID</v>
          </cell>
          <cell r="G1077" t="str">
            <v>E11</v>
          </cell>
        </row>
        <row r="1078">
          <cell r="B1078">
            <v>108204270530</v>
          </cell>
          <cell r="E1078">
            <v>46146</v>
          </cell>
          <cell r="F1078" t="str">
            <v>18ID</v>
          </cell>
          <cell r="G1078" t="str">
            <v>E11</v>
          </cell>
        </row>
        <row r="1079">
          <cell r="B1079">
            <v>108204416130</v>
          </cell>
          <cell r="E1079">
            <v>46146</v>
          </cell>
          <cell r="F1079" t="str">
            <v>18ID</v>
          </cell>
          <cell r="G1079" t="str">
            <v>E11</v>
          </cell>
        </row>
        <row r="1080">
          <cell r="B1080">
            <v>108204423020</v>
          </cell>
          <cell r="E1080">
            <v>46146</v>
          </cell>
          <cell r="F1080" t="str">
            <v>18ID</v>
          </cell>
          <cell r="G1080" t="str">
            <v>E11</v>
          </cell>
        </row>
        <row r="1081">
          <cell r="B1081">
            <v>108204856320</v>
          </cell>
          <cell r="E1081">
            <v>46146</v>
          </cell>
          <cell r="F1081" t="str">
            <v>18ID</v>
          </cell>
          <cell r="G1081" t="str">
            <v>E11</v>
          </cell>
        </row>
        <row r="1082">
          <cell r="B1082">
            <v>108205367760</v>
          </cell>
          <cell r="E1082">
            <v>46146</v>
          </cell>
          <cell r="F1082" t="str">
            <v>18ID</v>
          </cell>
          <cell r="G1082" t="str">
            <v>E11</v>
          </cell>
        </row>
        <row r="1083">
          <cell r="B1083">
            <v>108205814140</v>
          </cell>
          <cell r="E1083">
            <v>46146</v>
          </cell>
          <cell r="F1083" t="str">
            <v>18ID</v>
          </cell>
          <cell r="G1083" t="str">
            <v>E11</v>
          </cell>
        </row>
        <row r="1084">
          <cell r="B1084">
            <v>108205931150</v>
          </cell>
          <cell r="E1084">
            <v>46146</v>
          </cell>
          <cell r="F1084" t="str">
            <v>18ID</v>
          </cell>
          <cell r="G1084" t="str">
            <v>E11</v>
          </cell>
        </row>
        <row r="1085">
          <cell r="B1085">
            <v>108206000340</v>
          </cell>
          <cell r="E1085">
            <v>46146</v>
          </cell>
          <cell r="F1085" t="str">
            <v>18ID</v>
          </cell>
          <cell r="G1085" t="str">
            <v>E11</v>
          </cell>
        </row>
        <row r="1086">
          <cell r="B1086">
            <v>108206054240</v>
          </cell>
          <cell r="E1086">
            <v>46146</v>
          </cell>
          <cell r="F1086" t="str">
            <v>18ID</v>
          </cell>
          <cell r="G1086" t="str">
            <v>E11</v>
          </cell>
        </row>
        <row r="1087">
          <cell r="B1087">
            <v>108206105560</v>
          </cell>
          <cell r="E1087">
            <v>46146</v>
          </cell>
          <cell r="F1087" t="str">
            <v>18ID</v>
          </cell>
          <cell r="G1087" t="str">
            <v>E11</v>
          </cell>
        </row>
        <row r="1088">
          <cell r="B1088">
            <v>108206155740</v>
          </cell>
          <cell r="E1088">
            <v>46146</v>
          </cell>
          <cell r="F1088" t="str">
            <v>18ID</v>
          </cell>
          <cell r="G1088" t="str">
            <v>E11</v>
          </cell>
        </row>
        <row r="1089">
          <cell r="B1089">
            <v>108206202900</v>
          </cell>
          <cell r="E1089">
            <v>46146</v>
          </cell>
          <cell r="F1089" t="str">
            <v>18ID</v>
          </cell>
          <cell r="G1089" t="str">
            <v>E11</v>
          </cell>
        </row>
        <row r="1090">
          <cell r="B1090">
            <v>108206410210</v>
          </cell>
          <cell r="E1090">
            <v>46146</v>
          </cell>
          <cell r="F1090" t="str">
            <v>18ID</v>
          </cell>
          <cell r="G1090" t="str">
            <v>E11</v>
          </cell>
        </row>
        <row r="1091">
          <cell r="B1091">
            <v>108206413340</v>
          </cell>
          <cell r="E1091">
            <v>46146</v>
          </cell>
          <cell r="F1091" t="str">
            <v>18ID</v>
          </cell>
          <cell r="G1091" t="str">
            <v>E11</v>
          </cell>
        </row>
        <row r="1092">
          <cell r="B1092">
            <v>108206488020</v>
          </cell>
          <cell r="E1092">
            <v>46146</v>
          </cell>
          <cell r="F1092" t="str">
            <v>18ID</v>
          </cell>
          <cell r="G1092" t="str">
            <v>E11</v>
          </cell>
        </row>
        <row r="1093">
          <cell r="B1093">
            <v>108206521030</v>
          </cell>
          <cell r="E1093">
            <v>46146</v>
          </cell>
          <cell r="F1093" t="str">
            <v>18ID</v>
          </cell>
          <cell r="G1093" t="str">
            <v>E11</v>
          </cell>
        </row>
        <row r="1094">
          <cell r="B1094">
            <v>108206522060</v>
          </cell>
          <cell r="E1094">
            <v>46146</v>
          </cell>
          <cell r="F1094" t="str">
            <v>18ID</v>
          </cell>
          <cell r="G1094" t="str">
            <v>E11</v>
          </cell>
        </row>
        <row r="1095">
          <cell r="B1095">
            <v>108206673520</v>
          </cell>
          <cell r="E1095">
            <v>46146</v>
          </cell>
          <cell r="F1095" t="str">
            <v>18ID</v>
          </cell>
          <cell r="G1095" t="str">
            <v>E11</v>
          </cell>
        </row>
        <row r="1096">
          <cell r="B1096">
            <v>108206730220</v>
          </cell>
          <cell r="E1096">
            <v>46146</v>
          </cell>
          <cell r="F1096" t="str">
            <v>18ID</v>
          </cell>
          <cell r="G1096" t="str">
            <v>E11</v>
          </cell>
        </row>
        <row r="1097">
          <cell r="B1097">
            <v>108206753910</v>
          </cell>
          <cell r="E1097">
            <v>46146</v>
          </cell>
          <cell r="F1097" t="str">
            <v>18ID</v>
          </cell>
          <cell r="G1097" t="str">
            <v>E11</v>
          </cell>
        </row>
        <row r="1098">
          <cell r="B1098">
            <v>108206780360</v>
          </cell>
          <cell r="E1098">
            <v>46146</v>
          </cell>
          <cell r="F1098" t="str">
            <v>18ID</v>
          </cell>
          <cell r="G1098" t="str">
            <v>E11</v>
          </cell>
        </row>
        <row r="1099">
          <cell r="B1099">
            <v>108206813410</v>
          </cell>
          <cell r="E1099">
            <v>46146</v>
          </cell>
          <cell r="F1099" t="str">
            <v>18ID</v>
          </cell>
          <cell r="G1099" t="str">
            <v>E13</v>
          </cell>
        </row>
        <row r="1100">
          <cell r="B1100">
            <v>308485520140</v>
          </cell>
          <cell r="E1100">
            <v>46141</v>
          </cell>
          <cell r="F1100" t="str">
            <v>18ID</v>
          </cell>
          <cell r="G1100" t="str">
            <v>E42</v>
          </cell>
        </row>
        <row r="1101">
          <cell r="B1101">
            <v>108197468520</v>
          </cell>
          <cell r="E1101">
            <v>46141</v>
          </cell>
          <cell r="F1101" t="str">
            <v xml:space="preserve">18ID  </v>
          </cell>
          <cell r="G1101" t="str">
            <v>G13</v>
          </cell>
        </row>
        <row r="1102">
          <cell r="B1102">
            <v>108197144530</v>
          </cell>
          <cell r="E1102">
            <v>46141</v>
          </cell>
          <cell r="F1102" t="str">
            <v>18ID</v>
          </cell>
          <cell r="G1102" t="str">
            <v>E11</v>
          </cell>
        </row>
        <row r="1103">
          <cell r="B1103">
            <v>308485533331</v>
          </cell>
          <cell r="E1103">
            <v>46141</v>
          </cell>
          <cell r="F1103" t="str">
            <v>18ID</v>
          </cell>
          <cell r="G1103" t="str">
            <v>B13</v>
          </cell>
        </row>
        <row r="1104">
          <cell r="B1104">
            <v>308486218850</v>
          </cell>
          <cell r="E1104">
            <v>46141</v>
          </cell>
          <cell r="F1104" t="str">
            <v>18ID</v>
          </cell>
          <cell r="G1104" t="str">
            <v>E42</v>
          </cell>
        </row>
        <row r="1105">
          <cell r="B1105">
            <v>108195746740</v>
          </cell>
          <cell r="E1105">
            <v>46141</v>
          </cell>
          <cell r="F1105" t="str">
            <v>18ID</v>
          </cell>
          <cell r="G1105" t="str">
            <v>E13</v>
          </cell>
        </row>
        <row r="1106">
          <cell r="B1106">
            <v>308486444250</v>
          </cell>
          <cell r="E1106">
            <v>46141</v>
          </cell>
          <cell r="F1106" t="str">
            <v>18ID</v>
          </cell>
          <cell r="G1106" t="str">
            <v>E42</v>
          </cell>
        </row>
        <row r="1107">
          <cell r="B1107">
            <v>108195914740</v>
          </cell>
          <cell r="E1107">
            <v>46141</v>
          </cell>
          <cell r="F1107" t="str">
            <v>18ID</v>
          </cell>
          <cell r="G1107" t="str">
            <v>E15</v>
          </cell>
        </row>
        <row r="1108">
          <cell r="B1108">
            <v>108197426630</v>
          </cell>
          <cell r="E1108">
            <v>46141</v>
          </cell>
          <cell r="F1108" t="str">
            <v>18ID</v>
          </cell>
          <cell r="G1108" t="str">
            <v>E11</v>
          </cell>
        </row>
        <row r="1109">
          <cell r="B1109">
            <v>108199095760</v>
          </cell>
          <cell r="E1109">
            <v>46141</v>
          </cell>
          <cell r="F1109" t="str">
            <v>18ID</v>
          </cell>
          <cell r="G1109" t="str">
            <v>E13</v>
          </cell>
        </row>
        <row r="1110">
          <cell r="B1110">
            <v>308480596560</v>
          </cell>
          <cell r="E1110">
            <v>46140</v>
          </cell>
          <cell r="F1110" t="str">
            <v>18ID</v>
          </cell>
          <cell r="G1110" t="str">
            <v>E42</v>
          </cell>
        </row>
        <row r="1111">
          <cell r="B1111">
            <v>308481297960</v>
          </cell>
          <cell r="E1111">
            <v>46140</v>
          </cell>
          <cell r="F1111" t="str">
            <v>18ID</v>
          </cell>
          <cell r="G1111" t="str">
            <v>E42</v>
          </cell>
        </row>
        <row r="1112">
          <cell r="B1112">
            <v>108192186650</v>
          </cell>
          <cell r="E1112">
            <v>46140</v>
          </cell>
          <cell r="F1112" t="str">
            <v>18ID</v>
          </cell>
          <cell r="G1112" t="str">
            <v>E11</v>
          </cell>
        </row>
        <row r="1113">
          <cell r="B1113">
            <v>108194598630</v>
          </cell>
          <cell r="E1113">
            <v>46140</v>
          </cell>
          <cell r="F1113" t="str">
            <v xml:space="preserve">18ID  </v>
          </cell>
          <cell r="G1113" t="str">
            <v>G13</v>
          </cell>
        </row>
        <row r="1114">
          <cell r="B1114">
            <v>108194309640</v>
          </cell>
          <cell r="E1114">
            <v>46140</v>
          </cell>
          <cell r="F1114" t="str">
            <v>18ID</v>
          </cell>
          <cell r="G1114" t="str">
            <v>E13</v>
          </cell>
        </row>
        <row r="1115">
          <cell r="B1115">
            <v>108192061350</v>
          </cell>
          <cell r="E1115">
            <v>46140</v>
          </cell>
          <cell r="F1115" t="str">
            <v>18ID</v>
          </cell>
          <cell r="G1115" t="str">
            <v>E11</v>
          </cell>
        </row>
        <row r="1116">
          <cell r="B1116">
            <v>108193017220</v>
          </cell>
          <cell r="E1116">
            <v>46140</v>
          </cell>
          <cell r="F1116" t="str">
            <v>18ID</v>
          </cell>
          <cell r="G1116" t="str">
            <v>E11</v>
          </cell>
        </row>
        <row r="1117">
          <cell r="B1117">
            <v>108193438250</v>
          </cell>
          <cell r="E1117">
            <v>46140</v>
          </cell>
          <cell r="F1117" t="str">
            <v>18ID</v>
          </cell>
          <cell r="G1117" t="str">
            <v>E11</v>
          </cell>
        </row>
        <row r="1118">
          <cell r="B1118">
            <v>108194048100</v>
          </cell>
          <cell r="E1118">
            <v>46140</v>
          </cell>
          <cell r="F1118" t="str">
            <v>18ID</v>
          </cell>
          <cell r="G1118" t="str">
            <v>E11</v>
          </cell>
        </row>
        <row r="1119">
          <cell r="B1119">
            <v>108194355030</v>
          </cell>
          <cell r="E1119">
            <v>46140</v>
          </cell>
          <cell r="F1119" t="str">
            <v>18ID</v>
          </cell>
          <cell r="G1119" t="str">
            <v>E11</v>
          </cell>
        </row>
        <row r="1120">
          <cell r="B1120">
            <v>108189092540</v>
          </cell>
          <cell r="E1120">
            <v>46139</v>
          </cell>
          <cell r="F1120" t="str">
            <v>18ID</v>
          </cell>
          <cell r="G1120" t="str">
            <v>E11</v>
          </cell>
        </row>
        <row r="1121">
          <cell r="B1121">
            <v>108189107610</v>
          </cell>
          <cell r="E1121">
            <v>46139</v>
          </cell>
          <cell r="F1121" t="str">
            <v>18ID</v>
          </cell>
          <cell r="G1121" t="str">
            <v>E11</v>
          </cell>
        </row>
        <row r="1122">
          <cell r="B1122">
            <v>108189126250</v>
          </cell>
          <cell r="E1122">
            <v>46139</v>
          </cell>
          <cell r="F1122" t="str">
            <v>18ID</v>
          </cell>
          <cell r="G1122" t="str">
            <v>E11</v>
          </cell>
        </row>
        <row r="1123">
          <cell r="B1123">
            <v>108189150530</v>
          </cell>
          <cell r="E1123">
            <v>46139</v>
          </cell>
          <cell r="F1123" t="str">
            <v>18ID</v>
          </cell>
          <cell r="G1123" t="str">
            <v>E11</v>
          </cell>
        </row>
        <row r="1124">
          <cell r="B1124">
            <v>108189170720</v>
          </cell>
          <cell r="E1124">
            <v>46139</v>
          </cell>
          <cell r="F1124" t="str">
            <v>18ID</v>
          </cell>
          <cell r="G1124" t="str">
            <v>E11</v>
          </cell>
        </row>
        <row r="1125">
          <cell r="B1125">
            <v>108189248640</v>
          </cell>
          <cell r="E1125">
            <v>46139</v>
          </cell>
          <cell r="F1125" t="str">
            <v>18ID</v>
          </cell>
          <cell r="G1125" t="str">
            <v>E11</v>
          </cell>
        </row>
        <row r="1126">
          <cell r="B1126">
            <v>108189261610</v>
          </cell>
          <cell r="E1126">
            <v>46139</v>
          </cell>
          <cell r="F1126" t="str">
            <v>18ID</v>
          </cell>
          <cell r="G1126" t="str">
            <v>E11</v>
          </cell>
        </row>
        <row r="1127">
          <cell r="B1127">
            <v>108189269420</v>
          </cell>
          <cell r="E1127">
            <v>46139</v>
          </cell>
          <cell r="F1127" t="str">
            <v>18ID</v>
          </cell>
          <cell r="G1127" t="str">
            <v>E11</v>
          </cell>
        </row>
        <row r="1128">
          <cell r="B1128">
            <v>108189283750</v>
          </cell>
          <cell r="E1128">
            <v>46139</v>
          </cell>
          <cell r="F1128" t="str">
            <v>18ID</v>
          </cell>
          <cell r="G1128" t="str">
            <v>E11</v>
          </cell>
        </row>
        <row r="1129">
          <cell r="B1129">
            <v>108189300330</v>
          </cell>
          <cell r="E1129">
            <v>46139</v>
          </cell>
          <cell r="F1129" t="str">
            <v>18ID</v>
          </cell>
          <cell r="G1129" t="str">
            <v>E11</v>
          </cell>
        </row>
        <row r="1130">
          <cell r="B1130">
            <v>108189309800</v>
          </cell>
          <cell r="E1130">
            <v>46139</v>
          </cell>
          <cell r="F1130" t="str">
            <v>18ID</v>
          </cell>
          <cell r="G1130" t="str">
            <v>E11</v>
          </cell>
        </row>
        <row r="1131">
          <cell r="B1131">
            <v>108189322510</v>
          </cell>
          <cell r="E1131">
            <v>46139</v>
          </cell>
          <cell r="F1131" t="str">
            <v>18ID</v>
          </cell>
          <cell r="G1131" t="str">
            <v>E11</v>
          </cell>
        </row>
        <row r="1132">
          <cell r="B1132">
            <v>108189375230</v>
          </cell>
          <cell r="E1132">
            <v>46139</v>
          </cell>
          <cell r="F1132" t="str">
            <v>18ID</v>
          </cell>
          <cell r="G1132" t="str">
            <v>E11</v>
          </cell>
        </row>
        <row r="1133">
          <cell r="B1133">
            <v>108189386540</v>
          </cell>
          <cell r="E1133">
            <v>46139</v>
          </cell>
          <cell r="F1133" t="str">
            <v>18ID</v>
          </cell>
          <cell r="G1133" t="str">
            <v>E11</v>
          </cell>
        </row>
        <row r="1134">
          <cell r="B1134">
            <v>108189394830</v>
          </cell>
          <cell r="E1134">
            <v>46139</v>
          </cell>
          <cell r="F1134" t="str">
            <v>18ID</v>
          </cell>
          <cell r="G1134" t="str">
            <v>E11</v>
          </cell>
        </row>
        <row r="1135">
          <cell r="B1135">
            <v>108189397630</v>
          </cell>
          <cell r="E1135">
            <v>46139</v>
          </cell>
          <cell r="F1135" t="str">
            <v>18ID</v>
          </cell>
          <cell r="G1135" t="str">
            <v>E11</v>
          </cell>
        </row>
        <row r="1136">
          <cell r="B1136">
            <v>108189399950</v>
          </cell>
          <cell r="E1136">
            <v>46139</v>
          </cell>
          <cell r="F1136" t="str">
            <v>18ID</v>
          </cell>
          <cell r="G1136" t="str">
            <v>E11</v>
          </cell>
        </row>
        <row r="1137">
          <cell r="B1137">
            <v>108189403600</v>
          </cell>
          <cell r="E1137">
            <v>46139</v>
          </cell>
          <cell r="F1137" t="str">
            <v>18ID</v>
          </cell>
          <cell r="G1137" t="str">
            <v>E11</v>
          </cell>
        </row>
        <row r="1138">
          <cell r="B1138">
            <v>108189469250</v>
          </cell>
          <cell r="E1138">
            <v>46139</v>
          </cell>
          <cell r="F1138" t="str">
            <v>18ID</v>
          </cell>
          <cell r="G1138" t="str">
            <v>E11</v>
          </cell>
        </row>
        <row r="1139">
          <cell r="B1139">
            <v>108189491540</v>
          </cell>
          <cell r="E1139">
            <v>46139</v>
          </cell>
          <cell r="F1139" t="str">
            <v>18ID</v>
          </cell>
          <cell r="G1139" t="str">
            <v>E11</v>
          </cell>
        </row>
        <row r="1140">
          <cell r="B1140">
            <v>108189502410</v>
          </cell>
          <cell r="E1140">
            <v>46139</v>
          </cell>
          <cell r="F1140" t="str">
            <v>18ID</v>
          </cell>
          <cell r="G1140" t="str">
            <v>E11</v>
          </cell>
        </row>
        <row r="1141">
          <cell r="B1141">
            <v>108189517440</v>
          </cell>
          <cell r="E1141">
            <v>46139</v>
          </cell>
          <cell r="F1141" t="str">
            <v>18ID</v>
          </cell>
          <cell r="G1141" t="str">
            <v>E11</v>
          </cell>
        </row>
        <row r="1142">
          <cell r="B1142">
            <v>108189531920</v>
          </cell>
          <cell r="E1142">
            <v>46139</v>
          </cell>
          <cell r="F1142" t="str">
            <v>18ID</v>
          </cell>
          <cell r="G1142" t="str">
            <v>E11</v>
          </cell>
        </row>
        <row r="1143">
          <cell r="B1143">
            <v>108189545660</v>
          </cell>
          <cell r="E1143">
            <v>46139</v>
          </cell>
          <cell r="F1143" t="str">
            <v>18ID</v>
          </cell>
          <cell r="G1143" t="str">
            <v>E11</v>
          </cell>
        </row>
        <row r="1144">
          <cell r="B1144">
            <v>108189564450</v>
          </cell>
          <cell r="E1144">
            <v>46139</v>
          </cell>
          <cell r="F1144" t="str">
            <v>18ID</v>
          </cell>
          <cell r="G1144" t="str">
            <v>E11</v>
          </cell>
        </row>
        <row r="1145">
          <cell r="B1145">
            <v>108189599010</v>
          </cell>
          <cell r="E1145">
            <v>46139</v>
          </cell>
          <cell r="F1145" t="str">
            <v>18ID</v>
          </cell>
          <cell r="G1145" t="str">
            <v>E11</v>
          </cell>
        </row>
        <row r="1146">
          <cell r="B1146">
            <v>108189607520</v>
          </cell>
          <cell r="E1146">
            <v>46139</v>
          </cell>
          <cell r="F1146" t="str">
            <v>18ID</v>
          </cell>
          <cell r="G1146" t="str">
            <v>E11</v>
          </cell>
        </row>
        <row r="1147">
          <cell r="B1147">
            <v>108189616030</v>
          </cell>
          <cell r="E1147">
            <v>46139</v>
          </cell>
          <cell r="F1147" t="str">
            <v>18ID</v>
          </cell>
          <cell r="G1147" t="str">
            <v>E11</v>
          </cell>
        </row>
        <row r="1148">
          <cell r="B1148">
            <v>108189623510</v>
          </cell>
          <cell r="E1148">
            <v>46139</v>
          </cell>
          <cell r="F1148" t="str">
            <v>18ID</v>
          </cell>
          <cell r="G1148" t="str">
            <v>E11</v>
          </cell>
        </row>
        <row r="1149">
          <cell r="B1149">
            <v>108189637030</v>
          </cell>
          <cell r="E1149">
            <v>46139</v>
          </cell>
          <cell r="F1149" t="str">
            <v>18ID</v>
          </cell>
          <cell r="G1149" t="str">
            <v>E11</v>
          </cell>
        </row>
        <row r="1150">
          <cell r="B1150">
            <v>108189651840</v>
          </cell>
          <cell r="E1150">
            <v>46139</v>
          </cell>
          <cell r="F1150" t="str">
            <v>18ID</v>
          </cell>
          <cell r="G1150" t="str">
            <v>E11</v>
          </cell>
        </row>
        <row r="1151">
          <cell r="B1151">
            <v>108189661050</v>
          </cell>
          <cell r="E1151">
            <v>46139</v>
          </cell>
          <cell r="F1151" t="str">
            <v>18ID</v>
          </cell>
          <cell r="G1151" t="str">
            <v>E11</v>
          </cell>
        </row>
        <row r="1152">
          <cell r="B1152">
            <v>108189673100</v>
          </cell>
          <cell r="E1152">
            <v>46139</v>
          </cell>
          <cell r="F1152" t="str">
            <v>18ID</v>
          </cell>
          <cell r="G1152" t="str">
            <v>E11</v>
          </cell>
        </row>
        <row r="1153">
          <cell r="B1153">
            <v>108189685220</v>
          </cell>
          <cell r="E1153">
            <v>46139</v>
          </cell>
          <cell r="F1153" t="str">
            <v>18ID</v>
          </cell>
          <cell r="G1153" t="str">
            <v>E11</v>
          </cell>
        </row>
        <row r="1154">
          <cell r="B1154">
            <v>108189693400</v>
          </cell>
          <cell r="E1154">
            <v>46139</v>
          </cell>
          <cell r="F1154" t="str">
            <v>18ID</v>
          </cell>
          <cell r="G1154" t="str">
            <v>E11</v>
          </cell>
        </row>
        <row r="1155">
          <cell r="B1155">
            <v>108189704120</v>
          </cell>
          <cell r="E1155">
            <v>46139</v>
          </cell>
          <cell r="F1155" t="str">
            <v>18ID</v>
          </cell>
          <cell r="G1155" t="str">
            <v>E11</v>
          </cell>
        </row>
        <row r="1156">
          <cell r="B1156">
            <v>108189712410</v>
          </cell>
          <cell r="E1156">
            <v>46139</v>
          </cell>
          <cell r="F1156" t="str">
            <v>18ID</v>
          </cell>
          <cell r="G1156" t="str">
            <v>E11</v>
          </cell>
        </row>
        <row r="1157">
          <cell r="B1157">
            <v>108189718560</v>
          </cell>
          <cell r="E1157">
            <v>46139</v>
          </cell>
          <cell r="F1157" t="str">
            <v>18ID</v>
          </cell>
          <cell r="G1157" t="str">
            <v>E11</v>
          </cell>
        </row>
        <row r="1158">
          <cell r="B1158">
            <v>108189722910</v>
          </cell>
          <cell r="E1158">
            <v>46139</v>
          </cell>
          <cell r="F1158" t="str">
            <v>18ID</v>
          </cell>
          <cell r="G1158" t="str">
            <v>E11</v>
          </cell>
        </row>
        <row r="1159">
          <cell r="B1159">
            <v>108189725230</v>
          </cell>
          <cell r="E1159">
            <v>46139</v>
          </cell>
          <cell r="F1159" t="str">
            <v>18ID</v>
          </cell>
          <cell r="G1159" t="str">
            <v>E11</v>
          </cell>
        </row>
        <row r="1160">
          <cell r="B1160">
            <v>108189727330</v>
          </cell>
          <cell r="E1160">
            <v>46139</v>
          </cell>
          <cell r="F1160" t="str">
            <v>18ID</v>
          </cell>
          <cell r="G1160" t="str">
            <v>E11</v>
          </cell>
        </row>
        <row r="1161">
          <cell r="B1161">
            <v>108189729430</v>
          </cell>
          <cell r="E1161">
            <v>46139</v>
          </cell>
          <cell r="F1161" t="str">
            <v>18ID</v>
          </cell>
          <cell r="G1161" t="str">
            <v>E11</v>
          </cell>
        </row>
        <row r="1162">
          <cell r="B1162">
            <v>108189731860</v>
          </cell>
          <cell r="E1162">
            <v>46139</v>
          </cell>
          <cell r="F1162" t="str">
            <v>18ID</v>
          </cell>
          <cell r="G1162" t="str">
            <v>E11</v>
          </cell>
        </row>
        <row r="1163">
          <cell r="B1163">
            <v>108189733410</v>
          </cell>
          <cell r="E1163">
            <v>46139</v>
          </cell>
          <cell r="F1163" t="str">
            <v>18ID</v>
          </cell>
          <cell r="G1163" t="str">
            <v>E11</v>
          </cell>
        </row>
        <row r="1164">
          <cell r="B1164">
            <v>108189744460</v>
          </cell>
          <cell r="E1164">
            <v>46139</v>
          </cell>
          <cell r="F1164" t="str">
            <v>18ID</v>
          </cell>
          <cell r="G1164" t="str">
            <v>E11</v>
          </cell>
        </row>
        <row r="1165">
          <cell r="B1165">
            <v>108189752750</v>
          </cell>
          <cell r="E1165">
            <v>46139</v>
          </cell>
          <cell r="F1165" t="str">
            <v>18ID</v>
          </cell>
          <cell r="G1165" t="str">
            <v>E11</v>
          </cell>
        </row>
        <row r="1166">
          <cell r="B1166">
            <v>108189764430</v>
          </cell>
          <cell r="E1166">
            <v>46139</v>
          </cell>
          <cell r="F1166" t="str">
            <v>18ID</v>
          </cell>
          <cell r="G1166" t="str">
            <v>E11</v>
          </cell>
        </row>
        <row r="1167">
          <cell r="B1167">
            <v>108189772940</v>
          </cell>
          <cell r="E1167">
            <v>46139</v>
          </cell>
          <cell r="F1167" t="str">
            <v>18ID</v>
          </cell>
          <cell r="G1167" t="str">
            <v>E11</v>
          </cell>
        </row>
        <row r="1168">
          <cell r="B1168">
            <v>108189779240</v>
          </cell>
          <cell r="E1168">
            <v>46139</v>
          </cell>
          <cell r="F1168" t="str">
            <v>18ID</v>
          </cell>
          <cell r="G1168" t="str">
            <v>E11</v>
          </cell>
        </row>
        <row r="1169">
          <cell r="B1169">
            <v>108189786720</v>
          </cell>
          <cell r="E1169">
            <v>46139</v>
          </cell>
          <cell r="F1169" t="str">
            <v>18ID</v>
          </cell>
          <cell r="G1169" t="str">
            <v>E11</v>
          </cell>
        </row>
        <row r="1170">
          <cell r="B1170">
            <v>108189790920</v>
          </cell>
          <cell r="E1170">
            <v>46139</v>
          </cell>
          <cell r="F1170" t="str">
            <v>18ID</v>
          </cell>
          <cell r="G1170" t="str">
            <v>E11</v>
          </cell>
        </row>
        <row r="1171">
          <cell r="B1171">
            <v>108189796040</v>
          </cell>
          <cell r="E1171">
            <v>46139</v>
          </cell>
          <cell r="F1171" t="str">
            <v>18ID</v>
          </cell>
          <cell r="G1171" t="str">
            <v>E11</v>
          </cell>
        </row>
        <row r="1172">
          <cell r="B1172">
            <v>108189808050</v>
          </cell>
          <cell r="E1172">
            <v>46139</v>
          </cell>
          <cell r="F1172" t="str">
            <v>18ID</v>
          </cell>
          <cell r="G1172" t="str">
            <v>E11</v>
          </cell>
        </row>
        <row r="1173">
          <cell r="B1173">
            <v>108189825550</v>
          </cell>
          <cell r="C1173" t="str">
            <v>108189825550</v>
          </cell>
          <cell r="D1173">
            <v>1</v>
          </cell>
          <cell r="E1173">
            <v>46139</v>
          </cell>
          <cell r="F1173" t="str">
            <v>18ID</v>
          </cell>
          <cell r="G1173" t="str">
            <v>E11</v>
          </cell>
        </row>
        <row r="1174">
          <cell r="B1174">
            <v>108189826030</v>
          </cell>
          <cell r="C1174" t="str">
            <v>108189825550</v>
          </cell>
          <cell r="D1174">
            <v>2</v>
          </cell>
          <cell r="E1174">
            <v>46139</v>
          </cell>
          <cell r="F1174" t="str">
            <v>18ID</v>
          </cell>
          <cell r="G1174" t="str">
            <v>E11</v>
          </cell>
        </row>
        <row r="1175">
          <cell r="B1175">
            <v>108187630130</v>
          </cell>
          <cell r="E1175">
            <v>46137</v>
          </cell>
          <cell r="F1175" t="str">
            <v>18ID</v>
          </cell>
          <cell r="G1175" t="str">
            <v>E11</v>
          </cell>
        </row>
        <row r="1176">
          <cell r="B1176">
            <v>108187675520</v>
          </cell>
          <cell r="E1176">
            <v>46137</v>
          </cell>
          <cell r="F1176" t="str">
            <v>18ID</v>
          </cell>
          <cell r="G1176" t="str">
            <v>E11</v>
          </cell>
        </row>
        <row r="1177">
          <cell r="B1177">
            <v>108187696850</v>
          </cell>
          <cell r="E1177">
            <v>46137</v>
          </cell>
          <cell r="F1177" t="str">
            <v>18ID</v>
          </cell>
          <cell r="G1177" t="str">
            <v>E11</v>
          </cell>
        </row>
        <row r="1178">
          <cell r="B1178">
            <v>108187761140</v>
          </cell>
          <cell r="E1178">
            <v>46137</v>
          </cell>
          <cell r="F1178" t="str">
            <v>18ID</v>
          </cell>
          <cell r="G1178" t="str">
            <v>E11</v>
          </cell>
        </row>
        <row r="1179">
          <cell r="B1179">
            <v>108187826830</v>
          </cell>
          <cell r="E1179">
            <v>46137</v>
          </cell>
          <cell r="F1179" t="str">
            <v>18ID</v>
          </cell>
          <cell r="G1179" t="str">
            <v>E11</v>
          </cell>
        </row>
        <row r="1180">
          <cell r="B1180">
            <v>108187870820</v>
          </cell>
          <cell r="E1180">
            <v>46137</v>
          </cell>
          <cell r="F1180" t="str">
            <v>18ID</v>
          </cell>
          <cell r="G1180" t="str">
            <v>E11</v>
          </cell>
        </row>
        <row r="1181">
          <cell r="B1181">
            <v>108187917240</v>
          </cell>
          <cell r="E1181">
            <v>46137</v>
          </cell>
          <cell r="F1181" t="str">
            <v>18ID</v>
          </cell>
          <cell r="G1181" t="str">
            <v>E11</v>
          </cell>
        </row>
        <row r="1182">
          <cell r="B1182">
            <v>108187997150</v>
          </cell>
          <cell r="E1182">
            <v>46137</v>
          </cell>
          <cell r="F1182" t="str">
            <v>18ID</v>
          </cell>
          <cell r="G1182" t="str">
            <v>E11</v>
          </cell>
        </row>
        <row r="1183">
          <cell r="B1183">
            <v>108188017230</v>
          </cell>
          <cell r="E1183">
            <v>46137</v>
          </cell>
          <cell r="F1183" t="str">
            <v>18ID</v>
          </cell>
          <cell r="G1183" t="str">
            <v>E11</v>
          </cell>
        </row>
        <row r="1184">
          <cell r="B1184">
            <v>108188103660</v>
          </cell>
          <cell r="E1184">
            <v>46137</v>
          </cell>
          <cell r="F1184" t="str">
            <v>18ID</v>
          </cell>
          <cell r="G1184" t="str">
            <v>E15</v>
          </cell>
        </row>
        <row r="1185">
          <cell r="B1185">
            <v>108187402520</v>
          </cell>
          <cell r="E1185">
            <v>46137</v>
          </cell>
          <cell r="F1185" t="str">
            <v>18ID</v>
          </cell>
          <cell r="G1185" t="str">
            <v>E13</v>
          </cell>
        </row>
        <row r="1186">
          <cell r="B1186">
            <v>308466971320</v>
          </cell>
          <cell r="E1186">
            <v>46136</v>
          </cell>
          <cell r="F1186" t="str">
            <v>18ID</v>
          </cell>
          <cell r="G1186" t="str">
            <v>E42</v>
          </cell>
        </row>
        <row r="1187">
          <cell r="B1187">
            <v>308467321651</v>
          </cell>
          <cell r="E1187">
            <v>46136</v>
          </cell>
          <cell r="F1187" t="str">
            <v>18ID</v>
          </cell>
          <cell r="G1187" t="str">
            <v>B13</v>
          </cell>
        </row>
        <row r="1188">
          <cell r="B1188">
            <v>308468110700</v>
          </cell>
          <cell r="E1188">
            <v>46136</v>
          </cell>
          <cell r="F1188" t="str">
            <v>18ID</v>
          </cell>
          <cell r="G1188" t="str">
            <v>E42</v>
          </cell>
        </row>
        <row r="1189">
          <cell r="B1189">
            <v>308468165411</v>
          </cell>
          <cell r="E1189">
            <v>46136</v>
          </cell>
          <cell r="F1189" t="str">
            <v>18ID</v>
          </cell>
          <cell r="G1189" t="str">
            <v>G23</v>
          </cell>
        </row>
        <row r="1190">
          <cell r="B1190">
            <v>308468209621</v>
          </cell>
          <cell r="E1190">
            <v>46136</v>
          </cell>
          <cell r="F1190" t="str">
            <v>18ID</v>
          </cell>
          <cell r="G1190" t="str">
            <v>G23</v>
          </cell>
        </row>
        <row r="1191">
          <cell r="B1191">
            <v>308468228151</v>
          </cell>
          <cell r="E1191">
            <v>46136</v>
          </cell>
          <cell r="F1191" t="str">
            <v>18ID</v>
          </cell>
          <cell r="G1191" t="str">
            <v>G23</v>
          </cell>
        </row>
        <row r="1192">
          <cell r="B1192">
            <v>308468248231</v>
          </cell>
          <cell r="E1192">
            <v>46136</v>
          </cell>
          <cell r="F1192" t="str">
            <v>18ID</v>
          </cell>
          <cell r="G1192" t="str">
            <v>G23</v>
          </cell>
        </row>
        <row r="1193">
          <cell r="B1193">
            <v>308468261311</v>
          </cell>
          <cell r="E1193">
            <v>46136</v>
          </cell>
          <cell r="F1193" t="str">
            <v>18ID</v>
          </cell>
          <cell r="G1193" t="str">
            <v>G23</v>
          </cell>
        </row>
        <row r="1194">
          <cell r="B1194">
            <v>308468378060</v>
          </cell>
          <cell r="E1194">
            <v>46136</v>
          </cell>
          <cell r="F1194" t="str">
            <v>18ID</v>
          </cell>
          <cell r="G1194" t="str">
            <v>E42</v>
          </cell>
        </row>
        <row r="1195">
          <cell r="B1195">
            <v>308469967060</v>
          </cell>
          <cell r="E1195">
            <v>46136</v>
          </cell>
          <cell r="F1195" t="str">
            <v>18ID</v>
          </cell>
          <cell r="G1195" t="str">
            <v>E42</v>
          </cell>
        </row>
        <row r="1196">
          <cell r="B1196">
            <v>308470567700</v>
          </cell>
          <cell r="E1196">
            <v>46136</v>
          </cell>
          <cell r="F1196" t="str">
            <v>18ID</v>
          </cell>
          <cell r="G1196" t="str">
            <v>E42</v>
          </cell>
        </row>
        <row r="1197">
          <cell r="B1197">
            <v>308471121620</v>
          </cell>
          <cell r="E1197">
            <v>46136</v>
          </cell>
          <cell r="F1197" t="str">
            <v>18ID</v>
          </cell>
          <cell r="G1197" t="str">
            <v>E42</v>
          </cell>
        </row>
        <row r="1198">
          <cell r="B1198">
            <v>308472037110</v>
          </cell>
          <cell r="E1198">
            <v>46136</v>
          </cell>
          <cell r="F1198" t="str">
            <v>18ID</v>
          </cell>
          <cell r="G1198" t="str">
            <v>E42</v>
          </cell>
        </row>
        <row r="1199">
          <cell r="B1199">
            <v>108183271120</v>
          </cell>
          <cell r="E1199">
            <v>46136</v>
          </cell>
          <cell r="F1199" t="str">
            <v>18ID</v>
          </cell>
          <cell r="G1199" t="str">
            <v>E11</v>
          </cell>
        </row>
        <row r="1200">
          <cell r="B1200">
            <v>108183463620</v>
          </cell>
          <cell r="E1200">
            <v>46136</v>
          </cell>
          <cell r="F1200" t="str">
            <v>18ID</v>
          </cell>
          <cell r="G1200" t="str">
            <v>E11</v>
          </cell>
        </row>
        <row r="1201">
          <cell r="B1201">
            <v>108183619500</v>
          </cell>
          <cell r="E1201">
            <v>46136</v>
          </cell>
          <cell r="F1201" t="str">
            <v>18ID</v>
          </cell>
          <cell r="G1201" t="str">
            <v>E15</v>
          </cell>
        </row>
        <row r="1202">
          <cell r="B1202">
            <v>108184502860</v>
          </cell>
          <cell r="E1202">
            <v>46136</v>
          </cell>
          <cell r="F1202" t="str">
            <v>18ID</v>
          </cell>
          <cell r="G1202" t="str">
            <v>E15</v>
          </cell>
        </row>
        <row r="1203">
          <cell r="B1203">
            <v>108186527850</v>
          </cell>
          <cell r="E1203">
            <v>46136</v>
          </cell>
          <cell r="F1203" t="str">
            <v>18ID</v>
          </cell>
          <cell r="G1203" t="str">
            <v>E11</v>
          </cell>
        </row>
        <row r="1204">
          <cell r="B1204">
            <v>308463100911</v>
          </cell>
          <cell r="E1204">
            <v>46135</v>
          </cell>
          <cell r="F1204" t="str">
            <v>18ID</v>
          </cell>
          <cell r="G1204" t="str">
            <v>G23</v>
          </cell>
        </row>
        <row r="1205">
          <cell r="B1205">
            <v>308463112441</v>
          </cell>
          <cell r="E1205">
            <v>46135</v>
          </cell>
          <cell r="F1205" t="str">
            <v>18ID</v>
          </cell>
          <cell r="G1205" t="str">
            <v>G23</v>
          </cell>
        </row>
        <row r="1206">
          <cell r="B1206">
            <v>308463122831</v>
          </cell>
          <cell r="E1206">
            <v>46135</v>
          </cell>
          <cell r="F1206" t="str">
            <v>18ID</v>
          </cell>
          <cell r="G1206" t="str">
            <v>G23</v>
          </cell>
        </row>
        <row r="1207">
          <cell r="B1207">
            <v>308463134951</v>
          </cell>
          <cell r="E1207">
            <v>46135</v>
          </cell>
          <cell r="F1207" t="str">
            <v>18ID</v>
          </cell>
          <cell r="G1207" t="str">
            <v>G23</v>
          </cell>
        </row>
        <row r="1208">
          <cell r="B1208">
            <v>308463187011</v>
          </cell>
          <cell r="E1208">
            <v>46135</v>
          </cell>
          <cell r="F1208" t="str">
            <v>18ID</v>
          </cell>
          <cell r="G1208" t="str">
            <v>B13</v>
          </cell>
        </row>
        <row r="1209">
          <cell r="B1209">
            <v>308464486800</v>
          </cell>
          <cell r="E1209">
            <v>46135</v>
          </cell>
          <cell r="F1209" t="str">
            <v>18ID</v>
          </cell>
          <cell r="G1209" t="str">
            <v>E42</v>
          </cell>
        </row>
        <row r="1210">
          <cell r="B1210">
            <v>308465389801</v>
          </cell>
          <cell r="E1210">
            <v>46135</v>
          </cell>
          <cell r="F1210" t="str">
            <v>18ID</v>
          </cell>
          <cell r="G1210" t="str">
            <v>B13</v>
          </cell>
        </row>
        <row r="1211">
          <cell r="B1211">
            <v>308468019440</v>
          </cell>
          <cell r="E1211">
            <v>46135</v>
          </cell>
          <cell r="F1211" t="str">
            <v>18ID</v>
          </cell>
          <cell r="G1211" t="str">
            <v>E42</v>
          </cell>
        </row>
        <row r="1212">
          <cell r="B1212">
            <v>308468057350</v>
          </cell>
          <cell r="E1212">
            <v>46135</v>
          </cell>
          <cell r="F1212" t="str">
            <v>18ID</v>
          </cell>
          <cell r="G1212" t="str">
            <v>E42</v>
          </cell>
        </row>
        <row r="1213">
          <cell r="B1213">
            <v>108182230810</v>
          </cell>
          <cell r="E1213">
            <v>46135</v>
          </cell>
          <cell r="F1213" t="str">
            <v>18ID</v>
          </cell>
          <cell r="G1213" t="str">
            <v>G13</v>
          </cell>
        </row>
        <row r="1214">
          <cell r="B1214">
            <v>108178400150</v>
          </cell>
          <cell r="E1214">
            <v>46135</v>
          </cell>
          <cell r="F1214" t="str">
            <v>18ID</v>
          </cell>
          <cell r="G1214" t="str">
            <v>E11</v>
          </cell>
        </row>
        <row r="1215">
          <cell r="B1215">
            <v>108179464300</v>
          </cell>
          <cell r="E1215">
            <v>46135</v>
          </cell>
          <cell r="F1215" t="str">
            <v>18ID</v>
          </cell>
          <cell r="G1215" t="str">
            <v>E11</v>
          </cell>
        </row>
        <row r="1216">
          <cell r="B1216">
            <v>108180503430</v>
          </cell>
          <cell r="E1216">
            <v>46135</v>
          </cell>
          <cell r="F1216" t="str">
            <v>18ID</v>
          </cell>
          <cell r="G1216" t="str">
            <v>E11</v>
          </cell>
        </row>
        <row r="1217">
          <cell r="B1217">
            <v>108180719400</v>
          </cell>
          <cell r="E1217">
            <v>46135</v>
          </cell>
          <cell r="F1217" t="str">
            <v>18ID</v>
          </cell>
          <cell r="G1217" t="str">
            <v>E11</v>
          </cell>
        </row>
        <row r="1218">
          <cell r="B1218">
            <v>108180802700</v>
          </cell>
          <cell r="E1218">
            <v>46135</v>
          </cell>
          <cell r="F1218" t="str">
            <v>18ID</v>
          </cell>
          <cell r="G1218" t="str">
            <v>E11</v>
          </cell>
        </row>
        <row r="1219">
          <cell r="B1219">
            <v>108180915620</v>
          </cell>
          <cell r="E1219">
            <v>46135</v>
          </cell>
          <cell r="F1219" t="str">
            <v>18ID</v>
          </cell>
          <cell r="G1219" t="str">
            <v>E11</v>
          </cell>
        </row>
        <row r="1220">
          <cell r="B1220">
            <v>108174577560</v>
          </cell>
          <cell r="E1220">
            <v>46134</v>
          </cell>
          <cell r="F1220" t="str">
            <v>18ID</v>
          </cell>
          <cell r="G1220" t="str">
            <v>E11</v>
          </cell>
        </row>
        <row r="1221">
          <cell r="B1221">
            <v>108175203030</v>
          </cell>
          <cell r="E1221">
            <v>46134</v>
          </cell>
          <cell r="F1221" t="str">
            <v>18ID</v>
          </cell>
          <cell r="G1221" t="str">
            <v>E11</v>
          </cell>
        </row>
        <row r="1222">
          <cell r="B1222">
            <v>108175288060</v>
          </cell>
          <cell r="E1222">
            <v>46134</v>
          </cell>
          <cell r="F1222" t="str">
            <v>18ID</v>
          </cell>
          <cell r="G1222" t="str">
            <v>E11</v>
          </cell>
        </row>
        <row r="1223">
          <cell r="B1223">
            <v>108175398660</v>
          </cell>
          <cell r="E1223">
            <v>46134</v>
          </cell>
          <cell r="F1223" t="str">
            <v>18ID</v>
          </cell>
          <cell r="G1223" t="str">
            <v>E11</v>
          </cell>
        </row>
        <row r="1224">
          <cell r="B1224">
            <v>108175851820</v>
          </cell>
          <cell r="E1224">
            <v>46134</v>
          </cell>
          <cell r="F1224" t="str">
            <v>18ID</v>
          </cell>
          <cell r="G1224" t="str">
            <v>E11</v>
          </cell>
        </row>
        <row r="1225">
          <cell r="B1225">
            <v>108176944630</v>
          </cell>
          <cell r="E1225">
            <v>46134</v>
          </cell>
          <cell r="F1225" t="str">
            <v>18ID</v>
          </cell>
          <cell r="G1225" t="str">
            <v>E11</v>
          </cell>
        </row>
        <row r="1226">
          <cell r="B1226">
            <v>108176996320</v>
          </cell>
          <cell r="E1226">
            <v>46134</v>
          </cell>
          <cell r="F1226" t="str">
            <v>18ID</v>
          </cell>
          <cell r="G1226" t="str">
            <v>E11</v>
          </cell>
        </row>
        <row r="1227">
          <cell r="B1227">
            <v>108177080540</v>
          </cell>
          <cell r="E1227">
            <v>46134</v>
          </cell>
          <cell r="F1227" t="str">
            <v>18ID</v>
          </cell>
          <cell r="G1227" t="str">
            <v>E11</v>
          </cell>
        </row>
        <row r="1228">
          <cell r="B1228">
            <v>108177198250</v>
          </cell>
          <cell r="E1228">
            <v>46134</v>
          </cell>
          <cell r="F1228" t="str">
            <v>18ID</v>
          </cell>
          <cell r="G1228" t="str">
            <v>E11</v>
          </cell>
        </row>
        <row r="1229">
          <cell r="B1229">
            <v>108177281110</v>
          </cell>
          <cell r="E1229">
            <v>46134</v>
          </cell>
          <cell r="F1229" t="str">
            <v>18ID</v>
          </cell>
          <cell r="G1229" t="str">
            <v>E11</v>
          </cell>
        </row>
        <row r="1230">
          <cell r="B1230">
            <v>108177338840</v>
          </cell>
          <cell r="E1230">
            <v>46134</v>
          </cell>
          <cell r="F1230" t="str">
            <v>18ID</v>
          </cell>
          <cell r="G1230" t="str">
            <v>E11</v>
          </cell>
        </row>
        <row r="1231">
          <cell r="B1231">
            <v>108177428330</v>
          </cell>
          <cell r="E1231">
            <v>46134</v>
          </cell>
          <cell r="F1231" t="str">
            <v>18ID</v>
          </cell>
          <cell r="G1231" t="str">
            <v>E11</v>
          </cell>
        </row>
        <row r="1232">
          <cell r="B1232">
            <v>108177455260</v>
          </cell>
          <cell r="E1232">
            <v>46134</v>
          </cell>
          <cell r="F1232" t="str">
            <v>18ID</v>
          </cell>
          <cell r="G1232" t="str">
            <v>E11</v>
          </cell>
        </row>
        <row r="1233">
          <cell r="B1233">
            <v>108177487350</v>
          </cell>
          <cell r="E1233">
            <v>46134</v>
          </cell>
          <cell r="F1233" t="str">
            <v>18ID</v>
          </cell>
          <cell r="G1233" t="str">
            <v>E11</v>
          </cell>
        </row>
        <row r="1234">
          <cell r="B1234">
            <v>108177590620</v>
          </cell>
          <cell r="E1234">
            <v>46134</v>
          </cell>
          <cell r="F1234" t="str">
            <v>18ID</v>
          </cell>
          <cell r="G1234" t="str">
            <v>E13</v>
          </cell>
        </row>
        <row r="1235">
          <cell r="B1235">
            <v>108177912950</v>
          </cell>
          <cell r="E1235">
            <v>46134</v>
          </cell>
          <cell r="F1235" t="str">
            <v>18ID</v>
          </cell>
          <cell r="G1235" t="str">
            <v>E13</v>
          </cell>
        </row>
        <row r="1236">
          <cell r="B1236">
            <v>108170345400</v>
          </cell>
          <cell r="E1236">
            <v>46133</v>
          </cell>
          <cell r="F1236" t="str">
            <v>18ID</v>
          </cell>
          <cell r="G1236" t="str">
            <v>G13</v>
          </cell>
        </row>
        <row r="1237">
          <cell r="B1237">
            <v>108173807010</v>
          </cell>
          <cell r="E1237">
            <v>46133</v>
          </cell>
          <cell r="F1237" t="str">
            <v>18ID</v>
          </cell>
          <cell r="G1237" t="str">
            <v>E13</v>
          </cell>
        </row>
        <row r="1238">
          <cell r="B1238">
            <v>108169861660</v>
          </cell>
          <cell r="E1238">
            <v>46133</v>
          </cell>
          <cell r="F1238" t="str">
            <v>18ID</v>
          </cell>
          <cell r="G1238" t="str">
            <v>E11</v>
          </cell>
        </row>
        <row r="1239">
          <cell r="B1239">
            <v>108170826040</v>
          </cell>
          <cell r="E1239">
            <v>46133</v>
          </cell>
          <cell r="F1239" t="str">
            <v>18ID</v>
          </cell>
          <cell r="G1239" t="str">
            <v>E13</v>
          </cell>
        </row>
        <row r="1240">
          <cell r="B1240">
            <v>308457830500</v>
          </cell>
          <cell r="E1240">
            <v>46133</v>
          </cell>
          <cell r="F1240" t="str">
            <v>18ID</v>
          </cell>
          <cell r="G1240" t="str">
            <v>E42</v>
          </cell>
        </row>
        <row r="1241">
          <cell r="B1241">
            <v>108171880500</v>
          </cell>
          <cell r="E1241">
            <v>46133</v>
          </cell>
          <cell r="F1241" t="str">
            <v>18ID</v>
          </cell>
          <cell r="G1241" t="str">
            <v>E11</v>
          </cell>
        </row>
        <row r="1242">
          <cell r="B1242">
            <v>108171895310</v>
          </cell>
          <cell r="E1242">
            <v>46133</v>
          </cell>
          <cell r="F1242" t="str">
            <v>18ID</v>
          </cell>
          <cell r="G1242" t="str">
            <v>E11</v>
          </cell>
        </row>
        <row r="1243">
          <cell r="B1243">
            <v>108172062350</v>
          </cell>
          <cell r="E1243">
            <v>46133</v>
          </cell>
          <cell r="F1243" t="str">
            <v>18ID</v>
          </cell>
          <cell r="G1243" t="str">
            <v>E11</v>
          </cell>
        </row>
        <row r="1244">
          <cell r="B1244">
            <v>108172078600</v>
          </cell>
          <cell r="E1244">
            <v>46133</v>
          </cell>
          <cell r="F1244" t="str">
            <v>18ID</v>
          </cell>
          <cell r="G1244" t="str">
            <v>E11</v>
          </cell>
        </row>
        <row r="1245">
          <cell r="B1245">
            <v>108172130510</v>
          </cell>
          <cell r="E1245">
            <v>46133</v>
          </cell>
          <cell r="F1245" t="str">
            <v>18ID</v>
          </cell>
          <cell r="G1245" t="str">
            <v>E11</v>
          </cell>
        </row>
        <row r="1246">
          <cell r="B1246">
            <v>108172145060</v>
          </cell>
          <cell r="E1246">
            <v>46133</v>
          </cell>
          <cell r="F1246" t="str">
            <v>18ID</v>
          </cell>
          <cell r="G1246" t="str">
            <v>E11</v>
          </cell>
        </row>
        <row r="1247">
          <cell r="B1247">
            <v>108172201210</v>
          </cell>
          <cell r="E1247">
            <v>46133</v>
          </cell>
          <cell r="F1247" t="str">
            <v>18ID</v>
          </cell>
          <cell r="G1247" t="str">
            <v>E11</v>
          </cell>
        </row>
        <row r="1248">
          <cell r="B1248">
            <v>108172275960</v>
          </cell>
          <cell r="E1248">
            <v>46133</v>
          </cell>
          <cell r="F1248" t="str">
            <v>18ID</v>
          </cell>
          <cell r="G1248" t="str">
            <v>E11</v>
          </cell>
        </row>
        <row r="1249">
          <cell r="B1249">
            <v>108172330120</v>
          </cell>
          <cell r="E1249">
            <v>46133</v>
          </cell>
          <cell r="F1249" t="str">
            <v>18ID</v>
          </cell>
          <cell r="G1249" t="str">
            <v>E11</v>
          </cell>
        </row>
        <row r="1250">
          <cell r="B1250">
            <v>108172488650</v>
          </cell>
          <cell r="E1250">
            <v>46133</v>
          </cell>
          <cell r="F1250" t="str">
            <v>18ID</v>
          </cell>
          <cell r="G1250" t="str">
            <v>E11</v>
          </cell>
        </row>
        <row r="1251">
          <cell r="B1251">
            <v>108172580720</v>
          </cell>
          <cell r="E1251">
            <v>46133</v>
          </cell>
          <cell r="F1251" t="str">
            <v>18ID</v>
          </cell>
          <cell r="G1251" t="str">
            <v>E11</v>
          </cell>
        </row>
        <row r="1252">
          <cell r="B1252">
            <v>108172943910</v>
          </cell>
          <cell r="E1252">
            <v>46133</v>
          </cell>
          <cell r="F1252" t="str">
            <v>18ID</v>
          </cell>
          <cell r="G1252" t="str">
            <v>E11</v>
          </cell>
        </row>
        <row r="1253">
          <cell r="B1253">
            <v>108173004810</v>
          </cell>
          <cell r="E1253">
            <v>46133</v>
          </cell>
          <cell r="F1253" t="str">
            <v>18ID</v>
          </cell>
          <cell r="G1253" t="str">
            <v>E11</v>
          </cell>
        </row>
        <row r="1254">
          <cell r="B1254">
            <v>108173092200</v>
          </cell>
          <cell r="E1254">
            <v>46133</v>
          </cell>
          <cell r="F1254" t="str">
            <v>18ID</v>
          </cell>
          <cell r="G1254" t="str">
            <v>E11</v>
          </cell>
        </row>
        <row r="1255">
          <cell r="B1255">
            <v>108166120860</v>
          </cell>
          <cell r="E1255">
            <v>46132</v>
          </cell>
          <cell r="F1255" t="str">
            <v>18ID</v>
          </cell>
          <cell r="G1255" t="str">
            <v>E11</v>
          </cell>
        </row>
        <row r="1256">
          <cell r="B1256">
            <v>108165200730</v>
          </cell>
          <cell r="E1256">
            <v>46132</v>
          </cell>
          <cell r="F1256" t="str">
            <v>18ID</v>
          </cell>
          <cell r="G1256" t="str">
            <v>E13</v>
          </cell>
        </row>
        <row r="1257">
          <cell r="B1257">
            <v>108165270510</v>
          </cell>
          <cell r="E1257">
            <v>46132</v>
          </cell>
          <cell r="F1257" t="str">
            <v>18ID</v>
          </cell>
          <cell r="G1257" t="str">
            <v>E13</v>
          </cell>
        </row>
        <row r="1258">
          <cell r="B1258">
            <v>308446318961</v>
          </cell>
          <cell r="E1258">
            <v>46132</v>
          </cell>
          <cell r="F1258" t="str">
            <v>18ID</v>
          </cell>
          <cell r="G1258" t="str">
            <v>G23</v>
          </cell>
        </row>
        <row r="1259">
          <cell r="B1259">
            <v>308446324451</v>
          </cell>
          <cell r="E1259">
            <v>46132</v>
          </cell>
          <cell r="F1259" t="str">
            <v>18ID</v>
          </cell>
          <cell r="G1259" t="str">
            <v>G23</v>
          </cell>
        </row>
        <row r="1260">
          <cell r="B1260">
            <v>308446330641</v>
          </cell>
          <cell r="E1260">
            <v>46132</v>
          </cell>
          <cell r="F1260" t="str">
            <v>18ID</v>
          </cell>
          <cell r="G1260" t="str">
            <v>G23</v>
          </cell>
        </row>
        <row r="1261">
          <cell r="B1261">
            <v>308446335431</v>
          </cell>
          <cell r="E1261">
            <v>46132</v>
          </cell>
          <cell r="F1261" t="str">
            <v>18ID</v>
          </cell>
          <cell r="G1261" t="str">
            <v>G23</v>
          </cell>
        </row>
        <row r="1262">
          <cell r="B1262">
            <v>308446344531</v>
          </cell>
          <cell r="E1262">
            <v>46132</v>
          </cell>
          <cell r="F1262" t="str">
            <v>18ID</v>
          </cell>
          <cell r="G1262" t="str">
            <v>G23</v>
          </cell>
        </row>
        <row r="1263">
          <cell r="B1263">
            <v>108168409900</v>
          </cell>
          <cell r="E1263">
            <v>46132</v>
          </cell>
          <cell r="F1263" t="str">
            <v>18ID</v>
          </cell>
          <cell r="G1263" t="str">
            <v>G13</v>
          </cell>
        </row>
        <row r="1264">
          <cell r="B1264">
            <v>308451975110</v>
          </cell>
          <cell r="E1264">
            <v>46132</v>
          </cell>
          <cell r="F1264" t="str">
            <v>18ID</v>
          </cell>
          <cell r="G1264" t="str">
            <v>E42</v>
          </cell>
        </row>
        <row r="1265">
          <cell r="B1265">
            <v>108165040650</v>
          </cell>
          <cell r="E1265">
            <v>46132</v>
          </cell>
          <cell r="F1265" t="str">
            <v>18ID</v>
          </cell>
          <cell r="G1265" t="str">
            <v>E11</v>
          </cell>
        </row>
        <row r="1266">
          <cell r="B1266">
            <v>108165255000</v>
          </cell>
          <cell r="E1266">
            <v>46132</v>
          </cell>
          <cell r="F1266" t="str">
            <v>18ID</v>
          </cell>
          <cell r="G1266" t="str">
            <v>E11</v>
          </cell>
        </row>
        <row r="1267">
          <cell r="B1267">
            <v>108165904010</v>
          </cell>
          <cell r="E1267">
            <v>46132</v>
          </cell>
          <cell r="F1267" t="str">
            <v>18ID</v>
          </cell>
          <cell r="G1267" t="str">
            <v>E11</v>
          </cell>
        </row>
        <row r="1268">
          <cell r="B1268">
            <v>108166118210</v>
          </cell>
          <cell r="E1268">
            <v>46132</v>
          </cell>
          <cell r="F1268" t="str">
            <v>18ID</v>
          </cell>
          <cell r="G1268" t="str">
            <v>E11</v>
          </cell>
        </row>
        <row r="1269">
          <cell r="B1269">
            <v>108166212930</v>
          </cell>
          <cell r="E1269">
            <v>46132</v>
          </cell>
          <cell r="F1269" t="str">
            <v>18ID</v>
          </cell>
          <cell r="G1269" t="str">
            <v>E11</v>
          </cell>
        </row>
        <row r="1270">
          <cell r="B1270">
            <v>108166555120</v>
          </cell>
          <cell r="E1270">
            <v>46132</v>
          </cell>
          <cell r="F1270" t="str">
            <v>18ID</v>
          </cell>
          <cell r="G1270" t="str">
            <v>E11</v>
          </cell>
        </row>
        <row r="1271">
          <cell r="B1271">
            <v>108167349030</v>
          </cell>
          <cell r="E1271">
            <v>46132</v>
          </cell>
          <cell r="F1271" t="str">
            <v>18ID</v>
          </cell>
          <cell r="G1271" t="str">
            <v>E11</v>
          </cell>
        </row>
        <row r="1272">
          <cell r="B1272">
            <v>108167432550</v>
          </cell>
          <cell r="E1272">
            <v>46132</v>
          </cell>
          <cell r="F1272" t="str">
            <v>18ID</v>
          </cell>
          <cell r="G1272" t="str">
            <v>E11</v>
          </cell>
        </row>
        <row r="1273">
          <cell r="B1273">
            <v>108167561130</v>
          </cell>
          <cell r="E1273">
            <v>46132</v>
          </cell>
          <cell r="F1273" t="str">
            <v>18ID</v>
          </cell>
          <cell r="G1273" t="str">
            <v>E11</v>
          </cell>
        </row>
        <row r="1274">
          <cell r="B1274">
            <v>108167905640</v>
          </cell>
          <cell r="E1274">
            <v>46132</v>
          </cell>
          <cell r="F1274" t="str">
            <v>18ID</v>
          </cell>
          <cell r="G1274" t="str">
            <v>E11</v>
          </cell>
        </row>
        <row r="1275">
          <cell r="B1275">
            <v>108168160700</v>
          </cell>
          <cell r="E1275">
            <v>46132</v>
          </cell>
          <cell r="F1275" t="str">
            <v>18ID</v>
          </cell>
          <cell r="G1275" t="str">
            <v>E11</v>
          </cell>
        </row>
        <row r="1276">
          <cell r="B1276">
            <v>108168210250</v>
          </cell>
          <cell r="E1276">
            <v>46132</v>
          </cell>
          <cell r="F1276" t="str">
            <v>18ID</v>
          </cell>
          <cell r="G1276" t="str">
            <v>E11</v>
          </cell>
        </row>
        <row r="1277">
          <cell r="B1277">
            <v>308440146400</v>
          </cell>
          <cell r="E1277">
            <v>46129</v>
          </cell>
          <cell r="F1277" t="str">
            <v>18ID</v>
          </cell>
          <cell r="G1277" t="str">
            <v>E42</v>
          </cell>
        </row>
        <row r="1278">
          <cell r="B1278">
            <v>308440491610</v>
          </cell>
          <cell r="E1278">
            <v>46129</v>
          </cell>
          <cell r="F1278" t="str">
            <v>18ID</v>
          </cell>
          <cell r="G1278" t="str">
            <v>E42</v>
          </cell>
        </row>
        <row r="1279">
          <cell r="B1279">
            <v>308443220800</v>
          </cell>
          <cell r="E1279">
            <v>46129</v>
          </cell>
          <cell r="F1279" t="str">
            <v>18ID</v>
          </cell>
          <cell r="G1279" t="str">
            <v>E42</v>
          </cell>
        </row>
        <row r="1280">
          <cell r="B1280">
            <v>108161038860</v>
          </cell>
          <cell r="E1280">
            <v>46129</v>
          </cell>
          <cell r="F1280" t="str">
            <v>18ID</v>
          </cell>
          <cell r="G1280" t="str">
            <v>G13</v>
          </cell>
        </row>
        <row r="1281">
          <cell r="B1281">
            <v>308444145940</v>
          </cell>
          <cell r="E1281">
            <v>46129</v>
          </cell>
          <cell r="F1281" t="str">
            <v>18ID</v>
          </cell>
          <cell r="G1281" t="str">
            <v>E42</v>
          </cell>
        </row>
        <row r="1282">
          <cell r="B1282">
            <v>308445359851</v>
          </cell>
          <cell r="E1282">
            <v>46129</v>
          </cell>
          <cell r="F1282" t="str">
            <v>18ID</v>
          </cell>
          <cell r="G1282" t="str">
            <v>B13</v>
          </cell>
        </row>
        <row r="1283">
          <cell r="B1283">
            <v>108159416740</v>
          </cell>
          <cell r="E1283">
            <v>46129</v>
          </cell>
          <cell r="F1283" t="str">
            <v>18ID</v>
          </cell>
          <cell r="G1283" t="str">
            <v>E11</v>
          </cell>
        </row>
        <row r="1284">
          <cell r="B1284">
            <v>108160856200</v>
          </cell>
          <cell r="E1284">
            <v>46129</v>
          </cell>
          <cell r="F1284" t="str">
            <v>18ID</v>
          </cell>
          <cell r="G1284" t="str">
            <v>E11</v>
          </cell>
        </row>
        <row r="1285">
          <cell r="B1285">
            <v>108161175400</v>
          </cell>
          <cell r="E1285">
            <v>46129</v>
          </cell>
          <cell r="F1285" t="str">
            <v>18ID</v>
          </cell>
          <cell r="G1285" t="str">
            <v>E11</v>
          </cell>
        </row>
        <row r="1286">
          <cell r="B1286">
            <v>108161217400</v>
          </cell>
          <cell r="E1286">
            <v>46129</v>
          </cell>
          <cell r="F1286" t="str">
            <v>18ID</v>
          </cell>
          <cell r="G1286" t="str">
            <v>E11</v>
          </cell>
        </row>
        <row r="1287">
          <cell r="B1287">
            <v>108161241200</v>
          </cell>
          <cell r="E1287">
            <v>46129</v>
          </cell>
          <cell r="F1287" t="str">
            <v>18ID</v>
          </cell>
          <cell r="G1287" t="str">
            <v>E11</v>
          </cell>
        </row>
        <row r="1288">
          <cell r="B1288">
            <v>108161452230</v>
          </cell>
          <cell r="E1288">
            <v>46129</v>
          </cell>
          <cell r="F1288" t="str">
            <v>18ID</v>
          </cell>
          <cell r="G1288" t="str">
            <v>E11</v>
          </cell>
        </row>
        <row r="1289">
          <cell r="B1289">
            <v>108161529820</v>
          </cell>
          <cell r="E1289">
            <v>46129</v>
          </cell>
          <cell r="F1289" t="str">
            <v>18ID</v>
          </cell>
          <cell r="G1289" t="str">
            <v>E11</v>
          </cell>
        </row>
        <row r="1290">
          <cell r="B1290">
            <v>108161867920</v>
          </cell>
          <cell r="E1290">
            <v>46129</v>
          </cell>
          <cell r="F1290" t="str">
            <v>18ID</v>
          </cell>
          <cell r="G1290" t="str">
            <v>E11</v>
          </cell>
        </row>
        <row r="1291">
          <cell r="B1291">
            <v>108162177210</v>
          </cell>
          <cell r="E1291">
            <v>46129</v>
          </cell>
          <cell r="F1291" t="str">
            <v>18ID</v>
          </cell>
          <cell r="G1291" t="str">
            <v>E11</v>
          </cell>
        </row>
        <row r="1292">
          <cell r="B1292">
            <v>108162394650</v>
          </cell>
          <cell r="E1292">
            <v>46129</v>
          </cell>
          <cell r="F1292" t="str">
            <v>18ID</v>
          </cell>
          <cell r="G1292" t="str">
            <v>E11</v>
          </cell>
        </row>
        <row r="1293">
          <cell r="B1293">
            <v>108162482850</v>
          </cell>
          <cell r="E1293">
            <v>46129</v>
          </cell>
          <cell r="F1293" t="str">
            <v>18ID</v>
          </cell>
          <cell r="G1293" t="str">
            <v>E11</v>
          </cell>
        </row>
        <row r="1294">
          <cell r="B1294">
            <v>308436973851</v>
          </cell>
          <cell r="E1294">
            <v>46128</v>
          </cell>
          <cell r="F1294" t="str">
            <v>18ID</v>
          </cell>
          <cell r="G1294" t="str">
            <v>B13</v>
          </cell>
        </row>
        <row r="1295">
          <cell r="B1295">
            <v>108155815240</v>
          </cell>
          <cell r="E1295">
            <v>46128</v>
          </cell>
          <cell r="F1295" t="str">
            <v>18ID</v>
          </cell>
          <cell r="G1295" t="str">
            <v>E13</v>
          </cell>
        </row>
        <row r="1296">
          <cell r="B1296">
            <v>108158525750</v>
          </cell>
          <cell r="E1296">
            <v>46128</v>
          </cell>
          <cell r="F1296" t="str">
            <v>18ID</v>
          </cell>
          <cell r="G1296" t="str">
            <v>E13</v>
          </cell>
        </row>
        <row r="1297">
          <cell r="B1297">
            <v>108155127250</v>
          </cell>
          <cell r="E1297">
            <v>46128</v>
          </cell>
          <cell r="F1297" t="str">
            <v>18ID</v>
          </cell>
          <cell r="G1297" t="str">
            <v>E11</v>
          </cell>
        </row>
        <row r="1298">
          <cell r="B1298">
            <v>108155596510</v>
          </cell>
          <cell r="E1298">
            <v>46128</v>
          </cell>
          <cell r="F1298" t="str">
            <v>18ID</v>
          </cell>
          <cell r="G1298" t="str">
            <v>E11</v>
          </cell>
        </row>
        <row r="1299">
          <cell r="B1299">
            <v>108156022220</v>
          </cell>
          <cell r="E1299">
            <v>46128</v>
          </cell>
          <cell r="F1299" t="str">
            <v>18ID</v>
          </cell>
          <cell r="G1299" t="str">
            <v>E11</v>
          </cell>
        </row>
        <row r="1300">
          <cell r="B1300">
            <v>108156370820</v>
          </cell>
          <cell r="E1300">
            <v>46128</v>
          </cell>
          <cell r="F1300" t="str">
            <v>18ID</v>
          </cell>
          <cell r="G1300" t="str">
            <v>E11</v>
          </cell>
        </row>
        <row r="1301">
          <cell r="B1301">
            <v>108157808730</v>
          </cell>
          <cell r="E1301">
            <v>46128</v>
          </cell>
          <cell r="F1301" t="str">
            <v>18ID</v>
          </cell>
          <cell r="G1301" t="str">
            <v>E11</v>
          </cell>
        </row>
        <row r="1302">
          <cell r="B1302">
            <v>108158053030</v>
          </cell>
          <cell r="E1302">
            <v>46128</v>
          </cell>
          <cell r="F1302" t="str">
            <v>18ID</v>
          </cell>
          <cell r="G1302" t="str">
            <v>E11</v>
          </cell>
        </row>
        <row r="1303">
          <cell r="B1303">
            <v>108158332660</v>
          </cell>
          <cell r="E1303">
            <v>46128</v>
          </cell>
          <cell r="F1303" t="str">
            <v>18ID</v>
          </cell>
          <cell r="G1303" t="str">
            <v>E15</v>
          </cell>
        </row>
        <row r="1304">
          <cell r="B1304">
            <v>108158355650</v>
          </cell>
          <cell r="E1304">
            <v>46128</v>
          </cell>
          <cell r="F1304" t="str">
            <v>18ID</v>
          </cell>
          <cell r="G1304" t="str">
            <v>E15</v>
          </cell>
        </row>
        <row r="1305">
          <cell r="B1305">
            <v>308429883330</v>
          </cell>
          <cell r="E1305">
            <v>46127</v>
          </cell>
          <cell r="F1305" t="str">
            <v>18ID</v>
          </cell>
          <cell r="G1305" t="str">
            <v>E42</v>
          </cell>
        </row>
        <row r="1306">
          <cell r="B1306">
            <v>308430138610</v>
          </cell>
          <cell r="E1306">
            <v>46127</v>
          </cell>
          <cell r="F1306" t="str">
            <v>18ID</v>
          </cell>
          <cell r="G1306" t="str">
            <v>E42</v>
          </cell>
        </row>
        <row r="1307">
          <cell r="B1307">
            <v>308434340600</v>
          </cell>
          <cell r="E1307">
            <v>46127</v>
          </cell>
          <cell r="F1307" t="str">
            <v>18ID</v>
          </cell>
          <cell r="G1307" t="str">
            <v>E42</v>
          </cell>
        </row>
        <row r="1308">
          <cell r="B1308">
            <v>308435572711</v>
          </cell>
          <cell r="E1308">
            <v>46127</v>
          </cell>
          <cell r="F1308" t="str">
            <v>18ID</v>
          </cell>
          <cell r="G1308" t="str">
            <v>B13</v>
          </cell>
        </row>
        <row r="1309">
          <cell r="B1309">
            <v>108154544260</v>
          </cell>
          <cell r="E1309">
            <v>46127</v>
          </cell>
          <cell r="F1309" t="str">
            <v>18ID</v>
          </cell>
          <cell r="G1309" t="str">
            <v>E13</v>
          </cell>
        </row>
        <row r="1310">
          <cell r="B1310">
            <v>108152327840</v>
          </cell>
          <cell r="E1310">
            <v>46127</v>
          </cell>
          <cell r="F1310" t="str">
            <v>18ID</v>
          </cell>
          <cell r="G1310" t="str">
            <v>E11</v>
          </cell>
        </row>
        <row r="1311">
          <cell r="B1311">
            <v>108152504350</v>
          </cell>
          <cell r="E1311">
            <v>46127</v>
          </cell>
          <cell r="F1311" t="str">
            <v>18ID</v>
          </cell>
          <cell r="G1311" t="str">
            <v>E11</v>
          </cell>
        </row>
        <row r="1312">
          <cell r="B1312">
            <v>108153272620</v>
          </cell>
          <cell r="E1312">
            <v>46127</v>
          </cell>
          <cell r="F1312" t="str">
            <v>18ID</v>
          </cell>
          <cell r="G1312" t="str">
            <v>E11</v>
          </cell>
        </row>
        <row r="1313">
          <cell r="B1313">
            <v>108153965620</v>
          </cell>
          <cell r="E1313">
            <v>46127</v>
          </cell>
          <cell r="F1313" t="str">
            <v>18ID</v>
          </cell>
          <cell r="G1313" t="str">
            <v>E11</v>
          </cell>
        </row>
        <row r="1314">
          <cell r="B1314">
            <v>108154130930</v>
          </cell>
          <cell r="E1314">
            <v>46127</v>
          </cell>
          <cell r="F1314" t="str">
            <v>18ID</v>
          </cell>
          <cell r="G1314" t="str">
            <v>E11</v>
          </cell>
        </row>
        <row r="1315">
          <cell r="B1315">
            <v>108154244110</v>
          </cell>
          <cell r="E1315">
            <v>46127</v>
          </cell>
          <cell r="F1315" t="str">
            <v>18ID</v>
          </cell>
          <cell r="G1315" t="str">
            <v>E11</v>
          </cell>
        </row>
        <row r="1316">
          <cell r="B1316">
            <v>108154274430</v>
          </cell>
          <cell r="E1316">
            <v>46127</v>
          </cell>
          <cell r="F1316" t="str">
            <v>18ID</v>
          </cell>
          <cell r="G1316" t="str">
            <v>E11</v>
          </cell>
        </row>
        <row r="1317">
          <cell r="B1317">
            <v>108154360530</v>
          </cell>
          <cell r="E1317">
            <v>46127</v>
          </cell>
          <cell r="F1317" t="str">
            <v>18ID</v>
          </cell>
          <cell r="G1317" t="str">
            <v>E11</v>
          </cell>
        </row>
        <row r="1318">
          <cell r="B1318">
            <v>108154445120</v>
          </cell>
          <cell r="E1318">
            <v>46127</v>
          </cell>
          <cell r="F1318" t="str">
            <v>18ID</v>
          </cell>
          <cell r="G1318" t="str">
            <v>E11</v>
          </cell>
        </row>
        <row r="1319">
          <cell r="B1319">
            <v>108149688030</v>
          </cell>
          <cell r="E1319">
            <v>46126</v>
          </cell>
          <cell r="F1319" t="str">
            <v>18ID</v>
          </cell>
          <cell r="G1319" t="str">
            <v>G13</v>
          </cell>
        </row>
        <row r="1320">
          <cell r="B1320">
            <v>308431907731</v>
          </cell>
          <cell r="E1320">
            <v>46126</v>
          </cell>
          <cell r="F1320" t="str">
            <v>18ID</v>
          </cell>
          <cell r="G1320" t="str">
            <v>B13</v>
          </cell>
        </row>
        <row r="1321">
          <cell r="B1321">
            <v>108147095560</v>
          </cell>
          <cell r="E1321">
            <v>46126</v>
          </cell>
          <cell r="F1321" t="str">
            <v>18ID</v>
          </cell>
          <cell r="G1321" t="str">
            <v>E11</v>
          </cell>
        </row>
        <row r="1322">
          <cell r="B1322">
            <v>108147103740</v>
          </cell>
          <cell r="E1322">
            <v>46126</v>
          </cell>
          <cell r="F1322" t="str">
            <v>18ID</v>
          </cell>
          <cell r="G1322" t="str">
            <v>E11</v>
          </cell>
        </row>
        <row r="1323">
          <cell r="B1323">
            <v>108147391700</v>
          </cell>
          <cell r="E1323">
            <v>46126</v>
          </cell>
          <cell r="F1323" t="str">
            <v>18ID</v>
          </cell>
          <cell r="G1323" t="str">
            <v>E11</v>
          </cell>
        </row>
        <row r="1324">
          <cell r="B1324">
            <v>108149853930</v>
          </cell>
          <cell r="E1324">
            <v>46126</v>
          </cell>
          <cell r="F1324" t="str">
            <v>18ID</v>
          </cell>
          <cell r="G1324" t="str">
            <v>E11</v>
          </cell>
        </row>
        <row r="1325">
          <cell r="B1325">
            <v>108150022260</v>
          </cell>
          <cell r="E1325">
            <v>46126</v>
          </cell>
          <cell r="F1325" t="str">
            <v>18ID</v>
          </cell>
          <cell r="G1325" t="str">
            <v>E11</v>
          </cell>
        </row>
        <row r="1326">
          <cell r="B1326">
            <v>108150039800</v>
          </cell>
          <cell r="E1326">
            <v>46126</v>
          </cell>
          <cell r="F1326" t="str">
            <v>18ID</v>
          </cell>
          <cell r="G1326" t="str">
            <v>E11</v>
          </cell>
        </row>
        <row r="1327">
          <cell r="B1327">
            <v>108150082020</v>
          </cell>
          <cell r="E1327">
            <v>46126</v>
          </cell>
          <cell r="F1327" t="str">
            <v>18ID</v>
          </cell>
          <cell r="G1327" t="str">
            <v>E11</v>
          </cell>
        </row>
        <row r="1328">
          <cell r="B1328">
            <v>108150196820</v>
          </cell>
          <cell r="E1328">
            <v>46126</v>
          </cell>
          <cell r="F1328" t="str">
            <v>18ID</v>
          </cell>
          <cell r="G1328" t="str">
            <v>E11</v>
          </cell>
        </row>
        <row r="1329">
          <cell r="B1329">
            <v>108150324220</v>
          </cell>
          <cell r="E1329">
            <v>46126</v>
          </cell>
          <cell r="F1329" t="str">
            <v>18ID</v>
          </cell>
          <cell r="G1329" t="str">
            <v>E11</v>
          </cell>
        </row>
        <row r="1330">
          <cell r="B1330">
            <v>108150324810</v>
          </cell>
          <cell r="E1330">
            <v>46126</v>
          </cell>
          <cell r="F1330" t="str">
            <v>18ID</v>
          </cell>
          <cell r="G1330" t="str">
            <v>E11</v>
          </cell>
        </row>
        <row r="1331">
          <cell r="B1331">
            <v>108150384420</v>
          </cell>
          <cell r="E1331">
            <v>46126</v>
          </cell>
          <cell r="F1331" t="str">
            <v>18ID</v>
          </cell>
          <cell r="G1331" t="str">
            <v>E11</v>
          </cell>
        </row>
        <row r="1332">
          <cell r="B1332">
            <v>108150394700</v>
          </cell>
          <cell r="E1332">
            <v>46126</v>
          </cell>
          <cell r="F1332" t="str">
            <v>18ID</v>
          </cell>
          <cell r="G1332" t="str">
            <v>E11</v>
          </cell>
        </row>
        <row r="1333">
          <cell r="B1333">
            <v>108150442260</v>
          </cell>
          <cell r="E1333">
            <v>46126</v>
          </cell>
          <cell r="F1333" t="str">
            <v>18ID</v>
          </cell>
          <cell r="G1333" t="str">
            <v>E11</v>
          </cell>
        </row>
        <row r="1334">
          <cell r="B1334">
            <v>108150462560</v>
          </cell>
          <cell r="E1334">
            <v>46126</v>
          </cell>
          <cell r="F1334" t="str">
            <v>18ID</v>
          </cell>
          <cell r="G1334" t="str">
            <v>E11</v>
          </cell>
        </row>
        <row r="1335">
          <cell r="B1335">
            <v>108150493730</v>
          </cell>
          <cell r="E1335">
            <v>46126</v>
          </cell>
          <cell r="F1335" t="str">
            <v>18ID</v>
          </cell>
          <cell r="G1335" t="str">
            <v>E11</v>
          </cell>
        </row>
        <row r="1336">
          <cell r="B1336">
            <v>108150642940</v>
          </cell>
          <cell r="E1336">
            <v>46126</v>
          </cell>
          <cell r="F1336" t="str">
            <v>18ID</v>
          </cell>
          <cell r="G1336" t="str">
            <v>E11</v>
          </cell>
        </row>
        <row r="1337">
          <cell r="B1337">
            <v>108150714710</v>
          </cell>
          <cell r="E1337">
            <v>46126</v>
          </cell>
          <cell r="F1337" t="str">
            <v>18ID</v>
          </cell>
          <cell r="G1337" t="str">
            <v>E11</v>
          </cell>
        </row>
        <row r="1338">
          <cell r="B1338">
            <v>308418460360</v>
          </cell>
          <cell r="E1338">
            <v>46125</v>
          </cell>
          <cell r="F1338" t="str">
            <v>18ID</v>
          </cell>
          <cell r="G1338" t="str">
            <v>E42</v>
          </cell>
        </row>
        <row r="1339">
          <cell r="B1339">
            <v>308419181250</v>
          </cell>
          <cell r="E1339">
            <v>46125</v>
          </cell>
          <cell r="F1339" t="str">
            <v>18ID</v>
          </cell>
          <cell r="G1339" t="str">
            <v>E42</v>
          </cell>
        </row>
        <row r="1340">
          <cell r="B1340">
            <v>108146440620</v>
          </cell>
          <cell r="E1340">
            <v>46125</v>
          </cell>
          <cell r="F1340" t="str">
            <v>18ID</v>
          </cell>
          <cell r="G1340" t="str">
            <v>G13</v>
          </cell>
        </row>
        <row r="1341">
          <cell r="B1341">
            <v>108142735630</v>
          </cell>
          <cell r="E1341">
            <v>46125</v>
          </cell>
          <cell r="F1341" t="str">
            <v>18ID</v>
          </cell>
          <cell r="G1341" t="str">
            <v>E11</v>
          </cell>
        </row>
        <row r="1342">
          <cell r="B1342">
            <v>108142844940</v>
          </cell>
          <cell r="E1342">
            <v>46125</v>
          </cell>
          <cell r="F1342" t="str">
            <v>18ID</v>
          </cell>
          <cell r="G1342" t="str">
            <v>E11</v>
          </cell>
        </row>
        <row r="1343">
          <cell r="B1343">
            <v>108143193320</v>
          </cell>
          <cell r="E1343">
            <v>46125</v>
          </cell>
          <cell r="F1343" t="str">
            <v>18ID</v>
          </cell>
          <cell r="G1343" t="str">
            <v>E11</v>
          </cell>
        </row>
        <row r="1344">
          <cell r="B1344">
            <v>108143387660</v>
          </cell>
          <cell r="E1344">
            <v>46125</v>
          </cell>
          <cell r="F1344" t="str">
            <v>18ID</v>
          </cell>
          <cell r="G1344" t="str">
            <v>E11</v>
          </cell>
        </row>
        <row r="1345">
          <cell r="B1345">
            <v>108145082510</v>
          </cell>
          <cell r="E1345">
            <v>46125</v>
          </cell>
          <cell r="F1345" t="str">
            <v>18ID</v>
          </cell>
          <cell r="G1345" t="str">
            <v>E11</v>
          </cell>
        </row>
        <row r="1346">
          <cell r="B1346">
            <v>108145082510</v>
          </cell>
          <cell r="E1346">
            <v>46125</v>
          </cell>
          <cell r="F1346" t="str">
            <v>18ID</v>
          </cell>
          <cell r="G1346" t="str">
            <v>E11</v>
          </cell>
        </row>
        <row r="1347">
          <cell r="B1347">
            <v>108145082510</v>
          </cell>
          <cell r="E1347">
            <v>46125</v>
          </cell>
          <cell r="F1347" t="str">
            <v>18ID</v>
          </cell>
          <cell r="G1347" t="str">
            <v>E11</v>
          </cell>
        </row>
        <row r="1348">
          <cell r="B1348">
            <v>108145082510</v>
          </cell>
          <cell r="E1348">
            <v>46125</v>
          </cell>
          <cell r="F1348" t="str">
            <v>18ID</v>
          </cell>
          <cell r="G1348" t="str">
            <v>E11</v>
          </cell>
        </row>
        <row r="1349">
          <cell r="B1349">
            <v>108145835820</v>
          </cell>
          <cell r="E1349">
            <v>46125</v>
          </cell>
          <cell r="F1349" t="str">
            <v>18ID</v>
          </cell>
          <cell r="G1349" t="str">
            <v>E11</v>
          </cell>
        </row>
        <row r="1350">
          <cell r="B1350">
            <v>108146010710</v>
          </cell>
          <cell r="E1350">
            <v>46125</v>
          </cell>
          <cell r="F1350" t="str">
            <v>18ID</v>
          </cell>
          <cell r="G1350" t="str">
            <v>E11</v>
          </cell>
        </row>
        <row r="1351">
          <cell r="B1351">
            <v>108146056760</v>
          </cell>
          <cell r="E1351">
            <v>46125</v>
          </cell>
          <cell r="F1351" t="str">
            <v>18ID</v>
          </cell>
          <cell r="G1351" t="str">
            <v>E11</v>
          </cell>
        </row>
        <row r="1352">
          <cell r="B1352">
            <v>108146112760</v>
          </cell>
          <cell r="E1352">
            <v>46125</v>
          </cell>
          <cell r="F1352" t="str">
            <v>18ID</v>
          </cell>
          <cell r="G1352" t="str">
            <v>E11</v>
          </cell>
        </row>
        <row r="1353">
          <cell r="B1353">
            <v>108146134020</v>
          </cell>
          <cell r="E1353">
            <v>46125</v>
          </cell>
          <cell r="F1353" t="str">
            <v>18ID</v>
          </cell>
          <cell r="G1353" t="str">
            <v>E11</v>
          </cell>
        </row>
        <row r="1354">
          <cell r="B1354">
            <v>108146136450</v>
          </cell>
          <cell r="E1354">
            <v>46125</v>
          </cell>
          <cell r="F1354" t="str">
            <v>18ID</v>
          </cell>
          <cell r="G1354" t="str">
            <v>E11</v>
          </cell>
        </row>
        <row r="1355">
          <cell r="B1355">
            <v>108146166330</v>
          </cell>
          <cell r="E1355">
            <v>46125</v>
          </cell>
          <cell r="F1355" t="str">
            <v>18ID</v>
          </cell>
          <cell r="G1355" t="str">
            <v>E11</v>
          </cell>
        </row>
        <row r="1356">
          <cell r="B1356">
            <v>108146217100</v>
          </cell>
          <cell r="E1356">
            <v>46125</v>
          </cell>
          <cell r="F1356" t="str">
            <v>18ID</v>
          </cell>
          <cell r="G1356" t="str">
            <v>E11</v>
          </cell>
        </row>
        <row r="1357">
          <cell r="B1357">
            <v>108146224430</v>
          </cell>
          <cell r="E1357">
            <v>46125</v>
          </cell>
          <cell r="F1357" t="str">
            <v>18ID</v>
          </cell>
          <cell r="G1357" t="str">
            <v>E11</v>
          </cell>
        </row>
        <row r="1358">
          <cell r="B1358">
            <v>108146255120</v>
          </cell>
          <cell r="E1358">
            <v>46125</v>
          </cell>
          <cell r="F1358" t="str">
            <v>18ID</v>
          </cell>
          <cell r="G1358" t="str">
            <v>E11</v>
          </cell>
        </row>
        <row r="1359">
          <cell r="B1359">
            <v>108146263300</v>
          </cell>
          <cell r="E1359">
            <v>46125</v>
          </cell>
          <cell r="F1359" t="str">
            <v>18ID</v>
          </cell>
          <cell r="G1359" t="str">
            <v>E11</v>
          </cell>
        </row>
        <row r="1360">
          <cell r="B1360">
            <v>108146278660</v>
          </cell>
          <cell r="E1360">
            <v>46125</v>
          </cell>
          <cell r="F1360" t="str">
            <v>18ID</v>
          </cell>
          <cell r="G1360" t="str">
            <v>E11</v>
          </cell>
        </row>
        <row r="1361">
          <cell r="B1361">
            <v>108146308650</v>
          </cell>
          <cell r="E1361">
            <v>46125</v>
          </cell>
          <cell r="F1361" t="str">
            <v>18ID</v>
          </cell>
          <cell r="G1361" t="str">
            <v>E11</v>
          </cell>
        </row>
        <row r="1362">
          <cell r="B1362">
            <v>108146360450</v>
          </cell>
          <cell r="E1362">
            <v>46125</v>
          </cell>
          <cell r="F1362" t="str">
            <v>18ID</v>
          </cell>
          <cell r="G1362" t="str">
            <v>E11</v>
          </cell>
        </row>
        <row r="1363">
          <cell r="B1363">
            <v>108146390920</v>
          </cell>
          <cell r="E1363">
            <v>46125</v>
          </cell>
          <cell r="F1363" t="str">
            <v>18ID</v>
          </cell>
          <cell r="G1363" t="str">
            <v>E11</v>
          </cell>
        </row>
        <row r="1364">
          <cell r="B1364">
            <v>108146418110</v>
          </cell>
          <cell r="E1364">
            <v>46125</v>
          </cell>
          <cell r="F1364" t="str">
            <v>18ID</v>
          </cell>
          <cell r="G1364" t="str">
            <v>E11</v>
          </cell>
        </row>
        <row r="1365">
          <cell r="B1365">
            <v>108146461620</v>
          </cell>
          <cell r="E1365">
            <v>46125</v>
          </cell>
          <cell r="F1365" t="str">
            <v>18ID</v>
          </cell>
          <cell r="G1365" t="str">
            <v>E11</v>
          </cell>
        </row>
        <row r="1366">
          <cell r="B1366">
            <v>108146486450</v>
          </cell>
          <cell r="E1366">
            <v>46125</v>
          </cell>
          <cell r="F1366" t="str">
            <v>18ID</v>
          </cell>
          <cell r="G1366" t="str">
            <v>E11</v>
          </cell>
        </row>
        <row r="1367">
          <cell r="B1367">
            <v>108146511430</v>
          </cell>
          <cell r="E1367">
            <v>46125</v>
          </cell>
          <cell r="F1367" t="str">
            <v>18ID</v>
          </cell>
          <cell r="G1367" t="str">
            <v>E11</v>
          </cell>
        </row>
        <row r="1368">
          <cell r="B1368">
            <v>108146540460</v>
          </cell>
          <cell r="E1368">
            <v>46125</v>
          </cell>
          <cell r="F1368" t="str">
            <v>18ID</v>
          </cell>
          <cell r="G1368" t="str">
            <v>E11</v>
          </cell>
        </row>
        <row r="1369">
          <cell r="B1369">
            <v>108146584340</v>
          </cell>
          <cell r="E1369">
            <v>46125</v>
          </cell>
          <cell r="F1369" t="str">
            <v>18ID</v>
          </cell>
          <cell r="G1369" t="str">
            <v>E11</v>
          </cell>
        </row>
        <row r="1370">
          <cell r="B1370">
            <v>308416598140</v>
          </cell>
          <cell r="E1370">
            <v>46122</v>
          </cell>
          <cell r="F1370" t="str">
            <v>18ID</v>
          </cell>
          <cell r="G1370" t="str">
            <v>E42</v>
          </cell>
        </row>
        <row r="1371">
          <cell r="B1371">
            <v>308416747721</v>
          </cell>
          <cell r="E1371">
            <v>46122</v>
          </cell>
          <cell r="F1371" t="str">
            <v>18ID</v>
          </cell>
          <cell r="G1371" t="str">
            <v>G23</v>
          </cell>
        </row>
        <row r="1372">
          <cell r="B1372">
            <v>108137732840</v>
          </cell>
          <cell r="E1372">
            <v>46122</v>
          </cell>
          <cell r="F1372" t="str">
            <v>18ID</v>
          </cell>
          <cell r="G1372" t="str">
            <v>G13</v>
          </cell>
        </row>
        <row r="1373">
          <cell r="B1373">
            <v>308418573320</v>
          </cell>
          <cell r="E1373">
            <v>46122</v>
          </cell>
          <cell r="F1373" t="str">
            <v>18ID</v>
          </cell>
          <cell r="G1373" t="str">
            <v>E42</v>
          </cell>
        </row>
        <row r="1374">
          <cell r="B1374">
            <v>108137874020</v>
          </cell>
          <cell r="E1374">
            <v>46122</v>
          </cell>
          <cell r="F1374" t="str">
            <v>18ID</v>
          </cell>
          <cell r="G1374" t="str">
            <v>G13</v>
          </cell>
        </row>
        <row r="1375">
          <cell r="B1375">
            <v>108136906250</v>
          </cell>
          <cell r="E1375">
            <v>46122</v>
          </cell>
          <cell r="F1375" t="str">
            <v>18ID</v>
          </cell>
          <cell r="G1375" t="str">
            <v>E11</v>
          </cell>
        </row>
        <row r="1376">
          <cell r="B1376">
            <v>108136909900</v>
          </cell>
          <cell r="E1376">
            <v>46122</v>
          </cell>
          <cell r="F1376" t="str">
            <v>18ID</v>
          </cell>
          <cell r="G1376" t="str">
            <v>E11</v>
          </cell>
        </row>
        <row r="1377">
          <cell r="B1377">
            <v>108137842300</v>
          </cell>
          <cell r="E1377">
            <v>46122</v>
          </cell>
          <cell r="F1377" t="str">
            <v>18ID</v>
          </cell>
          <cell r="G1377" t="str">
            <v>E11</v>
          </cell>
        </row>
        <row r="1378">
          <cell r="B1378">
            <v>108139416450</v>
          </cell>
          <cell r="E1378">
            <v>46122</v>
          </cell>
          <cell r="F1378" t="str">
            <v>18ID</v>
          </cell>
          <cell r="G1378" t="str">
            <v>E11</v>
          </cell>
        </row>
        <row r="1379">
          <cell r="B1379">
            <v>108139420800</v>
          </cell>
          <cell r="E1379">
            <v>46122</v>
          </cell>
          <cell r="F1379" t="str">
            <v>18ID</v>
          </cell>
          <cell r="G1379" t="str">
            <v>E11</v>
          </cell>
        </row>
        <row r="1380">
          <cell r="B1380">
            <v>108139606260</v>
          </cell>
          <cell r="E1380">
            <v>46122</v>
          </cell>
          <cell r="F1380" t="str">
            <v>18ID</v>
          </cell>
          <cell r="G1380" t="str">
            <v>E11</v>
          </cell>
        </row>
        <row r="1381">
          <cell r="B1381">
            <v>108139678730</v>
          </cell>
          <cell r="E1381">
            <v>46122</v>
          </cell>
          <cell r="F1381" t="str">
            <v>18ID</v>
          </cell>
          <cell r="G1381" t="str">
            <v>E11</v>
          </cell>
        </row>
        <row r="1382">
          <cell r="B1382">
            <v>108139935410</v>
          </cell>
          <cell r="E1382">
            <v>46122</v>
          </cell>
          <cell r="F1382" t="str">
            <v>18ID</v>
          </cell>
          <cell r="G1382" t="str">
            <v>E11</v>
          </cell>
        </row>
        <row r="1383">
          <cell r="B1383">
            <v>108140158230</v>
          </cell>
          <cell r="E1383">
            <v>46122</v>
          </cell>
          <cell r="F1383" t="str">
            <v>18ID</v>
          </cell>
          <cell r="G1383" t="str">
            <v>E11</v>
          </cell>
        </row>
        <row r="1384">
          <cell r="B1384">
            <v>108137766810</v>
          </cell>
          <cell r="E1384">
            <v>46122</v>
          </cell>
          <cell r="F1384" t="str">
            <v>18ID</v>
          </cell>
          <cell r="G1384" t="str">
            <v>E13</v>
          </cell>
        </row>
        <row r="1385">
          <cell r="B1385">
            <v>108136189600</v>
          </cell>
          <cell r="E1385">
            <v>46121</v>
          </cell>
          <cell r="F1385" t="str">
            <v>18ID</v>
          </cell>
          <cell r="G1385" t="str">
            <v>E13</v>
          </cell>
        </row>
        <row r="1386">
          <cell r="B1386">
            <v>108134446340</v>
          </cell>
          <cell r="E1386">
            <v>46121</v>
          </cell>
          <cell r="F1386" t="str">
            <v>18ID</v>
          </cell>
          <cell r="G1386" t="str">
            <v>E11</v>
          </cell>
        </row>
        <row r="1387">
          <cell r="B1387">
            <v>108134679660</v>
          </cell>
          <cell r="E1387">
            <v>46121</v>
          </cell>
          <cell r="F1387" t="str">
            <v>18ID</v>
          </cell>
          <cell r="G1387" t="str">
            <v>E11</v>
          </cell>
        </row>
        <row r="1388">
          <cell r="B1388">
            <v>108135797450</v>
          </cell>
          <cell r="E1388">
            <v>46121</v>
          </cell>
          <cell r="F1388" t="str">
            <v>18ID</v>
          </cell>
          <cell r="G1388" t="str">
            <v>E11</v>
          </cell>
        </row>
        <row r="1389">
          <cell r="B1389">
            <v>108135908310</v>
          </cell>
          <cell r="E1389">
            <v>46121</v>
          </cell>
          <cell r="F1389" t="str">
            <v>18ID</v>
          </cell>
          <cell r="G1389" t="str">
            <v>E11</v>
          </cell>
        </row>
        <row r="1390">
          <cell r="B1390">
            <v>108135955760</v>
          </cell>
          <cell r="E1390">
            <v>46121</v>
          </cell>
          <cell r="F1390" t="str">
            <v>18ID</v>
          </cell>
          <cell r="G1390" t="str">
            <v>E11</v>
          </cell>
        </row>
        <row r="1391">
          <cell r="B1391">
            <v>108136010840</v>
          </cell>
          <cell r="E1391">
            <v>46121</v>
          </cell>
          <cell r="F1391" t="str">
            <v>18ID</v>
          </cell>
          <cell r="G1391" t="str">
            <v>E11</v>
          </cell>
        </row>
        <row r="1392">
          <cell r="B1392">
            <v>108132353820</v>
          </cell>
          <cell r="E1392">
            <v>46121</v>
          </cell>
          <cell r="F1392" t="str">
            <v>18ID</v>
          </cell>
          <cell r="G1392" t="str">
            <v>E13</v>
          </cell>
        </row>
        <row r="1393">
          <cell r="B1393">
            <v>108129542360</v>
          </cell>
          <cell r="E1393">
            <v>46120</v>
          </cell>
          <cell r="F1393" t="str">
            <v>18ID</v>
          </cell>
          <cell r="G1393" t="str">
            <v>E13</v>
          </cell>
        </row>
        <row r="1394">
          <cell r="B1394">
            <v>308408278310</v>
          </cell>
          <cell r="E1394">
            <v>46120</v>
          </cell>
          <cell r="F1394" t="str">
            <v>18ID</v>
          </cell>
          <cell r="G1394" t="str">
            <v>E42</v>
          </cell>
        </row>
        <row r="1395">
          <cell r="B1395">
            <v>108129641100</v>
          </cell>
          <cell r="E1395">
            <v>46120</v>
          </cell>
          <cell r="F1395" t="str">
            <v>18ID</v>
          </cell>
          <cell r="G1395" t="str">
            <v>E11</v>
          </cell>
        </row>
        <row r="1396">
          <cell r="B1396">
            <v>108131233930</v>
          </cell>
          <cell r="E1396">
            <v>46120</v>
          </cell>
          <cell r="F1396" t="str">
            <v>18ID</v>
          </cell>
          <cell r="G1396" t="str">
            <v>E11</v>
          </cell>
        </row>
        <row r="1397">
          <cell r="B1397">
            <v>108131696150</v>
          </cell>
          <cell r="E1397">
            <v>46120</v>
          </cell>
          <cell r="F1397" t="str">
            <v>18ID</v>
          </cell>
          <cell r="G1397" t="str">
            <v>E11</v>
          </cell>
        </row>
        <row r="1398">
          <cell r="B1398">
            <v>108131832320</v>
          </cell>
          <cell r="E1398">
            <v>46120</v>
          </cell>
          <cell r="F1398" t="str">
            <v>18ID</v>
          </cell>
          <cell r="G1398" t="str">
            <v>E11</v>
          </cell>
        </row>
        <row r="1399">
          <cell r="B1399">
            <v>108131840020</v>
          </cell>
          <cell r="E1399">
            <v>46120</v>
          </cell>
          <cell r="F1399" t="str">
            <v>18ID</v>
          </cell>
          <cell r="G1399" t="str">
            <v>E11</v>
          </cell>
        </row>
        <row r="1400">
          <cell r="B1400">
            <v>108132156160</v>
          </cell>
          <cell r="E1400">
            <v>46120</v>
          </cell>
          <cell r="F1400" t="str">
            <v>18ID</v>
          </cell>
          <cell r="G1400" t="str">
            <v>E11</v>
          </cell>
        </row>
        <row r="1401">
          <cell r="B1401">
            <v>308403572210</v>
          </cell>
          <cell r="E1401">
            <v>46119</v>
          </cell>
          <cell r="F1401" t="str">
            <v>18ID</v>
          </cell>
          <cell r="G1401" t="str">
            <v>B11</v>
          </cell>
        </row>
        <row r="1402">
          <cell r="B1402">
            <v>308405207960</v>
          </cell>
          <cell r="E1402">
            <v>46119</v>
          </cell>
          <cell r="F1402" t="str">
            <v>18ID</v>
          </cell>
          <cell r="G1402" t="str">
            <v>E42</v>
          </cell>
        </row>
        <row r="1403">
          <cell r="B1403">
            <v>108127628010</v>
          </cell>
          <cell r="E1403">
            <v>46119</v>
          </cell>
          <cell r="F1403" t="str">
            <v>18ID</v>
          </cell>
          <cell r="G1403" t="str">
            <v>G13</v>
          </cell>
        </row>
        <row r="1404">
          <cell r="B1404">
            <v>108126469400</v>
          </cell>
          <cell r="E1404">
            <v>46119</v>
          </cell>
          <cell r="F1404" t="str">
            <v>18ID</v>
          </cell>
          <cell r="G1404" t="str">
            <v>E11</v>
          </cell>
        </row>
        <row r="1405">
          <cell r="B1405">
            <v>108127684230</v>
          </cell>
          <cell r="E1405">
            <v>46119</v>
          </cell>
          <cell r="F1405" t="str">
            <v>18ID</v>
          </cell>
          <cell r="G1405" t="str">
            <v>E11</v>
          </cell>
        </row>
        <row r="1406">
          <cell r="B1406">
            <v>108127806730</v>
          </cell>
          <cell r="E1406">
            <v>46119</v>
          </cell>
          <cell r="F1406" t="str">
            <v>18ID</v>
          </cell>
          <cell r="G1406" t="str">
            <v>E11</v>
          </cell>
        </row>
        <row r="1407">
          <cell r="B1407">
            <v>108127820950</v>
          </cell>
          <cell r="E1407">
            <v>46119</v>
          </cell>
          <cell r="F1407" t="str">
            <v>18ID</v>
          </cell>
          <cell r="G1407" t="str">
            <v>E11</v>
          </cell>
        </row>
        <row r="1408">
          <cell r="B1408">
            <v>108127884100</v>
          </cell>
          <cell r="E1408">
            <v>46119</v>
          </cell>
          <cell r="F1408" t="str">
            <v>18ID</v>
          </cell>
          <cell r="G1408" t="str">
            <v>E11</v>
          </cell>
        </row>
        <row r="1409">
          <cell r="B1409">
            <v>108127935750</v>
          </cell>
          <cell r="E1409">
            <v>46119</v>
          </cell>
          <cell r="F1409" t="str">
            <v>18ID</v>
          </cell>
          <cell r="G1409" t="str">
            <v>E11</v>
          </cell>
        </row>
        <row r="1410">
          <cell r="B1410">
            <v>108128097450</v>
          </cell>
          <cell r="E1410">
            <v>46119</v>
          </cell>
          <cell r="F1410" t="str">
            <v>18ID</v>
          </cell>
          <cell r="G1410" t="str">
            <v>E11</v>
          </cell>
        </row>
        <row r="1411">
          <cell r="B1411">
            <v>108128202600</v>
          </cell>
          <cell r="E1411">
            <v>46119</v>
          </cell>
          <cell r="F1411" t="str">
            <v>18ID</v>
          </cell>
          <cell r="G1411" t="str">
            <v>E11</v>
          </cell>
        </row>
        <row r="1412">
          <cell r="B1412">
            <v>108128303620</v>
          </cell>
          <cell r="E1412">
            <v>46119</v>
          </cell>
          <cell r="F1412" t="str">
            <v>18ID</v>
          </cell>
          <cell r="G1412" t="str">
            <v>E13</v>
          </cell>
        </row>
        <row r="1413">
          <cell r="B1413">
            <v>108121316550</v>
          </cell>
          <cell r="E1413">
            <v>46118</v>
          </cell>
          <cell r="F1413" t="str">
            <v>18ID</v>
          </cell>
          <cell r="G1413" t="str">
            <v>E11</v>
          </cell>
        </row>
        <row r="1414">
          <cell r="B1414">
            <v>108121441740</v>
          </cell>
          <cell r="E1414">
            <v>46118</v>
          </cell>
          <cell r="F1414" t="str">
            <v>18ID</v>
          </cell>
          <cell r="G1414" t="str">
            <v>E11</v>
          </cell>
        </row>
        <row r="1415">
          <cell r="B1415">
            <v>108123355760</v>
          </cell>
          <cell r="E1415">
            <v>46118</v>
          </cell>
          <cell r="F1415" t="str">
            <v>18ID</v>
          </cell>
          <cell r="G1415" t="str">
            <v>E11</v>
          </cell>
        </row>
        <row r="1416">
          <cell r="B1416">
            <v>108123426350</v>
          </cell>
          <cell r="E1416">
            <v>46118</v>
          </cell>
          <cell r="F1416" t="str">
            <v>18ID</v>
          </cell>
          <cell r="G1416" t="str">
            <v>E11</v>
          </cell>
        </row>
        <row r="1417">
          <cell r="B1417">
            <v>108123498710</v>
          </cell>
          <cell r="E1417">
            <v>46118</v>
          </cell>
          <cell r="F1417" t="str">
            <v>18ID</v>
          </cell>
          <cell r="G1417" t="str">
            <v>E11</v>
          </cell>
        </row>
        <row r="1418">
          <cell r="B1418">
            <v>108123568010</v>
          </cell>
          <cell r="E1418">
            <v>46118</v>
          </cell>
          <cell r="F1418" t="str">
            <v>18ID</v>
          </cell>
          <cell r="G1418" t="str">
            <v>E11</v>
          </cell>
        </row>
        <row r="1419">
          <cell r="B1419">
            <v>108123641030</v>
          </cell>
          <cell r="E1419">
            <v>46118</v>
          </cell>
          <cell r="F1419" t="str">
            <v>18ID</v>
          </cell>
          <cell r="G1419" t="str">
            <v>E11</v>
          </cell>
        </row>
        <row r="1420">
          <cell r="B1420">
            <v>108123682440</v>
          </cell>
          <cell r="E1420">
            <v>46118</v>
          </cell>
          <cell r="F1420" t="str">
            <v>18ID</v>
          </cell>
          <cell r="G1420" t="str">
            <v>E11</v>
          </cell>
        </row>
        <row r="1421">
          <cell r="B1421">
            <v>108123914950</v>
          </cell>
          <cell r="E1421">
            <v>46118</v>
          </cell>
          <cell r="F1421" t="str">
            <v>18ID</v>
          </cell>
          <cell r="G1421" t="str">
            <v>E11</v>
          </cell>
        </row>
        <row r="1422">
          <cell r="B1422">
            <v>108124033140</v>
          </cell>
          <cell r="E1422">
            <v>46118</v>
          </cell>
          <cell r="F1422" t="str">
            <v>18ID</v>
          </cell>
          <cell r="G1422" t="str">
            <v>E11</v>
          </cell>
        </row>
        <row r="1423">
          <cell r="B1423">
            <v>108124072560</v>
          </cell>
          <cell r="E1423">
            <v>46118</v>
          </cell>
          <cell r="F1423" t="str">
            <v>18ID</v>
          </cell>
          <cell r="G1423" t="str">
            <v>E11</v>
          </cell>
        </row>
        <row r="1424">
          <cell r="B1424">
            <v>108124116220</v>
          </cell>
          <cell r="E1424">
            <v>46118</v>
          </cell>
          <cell r="F1424" t="str">
            <v>18ID</v>
          </cell>
          <cell r="G1424" t="str">
            <v>E11</v>
          </cell>
        </row>
        <row r="1425">
          <cell r="B1425">
            <v>108124121600</v>
          </cell>
          <cell r="E1425">
            <v>46118</v>
          </cell>
          <cell r="F1425" t="str">
            <v>18ID</v>
          </cell>
          <cell r="G1425" t="str">
            <v>E11</v>
          </cell>
        </row>
        <row r="1426">
          <cell r="B1426">
            <v>108124141310</v>
          </cell>
          <cell r="E1426">
            <v>46118</v>
          </cell>
          <cell r="F1426" t="str">
            <v>18ID</v>
          </cell>
          <cell r="G1426" t="str">
            <v>E11</v>
          </cell>
        </row>
        <row r="1427">
          <cell r="B1427">
            <v>108124172220</v>
          </cell>
          <cell r="E1427">
            <v>46118</v>
          </cell>
          <cell r="F1427" t="str">
            <v>18ID</v>
          </cell>
          <cell r="G1427" t="str">
            <v>E11</v>
          </cell>
        </row>
        <row r="1428">
          <cell r="B1428">
            <v>108124255300</v>
          </cell>
          <cell r="E1428">
            <v>46118</v>
          </cell>
          <cell r="F1428" t="str">
            <v>18ID</v>
          </cell>
          <cell r="G1428" t="str">
            <v>E11</v>
          </cell>
        </row>
        <row r="1429">
          <cell r="B1429">
            <v>108124355400</v>
          </cell>
          <cell r="E1429">
            <v>46118</v>
          </cell>
          <cell r="F1429" t="str">
            <v>18ID</v>
          </cell>
          <cell r="G1429" t="str">
            <v>E11</v>
          </cell>
        </row>
        <row r="1430">
          <cell r="B1430">
            <v>108124494330</v>
          </cell>
          <cell r="E1430">
            <v>46118</v>
          </cell>
          <cell r="F1430" t="str">
            <v>18ID</v>
          </cell>
          <cell r="G1430" t="str">
            <v>E15</v>
          </cell>
        </row>
        <row r="1431">
          <cell r="B1431">
            <v>308397419651</v>
          </cell>
          <cell r="E1431">
            <v>46116</v>
          </cell>
          <cell r="F1431" t="str">
            <v>18ID</v>
          </cell>
          <cell r="G1431" t="str">
            <v>B13</v>
          </cell>
        </row>
        <row r="1432">
          <cell r="B1432">
            <v>308397496761</v>
          </cell>
          <cell r="E1432">
            <v>46116</v>
          </cell>
          <cell r="F1432" t="str">
            <v>18ID</v>
          </cell>
          <cell r="G1432" t="str">
            <v>B13</v>
          </cell>
        </row>
        <row r="1433">
          <cell r="B1433">
            <v>308397723601</v>
          </cell>
          <cell r="E1433">
            <v>46116</v>
          </cell>
          <cell r="F1433" t="str">
            <v>18ID</v>
          </cell>
          <cell r="G1433" t="str">
            <v>B13</v>
          </cell>
        </row>
        <row r="1434">
          <cell r="B1434">
            <v>308397647961</v>
          </cell>
          <cell r="E1434">
            <v>46116</v>
          </cell>
          <cell r="F1434" t="str">
            <v>18ID</v>
          </cell>
          <cell r="G1434" t="str">
            <v>G23</v>
          </cell>
        </row>
        <row r="1435">
          <cell r="B1435">
            <v>108117937800</v>
          </cell>
          <cell r="E1435">
            <v>46115</v>
          </cell>
          <cell r="F1435" t="str">
            <v>18ID</v>
          </cell>
          <cell r="G1435" t="str">
            <v>E13</v>
          </cell>
        </row>
        <row r="1436">
          <cell r="B1436">
            <v>308391372020</v>
          </cell>
          <cell r="E1436">
            <v>46115</v>
          </cell>
          <cell r="F1436" t="str">
            <v>18ID</v>
          </cell>
          <cell r="G1436" t="str">
            <v>E42</v>
          </cell>
        </row>
        <row r="1437">
          <cell r="B1437">
            <v>308391410960</v>
          </cell>
          <cell r="E1437">
            <v>46115</v>
          </cell>
          <cell r="F1437" t="str">
            <v>18ID</v>
          </cell>
          <cell r="G1437" t="str">
            <v>E42</v>
          </cell>
        </row>
        <row r="1438">
          <cell r="B1438">
            <v>108113743250</v>
          </cell>
          <cell r="E1438">
            <v>46115</v>
          </cell>
          <cell r="F1438" t="str">
            <v>18ID</v>
          </cell>
          <cell r="G1438" t="str">
            <v>E11</v>
          </cell>
        </row>
        <row r="1439">
          <cell r="B1439">
            <v>308394898400</v>
          </cell>
          <cell r="E1439">
            <v>46115</v>
          </cell>
          <cell r="F1439" t="str">
            <v>18ID</v>
          </cell>
          <cell r="G1439" t="str">
            <v>E42</v>
          </cell>
        </row>
        <row r="1440">
          <cell r="B1440">
            <v>308395310810</v>
          </cell>
          <cell r="E1440">
            <v>46115</v>
          </cell>
          <cell r="F1440" t="str">
            <v>18ID</v>
          </cell>
          <cell r="G1440" t="str">
            <v>E42</v>
          </cell>
        </row>
        <row r="1441">
          <cell r="B1441">
            <v>308396043710</v>
          </cell>
          <cell r="C1441" t="str">
            <v/>
          </cell>
          <cell r="E1441">
            <v>46115</v>
          </cell>
          <cell r="F1441" t="str">
            <v>18ID</v>
          </cell>
          <cell r="G1441" t="str">
            <v>E42</v>
          </cell>
        </row>
        <row r="1442">
          <cell r="B1442">
            <v>308396909500</v>
          </cell>
          <cell r="E1442">
            <v>46115</v>
          </cell>
          <cell r="F1442" t="str">
            <v>18ID</v>
          </cell>
          <cell r="G1442" t="str">
            <v>E42</v>
          </cell>
        </row>
        <row r="1443">
          <cell r="B1443">
            <v>108116509910</v>
          </cell>
          <cell r="E1443">
            <v>46115</v>
          </cell>
          <cell r="F1443" t="str">
            <v>18ID</v>
          </cell>
          <cell r="G1443" t="str">
            <v>E15</v>
          </cell>
        </row>
        <row r="1444">
          <cell r="B1444">
            <v>108117301830</v>
          </cell>
          <cell r="E1444">
            <v>46115</v>
          </cell>
          <cell r="F1444" t="str">
            <v>18ID</v>
          </cell>
          <cell r="G1444" t="str">
            <v>E11</v>
          </cell>
        </row>
        <row r="1445">
          <cell r="B1445">
            <v>108117806160</v>
          </cell>
          <cell r="E1445">
            <v>46115</v>
          </cell>
          <cell r="F1445" t="str">
            <v>18ID</v>
          </cell>
          <cell r="G1445" t="str">
            <v>E11</v>
          </cell>
        </row>
        <row r="1446">
          <cell r="B1446">
            <v>108117903940</v>
          </cell>
          <cell r="E1446">
            <v>46115</v>
          </cell>
          <cell r="F1446" t="str">
            <v>18ID</v>
          </cell>
          <cell r="G1446" t="str">
            <v>E11</v>
          </cell>
        </row>
        <row r="1447">
          <cell r="B1447">
            <v>108117937910</v>
          </cell>
          <cell r="E1447">
            <v>46115</v>
          </cell>
          <cell r="F1447" t="str">
            <v>18ID</v>
          </cell>
          <cell r="G1447" t="str">
            <v>E11</v>
          </cell>
        </row>
        <row r="1448">
          <cell r="B1448">
            <v>108111889100</v>
          </cell>
          <cell r="E1448">
            <v>46114</v>
          </cell>
          <cell r="F1448" t="str">
            <v>18ID</v>
          </cell>
          <cell r="G1448" t="str">
            <v>E13</v>
          </cell>
        </row>
        <row r="1449">
          <cell r="B1449">
            <v>308384046630</v>
          </cell>
          <cell r="E1449">
            <v>46114</v>
          </cell>
          <cell r="F1449" t="str">
            <v>18ID</v>
          </cell>
          <cell r="G1449" t="str">
            <v>E42</v>
          </cell>
        </row>
        <row r="1450">
          <cell r="B1450">
            <v>308384076621</v>
          </cell>
          <cell r="E1450">
            <v>46114</v>
          </cell>
          <cell r="F1450" t="str">
            <v>18ID</v>
          </cell>
          <cell r="G1450" t="str">
            <v>G23</v>
          </cell>
        </row>
        <row r="1451">
          <cell r="B1451">
            <v>308387571350</v>
          </cell>
          <cell r="E1451">
            <v>46114</v>
          </cell>
          <cell r="F1451" t="str">
            <v>18ID</v>
          </cell>
          <cell r="G1451" t="str">
            <v>E42</v>
          </cell>
        </row>
        <row r="1452">
          <cell r="B1452">
            <v>308390222621</v>
          </cell>
          <cell r="E1452">
            <v>46114</v>
          </cell>
          <cell r="F1452" t="str">
            <v>18ID</v>
          </cell>
          <cell r="G1452" t="str">
            <v>B13</v>
          </cell>
        </row>
        <row r="1453">
          <cell r="B1453">
            <v>308390624751</v>
          </cell>
          <cell r="E1453">
            <v>46114</v>
          </cell>
          <cell r="F1453" t="str">
            <v>18ID</v>
          </cell>
          <cell r="G1453" t="str">
            <v>B13</v>
          </cell>
        </row>
        <row r="1454">
          <cell r="B1454">
            <v>308392702240</v>
          </cell>
          <cell r="E1454">
            <v>46114</v>
          </cell>
          <cell r="F1454" t="str">
            <v>18ID</v>
          </cell>
          <cell r="G1454" t="str">
            <v>E42</v>
          </cell>
        </row>
        <row r="1455">
          <cell r="B1455">
            <v>108113029620</v>
          </cell>
          <cell r="E1455">
            <v>46114</v>
          </cell>
          <cell r="F1455" t="str">
            <v>18ID</v>
          </cell>
          <cell r="G1455" t="str">
            <v>E13</v>
          </cell>
        </row>
        <row r="1456">
          <cell r="B1456">
            <v>108113159601</v>
          </cell>
          <cell r="E1456">
            <v>46114</v>
          </cell>
          <cell r="F1456" t="str">
            <v>18ID</v>
          </cell>
          <cell r="G1456" t="str">
            <v>E13</v>
          </cell>
        </row>
        <row r="1457">
          <cell r="B1457">
            <v>108112924250</v>
          </cell>
          <cell r="E1457">
            <v>46114</v>
          </cell>
          <cell r="F1457" t="str">
            <v>18ID</v>
          </cell>
          <cell r="G1457" t="str">
            <v>E11</v>
          </cell>
        </row>
        <row r="1458">
          <cell r="B1458">
            <v>108112958000</v>
          </cell>
          <cell r="E1458">
            <v>46114</v>
          </cell>
          <cell r="F1458" t="str">
            <v>18ID</v>
          </cell>
          <cell r="G1458" t="str">
            <v>E11</v>
          </cell>
        </row>
        <row r="1459">
          <cell r="B1459">
            <v>108113185130</v>
          </cell>
          <cell r="E1459">
            <v>46114</v>
          </cell>
          <cell r="F1459" t="str">
            <v>18ID</v>
          </cell>
          <cell r="G1459" t="str">
            <v>E11</v>
          </cell>
        </row>
        <row r="1460">
          <cell r="B1460">
            <v>108113528500</v>
          </cell>
          <cell r="E1460">
            <v>46114</v>
          </cell>
          <cell r="F1460" t="str">
            <v>18ID</v>
          </cell>
          <cell r="G1460" t="str">
            <v>E11</v>
          </cell>
        </row>
        <row r="1461">
          <cell r="B1461">
            <v>108113681430</v>
          </cell>
          <cell r="E1461">
            <v>46114</v>
          </cell>
          <cell r="F1461" t="str">
            <v>18ID</v>
          </cell>
          <cell r="G1461" t="str">
            <v>E11</v>
          </cell>
        </row>
        <row r="1462">
          <cell r="B1462">
            <v>108113835800</v>
          </cell>
          <cell r="E1462">
            <v>46114</v>
          </cell>
          <cell r="F1462" t="str">
            <v>18ID</v>
          </cell>
          <cell r="G1462" t="str">
            <v>E11</v>
          </cell>
        </row>
        <row r="1463">
          <cell r="B1463">
            <v>108113876400</v>
          </cell>
          <cell r="E1463">
            <v>46114</v>
          </cell>
          <cell r="F1463" t="str">
            <v>18ID</v>
          </cell>
          <cell r="G1463" t="str">
            <v>E11</v>
          </cell>
        </row>
        <row r="1464">
          <cell r="B1464">
            <v>108113979630</v>
          </cell>
          <cell r="E1464">
            <v>46114</v>
          </cell>
          <cell r="F1464" t="str">
            <v>18ID</v>
          </cell>
          <cell r="G1464" t="str">
            <v>E11</v>
          </cell>
        </row>
        <row r="1465">
          <cell r="B1465">
            <v>108113987700</v>
          </cell>
          <cell r="E1465">
            <v>46114</v>
          </cell>
          <cell r="F1465" t="str">
            <v>18ID</v>
          </cell>
          <cell r="G1465" t="str">
            <v>E11</v>
          </cell>
        </row>
        <row r="1466">
          <cell r="B1466">
            <v>108113989320</v>
          </cell>
          <cell r="E1466">
            <v>46114</v>
          </cell>
          <cell r="F1466" t="str">
            <v>18ID</v>
          </cell>
          <cell r="G1466" t="str">
            <v>E11</v>
          </cell>
        </row>
        <row r="1467">
          <cell r="B1467">
            <v>108114016510</v>
          </cell>
          <cell r="E1467">
            <v>46114</v>
          </cell>
          <cell r="F1467" t="str">
            <v>18ID</v>
          </cell>
          <cell r="G1467" t="str">
            <v>E11</v>
          </cell>
        </row>
        <row r="1468">
          <cell r="B1468">
            <v>108114098150</v>
          </cell>
          <cell r="E1468">
            <v>46114</v>
          </cell>
          <cell r="F1468" t="str">
            <v>18ID</v>
          </cell>
          <cell r="G1468" t="str">
            <v>E11</v>
          </cell>
        </row>
        <row r="1469">
          <cell r="B1469">
            <v>108114229200</v>
          </cell>
          <cell r="E1469">
            <v>46114</v>
          </cell>
          <cell r="F1469" t="str">
            <v>18ID</v>
          </cell>
          <cell r="G1469" t="str">
            <v>E11</v>
          </cell>
        </row>
        <row r="1470">
          <cell r="B1470">
            <v>108114254140</v>
          </cell>
          <cell r="E1470">
            <v>46114</v>
          </cell>
          <cell r="F1470" t="str">
            <v>18ID</v>
          </cell>
          <cell r="G1470" t="str">
            <v>E11</v>
          </cell>
        </row>
        <row r="1471">
          <cell r="B1471">
            <v>108107316660</v>
          </cell>
          <cell r="E1471">
            <v>46113</v>
          </cell>
          <cell r="F1471" t="str">
            <v>18ID</v>
          </cell>
          <cell r="G1471" t="str">
            <v>G13</v>
          </cell>
        </row>
        <row r="1472">
          <cell r="B1472">
            <v>108108877700</v>
          </cell>
          <cell r="E1472">
            <v>46113</v>
          </cell>
          <cell r="F1472" t="str">
            <v>18ID</v>
          </cell>
          <cell r="G1472" t="str">
            <v>G13</v>
          </cell>
        </row>
        <row r="1473">
          <cell r="B1473">
            <v>108109121410</v>
          </cell>
          <cell r="E1473">
            <v>46113</v>
          </cell>
          <cell r="F1473" t="str">
            <v>18ID</v>
          </cell>
          <cell r="G1473" t="str">
            <v>G13</v>
          </cell>
        </row>
        <row r="1474">
          <cell r="B1474">
            <v>108109478960</v>
          </cell>
          <cell r="E1474">
            <v>46113</v>
          </cell>
          <cell r="F1474" t="str">
            <v>18ID</v>
          </cell>
          <cell r="G1474" t="str">
            <v>G13</v>
          </cell>
        </row>
        <row r="1475">
          <cell r="B1475">
            <v>308389816251</v>
          </cell>
          <cell r="E1475">
            <v>46113</v>
          </cell>
          <cell r="F1475" t="str">
            <v>18ID</v>
          </cell>
          <cell r="G1475" t="str">
            <v>G23</v>
          </cell>
        </row>
        <row r="1476">
          <cell r="B1476">
            <v>308389853241</v>
          </cell>
          <cell r="E1476">
            <v>46113</v>
          </cell>
          <cell r="F1476" t="str">
            <v>18ID</v>
          </cell>
          <cell r="G1476" t="str">
            <v>G23</v>
          </cell>
        </row>
        <row r="1477">
          <cell r="B1477">
            <v>108109167610</v>
          </cell>
          <cell r="E1477">
            <v>46113</v>
          </cell>
          <cell r="F1477" t="str">
            <v>18ID</v>
          </cell>
          <cell r="G1477" t="str">
            <v>E11</v>
          </cell>
        </row>
        <row r="1478">
          <cell r="B1478">
            <v>108109205410</v>
          </cell>
          <cell r="E1478">
            <v>46113</v>
          </cell>
          <cell r="F1478" t="str">
            <v>18ID</v>
          </cell>
          <cell r="G1478" t="str">
            <v>E11</v>
          </cell>
        </row>
        <row r="1479">
          <cell r="B1479">
            <v>108109236910</v>
          </cell>
          <cell r="E1479">
            <v>46113</v>
          </cell>
          <cell r="F1479" t="str">
            <v>18ID</v>
          </cell>
          <cell r="G1479" t="str">
            <v>E11</v>
          </cell>
        </row>
        <row r="1480">
          <cell r="B1480">
            <v>108109284620</v>
          </cell>
          <cell r="E1480">
            <v>46113</v>
          </cell>
          <cell r="F1480" t="str">
            <v>18ID</v>
          </cell>
          <cell r="G1480" t="str">
            <v>E11</v>
          </cell>
        </row>
        <row r="1481">
          <cell r="B1481">
            <v>108109328130</v>
          </cell>
          <cell r="E1481">
            <v>46113</v>
          </cell>
          <cell r="F1481" t="str">
            <v>18ID</v>
          </cell>
          <cell r="G1481" t="str">
            <v>E11</v>
          </cell>
        </row>
        <row r="1482">
          <cell r="B1482">
            <v>108109363240</v>
          </cell>
          <cell r="E1482">
            <v>46113</v>
          </cell>
          <cell r="F1482" t="str">
            <v>18ID</v>
          </cell>
          <cell r="G1482" t="str">
            <v>E11</v>
          </cell>
        </row>
        <row r="1483">
          <cell r="B1483">
            <v>108109611300</v>
          </cell>
          <cell r="E1483">
            <v>46113</v>
          </cell>
          <cell r="F1483" t="str">
            <v>18ID</v>
          </cell>
          <cell r="G1483" t="str">
            <v>E11</v>
          </cell>
        </row>
        <row r="1484">
          <cell r="B1484">
            <v>108109626000</v>
          </cell>
          <cell r="E1484">
            <v>46113</v>
          </cell>
          <cell r="F1484" t="str">
            <v>18ID</v>
          </cell>
          <cell r="G1484" t="str">
            <v>E11</v>
          </cell>
        </row>
        <row r="1485">
          <cell r="B1485">
            <v>108109686310</v>
          </cell>
          <cell r="E1485">
            <v>46113</v>
          </cell>
          <cell r="F1485" t="str">
            <v>18ID</v>
          </cell>
          <cell r="G1485" t="str">
            <v>E11</v>
          </cell>
        </row>
        <row r="1486">
          <cell r="B1486">
            <v>108109736710</v>
          </cell>
          <cell r="E1486">
            <v>46113</v>
          </cell>
          <cell r="F1486" t="str">
            <v>18ID</v>
          </cell>
          <cell r="G1486" t="str">
            <v>E11</v>
          </cell>
        </row>
        <row r="1487">
          <cell r="B1487">
            <v>108109805310</v>
          </cell>
          <cell r="E1487">
            <v>46113</v>
          </cell>
          <cell r="F1487" t="str">
            <v>18ID</v>
          </cell>
          <cell r="G1487" t="str">
            <v>E11</v>
          </cell>
        </row>
        <row r="1488">
          <cell r="B1488">
            <v>108109958500</v>
          </cell>
          <cell r="E1488">
            <v>46113</v>
          </cell>
          <cell r="F1488" t="str">
            <v>18ID</v>
          </cell>
          <cell r="G1488" t="str">
            <v>E11</v>
          </cell>
        </row>
        <row r="1489">
          <cell r="B1489">
            <v>108110032700</v>
          </cell>
          <cell r="E1489">
            <v>46113</v>
          </cell>
          <cell r="F1489" t="str">
            <v>18ID</v>
          </cell>
          <cell r="G1489" t="str">
            <v>E11</v>
          </cell>
        </row>
      </sheetData>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ort"/>
      <sheetName val="Import"/>
      <sheetName val="BC Thứ 2"/>
      <sheetName val="2"/>
      <sheetName val="Imp"/>
      <sheetName val="Logistics cost"/>
      <sheetName val="TONG HOP"/>
      <sheetName val="3"/>
      <sheetName val="Debit fedex"/>
      <sheetName val="Scrap"/>
      <sheetName val="Debit VVMV"/>
      <sheetName val="Term"/>
      <sheetName val="Pick Slip"/>
      <sheetName val="Ship confirm"/>
      <sheetName val="Release"/>
      <sheetName val="Back Order"/>
      <sheetName val="VNACCS"/>
      <sheetName val="Lệ phí HQ"/>
      <sheetName val="Sheet2"/>
      <sheetName val="Sheet1"/>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E1" t="str">
            <v>PN</v>
          </cell>
          <cell r="F1" t="str">
            <v>TRACK</v>
          </cell>
        </row>
        <row r="2">
          <cell r="E2" t="str">
            <v>LUC-E00-510037-00</v>
          </cell>
          <cell r="F2">
            <v>283645738393</v>
          </cell>
        </row>
        <row r="3">
          <cell r="E3" t="str">
            <v>LUC-E00-400059-054</v>
          </cell>
          <cell r="F3">
            <v>7425565313</v>
          </cell>
        </row>
        <row r="4">
          <cell r="E4" t="str">
            <v>PUR-14-0077-00</v>
          </cell>
          <cell r="F4">
            <v>7425565313</v>
          </cell>
        </row>
        <row r="5">
          <cell r="E5" t="str">
            <v>PUR-14-0077-00</v>
          </cell>
          <cell r="F5">
            <v>7425565313</v>
          </cell>
        </row>
        <row r="6">
          <cell r="E6" t="str">
            <v>EF-45090224.X.X</v>
          </cell>
          <cell r="F6">
            <v>7425565313</v>
          </cell>
        </row>
        <row r="7">
          <cell r="E7" t="str">
            <v>LUC-E00-470074-01</v>
          </cell>
          <cell r="F7">
            <v>7425565313</v>
          </cell>
        </row>
        <row r="8">
          <cell r="E8" t="str">
            <v>PUR-10-0342-00</v>
          </cell>
          <cell r="F8" t="str">
            <v>YFYJ-PUR 2501.20 PF 52</v>
          </cell>
        </row>
        <row r="9">
          <cell r="E9" t="str">
            <v>PUR-10-0342-00</v>
          </cell>
          <cell r="F9" t="str">
            <v>YFYJ-PUR 2501.20 PF 52</v>
          </cell>
        </row>
        <row r="10">
          <cell r="E10" t="str">
            <v>PUR-10-0342-00</v>
          </cell>
          <cell r="F10" t="str">
            <v>YFYJ-PUR 2501.20 PF 52</v>
          </cell>
        </row>
        <row r="11">
          <cell r="E11" t="str">
            <v>PUR-10-0313-00</v>
          </cell>
          <cell r="F11" t="str">
            <v>YFYJ-PUR 2501.20 TV 5</v>
          </cell>
        </row>
        <row r="12">
          <cell r="E12" t="str">
            <v>PUR-10-0312-00</v>
          </cell>
          <cell r="F12" t="str">
            <v>YFYJ-PUR 2501.20 TV 5</v>
          </cell>
        </row>
        <row r="13">
          <cell r="E13" t="str">
            <v>PUR-10-0312-00</v>
          </cell>
          <cell r="F13" t="str">
            <v>YFYJ-PUR 2501.20 TV 5</v>
          </cell>
        </row>
        <row r="14">
          <cell r="E14" t="str">
            <v>LUC-EZZ-490306-00</v>
          </cell>
          <cell r="F14">
            <v>4255998736</v>
          </cell>
        </row>
        <row r="15">
          <cell r="E15" t="str">
            <v>LUC-EZZ-490535-00</v>
          </cell>
          <cell r="F15">
            <v>4255998736</v>
          </cell>
        </row>
        <row r="16">
          <cell r="E16" t="str">
            <v>LUC-EZZ-490316-01</v>
          </cell>
          <cell r="F16">
            <v>4255998736</v>
          </cell>
        </row>
        <row r="17">
          <cell r="E17" t="str">
            <v>LUC-EZZ-490315-01</v>
          </cell>
          <cell r="F17">
            <v>4255998736</v>
          </cell>
        </row>
        <row r="18">
          <cell r="E18" t="str">
            <v>LUC-EZZ-490317-02</v>
          </cell>
          <cell r="F18">
            <v>4255998736</v>
          </cell>
        </row>
        <row r="19">
          <cell r="E19" t="str">
            <v>LUC-EZZ-490310-04</v>
          </cell>
          <cell r="F19">
            <v>4255998736</v>
          </cell>
        </row>
        <row r="20">
          <cell r="E20" t="str">
            <v>186-000311.X.X</v>
          </cell>
          <cell r="F20" t="str">
            <v>00000128</v>
          </cell>
        </row>
        <row r="21">
          <cell r="E21" t="str">
            <v>PUR-33-0018-00</v>
          </cell>
          <cell r="F21" t="str">
            <v>00000128</v>
          </cell>
        </row>
        <row r="22">
          <cell r="E22" t="str">
            <v>LUC-LABEL-50x15</v>
          </cell>
          <cell r="F22" t="str">
            <v>00000128</v>
          </cell>
        </row>
        <row r="23">
          <cell r="E23" t="str">
            <v>PURET-18-0187-00</v>
          </cell>
          <cell r="F23" t="str">
            <v>00000128</v>
          </cell>
        </row>
        <row r="24">
          <cell r="E24" t="str">
            <v>AGI-899-40043-01</v>
          </cell>
          <cell r="F24" t="str">
            <v>00000128</v>
          </cell>
        </row>
        <row r="25">
          <cell r="E25" t="str">
            <v>LUC-LABEL-60X40-B</v>
          </cell>
          <cell r="F25" t="str">
            <v>00000128</v>
          </cell>
        </row>
        <row r="26">
          <cell r="E26" t="str">
            <v>LUC-LABEL-25X25</v>
          </cell>
          <cell r="F26" t="str">
            <v>00000128</v>
          </cell>
        </row>
        <row r="27">
          <cell r="E27" t="str">
            <v>LUC-LABEL-13x13</v>
          </cell>
          <cell r="F27" t="str">
            <v>00000128</v>
          </cell>
        </row>
        <row r="28">
          <cell r="E28" t="str">
            <v>186-000348.X.X</v>
          </cell>
          <cell r="F28" t="str">
            <v>00000128</v>
          </cell>
        </row>
        <row r="29">
          <cell r="E29" t="str">
            <v>EF-45130942</v>
          </cell>
          <cell r="F29">
            <v>412069706093</v>
          </cell>
        </row>
        <row r="30">
          <cell r="E30" t="str">
            <v>184-000023.X.X</v>
          </cell>
          <cell r="F30" t="str">
            <v>00000194</v>
          </cell>
        </row>
        <row r="31">
          <cell r="E31" t="str">
            <v>LUC-E00-420045-01</v>
          </cell>
          <cell r="F31">
            <v>412069706108</v>
          </cell>
        </row>
        <row r="32">
          <cell r="E32" t="str">
            <v>LUC-P21-KA2000-AA</v>
          </cell>
          <cell r="F32" t="str">
            <v>00000325</v>
          </cell>
        </row>
        <row r="33">
          <cell r="E33" t="str">
            <v>EF-45236388</v>
          </cell>
          <cell r="F33">
            <v>429523034698</v>
          </cell>
        </row>
        <row r="34">
          <cell r="E34" t="str">
            <v>PUR-10-0334-00</v>
          </cell>
          <cell r="F34" t="str">
            <v>YFYJ-PUR 2502 GS 00000091</v>
          </cell>
        </row>
        <row r="35">
          <cell r="E35" t="str">
            <v>PUR-10-0313-00</v>
          </cell>
          <cell r="F35" t="str">
            <v>YFYJ-PUR 2502 TV 21</v>
          </cell>
        </row>
        <row r="36">
          <cell r="E36" t="str">
            <v>PUR-10-0312-00</v>
          </cell>
          <cell r="F36" t="str">
            <v>YFYJ-PUR 2502 TV 21</v>
          </cell>
        </row>
        <row r="37">
          <cell r="E37" t="str">
            <v>PUR-10-0313-00</v>
          </cell>
          <cell r="F37" t="str">
            <v>YFYJ-PUR 2502 TV 21</v>
          </cell>
        </row>
        <row r="38">
          <cell r="E38" t="str">
            <v>PUR-10-0312-00</v>
          </cell>
          <cell r="F38" t="str">
            <v>YFYJ-PUR 2502 TV 21</v>
          </cell>
        </row>
        <row r="39">
          <cell r="E39" t="str">
            <v>PUR-10-0342-00</v>
          </cell>
          <cell r="F39" t="str">
            <v>YFYJ-PUR 2502PF 97</v>
          </cell>
        </row>
        <row r="40">
          <cell r="E40" t="str">
            <v>PUR-10-0188-00</v>
          </cell>
          <cell r="F40" t="str">
            <v>YFYJ-PUR2502JS 00000001</v>
          </cell>
        </row>
        <row r="41">
          <cell r="E41" t="str">
            <v>PUR-03-0091-02</v>
          </cell>
          <cell r="F41">
            <v>434613645122</v>
          </cell>
        </row>
        <row r="42">
          <cell r="E42" t="str">
            <v>LUC-161-001415</v>
          </cell>
          <cell r="F42" t="str">
            <v>00000144</v>
          </cell>
        </row>
        <row r="43">
          <cell r="E43" t="str">
            <v>LUC-161-001421</v>
          </cell>
          <cell r="F43" t="str">
            <v>00000144</v>
          </cell>
        </row>
        <row r="44">
          <cell r="E44" t="str">
            <v>LUC-161-001422</v>
          </cell>
          <cell r="F44" t="str">
            <v>00000144</v>
          </cell>
        </row>
        <row r="45">
          <cell r="E45" t="str">
            <v>LUC-161-001428</v>
          </cell>
          <cell r="F45" t="str">
            <v>00000144</v>
          </cell>
        </row>
        <row r="46">
          <cell r="E46" t="str">
            <v>LUC-161-001429</v>
          </cell>
          <cell r="F46" t="str">
            <v>00000144</v>
          </cell>
        </row>
        <row r="47">
          <cell r="E47" t="str">
            <v>LUC-161-001414</v>
          </cell>
          <cell r="F47" t="str">
            <v>00000144</v>
          </cell>
        </row>
        <row r="48">
          <cell r="E48" t="str">
            <v>LUC-161-001416</v>
          </cell>
          <cell r="F48" t="str">
            <v>00000144</v>
          </cell>
        </row>
        <row r="49">
          <cell r="E49" t="str">
            <v>LUC-161-001430</v>
          </cell>
          <cell r="F49" t="str">
            <v>00000144</v>
          </cell>
        </row>
        <row r="50">
          <cell r="E50" t="str">
            <v>LUC-161-001431</v>
          </cell>
          <cell r="F50" t="str">
            <v>00000144</v>
          </cell>
        </row>
        <row r="51">
          <cell r="E51" t="str">
            <v>LUC-161-001432</v>
          </cell>
          <cell r="F51" t="str">
            <v>00000144</v>
          </cell>
        </row>
        <row r="52">
          <cell r="E52" t="str">
            <v>LUC-161-001433</v>
          </cell>
          <cell r="F52" t="str">
            <v>00000144</v>
          </cell>
        </row>
        <row r="53">
          <cell r="E53" t="str">
            <v>LUC-161-001436</v>
          </cell>
          <cell r="F53" t="str">
            <v>00000144</v>
          </cell>
        </row>
        <row r="54">
          <cell r="E54" t="str">
            <v>LUC-161-001437</v>
          </cell>
          <cell r="F54" t="str">
            <v>00000144</v>
          </cell>
        </row>
        <row r="55">
          <cell r="E55" t="str">
            <v>LUC-161-001439</v>
          </cell>
          <cell r="F55" t="str">
            <v>00000144</v>
          </cell>
        </row>
        <row r="56">
          <cell r="E56" t="str">
            <v>LUC-161-001441</v>
          </cell>
          <cell r="F56" t="str">
            <v>00000144</v>
          </cell>
        </row>
        <row r="57">
          <cell r="E57" t="str">
            <v>LUC-161-001438</v>
          </cell>
          <cell r="F57" t="str">
            <v>00000144</v>
          </cell>
        </row>
        <row r="58">
          <cell r="E58" t="str">
            <v>LUC-161-001440</v>
          </cell>
          <cell r="F58" t="str">
            <v>00000144</v>
          </cell>
        </row>
        <row r="59">
          <cell r="E59" t="str">
            <v>LUC-161-001417</v>
          </cell>
          <cell r="F59" t="str">
            <v>00000144</v>
          </cell>
        </row>
        <row r="60">
          <cell r="E60" t="str">
            <v>LUC-161-001427</v>
          </cell>
          <cell r="F60" t="str">
            <v>00000144</v>
          </cell>
        </row>
        <row r="61">
          <cell r="E61" t="str">
            <v>LUC-161-001426</v>
          </cell>
          <cell r="F61" t="str">
            <v>00000144</v>
          </cell>
        </row>
        <row r="62">
          <cell r="E62" t="str">
            <v>LUC-E00-440140-01</v>
          </cell>
          <cell r="F62">
            <v>283760024909</v>
          </cell>
        </row>
        <row r="63">
          <cell r="E63" t="str">
            <v>EF-161-000307</v>
          </cell>
          <cell r="F63" t="str">
            <v>00000001</v>
          </cell>
        </row>
        <row r="64">
          <cell r="E64" t="str">
            <v>EF-45198780</v>
          </cell>
          <cell r="F64" t="str">
            <v>00000001</v>
          </cell>
        </row>
        <row r="65">
          <cell r="E65" t="str">
            <v>PUR-11-0104-05</v>
          </cell>
          <cell r="F65" t="str">
            <v>PSHPH24C0093</v>
          </cell>
        </row>
        <row r="66">
          <cell r="E66" t="str">
            <v>PUR-11-0104-05</v>
          </cell>
          <cell r="F66" t="str">
            <v>PSHPH24C0093</v>
          </cell>
        </row>
        <row r="67">
          <cell r="E67" t="str">
            <v>PUR-11-0104-05</v>
          </cell>
          <cell r="F67" t="str">
            <v>PSHPH24C0093</v>
          </cell>
        </row>
        <row r="68">
          <cell r="E68" t="str">
            <v>PUR-11-0104-05</v>
          </cell>
          <cell r="F68" t="str">
            <v>PSHPH24C0093</v>
          </cell>
        </row>
        <row r="69">
          <cell r="E69" t="str">
            <v>PUR-11-0104-06</v>
          </cell>
          <cell r="F69" t="str">
            <v>PSHPH24C0093</v>
          </cell>
        </row>
        <row r="70">
          <cell r="E70" t="str">
            <v>PUR-11-0104-06</v>
          </cell>
          <cell r="F70" t="str">
            <v>PSHPH24C0093</v>
          </cell>
        </row>
        <row r="71">
          <cell r="E71" t="str">
            <v>161-000110.X.X</v>
          </cell>
          <cell r="F71" t="str">
            <v>00000717</v>
          </cell>
        </row>
        <row r="72">
          <cell r="E72" t="str">
            <v>161-000290</v>
          </cell>
          <cell r="F72" t="str">
            <v>00000717</v>
          </cell>
        </row>
        <row r="73">
          <cell r="E73" t="str">
            <v>AGI-871-40004-01</v>
          </cell>
          <cell r="F73" t="str">
            <v>00000717</v>
          </cell>
        </row>
        <row r="74">
          <cell r="E74" t="str">
            <v>AIC-141-002769</v>
          </cell>
          <cell r="F74">
            <v>771053187478</v>
          </cell>
        </row>
        <row r="75">
          <cell r="E75" t="str">
            <v>AIC-141-002769</v>
          </cell>
          <cell r="F75">
            <v>771053187478</v>
          </cell>
        </row>
        <row r="76">
          <cell r="E76" t="str">
            <v>AIC-141-002769</v>
          </cell>
          <cell r="F76">
            <v>771053187478</v>
          </cell>
        </row>
        <row r="77">
          <cell r="E77">
            <v>45126100</v>
          </cell>
          <cell r="F77">
            <v>426080008650</v>
          </cell>
        </row>
        <row r="78">
          <cell r="E78">
            <v>45134352</v>
          </cell>
          <cell r="F78">
            <v>426080008650</v>
          </cell>
        </row>
        <row r="79">
          <cell r="E79">
            <v>45247007</v>
          </cell>
          <cell r="F79">
            <v>426080008650</v>
          </cell>
        </row>
        <row r="80">
          <cell r="E80" t="str">
            <v>LUC-E00-420037-02</v>
          </cell>
          <cell r="F80">
            <v>426080008650</v>
          </cell>
        </row>
        <row r="81">
          <cell r="E81" t="str">
            <v>LUC-E00-400010-007</v>
          </cell>
          <cell r="F81">
            <v>426080008650</v>
          </cell>
        </row>
        <row r="82">
          <cell r="E82" t="str">
            <v>LUC-E00-510030-00</v>
          </cell>
          <cell r="F82">
            <v>426080008650</v>
          </cell>
        </row>
        <row r="83">
          <cell r="E83" t="str">
            <v>EF-45124074</v>
          </cell>
          <cell r="F83">
            <v>426080008650</v>
          </cell>
        </row>
        <row r="84">
          <cell r="E84" t="str">
            <v>LUC-E00-400028-002</v>
          </cell>
          <cell r="F84">
            <v>426080008650</v>
          </cell>
        </row>
        <row r="85">
          <cell r="E85" t="str">
            <v>LUC-E00-400010-008</v>
          </cell>
          <cell r="F85">
            <v>426080008650</v>
          </cell>
        </row>
        <row r="86">
          <cell r="E86" t="str">
            <v>PUR-03-0091-02</v>
          </cell>
          <cell r="F86">
            <v>426080008650</v>
          </cell>
        </row>
        <row r="87">
          <cell r="E87" t="str">
            <v>PUR-09-0344-00</v>
          </cell>
          <cell r="F87">
            <v>426080008650</v>
          </cell>
        </row>
        <row r="88">
          <cell r="E88" t="str">
            <v>PUR-03-0095-00</v>
          </cell>
          <cell r="F88">
            <v>426080008650</v>
          </cell>
        </row>
        <row r="89">
          <cell r="E89" t="str">
            <v>126-001831</v>
          </cell>
          <cell r="F89">
            <v>426080008650</v>
          </cell>
        </row>
        <row r="90">
          <cell r="E90" t="str">
            <v>LUC-EZZ-690942-00</v>
          </cell>
          <cell r="F90">
            <v>426080008650</v>
          </cell>
        </row>
        <row r="91">
          <cell r="E91" t="str">
            <v>LUC-E00-420049-00</v>
          </cell>
          <cell r="F91">
            <v>426080008650</v>
          </cell>
        </row>
        <row r="92">
          <cell r="E92" t="str">
            <v>LUC-P00-F116CF-00</v>
          </cell>
          <cell r="F92">
            <v>426080008650</v>
          </cell>
        </row>
        <row r="93">
          <cell r="E93" t="str">
            <v>LUC-E00-440014-00</v>
          </cell>
          <cell r="F93">
            <v>426080008650</v>
          </cell>
        </row>
        <row r="94">
          <cell r="E94" t="str">
            <v>LUC-161-001418</v>
          </cell>
          <cell r="F94">
            <v>240</v>
          </cell>
        </row>
        <row r="95">
          <cell r="E95" t="str">
            <v>LUC-161-001419</v>
          </cell>
          <cell r="F95">
            <v>240</v>
          </cell>
        </row>
        <row r="96">
          <cell r="E96" t="str">
            <v>PUR-03-0038-00</v>
          </cell>
          <cell r="F96">
            <v>1918827492</v>
          </cell>
        </row>
        <row r="97">
          <cell r="E97" t="str">
            <v>PUR-03-0038-00</v>
          </cell>
          <cell r="F97">
            <v>1918827492</v>
          </cell>
        </row>
        <row r="98">
          <cell r="E98" t="str">
            <v>184-000025.X.X</v>
          </cell>
          <cell r="F98" t="str">
            <v>00000218</v>
          </cell>
        </row>
        <row r="99">
          <cell r="E99" t="str">
            <v>AIC-MP-00007088-000</v>
          </cell>
          <cell r="F99">
            <v>771089642639</v>
          </cell>
        </row>
        <row r="100">
          <cell r="E100" t="str">
            <v>AIC-MP-00007068-000</v>
          </cell>
          <cell r="F100">
            <v>771089642639</v>
          </cell>
        </row>
        <row r="101">
          <cell r="E101" t="str">
            <v>AIC-MP-00007086-000</v>
          </cell>
          <cell r="F101">
            <v>771089642639</v>
          </cell>
        </row>
        <row r="102">
          <cell r="E102" t="str">
            <v>AIC-MP-00007087-000</v>
          </cell>
          <cell r="F102">
            <v>771089642639</v>
          </cell>
        </row>
        <row r="103">
          <cell r="E103" t="str">
            <v>161-000022.X.X</v>
          </cell>
          <cell r="F103" t="str">
            <v>00000316</v>
          </cell>
        </row>
        <row r="104">
          <cell r="E104" t="str">
            <v>186-000047.X.X</v>
          </cell>
          <cell r="F104" t="str">
            <v>00000316</v>
          </cell>
        </row>
        <row r="105">
          <cell r="E105" t="str">
            <v>186-000311.X.X</v>
          </cell>
          <cell r="F105" t="str">
            <v>00000316</v>
          </cell>
        </row>
        <row r="106">
          <cell r="E106" t="str">
            <v>186-000338.X.X</v>
          </cell>
          <cell r="F106" t="str">
            <v>00000316</v>
          </cell>
        </row>
        <row r="107">
          <cell r="E107" t="str">
            <v>186-000541.X.X</v>
          </cell>
          <cell r="F107" t="str">
            <v>00000316</v>
          </cell>
        </row>
        <row r="108">
          <cell r="E108" t="str">
            <v>AGI-186-001752</v>
          </cell>
          <cell r="F108" t="str">
            <v>00000316</v>
          </cell>
        </row>
        <row r="109">
          <cell r="E109" t="str">
            <v>AGI-186-001753</v>
          </cell>
          <cell r="F109" t="str">
            <v>00000316</v>
          </cell>
        </row>
        <row r="110">
          <cell r="E110" t="str">
            <v>AGI-872-50001-01</v>
          </cell>
          <cell r="F110" t="str">
            <v>00000316</v>
          </cell>
        </row>
        <row r="111">
          <cell r="E111" t="str">
            <v>AGI-899-40030-01</v>
          </cell>
          <cell r="F111" t="str">
            <v>00000316</v>
          </cell>
        </row>
        <row r="112">
          <cell r="E112" t="str">
            <v>AGI-899-40043-01</v>
          </cell>
          <cell r="F112" t="str">
            <v>00000316</v>
          </cell>
        </row>
        <row r="113">
          <cell r="E113" t="str">
            <v>LUC-186-001786</v>
          </cell>
          <cell r="F113" t="str">
            <v>00000316</v>
          </cell>
        </row>
        <row r="114">
          <cell r="E114" t="str">
            <v>LUC-LABEL-13x13</v>
          </cell>
          <cell r="F114" t="str">
            <v>00000316</v>
          </cell>
        </row>
        <row r="115">
          <cell r="E115" t="str">
            <v>LUC-LABEL-25X25</v>
          </cell>
          <cell r="F115" t="str">
            <v>00000316</v>
          </cell>
        </row>
        <row r="116">
          <cell r="E116" t="str">
            <v>LUC-LABEL-50X25</v>
          </cell>
          <cell r="F116" t="str">
            <v>00000316</v>
          </cell>
        </row>
        <row r="117">
          <cell r="E117" t="str">
            <v>PUR-18-0420-00</v>
          </cell>
          <cell r="F117" t="str">
            <v>00000316</v>
          </cell>
        </row>
        <row r="118">
          <cell r="E118" t="str">
            <v>PUR-18-0438-00</v>
          </cell>
          <cell r="F118" t="str">
            <v>00000316</v>
          </cell>
        </row>
        <row r="119">
          <cell r="E119" t="str">
            <v>PUR-33-0012-00</v>
          </cell>
          <cell r="F119" t="str">
            <v>00000316</v>
          </cell>
        </row>
        <row r="120">
          <cell r="E120" t="str">
            <v>PUR-33-0018-00</v>
          </cell>
          <cell r="F120" t="str">
            <v>00000316</v>
          </cell>
        </row>
        <row r="121">
          <cell r="E121" t="str">
            <v>PURET-18-0014-00</v>
          </cell>
          <cell r="F121" t="str">
            <v>00000316</v>
          </cell>
        </row>
        <row r="122">
          <cell r="E122" t="str">
            <v>PURET-18-0079-00</v>
          </cell>
          <cell r="F122" t="str">
            <v>00000316</v>
          </cell>
        </row>
        <row r="123">
          <cell r="E123" t="str">
            <v>PURET-18-0187-00</v>
          </cell>
          <cell r="F123" t="str">
            <v>00000316</v>
          </cell>
        </row>
        <row r="124">
          <cell r="E124" t="str">
            <v>PUR-09-0424-00</v>
          </cell>
          <cell r="F124">
            <v>433979444192</v>
          </cell>
        </row>
        <row r="125">
          <cell r="E125" t="str">
            <v>PUR-10-0334-00</v>
          </cell>
          <cell r="F125" t="str">
            <v>YFYJ-PUR 2503 GS 00000163</v>
          </cell>
        </row>
        <row r="126">
          <cell r="E126" t="str">
            <v>PUR-10-0334-00</v>
          </cell>
          <cell r="F126" t="str">
            <v>YFYJ-PUR 2503 GS 00000163</v>
          </cell>
        </row>
        <row r="127">
          <cell r="E127" t="str">
            <v>PUR-10-0334-00</v>
          </cell>
          <cell r="F127" t="str">
            <v>YFYJ-PUR 2503 GS 00000163</v>
          </cell>
        </row>
        <row r="128">
          <cell r="E128" t="str">
            <v>PUR-10-0312-00</v>
          </cell>
          <cell r="F128" t="str">
            <v>YFYJ-PUR 2503 TV 36</v>
          </cell>
        </row>
        <row r="129">
          <cell r="E129" t="str">
            <v>PUR-10-0312-00</v>
          </cell>
          <cell r="F129" t="str">
            <v>YFYJ-PUR 2503 TV 36</v>
          </cell>
        </row>
        <row r="130">
          <cell r="E130" t="str">
            <v>PUR-10-0313-00</v>
          </cell>
          <cell r="F130" t="str">
            <v>YFYJ-PUR 2503 TV 36</v>
          </cell>
        </row>
        <row r="131">
          <cell r="E131" t="str">
            <v>PUR-10-0342-00</v>
          </cell>
          <cell r="F131" t="str">
            <v>YFYJ-PUR 2503PF 158</v>
          </cell>
        </row>
        <row r="132">
          <cell r="E132" t="str">
            <v>PUR-10-0342-00</v>
          </cell>
          <cell r="F132" t="str">
            <v>YFYJ-PUR 2503PF 158</v>
          </cell>
        </row>
        <row r="133">
          <cell r="E133" t="str">
            <v>PUR-18-0640-00</v>
          </cell>
          <cell r="F133">
            <v>771026527610</v>
          </cell>
        </row>
        <row r="134">
          <cell r="E134" t="str">
            <v>161-000112.X.X</v>
          </cell>
          <cell r="F134" t="str">
            <v>00000168</v>
          </cell>
        </row>
        <row r="135">
          <cell r="E135" t="str">
            <v>186-000047.X.X</v>
          </cell>
          <cell r="F135" t="str">
            <v>00000168</v>
          </cell>
        </row>
        <row r="136">
          <cell r="E136" t="str">
            <v>186-000311.X.X</v>
          </cell>
          <cell r="F136" t="str">
            <v>00000168</v>
          </cell>
        </row>
        <row r="137">
          <cell r="E137" t="str">
            <v>186-000533.X.X</v>
          </cell>
          <cell r="F137" t="str">
            <v>00000168</v>
          </cell>
        </row>
        <row r="138">
          <cell r="E138" t="str">
            <v>LUC-LABEL-13x13</v>
          </cell>
          <cell r="F138" t="str">
            <v>00000168</v>
          </cell>
        </row>
        <row r="139">
          <cell r="E139" t="str">
            <v>LUC-LABEL-25X25</v>
          </cell>
          <cell r="F139" t="str">
            <v>00000168</v>
          </cell>
        </row>
        <row r="140">
          <cell r="E140" t="str">
            <v>LUC-LABEL-50x15</v>
          </cell>
          <cell r="F140" t="str">
            <v>00000168</v>
          </cell>
        </row>
        <row r="141">
          <cell r="E141" t="str">
            <v>LUC-LABEL-50X25</v>
          </cell>
          <cell r="F141" t="str">
            <v>00000168</v>
          </cell>
        </row>
        <row r="142">
          <cell r="E142" t="str">
            <v>LUC-LABEL-60X40-N</v>
          </cell>
          <cell r="F142" t="str">
            <v>00000168</v>
          </cell>
        </row>
        <row r="143">
          <cell r="E143" t="str">
            <v>LUC-LABEL-60X40-V</v>
          </cell>
          <cell r="F143" t="str">
            <v>00000168</v>
          </cell>
        </row>
        <row r="144">
          <cell r="E144" t="str">
            <v>PUR-33-0018-00</v>
          </cell>
          <cell r="F144" t="str">
            <v>00000168</v>
          </cell>
        </row>
        <row r="145">
          <cell r="E145" t="str">
            <v>PUR-33-0025-00</v>
          </cell>
          <cell r="F145" t="str">
            <v>00000168</v>
          </cell>
        </row>
        <row r="146">
          <cell r="E146" t="str">
            <v>PURET-18-0014-00</v>
          </cell>
          <cell r="F146" t="str">
            <v>00000168</v>
          </cell>
        </row>
        <row r="147">
          <cell r="E147" t="str">
            <v>PURET-18-0079-00</v>
          </cell>
          <cell r="F147" t="str">
            <v>00000168</v>
          </cell>
        </row>
        <row r="148">
          <cell r="E148" t="str">
            <v>LUC-E00-470109-00</v>
          </cell>
          <cell r="F148">
            <v>416338322645</v>
          </cell>
        </row>
        <row r="149">
          <cell r="E149" t="str">
            <v>LUC-161-001420</v>
          </cell>
          <cell r="F149" t="str">
            <v>00000240</v>
          </cell>
        </row>
        <row r="150">
          <cell r="E150" t="str">
            <v>LUC-161-001416</v>
          </cell>
          <cell r="F150" t="str">
            <v>00000240</v>
          </cell>
        </row>
        <row r="151">
          <cell r="E151" t="str">
            <v>LUC-161-001421</v>
          </cell>
          <cell r="F151" t="str">
            <v>00000240</v>
          </cell>
        </row>
        <row r="152">
          <cell r="E152" t="str">
            <v>LUC-161-001422</v>
          </cell>
          <cell r="F152" t="str">
            <v>00000240</v>
          </cell>
        </row>
        <row r="153">
          <cell r="E153" t="str">
            <v>LUC-161-001414</v>
          </cell>
          <cell r="F153" t="str">
            <v>00000240</v>
          </cell>
        </row>
        <row r="154">
          <cell r="E154" t="str">
            <v>AGI-532-50005-01</v>
          </cell>
          <cell r="F154">
            <v>771048983660</v>
          </cell>
        </row>
        <row r="155">
          <cell r="E155" t="str">
            <v>PUR-07-0210-00</v>
          </cell>
          <cell r="F155">
            <v>771053393181</v>
          </cell>
        </row>
        <row r="156">
          <cell r="E156" t="str">
            <v>LUC-E00-420045-00</v>
          </cell>
          <cell r="F156">
            <v>771049897199</v>
          </cell>
        </row>
        <row r="157">
          <cell r="E157" t="str">
            <v>LUC-E00-420045-00</v>
          </cell>
          <cell r="F157">
            <v>771049897199</v>
          </cell>
        </row>
        <row r="158">
          <cell r="E158" t="str">
            <v>LUC-EZZ-400178-00</v>
          </cell>
          <cell r="F158">
            <v>771049897199</v>
          </cell>
        </row>
        <row r="159">
          <cell r="E159" t="str">
            <v>LUC-EZZ-400783-00</v>
          </cell>
          <cell r="F159">
            <v>771049897199</v>
          </cell>
        </row>
        <row r="160">
          <cell r="E160" t="str">
            <v>LUC-EZZ-400297-00</v>
          </cell>
          <cell r="F160">
            <v>771049897199</v>
          </cell>
        </row>
        <row r="161">
          <cell r="E161" t="str">
            <v>LUC-E00-400075-00</v>
          </cell>
          <cell r="F161">
            <v>771049897199</v>
          </cell>
        </row>
        <row r="162">
          <cell r="E162" t="str">
            <v>PUR-09-0427-00</v>
          </cell>
          <cell r="F162">
            <v>771049897199</v>
          </cell>
        </row>
        <row r="163">
          <cell r="E163" t="str">
            <v>LUC-E00-420045-01</v>
          </cell>
          <cell r="F163">
            <v>771049897199</v>
          </cell>
        </row>
        <row r="164">
          <cell r="E164" t="str">
            <v>LUC-E00-470161-01</v>
          </cell>
          <cell r="F164">
            <v>771049897199</v>
          </cell>
        </row>
        <row r="165">
          <cell r="E165" t="str">
            <v>LUC-SS95437</v>
          </cell>
          <cell r="F165">
            <v>432504838457</v>
          </cell>
        </row>
        <row r="166">
          <cell r="E166" t="str">
            <v>EF-45051531.X.X</v>
          </cell>
          <cell r="F166">
            <v>432504838457</v>
          </cell>
        </row>
        <row r="167">
          <cell r="E167" t="str">
            <v>110-000101</v>
          </cell>
          <cell r="F167">
            <v>432504838457</v>
          </cell>
        </row>
        <row r="168">
          <cell r="E168" t="str">
            <v>LUC-E00-420045-02</v>
          </cell>
          <cell r="F168">
            <v>432504838457</v>
          </cell>
        </row>
        <row r="169">
          <cell r="E169" t="str">
            <v>LUC-E00-400026-00</v>
          </cell>
          <cell r="F169">
            <v>432504838457</v>
          </cell>
        </row>
        <row r="170">
          <cell r="E170" t="str">
            <v>195-001075</v>
          </cell>
          <cell r="F170">
            <v>771020488312</v>
          </cell>
        </row>
        <row r="171">
          <cell r="E171" t="str">
            <v>LUC-E00-470090-00</v>
          </cell>
          <cell r="F171">
            <v>643036748910</v>
          </cell>
        </row>
        <row r="172">
          <cell r="E172" t="str">
            <v>LUC-E00-470090-00</v>
          </cell>
          <cell r="F172">
            <v>643036748910</v>
          </cell>
        </row>
        <row r="173">
          <cell r="E173" t="str">
            <v>LUC-E00-420002-00</v>
          </cell>
          <cell r="F173">
            <v>434611749345</v>
          </cell>
        </row>
        <row r="174">
          <cell r="E174" t="str">
            <v>LUC-E00-420002-00</v>
          </cell>
          <cell r="F174">
            <v>434611749345</v>
          </cell>
        </row>
        <row r="175">
          <cell r="E175" t="str">
            <v>LUC-E00-420072-01</v>
          </cell>
          <cell r="F175">
            <v>434611749345</v>
          </cell>
        </row>
        <row r="176">
          <cell r="E176" t="str">
            <v>LUC-E00-420002-00</v>
          </cell>
          <cell r="F176">
            <v>434611749345</v>
          </cell>
        </row>
        <row r="177">
          <cell r="E177" t="str">
            <v>LUC-E00-420275-00</v>
          </cell>
          <cell r="F177">
            <v>434611749345</v>
          </cell>
        </row>
        <row r="178">
          <cell r="E178" t="str">
            <v>LUC-E00-420002-00</v>
          </cell>
          <cell r="F178">
            <v>434611749345</v>
          </cell>
        </row>
        <row r="179">
          <cell r="E179" t="str">
            <v>LUC-E00-510045-00</v>
          </cell>
          <cell r="F179">
            <v>283678937111</v>
          </cell>
        </row>
        <row r="180">
          <cell r="E180" t="str">
            <v>LUC-E00-470032-00</v>
          </cell>
          <cell r="F180">
            <v>4606890934</v>
          </cell>
        </row>
        <row r="181">
          <cell r="E181" t="str">
            <v>LUC-E00-690030-03</v>
          </cell>
          <cell r="F181">
            <v>433979475022</v>
          </cell>
        </row>
        <row r="182">
          <cell r="E182" t="str">
            <v>141-001538</v>
          </cell>
          <cell r="F182">
            <v>771094786673</v>
          </cell>
        </row>
        <row r="183">
          <cell r="E183" t="str">
            <v>141-001538</v>
          </cell>
          <cell r="F183">
            <v>771094786673</v>
          </cell>
        </row>
        <row r="184">
          <cell r="E184" t="str">
            <v>141-001629</v>
          </cell>
          <cell r="F184">
            <v>771094786673</v>
          </cell>
        </row>
        <row r="185">
          <cell r="E185" t="str">
            <v>141-001629</v>
          </cell>
          <cell r="F185">
            <v>771094786673</v>
          </cell>
        </row>
        <row r="186">
          <cell r="E186" t="str">
            <v>LUC-E00-690030-03</v>
          </cell>
          <cell r="F186">
            <v>433587424588</v>
          </cell>
        </row>
        <row r="187">
          <cell r="E187" t="str">
            <v>EF-45127606</v>
          </cell>
          <cell r="F187">
            <v>433587424588</v>
          </cell>
        </row>
        <row r="188">
          <cell r="E188" t="str">
            <v>LUC-E00-400010-003</v>
          </cell>
          <cell r="F188">
            <v>433587424588</v>
          </cell>
        </row>
        <row r="189">
          <cell r="E189" t="str">
            <v>141-002768</v>
          </cell>
          <cell r="F189">
            <v>771122504270</v>
          </cell>
        </row>
        <row r="190">
          <cell r="E190" t="str">
            <v>141-002762</v>
          </cell>
          <cell r="F190">
            <v>771122504270</v>
          </cell>
        </row>
        <row r="191">
          <cell r="E191" t="str">
            <v>LUC-P00-F260CG-00</v>
          </cell>
          <cell r="F191">
            <v>771119718508</v>
          </cell>
        </row>
        <row r="192">
          <cell r="E192" t="str">
            <v>LUC-P00-F85MDY-00</v>
          </cell>
          <cell r="F192">
            <v>771119718508</v>
          </cell>
        </row>
        <row r="193">
          <cell r="E193" t="str">
            <v>LUC-BNA-201-329</v>
          </cell>
          <cell r="F193">
            <v>771119718508</v>
          </cell>
        </row>
        <row r="194">
          <cell r="E194" t="str">
            <v>102-001558</v>
          </cell>
          <cell r="F194">
            <v>434613681576</v>
          </cell>
        </row>
        <row r="195">
          <cell r="E195" t="str">
            <v>102-001558</v>
          </cell>
          <cell r="F195">
            <v>434613681576</v>
          </cell>
        </row>
        <row r="196">
          <cell r="E196" t="str">
            <v>LUC-EZZ-400011-00</v>
          </cell>
          <cell r="F196">
            <v>771094772563</v>
          </cell>
        </row>
        <row r="197">
          <cell r="E197" t="str">
            <v>LUC-E00-400011-005</v>
          </cell>
          <cell r="F197">
            <v>771094772563</v>
          </cell>
        </row>
        <row r="198">
          <cell r="E198" t="str">
            <v>LUC-EZZ-511370-00</v>
          </cell>
          <cell r="F198">
            <v>771094772563</v>
          </cell>
        </row>
        <row r="199">
          <cell r="E199" t="str">
            <v>AGI-450-50015-01</v>
          </cell>
          <cell r="F199">
            <v>771094772563</v>
          </cell>
        </row>
        <row r="200">
          <cell r="E200" t="str">
            <v>AGI-532-50002-01</v>
          </cell>
          <cell r="F200">
            <v>771094772563</v>
          </cell>
        </row>
        <row r="201">
          <cell r="E201" t="str">
            <v>EF-45076928.X.X</v>
          </cell>
          <cell r="F201">
            <v>771094772563</v>
          </cell>
        </row>
        <row r="202">
          <cell r="E202" t="str">
            <v>LUC-EZZ-440200-00</v>
          </cell>
          <cell r="F202">
            <v>771094772563</v>
          </cell>
        </row>
        <row r="203">
          <cell r="E203" t="str">
            <v>LUC-P11-KA4000-00</v>
          </cell>
          <cell r="F203">
            <v>771117563248</v>
          </cell>
        </row>
        <row r="204">
          <cell r="E204" t="str">
            <v>121-000520.X.X</v>
          </cell>
          <cell r="F204">
            <v>423264318400</v>
          </cell>
        </row>
        <row r="205">
          <cell r="E205" t="str">
            <v>121-000357.X.X</v>
          </cell>
          <cell r="F205">
            <v>423264318400</v>
          </cell>
        </row>
        <row r="206">
          <cell r="E206" t="str">
            <v>LUC-E00-420184-00</v>
          </cell>
          <cell r="F206">
            <v>423264318400</v>
          </cell>
        </row>
        <row r="207">
          <cell r="E207" t="str">
            <v>LUC-E00-420184-00</v>
          </cell>
          <cell r="F207">
            <v>423264318400</v>
          </cell>
        </row>
        <row r="208">
          <cell r="E208" t="str">
            <v>PUR-13-0158-00</v>
          </cell>
          <cell r="F208">
            <v>423264318400</v>
          </cell>
        </row>
        <row r="209">
          <cell r="E209" t="str">
            <v>EF-45043819.X.X</v>
          </cell>
          <cell r="F209">
            <v>423264318400</v>
          </cell>
        </row>
        <row r="210">
          <cell r="E210" t="str">
            <v>121-000585.X.X</v>
          </cell>
          <cell r="F210">
            <v>423264318400</v>
          </cell>
        </row>
        <row r="211">
          <cell r="E211" t="str">
            <v>PUR-12-0314-00</v>
          </cell>
          <cell r="F211">
            <v>423264318400</v>
          </cell>
        </row>
        <row r="212">
          <cell r="E212" t="str">
            <v>PUR-13-0153-00</v>
          </cell>
          <cell r="F212">
            <v>423264318400</v>
          </cell>
        </row>
        <row r="213">
          <cell r="E213" t="str">
            <v>PUR-13-0150-00</v>
          </cell>
          <cell r="F213">
            <v>423264318400</v>
          </cell>
        </row>
        <row r="214">
          <cell r="E214" t="str">
            <v>PURET-13-0009-00</v>
          </cell>
          <cell r="F214">
            <v>423264318400</v>
          </cell>
        </row>
        <row r="215">
          <cell r="E215" t="str">
            <v>121-000519.X.X</v>
          </cell>
          <cell r="F215">
            <v>423264318400</v>
          </cell>
        </row>
        <row r="216">
          <cell r="E216" t="str">
            <v>PUR-12-0284-00</v>
          </cell>
          <cell r="F216">
            <v>423264318400</v>
          </cell>
        </row>
        <row r="217">
          <cell r="E217" t="str">
            <v>PURET-12-0127-00</v>
          </cell>
          <cell r="F217">
            <v>423264318400</v>
          </cell>
        </row>
        <row r="218">
          <cell r="E218" t="str">
            <v>PUR-12-0304-00</v>
          </cell>
          <cell r="F218">
            <v>423264318400</v>
          </cell>
        </row>
        <row r="219">
          <cell r="E219" t="str">
            <v>EF-45043496.X.X</v>
          </cell>
          <cell r="F219">
            <v>423264318400</v>
          </cell>
        </row>
        <row r="220">
          <cell r="E220" t="str">
            <v>PUR-12-0307-00</v>
          </cell>
          <cell r="F220">
            <v>423264318400</v>
          </cell>
        </row>
        <row r="221">
          <cell r="E221" t="str">
            <v>PUR-12-0434-00</v>
          </cell>
          <cell r="F221">
            <v>423264318400</v>
          </cell>
        </row>
        <row r="222">
          <cell r="E222" t="str">
            <v>PUR-12-0470-00</v>
          </cell>
          <cell r="F222">
            <v>423264318400</v>
          </cell>
        </row>
        <row r="223">
          <cell r="E223" t="str">
            <v>121-000520.X.X</v>
          </cell>
          <cell r="F223">
            <v>423264318400</v>
          </cell>
        </row>
        <row r="224">
          <cell r="E224" t="str">
            <v>121-000359.X.X</v>
          </cell>
          <cell r="F224">
            <v>423264318400</v>
          </cell>
        </row>
        <row r="225">
          <cell r="E225" t="str">
            <v>121-000198.X.X</v>
          </cell>
          <cell r="F225">
            <v>423264318400</v>
          </cell>
        </row>
        <row r="226">
          <cell r="E226" t="str">
            <v>LUC-E00-420024-00</v>
          </cell>
          <cell r="F226">
            <v>423264318400</v>
          </cell>
        </row>
        <row r="227">
          <cell r="E227" t="str">
            <v>122-000673.X.X</v>
          </cell>
          <cell r="F227">
            <v>423264318400</v>
          </cell>
        </row>
        <row r="228">
          <cell r="E228" t="str">
            <v>122-000453.X.X</v>
          </cell>
          <cell r="F228">
            <v>423264318400</v>
          </cell>
        </row>
        <row r="229">
          <cell r="E229" t="str">
            <v>122-000821.X.X</v>
          </cell>
          <cell r="F229">
            <v>423264318400</v>
          </cell>
        </row>
        <row r="230">
          <cell r="E230" t="str">
            <v>PUR-13-0156-00</v>
          </cell>
          <cell r="F230">
            <v>423264318400</v>
          </cell>
        </row>
        <row r="231">
          <cell r="E231" t="str">
            <v>PURET-13-0040-00</v>
          </cell>
          <cell r="F231">
            <v>423264318400</v>
          </cell>
        </row>
        <row r="232">
          <cell r="E232" t="str">
            <v>LUC-E00-420025-03</v>
          </cell>
          <cell r="F232">
            <v>423264318400</v>
          </cell>
        </row>
        <row r="233">
          <cell r="E233" t="str">
            <v>LUC-E00-420025-03</v>
          </cell>
          <cell r="F233">
            <v>423264318400</v>
          </cell>
        </row>
        <row r="234">
          <cell r="E234" t="str">
            <v>PUR-12-0317-00</v>
          </cell>
          <cell r="F234">
            <v>423264318400</v>
          </cell>
        </row>
        <row r="235">
          <cell r="E235" t="str">
            <v>PUR-12-0470-00</v>
          </cell>
          <cell r="F235">
            <v>423264318400</v>
          </cell>
        </row>
        <row r="236">
          <cell r="E236" t="str">
            <v>122-000756.X.X</v>
          </cell>
          <cell r="F236">
            <v>423264318400</v>
          </cell>
        </row>
        <row r="237">
          <cell r="E237" t="str">
            <v>AIC-MP-00002604-000</v>
          </cell>
          <cell r="F237">
            <v>423264318400</v>
          </cell>
        </row>
        <row r="238">
          <cell r="E238" t="str">
            <v>AIC-MP-00005563-000</v>
          </cell>
          <cell r="F238">
            <v>423264318400</v>
          </cell>
        </row>
        <row r="239">
          <cell r="E239" t="str">
            <v>AIC-MP-00002317-000</v>
          </cell>
          <cell r="F239">
            <v>423264318400</v>
          </cell>
        </row>
        <row r="240">
          <cell r="E240" t="str">
            <v>AIC-MP-00001790-000</v>
          </cell>
          <cell r="F240">
            <v>423264318400</v>
          </cell>
        </row>
        <row r="241">
          <cell r="E241" t="str">
            <v>LUC-E00-400069-00</v>
          </cell>
          <cell r="F241">
            <v>771119870788</v>
          </cell>
        </row>
        <row r="242">
          <cell r="E242" t="str">
            <v>LUC-EA-2900</v>
          </cell>
          <cell r="F242">
            <v>771119870788</v>
          </cell>
        </row>
        <row r="243">
          <cell r="E243" t="str">
            <v>PUR-13-0195-00</v>
          </cell>
          <cell r="F243">
            <v>4914788971</v>
          </cell>
        </row>
        <row r="244">
          <cell r="E244" t="str">
            <v>PUR-13-0236-00</v>
          </cell>
          <cell r="F244">
            <v>4914788971</v>
          </cell>
        </row>
        <row r="245">
          <cell r="E245" t="str">
            <v>PUR-03-0038-00</v>
          </cell>
          <cell r="F245">
            <v>434613662386</v>
          </cell>
        </row>
        <row r="246">
          <cell r="E246" t="str">
            <v>PUR-03-0038-00</v>
          </cell>
          <cell r="F246">
            <v>434613662386</v>
          </cell>
        </row>
        <row r="247">
          <cell r="E247" t="str">
            <v>PUR-03-0038-00</v>
          </cell>
          <cell r="F247">
            <v>434613662386</v>
          </cell>
        </row>
        <row r="248">
          <cell r="E248" t="str">
            <v>PUR-03-0038-00</v>
          </cell>
          <cell r="F248">
            <v>434613662386</v>
          </cell>
        </row>
        <row r="249">
          <cell r="E249" t="str">
            <v>102-001558</v>
          </cell>
          <cell r="F249">
            <v>434613681510</v>
          </cell>
        </row>
        <row r="250">
          <cell r="E250" t="str">
            <v>102-001558</v>
          </cell>
          <cell r="F250">
            <v>434613681510</v>
          </cell>
        </row>
        <row r="251">
          <cell r="E251" t="str">
            <v>PUR-03-0091-02</v>
          </cell>
          <cell r="F251">
            <v>434613700288</v>
          </cell>
        </row>
        <row r="252">
          <cell r="E252" t="str">
            <v>PURET-21-0009-00</v>
          </cell>
          <cell r="F252">
            <v>433979486730</v>
          </cell>
        </row>
        <row r="253">
          <cell r="E253" t="str">
            <v>LUC-E00-470062-00</v>
          </cell>
          <cell r="F253">
            <v>434685415226</v>
          </cell>
        </row>
        <row r="254">
          <cell r="E254" t="str">
            <v>LUC-E00-420037-02</v>
          </cell>
          <cell r="F254">
            <v>434685415226</v>
          </cell>
        </row>
        <row r="255">
          <cell r="E255" t="str">
            <v>AIC-MP-00005772-000</v>
          </cell>
          <cell r="F255">
            <v>434685415226</v>
          </cell>
        </row>
        <row r="256">
          <cell r="E256" t="str">
            <v>LUC-E00-400011-004</v>
          </cell>
          <cell r="F256">
            <v>434685415226</v>
          </cell>
        </row>
        <row r="257">
          <cell r="E257" t="str">
            <v>LUC-E00-420015-00</v>
          </cell>
          <cell r="F257">
            <v>9231094412</v>
          </cell>
        </row>
        <row r="258">
          <cell r="E258" t="str">
            <v>LUC-E00-400059-054</v>
          </cell>
          <cell r="F258">
            <v>9231094412</v>
          </cell>
        </row>
        <row r="259">
          <cell r="E259" t="str">
            <v>AIC-MP-00007005-000</v>
          </cell>
          <cell r="F259">
            <v>771172438991</v>
          </cell>
        </row>
        <row r="260">
          <cell r="E260" t="str">
            <v>PUR-18-0501-00</v>
          </cell>
          <cell r="F260">
            <v>771173057319</v>
          </cell>
        </row>
        <row r="261">
          <cell r="E261" t="str">
            <v>PUR-18-0480-00</v>
          </cell>
          <cell r="F261">
            <v>771173057319</v>
          </cell>
        </row>
        <row r="262">
          <cell r="E262" t="str">
            <v>PUR-18-0518-00</v>
          </cell>
          <cell r="F262">
            <v>771173057319</v>
          </cell>
        </row>
        <row r="263">
          <cell r="E263" t="str">
            <v>PUR-18-0640-00</v>
          </cell>
          <cell r="F263">
            <v>771173057319</v>
          </cell>
        </row>
        <row r="264">
          <cell r="E264" t="str">
            <v>PUR-18-0446-00</v>
          </cell>
          <cell r="F264">
            <v>771173057319</v>
          </cell>
        </row>
        <row r="265">
          <cell r="E265" t="str">
            <v>PUR-31-0101-02</v>
          </cell>
          <cell r="F265" t="str">
            <v>PSHPH24C0120</v>
          </cell>
        </row>
        <row r="266">
          <cell r="E266" t="str">
            <v>PUR-31-0061-02</v>
          </cell>
          <cell r="F266" t="str">
            <v>PSHPH24C0120</v>
          </cell>
        </row>
        <row r="267">
          <cell r="E267" t="str">
            <v>PUR-31-0061-02</v>
          </cell>
          <cell r="F267" t="str">
            <v>PSHPH24C0120</v>
          </cell>
        </row>
        <row r="268">
          <cell r="E268" t="str">
            <v>PUR-31-0066-02</v>
          </cell>
          <cell r="F268" t="str">
            <v>PSHPH24C0120</v>
          </cell>
        </row>
        <row r="269">
          <cell r="E269" t="str">
            <v>PUR-31-0066-02</v>
          </cell>
          <cell r="F269" t="str">
            <v>PSHPH24C0120</v>
          </cell>
        </row>
        <row r="270">
          <cell r="E270" t="str">
            <v>PUR-11-0104-05</v>
          </cell>
          <cell r="F270" t="str">
            <v>PSHPH24C0131</v>
          </cell>
        </row>
        <row r="271">
          <cell r="E271" t="str">
            <v>PUR-11-0104-05</v>
          </cell>
          <cell r="F271" t="str">
            <v>PSHPH24C0131</v>
          </cell>
        </row>
        <row r="272">
          <cell r="E272" t="str">
            <v>PUR-11-0104-05</v>
          </cell>
          <cell r="F272" t="str">
            <v>PSHPH24C0131</v>
          </cell>
        </row>
        <row r="273">
          <cell r="E273" t="str">
            <v>PUR-14-0077-00</v>
          </cell>
          <cell r="F273">
            <v>7425596625</v>
          </cell>
        </row>
        <row r="274">
          <cell r="E274" t="str">
            <v>PURET-12-0037-00</v>
          </cell>
          <cell r="F274">
            <v>7425596625</v>
          </cell>
        </row>
        <row r="275">
          <cell r="E275" t="str">
            <v>PURET-12-0084-00</v>
          </cell>
          <cell r="F275">
            <v>7425596625</v>
          </cell>
        </row>
        <row r="276">
          <cell r="E276" t="str">
            <v>PUR-13-0157-00</v>
          </cell>
          <cell r="F276">
            <v>7425596625</v>
          </cell>
        </row>
        <row r="277">
          <cell r="E277" t="str">
            <v>PUR-27-0020-00</v>
          </cell>
          <cell r="F277">
            <v>7425596625</v>
          </cell>
        </row>
        <row r="278">
          <cell r="E278" t="str">
            <v>PUR-12-0288-00</v>
          </cell>
          <cell r="F278">
            <v>7425596625</v>
          </cell>
        </row>
        <row r="279">
          <cell r="E279" t="str">
            <v>PUR-14-0076-00</v>
          </cell>
          <cell r="F279">
            <v>7425596625</v>
          </cell>
        </row>
        <row r="280">
          <cell r="E280" t="str">
            <v>122-000293.X.X</v>
          </cell>
          <cell r="F280">
            <v>7425596625</v>
          </cell>
        </row>
        <row r="281">
          <cell r="E281" t="str">
            <v>EF-45116564.X.X</v>
          </cell>
          <cell r="F281">
            <v>704528217789</v>
          </cell>
        </row>
        <row r="282">
          <cell r="E282" t="str">
            <v>PUR-09-0213-00</v>
          </cell>
          <cell r="F282">
            <v>430249598698</v>
          </cell>
        </row>
        <row r="283">
          <cell r="E283" t="str">
            <v>PUR-09-0213-00</v>
          </cell>
          <cell r="F283">
            <v>430249598698</v>
          </cell>
        </row>
        <row r="284">
          <cell r="E284" t="str">
            <v>PUR-09-0213-00</v>
          </cell>
          <cell r="F284">
            <v>430249598698</v>
          </cell>
        </row>
        <row r="285">
          <cell r="E285" t="str">
            <v>PUR-09-0213-00</v>
          </cell>
          <cell r="F285">
            <v>430249598698</v>
          </cell>
        </row>
        <row r="286">
          <cell r="E286" t="str">
            <v>PUR-09-0427-00</v>
          </cell>
          <cell r="F286">
            <v>430249598698</v>
          </cell>
        </row>
        <row r="287">
          <cell r="E287" t="str">
            <v>PUR-09-0434-00</v>
          </cell>
          <cell r="F287">
            <v>433979481017</v>
          </cell>
        </row>
        <row r="288">
          <cell r="E288" t="str">
            <v>PUR-09-0424-00</v>
          </cell>
          <cell r="F288">
            <v>433979481017</v>
          </cell>
        </row>
        <row r="289">
          <cell r="E289" t="str">
            <v>PUR-09-0424-00</v>
          </cell>
          <cell r="F289">
            <v>433979481017</v>
          </cell>
        </row>
        <row r="290">
          <cell r="E290" t="str">
            <v>PUR-09-0424-00</v>
          </cell>
          <cell r="F290">
            <v>433979481017</v>
          </cell>
        </row>
        <row r="291">
          <cell r="E291" t="str">
            <v>PUR-09-0434-00</v>
          </cell>
          <cell r="F291">
            <v>433979481017</v>
          </cell>
        </row>
        <row r="292">
          <cell r="E292" t="str">
            <v>PUR-09-0422-00</v>
          </cell>
          <cell r="F292">
            <v>433979481017</v>
          </cell>
        </row>
        <row r="293">
          <cell r="E293" t="str">
            <v>EF-45127606</v>
          </cell>
          <cell r="F293">
            <v>433979481017</v>
          </cell>
        </row>
        <row r="294">
          <cell r="E294" t="str">
            <v>PUR-09-0424-00</v>
          </cell>
          <cell r="F294">
            <v>433979481017</v>
          </cell>
        </row>
        <row r="295">
          <cell r="E295" t="str">
            <v>PUR-09-0424-00</v>
          </cell>
          <cell r="F295">
            <v>433979481017</v>
          </cell>
        </row>
        <row r="296">
          <cell r="E296" t="str">
            <v>PUR-09-0424-00</v>
          </cell>
          <cell r="F296">
            <v>433979481017</v>
          </cell>
        </row>
        <row r="297">
          <cell r="E297" t="str">
            <v>PUR-09-0256-00</v>
          </cell>
          <cell r="F297">
            <v>433979481017</v>
          </cell>
        </row>
        <row r="298">
          <cell r="E298" t="str">
            <v>PUR-09-0422-00</v>
          </cell>
          <cell r="F298">
            <v>433979481017</v>
          </cell>
        </row>
        <row r="299">
          <cell r="E299" t="str">
            <v>PUR-09-0263-00</v>
          </cell>
          <cell r="F299">
            <v>433979481017</v>
          </cell>
        </row>
        <row r="300">
          <cell r="E300" t="str">
            <v>PUR-27-0017-00</v>
          </cell>
          <cell r="F300">
            <v>433979481017</v>
          </cell>
        </row>
        <row r="301">
          <cell r="E301" t="str">
            <v>PUR-09-0422-00</v>
          </cell>
          <cell r="F301">
            <v>433979481017</v>
          </cell>
        </row>
        <row r="302">
          <cell r="E302" t="str">
            <v>LUC-E00-450009-00</v>
          </cell>
          <cell r="F302">
            <v>771147352822</v>
          </cell>
        </row>
        <row r="303">
          <cell r="E303" t="str">
            <v>AIC-MP-00007042-000</v>
          </cell>
          <cell r="F303">
            <v>771177473540</v>
          </cell>
        </row>
        <row r="304">
          <cell r="E304" t="str">
            <v>LUC-EZZ-420175-00</v>
          </cell>
          <cell r="F304">
            <v>409298769494</v>
          </cell>
        </row>
        <row r="305">
          <cell r="E305" t="str">
            <v>LUC-E00-420002-03</v>
          </cell>
          <cell r="F305">
            <v>409298769494</v>
          </cell>
        </row>
        <row r="306">
          <cell r="E306" t="str">
            <v>LUC-E00-420033-00</v>
          </cell>
          <cell r="F306">
            <v>409298769494</v>
          </cell>
        </row>
        <row r="307">
          <cell r="E307" t="str">
            <v>LUC-E00-420072-01</v>
          </cell>
          <cell r="F307">
            <v>434611749930</v>
          </cell>
        </row>
        <row r="308">
          <cell r="E308" t="str">
            <v>PUR-13-0196-00</v>
          </cell>
          <cell r="F308">
            <v>434611749930</v>
          </cell>
        </row>
        <row r="309">
          <cell r="E309" t="str">
            <v>PUR-14-0069-00</v>
          </cell>
          <cell r="F309">
            <v>434611749930</v>
          </cell>
        </row>
        <row r="310">
          <cell r="E310" t="str">
            <v>PUR-13-0196-00</v>
          </cell>
          <cell r="F310">
            <v>434611749930</v>
          </cell>
        </row>
        <row r="311">
          <cell r="E311" t="str">
            <v>PUR-13-0196-00</v>
          </cell>
          <cell r="F311">
            <v>434611749930</v>
          </cell>
        </row>
        <row r="312">
          <cell r="E312" t="str">
            <v>PUR-13-0134-00</v>
          </cell>
          <cell r="F312">
            <v>434611749930</v>
          </cell>
        </row>
        <row r="313">
          <cell r="E313" t="str">
            <v>PURET-09-0050-00</v>
          </cell>
          <cell r="F313">
            <v>771173559337</v>
          </cell>
        </row>
        <row r="314">
          <cell r="E314" t="str">
            <v>AIC-MP-00003282-000</v>
          </cell>
          <cell r="F314">
            <v>771111195781</v>
          </cell>
        </row>
        <row r="315">
          <cell r="E315" t="str">
            <v>LUC-EZZ-400289-00</v>
          </cell>
          <cell r="F315">
            <v>429083205563</v>
          </cell>
        </row>
        <row r="316">
          <cell r="E316" t="str">
            <v>LUC-E00-420046-00</v>
          </cell>
          <cell r="F316">
            <v>429083205563</v>
          </cell>
        </row>
        <row r="317">
          <cell r="E317" t="str">
            <v>LUC-E00-460005-00</v>
          </cell>
          <cell r="F317">
            <v>429083205563</v>
          </cell>
        </row>
        <row r="318">
          <cell r="E318" t="str">
            <v>LUC-E00-420074-00</v>
          </cell>
          <cell r="F318">
            <v>429083205563</v>
          </cell>
        </row>
        <row r="319">
          <cell r="E319" t="str">
            <v>LUC-E00-470252-00</v>
          </cell>
          <cell r="F319">
            <v>429083205563</v>
          </cell>
        </row>
        <row r="320">
          <cell r="E320" t="str">
            <v>PUR-12-0411-00</v>
          </cell>
          <cell r="F320">
            <v>429083205563</v>
          </cell>
        </row>
        <row r="321">
          <cell r="E321" t="str">
            <v>LUC-EZZ-420482-00</v>
          </cell>
          <cell r="F321">
            <v>429083205563</v>
          </cell>
        </row>
        <row r="322">
          <cell r="E322" t="str">
            <v>LUC-E00-470331-00</v>
          </cell>
          <cell r="F322">
            <v>429083205563</v>
          </cell>
        </row>
        <row r="323">
          <cell r="E323" t="str">
            <v>LUC-E00-420074-00</v>
          </cell>
          <cell r="F323">
            <v>429083205563</v>
          </cell>
        </row>
        <row r="324">
          <cell r="E324" t="str">
            <v>LUC-E00-470252-00</v>
          </cell>
          <cell r="F324">
            <v>429083205563</v>
          </cell>
        </row>
        <row r="325">
          <cell r="E325" t="str">
            <v>LUC-E00-440147-00</v>
          </cell>
          <cell r="F325">
            <v>429083205563</v>
          </cell>
        </row>
        <row r="326">
          <cell r="E326" t="str">
            <v>LUC-E00-470252-00</v>
          </cell>
          <cell r="F326">
            <v>429083205563</v>
          </cell>
        </row>
        <row r="327">
          <cell r="E327" t="str">
            <v>AIC-MP-00005554-000</v>
          </cell>
          <cell r="F327">
            <v>429083205563</v>
          </cell>
        </row>
        <row r="328">
          <cell r="E328" t="str">
            <v>PUR-09-0417-00</v>
          </cell>
          <cell r="F328">
            <v>429083205563</v>
          </cell>
        </row>
        <row r="329">
          <cell r="E329" t="str">
            <v>AGI-450-50024-01</v>
          </cell>
          <cell r="F329">
            <v>429083205563</v>
          </cell>
        </row>
        <row r="330">
          <cell r="E330" t="str">
            <v>LUC-E00-510018-00</v>
          </cell>
          <cell r="F330">
            <v>429083205563</v>
          </cell>
        </row>
        <row r="331">
          <cell r="E331" t="str">
            <v>PUR-13-0235-00</v>
          </cell>
          <cell r="F331">
            <v>429083205563</v>
          </cell>
        </row>
        <row r="332">
          <cell r="E332" t="str">
            <v>LUC-E00-690215-00</v>
          </cell>
          <cell r="F332">
            <v>912489505054</v>
          </cell>
        </row>
        <row r="333">
          <cell r="E333" t="str">
            <v>LUC-E00-690215-00</v>
          </cell>
          <cell r="F333">
            <v>912489505054</v>
          </cell>
        </row>
        <row r="334">
          <cell r="E334" t="str">
            <v>LUC-E00-690215-00</v>
          </cell>
          <cell r="F334">
            <v>912489505054</v>
          </cell>
        </row>
        <row r="335">
          <cell r="E335" t="str">
            <v>LUC-E00-690215-00</v>
          </cell>
          <cell r="F335">
            <v>912489505054</v>
          </cell>
        </row>
        <row r="336">
          <cell r="E336" t="str">
            <v>LUC-E00-690215-00</v>
          </cell>
          <cell r="F336">
            <v>912489505054</v>
          </cell>
        </row>
        <row r="337">
          <cell r="E337" t="str">
            <v>LUC-E00-690215-00</v>
          </cell>
          <cell r="F337">
            <v>912489505054</v>
          </cell>
        </row>
        <row r="338">
          <cell r="E338" t="str">
            <v>LUC-E00-690215-00</v>
          </cell>
          <cell r="F338">
            <v>912489505054</v>
          </cell>
        </row>
        <row r="339">
          <cell r="E339" t="str">
            <v>LUC-E00-690215-00</v>
          </cell>
          <cell r="F339">
            <v>912489505054</v>
          </cell>
        </row>
        <row r="340">
          <cell r="E340" t="str">
            <v>LUC-E00-690215-00</v>
          </cell>
          <cell r="F340">
            <v>912489505054</v>
          </cell>
        </row>
        <row r="341">
          <cell r="E341" t="str">
            <v>LUC-E00-690215-00</v>
          </cell>
          <cell r="F341">
            <v>912489505054</v>
          </cell>
        </row>
        <row r="342">
          <cell r="E342" t="str">
            <v>LUC-E00-690215-00</v>
          </cell>
          <cell r="F342">
            <v>912489505054</v>
          </cell>
        </row>
        <row r="343">
          <cell r="E343" t="str">
            <v>LUC-E00-690215-00</v>
          </cell>
          <cell r="F343">
            <v>912489505054</v>
          </cell>
        </row>
        <row r="344">
          <cell r="E344" t="str">
            <v>LUC-E00-690215-00</v>
          </cell>
          <cell r="F344">
            <v>912489505054</v>
          </cell>
        </row>
        <row r="345">
          <cell r="E345" t="str">
            <v>LUC-E00-690215-00</v>
          </cell>
          <cell r="F345">
            <v>912489505054</v>
          </cell>
        </row>
        <row r="346">
          <cell r="E346" t="str">
            <v>LUC-E00-690215-00</v>
          </cell>
          <cell r="F346">
            <v>912489505054</v>
          </cell>
        </row>
        <row r="347">
          <cell r="E347" t="str">
            <v>EF-45188480</v>
          </cell>
          <cell r="F347">
            <v>426080008124</v>
          </cell>
        </row>
        <row r="348">
          <cell r="E348" t="str">
            <v>EF-45166202</v>
          </cell>
          <cell r="F348">
            <v>426080008124</v>
          </cell>
        </row>
        <row r="349">
          <cell r="E349" t="str">
            <v>LUC-E00-400010-002</v>
          </cell>
          <cell r="F349">
            <v>426080008124</v>
          </cell>
        </row>
        <row r="350">
          <cell r="E350" t="str">
            <v>LUC-EZZ-691595-00</v>
          </cell>
          <cell r="F350">
            <v>435918467460</v>
          </cell>
        </row>
        <row r="351">
          <cell r="E351" t="str">
            <v>AIC-MP-00006744-000</v>
          </cell>
          <cell r="F351">
            <v>435918467460</v>
          </cell>
        </row>
        <row r="352">
          <cell r="E352" t="str">
            <v>EF-45126672</v>
          </cell>
          <cell r="F352">
            <v>435918467460</v>
          </cell>
        </row>
        <row r="353">
          <cell r="E353" t="str">
            <v>EF-45115697</v>
          </cell>
          <cell r="F353">
            <v>435918467460</v>
          </cell>
        </row>
        <row r="354">
          <cell r="E354" t="str">
            <v>PUR-16-0035-00</v>
          </cell>
          <cell r="F354" t="str">
            <v>LSZHPH2414219</v>
          </cell>
        </row>
        <row r="355">
          <cell r="E355" t="str">
            <v>PUR-16-0035-00</v>
          </cell>
          <cell r="F355" t="str">
            <v>LSZHPH2414219</v>
          </cell>
        </row>
        <row r="356">
          <cell r="E356" t="str">
            <v>PUR-16-0035-00</v>
          </cell>
          <cell r="F356" t="str">
            <v>LSZHPH2414219</v>
          </cell>
        </row>
        <row r="357">
          <cell r="E357" t="str">
            <v>PUR-11-0127-04</v>
          </cell>
          <cell r="F357" t="str">
            <v>LPIAHPH250020</v>
          </cell>
        </row>
        <row r="358">
          <cell r="E358" t="str">
            <v>PUR-11-0127-04</v>
          </cell>
          <cell r="F358" t="str">
            <v>LPIAHPH250020</v>
          </cell>
        </row>
        <row r="359">
          <cell r="E359" t="str">
            <v>PUR-11-0127-04</v>
          </cell>
          <cell r="F359" t="str">
            <v>LPIAHPH250020</v>
          </cell>
        </row>
        <row r="360">
          <cell r="E360" t="str">
            <v>PUR-11-0127-04</v>
          </cell>
          <cell r="F360" t="str">
            <v>LPIAHPH250020</v>
          </cell>
        </row>
        <row r="361">
          <cell r="E361" t="str">
            <v>EF-45131276</v>
          </cell>
          <cell r="F361" t="str">
            <v>SZHPH25000005</v>
          </cell>
        </row>
        <row r="362">
          <cell r="E362" t="str">
            <v>EF-45131277</v>
          </cell>
          <cell r="F362" t="str">
            <v>SZHPH25000005</v>
          </cell>
        </row>
        <row r="363">
          <cell r="E363" t="str">
            <v>EF-45146847</v>
          </cell>
          <cell r="F363" t="str">
            <v>SZHPH25000005</v>
          </cell>
        </row>
        <row r="364">
          <cell r="E364" t="str">
            <v>EF-45146844</v>
          </cell>
          <cell r="F364" t="str">
            <v>SZHPH25000005</v>
          </cell>
        </row>
        <row r="365">
          <cell r="E365" t="str">
            <v>EF-45102320</v>
          </cell>
          <cell r="F365" t="str">
            <v>SZHPH25000005</v>
          </cell>
        </row>
        <row r="366">
          <cell r="E366" t="str">
            <v>EF-45105056</v>
          </cell>
          <cell r="F366" t="str">
            <v>SZHPH25000005</v>
          </cell>
        </row>
        <row r="367">
          <cell r="E367" t="str">
            <v>LUC-P21-K34200-00</v>
          </cell>
          <cell r="F367" t="str">
            <v>LSHHPH2402650</v>
          </cell>
        </row>
        <row r="368">
          <cell r="E368" t="str">
            <v>LUC-P21-K34500-02</v>
          </cell>
          <cell r="F368" t="str">
            <v>LSHHPH2402650</v>
          </cell>
        </row>
        <row r="369">
          <cell r="E369" t="str">
            <v>LUC-P21-K34600-02</v>
          </cell>
          <cell r="F369" t="str">
            <v>LSHHPH2402650</v>
          </cell>
        </row>
        <row r="370">
          <cell r="E370" t="str">
            <v>LUC-P21-K33600-02</v>
          </cell>
          <cell r="F370" t="str">
            <v>LSHHPH2402650</v>
          </cell>
        </row>
        <row r="371">
          <cell r="E371" t="str">
            <v>LUC-P21-K33200-02</v>
          </cell>
          <cell r="F371" t="str">
            <v>LSHHPH2402650</v>
          </cell>
        </row>
        <row r="372">
          <cell r="E372" t="str">
            <v>LUC-P21-K33200-02</v>
          </cell>
          <cell r="F372" t="str">
            <v>LSHHPH2402650</v>
          </cell>
        </row>
        <row r="373">
          <cell r="E373" t="str">
            <v>PUR-09-0213-00</v>
          </cell>
          <cell r="F373">
            <v>430249631360</v>
          </cell>
        </row>
        <row r="374">
          <cell r="E374" t="str">
            <v>PUR-09-0213-00</v>
          </cell>
          <cell r="F374">
            <v>430249631360</v>
          </cell>
        </row>
        <row r="375">
          <cell r="E375" t="str">
            <v>LUC-E00-420072-00</v>
          </cell>
          <cell r="F375">
            <v>430249631360</v>
          </cell>
        </row>
        <row r="376">
          <cell r="E376" t="str">
            <v>LUC-E00-420072-00</v>
          </cell>
          <cell r="F376">
            <v>430249631360</v>
          </cell>
        </row>
        <row r="377">
          <cell r="E377" t="str">
            <v>PUR-11-0104-06</v>
          </cell>
          <cell r="F377">
            <v>771223287749</v>
          </cell>
        </row>
        <row r="378">
          <cell r="E378" t="str">
            <v>PUR-03-0091-02</v>
          </cell>
          <cell r="F378">
            <v>434613777451</v>
          </cell>
        </row>
        <row r="379">
          <cell r="E379" t="str">
            <v>EF-45044114.X.X</v>
          </cell>
          <cell r="F379">
            <v>433979505500</v>
          </cell>
        </row>
        <row r="380">
          <cell r="E380" t="str">
            <v>AIC-MP-00004069-000</v>
          </cell>
          <cell r="F380">
            <v>436277395496</v>
          </cell>
        </row>
        <row r="381">
          <cell r="E381" t="str">
            <v>LUC-E00-440149-00</v>
          </cell>
          <cell r="F381">
            <v>436277395496</v>
          </cell>
        </row>
        <row r="382">
          <cell r="E382" t="str">
            <v>EF-45074502.X.X</v>
          </cell>
          <cell r="F382">
            <v>436277395496</v>
          </cell>
        </row>
        <row r="383">
          <cell r="E383" t="str">
            <v>AGI-500-40220-01</v>
          </cell>
          <cell r="F383">
            <v>436277395496</v>
          </cell>
        </row>
        <row r="384">
          <cell r="E384" t="str">
            <v>LUC-E00-470059-00</v>
          </cell>
          <cell r="F384">
            <v>6577278304</v>
          </cell>
        </row>
        <row r="385">
          <cell r="E385" t="str">
            <v>LUC-E00-470059-00</v>
          </cell>
          <cell r="F385">
            <v>6577278304</v>
          </cell>
        </row>
        <row r="386">
          <cell r="E386" t="str">
            <v>AIC-MP-00004401-000</v>
          </cell>
          <cell r="F386">
            <v>6577278304</v>
          </cell>
        </row>
        <row r="387">
          <cell r="E387" t="str">
            <v>LUC-EZZ-420089-00</v>
          </cell>
          <cell r="F387">
            <v>6577278304</v>
          </cell>
        </row>
        <row r="388">
          <cell r="E388" t="str">
            <v>LUC-E00-510041-00</v>
          </cell>
          <cell r="F388">
            <v>6577278304</v>
          </cell>
        </row>
        <row r="389">
          <cell r="E389" t="str">
            <v>LUC-E00-510084-00</v>
          </cell>
          <cell r="F389">
            <v>6577278304</v>
          </cell>
        </row>
        <row r="390">
          <cell r="E390" t="str">
            <v>LUC-E00-540004-00</v>
          </cell>
          <cell r="F390">
            <v>6577278304</v>
          </cell>
        </row>
        <row r="391">
          <cell r="E391" t="str">
            <v>LUC-E00-510037-00</v>
          </cell>
          <cell r="F391">
            <v>6577278304</v>
          </cell>
        </row>
        <row r="392">
          <cell r="E392" t="str">
            <v>LUC-E00-510037-00</v>
          </cell>
          <cell r="F392">
            <v>6577278304</v>
          </cell>
        </row>
        <row r="393">
          <cell r="E393" t="str">
            <v>LUC-E00-460034-00</v>
          </cell>
          <cell r="F393">
            <v>6577278304</v>
          </cell>
        </row>
        <row r="394">
          <cell r="E394" t="str">
            <v>LUC-E00-690020-00</v>
          </cell>
          <cell r="F394">
            <v>6577278304</v>
          </cell>
        </row>
        <row r="395">
          <cell r="E395" t="str">
            <v>LUC-E00-470059-00</v>
          </cell>
          <cell r="F395">
            <v>6577278304</v>
          </cell>
        </row>
        <row r="396">
          <cell r="E396" t="str">
            <v>LUC-E00-470059-00</v>
          </cell>
          <cell r="F396">
            <v>6577278304</v>
          </cell>
        </row>
        <row r="397">
          <cell r="E397" t="str">
            <v>PUR-14-0050-00</v>
          </cell>
          <cell r="F397">
            <v>6577278304</v>
          </cell>
        </row>
        <row r="398">
          <cell r="E398" t="str">
            <v>EF-45214842</v>
          </cell>
          <cell r="F398">
            <v>6577278304</v>
          </cell>
        </row>
        <row r="399">
          <cell r="E399" t="str">
            <v>LUC-E00-470033-00</v>
          </cell>
          <cell r="F399">
            <v>6577278304</v>
          </cell>
        </row>
        <row r="400">
          <cell r="E400" t="str">
            <v>EF-45096952</v>
          </cell>
          <cell r="F400">
            <v>6577278304</v>
          </cell>
        </row>
        <row r="401">
          <cell r="E401" t="str">
            <v>LUC-E00-450041-00</v>
          </cell>
          <cell r="F401">
            <v>6577278304</v>
          </cell>
        </row>
        <row r="402">
          <cell r="E402" t="str">
            <v>LUC-E00-450046-00</v>
          </cell>
          <cell r="F402">
            <v>6577278304</v>
          </cell>
        </row>
        <row r="403">
          <cell r="E403" t="str">
            <v>LUC-E00-450046-00</v>
          </cell>
          <cell r="F403">
            <v>6577278304</v>
          </cell>
        </row>
        <row r="404">
          <cell r="E404" t="str">
            <v>LUC-E00-400010-007</v>
          </cell>
          <cell r="F404">
            <v>6577278304</v>
          </cell>
        </row>
        <row r="405">
          <cell r="E405" t="str">
            <v>LUC-E00-470049-00</v>
          </cell>
          <cell r="F405">
            <v>6577278304</v>
          </cell>
        </row>
        <row r="406">
          <cell r="E406" t="str">
            <v>LUC-E00-470049-00</v>
          </cell>
          <cell r="F406">
            <v>6577278304</v>
          </cell>
        </row>
        <row r="407">
          <cell r="E407" t="str">
            <v>LUC-EZZ-400194-00</v>
          </cell>
          <cell r="F407">
            <v>6577278304</v>
          </cell>
        </row>
        <row r="408">
          <cell r="E408" t="str">
            <v>LUC-E00-440028-00</v>
          </cell>
          <cell r="F408">
            <v>6577278304</v>
          </cell>
        </row>
        <row r="409">
          <cell r="E409" t="str">
            <v>LUC-P21-K81001-01</v>
          </cell>
          <cell r="F409" t="str">
            <v>LSHHPH2402717</v>
          </cell>
        </row>
        <row r="410">
          <cell r="E410" t="str">
            <v>LUC-P21-K81100-01</v>
          </cell>
          <cell r="F410" t="str">
            <v>LSHHPH2402717</v>
          </cell>
        </row>
        <row r="411">
          <cell r="E411" t="str">
            <v>LUC-P21-K81101-01</v>
          </cell>
          <cell r="F411" t="str">
            <v>LSHHPH2402717</v>
          </cell>
        </row>
        <row r="412">
          <cell r="E412" t="str">
            <v>LUC-P21-K81201-01</v>
          </cell>
          <cell r="F412" t="str">
            <v>LSHHPH2402717</v>
          </cell>
        </row>
        <row r="413">
          <cell r="E413" t="str">
            <v>EF-45236387</v>
          </cell>
          <cell r="F413">
            <v>8925892916</v>
          </cell>
        </row>
        <row r="414">
          <cell r="E414" t="str">
            <v>PUR-17-0283-02</v>
          </cell>
          <cell r="F414" t="str">
            <v>KNQ1</v>
          </cell>
        </row>
        <row r="415">
          <cell r="E415" t="str">
            <v>AIC-MP-00006918-000</v>
          </cell>
          <cell r="F415">
            <v>643036749066</v>
          </cell>
        </row>
        <row r="416">
          <cell r="E416" t="str">
            <v>AIC-MP-00002463-000</v>
          </cell>
          <cell r="F416">
            <v>643036749066</v>
          </cell>
        </row>
        <row r="417">
          <cell r="E417" t="str">
            <v>PUR-12-0483-00</v>
          </cell>
          <cell r="F417">
            <v>423264320421</v>
          </cell>
        </row>
        <row r="418">
          <cell r="E418" t="str">
            <v>121-000585.X.X</v>
          </cell>
          <cell r="F418">
            <v>423264320421</v>
          </cell>
        </row>
        <row r="419">
          <cell r="E419" t="str">
            <v>EF-45053506.X.X</v>
          </cell>
          <cell r="F419">
            <v>423264320421</v>
          </cell>
        </row>
        <row r="420">
          <cell r="E420" t="str">
            <v>PUR-13-0212-00</v>
          </cell>
          <cell r="F420">
            <v>423264320421</v>
          </cell>
        </row>
        <row r="421">
          <cell r="E421" t="str">
            <v>PURET-13-0028-00</v>
          </cell>
          <cell r="F421">
            <v>423264320421</v>
          </cell>
        </row>
        <row r="422">
          <cell r="E422" t="str">
            <v>PUR-12-0460-00</v>
          </cell>
          <cell r="F422">
            <v>423264320421</v>
          </cell>
        </row>
        <row r="423">
          <cell r="E423" t="str">
            <v>121-000358.X.X</v>
          </cell>
          <cell r="F423">
            <v>423264320421</v>
          </cell>
        </row>
        <row r="424">
          <cell r="E424" t="str">
            <v>EF-45103947.X.X</v>
          </cell>
          <cell r="F424">
            <v>423264320421</v>
          </cell>
        </row>
        <row r="425">
          <cell r="E425" t="str">
            <v>AIC-MP-00000101-000</v>
          </cell>
          <cell r="F425">
            <v>423264320421</v>
          </cell>
        </row>
        <row r="426">
          <cell r="E426" t="str">
            <v>PUR-13-0229-00</v>
          </cell>
          <cell r="F426">
            <v>423264320421</v>
          </cell>
        </row>
        <row r="427">
          <cell r="E427" t="str">
            <v>PUR-14-0086-00</v>
          </cell>
          <cell r="F427">
            <v>423264320421</v>
          </cell>
        </row>
        <row r="428">
          <cell r="E428" t="str">
            <v>PUR-07-0167-00</v>
          </cell>
          <cell r="F428">
            <v>422229044867</v>
          </cell>
        </row>
        <row r="429">
          <cell r="E429" t="str">
            <v>PUR-07-0167-00</v>
          </cell>
          <cell r="F429">
            <v>422229044867</v>
          </cell>
        </row>
        <row r="430">
          <cell r="E430" t="str">
            <v>LUC-E00-400012-09</v>
          </cell>
          <cell r="F430">
            <v>771250433645</v>
          </cell>
        </row>
        <row r="431">
          <cell r="E431" t="str">
            <v>PURET-12-0035-00</v>
          </cell>
          <cell r="F431">
            <v>771250433645</v>
          </cell>
        </row>
        <row r="432">
          <cell r="E432" t="str">
            <v>PUR-09-0427-00</v>
          </cell>
          <cell r="F432">
            <v>771250433645</v>
          </cell>
        </row>
        <row r="433">
          <cell r="E433" t="str">
            <v>LUC-EZZ-490310-04</v>
          </cell>
          <cell r="F433">
            <v>8925728792</v>
          </cell>
        </row>
        <row r="434">
          <cell r="E434" t="str">
            <v>LUC-EZZ-490315-02</v>
          </cell>
          <cell r="F434">
            <v>8925728792</v>
          </cell>
        </row>
        <row r="435">
          <cell r="E435" t="str">
            <v>LUC-EZZ-490315-02</v>
          </cell>
          <cell r="F435">
            <v>8925728792</v>
          </cell>
        </row>
        <row r="436">
          <cell r="E436" t="str">
            <v>LUC-EZZ-490315-02</v>
          </cell>
          <cell r="F436">
            <v>8925728792</v>
          </cell>
        </row>
        <row r="437">
          <cell r="E437" t="str">
            <v>LUC-E00-510032-00</v>
          </cell>
          <cell r="F437">
            <v>431097344240</v>
          </cell>
        </row>
        <row r="438">
          <cell r="E438" t="str">
            <v>PUR-24-0031-00</v>
          </cell>
          <cell r="F438">
            <v>431097344240</v>
          </cell>
        </row>
        <row r="439">
          <cell r="E439" t="str">
            <v>AIC-MP-00006913-000</v>
          </cell>
          <cell r="F439">
            <v>771225176064</v>
          </cell>
        </row>
        <row r="440">
          <cell r="E440" t="str">
            <v>EF-45156843</v>
          </cell>
          <cell r="F440" t="str">
            <v>LPIAHPH250033</v>
          </cell>
        </row>
        <row r="441">
          <cell r="E441" t="str">
            <v>EF-45224584</v>
          </cell>
          <cell r="F441" t="str">
            <v>LPIAHPH250033</v>
          </cell>
        </row>
        <row r="442">
          <cell r="E442" t="str">
            <v>EF-45227728</v>
          </cell>
          <cell r="F442" t="str">
            <v>LPIAHPH250033</v>
          </cell>
        </row>
        <row r="443">
          <cell r="E443" t="str">
            <v>EF-45148631</v>
          </cell>
          <cell r="F443" t="str">
            <v>LPIAHPH250033</v>
          </cell>
        </row>
        <row r="444">
          <cell r="E444" t="str">
            <v>EF-45184614</v>
          </cell>
          <cell r="F444" t="str">
            <v>LPIAHPH250033</v>
          </cell>
        </row>
        <row r="445">
          <cell r="E445" t="str">
            <v>EF-45227728</v>
          </cell>
          <cell r="F445" t="str">
            <v>LPIAHPH250033</v>
          </cell>
        </row>
        <row r="446">
          <cell r="E446" t="str">
            <v>PURC-31-0103-00</v>
          </cell>
          <cell r="F446">
            <v>8925889663</v>
          </cell>
        </row>
        <row r="447">
          <cell r="E447" t="str">
            <v>PUR-31-0103-00</v>
          </cell>
          <cell r="F447">
            <v>8925889663</v>
          </cell>
        </row>
        <row r="448">
          <cell r="E448" t="str">
            <v>PUR-03-0074-02</v>
          </cell>
          <cell r="F448" t="str">
            <v>8TV1767</v>
          </cell>
        </row>
        <row r="449">
          <cell r="E449" t="str">
            <v>LUC-E00-420051-00</v>
          </cell>
          <cell r="F449">
            <v>2218080410</v>
          </cell>
        </row>
        <row r="450">
          <cell r="E450" t="str">
            <v>PUR-31-0103-00</v>
          </cell>
          <cell r="F450">
            <v>8925890245</v>
          </cell>
        </row>
        <row r="451">
          <cell r="E451" t="str">
            <v>PUR-09-0294-00</v>
          </cell>
          <cell r="F451">
            <v>284133085506</v>
          </cell>
        </row>
        <row r="452">
          <cell r="E452" t="str">
            <v>PUR-09-0294-00</v>
          </cell>
          <cell r="F452">
            <v>284133085506</v>
          </cell>
        </row>
        <row r="453">
          <cell r="E453" t="str">
            <v>PUR-09-0294-00</v>
          </cell>
          <cell r="F453">
            <v>284133085506</v>
          </cell>
        </row>
        <row r="454">
          <cell r="E454" t="str">
            <v>PUR-09-0294-00</v>
          </cell>
          <cell r="F454">
            <v>284133085506</v>
          </cell>
        </row>
        <row r="455">
          <cell r="E455" t="str">
            <v>PUR-09-0294-00</v>
          </cell>
          <cell r="F455">
            <v>284133085506</v>
          </cell>
        </row>
        <row r="456">
          <cell r="E456" t="str">
            <v>PUR-09-0294-00</v>
          </cell>
          <cell r="F456">
            <v>284133085506</v>
          </cell>
        </row>
        <row r="457">
          <cell r="E457" t="str">
            <v>PUR-09-0294-00</v>
          </cell>
          <cell r="F457">
            <v>284133085506</v>
          </cell>
        </row>
        <row r="458">
          <cell r="E458" t="str">
            <v>PUR-09-0294-00</v>
          </cell>
          <cell r="F458">
            <v>284133085506</v>
          </cell>
        </row>
        <row r="459">
          <cell r="E459" t="str">
            <v>142-000035.X.X</v>
          </cell>
          <cell r="F459">
            <v>430388039950</v>
          </cell>
        </row>
        <row r="460">
          <cell r="E460" t="str">
            <v>PUR-09-0279-00</v>
          </cell>
          <cell r="F460">
            <v>433979571269</v>
          </cell>
        </row>
        <row r="461">
          <cell r="E461" t="str">
            <v>EF-45109584</v>
          </cell>
          <cell r="F461">
            <v>433979571269</v>
          </cell>
        </row>
        <row r="462">
          <cell r="E462" t="str">
            <v>PUR-09-0279-00</v>
          </cell>
          <cell r="F462">
            <v>433979571269</v>
          </cell>
        </row>
        <row r="463">
          <cell r="E463" t="str">
            <v>LUC-E00-470070-00</v>
          </cell>
          <cell r="F463">
            <v>433979571269</v>
          </cell>
        </row>
        <row r="464">
          <cell r="E464" t="str">
            <v>LUC-E00-540019-00</v>
          </cell>
          <cell r="F464">
            <v>433979571269</v>
          </cell>
        </row>
        <row r="465">
          <cell r="E465" t="str">
            <v>AIC-MP-00007034-000</v>
          </cell>
          <cell r="F465">
            <v>403325890907</v>
          </cell>
        </row>
        <row r="466">
          <cell r="E466" t="str">
            <v>AIC-MP-00006997-000</v>
          </cell>
          <cell r="F466">
            <v>436830331200</v>
          </cell>
        </row>
        <row r="467">
          <cell r="E467" t="str">
            <v>AIC-MP-00007031-000</v>
          </cell>
          <cell r="F467">
            <v>436830331200</v>
          </cell>
        </row>
        <row r="468">
          <cell r="E468" t="str">
            <v>AIC-MP-00007035-000</v>
          </cell>
          <cell r="F468">
            <v>436830331200</v>
          </cell>
        </row>
        <row r="469">
          <cell r="E469" t="str">
            <v>LUC-P21-K33600-02</v>
          </cell>
          <cell r="F469">
            <v>771305571524</v>
          </cell>
        </row>
        <row r="470">
          <cell r="E470" t="str">
            <v>LUC-P21-K34500-02</v>
          </cell>
          <cell r="F470">
            <v>771305571524</v>
          </cell>
        </row>
        <row r="471">
          <cell r="E471" t="str">
            <v>LUC-P21-K34600-02</v>
          </cell>
          <cell r="F471">
            <v>771305571524</v>
          </cell>
        </row>
        <row r="472">
          <cell r="E472" t="str">
            <v>LUC-P21-K61200-02</v>
          </cell>
          <cell r="F472">
            <v>771305571524</v>
          </cell>
        </row>
        <row r="473">
          <cell r="E473" t="str">
            <v>LUC-E00-690033-02</v>
          </cell>
          <cell r="F473" t="str">
            <v>Hand Carry 01</v>
          </cell>
        </row>
        <row r="474">
          <cell r="E474" t="str">
            <v>LUC-E00-690033-03</v>
          </cell>
          <cell r="F474" t="str">
            <v>Hand Carry 01</v>
          </cell>
        </row>
        <row r="475">
          <cell r="E475" t="str">
            <v>AGI-450-40128-01</v>
          </cell>
          <cell r="F475">
            <v>771283943847</v>
          </cell>
        </row>
        <row r="476">
          <cell r="E476" t="str">
            <v>AGI-510-40115-01</v>
          </cell>
          <cell r="F476">
            <v>7425618815</v>
          </cell>
        </row>
        <row r="477">
          <cell r="E477" t="str">
            <v>122-000362.X.X</v>
          </cell>
          <cell r="F477">
            <v>7425618815</v>
          </cell>
        </row>
        <row r="478">
          <cell r="E478" t="str">
            <v>AGI-510-50001-01</v>
          </cell>
          <cell r="F478">
            <v>7425618815</v>
          </cell>
        </row>
        <row r="479">
          <cell r="E479" t="str">
            <v>AGI-510-50006-01</v>
          </cell>
          <cell r="F479">
            <v>7425618815</v>
          </cell>
        </row>
        <row r="480">
          <cell r="E480" t="str">
            <v>AGI-510-50001-01</v>
          </cell>
          <cell r="F480">
            <v>7425618815</v>
          </cell>
        </row>
        <row r="481">
          <cell r="E481" t="str">
            <v>AGI-510-50001-01</v>
          </cell>
          <cell r="F481">
            <v>7425618815</v>
          </cell>
        </row>
        <row r="482">
          <cell r="E482" t="str">
            <v>PUR-12-0337-00</v>
          </cell>
          <cell r="F482">
            <v>771308195633</v>
          </cell>
        </row>
        <row r="483">
          <cell r="E483" t="str">
            <v>EF-45129267</v>
          </cell>
          <cell r="F483">
            <v>771308195633</v>
          </cell>
        </row>
        <row r="484">
          <cell r="E484" t="str">
            <v>EF-45044048.X.X</v>
          </cell>
          <cell r="F484">
            <v>771308195633</v>
          </cell>
        </row>
        <row r="485">
          <cell r="E485" t="str">
            <v>EF-45083316.X.X</v>
          </cell>
          <cell r="F485">
            <v>771308195633</v>
          </cell>
        </row>
        <row r="486">
          <cell r="E486" t="str">
            <v>PURET-13-0007-00</v>
          </cell>
          <cell r="F486">
            <v>434611750750</v>
          </cell>
        </row>
        <row r="487">
          <cell r="E487" t="str">
            <v>PURET-13-0007-00</v>
          </cell>
          <cell r="F487">
            <v>434611750750</v>
          </cell>
        </row>
        <row r="488">
          <cell r="E488" t="str">
            <v>PUR-13-0160-00</v>
          </cell>
          <cell r="F488">
            <v>434611750750</v>
          </cell>
        </row>
        <row r="489">
          <cell r="E489" t="str">
            <v>LUC-E00-420002-00</v>
          </cell>
          <cell r="F489">
            <v>434611750750</v>
          </cell>
        </row>
        <row r="490">
          <cell r="E490" t="str">
            <v>LUC-E00-420072-01</v>
          </cell>
          <cell r="F490">
            <v>434611750750</v>
          </cell>
        </row>
        <row r="491">
          <cell r="E491" t="str">
            <v>LUC-E00-420275-00</v>
          </cell>
          <cell r="F491">
            <v>434611750750</v>
          </cell>
        </row>
        <row r="492">
          <cell r="E492" t="str">
            <v>EF-45058007.X.X</v>
          </cell>
          <cell r="F492">
            <v>434611750750</v>
          </cell>
        </row>
        <row r="493">
          <cell r="E493" t="str">
            <v>LUC-E00-400059-098</v>
          </cell>
          <cell r="F493">
            <v>434611750750</v>
          </cell>
        </row>
        <row r="494">
          <cell r="E494" t="str">
            <v>AIC-MP-00007007-000</v>
          </cell>
          <cell r="F494">
            <v>771314697142</v>
          </cell>
        </row>
        <row r="495">
          <cell r="E495" t="str">
            <v>LUC-E00-420051-02</v>
          </cell>
          <cell r="F495">
            <v>972681993922</v>
          </cell>
        </row>
        <row r="496">
          <cell r="E496" t="str">
            <v>EF-45129873</v>
          </cell>
          <cell r="F496">
            <v>420225792973</v>
          </cell>
        </row>
        <row r="497">
          <cell r="E497" t="str">
            <v>PUR-11-0065-06</v>
          </cell>
          <cell r="F497" t="str">
            <v>PEG-0166929</v>
          </cell>
        </row>
        <row r="498">
          <cell r="E498" t="str">
            <v>PUR-11-0065-06</v>
          </cell>
          <cell r="F498" t="str">
            <v>PEG-0166929</v>
          </cell>
        </row>
        <row r="499">
          <cell r="E499" t="str">
            <v>LUC-E00-690106-01</v>
          </cell>
          <cell r="F499" t="str">
            <v>ST25010439</v>
          </cell>
        </row>
        <row r="500">
          <cell r="E500" t="str">
            <v>LUC-E00-690106-00</v>
          </cell>
          <cell r="F500" t="str">
            <v>ST25010439</v>
          </cell>
        </row>
        <row r="501">
          <cell r="E501" t="str">
            <v>LUC-E00-690033-00</v>
          </cell>
          <cell r="F501" t="str">
            <v>ST25010439</v>
          </cell>
        </row>
        <row r="502">
          <cell r="E502" t="str">
            <v>LUC-E00-690033-01</v>
          </cell>
          <cell r="F502" t="str">
            <v>ST25010439</v>
          </cell>
        </row>
        <row r="503">
          <cell r="E503" t="str">
            <v>LUC-P21-K61100-02</v>
          </cell>
          <cell r="F503" t="str">
            <v>ST25010404</v>
          </cell>
        </row>
        <row r="504">
          <cell r="E504" t="str">
            <v>LUC-P21-K61100-02</v>
          </cell>
          <cell r="F504" t="str">
            <v>ST25010404</v>
          </cell>
        </row>
        <row r="505">
          <cell r="E505" t="str">
            <v>LUC-P21-K2C400-01</v>
          </cell>
          <cell r="F505" t="str">
            <v>ST25010404</v>
          </cell>
        </row>
        <row r="506">
          <cell r="E506" t="str">
            <v>LUC-P21-K2C400-01</v>
          </cell>
          <cell r="F506" t="str">
            <v>ST25010404</v>
          </cell>
        </row>
        <row r="507">
          <cell r="E507" t="str">
            <v>LUC-EZZ-490230-04</v>
          </cell>
          <cell r="F507">
            <v>1514723</v>
          </cell>
        </row>
        <row r="508">
          <cell r="E508" t="str">
            <v>LUC-EZZ-490231-04</v>
          </cell>
          <cell r="F508">
            <v>1514723</v>
          </cell>
        </row>
        <row r="509">
          <cell r="E509" t="str">
            <v>LUC-EZZ-490304-04</v>
          </cell>
          <cell r="F509">
            <v>1514723</v>
          </cell>
        </row>
        <row r="510">
          <cell r="E510" t="str">
            <v>LUC-EZZ-490231-04</v>
          </cell>
          <cell r="F510">
            <v>1514723</v>
          </cell>
        </row>
        <row r="511">
          <cell r="E511" t="str">
            <v>LUC-EZZ-490230-04</v>
          </cell>
          <cell r="F511">
            <v>1514723</v>
          </cell>
        </row>
        <row r="512">
          <cell r="E512" t="str">
            <v>LUC-EZZ-490304-04</v>
          </cell>
          <cell r="F512">
            <v>1514723</v>
          </cell>
        </row>
        <row r="513">
          <cell r="E513" t="str">
            <v>LUC-EZZ-490305-05</v>
          </cell>
          <cell r="F513">
            <v>1514723</v>
          </cell>
        </row>
        <row r="514">
          <cell r="E514" t="str">
            <v>LUC-EZZ-490305-05</v>
          </cell>
          <cell r="F514">
            <v>1514723</v>
          </cell>
        </row>
        <row r="515">
          <cell r="E515" t="str">
            <v>LUC-EZZ-490305-05</v>
          </cell>
          <cell r="F515">
            <v>1514723</v>
          </cell>
        </row>
        <row r="516">
          <cell r="E516" t="str">
            <v>LUC-EZZ-490230-04</v>
          </cell>
          <cell r="F516">
            <v>1514723</v>
          </cell>
        </row>
        <row r="517">
          <cell r="E517" t="str">
            <v>LUC-EZZ-490231-04</v>
          </cell>
          <cell r="F517">
            <v>1514723</v>
          </cell>
        </row>
        <row r="518">
          <cell r="E518" t="str">
            <v>LUC-E00-470009-00</v>
          </cell>
          <cell r="F518">
            <v>284123149690</v>
          </cell>
        </row>
        <row r="519">
          <cell r="E519" t="str">
            <v>PUR-11-0104-05</v>
          </cell>
          <cell r="F519" t="str">
            <v>PSHPH2510012</v>
          </cell>
        </row>
        <row r="520">
          <cell r="E520" t="str">
            <v>PUR-11-0104-05</v>
          </cell>
          <cell r="F520" t="str">
            <v>PSHPH2510012</v>
          </cell>
        </row>
        <row r="521">
          <cell r="E521" t="str">
            <v>PUR-11-0104-05</v>
          </cell>
          <cell r="F521" t="str">
            <v>PSHPH2510012</v>
          </cell>
        </row>
        <row r="522">
          <cell r="E522" t="str">
            <v>SUL-15A3M</v>
          </cell>
          <cell r="F522">
            <v>771375568248</v>
          </cell>
        </row>
        <row r="523">
          <cell r="E523" t="str">
            <v>LUC-E00-420238-00</v>
          </cell>
          <cell r="F523">
            <v>771379477304</v>
          </cell>
        </row>
        <row r="524">
          <cell r="E524" t="str">
            <v>LUC-E00-420238-00</v>
          </cell>
          <cell r="F524">
            <v>771379477304</v>
          </cell>
        </row>
        <row r="525">
          <cell r="E525" t="str">
            <v>LUC-E00-470109-00</v>
          </cell>
          <cell r="F525">
            <v>416338331569</v>
          </cell>
        </row>
        <row r="526">
          <cell r="E526" t="str">
            <v>LUC-E00-440003-01</v>
          </cell>
          <cell r="F526">
            <v>722661004604</v>
          </cell>
        </row>
        <row r="527">
          <cell r="E527" t="str">
            <v>LUC-E00-440013-00</v>
          </cell>
          <cell r="F527">
            <v>722661004604</v>
          </cell>
        </row>
        <row r="528">
          <cell r="E528" t="str">
            <v>LUC-E00-440023-02</v>
          </cell>
          <cell r="F528">
            <v>722661004604</v>
          </cell>
        </row>
        <row r="529">
          <cell r="E529" t="str">
            <v>LUC-E00-440030-00</v>
          </cell>
          <cell r="F529">
            <v>409298770476</v>
          </cell>
        </row>
        <row r="530">
          <cell r="E530" t="str">
            <v>LUC-E00-690003-00</v>
          </cell>
          <cell r="F530">
            <v>409298770476</v>
          </cell>
        </row>
        <row r="531">
          <cell r="E531" t="str">
            <v>LUC-E00-690003-00</v>
          </cell>
          <cell r="F531">
            <v>409298770476</v>
          </cell>
        </row>
        <row r="532">
          <cell r="E532" t="str">
            <v>LUC-EZZ-440073-00</v>
          </cell>
          <cell r="F532">
            <v>409298770476</v>
          </cell>
        </row>
        <row r="533">
          <cell r="E533" t="str">
            <v>LUC-E00-400022-000</v>
          </cell>
          <cell r="F533">
            <v>409298770476</v>
          </cell>
        </row>
        <row r="534">
          <cell r="E534" t="str">
            <v>LUC-E00-690003-00</v>
          </cell>
          <cell r="F534">
            <v>409298770476</v>
          </cell>
        </row>
        <row r="535">
          <cell r="E535" t="str">
            <v>LUC-E00-400067-374</v>
          </cell>
          <cell r="F535">
            <v>409298770476</v>
          </cell>
        </row>
        <row r="536">
          <cell r="E536" t="str">
            <v>LUC-E00-420003-00</v>
          </cell>
          <cell r="F536">
            <v>571583408660</v>
          </cell>
        </row>
        <row r="537">
          <cell r="E537" t="str">
            <v>EF-45045540</v>
          </cell>
          <cell r="F537">
            <v>284218098690</v>
          </cell>
        </row>
        <row r="538">
          <cell r="E538" t="str">
            <v>LUC-E00-510034-00</v>
          </cell>
          <cell r="F538">
            <v>771334231610</v>
          </cell>
        </row>
        <row r="539">
          <cell r="E539" t="str">
            <v>LUC-E00-470036-00</v>
          </cell>
          <cell r="F539">
            <v>771334231610</v>
          </cell>
        </row>
        <row r="540">
          <cell r="E540" t="str">
            <v>LUC-E00-470042-00</v>
          </cell>
          <cell r="F540">
            <v>771334231610</v>
          </cell>
        </row>
        <row r="541">
          <cell r="E541" t="str">
            <v>LUC-E00-470116-00</v>
          </cell>
          <cell r="F541">
            <v>771334231610</v>
          </cell>
        </row>
        <row r="542">
          <cell r="E542" t="str">
            <v>LUC-E00-470085-00</v>
          </cell>
          <cell r="F542">
            <v>771334231610</v>
          </cell>
        </row>
        <row r="543">
          <cell r="E543" t="str">
            <v>LUC-E00-470042-00</v>
          </cell>
          <cell r="F543">
            <v>771334231610</v>
          </cell>
        </row>
        <row r="544">
          <cell r="E544" t="str">
            <v>AGI-532-50002-01</v>
          </cell>
          <cell r="F544">
            <v>771334231610</v>
          </cell>
        </row>
        <row r="545">
          <cell r="E545" t="str">
            <v>AGI-532-50002-01</v>
          </cell>
          <cell r="F545">
            <v>771334231610</v>
          </cell>
        </row>
        <row r="546">
          <cell r="E546" t="str">
            <v>LUC-E00-690033-02</v>
          </cell>
          <cell r="F546">
            <v>771379740853</v>
          </cell>
        </row>
        <row r="547">
          <cell r="E547" t="str">
            <v>LUC-E00-690033-03</v>
          </cell>
          <cell r="F547">
            <v>771379740853</v>
          </cell>
        </row>
        <row r="548">
          <cell r="E548" t="str">
            <v>PUR-11-0105-04</v>
          </cell>
          <cell r="F548" t="str">
            <v>AS250337</v>
          </cell>
        </row>
        <row r="549">
          <cell r="E549" t="str">
            <v>PUR-11-0105-04</v>
          </cell>
          <cell r="F549" t="str">
            <v>AS250337</v>
          </cell>
        </row>
        <row r="550">
          <cell r="E550" t="str">
            <v>141-001337-01</v>
          </cell>
          <cell r="F550">
            <v>771333289263</v>
          </cell>
        </row>
        <row r="551">
          <cell r="E551" t="str">
            <v>LUC-E00-420074-00</v>
          </cell>
          <cell r="F551">
            <v>429083206857</v>
          </cell>
        </row>
        <row r="552">
          <cell r="E552" t="str">
            <v>LUC-E00-400050-01</v>
          </cell>
          <cell r="F552">
            <v>429083206857</v>
          </cell>
        </row>
        <row r="553">
          <cell r="E553" t="str">
            <v>PURET-13-0091-00</v>
          </cell>
          <cell r="F553">
            <v>429083206857</v>
          </cell>
        </row>
        <row r="554">
          <cell r="E554" t="str">
            <v>PUR-21-0026-00</v>
          </cell>
          <cell r="F554">
            <v>429083206857</v>
          </cell>
        </row>
        <row r="555">
          <cell r="E555" t="str">
            <v>PUR-13-0237-00</v>
          </cell>
          <cell r="F555">
            <v>429083206857</v>
          </cell>
        </row>
        <row r="556">
          <cell r="E556" t="str">
            <v>PUR-13-0164-00</v>
          </cell>
          <cell r="F556">
            <v>429083206857</v>
          </cell>
        </row>
        <row r="557">
          <cell r="E557" t="str">
            <v>141-002694</v>
          </cell>
          <cell r="F557">
            <v>771378776766</v>
          </cell>
        </row>
        <row r="558">
          <cell r="E558" t="str">
            <v>LUC-E00-470413-01</v>
          </cell>
          <cell r="F558">
            <v>284252548411</v>
          </cell>
        </row>
        <row r="559">
          <cell r="E559" t="str">
            <v>AIC-MP-00007022-000</v>
          </cell>
          <cell r="F559">
            <v>771374569947</v>
          </cell>
        </row>
        <row r="560">
          <cell r="E560" t="str">
            <v>AIC-MP-00006996-000</v>
          </cell>
          <cell r="F560">
            <v>771374569947</v>
          </cell>
        </row>
        <row r="561">
          <cell r="E561" t="str">
            <v>AIC-MP-00006993-000</v>
          </cell>
          <cell r="F561">
            <v>771374569947</v>
          </cell>
        </row>
        <row r="562">
          <cell r="E562" t="str">
            <v>AIC-MP-00006995-000</v>
          </cell>
          <cell r="F562">
            <v>771374569947</v>
          </cell>
        </row>
        <row r="563">
          <cell r="E563" t="str">
            <v>AIC-MP-00006751-000</v>
          </cell>
          <cell r="F563">
            <v>771374569947</v>
          </cell>
        </row>
        <row r="564">
          <cell r="E564" t="str">
            <v>LUC-E00-690010-02</v>
          </cell>
          <cell r="F564">
            <v>284222127681</v>
          </cell>
        </row>
        <row r="565">
          <cell r="E565" t="str">
            <v>LUC-E00-690010-00</v>
          </cell>
          <cell r="F565">
            <v>284222127681</v>
          </cell>
        </row>
        <row r="566">
          <cell r="E566" t="str">
            <v>PUR-27-0028-00</v>
          </cell>
          <cell r="F566">
            <v>410974799470</v>
          </cell>
        </row>
        <row r="567">
          <cell r="E567" t="str">
            <v>PUR-27-0028-00</v>
          </cell>
          <cell r="F567">
            <v>410974799470</v>
          </cell>
        </row>
        <row r="568">
          <cell r="E568" t="str">
            <v>PUR-14-0095-00</v>
          </cell>
          <cell r="F568">
            <v>433207309189</v>
          </cell>
        </row>
        <row r="569">
          <cell r="E569" t="str">
            <v>LUC-P21-K33900-00</v>
          </cell>
          <cell r="F569">
            <v>898442189197</v>
          </cell>
        </row>
        <row r="570">
          <cell r="E570" t="str">
            <v>PUR-03-0074-02</v>
          </cell>
          <cell r="F570" t="str">
            <v>8TV1790</v>
          </cell>
        </row>
        <row r="571">
          <cell r="E571" t="str">
            <v>LUC-LABEL-60X40-G</v>
          </cell>
          <cell r="F571">
            <v>771440464833</v>
          </cell>
        </row>
        <row r="572">
          <cell r="E572" t="str">
            <v>LUC-EZZ-690241-00</v>
          </cell>
          <cell r="F572">
            <v>4110320466</v>
          </cell>
        </row>
        <row r="573">
          <cell r="E573" t="str">
            <v>EF-45090995</v>
          </cell>
          <cell r="F573">
            <v>435919167696</v>
          </cell>
        </row>
        <row r="574">
          <cell r="E574" t="str">
            <v>LUC-E00-440043-00</v>
          </cell>
          <cell r="F574">
            <v>284316374830</v>
          </cell>
        </row>
        <row r="575">
          <cell r="E575" t="str">
            <v>LUC-E00-440045-00</v>
          </cell>
          <cell r="F575">
            <v>284316374830</v>
          </cell>
        </row>
        <row r="576">
          <cell r="E576" t="str">
            <v>LUC-E00-440045-00</v>
          </cell>
          <cell r="F576">
            <v>284316374830</v>
          </cell>
        </row>
        <row r="577">
          <cell r="E577" t="str">
            <v>LUC-E00-450039-00</v>
          </cell>
          <cell r="F577">
            <v>435977331400</v>
          </cell>
        </row>
        <row r="578">
          <cell r="E578" t="str">
            <v>LUC-E00-400010-043</v>
          </cell>
          <cell r="F578">
            <v>435977331400</v>
          </cell>
        </row>
        <row r="579">
          <cell r="E579" t="str">
            <v>LUC-E00-470121-01</v>
          </cell>
          <cell r="F579">
            <v>284334522676</v>
          </cell>
        </row>
        <row r="580">
          <cell r="E580" t="str">
            <v>PUR-09-0294-00</v>
          </cell>
          <cell r="F580">
            <v>284334522676</v>
          </cell>
        </row>
        <row r="581">
          <cell r="E581" t="str">
            <v>PUR-09-0294-00</v>
          </cell>
          <cell r="F581">
            <v>284334522676</v>
          </cell>
        </row>
        <row r="582">
          <cell r="E582" t="str">
            <v>PUR-03-0091-02</v>
          </cell>
          <cell r="F582">
            <v>436975404480</v>
          </cell>
        </row>
        <row r="583">
          <cell r="E583" t="str">
            <v>LUC-E00-440028-00</v>
          </cell>
          <cell r="F583">
            <v>1223103825</v>
          </cell>
        </row>
        <row r="584">
          <cell r="E584" t="str">
            <v>LUC-EZZ-450246-00</v>
          </cell>
          <cell r="F584">
            <v>1223103825</v>
          </cell>
        </row>
        <row r="585">
          <cell r="E585" t="str">
            <v>LUC-E00-400001-010</v>
          </cell>
          <cell r="F585">
            <v>1223103825</v>
          </cell>
        </row>
        <row r="586">
          <cell r="E586" t="str">
            <v>LUC-E00-420060-00</v>
          </cell>
          <cell r="F586">
            <v>1223103825</v>
          </cell>
        </row>
        <row r="587">
          <cell r="E587" t="str">
            <v>LUC-E00-510027-00</v>
          </cell>
          <cell r="F587">
            <v>1223103825</v>
          </cell>
        </row>
        <row r="588">
          <cell r="E588" t="str">
            <v>LUC-E00-510041-00</v>
          </cell>
          <cell r="F588">
            <v>1223103825</v>
          </cell>
        </row>
        <row r="589">
          <cell r="E589" t="str">
            <v>LUC-E00-420027-04</v>
          </cell>
          <cell r="F589">
            <v>1223103825</v>
          </cell>
        </row>
        <row r="590">
          <cell r="E590" t="str">
            <v>LUC-E00-510031-00</v>
          </cell>
          <cell r="F590">
            <v>1223103825</v>
          </cell>
        </row>
        <row r="591">
          <cell r="E591" t="str">
            <v>LUC-E00-510031-00</v>
          </cell>
          <cell r="F591">
            <v>1223103825</v>
          </cell>
        </row>
        <row r="592">
          <cell r="E592" t="str">
            <v>LUC-EZZ-450246-00</v>
          </cell>
          <cell r="F592">
            <v>1223103825</v>
          </cell>
        </row>
        <row r="593">
          <cell r="E593" t="str">
            <v>LUC-E00-460023-00</v>
          </cell>
          <cell r="F593">
            <v>1223103825</v>
          </cell>
        </row>
        <row r="594">
          <cell r="E594" t="str">
            <v>LUC-E00-440026-00</v>
          </cell>
          <cell r="F594">
            <v>1223103825</v>
          </cell>
        </row>
        <row r="595">
          <cell r="E595" t="str">
            <v>LUC-E00-470004-00</v>
          </cell>
          <cell r="F595">
            <v>1223103825</v>
          </cell>
        </row>
        <row r="596">
          <cell r="E596" t="str">
            <v>LUC-E00-480008-00</v>
          </cell>
          <cell r="F596">
            <v>1223103825</v>
          </cell>
        </row>
        <row r="597">
          <cell r="E597" t="str">
            <v>LUC-EZZ-470431-00</v>
          </cell>
          <cell r="F597">
            <v>1223103825</v>
          </cell>
        </row>
        <row r="598">
          <cell r="E598" t="str">
            <v>LUC-E00-420058-00</v>
          </cell>
          <cell r="F598">
            <v>1223103825</v>
          </cell>
        </row>
        <row r="599">
          <cell r="E599" t="str">
            <v>LUC-E00-420025-05</v>
          </cell>
          <cell r="F599">
            <v>1223103825</v>
          </cell>
        </row>
        <row r="600">
          <cell r="E600" t="str">
            <v>LUC-E00-470032-00</v>
          </cell>
          <cell r="F600">
            <v>1223103825</v>
          </cell>
        </row>
        <row r="601">
          <cell r="E601" t="str">
            <v>LUC-E00-400010-035</v>
          </cell>
          <cell r="F601">
            <v>1223103825</v>
          </cell>
        </row>
        <row r="602">
          <cell r="E602" t="str">
            <v>LUC-E00-400010-048</v>
          </cell>
          <cell r="F602">
            <v>1223103825</v>
          </cell>
        </row>
        <row r="603">
          <cell r="E603" t="str">
            <v>LUC-E00-420056-00</v>
          </cell>
          <cell r="F603">
            <v>1223103825</v>
          </cell>
        </row>
        <row r="604">
          <cell r="E604" t="str">
            <v>LUC-E00-440057-00</v>
          </cell>
          <cell r="F604">
            <v>1223103825</v>
          </cell>
        </row>
        <row r="605">
          <cell r="E605" t="str">
            <v>LUC-E00-450044-00</v>
          </cell>
          <cell r="F605">
            <v>1223103825</v>
          </cell>
        </row>
        <row r="606">
          <cell r="E606" t="str">
            <v>LUC-EZZ-440176-00</v>
          </cell>
          <cell r="F606">
            <v>1223103825</v>
          </cell>
        </row>
        <row r="607">
          <cell r="E607" t="str">
            <v>LUC-EZZ-421706-00</v>
          </cell>
          <cell r="F607">
            <v>1223103825</v>
          </cell>
        </row>
        <row r="608">
          <cell r="E608" t="str">
            <v>LUC-E00-450046-00</v>
          </cell>
          <cell r="F608">
            <v>1223103825</v>
          </cell>
        </row>
        <row r="609">
          <cell r="E609" t="str">
            <v>LUC-E00-510112-00</v>
          </cell>
          <cell r="F609">
            <v>1223103825</v>
          </cell>
        </row>
        <row r="610">
          <cell r="E610" t="str">
            <v>LUC-EZZ-420089-00</v>
          </cell>
          <cell r="F610">
            <v>1223103825</v>
          </cell>
        </row>
        <row r="611">
          <cell r="E611" t="str">
            <v>LUC-EZZ-420136-00</v>
          </cell>
          <cell r="F611">
            <v>1223103825</v>
          </cell>
        </row>
        <row r="612">
          <cell r="E612" t="str">
            <v>LUC-E00-470120-00</v>
          </cell>
          <cell r="F612">
            <v>1223103825</v>
          </cell>
        </row>
        <row r="613">
          <cell r="E613" t="str">
            <v>LUC-E00-540004-00</v>
          </cell>
          <cell r="F613">
            <v>1223103825</v>
          </cell>
        </row>
        <row r="614">
          <cell r="E614" t="str">
            <v>LUC-E00-470020-01</v>
          </cell>
          <cell r="F614">
            <v>1223103825</v>
          </cell>
        </row>
        <row r="615">
          <cell r="E615" t="str">
            <v>LUC-E00-400010-034</v>
          </cell>
          <cell r="F615">
            <v>1223103825</v>
          </cell>
        </row>
        <row r="616">
          <cell r="E616" t="str">
            <v>LUC-E00-400010-008</v>
          </cell>
          <cell r="F616">
            <v>1223103825</v>
          </cell>
        </row>
        <row r="617">
          <cell r="E617" t="str">
            <v>LUC-E00-400010-010</v>
          </cell>
          <cell r="F617">
            <v>1223103825</v>
          </cell>
        </row>
        <row r="618">
          <cell r="E618" t="str">
            <v>LUC-E00-470122-01</v>
          </cell>
          <cell r="F618">
            <v>1223103825</v>
          </cell>
        </row>
        <row r="619">
          <cell r="E619" t="str">
            <v>LUC-E00-400003-007</v>
          </cell>
          <cell r="F619">
            <v>1223103825</v>
          </cell>
        </row>
        <row r="620">
          <cell r="E620" t="str">
            <v>LUC-E00-470059-00</v>
          </cell>
          <cell r="F620">
            <v>1223103825</v>
          </cell>
        </row>
        <row r="621">
          <cell r="E621" t="str">
            <v>LUC-E00-420056-00</v>
          </cell>
          <cell r="F621">
            <v>1223103825</v>
          </cell>
        </row>
        <row r="622">
          <cell r="E622" t="str">
            <v>LUC-E00-450029-00</v>
          </cell>
          <cell r="F622">
            <v>1223103825</v>
          </cell>
        </row>
        <row r="623">
          <cell r="E623" t="str">
            <v>LUC-E00-510001-00</v>
          </cell>
          <cell r="F623">
            <v>1223103825</v>
          </cell>
        </row>
        <row r="624">
          <cell r="E624" t="str">
            <v>LUC-EZZ-510014-00</v>
          </cell>
          <cell r="F624">
            <v>1223103825</v>
          </cell>
        </row>
        <row r="625">
          <cell r="E625" t="str">
            <v>LUC-E00-460008-00</v>
          </cell>
          <cell r="F625">
            <v>1223103825</v>
          </cell>
        </row>
        <row r="626">
          <cell r="E626" t="str">
            <v>LUC-E00-400010-049</v>
          </cell>
          <cell r="F626">
            <v>1223103825</v>
          </cell>
        </row>
        <row r="627">
          <cell r="E627" t="str">
            <v>LUC-E00-460001-01</v>
          </cell>
          <cell r="F627">
            <v>1223103825</v>
          </cell>
        </row>
        <row r="628">
          <cell r="E628" t="str">
            <v>LUC-E00-450026-00</v>
          </cell>
          <cell r="F628">
            <v>1223103825</v>
          </cell>
        </row>
        <row r="629">
          <cell r="E629" t="str">
            <v>LUC-E00-450026-00</v>
          </cell>
          <cell r="F629">
            <v>1223103825</v>
          </cell>
        </row>
        <row r="630">
          <cell r="E630" t="str">
            <v>LUC-E00-470077-00</v>
          </cell>
          <cell r="F630">
            <v>1223103825</v>
          </cell>
        </row>
        <row r="631">
          <cell r="E631" t="str">
            <v>PUR-03-0092-03</v>
          </cell>
          <cell r="F631" t="str">
            <v>8TV1785</v>
          </cell>
        </row>
        <row r="632">
          <cell r="E632" t="str">
            <v>PUR-03-0092-03</v>
          </cell>
          <cell r="F632" t="str">
            <v>8TV1786</v>
          </cell>
        </row>
        <row r="633">
          <cell r="E633" t="str">
            <v>PUR-03-0092-03</v>
          </cell>
          <cell r="F633" t="str">
            <v>8TV1787</v>
          </cell>
        </row>
        <row r="634">
          <cell r="E634" t="str">
            <v>PUR-03-0092-03</v>
          </cell>
          <cell r="F634" t="str">
            <v>8TV1788</v>
          </cell>
        </row>
        <row r="635">
          <cell r="E635" t="str">
            <v>PUR-03-0096-02</v>
          </cell>
          <cell r="F635" t="str">
            <v>8TV1789</v>
          </cell>
        </row>
        <row r="636">
          <cell r="E636" t="str">
            <v>AGI-450-40077-01</v>
          </cell>
          <cell r="F636">
            <v>438587290806</v>
          </cell>
        </row>
        <row r="637">
          <cell r="E637" t="str">
            <v>PUR-09-0434-00</v>
          </cell>
          <cell r="F637">
            <v>438587290806</v>
          </cell>
        </row>
        <row r="638">
          <cell r="E638" t="str">
            <v>PUR-09-0346-00</v>
          </cell>
          <cell r="F638">
            <v>438587290806</v>
          </cell>
        </row>
        <row r="639">
          <cell r="E639" t="str">
            <v>EF-45074500.X.X</v>
          </cell>
          <cell r="F639">
            <v>438587290806</v>
          </cell>
        </row>
        <row r="640">
          <cell r="E640" t="str">
            <v>LUC-E00-470086-00</v>
          </cell>
          <cell r="F640">
            <v>438587290806</v>
          </cell>
        </row>
        <row r="641">
          <cell r="E641" t="str">
            <v>PUR-09-0434-00</v>
          </cell>
          <cell r="F641">
            <v>438587290806</v>
          </cell>
        </row>
        <row r="642">
          <cell r="E642" t="str">
            <v>PUR-09-0444-00</v>
          </cell>
          <cell r="F642">
            <v>438587290806</v>
          </cell>
        </row>
        <row r="643">
          <cell r="E643" t="str">
            <v>AGI-450-50016-01</v>
          </cell>
          <cell r="F643">
            <v>438587290806</v>
          </cell>
        </row>
        <row r="644">
          <cell r="E644" t="str">
            <v>PUR-09-0253-00</v>
          </cell>
          <cell r="F644">
            <v>438587290806</v>
          </cell>
        </row>
        <row r="645">
          <cell r="E645" t="str">
            <v>AGI-450-40077-01</v>
          </cell>
          <cell r="F645">
            <v>438587290806</v>
          </cell>
        </row>
        <row r="646">
          <cell r="E646" t="str">
            <v>PUR-09-0434-00</v>
          </cell>
          <cell r="F646">
            <v>438587290806</v>
          </cell>
        </row>
        <row r="647">
          <cell r="E647" t="str">
            <v>PUR-09-0346-00</v>
          </cell>
          <cell r="F647">
            <v>438587290806</v>
          </cell>
        </row>
        <row r="648">
          <cell r="E648" t="str">
            <v>EF-45074500.X.X</v>
          </cell>
          <cell r="F648">
            <v>438587290806</v>
          </cell>
        </row>
        <row r="649">
          <cell r="E649" t="str">
            <v>LUC-E00-470086-00</v>
          </cell>
          <cell r="F649">
            <v>438587290806</v>
          </cell>
        </row>
        <row r="650">
          <cell r="E650" t="str">
            <v>PUR-09-0434-00</v>
          </cell>
          <cell r="F650">
            <v>438587290806</v>
          </cell>
        </row>
        <row r="651">
          <cell r="E651" t="str">
            <v>PUR-09-0444-00</v>
          </cell>
          <cell r="F651">
            <v>438587290806</v>
          </cell>
        </row>
        <row r="652">
          <cell r="E652" t="str">
            <v>AGI-450-50016-01</v>
          </cell>
          <cell r="F652">
            <v>438587290806</v>
          </cell>
        </row>
        <row r="653">
          <cell r="E653" t="str">
            <v>PUR-09-0253-00</v>
          </cell>
          <cell r="F653">
            <v>438587290806</v>
          </cell>
        </row>
        <row r="654">
          <cell r="E654" t="str">
            <v>EF-45054135.X.X</v>
          </cell>
          <cell r="F654">
            <v>643036749835</v>
          </cell>
        </row>
        <row r="655">
          <cell r="E655" t="str">
            <v>EF-45054135.X.X</v>
          </cell>
          <cell r="F655">
            <v>643036749835</v>
          </cell>
        </row>
        <row r="656">
          <cell r="E656" t="str">
            <v>AGI-450-50020-01</v>
          </cell>
          <cell r="F656">
            <v>284419560750</v>
          </cell>
        </row>
        <row r="657">
          <cell r="E657" t="str">
            <v>AGI-450-50020-01</v>
          </cell>
          <cell r="F657">
            <v>284419560750</v>
          </cell>
        </row>
        <row r="658">
          <cell r="E658" t="str">
            <v>122-000293.X.X</v>
          </cell>
          <cell r="F658">
            <v>7425643024</v>
          </cell>
        </row>
        <row r="659">
          <cell r="E659" t="str">
            <v>LUC-E00-400024-04</v>
          </cell>
          <cell r="F659">
            <v>7425643024</v>
          </cell>
        </row>
        <row r="660">
          <cell r="E660" t="str">
            <v>LUC-E00-400049-00</v>
          </cell>
          <cell r="F660">
            <v>7425643024</v>
          </cell>
        </row>
        <row r="661">
          <cell r="E661" t="str">
            <v>LUC-E00-450075-00</v>
          </cell>
          <cell r="F661">
            <v>7425643024</v>
          </cell>
        </row>
        <row r="662">
          <cell r="E662" t="str">
            <v>PURET-24-0002-00</v>
          </cell>
          <cell r="F662">
            <v>7425643024</v>
          </cell>
        </row>
        <row r="663">
          <cell r="E663" t="str">
            <v>PUR-13-0125-00</v>
          </cell>
          <cell r="F663">
            <v>7425643024</v>
          </cell>
        </row>
        <row r="664">
          <cell r="E664" t="str">
            <v>PUR-14-0049-00</v>
          </cell>
          <cell r="F664">
            <v>7425643024</v>
          </cell>
        </row>
        <row r="665">
          <cell r="E665" t="str">
            <v>EF-45051531.X.X</v>
          </cell>
          <cell r="F665">
            <v>7425643024</v>
          </cell>
        </row>
        <row r="666">
          <cell r="E666" t="str">
            <v>EF-45051531.X.X</v>
          </cell>
          <cell r="F666">
            <v>7425643024</v>
          </cell>
        </row>
        <row r="667">
          <cell r="E667" t="str">
            <v>122-000293.X.X</v>
          </cell>
          <cell r="F667">
            <v>7425643024</v>
          </cell>
        </row>
        <row r="668">
          <cell r="E668" t="str">
            <v>LUC-E00-400024-04</v>
          </cell>
          <cell r="F668">
            <v>7425643024</v>
          </cell>
        </row>
        <row r="669">
          <cell r="E669" t="str">
            <v>LUC-E00-400049-00</v>
          </cell>
          <cell r="F669">
            <v>7425643024</v>
          </cell>
        </row>
        <row r="670">
          <cell r="E670" t="str">
            <v>LUC-E00-450075-00</v>
          </cell>
          <cell r="F670">
            <v>7425643024</v>
          </cell>
        </row>
        <row r="671">
          <cell r="E671" t="str">
            <v>PURET-24-0002-00</v>
          </cell>
          <cell r="F671">
            <v>7425643024</v>
          </cell>
        </row>
        <row r="672">
          <cell r="E672" t="str">
            <v>PUR-13-0125-00</v>
          </cell>
          <cell r="F672">
            <v>7425643024</v>
          </cell>
        </row>
        <row r="673">
          <cell r="E673" t="str">
            <v>PUR-14-0049-00</v>
          </cell>
          <cell r="F673">
            <v>7425643024</v>
          </cell>
        </row>
        <row r="674">
          <cell r="E674" t="str">
            <v>EF-45051531.X.X</v>
          </cell>
          <cell r="F674">
            <v>7425643024</v>
          </cell>
        </row>
        <row r="675">
          <cell r="E675" t="str">
            <v>EF-45051531.X.X</v>
          </cell>
          <cell r="F675">
            <v>7425643024</v>
          </cell>
        </row>
        <row r="676">
          <cell r="E676" t="str">
            <v>EF-45171838</v>
          </cell>
          <cell r="F676">
            <v>437723070211</v>
          </cell>
        </row>
        <row r="677">
          <cell r="E677" t="str">
            <v>EF-45171838</v>
          </cell>
          <cell r="F677">
            <v>437723070211</v>
          </cell>
        </row>
        <row r="678">
          <cell r="E678" t="str">
            <v>102-001558</v>
          </cell>
          <cell r="F678">
            <v>436975384863</v>
          </cell>
        </row>
        <row r="679">
          <cell r="E679" t="str">
            <v>102-001558</v>
          </cell>
          <cell r="F679">
            <v>436975384863</v>
          </cell>
        </row>
        <row r="680">
          <cell r="E680" t="str">
            <v>PUR-03-0092-03</v>
          </cell>
          <cell r="F680" t="str">
            <v>8TV1800</v>
          </cell>
        </row>
        <row r="681">
          <cell r="E681" t="str">
            <v>PUR-03-0096-02</v>
          </cell>
          <cell r="F681" t="str">
            <v>8TV1801</v>
          </cell>
        </row>
        <row r="682">
          <cell r="E682" t="str">
            <v>PUR-03-0092-03</v>
          </cell>
          <cell r="F682" t="str">
            <v>8TV1801</v>
          </cell>
        </row>
        <row r="683">
          <cell r="E683" t="str">
            <v>PUR-03-0092-03</v>
          </cell>
          <cell r="F683" t="str">
            <v>8TV1798</v>
          </cell>
        </row>
        <row r="684">
          <cell r="E684" t="str">
            <v>PUR-03-0096-02</v>
          </cell>
          <cell r="F684" t="str">
            <v>8TV1799</v>
          </cell>
        </row>
        <row r="685">
          <cell r="E685" t="str">
            <v>PUR-03-0092-03</v>
          </cell>
          <cell r="F685" t="str">
            <v>8TV1799</v>
          </cell>
        </row>
        <row r="686">
          <cell r="E686" t="str">
            <v>PUR-03-0092-03</v>
          </cell>
          <cell r="F686" t="str">
            <v>8TV1799</v>
          </cell>
        </row>
        <row r="687">
          <cell r="E687" t="str">
            <v>PUR-03-0096-02</v>
          </cell>
          <cell r="F687" t="str">
            <v>8TV1791</v>
          </cell>
        </row>
        <row r="688">
          <cell r="E688" t="str">
            <v>PUR-03-0099-03</v>
          </cell>
          <cell r="F688" t="str">
            <v>8TV1791</v>
          </cell>
        </row>
        <row r="689">
          <cell r="E689" t="str">
            <v>LUC-E00-400028-000</v>
          </cell>
          <cell r="F689">
            <v>5795617240</v>
          </cell>
        </row>
        <row r="690">
          <cell r="E690" t="str">
            <v>LUC-E00-400067-391</v>
          </cell>
          <cell r="F690">
            <v>5795618183</v>
          </cell>
        </row>
        <row r="691">
          <cell r="E691" t="str">
            <v>PUR-14-0095-00</v>
          </cell>
          <cell r="F691">
            <v>5795617402</v>
          </cell>
        </row>
        <row r="692">
          <cell r="E692" t="str">
            <v>PUR-14-0095-00</v>
          </cell>
          <cell r="F692">
            <v>5795617402</v>
          </cell>
        </row>
        <row r="693">
          <cell r="E693" t="str">
            <v>LUC-EZZ-420536-00</v>
          </cell>
          <cell r="F693">
            <v>5795617402</v>
          </cell>
        </row>
        <row r="694">
          <cell r="E694" t="str">
            <v>PUR-05-0032-00</v>
          </cell>
          <cell r="F694">
            <v>5795617402</v>
          </cell>
        </row>
        <row r="695">
          <cell r="E695" t="str">
            <v>LUC-E00-420027-05</v>
          </cell>
          <cell r="F695">
            <v>5795617402</v>
          </cell>
        </row>
        <row r="696">
          <cell r="E696" t="str">
            <v>LUC-E00-420020-03</v>
          </cell>
          <cell r="F696">
            <v>4324187276</v>
          </cell>
        </row>
        <row r="697">
          <cell r="E697" t="str">
            <v>LUC-E00-420037-10</v>
          </cell>
          <cell r="F697">
            <v>4324187276</v>
          </cell>
        </row>
        <row r="698">
          <cell r="E698" t="str">
            <v>LUC-E00-470080-00</v>
          </cell>
          <cell r="F698">
            <v>4324187276</v>
          </cell>
        </row>
        <row r="699">
          <cell r="E699" t="str">
            <v>LUC-E00-470048-00</v>
          </cell>
          <cell r="F699">
            <v>4324187276</v>
          </cell>
        </row>
        <row r="700">
          <cell r="E700" t="str">
            <v>PUR-03-0099-03</v>
          </cell>
          <cell r="F700" t="str">
            <v>8TV1805</v>
          </cell>
        </row>
        <row r="701">
          <cell r="E701" t="str">
            <v>PUR-16-0037-00</v>
          </cell>
          <cell r="F701" t="str">
            <v>LSZHPH2500492</v>
          </cell>
        </row>
        <row r="702">
          <cell r="E702" t="str">
            <v>PUR-16-0051-00</v>
          </cell>
          <cell r="F702" t="str">
            <v>LSZHPH2500492</v>
          </cell>
        </row>
        <row r="703">
          <cell r="E703" t="str">
            <v>PUR-16-0049-01</v>
          </cell>
          <cell r="F703" t="str">
            <v>LSZHPH2500492</v>
          </cell>
        </row>
        <row r="704">
          <cell r="E704" t="str">
            <v>PUR-16-0035-00</v>
          </cell>
          <cell r="F704" t="str">
            <v>LSZHPH2500492</v>
          </cell>
        </row>
        <row r="705">
          <cell r="E705" t="str">
            <v>PUR-11-0065-06</v>
          </cell>
          <cell r="F705" t="str">
            <v>LSZHPH2500392</v>
          </cell>
        </row>
        <row r="706">
          <cell r="E706" t="str">
            <v>PUR-11-0065-06</v>
          </cell>
          <cell r="F706" t="str">
            <v>LSZHPH2500392</v>
          </cell>
        </row>
        <row r="707">
          <cell r="E707" t="str">
            <v>PUR-11-0065-06</v>
          </cell>
          <cell r="F707" t="str">
            <v>LSZHPH2500392</v>
          </cell>
        </row>
        <row r="708">
          <cell r="E708" t="str">
            <v>PUR-11-0106-05</v>
          </cell>
          <cell r="F708" t="str">
            <v>LSZHPH2500392</v>
          </cell>
        </row>
        <row r="709">
          <cell r="E709" t="str">
            <v>PUR-11-0128-04</v>
          </cell>
          <cell r="F709" t="str">
            <v>LSZHPH2500392</v>
          </cell>
        </row>
        <row r="710">
          <cell r="E710" t="str">
            <v>PUR-07-0210-00</v>
          </cell>
          <cell r="F710">
            <v>771467983920</v>
          </cell>
        </row>
        <row r="711">
          <cell r="E711" t="str">
            <v>LUC-EZZ-471743-00</v>
          </cell>
          <cell r="F711">
            <v>284420692410</v>
          </cell>
        </row>
        <row r="712">
          <cell r="E712" t="str">
            <v>LUC-EZZ-470181-00</v>
          </cell>
          <cell r="F712">
            <v>284420692410</v>
          </cell>
        </row>
        <row r="713">
          <cell r="E713" t="str">
            <v>PUR-15-0207-00</v>
          </cell>
          <cell r="F713">
            <v>771410640107</v>
          </cell>
        </row>
        <row r="714">
          <cell r="E714" t="str">
            <v>PUR-15-0207-00</v>
          </cell>
          <cell r="F714">
            <v>771410640107</v>
          </cell>
        </row>
        <row r="715">
          <cell r="E715" t="str">
            <v>PUR-15-0207-00</v>
          </cell>
          <cell r="F715">
            <v>771410640107</v>
          </cell>
        </row>
        <row r="716">
          <cell r="E716" t="str">
            <v>PUR-15-0207-00</v>
          </cell>
          <cell r="F716">
            <v>771410640107</v>
          </cell>
        </row>
        <row r="717">
          <cell r="E717" t="str">
            <v>PUR-15-0150-00</v>
          </cell>
          <cell r="F717">
            <v>771410640107</v>
          </cell>
        </row>
        <row r="718">
          <cell r="E718" t="str">
            <v>LUC-E00-420037-02</v>
          </cell>
          <cell r="F718">
            <v>435977392125</v>
          </cell>
        </row>
        <row r="719">
          <cell r="E719" t="str">
            <v>PUR-09-0427-00</v>
          </cell>
          <cell r="F719">
            <v>435977392125</v>
          </cell>
        </row>
        <row r="720">
          <cell r="E720" t="str">
            <v>PUR-09-0427-00</v>
          </cell>
          <cell r="F720">
            <v>435977392125</v>
          </cell>
        </row>
        <row r="721">
          <cell r="E721" t="str">
            <v>PUR-09-0213-00</v>
          </cell>
          <cell r="F721">
            <v>435977392125</v>
          </cell>
        </row>
        <row r="722">
          <cell r="E722" t="str">
            <v>PUR-09-0427-00</v>
          </cell>
          <cell r="F722">
            <v>435977392125</v>
          </cell>
        </row>
        <row r="723">
          <cell r="E723" t="str">
            <v>LUC-E00-470083-00</v>
          </cell>
          <cell r="F723">
            <v>731619990164</v>
          </cell>
        </row>
        <row r="724">
          <cell r="E724" t="str">
            <v>LUC-E00-510020-00</v>
          </cell>
          <cell r="F724">
            <v>731619990164</v>
          </cell>
        </row>
        <row r="725">
          <cell r="E725" t="str">
            <v>LUC-E00-400090-01</v>
          </cell>
          <cell r="F725">
            <v>437446975622</v>
          </cell>
        </row>
        <row r="726">
          <cell r="E726" t="str">
            <v>LUC-EZZ-470464-00</v>
          </cell>
          <cell r="F726">
            <v>437446975622</v>
          </cell>
        </row>
        <row r="727">
          <cell r="E727" t="str">
            <v>LUC-EZZ-690942-00</v>
          </cell>
          <cell r="F727">
            <v>437446975622</v>
          </cell>
        </row>
        <row r="728">
          <cell r="E728" t="str">
            <v>LUC-E00-470109-00</v>
          </cell>
          <cell r="F728">
            <v>416338333675</v>
          </cell>
        </row>
        <row r="729">
          <cell r="E729" t="str">
            <v>LUC-E00-510014-00</v>
          </cell>
          <cell r="F729">
            <v>428935019777</v>
          </cell>
        </row>
        <row r="730">
          <cell r="E730" t="str">
            <v>PUR-24-0024-00</v>
          </cell>
          <cell r="F730">
            <v>428935019777</v>
          </cell>
        </row>
        <row r="731">
          <cell r="E731" t="str">
            <v>PURET-24-0008-00</v>
          </cell>
          <cell r="F731">
            <v>428935019777</v>
          </cell>
        </row>
        <row r="732">
          <cell r="E732" t="str">
            <v>PUR-24-0024-00</v>
          </cell>
          <cell r="F732">
            <v>428935019777</v>
          </cell>
        </row>
        <row r="733">
          <cell r="E733" t="str">
            <v>LUC-E00-510032-00</v>
          </cell>
          <cell r="F733">
            <v>428935019777</v>
          </cell>
        </row>
        <row r="734">
          <cell r="E734" t="str">
            <v>LUC-E00-510032-00</v>
          </cell>
          <cell r="F734">
            <v>428935019777</v>
          </cell>
        </row>
        <row r="735">
          <cell r="E735" t="str">
            <v>EF-45090995</v>
          </cell>
          <cell r="F735">
            <v>426080008514</v>
          </cell>
        </row>
        <row r="736">
          <cell r="E736" t="str">
            <v>PUR-03-0091-02</v>
          </cell>
          <cell r="F736">
            <v>436975434276</v>
          </cell>
        </row>
        <row r="737">
          <cell r="E737" t="str">
            <v>PUR-03-0091-02</v>
          </cell>
          <cell r="F737">
            <v>436975434276</v>
          </cell>
        </row>
        <row r="738">
          <cell r="E738" t="str">
            <v>PUR-13-0125-00</v>
          </cell>
          <cell r="F738">
            <v>4914802987</v>
          </cell>
        </row>
        <row r="739">
          <cell r="E739" t="str">
            <v>PUR-13-0125-00</v>
          </cell>
          <cell r="F739">
            <v>4914802987</v>
          </cell>
        </row>
        <row r="740">
          <cell r="E740" t="str">
            <v>PUR-13-0125-00</v>
          </cell>
          <cell r="F740">
            <v>4914802987</v>
          </cell>
        </row>
        <row r="741">
          <cell r="E741" t="str">
            <v>AGI-500-40065-01</v>
          </cell>
          <cell r="F741">
            <v>4914802987</v>
          </cell>
        </row>
        <row r="742">
          <cell r="E742" t="str">
            <v>PURET-12-0212-00</v>
          </cell>
          <cell r="F742">
            <v>4914802987</v>
          </cell>
        </row>
        <row r="743">
          <cell r="E743" t="str">
            <v>PURET-12-0212-00</v>
          </cell>
          <cell r="F743">
            <v>4914802987</v>
          </cell>
        </row>
        <row r="744">
          <cell r="E744" t="str">
            <v>PURET-12-0212-00</v>
          </cell>
          <cell r="F744">
            <v>4914802987</v>
          </cell>
        </row>
        <row r="745">
          <cell r="E745" t="str">
            <v>PUR-13-0238-00</v>
          </cell>
          <cell r="F745">
            <v>4914802987</v>
          </cell>
        </row>
        <row r="746">
          <cell r="E746" t="str">
            <v>PUR-13-0229-00</v>
          </cell>
          <cell r="F746">
            <v>4914802987</v>
          </cell>
        </row>
        <row r="747">
          <cell r="E747" t="str">
            <v>PUR-13-0155-00</v>
          </cell>
          <cell r="F747">
            <v>4914802987</v>
          </cell>
        </row>
        <row r="748">
          <cell r="E748" t="str">
            <v>PUR-13-0153-00</v>
          </cell>
          <cell r="F748">
            <v>4914802987</v>
          </cell>
        </row>
        <row r="749">
          <cell r="E749" t="str">
            <v>PUR-13-0153-00</v>
          </cell>
          <cell r="F749">
            <v>4914802987</v>
          </cell>
        </row>
        <row r="750">
          <cell r="E750" t="str">
            <v>PUR-13-0212-00</v>
          </cell>
          <cell r="F750">
            <v>4914802987</v>
          </cell>
        </row>
        <row r="751">
          <cell r="E751" t="str">
            <v>PUR-13-0212-00</v>
          </cell>
          <cell r="F751">
            <v>4914802987</v>
          </cell>
        </row>
        <row r="752">
          <cell r="E752" t="str">
            <v>PUR-13-0138-00</v>
          </cell>
          <cell r="F752">
            <v>4914802987</v>
          </cell>
        </row>
        <row r="753">
          <cell r="E753" t="str">
            <v>PURET-13-0028-00</v>
          </cell>
          <cell r="F753">
            <v>4914802987</v>
          </cell>
        </row>
        <row r="754">
          <cell r="E754" t="str">
            <v>PUR-12-0297-00</v>
          </cell>
          <cell r="F754">
            <v>4914802987</v>
          </cell>
        </row>
        <row r="755">
          <cell r="E755" t="str">
            <v>PUR-12-0294-00</v>
          </cell>
          <cell r="F755">
            <v>4914802987</v>
          </cell>
        </row>
        <row r="756">
          <cell r="E756" t="str">
            <v>PUR-12-0449-00</v>
          </cell>
          <cell r="F756">
            <v>4914802987</v>
          </cell>
        </row>
        <row r="757">
          <cell r="E757" t="str">
            <v>PURET-12-0056-00</v>
          </cell>
          <cell r="F757">
            <v>4914802987</v>
          </cell>
        </row>
        <row r="758">
          <cell r="E758" t="str">
            <v>121-000519.X.X</v>
          </cell>
          <cell r="F758">
            <v>4914802987</v>
          </cell>
        </row>
        <row r="759">
          <cell r="E759" t="str">
            <v>PUR-12-0440-00</v>
          </cell>
          <cell r="F759">
            <v>4914802987</v>
          </cell>
        </row>
        <row r="760">
          <cell r="E760" t="str">
            <v>PUR-12-0293-00</v>
          </cell>
          <cell r="F760">
            <v>4914802987</v>
          </cell>
        </row>
        <row r="761">
          <cell r="E761" t="str">
            <v>PUR-12-0475-00</v>
          </cell>
          <cell r="F761">
            <v>4914802987</v>
          </cell>
        </row>
        <row r="762">
          <cell r="E762" t="str">
            <v>PURET-12-0170-00</v>
          </cell>
          <cell r="F762">
            <v>4914802987</v>
          </cell>
        </row>
        <row r="763">
          <cell r="E763" t="str">
            <v>PUR-12-0460-00</v>
          </cell>
          <cell r="F763">
            <v>4914802987</v>
          </cell>
        </row>
        <row r="764">
          <cell r="E764" t="str">
            <v>PURET-12-0011-00</v>
          </cell>
          <cell r="F764">
            <v>4914802987</v>
          </cell>
        </row>
        <row r="765">
          <cell r="E765" t="str">
            <v>PUR-12-0482-00</v>
          </cell>
          <cell r="F765">
            <v>4914802987</v>
          </cell>
        </row>
        <row r="766">
          <cell r="E766" t="str">
            <v>PUR-12-0412-00</v>
          </cell>
          <cell r="F766">
            <v>4914802987</v>
          </cell>
        </row>
        <row r="767">
          <cell r="E767" t="str">
            <v>PUR-12-0467-00</v>
          </cell>
          <cell r="F767">
            <v>4914802987</v>
          </cell>
        </row>
        <row r="768">
          <cell r="E768" t="str">
            <v>PUR-13-0227-00</v>
          </cell>
          <cell r="F768">
            <v>4914802987</v>
          </cell>
        </row>
        <row r="769">
          <cell r="E769" t="str">
            <v>PURET-13-0002-00</v>
          </cell>
          <cell r="F769">
            <v>4914802987</v>
          </cell>
        </row>
        <row r="770">
          <cell r="E770" t="str">
            <v>PUR-13-0215-00</v>
          </cell>
          <cell r="F770">
            <v>4914802987</v>
          </cell>
        </row>
        <row r="771">
          <cell r="E771" t="str">
            <v>122-000756.X.X</v>
          </cell>
          <cell r="F771">
            <v>4914802987</v>
          </cell>
        </row>
        <row r="772">
          <cell r="E772" t="str">
            <v>PUR-13-0226-00</v>
          </cell>
          <cell r="F772">
            <v>4914802987</v>
          </cell>
        </row>
        <row r="773">
          <cell r="E773" t="str">
            <v>122-000453.X.X</v>
          </cell>
          <cell r="F773">
            <v>4914802987</v>
          </cell>
        </row>
        <row r="774">
          <cell r="E774" t="str">
            <v>121-000585.X.X</v>
          </cell>
          <cell r="F774">
            <v>4914802987</v>
          </cell>
        </row>
        <row r="775">
          <cell r="E775" t="str">
            <v>LUC-E00-690010-02</v>
          </cell>
          <cell r="F775">
            <v>284425229692</v>
          </cell>
        </row>
        <row r="776">
          <cell r="E776" t="str">
            <v>LUC-E00-690010-01</v>
          </cell>
          <cell r="F776">
            <v>284425229692</v>
          </cell>
        </row>
        <row r="777">
          <cell r="E777" t="str">
            <v>LUC-E00-440024-00</v>
          </cell>
          <cell r="F777">
            <v>409298771597</v>
          </cell>
        </row>
        <row r="778">
          <cell r="E778" t="str">
            <v>LUC-E00-440031-00</v>
          </cell>
          <cell r="F778">
            <v>409298771597</v>
          </cell>
        </row>
        <row r="779">
          <cell r="E779" t="str">
            <v>LUC-E00-420014-03</v>
          </cell>
          <cell r="F779">
            <v>409298771597</v>
          </cell>
        </row>
        <row r="780">
          <cell r="E780" t="str">
            <v>LUC-E00-440011-00</v>
          </cell>
          <cell r="F780">
            <v>409298771597</v>
          </cell>
        </row>
        <row r="781">
          <cell r="E781" t="str">
            <v>LUC-EZZ-450236-00</v>
          </cell>
          <cell r="F781">
            <v>409298771597</v>
          </cell>
        </row>
        <row r="782">
          <cell r="E782" t="str">
            <v>LUC-E00-440032-01</v>
          </cell>
          <cell r="F782">
            <v>409298771597</v>
          </cell>
        </row>
        <row r="783">
          <cell r="E783" t="str">
            <v>LUC-E00-400010-004</v>
          </cell>
          <cell r="F783">
            <v>409298771597</v>
          </cell>
        </row>
        <row r="784">
          <cell r="E784" t="str">
            <v>LUC-E00-420054-03</v>
          </cell>
          <cell r="F784">
            <v>409298771597</v>
          </cell>
        </row>
        <row r="785">
          <cell r="E785" t="str">
            <v>EF-45139770</v>
          </cell>
          <cell r="F785">
            <v>409298771597</v>
          </cell>
        </row>
        <row r="786">
          <cell r="E786" t="str">
            <v>LUC-E00-440144-00</v>
          </cell>
          <cell r="F786">
            <v>409298771597</v>
          </cell>
        </row>
        <row r="787">
          <cell r="E787" t="str">
            <v>PUR-13-0237-00</v>
          </cell>
          <cell r="F787">
            <v>429083207224</v>
          </cell>
        </row>
        <row r="788">
          <cell r="E788" t="str">
            <v>EF-45087419</v>
          </cell>
          <cell r="F788">
            <v>429083207224</v>
          </cell>
        </row>
        <row r="789">
          <cell r="E789" t="str">
            <v>PUR-13-0154-00</v>
          </cell>
          <cell r="F789">
            <v>429083207224</v>
          </cell>
        </row>
        <row r="790">
          <cell r="E790" t="str">
            <v>PUR-14-0071-00</v>
          </cell>
          <cell r="F790">
            <v>429083207224</v>
          </cell>
        </row>
        <row r="791">
          <cell r="E791" t="str">
            <v>PUR-27-0024-00</v>
          </cell>
          <cell r="F791">
            <v>429083207224</v>
          </cell>
        </row>
        <row r="792">
          <cell r="E792" t="str">
            <v>PUR-14-0096-00</v>
          </cell>
          <cell r="F792">
            <v>429083207224</v>
          </cell>
        </row>
        <row r="793">
          <cell r="E793" t="str">
            <v>PUR-13-0235-00</v>
          </cell>
          <cell r="F793">
            <v>429083207224</v>
          </cell>
        </row>
        <row r="794">
          <cell r="E794" t="str">
            <v>LUC-E00-400011-000</v>
          </cell>
          <cell r="F794">
            <v>429083207224</v>
          </cell>
        </row>
        <row r="795">
          <cell r="E795" t="str">
            <v>PURET-13-0066-00</v>
          </cell>
          <cell r="F795">
            <v>434611751460</v>
          </cell>
        </row>
        <row r="796">
          <cell r="E796" t="str">
            <v>PUR-13-0167-00</v>
          </cell>
          <cell r="F796">
            <v>434611751460</v>
          </cell>
        </row>
        <row r="797">
          <cell r="E797" t="str">
            <v>PUR-13-0161-00</v>
          </cell>
          <cell r="F797">
            <v>434611751460</v>
          </cell>
        </row>
        <row r="798">
          <cell r="E798" t="str">
            <v>EF-45135293</v>
          </cell>
          <cell r="F798">
            <v>434611751460</v>
          </cell>
        </row>
        <row r="799">
          <cell r="E799" t="str">
            <v>EF-45076937</v>
          </cell>
          <cell r="F799">
            <v>434611751460</v>
          </cell>
        </row>
        <row r="800">
          <cell r="E800" t="str">
            <v>AGI-510-40123-01</v>
          </cell>
          <cell r="F800">
            <v>771536518436</v>
          </cell>
        </row>
        <row r="801">
          <cell r="E801" t="str">
            <v>AIC-MP-00007006-000</v>
          </cell>
          <cell r="F801">
            <v>771495424940</v>
          </cell>
        </row>
        <row r="802">
          <cell r="E802" t="str">
            <v>AIC-MP-00005582-000</v>
          </cell>
          <cell r="F802">
            <v>771496934778</v>
          </cell>
        </row>
        <row r="803">
          <cell r="E803" t="str">
            <v>AIC-MP-00007135-000</v>
          </cell>
          <cell r="F803">
            <v>771496934778</v>
          </cell>
        </row>
        <row r="804">
          <cell r="E804" t="str">
            <v>AGI-532-50005-01</v>
          </cell>
          <cell r="F804">
            <v>771496934778</v>
          </cell>
        </row>
        <row r="805">
          <cell r="E805" t="str">
            <v>PUR-37-0039-00</v>
          </cell>
          <cell r="F805">
            <v>433911850332</v>
          </cell>
        </row>
        <row r="806">
          <cell r="E806" t="str">
            <v>132-000202.X.X</v>
          </cell>
          <cell r="F806">
            <v>562524458282</v>
          </cell>
        </row>
        <row r="807">
          <cell r="E807" t="str">
            <v>AIC-MP-00006801-000</v>
          </cell>
          <cell r="F807">
            <v>771534688421</v>
          </cell>
        </row>
        <row r="808">
          <cell r="E808" t="str">
            <v>AIC-MP-00006777-000</v>
          </cell>
          <cell r="F808">
            <v>771534688421</v>
          </cell>
        </row>
        <row r="809">
          <cell r="E809" t="str">
            <v>AIC-MP-00007169-000</v>
          </cell>
          <cell r="F809">
            <v>771534688421</v>
          </cell>
        </row>
        <row r="810">
          <cell r="E810" t="str">
            <v>AIC-MP-00006991-000</v>
          </cell>
          <cell r="F810">
            <v>771534688421</v>
          </cell>
        </row>
        <row r="811">
          <cell r="E811" t="str">
            <v>AIC-MP-00006992-000</v>
          </cell>
          <cell r="F811">
            <v>771534688421</v>
          </cell>
        </row>
        <row r="812">
          <cell r="E812" t="str">
            <v>AIC-MP-00006994-000</v>
          </cell>
          <cell r="F812">
            <v>771534688421</v>
          </cell>
        </row>
        <row r="813">
          <cell r="E813" t="str">
            <v>LUC-P21-KA3200-00</v>
          </cell>
          <cell r="F813">
            <v>771466960820</v>
          </cell>
        </row>
        <row r="814">
          <cell r="E814" t="str">
            <v>LUC-E00-510046-00</v>
          </cell>
          <cell r="F814">
            <v>4711831565</v>
          </cell>
        </row>
        <row r="815">
          <cell r="E815" t="str">
            <v>EF-45092354.X.X</v>
          </cell>
          <cell r="F815">
            <v>4711831565</v>
          </cell>
        </row>
        <row r="816">
          <cell r="E816" t="str">
            <v>LUC-E00-470039-00</v>
          </cell>
          <cell r="F816">
            <v>4711831565</v>
          </cell>
        </row>
        <row r="817">
          <cell r="E817" t="str">
            <v>LUC-E00-400011-005</v>
          </cell>
          <cell r="F817">
            <v>4711831565</v>
          </cell>
        </row>
        <row r="818">
          <cell r="E818" t="str">
            <v>LUC-E00-690001-00</v>
          </cell>
          <cell r="F818">
            <v>4711831565</v>
          </cell>
        </row>
        <row r="819">
          <cell r="E819" t="str">
            <v>LUC-E00-470039-00</v>
          </cell>
          <cell r="F819">
            <v>4711831565</v>
          </cell>
        </row>
        <row r="820">
          <cell r="E820" t="str">
            <v>PUR-03-0092-03</v>
          </cell>
          <cell r="F820" t="str">
            <v>8TV1806</v>
          </cell>
        </row>
        <row r="821">
          <cell r="E821" t="str">
            <v>PUR-11-0127-04</v>
          </cell>
          <cell r="F821" t="str">
            <v xml:space="preserve">LPIAHPH250152 </v>
          </cell>
        </row>
        <row r="822">
          <cell r="E822" t="str">
            <v>PUR-11-0127-04</v>
          </cell>
          <cell r="F822" t="str">
            <v xml:space="preserve">LPIAHPH250152 </v>
          </cell>
        </row>
        <row r="823">
          <cell r="E823" t="str">
            <v>PUR-03-0092-03</v>
          </cell>
          <cell r="F823" t="str">
            <v>8TV1809</v>
          </cell>
        </row>
        <row r="824">
          <cell r="E824" t="str">
            <v>PUR-03-0092-03</v>
          </cell>
          <cell r="F824" t="str">
            <v>8TV1807</v>
          </cell>
        </row>
        <row r="825">
          <cell r="E825" t="str">
            <v>PUR-03-0092-03</v>
          </cell>
          <cell r="F825" t="str">
            <v>8TV1808</v>
          </cell>
        </row>
        <row r="826">
          <cell r="E826" t="str">
            <v>AIC-MP-00005844-000</v>
          </cell>
          <cell r="F826">
            <v>771567185854</v>
          </cell>
        </row>
        <row r="827">
          <cell r="E827" t="str">
            <v>AIC-MP-00006411-000</v>
          </cell>
          <cell r="F827">
            <v>771567185854</v>
          </cell>
        </row>
        <row r="828">
          <cell r="E828" t="str">
            <v>AIC-MP-00006260-000</v>
          </cell>
          <cell r="F828">
            <v>771567185854</v>
          </cell>
        </row>
        <row r="829">
          <cell r="E829" t="str">
            <v>AIC-MP-00007185-000</v>
          </cell>
          <cell r="F829">
            <v>771567185854</v>
          </cell>
        </row>
        <row r="830">
          <cell r="E830" t="str">
            <v>AIC-MP-00006917-000</v>
          </cell>
          <cell r="F830">
            <v>771567185854</v>
          </cell>
        </row>
        <row r="831">
          <cell r="E831" t="str">
            <v>AIC-MP-00005825-000</v>
          </cell>
          <cell r="F831">
            <v>771567185854</v>
          </cell>
        </row>
        <row r="832">
          <cell r="E832" t="str">
            <v>AIC-MP-00000764-000</v>
          </cell>
          <cell r="F832">
            <v>771567185854</v>
          </cell>
        </row>
        <row r="833">
          <cell r="E833" t="str">
            <v>AIC-MP-00006485-000</v>
          </cell>
          <cell r="F833">
            <v>771567185854</v>
          </cell>
        </row>
        <row r="834">
          <cell r="E834" t="str">
            <v>AIC-MP-00005821-000</v>
          </cell>
          <cell r="F834">
            <v>771567185854</v>
          </cell>
        </row>
        <row r="835">
          <cell r="E835" t="str">
            <v>AIC-MP-00006771-000</v>
          </cell>
          <cell r="F835">
            <v>771567185854</v>
          </cell>
        </row>
        <row r="836">
          <cell r="E836" t="str">
            <v>AIC-MP-00005911-000</v>
          </cell>
          <cell r="F836">
            <v>771567185854</v>
          </cell>
        </row>
        <row r="837">
          <cell r="E837" t="str">
            <v>PUR-07-0315-00</v>
          </cell>
          <cell r="F837">
            <v>771534731583</v>
          </cell>
        </row>
        <row r="838">
          <cell r="E838" t="str">
            <v>PUR-07-0315-00</v>
          </cell>
          <cell r="F838">
            <v>771534731583</v>
          </cell>
        </row>
        <row r="839">
          <cell r="E839" t="str">
            <v>PUR-07-0334-00</v>
          </cell>
          <cell r="F839">
            <v>771534731583</v>
          </cell>
        </row>
        <row r="840">
          <cell r="E840" t="str">
            <v>PUR-07-0315-00</v>
          </cell>
          <cell r="F840">
            <v>771534731583</v>
          </cell>
        </row>
        <row r="841">
          <cell r="E841" t="str">
            <v>PUR-07-0315-00</v>
          </cell>
          <cell r="F841">
            <v>771534731583</v>
          </cell>
        </row>
        <row r="842">
          <cell r="E842" t="str">
            <v>PUR-07-0334-00</v>
          </cell>
          <cell r="F842">
            <v>771534731583</v>
          </cell>
        </row>
        <row r="843">
          <cell r="E843" t="str">
            <v>103-000216.X.X</v>
          </cell>
          <cell r="F843">
            <v>700847194738</v>
          </cell>
        </row>
        <row r="844">
          <cell r="E844" t="str">
            <v>103-000216.X.X</v>
          </cell>
          <cell r="F844">
            <v>700847194738</v>
          </cell>
        </row>
        <row r="845">
          <cell r="E845" t="str">
            <v>141-001532</v>
          </cell>
          <cell r="F845">
            <v>771536054154</v>
          </cell>
        </row>
        <row r="846">
          <cell r="E846" t="str">
            <v>141-001583</v>
          </cell>
          <cell r="F846">
            <v>771536054154</v>
          </cell>
        </row>
        <row r="847">
          <cell r="E847" t="str">
            <v>141-001532</v>
          </cell>
          <cell r="F847">
            <v>771536054154</v>
          </cell>
        </row>
        <row r="848">
          <cell r="E848" t="str">
            <v>141-001532</v>
          </cell>
          <cell r="F848">
            <v>771536054154</v>
          </cell>
        </row>
        <row r="849">
          <cell r="E849" t="str">
            <v>141-001583</v>
          </cell>
          <cell r="F849">
            <v>771536054154</v>
          </cell>
        </row>
        <row r="850">
          <cell r="E850" t="str">
            <v>141-001532</v>
          </cell>
          <cell r="F850">
            <v>771536054154</v>
          </cell>
        </row>
        <row r="851">
          <cell r="E851" t="str">
            <v>PUR-05-0028-00</v>
          </cell>
          <cell r="F851">
            <v>437408804339</v>
          </cell>
        </row>
        <row r="852">
          <cell r="E852" t="str">
            <v>PURET-13-0119-00</v>
          </cell>
          <cell r="F852">
            <v>423264325445</v>
          </cell>
        </row>
        <row r="853">
          <cell r="E853" t="str">
            <v>PURET-13-0119-00</v>
          </cell>
          <cell r="F853">
            <v>423264325445</v>
          </cell>
        </row>
        <row r="854">
          <cell r="E854" t="str">
            <v>PURET-13-0119-00</v>
          </cell>
          <cell r="F854">
            <v>423264325445</v>
          </cell>
        </row>
        <row r="855">
          <cell r="E855" t="str">
            <v>PURET-13-0001-00</v>
          </cell>
          <cell r="F855">
            <v>423264325445</v>
          </cell>
        </row>
        <row r="856">
          <cell r="E856" t="str">
            <v>PURET-13-0040-00</v>
          </cell>
          <cell r="F856">
            <v>423264325445</v>
          </cell>
        </row>
        <row r="857">
          <cell r="E857" t="str">
            <v>122-001191</v>
          </cell>
          <cell r="F857">
            <v>423264325445</v>
          </cell>
        </row>
        <row r="858">
          <cell r="E858" t="str">
            <v>PUR-12-0314-00</v>
          </cell>
          <cell r="F858">
            <v>423264325445</v>
          </cell>
        </row>
        <row r="859">
          <cell r="E859" t="str">
            <v>PURET-12-0212-00</v>
          </cell>
          <cell r="F859">
            <v>423264325445</v>
          </cell>
        </row>
        <row r="860">
          <cell r="E860" t="str">
            <v>EF-45045387.X.X</v>
          </cell>
          <cell r="F860">
            <v>423264325445</v>
          </cell>
        </row>
        <row r="861">
          <cell r="E861" t="str">
            <v>AGI-510-50007-01</v>
          </cell>
          <cell r="F861">
            <v>423264325445</v>
          </cell>
        </row>
        <row r="862">
          <cell r="E862" t="str">
            <v>AGI-510-50007-01</v>
          </cell>
          <cell r="F862">
            <v>423264325445</v>
          </cell>
        </row>
        <row r="863">
          <cell r="E863" t="str">
            <v>PUR-13-0159-00</v>
          </cell>
          <cell r="F863">
            <v>423264325445</v>
          </cell>
        </row>
        <row r="864">
          <cell r="E864" t="str">
            <v>PUR-13-0150-00</v>
          </cell>
          <cell r="F864">
            <v>423264325445</v>
          </cell>
        </row>
        <row r="865">
          <cell r="E865" t="str">
            <v>PUR-13-0153-00</v>
          </cell>
          <cell r="F865">
            <v>423264325445</v>
          </cell>
        </row>
        <row r="866">
          <cell r="E866" t="str">
            <v>EF-45090819</v>
          </cell>
          <cell r="F866">
            <v>423264325445</v>
          </cell>
        </row>
        <row r="867">
          <cell r="E867" t="str">
            <v>PUR-13-0148-00</v>
          </cell>
          <cell r="F867">
            <v>423264325445</v>
          </cell>
        </row>
        <row r="868">
          <cell r="E868" t="str">
            <v>PUR-13-0152-00</v>
          </cell>
          <cell r="F868">
            <v>423264325445</v>
          </cell>
        </row>
        <row r="869">
          <cell r="E869" t="str">
            <v>PUR-12-0408-00</v>
          </cell>
          <cell r="F869">
            <v>423264325445</v>
          </cell>
        </row>
        <row r="870">
          <cell r="E870" t="str">
            <v>AGI-500-50010-01</v>
          </cell>
          <cell r="F870">
            <v>423264325445</v>
          </cell>
        </row>
        <row r="871">
          <cell r="E871" t="str">
            <v>PUR-12-0332-00</v>
          </cell>
          <cell r="F871">
            <v>423264325445</v>
          </cell>
        </row>
        <row r="872">
          <cell r="E872" t="str">
            <v>AGI-500-50007-01</v>
          </cell>
          <cell r="F872">
            <v>423264325445</v>
          </cell>
        </row>
        <row r="873">
          <cell r="E873" t="str">
            <v>PUR-12-0254-00</v>
          </cell>
          <cell r="F873">
            <v>423264325445</v>
          </cell>
        </row>
        <row r="874">
          <cell r="E874" t="str">
            <v>PURET-12-0100-00</v>
          </cell>
          <cell r="F874">
            <v>423264325445</v>
          </cell>
        </row>
        <row r="875">
          <cell r="E875" t="str">
            <v>PUR-12-0483-00</v>
          </cell>
          <cell r="F875">
            <v>423264325445</v>
          </cell>
        </row>
        <row r="876">
          <cell r="E876" t="str">
            <v>PUR-12-0322-00</v>
          </cell>
          <cell r="F876">
            <v>423264325445</v>
          </cell>
        </row>
        <row r="877">
          <cell r="E877" t="str">
            <v>EF-45061965.X.X</v>
          </cell>
          <cell r="F877">
            <v>423264325445</v>
          </cell>
        </row>
        <row r="878">
          <cell r="E878" t="str">
            <v>EF-45036478</v>
          </cell>
          <cell r="F878">
            <v>423264325445</v>
          </cell>
        </row>
        <row r="879">
          <cell r="E879" t="str">
            <v>EF-45036455.X.X</v>
          </cell>
          <cell r="F879">
            <v>423264325445</v>
          </cell>
        </row>
        <row r="880">
          <cell r="E880" t="str">
            <v>EF-45105280</v>
          </cell>
          <cell r="F880">
            <v>423264325445</v>
          </cell>
        </row>
        <row r="881">
          <cell r="E881" t="str">
            <v>121-000519.X.X</v>
          </cell>
          <cell r="F881">
            <v>423264325445</v>
          </cell>
        </row>
        <row r="882">
          <cell r="E882" t="str">
            <v>EF-45036468.X.X</v>
          </cell>
          <cell r="F882">
            <v>423264325445</v>
          </cell>
        </row>
        <row r="883">
          <cell r="E883" t="str">
            <v>PUR-12-0284-00</v>
          </cell>
          <cell r="F883">
            <v>423264325445</v>
          </cell>
        </row>
        <row r="884">
          <cell r="E884" t="str">
            <v>EF-45055016</v>
          </cell>
          <cell r="F884">
            <v>423264325445</v>
          </cell>
        </row>
        <row r="885">
          <cell r="E885" t="str">
            <v>PUR-12-0328-00</v>
          </cell>
          <cell r="F885">
            <v>423264325445</v>
          </cell>
        </row>
        <row r="886">
          <cell r="E886" t="str">
            <v>PUR-12-0271-00</v>
          </cell>
          <cell r="F886">
            <v>423264325445</v>
          </cell>
        </row>
        <row r="887">
          <cell r="E887" t="str">
            <v>PUR-12-0475-00</v>
          </cell>
          <cell r="F887">
            <v>423264325445</v>
          </cell>
        </row>
        <row r="888">
          <cell r="E888" t="str">
            <v>EF-45125129</v>
          </cell>
          <cell r="F888">
            <v>423264325445</v>
          </cell>
        </row>
        <row r="889">
          <cell r="E889" t="str">
            <v>PUR-12-0313-00</v>
          </cell>
          <cell r="F889">
            <v>423264325445</v>
          </cell>
        </row>
        <row r="890">
          <cell r="E890" t="str">
            <v>EF-45050182.X.X</v>
          </cell>
          <cell r="F890">
            <v>423264325445</v>
          </cell>
        </row>
        <row r="891">
          <cell r="E891" t="str">
            <v>EF-45037085.X.X</v>
          </cell>
          <cell r="F891">
            <v>423264325445</v>
          </cell>
        </row>
        <row r="892">
          <cell r="E892" t="str">
            <v>PUR-12-0365-00</v>
          </cell>
          <cell r="F892">
            <v>423264325445</v>
          </cell>
        </row>
        <row r="893">
          <cell r="E893" t="str">
            <v>EF-45093049.X.X</v>
          </cell>
          <cell r="F893">
            <v>423264325445</v>
          </cell>
        </row>
        <row r="894">
          <cell r="E894" t="str">
            <v>EF-45043491.X.X</v>
          </cell>
          <cell r="F894">
            <v>423264325445</v>
          </cell>
        </row>
        <row r="895">
          <cell r="E895" t="str">
            <v>EF-45036465</v>
          </cell>
          <cell r="F895">
            <v>423264325445</v>
          </cell>
        </row>
        <row r="896">
          <cell r="E896" t="str">
            <v>EF-45043826.X.X</v>
          </cell>
          <cell r="F896">
            <v>423264325445</v>
          </cell>
        </row>
        <row r="897">
          <cell r="E897" t="str">
            <v>121-000193.X.X</v>
          </cell>
          <cell r="F897">
            <v>423264325445</v>
          </cell>
        </row>
        <row r="898">
          <cell r="E898" t="str">
            <v>PUR-12-0310-00</v>
          </cell>
          <cell r="F898">
            <v>423264325445</v>
          </cell>
        </row>
        <row r="899">
          <cell r="E899" t="str">
            <v>EF-45036483.X.X</v>
          </cell>
          <cell r="F899">
            <v>423264325445</v>
          </cell>
        </row>
        <row r="900">
          <cell r="E900" t="str">
            <v>EF-45043827.X.X</v>
          </cell>
          <cell r="F900">
            <v>423264325445</v>
          </cell>
        </row>
        <row r="901">
          <cell r="E901" t="str">
            <v>EF-45043833.X.X</v>
          </cell>
          <cell r="F901">
            <v>423264325445</v>
          </cell>
        </row>
        <row r="902">
          <cell r="E902" t="str">
            <v>EF-45048818</v>
          </cell>
          <cell r="F902">
            <v>423264325445</v>
          </cell>
        </row>
        <row r="903">
          <cell r="E903" t="str">
            <v>EF-45120026</v>
          </cell>
          <cell r="F903">
            <v>423264325445</v>
          </cell>
        </row>
        <row r="904">
          <cell r="E904" t="str">
            <v>PUR-12-0482-00</v>
          </cell>
          <cell r="F904">
            <v>423264325445</v>
          </cell>
        </row>
        <row r="905">
          <cell r="E905" t="str">
            <v>EF-45140221</v>
          </cell>
          <cell r="F905">
            <v>423264325445</v>
          </cell>
        </row>
        <row r="906">
          <cell r="E906" t="str">
            <v>121-000359.X.X</v>
          </cell>
          <cell r="F906">
            <v>423264325445</v>
          </cell>
        </row>
        <row r="907">
          <cell r="E907" t="str">
            <v>121-000359.X.X</v>
          </cell>
          <cell r="F907">
            <v>423264325445</v>
          </cell>
        </row>
        <row r="908">
          <cell r="E908" t="str">
            <v>AGI-510-50004-01</v>
          </cell>
          <cell r="F908">
            <v>423264325445</v>
          </cell>
        </row>
        <row r="909">
          <cell r="E909" t="str">
            <v>PUR-13-0244-00</v>
          </cell>
          <cell r="F909">
            <v>423264325445</v>
          </cell>
        </row>
        <row r="910">
          <cell r="E910" t="str">
            <v>122-000673.X.X</v>
          </cell>
          <cell r="F910">
            <v>423264325445</v>
          </cell>
        </row>
        <row r="911">
          <cell r="E911" t="str">
            <v>PUR-13-0156-00</v>
          </cell>
          <cell r="F911">
            <v>423264325445</v>
          </cell>
        </row>
        <row r="912">
          <cell r="E912" t="str">
            <v>PUR-13-0156-00</v>
          </cell>
          <cell r="F912">
            <v>423264325445</v>
          </cell>
        </row>
        <row r="913">
          <cell r="E913" t="str">
            <v>PUR-14-0051-00</v>
          </cell>
          <cell r="F913">
            <v>423264325445</v>
          </cell>
        </row>
        <row r="914">
          <cell r="E914" t="str">
            <v>PURET-13-0001-00</v>
          </cell>
          <cell r="F914">
            <v>423264325445</v>
          </cell>
        </row>
        <row r="915">
          <cell r="E915" t="str">
            <v>PUR-12-0297-00</v>
          </cell>
          <cell r="F915">
            <v>423264325445</v>
          </cell>
        </row>
        <row r="916">
          <cell r="E916" t="str">
            <v>PUR-12-0297-00</v>
          </cell>
          <cell r="F916">
            <v>423264325445</v>
          </cell>
        </row>
        <row r="917">
          <cell r="E917" t="str">
            <v>EF-45188276</v>
          </cell>
          <cell r="F917">
            <v>423264325445</v>
          </cell>
        </row>
        <row r="918">
          <cell r="E918" t="str">
            <v>PURET-13-0002-00</v>
          </cell>
          <cell r="F918">
            <v>423264325445</v>
          </cell>
        </row>
        <row r="919">
          <cell r="E919" t="str">
            <v>121-001823</v>
          </cell>
          <cell r="F919">
            <v>423264325445</v>
          </cell>
        </row>
        <row r="920">
          <cell r="E920" t="str">
            <v>121-001823</v>
          </cell>
          <cell r="F920">
            <v>423264325445</v>
          </cell>
        </row>
        <row r="921">
          <cell r="E921" t="str">
            <v>121-001823</v>
          </cell>
          <cell r="F921">
            <v>423264325445</v>
          </cell>
        </row>
        <row r="922">
          <cell r="E922" t="str">
            <v>121-001823</v>
          </cell>
          <cell r="F922">
            <v>423264325445</v>
          </cell>
        </row>
        <row r="923">
          <cell r="E923" t="str">
            <v>EF-45092460.X.X</v>
          </cell>
          <cell r="F923">
            <v>423264325445</v>
          </cell>
        </row>
        <row r="924">
          <cell r="E924" t="str">
            <v>132-001498</v>
          </cell>
          <cell r="F924">
            <v>284541607448</v>
          </cell>
        </row>
        <row r="925">
          <cell r="E925" t="str">
            <v>103-001602</v>
          </cell>
          <cell r="F925">
            <v>771563363735</v>
          </cell>
        </row>
        <row r="926">
          <cell r="E926" t="str">
            <v>LUC-E00-470093-00</v>
          </cell>
          <cell r="F926">
            <v>284619645818</v>
          </cell>
        </row>
        <row r="927">
          <cell r="E927" t="str">
            <v>LUC-E00-400011-004</v>
          </cell>
          <cell r="F927">
            <v>439334585103</v>
          </cell>
        </row>
        <row r="928">
          <cell r="E928" t="str">
            <v>EF-45039988</v>
          </cell>
          <cell r="F928">
            <v>439334585103</v>
          </cell>
        </row>
        <row r="929">
          <cell r="E929" t="str">
            <v>LUC-E00-450010-00</v>
          </cell>
          <cell r="F929">
            <v>439334585103</v>
          </cell>
        </row>
        <row r="930">
          <cell r="E930" t="str">
            <v>LUC-E00-420037-02</v>
          </cell>
          <cell r="F930">
            <v>771591335058</v>
          </cell>
        </row>
        <row r="931">
          <cell r="E931" t="str">
            <v>LUC-E00-420116-01</v>
          </cell>
          <cell r="F931">
            <v>771591335058</v>
          </cell>
        </row>
        <row r="932">
          <cell r="E932" t="str">
            <v>PUR-13-0162-00</v>
          </cell>
          <cell r="F932">
            <v>429083208140</v>
          </cell>
        </row>
        <row r="933">
          <cell r="E933" t="str">
            <v>LUC-E00-400043-00</v>
          </cell>
          <cell r="F933">
            <v>429083208140</v>
          </cell>
        </row>
        <row r="934">
          <cell r="E934" t="str">
            <v>EF-45046948.X.X</v>
          </cell>
          <cell r="F934">
            <v>429083208140</v>
          </cell>
        </row>
        <row r="935">
          <cell r="E935" t="str">
            <v>EF-45135159</v>
          </cell>
          <cell r="F935">
            <v>429083208140</v>
          </cell>
        </row>
        <row r="936">
          <cell r="E936" t="str">
            <v>LUC-E00-400025-01</v>
          </cell>
          <cell r="F936">
            <v>429083208140</v>
          </cell>
        </row>
        <row r="937">
          <cell r="E937" t="str">
            <v>PUR-13-0154-00</v>
          </cell>
          <cell r="F937">
            <v>429083208140</v>
          </cell>
        </row>
        <row r="938">
          <cell r="E938" t="str">
            <v>PUR-27-0024-00</v>
          </cell>
          <cell r="F938">
            <v>429083208140</v>
          </cell>
        </row>
        <row r="939">
          <cell r="E939" t="str">
            <v>LUC-E00-400011-000</v>
          </cell>
          <cell r="F939">
            <v>429083208140</v>
          </cell>
        </row>
        <row r="940">
          <cell r="E940" t="str">
            <v>PUR-14-0071-00</v>
          </cell>
          <cell r="F940">
            <v>429083208140</v>
          </cell>
        </row>
        <row r="941">
          <cell r="E941" t="str">
            <v>LUC-P00-F193DG-00</v>
          </cell>
          <cell r="F941">
            <v>771589616201</v>
          </cell>
        </row>
        <row r="942">
          <cell r="E942" t="str">
            <v>LUC-P00-F143AG-00</v>
          </cell>
          <cell r="F942">
            <v>771589616201</v>
          </cell>
        </row>
        <row r="943">
          <cell r="E943" t="str">
            <v>LUC-P00-F856AY-01</v>
          </cell>
          <cell r="F943">
            <v>771589616201</v>
          </cell>
        </row>
        <row r="944">
          <cell r="E944" t="str">
            <v>LUC-E00-460009-00</v>
          </cell>
          <cell r="F944">
            <v>438587441891</v>
          </cell>
        </row>
        <row r="945">
          <cell r="E945" t="str">
            <v>LUC-E00-400010-026</v>
          </cell>
          <cell r="F945">
            <v>438587441891</v>
          </cell>
        </row>
        <row r="946">
          <cell r="E946" t="str">
            <v>PUR-14-0087-00</v>
          </cell>
          <cell r="F946">
            <v>438587441891</v>
          </cell>
        </row>
        <row r="947">
          <cell r="E947" t="str">
            <v>LUC-E00-420027-05</v>
          </cell>
          <cell r="F947">
            <v>438587441891</v>
          </cell>
        </row>
        <row r="948">
          <cell r="E948" t="str">
            <v>PUR-14-0087-00</v>
          </cell>
          <cell r="F948">
            <v>438587441891</v>
          </cell>
        </row>
        <row r="949">
          <cell r="E949" t="str">
            <v>PUR-14-0087-00</v>
          </cell>
          <cell r="F949">
            <v>438587441891</v>
          </cell>
        </row>
        <row r="950">
          <cell r="E950" t="str">
            <v>LUC-E00-450056-00</v>
          </cell>
          <cell r="F950">
            <v>438587441891</v>
          </cell>
        </row>
        <row r="951">
          <cell r="E951" t="str">
            <v>LUC-E00-400010-000</v>
          </cell>
          <cell r="F951">
            <v>438587441891</v>
          </cell>
        </row>
        <row r="952">
          <cell r="E952" t="str">
            <v>LUC-E00-420027-05</v>
          </cell>
          <cell r="F952">
            <v>438587441891</v>
          </cell>
        </row>
        <row r="953">
          <cell r="E953" t="str">
            <v>LUC-E00-470028-00</v>
          </cell>
          <cell r="F953">
            <v>438587441891</v>
          </cell>
        </row>
        <row r="954">
          <cell r="E954" t="str">
            <v>LUC-E00-400010-000</v>
          </cell>
          <cell r="F954">
            <v>438587441891</v>
          </cell>
        </row>
        <row r="955">
          <cell r="E955" t="str">
            <v>LUC-E00-420027-05</v>
          </cell>
          <cell r="F955">
            <v>438587441891</v>
          </cell>
        </row>
        <row r="956">
          <cell r="E956" t="str">
            <v>LUC-E00-470083-00</v>
          </cell>
          <cell r="F956">
            <v>438587446058</v>
          </cell>
        </row>
        <row r="957">
          <cell r="E957" t="str">
            <v>PUR-09-0294-00</v>
          </cell>
          <cell r="F957">
            <v>438587446058</v>
          </cell>
        </row>
        <row r="958">
          <cell r="E958" t="str">
            <v>LUC-E00-400010-001</v>
          </cell>
          <cell r="F958">
            <v>438587446058</v>
          </cell>
        </row>
        <row r="959">
          <cell r="E959" t="str">
            <v>LUC-E00-450070-00</v>
          </cell>
          <cell r="F959">
            <v>438587446058</v>
          </cell>
        </row>
        <row r="960">
          <cell r="E960" t="str">
            <v>PUR-09-0260-00</v>
          </cell>
          <cell r="F960">
            <v>438587446058</v>
          </cell>
        </row>
        <row r="961">
          <cell r="E961" t="str">
            <v>LUC-E00-400010-021</v>
          </cell>
          <cell r="F961">
            <v>438587446058</v>
          </cell>
        </row>
        <row r="962">
          <cell r="E962" t="str">
            <v>PUR-09-0294-00</v>
          </cell>
          <cell r="F962">
            <v>438587446058</v>
          </cell>
        </row>
        <row r="963">
          <cell r="E963" t="str">
            <v>EF-45141425</v>
          </cell>
          <cell r="F963" t="str">
            <v>ASPHPHE14272105</v>
          </cell>
        </row>
        <row r="964">
          <cell r="E964" t="str">
            <v>EF-45141425</v>
          </cell>
          <cell r="F964" t="str">
            <v>ASPHPHE14272105</v>
          </cell>
        </row>
        <row r="965">
          <cell r="E965" t="str">
            <v>EF-45171576</v>
          </cell>
          <cell r="F965" t="str">
            <v>ASPHPHE14272105</v>
          </cell>
        </row>
        <row r="966">
          <cell r="E966" t="str">
            <v>AGI-410-50002-01</v>
          </cell>
          <cell r="F966">
            <v>119206473230</v>
          </cell>
        </row>
        <row r="967">
          <cell r="E967" t="str">
            <v>AGI-410-50002-01</v>
          </cell>
          <cell r="F967">
            <v>119206473230</v>
          </cell>
        </row>
        <row r="968">
          <cell r="E968" t="str">
            <v>AGI-410-50002-01</v>
          </cell>
          <cell r="F968">
            <v>119206473230</v>
          </cell>
        </row>
        <row r="969">
          <cell r="E969" t="str">
            <v>102-001627</v>
          </cell>
          <cell r="F969">
            <v>436045124199</v>
          </cell>
        </row>
        <row r="970">
          <cell r="E970" t="str">
            <v>LUC-E00-400067-263</v>
          </cell>
          <cell r="F970">
            <v>438587430173</v>
          </cell>
        </row>
        <row r="971">
          <cell r="E971" t="str">
            <v>EF-45093131.X.X</v>
          </cell>
          <cell r="F971">
            <v>419341526398</v>
          </cell>
        </row>
        <row r="972">
          <cell r="E972" t="str">
            <v>LUC-P11-K41E00-01</v>
          </cell>
          <cell r="F972">
            <v>439256559391</v>
          </cell>
        </row>
        <row r="973">
          <cell r="E973" t="str">
            <v>EF-45055292</v>
          </cell>
          <cell r="F973">
            <v>439256559391</v>
          </cell>
        </row>
        <row r="974">
          <cell r="E974" t="str">
            <v>LUC-E00-420241-00</v>
          </cell>
          <cell r="F974">
            <v>439256559391</v>
          </cell>
        </row>
        <row r="975">
          <cell r="E975" t="str">
            <v>AIC-MP-00000271-000</v>
          </cell>
          <cell r="F975">
            <v>439256559391</v>
          </cell>
        </row>
        <row r="976">
          <cell r="E976" t="str">
            <v>LUC-E00-470082-00</v>
          </cell>
          <cell r="F976">
            <v>439256559391</v>
          </cell>
        </row>
        <row r="977">
          <cell r="E977" t="str">
            <v>LUC-EZZ-400414-00</v>
          </cell>
          <cell r="F977">
            <v>439256559391</v>
          </cell>
        </row>
        <row r="978">
          <cell r="E978" t="str">
            <v>LUC-E00-470096-00</v>
          </cell>
          <cell r="F978">
            <v>4110321014</v>
          </cell>
        </row>
        <row r="979">
          <cell r="E979" t="str">
            <v>LUC-EZZ-690942-00</v>
          </cell>
          <cell r="F979">
            <v>4110321061</v>
          </cell>
        </row>
        <row r="980">
          <cell r="E980" t="str">
            <v>LUC-EZZ-490316-01</v>
          </cell>
          <cell r="F980">
            <v>7164255733</v>
          </cell>
        </row>
        <row r="981">
          <cell r="E981" t="str">
            <v>LUC-EZZ-490317-02</v>
          </cell>
          <cell r="F981">
            <v>7164255733</v>
          </cell>
        </row>
        <row r="982">
          <cell r="E982" t="str">
            <v>LUC-EZZ-490315-01</v>
          </cell>
          <cell r="F982">
            <v>7164255733</v>
          </cell>
        </row>
        <row r="983">
          <cell r="E983" t="str">
            <v>LUC-EZZ-490535-00</v>
          </cell>
          <cell r="F983">
            <v>7164255733</v>
          </cell>
        </row>
        <row r="984">
          <cell r="E984" t="str">
            <v>LUC-EZZ-490306-00</v>
          </cell>
          <cell r="F984">
            <v>7164255733</v>
          </cell>
        </row>
        <row r="985">
          <cell r="E985" t="str">
            <v>PUR-05-0031-00</v>
          </cell>
          <cell r="F985">
            <v>3303508390</v>
          </cell>
        </row>
        <row r="986">
          <cell r="E986" t="str">
            <v>LUC-E00-400067-211</v>
          </cell>
          <cell r="F986">
            <v>3303508390</v>
          </cell>
        </row>
        <row r="987">
          <cell r="E987" t="str">
            <v>LUC-E00-450148-01</v>
          </cell>
          <cell r="F987">
            <v>2107351131</v>
          </cell>
        </row>
        <row r="988">
          <cell r="E988" t="str">
            <v>LUC-E00-450148-01</v>
          </cell>
          <cell r="F988">
            <v>2107351131</v>
          </cell>
        </row>
        <row r="989">
          <cell r="E989" t="str">
            <v>LUC-EZZ-450476-00</v>
          </cell>
          <cell r="F989">
            <v>2107351131</v>
          </cell>
        </row>
        <row r="990">
          <cell r="E990" t="str">
            <v>LUC-E00-400056-01</v>
          </cell>
          <cell r="F990">
            <v>2107351131</v>
          </cell>
        </row>
        <row r="991">
          <cell r="E991" t="str">
            <v>LUC-E00-450052-00</v>
          </cell>
          <cell r="F991">
            <v>2107351131</v>
          </cell>
        </row>
        <row r="992">
          <cell r="E992" t="str">
            <v>LUC-E00-400048-00</v>
          </cell>
          <cell r="F992">
            <v>2107351131</v>
          </cell>
        </row>
        <row r="993">
          <cell r="E993" t="str">
            <v>LUC-E00-400244-00</v>
          </cell>
          <cell r="F993">
            <v>2107351131</v>
          </cell>
        </row>
        <row r="994">
          <cell r="E994" t="str">
            <v>LUC-EZZ-420345-00</v>
          </cell>
          <cell r="F994">
            <v>2107351131</v>
          </cell>
        </row>
        <row r="995">
          <cell r="E995" t="str">
            <v>LUC-EZZ-420345-00</v>
          </cell>
          <cell r="F995">
            <v>2107351131</v>
          </cell>
        </row>
        <row r="996">
          <cell r="E996" t="str">
            <v>LUC-E00-450028-00</v>
          </cell>
          <cell r="F996">
            <v>2107351131</v>
          </cell>
        </row>
        <row r="997">
          <cell r="E997" t="str">
            <v>LUC-E00-510016-00</v>
          </cell>
          <cell r="F997">
            <v>2107351131</v>
          </cell>
        </row>
        <row r="998">
          <cell r="E998" t="str">
            <v>LUC-E00-510084-00</v>
          </cell>
          <cell r="F998">
            <v>2107351131</v>
          </cell>
        </row>
        <row r="999">
          <cell r="E999" t="str">
            <v>LUC-E00-510061-01</v>
          </cell>
          <cell r="F999">
            <v>2107351131</v>
          </cell>
        </row>
        <row r="1000">
          <cell r="E1000" t="str">
            <v>LUC-E00-510037-00</v>
          </cell>
          <cell r="F1000">
            <v>2107351131</v>
          </cell>
        </row>
        <row r="1001">
          <cell r="E1001" t="str">
            <v>LUC-E00-510021-00</v>
          </cell>
          <cell r="F1001">
            <v>2107351131</v>
          </cell>
        </row>
        <row r="1002">
          <cell r="E1002" t="str">
            <v>LUC-E00-420076-00</v>
          </cell>
          <cell r="F1002">
            <v>2107351131</v>
          </cell>
        </row>
        <row r="1003">
          <cell r="E1003" t="str">
            <v>LUC-EZZ-400036-00</v>
          </cell>
          <cell r="F1003">
            <v>2107351131</v>
          </cell>
        </row>
        <row r="1004">
          <cell r="E1004" t="str">
            <v>LUC-E00-510021-00</v>
          </cell>
          <cell r="F1004">
            <v>2107351131</v>
          </cell>
        </row>
        <row r="1005">
          <cell r="E1005" t="str">
            <v>LUC-E00-470343-00</v>
          </cell>
          <cell r="F1005">
            <v>2107351131</v>
          </cell>
        </row>
        <row r="1006">
          <cell r="E1006" t="str">
            <v>LUC-E00-470343-00</v>
          </cell>
          <cell r="F1006">
            <v>2107351131</v>
          </cell>
        </row>
        <row r="1007">
          <cell r="E1007" t="str">
            <v>LUC-E00-400003-43</v>
          </cell>
          <cell r="F1007">
            <v>2107351131</v>
          </cell>
        </row>
        <row r="1008">
          <cell r="E1008" t="str">
            <v>LUC-E00-400010-003</v>
          </cell>
          <cell r="F1008">
            <v>2107351131</v>
          </cell>
        </row>
        <row r="1009">
          <cell r="E1009" t="str">
            <v>LUC-E00-470087-00</v>
          </cell>
          <cell r="F1009">
            <v>2107351131</v>
          </cell>
        </row>
        <row r="1010">
          <cell r="E1010" t="str">
            <v>LUC-E00-400048-00</v>
          </cell>
          <cell r="F1010">
            <v>2107351131</v>
          </cell>
        </row>
        <row r="1011">
          <cell r="E1011" t="str">
            <v>LUC-E00-540004-00</v>
          </cell>
          <cell r="F1011">
            <v>2107351131</v>
          </cell>
        </row>
        <row r="1012">
          <cell r="E1012" t="str">
            <v>LUC-EZZ-480029-00</v>
          </cell>
          <cell r="F1012">
            <v>2107351131</v>
          </cell>
        </row>
        <row r="1013">
          <cell r="E1013" t="str">
            <v>LUC-E00-450046-00</v>
          </cell>
          <cell r="F1013">
            <v>2107351131</v>
          </cell>
        </row>
        <row r="1014">
          <cell r="E1014" t="str">
            <v>LUC-E00-450056-00</v>
          </cell>
          <cell r="F1014">
            <v>2107351131</v>
          </cell>
        </row>
        <row r="1015">
          <cell r="E1015" t="str">
            <v>LUC-E00-420054-00</v>
          </cell>
          <cell r="F1015">
            <v>2107351131</v>
          </cell>
        </row>
        <row r="1016">
          <cell r="E1016" t="str">
            <v>LUC-E00-450046-00</v>
          </cell>
          <cell r="F1016">
            <v>2107351131</v>
          </cell>
        </row>
        <row r="1017">
          <cell r="E1017" t="str">
            <v>LUC-E00-470330-00</v>
          </cell>
          <cell r="F1017">
            <v>2107351131</v>
          </cell>
        </row>
        <row r="1018">
          <cell r="E1018" t="str">
            <v>LUC-E00-470318-00</v>
          </cell>
          <cell r="F1018">
            <v>2107351131</v>
          </cell>
        </row>
        <row r="1019">
          <cell r="E1019" t="str">
            <v>LUC-E00-420002-10</v>
          </cell>
          <cell r="F1019">
            <v>2107351131</v>
          </cell>
        </row>
        <row r="1020">
          <cell r="E1020" t="str">
            <v>LUC-E00-400067-162</v>
          </cell>
          <cell r="F1020">
            <v>2107351131</v>
          </cell>
        </row>
        <row r="1021">
          <cell r="E1021" t="str">
            <v>LUC-E00-420060-00</v>
          </cell>
          <cell r="F1021">
            <v>2107351131</v>
          </cell>
        </row>
        <row r="1022">
          <cell r="E1022" t="str">
            <v>LUC-E00-470119-00</v>
          </cell>
          <cell r="F1022">
            <v>2107351131</v>
          </cell>
        </row>
        <row r="1023">
          <cell r="E1023" t="str">
            <v>LUC-E00-470049-00</v>
          </cell>
          <cell r="F1023">
            <v>2107351131</v>
          </cell>
        </row>
        <row r="1024">
          <cell r="E1024" t="str">
            <v>LUC-E00-420173-00</v>
          </cell>
          <cell r="F1024">
            <v>2107351131</v>
          </cell>
        </row>
        <row r="1025">
          <cell r="E1025" t="str">
            <v>LUC-EZZ-490306-00</v>
          </cell>
          <cell r="F1025">
            <v>7164303075</v>
          </cell>
        </row>
        <row r="1026">
          <cell r="E1026" t="str">
            <v>LUC-EZZ-490231-04</v>
          </cell>
          <cell r="F1026">
            <v>7164303075</v>
          </cell>
        </row>
        <row r="1027">
          <cell r="E1027" t="str">
            <v>LUC-E00-400034-019</v>
          </cell>
          <cell r="F1027" t="str">
            <v>1Z7511506771596883</v>
          </cell>
        </row>
        <row r="1028">
          <cell r="E1028" t="str">
            <v>LUC-EZZ-400427-00</v>
          </cell>
          <cell r="F1028" t="str">
            <v>1Z75A9570472921878</v>
          </cell>
        </row>
        <row r="1029">
          <cell r="E1029" t="str">
            <v>LUC-P21-KA3100-00</v>
          </cell>
          <cell r="F1029">
            <v>771683343430</v>
          </cell>
        </row>
        <row r="1030">
          <cell r="E1030" t="str">
            <v>LUC-E00-470093-00</v>
          </cell>
          <cell r="F1030">
            <v>284860033887</v>
          </cell>
        </row>
        <row r="1031">
          <cell r="E1031" t="str">
            <v>LUC-P11-K34900-02</v>
          </cell>
          <cell r="F1031">
            <v>771614199595</v>
          </cell>
        </row>
        <row r="1032">
          <cell r="E1032" t="str">
            <v>LUC-E00-420238-00</v>
          </cell>
          <cell r="F1032">
            <v>771618638342</v>
          </cell>
        </row>
        <row r="1033">
          <cell r="E1033" t="str">
            <v>LUC-P11-J80300-00</v>
          </cell>
          <cell r="F1033">
            <v>771591141194</v>
          </cell>
        </row>
        <row r="1034">
          <cell r="E1034" t="str">
            <v>LUC-E00-690010-00</v>
          </cell>
          <cell r="F1034">
            <v>284574810419</v>
          </cell>
        </row>
        <row r="1035">
          <cell r="E1035" t="str">
            <v>EF-45137191</v>
          </cell>
          <cell r="F1035">
            <v>435977440988</v>
          </cell>
        </row>
        <row r="1036">
          <cell r="E1036" t="str">
            <v>LUC-E00-420072-00</v>
          </cell>
          <cell r="F1036">
            <v>435977440988</v>
          </cell>
        </row>
        <row r="1037">
          <cell r="E1037" t="str">
            <v>121-000524.X.X</v>
          </cell>
          <cell r="F1037">
            <v>435977440988</v>
          </cell>
        </row>
        <row r="1038">
          <cell r="E1038" t="str">
            <v>LUC-EZZ-690242-00</v>
          </cell>
          <cell r="F1038">
            <v>284570331223</v>
          </cell>
        </row>
        <row r="1039">
          <cell r="E1039" t="str">
            <v>LUC-E00-440030-00</v>
          </cell>
          <cell r="F1039">
            <v>643036750791</v>
          </cell>
        </row>
        <row r="1040">
          <cell r="E1040" t="str">
            <v>AGI-600-40049-01</v>
          </cell>
          <cell r="F1040">
            <v>771677177860</v>
          </cell>
        </row>
        <row r="1041">
          <cell r="E1041" t="str">
            <v>AGI-600-40049-01</v>
          </cell>
          <cell r="F1041">
            <v>771677177860</v>
          </cell>
        </row>
        <row r="1042">
          <cell r="E1042" t="str">
            <v>LUC-E00-690033-02</v>
          </cell>
          <cell r="F1042">
            <v>771646426192</v>
          </cell>
        </row>
        <row r="1043">
          <cell r="E1043" t="str">
            <v>LUC-E00-690033-03</v>
          </cell>
          <cell r="F1043">
            <v>771646426192</v>
          </cell>
        </row>
        <row r="1044">
          <cell r="E1044" t="str">
            <v>LUC-E00-400022-000</v>
          </cell>
          <cell r="F1044">
            <v>409298772262</v>
          </cell>
        </row>
        <row r="1045">
          <cell r="E1045" t="str">
            <v>LUC-E00-400010-044</v>
          </cell>
          <cell r="F1045">
            <v>440105486040</v>
          </cell>
        </row>
        <row r="1046">
          <cell r="E1046" t="str">
            <v>LUC-E00-400010-000</v>
          </cell>
          <cell r="F1046">
            <v>440105486040</v>
          </cell>
        </row>
        <row r="1047">
          <cell r="E1047" t="str">
            <v>LUC-E00-460015-00</v>
          </cell>
          <cell r="F1047">
            <v>440105486040</v>
          </cell>
        </row>
        <row r="1048">
          <cell r="E1048" t="str">
            <v>LUC-E00-420011-04</v>
          </cell>
          <cell r="F1048">
            <v>440105486040</v>
          </cell>
        </row>
        <row r="1049">
          <cell r="E1049" t="str">
            <v>LUC-E00-400047-00</v>
          </cell>
          <cell r="F1049">
            <v>440105486040</v>
          </cell>
        </row>
        <row r="1050">
          <cell r="E1050" t="str">
            <v>LUC-E00-400028-002</v>
          </cell>
          <cell r="F1050">
            <v>440105486040</v>
          </cell>
        </row>
        <row r="1051">
          <cell r="E1051" t="str">
            <v>LUC-E00-470423-00</v>
          </cell>
          <cell r="F1051">
            <v>440105486040</v>
          </cell>
        </row>
        <row r="1052">
          <cell r="E1052" t="str">
            <v>LUC-E00-400243-00</v>
          </cell>
          <cell r="F1052">
            <v>440105486040</v>
          </cell>
        </row>
        <row r="1053">
          <cell r="E1053" t="str">
            <v>LUC-E00-400267-00</v>
          </cell>
          <cell r="F1053">
            <v>440105486040</v>
          </cell>
        </row>
        <row r="1054">
          <cell r="E1054" t="str">
            <v>LUC-E00-400028-08</v>
          </cell>
          <cell r="F1054">
            <v>440105486040</v>
          </cell>
        </row>
        <row r="1055">
          <cell r="E1055" t="str">
            <v>LUC-E00-400268-00</v>
          </cell>
          <cell r="F1055">
            <v>440105486040</v>
          </cell>
        </row>
        <row r="1056">
          <cell r="E1056" t="str">
            <v>LUC-E00-400067-143</v>
          </cell>
          <cell r="F1056">
            <v>440105486040</v>
          </cell>
        </row>
        <row r="1057">
          <cell r="E1057" t="str">
            <v>AGI-500-40179-01</v>
          </cell>
          <cell r="F1057">
            <v>419341527008</v>
          </cell>
        </row>
        <row r="1058">
          <cell r="E1058" t="str">
            <v>LUC-E00-420015-00</v>
          </cell>
          <cell r="F1058">
            <v>3303508235</v>
          </cell>
        </row>
        <row r="1059">
          <cell r="E1059" t="str">
            <v>LUC-E00-420050-00</v>
          </cell>
          <cell r="F1059">
            <v>3303508235</v>
          </cell>
        </row>
        <row r="1060">
          <cell r="E1060" t="str">
            <v>LUC-E00-420060-03</v>
          </cell>
          <cell r="F1060">
            <v>3303508235</v>
          </cell>
        </row>
        <row r="1061">
          <cell r="E1061" t="str">
            <v>LUC-E00-400025-01</v>
          </cell>
          <cell r="F1061">
            <v>3339936670</v>
          </cell>
        </row>
        <row r="1062">
          <cell r="E1062" t="str">
            <v>LUC-E00-400010-043</v>
          </cell>
          <cell r="F1062">
            <v>3339936670</v>
          </cell>
        </row>
        <row r="1063">
          <cell r="E1063" t="str">
            <v>LUC-P21-K34200-00</v>
          </cell>
          <cell r="F1063" t="str">
            <v>SHHPH25001790</v>
          </cell>
        </row>
        <row r="1064">
          <cell r="E1064" t="str">
            <v>LUC-P21-K34500-02</v>
          </cell>
          <cell r="F1064" t="str">
            <v>SHHPH25001790</v>
          </cell>
        </row>
        <row r="1065">
          <cell r="E1065" t="str">
            <v>LUC-P21-K34600-02</v>
          </cell>
          <cell r="F1065" t="str">
            <v>SHHPH25001790</v>
          </cell>
        </row>
        <row r="1066">
          <cell r="E1066" t="str">
            <v>LUC-P21-K33200-02</v>
          </cell>
          <cell r="F1066" t="str">
            <v>SHHPH25001790</v>
          </cell>
        </row>
        <row r="1067">
          <cell r="E1067" t="str">
            <v>LUC-P21-K33600-02</v>
          </cell>
          <cell r="F1067" t="str">
            <v>SHHPH25001790</v>
          </cell>
        </row>
        <row r="1068">
          <cell r="E1068" t="str">
            <v>LUC-P21-K61200-02</v>
          </cell>
          <cell r="F1068" t="str">
            <v>SHHPH25001790</v>
          </cell>
        </row>
        <row r="1069">
          <cell r="E1069" t="str">
            <v>PUR-09-0256-00</v>
          </cell>
          <cell r="F1069">
            <v>440651107742</v>
          </cell>
        </row>
        <row r="1070">
          <cell r="E1070" t="str">
            <v>PUR-09-0321-00</v>
          </cell>
          <cell r="F1070">
            <v>440651107742</v>
          </cell>
        </row>
        <row r="1071">
          <cell r="E1071" t="str">
            <v>PUR-09-0444-00</v>
          </cell>
          <cell r="F1071">
            <v>440651107742</v>
          </cell>
        </row>
        <row r="1072">
          <cell r="E1072" t="str">
            <v>PUR-14-0087-00</v>
          </cell>
          <cell r="F1072">
            <v>440651107742</v>
          </cell>
        </row>
        <row r="1073">
          <cell r="E1073" t="str">
            <v>AGI-510-40081-01</v>
          </cell>
          <cell r="F1073">
            <v>440651107742</v>
          </cell>
        </row>
        <row r="1074">
          <cell r="E1074" t="str">
            <v>PUR-09-0256-00</v>
          </cell>
          <cell r="F1074">
            <v>440651107742</v>
          </cell>
        </row>
        <row r="1075">
          <cell r="E1075" t="str">
            <v>AGI-510-40118-01</v>
          </cell>
          <cell r="F1075">
            <v>440651107742</v>
          </cell>
        </row>
        <row r="1076">
          <cell r="E1076" t="str">
            <v>PUR-09-0324-00</v>
          </cell>
          <cell r="F1076">
            <v>440651107742</v>
          </cell>
        </row>
        <row r="1077">
          <cell r="E1077" t="str">
            <v>PUR-09-0253-00</v>
          </cell>
          <cell r="F1077">
            <v>440651107742</v>
          </cell>
        </row>
        <row r="1078">
          <cell r="E1078" t="str">
            <v>PUR-21-0024-00</v>
          </cell>
          <cell r="F1078">
            <v>440651107742</v>
          </cell>
        </row>
        <row r="1079">
          <cell r="E1079" t="str">
            <v>AGI-532-50001-01</v>
          </cell>
          <cell r="F1079">
            <v>440651107742</v>
          </cell>
        </row>
        <row r="1080">
          <cell r="E1080" t="str">
            <v>LUC-E00-400010-014</v>
          </cell>
          <cell r="F1080">
            <v>440651107742</v>
          </cell>
        </row>
        <row r="1081">
          <cell r="E1081" t="str">
            <v>PUR-09-0261-00</v>
          </cell>
          <cell r="F1081">
            <v>440651107742</v>
          </cell>
        </row>
        <row r="1082">
          <cell r="E1082" t="str">
            <v>LUC-E00-400010-026</v>
          </cell>
          <cell r="F1082">
            <v>440651107742</v>
          </cell>
        </row>
        <row r="1083">
          <cell r="E1083" t="str">
            <v>PUR-09-0322-00</v>
          </cell>
          <cell r="F1083">
            <v>440651107742</v>
          </cell>
        </row>
        <row r="1084">
          <cell r="E1084" t="str">
            <v>LUC-E00-400067-294</v>
          </cell>
          <cell r="F1084">
            <v>440651107742</v>
          </cell>
        </row>
        <row r="1085">
          <cell r="E1085" t="str">
            <v>LUC-E00-460007-01</v>
          </cell>
          <cell r="F1085">
            <v>440651107742</v>
          </cell>
        </row>
        <row r="1086">
          <cell r="E1086" t="str">
            <v>PUR-09-0279-00</v>
          </cell>
          <cell r="F1086">
            <v>440651107742</v>
          </cell>
        </row>
        <row r="1087">
          <cell r="E1087" t="str">
            <v>LUC-E00-420037-08</v>
          </cell>
          <cell r="F1087">
            <v>440651107742</v>
          </cell>
        </row>
        <row r="1088">
          <cell r="E1088" t="str">
            <v>LUC-E00-690010-00</v>
          </cell>
          <cell r="F1088">
            <v>284768024343</v>
          </cell>
        </row>
        <row r="1089">
          <cell r="E1089" t="str">
            <v>LUC-E00-420241-00</v>
          </cell>
          <cell r="F1089">
            <v>439295882638</v>
          </cell>
        </row>
        <row r="1090">
          <cell r="E1090" t="str">
            <v>LUC-E00-450100-00</v>
          </cell>
          <cell r="F1090">
            <v>439295882638</v>
          </cell>
        </row>
        <row r="1091">
          <cell r="E1091" t="str">
            <v>LUC-E00-400023-04</v>
          </cell>
          <cell r="F1091">
            <v>439295882638</v>
          </cell>
        </row>
        <row r="1092">
          <cell r="E1092" t="str">
            <v>LUC-E00-690200-01</v>
          </cell>
          <cell r="F1092">
            <v>439295882638</v>
          </cell>
        </row>
        <row r="1093">
          <cell r="E1093" t="str">
            <v>LUC-E00-400001-012</v>
          </cell>
          <cell r="F1093">
            <v>439295882638</v>
          </cell>
        </row>
        <row r="1094">
          <cell r="E1094" t="str">
            <v>LUC-E00-420084-00</v>
          </cell>
          <cell r="F1094">
            <v>439295882638</v>
          </cell>
        </row>
        <row r="1095">
          <cell r="E1095" t="str">
            <v>LUC-P11-K41E00-01</v>
          </cell>
          <cell r="F1095">
            <v>439295882638</v>
          </cell>
        </row>
        <row r="1096">
          <cell r="E1096" t="str">
            <v>LUC-E00-420055-06</v>
          </cell>
          <cell r="F1096" t="str">
            <v>1Z75A9570472917105</v>
          </cell>
        </row>
        <row r="1097">
          <cell r="E1097" t="str">
            <v>PUR-11-0104-05</v>
          </cell>
          <cell r="F1097" t="str">
            <v>PSHPH2510075</v>
          </cell>
        </row>
        <row r="1098">
          <cell r="E1098" t="str">
            <v>PUR-11-0104-05</v>
          </cell>
          <cell r="F1098" t="str">
            <v>PSHPH2510075</v>
          </cell>
        </row>
        <row r="1099">
          <cell r="E1099" t="str">
            <v>PUR-11-0104-05</v>
          </cell>
          <cell r="F1099" t="str">
            <v>PSHPH2510075</v>
          </cell>
        </row>
        <row r="1100">
          <cell r="E1100" t="str">
            <v>PUR-11-0104-05</v>
          </cell>
          <cell r="F1100" t="str">
            <v>PSHPH2510075</v>
          </cell>
        </row>
        <row r="1101">
          <cell r="E1101" t="str">
            <v>PUR-11-0104-05</v>
          </cell>
          <cell r="F1101" t="str">
            <v>PSHPH2510075</v>
          </cell>
        </row>
        <row r="1102">
          <cell r="E1102" t="str">
            <v>PUR-11-0104-05</v>
          </cell>
          <cell r="F1102" t="str">
            <v>PSHPH2510075</v>
          </cell>
        </row>
        <row r="1103">
          <cell r="E1103" t="str">
            <v>EF-45102320</v>
          </cell>
          <cell r="F1103" t="str">
            <v>LSZHPH2500918</v>
          </cell>
        </row>
        <row r="1104">
          <cell r="E1104" t="str">
            <v>EF-45131276</v>
          </cell>
          <cell r="F1104" t="str">
            <v>LSZHPH2500918</v>
          </cell>
        </row>
        <row r="1105">
          <cell r="E1105" t="str">
            <v>EF-45131277</v>
          </cell>
          <cell r="F1105" t="str">
            <v>LSZHPH2500918</v>
          </cell>
        </row>
        <row r="1106">
          <cell r="E1106" t="str">
            <v>EF-45105056</v>
          </cell>
          <cell r="F1106" t="str">
            <v>LSZHPH2500918</v>
          </cell>
        </row>
        <row r="1107">
          <cell r="E1107" t="str">
            <v>LUC-P21-K81001-01</v>
          </cell>
          <cell r="F1107" t="str">
            <v>LSHHPH2500704</v>
          </cell>
        </row>
        <row r="1108">
          <cell r="E1108" t="str">
            <v>LUC-P21-K81100-01</v>
          </cell>
          <cell r="F1108" t="str">
            <v>LSHHPH2500704</v>
          </cell>
        </row>
        <row r="1109">
          <cell r="E1109" t="str">
            <v>LUC-P21-K81101-01</v>
          </cell>
          <cell r="F1109" t="str">
            <v>LSHHPH2500704</v>
          </cell>
        </row>
        <row r="1110">
          <cell r="E1110" t="str">
            <v>LUC-P21-K81201-01</v>
          </cell>
          <cell r="F1110" t="str">
            <v>LSHHPH2500704</v>
          </cell>
        </row>
        <row r="1111">
          <cell r="E1111" t="str">
            <v>LUC-P21-K81100-01</v>
          </cell>
          <cell r="F1111" t="str">
            <v>LSHHPH2500704</v>
          </cell>
        </row>
        <row r="1112">
          <cell r="E1112" t="str">
            <v>LUC-P21-K81001-01</v>
          </cell>
          <cell r="F1112" t="str">
            <v>LSHHPH2500704</v>
          </cell>
        </row>
        <row r="1113">
          <cell r="E1113" t="str">
            <v>LUC-P21-K81201-01</v>
          </cell>
          <cell r="F1113" t="str">
            <v>LSHHPH2500704</v>
          </cell>
        </row>
        <row r="1114">
          <cell r="E1114" t="str">
            <v>LUC-P21-K81101-01</v>
          </cell>
          <cell r="F1114" t="str">
            <v>LSHHPH2500704</v>
          </cell>
        </row>
        <row r="1115">
          <cell r="E1115" t="str">
            <v>EF-45184274</v>
          </cell>
          <cell r="F1115">
            <v>420225793774</v>
          </cell>
        </row>
        <row r="1116">
          <cell r="E1116" t="str">
            <v>LUC-E00-690157-01</v>
          </cell>
          <cell r="F1116">
            <v>433911865416</v>
          </cell>
        </row>
        <row r="1117">
          <cell r="E1117" t="str">
            <v>LUC-P21-K61100-02</v>
          </cell>
          <cell r="F1117" t="str">
            <v>JWLEM25011235</v>
          </cell>
        </row>
        <row r="1118">
          <cell r="E1118" t="str">
            <v>LUC-P21-K61100-02</v>
          </cell>
          <cell r="F1118" t="str">
            <v>JWLEM25011235</v>
          </cell>
        </row>
        <row r="1119">
          <cell r="E1119" t="str">
            <v>LUC-P21-K2C400-01</v>
          </cell>
          <cell r="F1119" t="str">
            <v>JWLEM25011235</v>
          </cell>
        </row>
        <row r="1120">
          <cell r="E1120" t="str">
            <v>LUC-P21-K2C400-01</v>
          </cell>
          <cell r="F1120" t="str">
            <v>JWLEM25011235</v>
          </cell>
        </row>
        <row r="1121">
          <cell r="E1121" t="str">
            <v>LUC-P21-K2C400-01</v>
          </cell>
          <cell r="F1121" t="str">
            <v>JWLEM25011235</v>
          </cell>
        </row>
        <row r="1122">
          <cell r="E1122" t="str">
            <v>LUC-E00-540005-00</v>
          </cell>
          <cell r="F1122">
            <v>771829538283</v>
          </cell>
        </row>
        <row r="1123">
          <cell r="E1123" t="str">
            <v>LUC-EZZ-440022-00</v>
          </cell>
          <cell r="F1123">
            <v>771829538283</v>
          </cell>
        </row>
        <row r="1124">
          <cell r="E1124" t="str">
            <v>LUC-EZZ-441374-00</v>
          </cell>
          <cell r="F1124">
            <v>771829538283</v>
          </cell>
        </row>
        <row r="1125">
          <cell r="E1125" t="str">
            <v>LUC-EZZ-450149-00</v>
          </cell>
          <cell r="F1125">
            <v>771829538283</v>
          </cell>
        </row>
        <row r="1126">
          <cell r="E1126" t="str">
            <v>LUC-EZZ-450177-00</v>
          </cell>
          <cell r="F1126">
            <v>771829538283</v>
          </cell>
        </row>
        <row r="1127">
          <cell r="E1127" t="str">
            <v>LUC-E00-420027-03</v>
          </cell>
          <cell r="F1127">
            <v>771829538283</v>
          </cell>
        </row>
        <row r="1128">
          <cell r="E1128" t="str">
            <v>LUC-E00-460042-00</v>
          </cell>
          <cell r="F1128">
            <v>771829538283</v>
          </cell>
        </row>
        <row r="1129">
          <cell r="E1129" t="str">
            <v>EF-45129595</v>
          </cell>
          <cell r="F1129">
            <v>429523069052</v>
          </cell>
        </row>
        <row r="1130">
          <cell r="E1130" t="str">
            <v>LUC-E00-470001-00</v>
          </cell>
          <cell r="F1130">
            <v>429523069052</v>
          </cell>
        </row>
        <row r="1131">
          <cell r="E1131" t="str">
            <v>PUR-24-0028-00</v>
          </cell>
          <cell r="F1131">
            <v>119206474317</v>
          </cell>
        </row>
        <row r="1132">
          <cell r="E1132" t="str">
            <v>PUR-13-0141-00</v>
          </cell>
          <cell r="F1132">
            <v>429083208367</v>
          </cell>
        </row>
        <row r="1133">
          <cell r="E1133" t="str">
            <v>PUR-14-0085-00</v>
          </cell>
          <cell r="F1133">
            <v>429083208367</v>
          </cell>
        </row>
        <row r="1134">
          <cell r="E1134" t="str">
            <v>PUR-14-0085-00</v>
          </cell>
          <cell r="F1134">
            <v>429083208367</v>
          </cell>
        </row>
        <row r="1135">
          <cell r="E1135" t="str">
            <v>PUR-14-0085-00</v>
          </cell>
          <cell r="F1135">
            <v>429083208367</v>
          </cell>
        </row>
        <row r="1136">
          <cell r="E1136" t="str">
            <v>PURET-24-0002-00</v>
          </cell>
          <cell r="F1136">
            <v>429083208367</v>
          </cell>
        </row>
        <row r="1137">
          <cell r="E1137" t="str">
            <v>PUR-09-0408-00</v>
          </cell>
          <cell r="F1137">
            <v>429083208367</v>
          </cell>
        </row>
        <row r="1138">
          <cell r="E1138" t="str">
            <v>PUR-09-0408-00</v>
          </cell>
          <cell r="F1138">
            <v>429083208367</v>
          </cell>
        </row>
        <row r="1139">
          <cell r="E1139" t="str">
            <v>PUR-13-0141-00</v>
          </cell>
          <cell r="F1139">
            <v>429083208367</v>
          </cell>
        </row>
        <row r="1140">
          <cell r="E1140" t="str">
            <v>PUR-25-0003-00</v>
          </cell>
          <cell r="F1140">
            <v>429083208367</v>
          </cell>
        </row>
        <row r="1141">
          <cell r="E1141" t="str">
            <v>LUC-E00-460008-00</v>
          </cell>
          <cell r="F1141">
            <v>5088681135</v>
          </cell>
        </row>
        <row r="1142">
          <cell r="E1142" t="str">
            <v>LUC-E00-420019-00</v>
          </cell>
          <cell r="F1142">
            <v>5088681135</v>
          </cell>
        </row>
        <row r="1143">
          <cell r="E1143" t="str">
            <v>EF-45047557.X.X</v>
          </cell>
          <cell r="F1143">
            <v>5088681135</v>
          </cell>
        </row>
        <row r="1144">
          <cell r="E1144" t="str">
            <v>EF-45093266.X.X</v>
          </cell>
          <cell r="F1144">
            <v>5088681135</v>
          </cell>
        </row>
        <row r="1145">
          <cell r="E1145" t="str">
            <v>LUC-E00-400010-047</v>
          </cell>
          <cell r="F1145">
            <v>5088681135</v>
          </cell>
        </row>
        <row r="1146">
          <cell r="E1146" t="str">
            <v>LUC-E00-420027-03</v>
          </cell>
          <cell r="F1146">
            <v>5088681135</v>
          </cell>
        </row>
        <row r="1147">
          <cell r="E1147" t="str">
            <v>AGI-530-50001-01</v>
          </cell>
          <cell r="F1147">
            <v>5088681135</v>
          </cell>
        </row>
        <row r="1148">
          <cell r="E1148" t="str">
            <v>LUC-E00-690020-00</v>
          </cell>
          <cell r="F1148">
            <v>5088681135</v>
          </cell>
        </row>
        <row r="1149">
          <cell r="E1149" t="str">
            <v>LUC-E00-690020-00</v>
          </cell>
          <cell r="F1149">
            <v>5088681135</v>
          </cell>
        </row>
        <row r="1150">
          <cell r="E1150" t="str">
            <v>PUR-03-0074-02</v>
          </cell>
          <cell r="F1150" t="str">
            <v>8TV1833</v>
          </cell>
        </row>
        <row r="1151">
          <cell r="E1151" t="str">
            <v>PUR-03-0074-02</v>
          </cell>
          <cell r="F1151" t="str">
            <v>8TV1834</v>
          </cell>
        </row>
        <row r="1152">
          <cell r="E1152" t="str">
            <v>PUR-03-0096-02</v>
          </cell>
          <cell r="F1152" t="str">
            <v>8TV1831</v>
          </cell>
        </row>
        <row r="1153">
          <cell r="E1153" t="str">
            <v>PUR-03-0096-02</v>
          </cell>
          <cell r="F1153" t="str">
            <v>8TV1831</v>
          </cell>
        </row>
        <row r="1154">
          <cell r="E1154" t="str">
            <v>PUR-03-0099-03</v>
          </cell>
          <cell r="F1154" t="str">
            <v>8TV1832</v>
          </cell>
        </row>
        <row r="1155">
          <cell r="E1155" t="str">
            <v>130-001582</v>
          </cell>
          <cell r="F1155">
            <v>771850855235</v>
          </cell>
        </row>
        <row r="1156">
          <cell r="E1156" t="str">
            <v>PUR-07-0210-00</v>
          </cell>
          <cell r="F1156">
            <v>771854030349</v>
          </cell>
        </row>
        <row r="1157">
          <cell r="E1157" t="str">
            <v>EF-45155479</v>
          </cell>
          <cell r="F1157">
            <v>771854030349</v>
          </cell>
        </row>
        <row r="1158">
          <cell r="E1158" t="str">
            <v>LUC-P21-K3AB00-00</v>
          </cell>
          <cell r="F1158" t="str">
            <v>JWLEM25010623</v>
          </cell>
        </row>
        <row r="1159">
          <cell r="E1159" t="str">
            <v>LUC-P21-K3AT00-00</v>
          </cell>
          <cell r="F1159" t="str">
            <v>JWLEM25010623</v>
          </cell>
        </row>
        <row r="1160">
          <cell r="E1160" t="str">
            <v>PUR-07-0167-00</v>
          </cell>
          <cell r="F1160">
            <v>4914803001</v>
          </cell>
        </row>
        <row r="1161">
          <cell r="E1161" t="str">
            <v>PUR-07-0167-00</v>
          </cell>
          <cell r="F1161">
            <v>4914803001</v>
          </cell>
        </row>
        <row r="1162">
          <cell r="E1162" t="str">
            <v>PUR-07-0167-00</v>
          </cell>
          <cell r="F1162">
            <v>4914803001</v>
          </cell>
        </row>
        <row r="1163">
          <cell r="E1163" t="str">
            <v>PUR-11-0104-06</v>
          </cell>
          <cell r="F1163">
            <v>4812784375</v>
          </cell>
        </row>
        <row r="1164">
          <cell r="E1164" t="str">
            <v>PUR-11-0104-06</v>
          </cell>
          <cell r="F1164">
            <v>4812784375</v>
          </cell>
        </row>
        <row r="1165">
          <cell r="E1165" t="str">
            <v>PUR-11-0104-06</v>
          </cell>
          <cell r="F1165">
            <v>4812784375</v>
          </cell>
        </row>
        <row r="1166">
          <cell r="E1166" t="str">
            <v>PUR-11-0104-06</v>
          </cell>
          <cell r="F1166">
            <v>4812784375</v>
          </cell>
        </row>
        <row r="1167">
          <cell r="E1167" t="str">
            <v>EF-45051531.X.X</v>
          </cell>
          <cell r="F1167">
            <v>7425696740</v>
          </cell>
        </row>
        <row r="1168">
          <cell r="E1168" t="str">
            <v>PUR-12-0288-00</v>
          </cell>
          <cell r="F1168">
            <v>7425696740</v>
          </cell>
        </row>
        <row r="1169">
          <cell r="E1169" t="str">
            <v>LUC-E00-400069-00</v>
          </cell>
          <cell r="F1169">
            <v>7425696740</v>
          </cell>
        </row>
        <row r="1170">
          <cell r="E1170" t="str">
            <v>PUR-14-0083-00</v>
          </cell>
          <cell r="F1170">
            <v>7425696740</v>
          </cell>
        </row>
        <row r="1171">
          <cell r="E1171" t="str">
            <v>PUR-14-0076-00</v>
          </cell>
          <cell r="F1171">
            <v>7425696740</v>
          </cell>
        </row>
        <row r="1172">
          <cell r="E1172" t="str">
            <v>PUR-14-0076-00</v>
          </cell>
          <cell r="F1172">
            <v>7425696740</v>
          </cell>
        </row>
        <row r="1173">
          <cell r="E1173" t="str">
            <v>PUR-14-0076-00</v>
          </cell>
          <cell r="F1173">
            <v>7425696740</v>
          </cell>
        </row>
        <row r="1174">
          <cell r="E1174" t="str">
            <v>PUR-14-0083-00</v>
          </cell>
          <cell r="F1174">
            <v>7425696740</v>
          </cell>
        </row>
        <row r="1175">
          <cell r="E1175" t="str">
            <v>LUC-E00-400067-391</v>
          </cell>
          <cell r="F1175">
            <v>7425696740</v>
          </cell>
        </row>
        <row r="1176">
          <cell r="E1176" t="str">
            <v>PUR-14-0083-00</v>
          </cell>
          <cell r="F1176">
            <v>7425696740</v>
          </cell>
        </row>
        <row r="1177">
          <cell r="E1177" t="str">
            <v>PURET-24-0002-00</v>
          </cell>
          <cell r="F1177">
            <v>7425696740</v>
          </cell>
        </row>
        <row r="1178">
          <cell r="E1178" t="str">
            <v>EF-45046920</v>
          </cell>
          <cell r="F1178">
            <v>7425696740</v>
          </cell>
        </row>
        <row r="1179">
          <cell r="E1179" t="str">
            <v>122-000362.X.X</v>
          </cell>
          <cell r="F1179">
            <v>7425696740</v>
          </cell>
        </row>
        <row r="1180">
          <cell r="E1180" t="str">
            <v>PUR-09-0444-00</v>
          </cell>
          <cell r="F1180">
            <v>7425696740</v>
          </cell>
        </row>
        <row r="1181">
          <cell r="E1181" t="str">
            <v>PUR-27-0020-00</v>
          </cell>
          <cell r="F1181">
            <v>7425696740</v>
          </cell>
        </row>
        <row r="1182">
          <cell r="E1182" t="str">
            <v>EF-45139805</v>
          </cell>
          <cell r="F1182">
            <v>7425696740</v>
          </cell>
        </row>
        <row r="1183">
          <cell r="E1183" t="str">
            <v>PURET-21-0018-00</v>
          </cell>
          <cell r="F1183">
            <v>7425696740</v>
          </cell>
        </row>
        <row r="1184">
          <cell r="E1184" t="str">
            <v>LUC-E00-470113-00</v>
          </cell>
          <cell r="F1184">
            <v>285006118328</v>
          </cell>
        </row>
        <row r="1185">
          <cell r="E1185" t="str">
            <v>LUC-E00-470274-00</v>
          </cell>
          <cell r="F1185">
            <v>285006118328</v>
          </cell>
        </row>
        <row r="1186">
          <cell r="E1186" t="str">
            <v>LUC-E00-470473-00</v>
          </cell>
          <cell r="F1186">
            <v>285006118328</v>
          </cell>
        </row>
        <row r="1187">
          <cell r="E1187" t="str">
            <v>LUC-E00-470081-00</v>
          </cell>
          <cell r="F1187">
            <v>285006118328</v>
          </cell>
        </row>
        <row r="1188">
          <cell r="E1188" t="str">
            <v>LUC-E00-470085-00</v>
          </cell>
          <cell r="F1188">
            <v>285006118328</v>
          </cell>
        </row>
        <row r="1189">
          <cell r="E1189" t="str">
            <v>AGI-450-40126-01</v>
          </cell>
          <cell r="F1189">
            <v>285006118328</v>
          </cell>
        </row>
        <row r="1190">
          <cell r="E1190" t="str">
            <v>LUC-E00-470113-00</v>
          </cell>
          <cell r="F1190">
            <v>285006118328</v>
          </cell>
        </row>
        <row r="1191">
          <cell r="E1191" t="str">
            <v>LUC-E00-470274-00</v>
          </cell>
          <cell r="F1191">
            <v>285006118328</v>
          </cell>
        </row>
        <row r="1192">
          <cell r="E1192" t="str">
            <v>LUC-E00-470473-00</v>
          </cell>
          <cell r="F1192">
            <v>285006118328</v>
          </cell>
        </row>
        <row r="1193">
          <cell r="E1193" t="str">
            <v>LUC-E00-470081-00</v>
          </cell>
          <cell r="F1193">
            <v>285006118328</v>
          </cell>
        </row>
        <row r="1194">
          <cell r="E1194" t="str">
            <v>LUC-E00-470085-00</v>
          </cell>
          <cell r="F1194">
            <v>285006118328</v>
          </cell>
        </row>
        <row r="1195">
          <cell r="E1195" t="str">
            <v>AGI-450-40126-01</v>
          </cell>
          <cell r="F1195">
            <v>285006118328</v>
          </cell>
        </row>
        <row r="1196">
          <cell r="E1196" t="str">
            <v>AGI-450-40128-01</v>
          </cell>
          <cell r="F1196">
            <v>430388042198</v>
          </cell>
        </row>
        <row r="1197">
          <cell r="E1197" t="str">
            <v>AGI-450-40128-01</v>
          </cell>
          <cell r="F1197">
            <v>430388042198</v>
          </cell>
        </row>
        <row r="1198">
          <cell r="E1198" t="str">
            <v>LUC-EZZ-440192-00</v>
          </cell>
          <cell r="F1198">
            <v>643036751423</v>
          </cell>
        </row>
        <row r="1199">
          <cell r="E1199" t="str">
            <v>LUC-EZZ-440192-00</v>
          </cell>
          <cell r="F1199">
            <v>643036751423</v>
          </cell>
        </row>
        <row r="1200">
          <cell r="E1200" t="str">
            <v>102-001558</v>
          </cell>
          <cell r="F1200">
            <v>440069893750</v>
          </cell>
        </row>
        <row r="1201">
          <cell r="E1201" t="str">
            <v>LUC-E00-480005-00</v>
          </cell>
          <cell r="F1201">
            <v>441722981849</v>
          </cell>
        </row>
        <row r="1202">
          <cell r="E1202" t="str">
            <v>EF-45047739</v>
          </cell>
          <cell r="F1202">
            <v>441508534431</v>
          </cell>
        </row>
        <row r="1203">
          <cell r="E1203" t="str">
            <v>PUR-21-0021-00</v>
          </cell>
          <cell r="F1203">
            <v>2200278441</v>
          </cell>
        </row>
        <row r="1204">
          <cell r="E1204" t="str">
            <v>PUR-03-0074-02</v>
          </cell>
          <cell r="F1204" t="str">
            <v>8TV1853</v>
          </cell>
        </row>
        <row r="1205">
          <cell r="E1205" t="str">
            <v>PUR-03-0092-03</v>
          </cell>
          <cell r="F1205" t="str">
            <v>8TV1854</v>
          </cell>
        </row>
        <row r="1206">
          <cell r="E1206" t="str">
            <v>LUC-E00-420054-03</v>
          </cell>
          <cell r="F1206">
            <v>3732794170</v>
          </cell>
        </row>
        <row r="1207">
          <cell r="E1207" t="str">
            <v>PUR-03-0038-00</v>
          </cell>
          <cell r="F1207">
            <v>6295426981</v>
          </cell>
        </row>
        <row r="1208">
          <cell r="E1208" t="str">
            <v>PUR-03-0038-00</v>
          </cell>
          <cell r="F1208">
            <v>6295426981</v>
          </cell>
        </row>
        <row r="1209">
          <cell r="E1209" t="str">
            <v>PUR-03-0038-00</v>
          </cell>
          <cell r="F1209">
            <v>6295426981</v>
          </cell>
        </row>
        <row r="1210">
          <cell r="E1210" t="str">
            <v>LUC-E00-470001-00</v>
          </cell>
          <cell r="F1210">
            <v>2754937474</v>
          </cell>
        </row>
        <row r="1211">
          <cell r="E1211" t="str">
            <v>EF-45133443</v>
          </cell>
          <cell r="F1211">
            <v>2754937474</v>
          </cell>
        </row>
        <row r="1212">
          <cell r="E1212" t="str">
            <v>EF-45046883.X.X</v>
          </cell>
          <cell r="F1212">
            <v>419341528780</v>
          </cell>
        </row>
        <row r="1213">
          <cell r="E1213" t="str">
            <v>EF-45156851</v>
          </cell>
          <cell r="F1213">
            <v>419341528780</v>
          </cell>
        </row>
        <row r="1214">
          <cell r="E1214" t="str">
            <v>EF-45061967.X.X</v>
          </cell>
          <cell r="F1214">
            <v>419341528780</v>
          </cell>
        </row>
        <row r="1215">
          <cell r="E1215" t="str">
            <v>EF-45059490.X.X</v>
          </cell>
          <cell r="F1215">
            <v>419341528780</v>
          </cell>
        </row>
        <row r="1216">
          <cell r="E1216" t="str">
            <v>EF-45059490.X.X</v>
          </cell>
          <cell r="F1216">
            <v>419341528780</v>
          </cell>
        </row>
        <row r="1217">
          <cell r="E1217" t="str">
            <v>EF-45057845.X.X</v>
          </cell>
          <cell r="F1217">
            <v>419341528780</v>
          </cell>
        </row>
        <row r="1218">
          <cell r="E1218" t="str">
            <v>EF-45043923</v>
          </cell>
          <cell r="F1218">
            <v>419341528780</v>
          </cell>
        </row>
        <row r="1219">
          <cell r="E1219" t="str">
            <v>EF-45035930.X.X</v>
          </cell>
          <cell r="F1219">
            <v>419341528780</v>
          </cell>
        </row>
        <row r="1220">
          <cell r="E1220" t="str">
            <v>PUR-15-0207-00</v>
          </cell>
          <cell r="F1220">
            <v>771851085894</v>
          </cell>
        </row>
        <row r="1221">
          <cell r="E1221" t="str">
            <v>PUR-17-0314-02</v>
          </cell>
          <cell r="F1221">
            <v>771903797578</v>
          </cell>
        </row>
        <row r="1222">
          <cell r="E1222" t="str">
            <v>LUC-E00-690020-00</v>
          </cell>
          <cell r="F1222">
            <v>643036751434</v>
          </cell>
        </row>
        <row r="1223">
          <cell r="E1223" t="str">
            <v>EF-45058031</v>
          </cell>
          <cell r="F1223">
            <v>440651235263</v>
          </cell>
        </row>
        <row r="1224">
          <cell r="E1224" t="str">
            <v>PUR-09-0477-00</v>
          </cell>
          <cell r="F1224">
            <v>440651235263</v>
          </cell>
        </row>
        <row r="1225">
          <cell r="E1225" t="str">
            <v>EF-45050219</v>
          </cell>
          <cell r="F1225">
            <v>440651235263</v>
          </cell>
        </row>
        <row r="1226">
          <cell r="E1226" t="str">
            <v>EF-45130014</v>
          </cell>
          <cell r="F1226">
            <v>440651235263</v>
          </cell>
        </row>
        <row r="1227">
          <cell r="E1227" t="str">
            <v>LUC-E00-420027-05</v>
          </cell>
          <cell r="F1227">
            <v>440651235263</v>
          </cell>
        </row>
        <row r="1228">
          <cell r="E1228" t="str">
            <v>EF-45055154.X.X</v>
          </cell>
          <cell r="F1228">
            <v>440651235263</v>
          </cell>
        </row>
        <row r="1229">
          <cell r="E1229" t="str">
            <v>PUR-14-0087-00</v>
          </cell>
          <cell r="F1229">
            <v>440651235263</v>
          </cell>
        </row>
        <row r="1230">
          <cell r="E1230" t="str">
            <v>PUR-09-0425-00</v>
          </cell>
          <cell r="F1230">
            <v>440651235263</v>
          </cell>
        </row>
        <row r="1231">
          <cell r="E1231" t="str">
            <v>EF-45091073.X.X</v>
          </cell>
          <cell r="F1231">
            <v>440651235263</v>
          </cell>
        </row>
        <row r="1232">
          <cell r="E1232" t="str">
            <v>LUC-E00-400010-003</v>
          </cell>
          <cell r="F1232">
            <v>440651235263</v>
          </cell>
        </row>
        <row r="1233">
          <cell r="E1233" t="str">
            <v>EF-45135145</v>
          </cell>
          <cell r="F1233">
            <v>440651235263</v>
          </cell>
        </row>
        <row r="1234">
          <cell r="E1234" t="str">
            <v>LUC-E00-400010-003</v>
          </cell>
          <cell r="F1234">
            <v>440651235263</v>
          </cell>
        </row>
        <row r="1235">
          <cell r="E1235" t="str">
            <v>PUR-09-0324-00</v>
          </cell>
          <cell r="F1235">
            <v>440651235263</v>
          </cell>
        </row>
        <row r="1236">
          <cell r="E1236" t="str">
            <v>EF-45090995</v>
          </cell>
          <cell r="F1236">
            <v>440651235263</v>
          </cell>
        </row>
        <row r="1237">
          <cell r="E1237" t="str">
            <v>EF-45044114.X.X</v>
          </cell>
          <cell r="F1237">
            <v>440651235263</v>
          </cell>
        </row>
        <row r="1238">
          <cell r="E1238" t="str">
            <v>EF-45130563</v>
          </cell>
          <cell r="F1238">
            <v>440651235263</v>
          </cell>
        </row>
        <row r="1239">
          <cell r="E1239" t="str">
            <v>EF-45072119</v>
          </cell>
          <cell r="F1239">
            <v>440651235263</v>
          </cell>
        </row>
        <row r="1240">
          <cell r="E1240" t="str">
            <v>PUR-14-0098-00</v>
          </cell>
          <cell r="F1240">
            <v>440651235263</v>
          </cell>
        </row>
        <row r="1241">
          <cell r="E1241" t="str">
            <v>EF-45037753.X.X</v>
          </cell>
          <cell r="F1241">
            <v>771879835714</v>
          </cell>
        </row>
        <row r="1242">
          <cell r="E1242" t="str">
            <v>EF-45059919.X.X</v>
          </cell>
          <cell r="F1242">
            <v>771879835714</v>
          </cell>
        </row>
        <row r="1243">
          <cell r="E1243" t="str">
            <v>EF-45059919.X.X</v>
          </cell>
          <cell r="F1243">
            <v>771879835714</v>
          </cell>
        </row>
        <row r="1244">
          <cell r="E1244" t="str">
            <v>PUR-12-0337-00</v>
          </cell>
          <cell r="F1244">
            <v>771879835714</v>
          </cell>
        </row>
        <row r="1245">
          <cell r="E1245" t="str">
            <v>PUR-12-0337-00</v>
          </cell>
          <cell r="F1245">
            <v>771879835714</v>
          </cell>
        </row>
        <row r="1246">
          <cell r="E1246" t="str">
            <v>PUR-12-0343-00</v>
          </cell>
          <cell r="F1246">
            <v>771879835714</v>
          </cell>
        </row>
        <row r="1247">
          <cell r="E1247" t="str">
            <v>PUR-12-0343-00</v>
          </cell>
          <cell r="F1247">
            <v>771879835714</v>
          </cell>
        </row>
        <row r="1248">
          <cell r="E1248" t="str">
            <v>EF-45045744.X.X</v>
          </cell>
          <cell r="F1248">
            <v>771879835714</v>
          </cell>
        </row>
        <row r="1249">
          <cell r="E1249" t="str">
            <v>PUR-09-0267-00</v>
          </cell>
          <cell r="F1249">
            <v>440069969038</v>
          </cell>
        </row>
        <row r="1250">
          <cell r="E1250" t="str">
            <v>LUC-E00-420045-01</v>
          </cell>
          <cell r="F1250">
            <v>771876959336</v>
          </cell>
        </row>
        <row r="1251">
          <cell r="E1251" t="str">
            <v>LUC-EZZ-401043-00</v>
          </cell>
          <cell r="F1251">
            <v>771876959336</v>
          </cell>
        </row>
        <row r="1252">
          <cell r="E1252" t="str">
            <v>LUC-EZZ-451622-00</v>
          </cell>
          <cell r="F1252">
            <v>771850435839</v>
          </cell>
        </row>
        <row r="1253">
          <cell r="E1253" t="str">
            <v>LUC-P11-K2B400-02</v>
          </cell>
          <cell r="F1253">
            <v>771904758430</v>
          </cell>
        </row>
        <row r="1254">
          <cell r="E1254" t="str">
            <v>EF-45205706</v>
          </cell>
          <cell r="F1254">
            <v>441508618265</v>
          </cell>
        </row>
        <row r="1255">
          <cell r="E1255" t="str">
            <v>LUC-EZZ-421554-00</v>
          </cell>
          <cell r="F1255">
            <v>285041521051</v>
          </cell>
        </row>
        <row r="1256">
          <cell r="E1256" t="str">
            <v>EF-45117120</v>
          </cell>
          <cell r="F1256">
            <v>441723236821</v>
          </cell>
        </row>
        <row r="1257">
          <cell r="E1257" t="str">
            <v>EF-45117120</v>
          </cell>
          <cell r="F1257">
            <v>441723236821</v>
          </cell>
        </row>
        <row r="1258">
          <cell r="E1258" t="str">
            <v>LUC-P11-K41C00-00</v>
          </cell>
          <cell r="F1258">
            <v>441723236821</v>
          </cell>
        </row>
        <row r="1259">
          <cell r="E1259" t="str">
            <v>LUC-EZZ-450231-00</v>
          </cell>
          <cell r="F1259">
            <v>441723236821</v>
          </cell>
        </row>
        <row r="1260">
          <cell r="E1260" t="str">
            <v>LUC-EZZ-481784-00</v>
          </cell>
          <cell r="F1260">
            <v>441723236821</v>
          </cell>
        </row>
        <row r="1261">
          <cell r="E1261" t="str">
            <v>LUC-P11-K41F00-00</v>
          </cell>
          <cell r="F1261">
            <v>441723236821</v>
          </cell>
        </row>
        <row r="1262">
          <cell r="E1262" t="str">
            <v>LUC-E00-420073-00</v>
          </cell>
          <cell r="F1262">
            <v>435977497038</v>
          </cell>
        </row>
        <row r="1263">
          <cell r="E1263" t="str">
            <v>AGI-500-40015-01</v>
          </cell>
          <cell r="F1263">
            <v>435977497038</v>
          </cell>
        </row>
        <row r="1264">
          <cell r="E1264" t="str">
            <v>PUR-21-0036-00</v>
          </cell>
          <cell r="F1264">
            <v>435977497038</v>
          </cell>
        </row>
        <row r="1265">
          <cell r="E1265" t="str">
            <v>EF-45100289</v>
          </cell>
          <cell r="F1265">
            <v>435977497038</v>
          </cell>
        </row>
        <row r="1266">
          <cell r="E1266" t="str">
            <v>EF-45129741</v>
          </cell>
          <cell r="F1266">
            <v>435977497038</v>
          </cell>
        </row>
        <row r="1267">
          <cell r="E1267" t="str">
            <v>AGI-520-50002-01</v>
          </cell>
          <cell r="F1267">
            <v>722661006169</v>
          </cell>
        </row>
        <row r="1268">
          <cell r="E1268" t="str">
            <v>EF-45125060</v>
          </cell>
          <cell r="F1268">
            <v>722661006169</v>
          </cell>
        </row>
        <row r="1269">
          <cell r="E1269" t="str">
            <v>EF-45125060</v>
          </cell>
          <cell r="F1269">
            <v>722661006169</v>
          </cell>
        </row>
        <row r="1270">
          <cell r="E1270" t="str">
            <v>LUC-E00-440003-01</v>
          </cell>
          <cell r="F1270">
            <v>722661006169</v>
          </cell>
        </row>
        <row r="1271">
          <cell r="E1271" t="str">
            <v>PUR-18-0595-00</v>
          </cell>
          <cell r="F1271">
            <v>771903777896</v>
          </cell>
        </row>
        <row r="1272">
          <cell r="E1272" t="str">
            <v>PUR-18-0504-00</v>
          </cell>
          <cell r="F1272">
            <v>771903777896</v>
          </cell>
        </row>
        <row r="1273">
          <cell r="E1273" t="str">
            <v>PUR-18-0580-00</v>
          </cell>
          <cell r="F1273">
            <v>771903777896</v>
          </cell>
        </row>
        <row r="1274">
          <cell r="E1274" t="str">
            <v>PUR-18-0446-00</v>
          </cell>
          <cell r="F1274">
            <v>771903777896</v>
          </cell>
        </row>
        <row r="1275">
          <cell r="E1275" t="str">
            <v>PUR-33-0010-00</v>
          </cell>
          <cell r="F1275">
            <v>771903777896</v>
          </cell>
        </row>
        <row r="1276">
          <cell r="E1276" t="str">
            <v>PUR-24-0031-00</v>
          </cell>
          <cell r="F1276">
            <v>428935022501</v>
          </cell>
        </row>
        <row r="1277">
          <cell r="E1277" t="str">
            <v>EF-45116977</v>
          </cell>
          <cell r="F1277">
            <v>428935022501</v>
          </cell>
        </row>
        <row r="1278">
          <cell r="E1278" t="str">
            <v>LUC-E00-510032-00</v>
          </cell>
          <cell r="F1278">
            <v>428935022501</v>
          </cell>
        </row>
        <row r="1279">
          <cell r="E1279" t="str">
            <v>PUR-09-0361-00</v>
          </cell>
          <cell r="F1279">
            <v>428935022501</v>
          </cell>
        </row>
        <row r="1280">
          <cell r="E1280" t="str">
            <v>130-000513</v>
          </cell>
          <cell r="F1280">
            <v>431466749093</v>
          </cell>
        </row>
        <row r="1281">
          <cell r="E1281" t="str">
            <v>130-000513</v>
          </cell>
          <cell r="F1281">
            <v>431466749093</v>
          </cell>
        </row>
        <row r="1282">
          <cell r="E1282" t="str">
            <v>LUC-E00-510041-00</v>
          </cell>
          <cell r="F1282">
            <v>441557098573</v>
          </cell>
        </row>
        <row r="1283">
          <cell r="E1283" t="str">
            <v>LUC-E00-420054-01</v>
          </cell>
          <cell r="F1283">
            <v>441557098573</v>
          </cell>
        </row>
        <row r="1284">
          <cell r="E1284" t="str">
            <v>EF-45130938</v>
          </cell>
          <cell r="F1284">
            <v>284923966322</v>
          </cell>
        </row>
        <row r="1285">
          <cell r="E1285" t="str">
            <v>EF-45103487</v>
          </cell>
          <cell r="F1285">
            <v>284923966322</v>
          </cell>
        </row>
        <row r="1286">
          <cell r="E1286" t="str">
            <v>PUR-07-0292-00</v>
          </cell>
          <cell r="F1286">
            <v>4914807554</v>
          </cell>
        </row>
        <row r="1287">
          <cell r="E1287" t="str">
            <v>PUR-07-0328-00</v>
          </cell>
          <cell r="F1287">
            <v>4914807554</v>
          </cell>
        </row>
        <row r="1288">
          <cell r="E1288" t="str">
            <v>PUR-07-0328-00</v>
          </cell>
          <cell r="F1288">
            <v>4914807554</v>
          </cell>
        </row>
        <row r="1289">
          <cell r="E1289" t="str">
            <v>PUR-07-0167-00</v>
          </cell>
          <cell r="F1289">
            <v>4914807554</v>
          </cell>
        </row>
        <row r="1290">
          <cell r="E1290" t="str">
            <v>PUR-07-0167-00</v>
          </cell>
          <cell r="F1290">
            <v>4914807554</v>
          </cell>
        </row>
        <row r="1291">
          <cell r="E1291" t="str">
            <v>PUR-07-0167-00</v>
          </cell>
          <cell r="F1291">
            <v>4914807554</v>
          </cell>
        </row>
        <row r="1292">
          <cell r="E1292" t="str">
            <v>PUR-07-0167-00</v>
          </cell>
          <cell r="F1292">
            <v>4914807554</v>
          </cell>
        </row>
        <row r="1293">
          <cell r="E1293" t="str">
            <v>PUR-07-0167-00</v>
          </cell>
          <cell r="F1293">
            <v>4914807554</v>
          </cell>
        </row>
        <row r="1294">
          <cell r="E1294" t="str">
            <v>PUR-07-0328-00</v>
          </cell>
          <cell r="F1294">
            <v>4914807554</v>
          </cell>
        </row>
        <row r="1295">
          <cell r="E1295" t="str">
            <v>PUR-07-0328-00</v>
          </cell>
          <cell r="F1295">
            <v>4914807554</v>
          </cell>
        </row>
        <row r="1296">
          <cell r="E1296" t="str">
            <v>PUR-07-0287-00</v>
          </cell>
          <cell r="F1296">
            <v>4914807554</v>
          </cell>
        </row>
        <row r="1297">
          <cell r="E1297" t="str">
            <v>LUC-E00-420046-00</v>
          </cell>
          <cell r="F1297">
            <v>426080008801</v>
          </cell>
        </row>
        <row r="1298">
          <cell r="E1298">
            <v>45253067</v>
          </cell>
          <cell r="F1298">
            <v>426080008801</v>
          </cell>
        </row>
        <row r="1299">
          <cell r="E1299">
            <v>45252299</v>
          </cell>
          <cell r="F1299">
            <v>426080008801</v>
          </cell>
        </row>
        <row r="1300">
          <cell r="E1300">
            <v>45126100</v>
          </cell>
          <cell r="F1300">
            <v>426080008801</v>
          </cell>
        </row>
        <row r="1301">
          <cell r="E1301" t="str">
            <v>PUR-25-0009-00</v>
          </cell>
          <cell r="F1301">
            <v>426080008801</v>
          </cell>
        </row>
        <row r="1302">
          <cell r="E1302" t="str">
            <v>EF-45188480</v>
          </cell>
          <cell r="F1302">
            <v>426080008801</v>
          </cell>
        </row>
        <row r="1303">
          <cell r="E1303" t="str">
            <v>EF-45225702</v>
          </cell>
          <cell r="F1303">
            <v>426080008801</v>
          </cell>
        </row>
        <row r="1304">
          <cell r="E1304" t="str">
            <v>LUC-E00-450043-00</v>
          </cell>
          <cell r="F1304">
            <v>426080008801</v>
          </cell>
        </row>
        <row r="1305">
          <cell r="E1305" t="str">
            <v>LUC-E00-470079-00</v>
          </cell>
          <cell r="F1305">
            <v>426080008801</v>
          </cell>
        </row>
        <row r="1306">
          <cell r="E1306" t="str">
            <v>LUC-EZZ-450110-00</v>
          </cell>
          <cell r="F1306">
            <v>426080008801</v>
          </cell>
        </row>
        <row r="1307">
          <cell r="E1307" t="str">
            <v>LUC-E00-470096-00</v>
          </cell>
          <cell r="F1307">
            <v>426080008801</v>
          </cell>
        </row>
        <row r="1308">
          <cell r="E1308" t="str">
            <v>130-001590</v>
          </cell>
          <cell r="F1308">
            <v>426080008801</v>
          </cell>
        </row>
        <row r="1309">
          <cell r="E1309" t="str">
            <v>LUC-E00-470086-00</v>
          </cell>
          <cell r="F1309">
            <v>426080008801</v>
          </cell>
        </row>
        <row r="1310">
          <cell r="E1310" t="str">
            <v>LUC-EZZ-420097-00</v>
          </cell>
          <cell r="F1310">
            <v>426080008801</v>
          </cell>
        </row>
        <row r="1311">
          <cell r="E1311" t="str">
            <v>LUC-EZZ-470202-00</v>
          </cell>
          <cell r="F1311">
            <v>426080008801</v>
          </cell>
        </row>
        <row r="1312">
          <cell r="E1312" t="str">
            <v>LUC-EZZ-490315-01</v>
          </cell>
          <cell r="F1312">
            <v>1514866</v>
          </cell>
        </row>
        <row r="1313">
          <cell r="E1313" t="str">
            <v>LUC-EZZ-490305-05</v>
          </cell>
          <cell r="F1313">
            <v>1514866</v>
          </cell>
        </row>
        <row r="1314">
          <cell r="E1314" t="str">
            <v>LUC-EZZ-490259-00</v>
          </cell>
          <cell r="F1314">
            <v>1514866</v>
          </cell>
        </row>
        <row r="1315">
          <cell r="E1315" t="str">
            <v>LUC-EZZ-490315-01</v>
          </cell>
          <cell r="F1315">
            <v>1514866</v>
          </cell>
        </row>
        <row r="1316">
          <cell r="E1316" t="str">
            <v>LUC-EZZ-490535-00</v>
          </cell>
          <cell r="F1316">
            <v>1514866</v>
          </cell>
        </row>
        <row r="1317">
          <cell r="E1317" t="str">
            <v>AGI-532-50005-01</v>
          </cell>
          <cell r="F1317">
            <v>771931907417</v>
          </cell>
        </row>
        <row r="1318">
          <cell r="E1318" t="str">
            <v>LUC-E00-470074-00</v>
          </cell>
          <cell r="F1318">
            <v>771931907417</v>
          </cell>
        </row>
        <row r="1319">
          <cell r="E1319" t="str">
            <v>LUC-E00-690029-00</v>
          </cell>
          <cell r="F1319">
            <v>771929954011</v>
          </cell>
        </row>
        <row r="1320">
          <cell r="E1320" t="str">
            <v>LUC-EZZ-420324-00</v>
          </cell>
          <cell r="F1320">
            <v>643036751629</v>
          </cell>
        </row>
        <row r="1321">
          <cell r="E1321" t="str">
            <v>LUC-EZZ-420532-00</v>
          </cell>
          <cell r="F1321">
            <v>643036751629</v>
          </cell>
        </row>
        <row r="1322">
          <cell r="E1322" t="str">
            <v>EF-45093131.X.X</v>
          </cell>
          <cell r="F1322">
            <v>419341529272</v>
          </cell>
        </row>
        <row r="1323">
          <cell r="E1323" t="str">
            <v>EF-45093131.X.X</v>
          </cell>
          <cell r="F1323">
            <v>419341529272</v>
          </cell>
        </row>
        <row r="1324">
          <cell r="E1324" t="str">
            <v>PUR-03-0095-00</v>
          </cell>
          <cell r="F1324">
            <v>440069959254</v>
          </cell>
        </row>
        <row r="1325">
          <cell r="E1325" t="str">
            <v>PUR-03-0095-00</v>
          </cell>
          <cell r="F1325">
            <v>440069959254</v>
          </cell>
        </row>
        <row r="1326">
          <cell r="E1326" t="str">
            <v>EF-45043231</v>
          </cell>
          <cell r="F1326">
            <v>725187039980</v>
          </cell>
        </row>
        <row r="1327">
          <cell r="E1327" t="str">
            <v>LUC-E00-690010-01</v>
          </cell>
          <cell r="F1327">
            <v>285107189168</v>
          </cell>
        </row>
        <row r="1328">
          <cell r="E1328" t="str">
            <v>AGI-410-50002-01</v>
          </cell>
          <cell r="F1328">
            <v>119209578303</v>
          </cell>
        </row>
        <row r="1329">
          <cell r="E1329" t="str">
            <v>PURET-13-0007-00</v>
          </cell>
          <cell r="F1329">
            <v>434611752411</v>
          </cell>
        </row>
        <row r="1330">
          <cell r="E1330" t="str">
            <v>PUR-13-0157-00</v>
          </cell>
          <cell r="F1330">
            <v>434611752411</v>
          </cell>
        </row>
        <row r="1331">
          <cell r="E1331" t="str">
            <v>LUC-E00-420016-00</v>
          </cell>
          <cell r="F1331">
            <v>434611752411</v>
          </cell>
        </row>
        <row r="1332">
          <cell r="E1332" t="str">
            <v>LUC-E00-420016-00</v>
          </cell>
          <cell r="F1332">
            <v>434611752411</v>
          </cell>
        </row>
        <row r="1333">
          <cell r="E1333" t="str">
            <v>LUC-E00-420002-00</v>
          </cell>
          <cell r="F1333">
            <v>434611752411</v>
          </cell>
        </row>
        <row r="1334">
          <cell r="E1334" t="str">
            <v>LUC-EZZ-420133-00</v>
          </cell>
          <cell r="F1334">
            <v>434611752411</v>
          </cell>
        </row>
        <row r="1335">
          <cell r="E1335" t="str">
            <v>PURET-13-0022-00</v>
          </cell>
          <cell r="F1335">
            <v>434611752411</v>
          </cell>
        </row>
        <row r="1336">
          <cell r="E1336" t="str">
            <v>PUR-13-0134-00</v>
          </cell>
          <cell r="F1336">
            <v>434611752411</v>
          </cell>
        </row>
        <row r="1337">
          <cell r="E1337" t="str">
            <v>PUR-13-0196-00</v>
          </cell>
          <cell r="F1337">
            <v>434611752411</v>
          </cell>
        </row>
        <row r="1338">
          <cell r="E1338" t="str">
            <v>PUR-13-0238-00</v>
          </cell>
          <cell r="F1338">
            <v>434611752411</v>
          </cell>
        </row>
        <row r="1339">
          <cell r="E1339" t="str">
            <v>PUR-13-0166-00</v>
          </cell>
          <cell r="F1339">
            <v>434611752411</v>
          </cell>
        </row>
        <row r="1340">
          <cell r="E1340" t="str">
            <v>PUR-13-0157-00</v>
          </cell>
          <cell r="F1340">
            <v>434611752411</v>
          </cell>
        </row>
        <row r="1341">
          <cell r="E1341" t="str">
            <v>PUR-13-0160-00</v>
          </cell>
          <cell r="F1341">
            <v>434611752411</v>
          </cell>
        </row>
        <row r="1342">
          <cell r="E1342" t="str">
            <v>PUR-13-0134-00</v>
          </cell>
          <cell r="F1342">
            <v>434611752411</v>
          </cell>
        </row>
        <row r="1343">
          <cell r="E1343" t="str">
            <v>EF-45047403.X.X</v>
          </cell>
          <cell r="F1343">
            <v>434611752411</v>
          </cell>
        </row>
        <row r="1344">
          <cell r="E1344" t="str">
            <v>PUR-13-0147-00</v>
          </cell>
          <cell r="F1344">
            <v>434611752411</v>
          </cell>
        </row>
        <row r="1345">
          <cell r="E1345" t="str">
            <v>PUR-13-0147-00</v>
          </cell>
          <cell r="F1345">
            <v>434611752411</v>
          </cell>
        </row>
        <row r="1346">
          <cell r="E1346" t="str">
            <v>PUR-13-0238-00</v>
          </cell>
          <cell r="F1346">
            <v>434611752411</v>
          </cell>
        </row>
        <row r="1347">
          <cell r="E1347" t="str">
            <v>LUC-E00-420045-00</v>
          </cell>
          <cell r="F1347">
            <v>434611752411</v>
          </cell>
        </row>
        <row r="1348">
          <cell r="E1348" t="str">
            <v>LUC-EZZ-470242-00</v>
          </cell>
          <cell r="F1348">
            <v>442084715506</v>
          </cell>
        </row>
        <row r="1349">
          <cell r="E1349" t="str">
            <v>LUC-E00-470095-00</v>
          </cell>
          <cell r="F1349">
            <v>8471895283</v>
          </cell>
        </row>
        <row r="1350">
          <cell r="E1350" t="str">
            <v>LUC-E00-470033-00</v>
          </cell>
          <cell r="F1350">
            <v>8471895283</v>
          </cell>
        </row>
        <row r="1351">
          <cell r="E1351" t="str">
            <v>LUC-E00-420025-03</v>
          </cell>
          <cell r="F1351">
            <v>8471895283</v>
          </cell>
        </row>
        <row r="1352">
          <cell r="E1352" t="str">
            <v>EF-45110875.X.X</v>
          </cell>
          <cell r="F1352">
            <v>8471895283</v>
          </cell>
        </row>
        <row r="1353">
          <cell r="E1353" t="str">
            <v>EF-45205701</v>
          </cell>
          <cell r="F1353">
            <v>8471895283</v>
          </cell>
        </row>
        <row r="1354">
          <cell r="E1354" t="str">
            <v>LUC-EZZ-420210-00</v>
          </cell>
          <cell r="F1354">
            <v>8471895283</v>
          </cell>
        </row>
        <row r="1355">
          <cell r="E1355" t="str">
            <v>LUC-EZZ-421298-00</v>
          </cell>
          <cell r="F1355">
            <v>8471895283</v>
          </cell>
        </row>
        <row r="1356">
          <cell r="E1356" t="str">
            <v>LUC-EZZ-400246-00</v>
          </cell>
          <cell r="F1356">
            <v>8471895283</v>
          </cell>
        </row>
        <row r="1357">
          <cell r="E1357" t="str">
            <v>LUC-EZZ-400259-00</v>
          </cell>
          <cell r="F1357">
            <v>8471895283</v>
          </cell>
        </row>
        <row r="1358">
          <cell r="E1358" t="str">
            <v>LUC-E00-400010-001</v>
          </cell>
          <cell r="F1358">
            <v>3732801166</v>
          </cell>
        </row>
        <row r="1359">
          <cell r="E1359" t="str">
            <v>PUR-16-0049-01</v>
          </cell>
          <cell r="F1359" t="str">
            <v>42I0223813</v>
          </cell>
        </row>
        <row r="1360">
          <cell r="E1360" t="str">
            <v>PUR-16-0049-01</v>
          </cell>
          <cell r="F1360" t="str">
            <v>42I0223813</v>
          </cell>
        </row>
        <row r="1361">
          <cell r="E1361" t="str">
            <v>PUR-03-0099-03</v>
          </cell>
          <cell r="F1361" t="str">
            <v>8TV1861</v>
          </cell>
        </row>
        <row r="1362">
          <cell r="E1362" t="str">
            <v>PUR-03-0092-03</v>
          </cell>
          <cell r="F1362" t="str">
            <v>8TV1847</v>
          </cell>
        </row>
        <row r="1363">
          <cell r="E1363" t="str">
            <v>PUR-03-0092-03</v>
          </cell>
          <cell r="F1363" t="str">
            <v>8TV1848</v>
          </cell>
        </row>
        <row r="1364">
          <cell r="E1364" t="str">
            <v>PUR-03-0092-03</v>
          </cell>
          <cell r="F1364" t="str">
            <v>8TV1850</v>
          </cell>
        </row>
        <row r="1365">
          <cell r="E1365" t="str">
            <v>PUR-03-0092-03</v>
          </cell>
          <cell r="F1365" t="str">
            <v>8TV1851</v>
          </cell>
        </row>
        <row r="1366">
          <cell r="E1366" t="str">
            <v>PUR-03-0092-03</v>
          </cell>
          <cell r="F1366" t="str">
            <v>8TV1852</v>
          </cell>
        </row>
        <row r="1367">
          <cell r="E1367" t="str">
            <v>PUR-03-0092-03</v>
          </cell>
          <cell r="F1367" t="str">
            <v>8TV1849</v>
          </cell>
        </row>
        <row r="1368">
          <cell r="E1368" t="str">
            <v>LUC-E00-470021-00</v>
          </cell>
          <cell r="F1368">
            <v>285240441472</v>
          </cell>
        </row>
        <row r="1369">
          <cell r="E1369" t="str">
            <v>LUC-EZZ-420118-00</v>
          </cell>
          <cell r="F1369">
            <v>771972538047</v>
          </cell>
        </row>
        <row r="1370">
          <cell r="E1370" t="str">
            <v>LUC-EZZ-420098-00</v>
          </cell>
          <cell r="F1370">
            <v>771972538047</v>
          </cell>
        </row>
        <row r="1371">
          <cell r="E1371" t="str">
            <v>LUC-EZZ-420210-00</v>
          </cell>
          <cell r="F1371">
            <v>771972538047</v>
          </cell>
        </row>
        <row r="1372">
          <cell r="E1372" t="str">
            <v>PUR-15-0220-00</v>
          </cell>
          <cell r="F1372">
            <v>4914807556</v>
          </cell>
        </row>
        <row r="1373">
          <cell r="E1373" t="str">
            <v>PUR-15-0220-00</v>
          </cell>
          <cell r="F1373">
            <v>4914807556</v>
          </cell>
        </row>
        <row r="1374">
          <cell r="E1374" t="str">
            <v>PUR-15-0220-00</v>
          </cell>
          <cell r="F1374">
            <v>4914807556</v>
          </cell>
        </row>
        <row r="1375">
          <cell r="E1375" t="str">
            <v>LUC-EZZ-400205-00</v>
          </cell>
          <cell r="F1375" t="str">
            <v>1Z75A9570472935756</v>
          </cell>
        </row>
        <row r="1376">
          <cell r="E1376" t="str">
            <v>LUC-EZZ-510640-00</v>
          </cell>
          <cell r="F1376">
            <v>440651276664</v>
          </cell>
        </row>
        <row r="1377">
          <cell r="E1377" t="str">
            <v>PUR-03-0092-03</v>
          </cell>
          <cell r="F1377" t="str">
            <v>8TV1862</v>
          </cell>
        </row>
        <row r="1378">
          <cell r="E1378" t="str">
            <v>PUR-03-0092-03</v>
          </cell>
          <cell r="F1378" t="str">
            <v>8TV1863</v>
          </cell>
        </row>
        <row r="1379">
          <cell r="E1379" t="str">
            <v>LUC-E00-420057-00</v>
          </cell>
          <cell r="F1379">
            <v>3732804725</v>
          </cell>
        </row>
        <row r="1380">
          <cell r="E1380" t="str">
            <v>PUR-31-0061-02</v>
          </cell>
          <cell r="F1380" t="str">
            <v>PSHPH2520030</v>
          </cell>
        </row>
        <row r="1381">
          <cell r="E1381" t="str">
            <v>PUR-31-0061-02</v>
          </cell>
          <cell r="F1381" t="str">
            <v>PSHPH2520030</v>
          </cell>
        </row>
        <row r="1382">
          <cell r="E1382" t="str">
            <v>PUR-31-0066-02</v>
          </cell>
          <cell r="F1382" t="str">
            <v>PSHPH2520030</v>
          </cell>
        </row>
        <row r="1383">
          <cell r="E1383" t="str">
            <v>PUR-17-0283-02</v>
          </cell>
          <cell r="F1383" t="str">
            <v>PSHPH2520030</v>
          </cell>
        </row>
        <row r="1384">
          <cell r="E1384" t="str">
            <v>PUR-31-0066-02</v>
          </cell>
          <cell r="F1384" t="str">
            <v>PSHPH2520030</v>
          </cell>
        </row>
        <row r="1385">
          <cell r="E1385" t="str">
            <v>PUR-31-0066-02</v>
          </cell>
          <cell r="F1385" t="str">
            <v>PSHPH2520030</v>
          </cell>
        </row>
        <row r="1386">
          <cell r="E1386" t="str">
            <v>AGI-600-50001-01</v>
          </cell>
          <cell r="F1386">
            <v>642108547720</v>
          </cell>
        </row>
        <row r="1387">
          <cell r="E1387" t="str">
            <v>AGI-600-50001-01</v>
          </cell>
          <cell r="F1387">
            <v>642108547720</v>
          </cell>
        </row>
        <row r="1388">
          <cell r="E1388" t="str">
            <v>AGI-600-50001-01</v>
          </cell>
          <cell r="F1388">
            <v>642108547720</v>
          </cell>
        </row>
        <row r="1389">
          <cell r="E1389" t="str">
            <v>PUR-11-0066-05</v>
          </cell>
          <cell r="F1389">
            <v>771998002785</v>
          </cell>
        </row>
        <row r="1390">
          <cell r="E1390" t="str">
            <v>PUR-07-0315-00</v>
          </cell>
          <cell r="F1390">
            <v>771996147806</v>
          </cell>
        </row>
        <row r="1391">
          <cell r="E1391" t="str">
            <v>PUR-07-0315-00</v>
          </cell>
          <cell r="F1391">
            <v>771996147806</v>
          </cell>
        </row>
        <row r="1392">
          <cell r="E1392" t="str">
            <v>PUR-07-0295-00</v>
          </cell>
          <cell r="F1392">
            <v>771996147806</v>
          </cell>
        </row>
        <row r="1393">
          <cell r="E1393" t="str">
            <v>PUR-07-0332-00</v>
          </cell>
          <cell r="F1393">
            <v>771996147806</v>
          </cell>
        </row>
        <row r="1394">
          <cell r="E1394" t="str">
            <v>EF-45081678</v>
          </cell>
          <cell r="F1394">
            <v>771967762265</v>
          </cell>
        </row>
        <row r="1395">
          <cell r="E1395" t="str">
            <v>EF-45111698</v>
          </cell>
          <cell r="F1395">
            <v>771967762265</v>
          </cell>
        </row>
        <row r="1396">
          <cell r="E1396" t="str">
            <v>EF-45129595</v>
          </cell>
          <cell r="F1396">
            <v>771967762265</v>
          </cell>
        </row>
        <row r="1397">
          <cell r="E1397" t="str">
            <v>AGI-450-50015-01</v>
          </cell>
          <cell r="F1397">
            <v>771967762265</v>
          </cell>
        </row>
        <row r="1398">
          <cell r="E1398" t="str">
            <v>AGI-450-50015-01</v>
          </cell>
          <cell r="F1398">
            <v>771967762265</v>
          </cell>
        </row>
        <row r="1399">
          <cell r="E1399" t="str">
            <v>EF-45129595</v>
          </cell>
          <cell r="F1399">
            <v>771967762265</v>
          </cell>
        </row>
        <row r="1400">
          <cell r="E1400" t="str">
            <v>LUC-EZZ-400011-00</v>
          </cell>
          <cell r="F1400">
            <v>771967762265</v>
          </cell>
        </row>
        <row r="1401">
          <cell r="E1401" t="str">
            <v>LUC-E00-690001-00</v>
          </cell>
          <cell r="F1401">
            <v>771967762265</v>
          </cell>
        </row>
        <row r="1402">
          <cell r="E1402" t="str">
            <v>AGI-501-50001-01</v>
          </cell>
          <cell r="F1402">
            <v>771967762265</v>
          </cell>
        </row>
        <row r="1403">
          <cell r="E1403" t="str">
            <v>AGI-501-50001-01</v>
          </cell>
          <cell r="F1403">
            <v>771967762265</v>
          </cell>
        </row>
        <row r="1404">
          <cell r="E1404" t="str">
            <v>EF-45043246.X.X</v>
          </cell>
          <cell r="F1404">
            <v>426617506829</v>
          </cell>
        </row>
        <row r="1405">
          <cell r="E1405" t="str">
            <v>LUC-P11-JA3100-00</v>
          </cell>
          <cell r="F1405">
            <v>772023786059</v>
          </cell>
        </row>
        <row r="1406">
          <cell r="E1406" t="str">
            <v>LUC-P11-JA3200-00</v>
          </cell>
          <cell r="F1406">
            <v>772023786059</v>
          </cell>
        </row>
        <row r="1407">
          <cell r="E1407" t="str">
            <v>LUC-EZZ-441177-00</v>
          </cell>
          <cell r="F1407">
            <v>643036751868</v>
          </cell>
        </row>
        <row r="1408">
          <cell r="E1408" t="str">
            <v>EF-45039988</v>
          </cell>
          <cell r="F1408">
            <v>7477096804</v>
          </cell>
        </row>
        <row r="1409">
          <cell r="E1409" t="str">
            <v>EF-45130942</v>
          </cell>
          <cell r="F1409">
            <v>7477096804</v>
          </cell>
        </row>
        <row r="1410">
          <cell r="E1410" t="str">
            <v>PUR-03-0092-03</v>
          </cell>
          <cell r="F1410" t="str">
            <v>8TV1864</v>
          </cell>
        </row>
        <row r="1411">
          <cell r="E1411" t="str">
            <v>PURET-12-0084-00</v>
          </cell>
          <cell r="F1411">
            <v>7425720890</v>
          </cell>
        </row>
        <row r="1412">
          <cell r="E1412" t="str">
            <v>EF-45126672</v>
          </cell>
          <cell r="F1412">
            <v>7425720890</v>
          </cell>
        </row>
        <row r="1413">
          <cell r="E1413" t="str">
            <v>EF-45042451</v>
          </cell>
          <cell r="F1413">
            <v>7425720890</v>
          </cell>
        </row>
        <row r="1414">
          <cell r="E1414" t="str">
            <v>EF-45042452</v>
          </cell>
          <cell r="F1414">
            <v>7425720890</v>
          </cell>
        </row>
        <row r="1415">
          <cell r="E1415" t="str">
            <v>EF-45072100.X.X</v>
          </cell>
          <cell r="F1415">
            <v>7425720890</v>
          </cell>
        </row>
        <row r="1416">
          <cell r="E1416" t="str">
            <v>LUC-EZZ-690758-00</v>
          </cell>
          <cell r="F1416">
            <v>7425720890</v>
          </cell>
        </row>
        <row r="1417">
          <cell r="E1417" t="str">
            <v>EF-45072100.X.X</v>
          </cell>
          <cell r="F1417">
            <v>7425720890</v>
          </cell>
        </row>
        <row r="1418">
          <cell r="E1418" t="str">
            <v>PUR-14-0083-00</v>
          </cell>
          <cell r="F1418">
            <v>7425720890</v>
          </cell>
        </row>
        <row r="1419">
          <cell r="E1419" t="str">
            <v>PUR-14-0077-00</v>
          </cell>
          <cell r="F1419">
            <v>7425720890</v>
          </cell>
        </row>
        <row r="1420">
          <cell r="E1420" t="str">
            <v>AGI-530-50003-01</v>
          </cell>
          <cell r="F1420">
            <v>7425720890</v>
          </cell>
        </row>
        <row r="1421">
          <cell r="E1421" t="str">
            <v>PURET-12-0037-00</v>
          </cell>
          <cell r="F1421">
            <v>7425720890</v>
          </cell>
        </row>
        <row r="1422">
          <cell r="E1422" t="str">
            <v>EF-45036912.X.X</v>
          </cell>
          <cell r="F1422">
            <v>7425720890</v>
          </cell>
        </row>
        <row r="1423">
          <cell r="E1423" t="str">
            <v>AGI-510-50006-01</v>
          </cell>
          <cell r="F1423">
            <v>7425720890</v>
          </cell>
        </row>
        <row r="1424">
          <cell r="E1424" t="str">
            <v>EF-45046246.X.X</v>
          </cell>
          <cell r="F1424">
            <v>7425720890</v>
          </cell>
        </row>
        <row r="1425">
          <cell r="E1425" t="str">
            <v>EF-45126672</v>
          </cell>
          <cell r="F1425">
            <v>7425720890</v>
          </cell>
        </row>
        <row r="1426">
          <cell r="E1426" t="str">
            <v>EF-45052527</v>
          </cell>
          <cell r="F1426">
            <v>7425720890</v>
          </cell>
        </row>
        <row r="1427">
          <cell r="E1427" t="str">
            <v>AGI-510-50001-01</v>
          </cell>
          <cell r="F1427">
            <v>7425720890</v>
          </cell>
        </row>
        <row r="1428">
          <cell r="E1428" t="str">
            <v>EF-45072100.X.X</v>
          </cell>
          <cell r="F1428">
            <v>7425720890</v>
          </cell>
        </row>
        <row r="1429">
          <cell r="E1429" t="str">
            <v>AGI-510-50001-01</v>
          </cell>
          <cell r="F1429">
            <v>7425720890</v>
          </cell>
        </row>
        <row r="1430">
          <cell r="E1430" t="str">
            <v>EF-45072100.X.X</v>
          </cell>
          <cell r="F1430">
            <v>7425720890</v>
          </cell>
        </row>
        <row r="1431">
          <cell r="E1431" t="str">
            <v>LUC-EZZ-400260-00</v>
          </cell>
          <cell r="F1431">
            <v>7425720890</v>
          </cell>
        </row>
        <row r="1432">
          <cell r="E1432" t="str">
            <v>LUC-EZZ-420085-00</v>
          </cell>
          <cell r="F1432">
            <v>618108335760</v>
          </cell>
        </row>
        <row r="1433">
          <cell r="E1433" t="str">
            <v>LUC-EZZ-470162-00</v>
          </cell>
          <cell r="F1433">
            <v>618108335760</v>
          </cell>
        </row>
        <row r="1434">
          <cell r="E1434" t="str">
            <v>LUC-P11-K41E00-01</v>
          </cell>
          <cell r="F1434">
            <v>444693901358</v>
          </cell>
        </row>
        <row r="1435">
          <cell r="E1435" t="str">
            <v>LUC-E00-470242-00</v>
          </cell>
          <cell r="F1435">
            <v>444693901358</v>
          </cell>
        </row>
        <row r="1436">
          <cell r="E1436" t="str">
            <v>LUC-E00-420072-00</v>
          </cell>
          <cell r="F1436">
            <v>444693901358</v>
          </cell>
        </row>
        <row r="1437">
          <cell r="E1437" t="str">
            <v>LUC-E00-470123-00</v>
          </cell>
          <cell r="F1437">
            <v>444693901358</v>
          </cell>
        </row>
        <row r="1438">
          <cell r="E1438" t="str">
            <v>LUC-P11-K41A00-00</v>
          </cell>
          <cell r="F1438">
            <v>444693901358</v>
          </cell>
        </row>
        <row r="1439">
          <cell r="E1439" t="str">
            <v>LUC-EZZ-420822-00</v>
          </cell>
          <cell r="F1439">
            <v>444693901358</v>
          </cell>
        </row>
        <row r="1440">
          <cell r="E1440" t="str">
            <v>LUC-P11-K18000-00</v>
          </cell>
          <cell r="F1440">
            <v>444693901358</v>
          </cell>
        </row>
        <row r="1441">
          <cell r="E1441" t="str">
            <v>LUC-EZZ-401060-00</v>
          </cell>
          <cell r="F1441">
            <v>444693901358</v>
          </cell>
        </row>
        <row r="1442">
          <cell r="E1442" t="str">
            <v>LUC-EZZ-420049-00</v>
          </cell>
          <cell r="F1442">
            <v>444693901358</v>
          </cell>
        </row>
        <row r="1443">
          <cell r="E1443" t="str">
            <v>LUC-EZZ-401059-00</v>
          </cell>
          <cell r="F1443">
            <v>444693901358</v>
          </cell>
        </row>
        <row r="1444">
          <cell r="E1444" t="str">
            <v>LUC-EZZ-420029-00</v>
          </cell>
          <cell r="F1444">
            <v>444693901358</v>
          </cell>
        </row>
        <row r="1445">
          <cell r="E1445" t="str">
            <v>LUC-EZZ-420193-00</v>
          </cell>
          <cell r="F1445">
            <v>444693901358</v>
          </cell>
        </row>
        <row r="1446">
          <cell r="E1446" t="str">
            <v>LUC-EZZ-470152-02</v>
          </cell>
          <cell r="F1446">
            <v>444693901358</v>
          </cell>
        </row>
        <row r="1447">
          <cell r="E1447" t="str">
            <v>LUC-EZZ-420194-00</v>
          </cell>
          <cell r="F1447">
            <v>444693901358</v>
          </cell>
        </row>
        <row r="1448">
          <cell r="E1448" t="str">
            <v>LUC-P11-K41900-00</v>
          </cell>
          <cell r="F1448">
            <v>444693901358</v>
          </cell>
        </row>
        <row r="1449">
          <cell r="E1449" t="str">
            <v>LUC-P11-K41B00-00</v>
          </cell>
          <cell r="F1449">
            <v>444693901358</v>
          </cell>
        </row>
        <row r="1450">
          <cell r="E1450" t="str">
            <v>LUC-P11-K41D00-01</v>
          </cell>
          <cell r="F1450">
            <v>444693901358</v>
          </cell>
        </row>
        <row r="1451">
          <cell r="E1451" t="str">
            <v>LUC-EZZ-450181-00</v>
          </cell>
          <cell r="F1451">
            <v>444693901358</v>
          </cell>
        </row>
        <row r="1452">
          <cell r="E1452" t="str">
            <v>LUC-E00-450199-00</v>
          </cell>
          <cell r="F1452">
            <v>444693901358</v>
          </cell>
        </row>
        <row r="1453">
          <cell r="E1453" t="str">
            <v>LUC-EZZ-400110-00</v>
          </cell>
          <cell r="F1453">
            <v>438146846621</v>
          </cell>
        </row>
        <row r="1454">
          <cell r="E1454" t="str">
            <v>LUC-EZZ-420695-01</v>
          </cell>
          <cell r="F1454">
            <v>438146846941</v>
          </cell>
        </row>
        <row r="1455">
          <cell r="E1455" t="str">
            <v>LUC-EZZ-420665-00</v>
          </cell>
          <cell r="F1455">
            <v>438146848495</v>
          </cell>
        </row>
        <row r="1456">
          <cell r="E1456" t="str">
            <v>LUC-EZZ-421298-00</v>
          </cell>
          <cell r="F1456">
            <v>438146850705</v>
          </cell>
        </row>
        <row r="1457">
          <cell r="E1457" t="str">
            <v>PUR-09-0343-00</v>
          </cell>
          <cell r="F1457">
            <v>425055628695</v>
          </cell>
        </row>
        <row r="1458">
          <cell r="E1458" t="str">
            <v>PUR-09-0343-00</v>
          </cell>
          <cell r="F1458">
            <v>425055628695</v>
          </cell>
        </row>
        <row r="1459">
          <cell r="E1459" t="str">
            <v>PUR-09-0343-00</v>
          </cell>
          <cell r="F1459">
            <v>425055628695</v>
          </cell>
        </row>
        <row r="1460">
          <cell r="E1460" t="str">
            <v>PUR-09-0343-00</v>
          </cell>
          <cell r="F1460">
            <v>425055628695</v>
          </cell>
        </row>
        <row r="1461">
          <cell r="E1461" t="str">
            <v>PUR-09-0343-00</v>
          </cell>
          <cell r="F1461">
            <v>425055628695</v>
          </cell>
        </row>
        <row r="1462">
          <cell r="E1462" t="str">
            <v>PUR-09-0343-00</v>
          </cell>
          <cell r="F1462">
            <v>425055628695</v>
          </cell>
        </row>
        <row r="1463">
          <cell r="E1463" t="str">
            <v>LUC-P11-JA2100-00</v>
          </cell>
          <cell r="F1463">
            <v>771970077151</v>
          </cell>
        </row>
        <row r="1464">
          <cell r="E1464" t="str">
            <v>EF-45166123-9</v>
          </cell>
          <cell r="F1464">
            <v>714497058818</v>
          </cell>
        </row>
        <row r="1465">
          <cell r="E1465" t="str">
            <v>LUC-EZZ-440032-00</v>
          </cell>
          <cell r="F1465">
            <v>436621758847</v>
          </cell>
        </row>
        <row r="1466">
          <cell r="E1466" t="str">
            <v>LUC-EZZ-440018-00</v>
          </cell>
          <cell r="F1466">
            <v>436621758847</v>
          </cell>
        </row>
        <row r="1467">
          <cell r="E1467" t="str">
            <v>PUR-09-0279-00</v>
          </cell>
          <cell r="F1467">
            <v>444336917087</v>
          </cell>
        </row>
        <row r="1468">
          <cell r="E1468" t="str">
            <v>PURET-21-0009-00</v>
          </cell>
          <cell r="F1468">
            <v>444336917087</v>
          </cell>
        </row>
        <row r="1469">
          <cell r="E1469" t="str">
            <v>LUC-EZZ-400201-00</v>
          </cell>
          <cell r="F1469">
            <v>444336917087</v>
          </cell>
        </row>
        <row r="1470">
          <cell r="E1470" t="str">
            <v>LUC-EZZ-400162-00</v>
          </cell>
          <cell r="F1470">
            <v>444336917087</v>
          </cell>
        </row>
        <row r="1471">
          <cell r="E1471" t="str">
            <v>LUC-EZZ-420121-00</v>
          </cell>
          <cell r="F1471">
            <v>444336917087</v>
          </cell>
        </row>
        <row r="1472">
          <cell r="E1472" t="str">
            <v>PUR-09-0294-00</v>
          </cell>
          <cell r="F1472">
            <v>444336917087</v>
          </cell>
        </row>
        <row r="1473">
          <cell r="E1473" t="str">
            <v>PUR-09-0255-00</v>
          </cell>
          <cell r="F1473">
            <v>444336917087</v>
          </cell>
        </row>
        <row r="1474">
          <cell r="E1474" t="str">
            <v>PUR-09-0294-00</v>
          </cell>
          <cell r="F1474">
            <v>444336917087</v>
          </cell>
        </row>
        <row r="1475">
          <cell r="E1475" t="str">
            <v>EF-45108861.X.X</v>
          </cell>
          <cell r="F1475">
            <v>444336917087</v>
          </cell>
        </row>
        <row r="1476">
          <cell r="E1476" t="str">
            <v>PUR-09-0279-00</v>
          </cell>
          <cell r="F1476">
            <v>444336917087</v>
          </cell>
        </row>
        <row r="1477">
          <cell r="E1477" t="str">
            <v>PUR-09-0294-00</v>
          </cell>
          <cell r="F1477">
            <v>444336917087</v>
          </cell>
        </row>
        <row r="1478">
          <cell r="E1478" t="str">
            <v>EF-45071390.X.X</v>
          </cell>
          <cell r="F1478">
            <v>444336917087</v>
          </cell>
        </row>
        <row r="1479">
          <cell r="E1479" t="str">
            <v>PUR-09-0444-00</v>
          </cell>
          <cell r="F1479">
            <v>444336917087</v>
          </cell>
        </row>
        <row r="1480">
          <cell r="E1480" t="str">
            <v>PUR-09-0477-00</v>
          </cell>
          <cell r="F1480">
            <v>444336917087</v>
          </cell>
        </row>
        <row r="1481">
          <cell r="E1481" t="str">
            <v>EF-45077523.X.X</v>
          </cell>
          <cell r="F1481">
            <v>444336917087</v>
          </cell>
        </row>
        <row r="1482">
          <cell r="E1482" t="str">
            <v>EF-45056968.X.X</v>
          </cell>
          <cell r="F1482">
            <v>444336917087</v>
          </cell>
        </row>
        <row r="1483">
          <cell r="E1483" t="str">
            <v>EF-45055154.X.X</v>
          </cell>
          <cell r="F1483">
            <v>444336917087</v>
          </cell>
        </row>
        <row r="1484">
          <cell r="E1484" t="str">
            <v>LUC-P11-K41G00-00</v>
          </cell>
          <cell r="F1484">
            <v>444336917087</v>
          </cell>
        </row>
        <row r="1485">
          <cell r="E1485" t="str">
            <v>LUC-EZZ-400248-00</v>
          </cell>
          <cell r="F1485">
            <v>444336917087</v>
          </cell>
        </row>
        <row r="1486">
          <cell r="E1486" t="str">
            <v>EF-45052488.X.X</v>
          </cell>
          <cell r="F1486">
            <v>444336917087</v>
          </cell>
        </row>
        <row r="1487">
          <cell r="E1487" t="str">
            <v>PUR-09-0263-00</v>
          </cell>
          <cell r="F1487">
            <v>444336917087</v>
          </cell>
        </row>
        <row r="1488">
          <cell r="E1488" t="str">
            <v>LUC-EZZ-400542-00</v>
          </cell>
          <cell r="F1488">
            <v>444336917087</v>
          </cell>
        </row>
        <row r="1489">
          <cell r="E1489" t="str">
            <v>LUC-EZZ-400244-00</v>
          </cell>
          <cell r="F1489">
            <v>444336917087</v>
          </cell>
        </row>
        <row r="1490">
          <cell r="E1490" t="str">
            <v>LUC-EZZ-400248-00</v>
          </cell>
          <cell r="F1490">
            <v>444336917087</v>
          </cell>
        </row>
        <row r="1491">
          <cell r="E1491" t="str">
            <v>PUR-09-0294-00</v>
          </cell>
          <cell r="F1491">
            <v>444336917087</v>
          </cell>
        </row>
        <row r="1492">
          <cell r="E1492" t="str">
            <v>EF-45055154.X.X</v>
          </cell>
          <cell r="F1492">
            <v>444336917087</v>
          </cell>
        </row>
        <row r="1493">
          <cell r="E1493" t="str">
            <v>EF-45127606</v>
          </cell>
          <cell r="F1493">
            <v>444336917087</v>
          </cell>
        </row>
        <row r="1494">
          <cell r="E1494" t="str">
            <v>PUR-09-0260-00</v>
          </cell>
          <cell r="F1494">
            <v>444336917087</v>
          </cell>
        </row>
        <row r="1495">
          <cell r="E1495" t="str">
            <v>PUR-09-0444-00</v>
          </cell>
          <cell r="F1495">
            <v>444336917087</v>
          </cell>
        </row>
        <row r="1496">
          <cell r="E1496" t="str">
            <v>LUC-EZZ-400244-00</v>
          </cell>
          <cell r="F1496">
            <v>444336917087</v>
          </cell>
        </row>
        <row r="1497">
          <cell r="E1497" t="str">
            <v>AGI-450-50025-01</v>
          </cell>
          <cell r="F1497">
            <v>444336917087</v>
          </cell>
        </row>
        <row r="1498">
          <cell r="E1498" t="str">
            <v>PUR-09-0427-00</v>
          </cell>
          <cell r="F1498">
            <v>772023537310</v>
          </cell>
        </row>
        <row r="1499">
          <cell r="E1499" t="str">
            <v>PUR-09-0427-00</v>
          </cell>
          <cell r="F1499">
            <v>772023537310</v>
          </cell>
        </row>
        <row r="1500">
          <cell r="E1500" t="str">
            <v>PUR-09-0427-00</v>
          </cell>
          <cell r="F1500">
            <v>772023537310</v>
          </cell>
        </row>
        <row r="1501">
          <cell r="E1501" t="str">
            <v>PUR-09-0427-00</v>
          </cell>
          <cell r="F1501">
            <v>772023537310</v>
          </cell>
        </row>
        <row r="1502">
          <cell r="E1502" t="str">
            <v>PUR-13-0150-00</v>
          </cell>
          <cell r="F1502">
            <v>772023537310</v>
          </cell>
        </row>
        <row r="1503">
          <cell r="E1503" t="str">
            <v>PUR-13-0150-00</v>
          </cell>
          <cell r="F1503">
            <v>772023537310</v>
          </cell>
        </row>
        <row r="1504">
          <cell r="E1504" t="str">
            <v>PURET-12-0029-00</v>
          </cell>
          <cell r="F1504">
            <v>772023537310</v>
          </cell>
        </row>
        <row r="1505">
          <cell r="E1505" t="str">
            <v>PURET-12-0029-00</v>
          </cell>
          <cell r="F1505">
            <v>772023537310</v>
          </cell>
        </row>
        <row r="1506">
          <cell r="E1506" t="str">
            <v>PURET-12-0024-00</v>
          </cell>
          <cell r="F1506">
            <v>772023537310</v>
          </cell>
        </row>
        <row r="1507">
          <cell r="E1507" t="str">
            <v>AGI-510-50002-01</v>
          </cell>
          <cell r="F1507">
            <v>772023537310</v>
          </cell>
        </row>
        <row r="1508">
          <cell r="E1508" t="str">
            <v>EF-45065163</v>
          </cell>
          <cell r="F1508">
            <v>772023537310</v>
          </cell>
        </row>
        <row r="1509">
          <cell r="E1509" t="str">
            <v>EF-45122009</v>
          </cell>
          <cell r="F1509">
            <v>772023537310</v>
          </cell>
        </row>
        <row r="1510">
          <cell r="E1510" t="str">
            <v>EF-45122009</v>
          </cell>
          <cell r="F1510">
            <v>772023537310</v>
          </cell>
        </row>
        <row r="1511">
          <cell r="E1511" t="str">
            <v>EF-45122009</v>
          </cell>
          <cell r="F1511">
            <v>772023537310</v>
          </cell>
        </row>
        <row r="1512">
          <cell r="E1512" t="str">
            <v>EF-45057846.X.X</v>
          </cell>
          <cell r="F1512">
            <v>419341530390</v>
          </cell>
        </row>
        <row r="1513">
          <cell r="E1513" t="str">
            <v>EF-45093131.X.X</v>
          </cell>
          <cell r="F1513">
            <v>419341530390</v>
          </cell>
        </row>
        <row r="1514">
          <cell r="E1514" t="str">
            <v>EF-45049935</v>
          </cell>
          <cell r="F1514">
            <v>419341530390</v>
          </cell>
        </row>
        <row r="1515">
          <cell r="E1515" t="str">
            <v>EF-45093131.X.X</v>
          </cell>
          <cell r="F1515">
            <v>419341530390</v>
          </cell>
        </row>
        <row r="1516">
          <cell r="E1516" t="str">
            <v>EF-45049984.X.X</v>
          </cell>
          <cell r="F1516">
            <v>419341530390</v>
          </cell>
        </row>
        <row r="1517">
          <cell r="E1517" t="str">
            <v>EF-45057846.X.X</v>
          </cell>
          <cell r="F1517">
            <v>419341530390</v>
          </cell>
        </row>
        <row r="1518">
          <cell r="E1518" t="str">
            <v>PUR-03-0095-00</v>
          </cell>
          <cell r="F1518">
            <v>436045213069</v>
          </cell>
        </row>
        <row r="1519">
          <cell r="E1519" t="str">
            <v>EF-45205856</v>
          </cell>
          <cell r="F1519">
            <v>444061468227</v>
          </cell>
        </row>
        <row r="1520">
          <cell r="E1520" t="str">
            <v>AGI-500-40220-01</v>
          </cell>
          <cell r="F1520">
            <v>444061468227</v>
          </cell>
        </row>
        <row r="1521">
          <cell r="E1521" t="str">
            <v>LUC-EZZ-400207-00</v>
          </cell>
          <cell r="F1521">
            <v>444061468227</v>
          </cell>
        </row>
        <row r="1522">
          <cell r="E1522" t="str">
            <v>LUC-EZZ-470208-00</v>
          </cell>
          <cell r="F1522">
            <v>444061468227</v>
          </cell>
        </row>
        <row r="1523">
          <cell r="E1523" t="str">
            <v>LUC-EZZ-400709-00</v>
          </cell>
          <cell r="F1523">
            <v>444061468227</v>
          </cell>
        </row>
        <row r="1524">
          <cell r="E1524" t="str">
            <v>LUC-EZZ-440037-00</v>
          </cell>
          <cell r="F1524">
            <v>444061468227</v>
          </cell>
        </row>
        <row r="1525">
          <cell r="E1525" t="str">
            <v>LUC-EZZ-400244-00</v>
          </cell>
          <cell r="F1525">
            <v>444061468227</v>
          </cell>
        </row>
        <row r="1526">
          <cell r="E1526" t="str">
            <v>LUC-EZZ-470844-00</v>
          </cell>
          <cell r="F1526">
            <v>444061468227</v>
          </cell>
        </row>
        <row r="1527">
          <cell r="E1527" t="str">
            <v>LUC-E00-420059-03</v>
          </cell>
          <cell r="F1527">
            <v>444061468227</v>
          </cell>
        </row>
        <row r="1528">
          <cell r="E1528" t="str">
            <v>LUC-EZZ-450180-00</v>
          </cell>
          <cell r="F1528">
            <v>444061468227</v>
          </cell>
        </row>
        <row r="1529">
          <cell r="E1529" t="str">
            <v>LUC-EZZ-420136-00</v>
          </cell>
          <cell r="F1529">
            <v>444061468227</v>
          </cell>
        </row>
        <row r="1530">
          <cell r="E1530" t="str">
            <v>LUC-EZZ-440176-00</v>
          </cell>
          <cell r="F1530">
            <v>444061468227</v>
          </cell>
        </row>
        <row r="1531">
          <cell r="E1531" t="str">
            <v>LUC-EZZ-470358-00</v>
          </cell>
          <cell r="F1531">
            <v>444061468227</v>
          </cell>
        </row>
        <row r="1532">
          <cell r="E1532" t="str">
            <v>LUC-EZZ-400455-00</v>
          </cell>
          <cell r="F1532">
            <v>444061468227</v>
          </cell>
        </row>
        <row r="1533">
          <cell r="E1533" t="str">
            <v>LUC-E00-400017-000</v>
          </cell>
          <cell r="F1533">
            <v>444061468227</v>
          </cell>
        </row>
        <row r="1534">
          <cell r="E1534" t="str">
            <v>LUC-EZZ-400594-00</v>
          </cell>
          <cell r="F1534">
            <v>444061468227</v>
          </cell>
        </row>
        <row r="1535">
          <cell r="E1535" t="str">
            <v>LUC-EZZ-400475-00</v>
          </cell>
          <cell r="F1535">
            <v>444061468227</v>
          </cell>
        </row>
        <row r="1536">
          <cell r="E1536" t="str">
            <v>PUR-13-0154-00</v>
          </cell>
          <cell r="F1536">
            <v>429083209385</v>
          </cell>
        </row>
        <row r="1537">
          <cell r="E1537" t="str">
            <v>EF-45093036</v>
          </cell>
          <cell r="F1537">
            <v>429083209385</v>
          </cell>
        </row>
        <row r="1538">
          <cell r="E1538" t="str">
            <v>PUR-13-0237-00</v>
          </cell>
          <cell r="F1538">
            <v>429083209385</v>
          </cell>
        </row>
        <row r="1539">
          <cell r="E1539" t="str">
            <v>EF-45046354</v>
          </cell>
          <cell r="F1539">
            <v>429083209385</v>
          </cell>
        </row>
        <row r="1540">
          <cell r="E1540" t="str">
            <v>PUR-21-0026-00</v>
          </cell>
          <cell r="F1540">
            <v>429083209385</v>
          </cell>
        </row>
        <row r="1541">
          <cell r="E1541" t="str">
            <v>LUC-E00-690037-00</v>
          </cell>
          <cell r="F1541">
            <v>429083209385</v>
          </cell>
        </row>
        <row r="1542">
          <cell r="E1542" t="str">
            <v>LUC-E00-450154-00</v>
          </cell>
          <cell r="F1542">
            <v>429083209385</v>
          </cell>
        </row>
        <row r="1543">
          <cell r="E1543" t="str">
            <v>PUR-25-0009-00</v>
          </cell>
          <cell r="F1543">
            <v>429083209385</v>
          </cell>
        </row>
        <row r="1544">
          <cell r="E1544" t="str">
            <v>PUR-27-0019-00</v>
          </cell>
          <cell r="F1544">
            <v>429083209385</v>
          </cell>
        </row>
        <row r="1545">
          <cell r="E1545" t="str">
            <v>PUR-13-0162-00</v>
          </cell>
          <cell r="F1545">
            <v>429083209385</v>
          </cell>
        </row>
        <row r="1546">
          <cell r="E1546" t="str">
            <v>PUR-12-0411-00</v>
          </cell>
          <cell r="F1546">
            <v>429083209385</v>
          </cell>
        </row>
        <row r="1547">
          <cell r="E1547" t="str">
            <v>PUR-09-0408-00</v>
          </cell>
          <cell r="F1547">
            <v>429083209385</v>
          </cell>
        </row>
        <row r="1548">
          <cell r="E1548" t="str">
            <v>PUR-13-0235-00</v>
          </cell>
          <cell r="F1548">
            <v>429083209385</v>
          </cell>
        </row>
        <row r="1549">
          <cell r="E1549" t="str">
            <v>PUR-09-0328-00</v>
          </cell>
          <cell r="F1549">
            <v>429083209385</v>
          </cell>
        </row>
        <row r="1550">
          <cell r="E1550" t="str">
            <v>PUR-13-0165-00</v>
          </cell>
          <cell r="F1550">
            <v>429083209385</v>
          </cell>
        </row>
        <row r="1551">
          <cell r="E1551" t="str">
            <v>LUC-E00-400023-000</v>
          </cell>
          <cell r="F1551">
            <v>429083209385</v>
          </cell>
        </row>
        <row r="1552">
          <cell r="E1552" t="str">
            <v>PUR-13-0164-00</v>
          </cell>
          <cell r="F1552">
            <v>429083209385</v>
          </cell>
        </row>
        <row r="1553">
          <cell r="E1553" t="str">
            <v>PUR-09-0417-00</v>
          </cell>
          <cell r="F1553">
            <v>429083209385</v>
          </cell>
        </row>
        <row r="1554">
          <cell r="E1554" t="str">
            <v>PUR-13-0131-00</v>
          </cell>
          <cell r="F1554">
            <v>429083209385</v>
          </cell>
        </row>
        <row r="1555">
          <cell r="E1555" t="str">
            <v>LUC-EZZ-420084-00</v>
          </cell>
          <cell r="F1555">
            <v>619345505699</v>
          </cell>
        </row>
        <row r="1556">
          <cell r="E1556" t="str">
            <v>LUC-EZZ-400568-00</v>
          </cell>
          <cell r="F1556">
            <v>619345505699</v>
          </cell>
        </row>
        <row r="1557">
          <cell r="E1557" t="str">
            <v>LUC-EZZ-400621-00</v>
          </cell>
          <cell r="F1557">
            <v>619345505699</v>
          </cell>
        </row>
        <row r="1558">
          <cell r="E1558" t="str">
            <v>LUC-EZZ-401312-00</v>
          </cell>
          <cell r="F1558">
            <v>619345505699</v>
          </cell>
        </row>
        <row r="1559">
          <cell r="E1559" t="str">
            <v>LUC-EZZ-440078-01</v>
          </cell>
          <cell r="F1559">
            <v>619345505699</v>
          </cell>
        </row>
        <row r="1560">
          <cell r="E1560" t="str">
            <v>LUC-E00-470259-00</v>
          </cell>
          <cell r="F1560">
            <v>619345505699</v>
          </cell>
        </row>
        <row r="1561">
          <cell r="E1561" t="str">
            <v>LUC-EZZ-470069-00</v>
          </cell>
          <cell r="F1561">
            <v>619345505699</v>
          </cell>
        </row>
        <row r="1562">
          <cell r="E1562" t="str">
            <v>LUC-EZZ-470241-00</v>
          </cell>
          <cell r="F1562">
            <v>619345505699</v>
          </cell>
        </row>
        <row r="1563">
          <cell r="E1563" t="str">
            <v>LUC-EZZ-470171-00</v>
          </cell>
          <cell r="F1563">
            <v>619345505699</v>
          </cell>
        </row>
        <row r="1564">
          <cell r="E1564" t="str">
            <v>LUC-EZZ-470248-02</v>
          </cell>
          <cell r="F1564">
            <v>619345505699</v>
          </cell>
        </row>
        <row r="1565">
          <cell r="E1565" t="str">
            <v>LUC-EZZ-470114-00</v>
          </cell>
          <cell r="F1565">
            <v>619345505699</v>
          </cell>
        </row>
        <row r="1566">
          <cell r="E1566" t="str">
            <v>LUC-EZZ-470095-00</v>
          </cell>
          <cell r="F1566">
            <v>619345505699</v>
          </cell>
        </row>
        <row r="1567">
          <cell r="E1567" t="str">
            <v>LUC-EZZ-470304-00</v>
          </cell>
          <cell r="F1567">
            <v>619345505699</v>
          </cell>
        </row>
        <row r="1568">
          <cell r="E1568" t="str">
            <v>LUC-EZZ-470249-00</v>
          </cell>
          <cell r="F1568">
            <v>619345505699</v>
          </cell>
        </row>
        <row r="1569">
          <cell r="E1569" t="str">
            <v>LUC-EZZ-510049-00</v>
          </cell>
          <cell r="F1569">
            <v>619345505699</v>
          </cell>
        </row>
        <row r="1570">
          <cell r="E1570" t="str">
            <v>LUC-EZZ-470094-00</v>
          </cell>
          <cell r="F1570">
            <v>619345505699</v>
          </cell>
        </row>
        <row r="1571">
          <cell r="E1571" t="str">
            <v>LUC-EZZ-470247-00</v>
          </cell>
          <cell r="F1571">
            <v>619345505699</v>
          </cell>
        </row>
        <row r="1572">
          <cell r="E1572" t="str">
            <v>LUC-EZZ-470096-00</v>
          </cell>
          <cell r="F1572">
            <v>619345505699</v>
          </cell>
        </row>
        <row r="1573">
          <cell r="E1573" t="str">
            <v>LUC-EZZ-470092-00</v>
          </cell>
          <cell r="F1573">
            <v>619345505699</v>
          </cell>
        </row>
        <row r="1574">
          <cell r="E1574" t="str">
            <v>LUC-EZZ-470305-00</v>
          </cell>
          <cell r="F1574">
            <v>619345505699</v>
          </cell>
        </row>
        <row r="1575">
          <cell r="E1575" t="str">
            <v>LUC-EZZ-511304-00</v>
          </cell>
          <cell r="F1575">
            <v>619345505699</v>
          </cell>
        </row>
        <row r="1576">
          <cell r="E1576" t="str">
            <v>LUC-EZZ-510070-00</v>
          </cell>
          <cell r="F1576">
            <v>619345505699</v>
          </cell>
        </row>
        <row r="1577">
          <cell r="E1577" t="str">
            <v>LUC-E00-450036-00</v>
          </cell>
          <cell r="F1577">
            <v>619345505699</v>
          </cell>
        </row>
        <row r="1578">
          <cell r="E1578" t="str">
            <v>LUC-EZZ-450053-00</v>
          </cell>
          <cell r="F1578">
            <v>619345505699</v>
          </cell>
        </row>
        <row r="1579">
          <cell r="E1579" t="str">
            <v>LUC-EZZ-450017-00</v>
          </cell>
          <cell r="F1579">
            <v>619345505699</v>
          </cell>
        </row>
        <row r="1580">
          <cell r="E1580" t="str">
            <v>LUC-P11-K33N00-00</v>
          </cell>
          <cell r="F1580">
            <v>619345505699</v>
          </cell>
        </row>
        <row r="1581">
          <cell r="E1581" t="str">
            <v>LUC-EZZ-690758-00</v>
          </cell>
          <cell r="F1581">
            <v>619345505688</v>
          </cell>
        </row>
        <row r="1582">
          <cell r="E1582" t="str">
            <v>PUR-03-0092-03</v>
          </cell>
          <cell r="F1582" t="str">
            <v>8TV1878</v>
          </cell>
        </row>
        <row r="1583">
          <cell r="E1583" t="str">
            <v>PUR-03-0092-03</v>
          </cell>
          <cell r="F1583" t="str">
            <v>8TV1879</v>
          </cell>
        </row>
        <row r="1584">
          <cell r="E1584" t="str">
            <v>LUC-EZZ-420100-00</v>
          </cell>
          <cell r="F1584">
            <v>772080678742</v>
          </cell>
        </row>
        <row r="1585">
          <cell r="E1585" t="str">
            <v>AGI-760-40007-01</v>
          </cell>
          <cell r="F1585">
            <v>772080678742</v>
          </cell>
        </row>
        <row r="1586">
          <cell r="E1586" t="str">
            <v>LUC-EZZ-510030-00</v>
          </cell>
          <cell r="F1586">
            <v>772080678742</v>
          </cell>
        </row>
        <row r="1587">
          <cell r="E1587" t="str">
            <v>LUC-EZZ-470091-00</v>
          </cell>
          <cell r="F1587">
            <v>772080678742</v>
          </cell>
        </row>
        <row r="1588">
          <cell r="E1588" t="str">
            <v>LUC-EZZ-450070-00</v>
          </cell>
          <cell r="F1588">
            <v>439134959215</v>
          </cell>
        </row>
        <row r="1589">
          <cell r="E1589" t="str">
            <v>PUR-13-0195-00</v>
          </cell>
          <cell r="F1589">
            <v>421281345930</v>
          </cell>
        </row>
        <row r="1590">
          <cell r="E1590" t="str">
            <v>PUR-09-0213-00</v>
          </cell>
          <cell r="F1590">
            <v>441557109416</v>
          </cell>
        </row>
        <row r="1591">
          <cell r="E1591" t="str">
            <v>PUR-09-0427-00</v>
          </cell>
          <cell r="F1591">
            <v>441557109416</v>
          </cell>
        </row>
        <row r="1592">
          <cell r="E1592" t="str">
            <v>LUC-EZZ-420005-00</v>
          </cell>
          <cell r="F1592">
            <v>441557109416</v>
          </cell>
        </row>
        <row r="1593">
          <cell r="E1593" t="str">
            <v>LUC-EZZ-400454-00</v>
          </cell>
          <cell r="F1593">
            <v>441557109416</v>
          </cell>
        </row>
        <row r="1594">
          <cell r="E1594" t="str">
            <v>LUC-EZZ-420256-00</v>
          </cell>
          <cell r="F1594">
            <v>439134947314</v>
          </cell>
        </row>
        <row r="1595">
          <cell r="E1595" t="str">
            <v>LUC-EZZ-520021-00</v>
          </cell>
          <cell r="F1595" t="str">
            <v>TPE0545495</v>
          </cell>
        </row>
        <row r="1596">
          <cell r="E1596" t="str">
            <v>LUC-P00-F187DG-00</v>
          </cell>
          <cell r="F1596" t="str">
            <v>TPE0545495</v>
          </cell>
        </row>
        <row r="1597">
          <cell r="E1597" t="str">
            <v>LUC-P00-F320CB-00</v>
          </cell>
          <cell r="F1597" t="str">
            <v>TPE0545495</v>
          </cell>
        </row>
        <row r="1598">
          <cell r="E1598" t="str">
            <v>LUC-P00-F18CDG-00</v>
          </cell>
          <cell r="F1598" t="str">
            <v>TPE0545495</v>
          </cell>
        </row>
        <row r="1599">
          <cell r="E1599" t="str">
            <v>LUC-P00-F962DZ-00</v>
          </cell>
          <cell r="F1599" t="str">
            <v>TPE0545495</v>
          </cell>
        </row>
        <row r="1600">
          <cell r="E1600" t="str">
            <v>LUC-EZZ-450189-00</v>
          </cell>
          <cell r="F1600" t="str">
            <v>TPE0545495</v>
          </cell>
        </row>
        <row r="1601">
          <cell r="E1601" t="str">
            <v>LUC-EZZ-690242-00</v>
          </cell>
          <cell r="F1601" t="str">
            <v>TPE0545495</v>
          </cell>
        </row>
        <row r="1602">
          <cell r="E1602" t="str">
            <v>LUC-EZZ-420021-00</v>
          </cell>
          <cell r="F1602">
            <v>731620042551</v>
          </cell>
        </row>
        <row r="1603">
          <cell r="E1603" t="str">
            <v>LUC-EZZ-451660-00</v>
          </cell>
          <cell r="F1603">
            <v>731620042551</v>
          </cell>
        </row>
        <row r="1604">
          <cell r="E1604" t="str">
            <v>LUC-E00-470123-00</v>
          </cell>
          <cell r="F1604">
            <v>731620042551</v>
          </cell>
        </row>
        <row r="1605">
          <cell r="E1605" t="str">
            <v>LUC-P11-K41700-00</v>
          </cell>
          <cell r="F1605">
            <v>731620042551</v>
          </cell>
        </row>
        <row r="1606">
          <cell r="E1606" t="str">
            <v>LUC-E00-400334-00</v>
          </cell>
          <cell r="F1606">
            <v>731620042551</v>
          </cell>
        </row>
        <row r="1607">
          <cell r="E1607" t="str">
            <v>LUC-EZZ-540018-00</v>
          </cell>
          <cell r="F1607">
            <v>444336963454</v>
          </cell>
        </row>
        <row r="1608">
          <cell r="E1608" t="str">
            <v>LUC-P11-K41G00-00</v>
          </cell>
          <cell r="F1608">
            <v>444944947897</v>
          </cell>
        </row>
        <row r="1609">
          <cell r="E1609" t="str">
            <v>LUC-E00-690010-01</v>
          </cell>
          <cell r="F1609">
            <v>285391575606</v>
          </cell>
        </row>
        <row r="1610">
          <cell r="E1610" t="str">
            <v>LUC-E00-690010-02</v>
          </cell>
          <cell r="F1610">
            <v>285432018573</v>
          </cell>
        </row>
        <row r="1611">
          <cell r="E1611" t="str">
            <v>LUC-E00-690010-01</v>
          </cell>
          <cell r="F1611">
            <v>285432018573</v>
          </cell>
        </row>
        <row r="1612">
          <cell r="E1612" t="str">
            <v>EF-45074500.X.X</v>
          </cell>
          <cell r="F1612">
            <v>444336960363</v>
          </cell>
        </row>
        <row r="1613">
          <cell r="E1613" t="str">
            <v>LUC-E00-470079-00</v>
          </cell>
          <cell r="F1613">
            <v>285349694482</v>
          </cell>
        </row>
        <row r="1614">
          <cell r="E1614" t="str">
            <v>LUC-E00-470028-00</v>
          </cell>
          <cell r="F1614">
            <v>285349694482</v>
          </cell>
        </row>
        <row r="1615">
          <cell r="E1615" t="str">
            <v>PUR-03-0091-02</v>
          </cell>
          <cell r="F1615">
            <v>444380768413</v>
          </cell>
        </row>
        <row r="1616">
          <cell r="E1616" t="str">
            <v>103-001639</v>
          </cell>
          <cell r="F1616">
            <v>444380795060</v>
          </cell>
        </row>
        <row r="1617">
          <cell r="E1617" t="str">
            <v>103-001640</v>
          </cell>
          <cell r="F1617">
            <v>444380795060</v>
          </cell>
        </row>
        <row r="1618">
          <cell r="E1618" t="str">
            <v>EF-45129873</v>
          </cell>
          <cell r="F1618">
            <v>420225794060</v>
          </cell>
        </row>
        <row r="1619">
          <cell r="E1619" t="str">
            <v>PUR-03-0092-03</v>
          </cell>
          <cell r="F1619" t="str">
            <v>8TV1877</v>
          </cell>
        </row>
        <row r="1620">
          <cell r="E1620" t="str">
            <v>PUR-11-0127-04</v>
          </cell>
          <cell r="F1620" t="str">
            <v>LPIAHPH250310</v>
          </cell>
        </row>
        <row r="1621">
          <cell r="E1621" t="str">
            <v>PUR-11-0127-04</v>
          </cell>
          <cell r="F1621" t="str">
            <v>LPIAHPH250310</v>
          </cell>
        </row>
        <row r="1622">
          <cell r="E1622" t="str">
            <v>PUR-11-0127-04</v>
          </cell>
          <cell r="F1622" t="str">
            <v>LPIAHPH250310</v>
          </cell>
        </row>
        <row r="1623">
          <cell r="E1623" t="str">
            <v>PUR-11-0127-04</v>
          </cell>
          <cell r="F1623" t="str">
            <v>LPIAHPH250310</v>
          </cell>
        </row>
        <row r="1624">
          <cell r="E1624" t="str">
            <v>PUR-11-0127-04</v>
          </cell>
          <cell r="F1624" t="str">
            <v>LPIAHPH250310</v>
          </cell>
        </row>
        <row r="1625">
          <cell r="E1625" t="str">
            <v>PUR-11-0127-04</v>
          </cell>
          <cell r="F1625" t="str">
            <v>LPIAHPH250310</v>
          </cell>
        </row>
        <row r="1626">
          <cell r="E1626" t="str">
            <v>LUC-EZZ-690708-00</v>
          </cell>
          <cell r="F1626" t="str">
            <v>1Z75A9570472944013</v>
          </cell>
        </row>
        <row r="1627">
          <cell r="E1627" t="str">
            <v>LUC-E00-440012-00</v>
          </cell>
          <cell r="F1627">
            <v>407545043350</v>
          </cell>
        </row>
        <row r="1628">
          <cell r="E1628" t="str">
            <v>LUC-E00-440012-00</v>
          </cell>
          <cell r="F1628">
            <v>407545043350</v>
          </cell>
        </row>
        <row r="1629">
          <cell r="E1629" t="str">
            <v>LUC-EZZ-490315-02</v>
          </cell>
          <cell r="F1629">
            <v>7721425294</v>
          </cell>
        </row>
        <row r="1630">
          <cell r="E1630" t="str">
            <v>LUC-EZZ-490535-00</v>
          </cell>
          <cell r="F1630">
            <v>7721425294</v>
          </cell>
        </row>
        <row r="1631">
          <cell r="E1631" t="str">
            <v>PUR-13-0236-00</v>
          </cell>
          <cell r="F1631">
            <v>4914812808</v>
          </cell>
        </row>
        <row r="1632">
          <cell r="E1632" t="str">
            <v>PUR-13-0236-00</v>
          </cell>
          <cell r="F1632">
            <v>4914812808</v>
          </cell>
        </row>
        <row r="1633">
          <cell r="E1633" t="str">
            <v>PUR-13-0236-00</v>
          </cell>
          <cell r="F1633">
            <v>4914812808</v>
          </cell>
        </row>
        <row r="1634">
          <cell r="E1634" t="str">
            <v>PUR-13-0125-00</v>
          </cell>
          <cell r="F1634">
            <v>4914817025</v>
          </cell>
        </row>
        <row r="1635">
          <cell r="E1635" t="str">
            <v>EF-45043898.X.X</v>
          </cell>
          <cell r="F1635">
            <v>4914817025</v>
          </cell>
        </row>
        <row r="1636">
          <cell r="E1636" t="str">
            <v>PURET-13-0068-00</v>
          </cell>
          <cell r="F1636">
            <v>4914817025</v>
          </cell>
        </row>
        <row r="1637">
          <cell r="E1637" t="str">
            <v>PURET-12-0088-00</v>
          </cell>
          <cell r="F1637">
            <v>4914817025</v>
          </cell>
        </row>
        <row r="1638">
          <cell r="E1638" t="str">
            <v>AGI-510-50005-01</v>
          </cell>
          <cell r="F1638">
            <v>4914817025</v>
          </cell>
        </row>
        <row r="1639">
          <cell r="E1639" t="str">
            <v>AGI-510-50007-01</v>
          </cell>
          <cell r="F1639">
            <v>4914817025</v>
          </cell>
        </row>
        <row r="1640">
          <cell r="E1640" t="str">
            <v>PUR-13-0149-00</v>
          </cell>
          <cell r="F1640">
            <v>4914817025</v>
          </cell>
        </row>
        <row r="1641">
          <cell r="E1641" t="str">
            <v>AGI-510-50002-01</v>
          </cell>
          <cell r="F1641">
            <v>4914817025</v>
          </cell>
        </row>
        <row r="1642">
          <cell r="E1642" t="str">
            <v>PUR-13-0153-00</v>
          </cell>
          <cell r="F1642">
            <v>4914817025</v>
          </cell>
        </row>
        <row r="1643">
          <cell r="E1643" t="str">
            <v>PUR-13-0153-00</v>
          </cell>
          <cell r="F1643">
            <v>4914817025</v>
          </cell>
        </row>
        <row r="1644">
          <cell r="E1644" t="str">
            <v>PUR-13-0153-00</v>
          </cell>
          <cell r="F1644">
            <v>4914817025</v>
          </cell>
        </row>
        <row r="1645">
          <cell r="E1645" t="str">
            <v>PUR-13-0212-00</v>
          </cell>
          <cell r="F1645">
            <v>4914817025</v>
          </cell>
        </row>
        <row r="1646">
          <cell r="E1646" t="str">
            <v>122-000701.X.X</v>
          </cell>
          <cell r="F1646">
            <v>4914817025</v>
          </cell>
        </row>
        <row r="1647">
          <cell r="E1647" t="str">
            <v>122-000701.X.X</v>
          </cell>
          <cell r="F1647">
            <v>4914817025</v>
          </cell>
        </row>
        <row r="1648">
          <cell r="E1648" t="str">
            <v>122-000701.X.X</v>
          </cell>
          <cell r="F1648">
            <v>4914817025</v>
          </cell>
        </row>
        <row r="1649">
          <cell r="E1649" t="str">
            <v>PUR-13-0138-00</v>
          </cell>
          <cell r="F1649">
            <v>4914817025</v>
          </cell>
        </row>
        <row r="1650">
          <cell r="E1650" t="str">
            <v>PUR-13-0155-00</v>
          </cell>
          <cell r="F1650">
            <v>4914817025</v>
          </cell>
        </row>
        <row r="1651">
          <cell r="E1651" t="str">
            <v>PURET-13-0009-00</v>
          </cell>
          <cell r="F1651">
            <v>4914817025</v>
          </cell>
        </row>
        <row r="1652">
          <cell r="E1652" t="str">
            <v>PUR-13-0152-00</v>
          </cell>
          <cell r="F1652">
            <v>4914817025</v>
          </cell>
        </row>
        <row r="1653">
          <cell r="E1653" t="str">
            <v>PUR-12-0333-00</v>
          </cell>
          <cell r="F1653">
            <v>4914817025</v>
          </cell>
        </row>
        <row r="1654">
          <cell r="E1654" t="str">
            <v>PUR-12-0407-00</v>
          </cell>
          <cell r="F1654">
            <v>4914817025</v>
          </cell>
        </row>
        <row r="1655">
          <cell r="E1655" t="str">
            <v>PUR-12-0408-00</v>
          </cell>
          <cell r="F1655">
            <v>4914817025</v>
          </cell>
        </row>
        <row r="1656">
          <cell r="E1656" t="str">
            <v>PUR-12-0318-00</v>
          </cell>
          <cell r="F1656">
            <v>4914817025</v>
          </cell>
        </row>
        <row r="1657">
          <cell r="E1657" t="str">
            <v>AGI-500-50019-01</v>
          </cell>
          <cell r="F1657">
            <v>4914817025</v>
          </cell>
        </row>
        <row r="1658">
          <cell r="E1658" t="str">
            <v>AGI-500-50019-01</v>
          </cell>
          <cell r="F1658">
            <v>4914817025</v>
          </cell>
        </row>
        <row r="1659">
          <cell r="E1659" t="str">
            <v>AGI-500-50008-01</v>
          </cell>
          <cell r="F1659">
            <v>4914817025</v>
          </cell>
        </row>
        <row r="1660">
          <cell r="E1660" t="str">
            <v>PUR-12-0294-00</v>
          </cell>
          <cell r="F1660">
            <v>4914817025</v>
          </cell>
        </row>
        <row r="1661">
          <cell r="E1661" t="str">
            <v>EF-45036461.X.X</v>
          </cell>
          <cell r="F1661">
            <v>4914817025</v>
          </cell>
        </row>
        <row r="1662">
          <cell r="E1662" t="str">
            <v>PURET-12-0017-00</v>
          </cell>
          <cell r="F1662">
            <v>4914817025</v>
          </cell>
        </row>
        <row r="1663">
          <cell r="E1663" t="str">
            <v>EF-45037930.X.X</v>
          </cell>
          <cell r="F1663">
            <v>4914817025</v>
          </cell>
        </row>
        <row r="1664">
          <cell r="E1664" t="str">
            <v>PURET-12-0056-00</v>
          </cell>
          <cell r="F1664">
            <v>4914817025</v>
          </cell>
        </row>
        <row r="1665">
          <cell r="E1665" t="str">
            <v>121-000519.X.X</v>
          </cell>
          <cell r="F1665">
            <v>4914817025</v>
          </cell>
        </row>
        <row r="1666">
          <cell r="E1666" t="str">
            <v>121-000519.X.X</v>
          </cell>
          <cell r="F1666">
            <v>4914817025</v>
          </cell>
        </row>
        <row r="1667">
          <cell r="E1667" t="str">
            <v>121-000519.X.X</v>
          </cell>
          <cell r="F1667">
            <v>4914817025</v>
          </cell>
        </row>
        <row r="1668">
          <cell r="E1668" t="str">
            <v>PUR-12-0323-00</v>
          </cell>
          <cell r="F1668">
            <v>4914817025</v>
          </cell>
        </row>
        <row r="1669">
          <cell r="E1669" t="str">
            <v>PUR-12-0284-00</v>
          </cell>
          <cell r="F1669">
            <v>4914817025</v>
          </cell>
        </row>
        <row r="1670">
          <cell r="E1670" t="str">
            <v>PUR-12-0259-00</v>
          </cell>
          <cell r="F1670">
            <v>4914817025</v>
          </cell>
        </row>
        <row r="1671">
          <cell r="E1671" t="str">
            <v>PUR-12-0265-00</v>
          </cell>
          <cell r="F1671">
            <v>4914817025</v>
          </cell>
        </row>
        <row r="1672">
          <cell r="E1672" t="str">
            <v>PUR-12-0271-00</v>
          </cell>
          <cell r="F1672">
            <v>4914817025</v>
          </cell>
        </row>
        <row r="1673">
          <cell r="E1673" t="str">
            <v>EF-45098519.X.X</v>
          </cell>
          <cell r="F1673">
            <v>4914817025</v>
          </cell>
        </row>
        <row r="1674">
          <cell r="E1674" t="str">
            <v>EF-45041260</v>
          </cell>
          <cell r="F1674">
            <v>4914817025</v>
          </cell>
        </row>
        <row r="1675">
          <cell r="E1675" t="str">
            <v>PURET-12-0170-00</v>
          </cell>
          <cell r="F1675">
            <v>4914817025</v>
          </cell>
        </row>
        <row r="1676">
          <cell r="E1676" t="str">
            <v>PUR-12-0474-00</v>
          </cell>
          <cell r="F1676">
            <v>4914817025</v>
          </cell>
        </row>
        <row r="1677">
          <cell r="E1677" t="str">
            <v>EF-45049936.X.X</v>
          </cell>
          <cell r="F1677">
            <v>4914817025</v>
          </cell>
        </row>
        <row r="1678">
          <cell r="E1678" t="str">
            <v>PUR-12-0272-00</v>
          </cell>
          <cell r="F1678">
            <v>4914817025</v>
          </cell>
        </row>
        <row r="1679">
          <cell r="E1679" t="str">
            <v>PUR-12-0431-00</v>
          </cell>
          <cell r="F1679">
            <v>4914817025</v>
          </cell>
        </row>
        <row r="1680">
          <cell r="E1680" t="str">
            <v>PUR-12-0065-00</v>
          </cell>
          <cell r="F1680">
            <v>4914817025</v>
          </cell>
        </row>
        <row r="1681">
          <cell r="E1681" t="str">
            <v>PUR-12-0331-00</v>
          </cell>
          <cell r="F1681">
            <v>4914817025</v>
          </cell>
        </row>
        <row r="1682">
          <cell r="E1682" t="str">
            <v>EF-45036826</v>
          </cell>
          <cell r="F1682">
            <v>4914817025</v>
          </cell>
        </row>
        <row r="1683">
          <cell r="E1683" t="str">
            <v>PUR-12-0329-00</v>
          </cell>
          <cell r="F1683">
            <v>4914817025</v>
          </cell>
        </row>
        <row r="1684">
          <cell r="E1684" t="str">
            <v>PUR-12-0304-00</v>
          </cell>
          <cell r="F1684">
            <v>4914817025</v>
          </cell>
        </row>
        <row r="1685">
          <cell r="E1685" t="str">
            <v>EF-45043496.X.X</v>
          </cell>
          <cell r="F1685">
            <v>4914817025</v>
          </cell>
        </row>
        <row r="1686">
          <cell r="E1686" t="str">
            <v>PUR-12-0304-00</v>
          </cell>
          <cell r="F1686">
            <v>4914817025</v>
          </cell>
        </row>
        <row r="1687">
          <cell r="E1687" t="str">
            <v>PUR-12-0304-00</v>
          </cell>
          <cell r="F1687">
            <v>4914817025</v>
          </cell>
        </row>
        <row r="1688">
          <cell r="E1688" t="str">
            <v>122-000673.X.X</v>
          </cell>
          <cell r="F1688">
            <v>4914817025</v>
          </cell>
        </row>
        <row r="1689">
          <cell r="E1689" t="str">
            <v>122-000453.X.X</v>
          </cell>
          <cell r="F1689">
            <v>4914817025</v>
          </cell>
        </row>
        <row r="1690">
          <cell r="E1690" t="str">
            <v>122-000453.X.X</v>
          </cell>
          <cell r="F1690">
            <v>4914817025</v>
          </cell>
        </row>
        <row r="1691">
          <cell r="E1691" t="str">
            <v>122-000453.X.X</v>
          </cell>
          <cell r="F1691">
            <v>4914817025</v>
          </cell>
        </row>
        <row r="1692">
          <cell r="E1692" t="str">
            <v>AGI-510-40094-01</v>
          </cell>
          <cell r="F1692">
            <v>4914817025</v>
          </cell>
        </row>
        <row r="1693">
          <cell r="E1693" t="str">
            <v>EF-45043352.X.X</v>
          </cell>
          <cell r="F1693">
            <v>4914817025</v>
          </cell>
        </row>
        <row r="1694">
          <cell r="E1694" t="str">
            <v>PURET-13-0006-00</v>
          </cell>
          <cell r="F1694">
            <v>4914817025</v>
          </cell>
        </row>
        <row r="1695">
          <cell r="E1695" t="str">
            <v>PUR-13-0246-00</v>
          </cell>
          <cell r="F1695">
            <v>4914817025</v>
          </cell>
        </row>
        <row r="1696">
          <cell r="E1696" t="str">
            <v>EF-45108860</v>
          </cell>
          <cell r="F1696">
            <v>4914817025</v>
          </cell>
        </row>
        <row r="1697">
          <cell r="E1697" t="str">
            <v>PUR-13-0156-00</v>
          </cell>
          <cell r="F1697">
            <v>4914817025</v>
          </cell>
        </row>
        <row r="1698">
          <cell r="E1698" t="str">
            <v>PUR-13-0156-00</v>
          </cell>
          <cell r="F1698">
            <v>4914817025</v>
          </cell>
        </row>
        <row r="1699">
          <cell r="E1699" t="str">
            <v>PUR-12-0432-00</v>
          </cell>
          <cell r="F1699">
            <v>4914817025</v>
          </cell>
        </row>
        <row r="1700">
          <cell r="E1700" t="str">
            <v>EF-45083316.X.X</v>
          </cell>
          <cell r="F1700">
            <v>4914817025</v>
          </cell>
        </row>
        <row r="1701">
          <cell r="E1701" t="str">
            <v>EF-45043819.X.X</v>
          </cell>
          <cell r="F1701">
            <v>4914817025</v>
          </cell>
        </row>
        <row r="1702">
          <cell r="E1702" t="str">
            <v>AGI-510-50003-01</v>
          </cell>
          <cell r="F1702">
            <v>4914817025</v>
          </cell>
        </row>
        <row r="1703">
          <cell r="E1703" t="str">
            <v>PUR-12-0310-00</v>
          </cell>
          <cell r="F1703">
            <v>4914817025</v>
          </cell>
        </row>
        <row r="1704">
          <cell r="E1704" t="str">
            <v>EF-45036483.X.X</v>
          </cell>
          <cell r="F1704">
            <v>4914817025</v>
          </cell>
        </row>
        <row r="1705">
          <cell r="E1705" t="str">
            <v>EF-45036484.X.X</v>
          </cell>
          <cell r="F1705">
            <v>4914817025</v>
          </cell>
        </row>
        <row r="1706">
          <cell r="E1706" t="str">
            <v>EF-45043901</v>
          </cell>
          <cell r="F1706">
            <v>4914817025</v>
          </cell>
        </row>
        <row r="1707">
          <cell r="E1707" t="str">
            <v>EF-45037196</v>
          </cell>
          <cell r="F1707">
            <v>4914817025</v>
          </cell>
        </row>
        <row r="1708">
          <cell r="E1708" t="str">
            <v>PURET-12-0011-00</v>
          </cell>
          <cell r="F1708">
            <v>4914817025</v>
          </cell>
        </row>
        <row r="1709">
          <cell r="E1709" t="str">
            <v>PURET-12-0011-00</v>
          </cell>
          <cell r="F1709">
            <v>4914817025</v>
          </cell>
        </row>
        <row r="1710">
          <cell r="E1710" t="str">
            <v>EF-45109071</v>
          </cell>
          <cell r="F1710">
            <v>4914817025</v>
          </cell>
        </row>
        <row r="1711">
          <cell r="E1711" t="str">
            <v>EF-45043446.X.X</v>
          </cell>
          <cell r="F1711">
            <v>4914817025</v>
          </cell>
        </row>
        <row r="1712">
          <cell r="E1712" t="str">
            <v>AGI-500-40170-01</v>
          </cell>
          <cell r="F1712">
            <v>4914817025</v>
          </cell>
        </row>
        <row r="1713">
          <cell r="E1713" t="str">
            <v>PUR-12-0468-00</v>
          </cell>
          <cell r="F1713">
            <v>4914817025</v>
          </cell>
        </row>
        <row r="1714">
          <cell r="E1714" t="str">
            <v>PURET-12-0257-00</v>
          </cell>
          <cell r="F1714">
            <v>4914817025</v>
          </cell>
        </row>
        <row r="1715">
          <cell r="E1715" t="str">
            <v>PUR-12-0412-00</v>
          </cell>
          <cell r="F1715">
            <v>4914817025</v>
          </cell>
        </row>
        <row r="1716">
          <cell r="E1716" t="str">
            <v>PUR-12-0420-00</v>
          </cell>
          <cell r="F1716">
            <v>4914817025</v>
          </cell>
        </row>
        <row r="1717">
          <cell r="E1717" t="str">
            <v>PUR-12-0423-00</v>
          </cell>
          <cell r="F1717">
            <v>4914817025</v>
          </cell>
        </row>
        <row r="1718">
          <cell r="E1718" t="str">
            <v>PUR-12-0430-00</v>
          </cell>
          <cell r="F1718">
            <v>4914817025</v>
          </cell>
        </row>
        <row r="1719">
          <cell r="E1719" t="str">
            <v>EF-45043837.X.X</v>
          </cell>
          <cell r="F1719">
            <v>4914817025</v>
          </cell>
        </row>
        <row r="1720">
          <cell r="E1720" t="str">
            <v>121-000359.X.X</v>
          </cell>
          <cell r="F1720">
            <v>4914817025</v>
          </cell>
        </row>
        <row r="1721">
          <cell r="E1721" t="str">
            <v>121-000359.X.X</v>
          </cell>
          <cell r="F1721">
            <v>4914817025</v>
          </cell>
        </row>
        <row r="1722">
          <cell r="E1722" t="str">
            <v>PURET-13-0119-00</v>
          </cell>
          <cell r="F1722">
            <v>4914817025</v>
          </cell>
        </row>
        <row r="1723">
          <cell r="E1723" t="str">
            <v>PURET-13-0119-00</v>
          </cell>
          <cell r="F1723">
            <v>4914817025</v>
          </cell>
        </row>
        <row r="1724">
          <cell r="E1724" t="str">
            <v>EF-45054376.X.X</v>
          </cell>
          <cell r="F1724">
            <v>4914817025</v>
          </cell>
        </row>
        <row r="1725">
          <cell r="E1725" t="str">
            <v>PUR-13-0158-00</v>
          </cell>
          <cell r="F1725">
            <v>4914817025</v>
          </cell>
        </row>
        <row r="1726">
          <cell r="E1726" t="str">
            <v>AGI-520-50004-01</v>
          </cell>
          <cell r="F1726">
            <v>4914817025</v>
          </cell>
        </row>
        <row r="1727">
          <cell r="E1727" t="str">
            <v>AGI-520-50003-01</v>
          </cell>
          <cell r="F1727">
            <v>4914817025</v>
          </cell>
        </row>
        <row r="1728">
          <cell r="E1728" t="str">
            <v>PURET-13-0040-00</v>
          </cell>
          <cell r="F1728">
            <v>4914817025</v>
          </cell>
        </row>
        <row r="1729">
          <cell r="E1729" t="str">
            <v>PUR-14-0051-00</v>
          </cell>
          <cell r="F1729">
            <v>4914817025</v>
          </cell>
        </row>
        <row r="1730">
          <cell r="E1730" t="str">
            <v>122-000673.X.X</v>
          </cell>
          <cell r="F1730">
            <v>4914817025</v>
          </cell>
        </row>
        <row r="1731">
          <cell r="E1731" t="str">
            <v>PURET-13-0001-00</v>
          </cell>
          <cell r="F1731">
            <v>4914817025</v>
          </cell>
        </row>
        <row r="1732">
          <cell r="E1732" t="str">
            <v>PUR-12-0482-00</v>
          </cell>
          <cell r="F1732">
            <v>4914817025</v>
          </cell>
        </row>
        <row r="1733">
          <cell r="E1733" t="str">
            <v>PURET-12-0088-00</v>
          </cell>
          <cell r="F1733">
            <v>4914817025</v>
          </cell>
        </row>
        <row r="1734">
          <cell r="E1734" t="str">
            <v>PUR-13-0245-00</v>
          </cell>
          <cell r="F1734">
            <v>4914817025</v>
          </cell>
        </row>
        <row r="1735">
          <cell r="E1735" t="str">
            <v>PUR-13-0159-00</v>
          </cell>
          <cell r="F1735">
            <v>4914817025</v>
          </cell>
        </row>
        <row r="1736">
          <cell r="E1736" t="str">
            <v>PUR-13-0138-00</v>
          </cell>
          <cell r="F1736">
            <v>4914817025</v>
          </cell>
        </row>
        <row r="1737">
          <cell r="E1737" t="str">
            <v>PUR-13-0138-00</v>
          </cell>
          <cell r="F1737">
            <v>4914817025</v>
          </cell>
        </row>
        <row r="1738">
          <cell r="E1738" t="str">
            <v>PURET-13-0009-00</v>
          </cell>
          <cell r="F1738">
            <v>4914817025</v>
          </cell>
        </row>
        <row r="1739">
          <cell r="E1739" t="str">
            <v>PUR-12-0408-00</v>
          </cell>
          <cell r="F1739">
            <v>4914817025</v>
          </cell>
        </row>
        <row r="1740">
          <cell r="E1740" t="str">
            <v>PUR-12-0294-00</v>
          </cell>
          <cell r="F1740">
            <v>4914817025</v>
          </cell>
        </row>
        <row r="1741">
          <cell r="E1741" t="str">
            <v>PUR-12-0483-00</v>
          </cell>
          <cell r="F1741">
            <v>4914817025</v>
          </cell>
        </row>
        <row r="1742">
          <cell r="E1742" t="str">
            <v>PURET-12-0017-00</v>
          </cell>
          <cell r="F1742">
            <v>4914817025</v>
          </cell>
        </row>
        <row r="1743">
          <cell r="E1743" t="str">
            <v>PURET-12-0225-00</v>
          </cell>
          <cell r="F1743">
            <v>4914817025</v>
          </cell>
        </row>
        <row r="1744">
          <cell r="E1744" t="str">
            <v>PUR-12-0271-00</v>
          </cell>
          <cell r="F1744">
            <v>4914817025</v>
          </cell>
        </row>
        <row r="1745">
          <cell r="E1745" t="str">
            <v>PUR-12-0293-00</v>
          </cell>
          <cell r="F1745">
            <v>4914817025</v>
          </cell>
        </row>
        <row r="1746">
          <cell r="E1746" t="str">
            <v>PUR-12-0431-00</v>
          </cell>
          <cell r="F1746">
            <v>4914817025</v>
          </cell>
        </row>
        <row r="1747">
          <cell r="E1747" t="str">
            <v>PUR-12-0065-00</v>
          </cell>
          <cell r="F1747">
            <v>4914817025</v>
          </cell>
        </row>
        <row r="1748">
          <cell r="E1748" t="str">
            <v>PUR-12-0309-00</v>
          </cell>
          <cell r="F1748">
            <v>4914817025</v>
          </cell>
        </row>
        <row r="1749">
          <cell r="E1749" t="str">
            <v>PUR-12-0468-00</v>
          </cell>
          <cell r="F1749">
            <v>4914817025</v>
          </cell>
        </row>
        <row r="1750">
          <cell r="E1750" t="str">
            <v>PURET-12-0257-00</v>
          </cell>
          <cell r="F1750">
            <v>4914817025</v>
          </cell>
        </row>
        <row r="1751">
          <cell r="E1751" t="str">
            <v>PUR-12-0470-00</v>
          </cell>
          <cell r="F1751">
            <v>4914817025</v>
          </cell>
        </row>
        <row r="1752">
          <cell r="E1752" t="str">
            <v>PUR-12-0467-00</v>
          </cell>
          <cell r="F1752">
            <v>4914817025</v>
          </cell>
        </row>
        <row r="1753">
          <cell r="E1753" t="str">
            <v>PUR-12-0423-00</v>
          </cell>
          <cell r="F1753">
            <v>4914817025</v>
          </cell>
        </row>
        <row r="1754">
          <cell r="E1754" t="str">
            <v>PUR-13-0244-00</v>
          </cell>
          <cell r="F1754">
            <v>4914817025</v>
          </cell>
        </row>
        <row r="1755">
          <cell r="E1755" t="str">
            <v>AGI-510-40085-01</v>
          </cell>
          <cell r="F1755">
            <v>4914817025</v>
          </cell>
        </row>
        <row r="1756">
          <cell r="E1756" t="str">
            <v>PUR-13-0241-00</v>
          </cell>
          <cell r="F1756">
            <v>4914817025</v>
          </cell>
        </row>
        <row r="1757">
          <cell r="E1757" t="str">
            <v>PUR-14-0086-00</v>
          </cell>
          <cell r="F1757">
            <v>4914817025</v>
          </cell>
        </row>
        <row r="1758">
          <cell r="E1758" t="str">
            <v>PUR-14-0086-00</v>
          </cell>
          <cell r="F1758">
            <v>4914817025</v>
          </cell>
        </row>
        <row r="1759">
          <cell r="E1759" t="str">
            <v>PUR-14-0086-00</v>
          </cell>
          <cell r="F1759">
            <v>4914817025</v>
          </cell>
        </row>
        <row r="1760">
          <cell r="E1760" t="str">
            <v>PUR-14-0086-00</v>
          </cell>
          <cell r="F1760">
            <v>4914817025</v>
          </cell>
        </row>
        <row r="1761">
          <cell r="E1761" t="str">
            <v>LUC-P11-K41700-00</v>
          </cell>
          <cell r="F1761">
            <v>444694189545</v>
          </cell>
        </row>
        <row r="1762">
          <cell r="E1762" t="str">
            <v>LUC-EZZ-420151-00</v>
          </cell>
          <cell r="F1762">
            <v>444694189545</v>
          </cell>
        </row>
        <row r="1763">
          <cell r="E1763" t="str">
            <v>LUC-EZZ-421132-00</v>
          </cell>
          <cell r="F1763">
            <v>444694189545</v>
          </cell>
        </row>
        <row r="1764">
          <cell r="E1764" t="str">
            <v>LUC-EZZ-400736-00</v>
          </cell>
          <cell r="F1764">
            <v>444694189545</v>
          </cell>
        </row>
        <row r="1765">
          <cell r="E1765" t="str">
            <v>PUR-03-0091-02</v>
          </cell>
          <cell r="F1765">
            <v>444380798931</v>
          </cell>
        </row>
        <row r="1766">
          <cell r="E1766" t="str">
            <v>PUR-03-0091-02</v>
          </cell>
          <cell r="F1766">
            <v>444380798931</v>
          </cell>
        </row>
        <row r="1767">
          <cell r="E1767" t="str">
            <v>PUR-03-0091-02</v>
          </cell>
          <cell r="F1767">
            <v>444380798931</v>
          </cell>
        </row>
        <row r="1768">
          <cell r="E1768" t="str">
            <v>PUR-03-0091-02</v>
          </cell>
          <cell r="F1768">
            <v>444380798931</v>
          </cell>
        </row>
        <row r="1769">
          <cell r="E1769" t="str">
            <v>PUR-03-0091-02</v>
          </cell>
          <cell r="F1769">
            <v>444380811325</v>
          </cell>
        </row>
        <row r="1770">
          <cell r="E1770" t="str">
            <v>PUR-03-0091-02</v>
          </cell>
          <cell r="F1770">
            <v>444380798828</v>
          </cell>
        </row>
        <row r="1771">
          <cell r="E1771" t="str">
            <v>PUR-03-0091-02</v>
          </cell>
          <cell r="F1771">
            <v>444380798828</v>
          </cell>
        </row>
        <row r="1772">
          <cell r="E1772" t="str">
            <v>PUR-03-0091-02</v>
          </cell>
          <cell r="F1772">
            <v>444380798828</v>
          </cell>
        </row>
        <row r="1773">
          <cell r="E1773" t="str">
            <v>PUR-09-0343-00</v>
          </cell>
          <cell r="F1773">
            <v>425055629029</v>
          </cell>
        </row>
        <row r="1774">
          <cell r="E1774" t="str">
            <v>PUR-09-0343-00</v>
          </cell>
          <cell r="F1774">
            <v>425055629029</v>
          </cell>
        </row>
        <row r="1775">
          <cell r="E1775" t="str">
            <v>PUR-09-0256-00</v>
          </cell>
          <cell r="F1775">
            <v>437408806879</v>
          </cell>
        </row>
        <row r="1776">
          <cell r="E1776" t="str">
            <v>PURET-24-0008-00</v>
          </cell>
          <cell r="F1776">
            <v>437408806879</v>
          </cell>
        </row>
        <row r="1777">
          <cell r="E1777" t="str">
            <v>PUR-24-0031-00</v>
          </cell>
          <cell r="F1777">
            <v>437408806879</v>
          </cell>
        </row>
        <row r="1778">
          <cell r="E1778" t="str">
            <v>LUC-E00-420074-00</v>
          </cell>
          <cell r="F1778">
            <v>441557131716</v>
          </cell>
        </row>
        <row r="1779">
          <cell r="E1779" t="str">
            <v>EF-45130022</v>
          </cell>
          <cell r="F1779">
            <v>772016124990</v>
          </cell>
        </row>
        <row r="1780">
          <cell r="E1780" t="str">
            <v>EF-45129267</v>
          </cell>
          <cell r="F1780">
            <v>772052297092</v>
          </cell>
        </row>
        <row r="1781">
          <cell r="E1781" t="str">
            <v>EF-45129267</v>
          </cell>
          <cell r="F1781">
            <v>772052297092</v>
          </cell>
        </row>
        <row r="1782">
          <cell r="E1782" t="str">
            <v>EF-45129267</v>
          </cell>
          <cell r="F1782">
            <v>772052297092</v>
          </cell>
        </row>
        <row r="1783">
          <cell r="E1783" t="str">
            <v>PUR-12-0343-00</v>
          </cell>
          <cell r="F1783">
            <v>772052297092</v>
          </cell>
        </row>
        <row r="1784">
          <cell r="E1784" t="str">
            <v>PUR-15-0220-00</v>
          </cell>
          <cell r="F1784">
            <v>902348923852</v>
          </cell>
        </row>
        <row r="1785">
          <cell r="E1785" t="str">
            <v>PUR-15-0220-00</v>
          </cell>
          <cell r="F1785">
            <v>902348923852</v>
          </cell>
        </row>
        <row r="1786">
          <cell r="E1786" t="str">
            <v>PUR-18-0641-00</v>
          </cell>
          <cell r="F1786">
            <v>772076262647</v>
          </cell>
        </row>
        <row r="1787">
          <cell r="E1787" t="str">
            <v>PUR-33-0004-00</v>
          </cell>
          <cell r="F1787">
            <v>772076262647</v>
          </cell>
        </row>
        <row r="1788">
          <cell r="E1788" t="str">
            <v>PURET-13-0066-00</v>
          </cell>
          <cell r="F1788">
            <v>434611753256</v>
          </cell>
        </row>
        <row r="1789">
          <cell r="E1789" t="str">
            <v>EF-45060487.X.X</v>
          </cell>
          <cell r="F1789">
            <v>434611753256</v>
          </cell>
        </row>
        <row r="1790">
          <cell r="E1790" t="str">
            <v>EF-45094378</v>
          </cell>
          <cell r="F1790">
            <v>434611753256</v>
          </cell>
        </row>
        <row r="1791">
          <cell r="E1791" t="str">
            <v>EF-45058007.X.X</v>
          </cell>
          <cell r="F1791">
            <v>434611753256</v>
          </cell>
        </row>
        <row r="1792">
          <cell r="E1792" t="str">
            <v>EF-45097272</v>
          </cell>
          <cell r="F1792">
            <v>285404589466</v>
          </cell>
        </row>
        <row r="1793">
          <cell r="E1793" t="str">
            <v>LUC-EZZ-440129-00</v>
          </cell>
          <cell r="F1793">
            <v>285404589466</v>
          </cell>
        </row>
        <row r="1794">
          <cell r="E1794" t="str">
            <v>LUC-P21-K61200-02</v>
          </cell>
          <cell r="F1794">
            <v>772074574602</v>
          </cell>
        </row>
        <row r="1795">
          <cell r="E1795" t="str">
            <v>LUC-P21-K33600-02</v>
          </cell>
          <cell r="F1795">
            <v>772074574602</v>
          </cell>
        </row>
        <row r="1796">
          <cell r="E1796" t="str">
            <v>PUR-03-0082-02</v>
          </cell>
          <cell r="F1796">
            <v>444380789054</v>
          </cell>
        </row>
        <row r="1797">
          <cell r="E1797" t="str">
            <v>PUR-03-0082-02</v>
          </cell>
          <cell r="F1797">
            <v>444380789054</v>
          </cell>
        </row>
        <row r="1798">
          <cell r="E1798" t="str">
            <v>LUC-E00-400025-09</v>
          </cell>
          <cell r="F1798">
            <v>439134959650</v>
          </cell>
        </row>
        <row r="1799">
          <cell r="E1799" t="str">
            <v>AGI-450-50020-01</v>
          </cell>
          <cell r="F1799">
            <v>285429478286</v>
          </cell>
        </row>
        <row r="1800">
          <cell r="E1800" t="str">
            <v>PUR-11-0104-05</v>
          </cell>
          <cell r="F1800" t="str">
            <v>PSHPH2520060</v>
          </cell>
        </row>
        <row r="1801">
          <cell r="E1801" t="str">
            <v>PUR-11-0104-05</v>
          </cell>
          <cell r="F1801" t="str">
            <v>PSHPH2520060</v>
          </cell>
        </row>
        <row r="1802">
          <cell r="E1802" t="str">
            <v>PUR-11-0105-04</v>
          </cell>
          <cell r="F1802" t="str">
            <v>PSHPH2520066</v>
          </cell>
        </row>
        <row r="1803">
          <cell r="E1803" t="str">
            <v>PUR-11-0105-04</v>
          </cell>
          <cell r="F1803" t="str">
            <v>PSHPH2520066</v>
          </cell>
        </row>
        <row r="1804">
          <cell r="E1804" t="str">
            <v>PUR-11-0105-04</v>
          </cell>
          <cell r="F1804" t="str">
            <v>PSHPH2520066</v>
          </cell>
        </row>
        <row r="1805">
          <cell r="E1805" t="str">
            <v>PUR-11-0105-04</v>
          </cell>
          <cell r="F1805" t="str">
            <v>PSHPH2520066</v>
          </cell>
        </row>
        <row r="1806">
          <cell r="E1806" t="str">
            <v>PUR-11-0106-05</v>
          </cell>
          <cell r="F1806" t="str">
            <v>PSHPH2520066</v>
          </cell>
        </row>
        <row r="1807">
          <cell r="E1807" t="str">
            <v>PUR-11-0106-05</v>
          </cell>
          <cell r="F1807" t="str">
            <v>PSHPH2520066</v>
          </cell>
        </row>
        <row r="1808">
          <cell r="E1808" t="str">
            <v>PUR-11-0106-05</v>
          </cell>
          <cell r="F1808" t="str">
            <v>PSHPH2520066</v>
          </cell>
        </row>
        <row r="1809">
          <cell r="E1809" t="str">
            <v>PUR-11-0106-05</v>
          </cell>
          <cell r="F1809" t="str">
            <v>PSHPH2520066</v>
          </cell>
        </row>
        <row r="1810">
          <cell r="E1810" t="str">
            <v>LUC-P11-K41700-00</v>
          </cell>
          <cell r="F1810">
            <v>444860296992</v>
          </cell>
        </row>
        <row r="1811">
          <cell r="E1811" t="str">
            <v>PUR-03-0092-03-H</v>
          </cell>
          <cell r="F1811" t="str">
            <v>8TV1880</v>
          </cell>
        </row>
        <row r="1812">
          <cell r="E1812" t="str">
            <v>LUC-E00-400011-000</v>
          </cell>
          <cell r="F1812">
            <v>409298774298</v>
          </cell>
        </row>
        <row r="1813">
          <cell r="E1813" t="str">
            <v>141-001337-01</v>
          </cell>
          <cell r="F1813">
            <v>772113964030</v>
          </cell>
        </row>
        <row r="1814">
          <cell r="E1814" t="str">
            <v>102-001558</v>
          </cell>
          <cell r="F1814">
            <v>444380812744</v>
          </cell>
        </row>
        <row r="1815">
          <cell r="E1815" t="str">
            <v>LUC-E00-510021-00</v>
          </cell>
          <cell r="F1815">
            <v>426080009289</v>
          </cell>
        </row>
        <row r="1816">
          <cell r="E1816" t="str">
            <v>LUC-E00-510021-00</v>
          </cell>
          <cell r="F1816">
            <v>426080009289</v>
          </cell>
        </row>
        <row r="1817">
          <cell r="E1817" t="str">
            <v>LUC-E00-440030-00</v>
          </cell>
          <cell r="F1817">
            <v>426080009289</v>
          </cell>
        </row>
        <row r="1818">
          <cell r="E1818">
            <v>45253067</v>
          </cell>
          <cell r="F1818">
            <v>426080009289</v>
          </cell>
        </row>
        <row r="1819">
          <cell r="E1819" t="str">
            <v>LUC-E00-450053-00</v>
          </cell>
          <cell r="F1819">
            <v>426080009289</v>
          </cell>
        </row>
        <row r="1820">
          <cell r="E1820" t="str">
            <v>LUC-E00-400001-012</v>
          </cell>
          <cell r="F1820">
            <v>426080009289</v>
          </cell>
        </row>
        <row r="1821">
          <cell r="E1821" t="str">
            <v>EF-45165680</v>
          </cell>
          <cell r="F1821">
            <v>426080009289</v>
          </cell>
        </row>
        <row r="1822">
          <cell r="E1822" t="str">
            <v>PUR-11-0106-05</v>
          </cell>
          <cell r="F1822">
            <v>426080009289</v>
          </cell>
        </row>
        <row r="1823">
          <cell r="E1823" t="str">
            <v>EF-45060149.X.X</v>
          </cell>
          <cell r="F1823">
            <v>426080009289</v>
          </cell>
        </row>
        <row r="1824">
          <cell r="E1824" t="str">
            <v>PUR-15-0207-00</v>
          </cell>
          <cell r="F1824">
            <v>426080009289</v>
          </cell>
        </row>
        <row r="1825">
          <cell r="E1825" t="str">
            <v>PUR-15-0221-00</v>
          </cell>
          <cell r="F1825">
            <v>426080009289</v>
          </cell>
        </row>
        <row r="1826">
          <cell r="E1826" t="str">
            <v>PUR-11-0104-06</v>
          </cell>
          <cell r="F1826">
            <v>426080009289</v>
          </cell>
        </row>
        <row r="1827">
          <cell r="E1827" t="str">
            <v>PUR-09-0444-00</v>
          </cell>
          <cell r="F1827">
            <v>426080009289</v>
          </cell>
        </row>
        <row r="1828">
          <cell r="E1828" t="str">
            <v>PUR-14-0087-00</v>
          </cell>
          <cell r="F1828">
            <v>426080009289</v>
          </cell>
        </row>
        <row r="1829">
          <cell r="E1829" t="str">
            <v>103-000216.X.X</v>
          </cell>
          <cell r="F1829">
            <v>730610852627</v>
          </cell>
        </row>
        <row r="1830">
          <cell r="E1830" t="str">
            <v>LUC-EZZ-420345-00</v>
          </cell>
          <cell r="F1830">
            <v>5341457225</v>
          </cell>
        </row>
        <row r="1831">
          <cell r="E1831" t="str">
            <v>LUC-E00-420002-00</v>
          </cell>
          <cell r="F1831">
            <v>5341457225</v>
          </cell>
        </row>
        <row r="1832">
          <cell r="E1832" t="str">
            <v>LUC-E00-420046-00</v>
          </cell>
          <cell r="F1832">
            <v>5341457225</v>
          </cell>
        </row>
        <row r="1833">
          <cell r="E1833" t="str">
            <v>LUC-EZZ-510640-00</v>
          </cell>
          <cell r="F1833">
            <v>5341457225</v>
          </cell>
        </row>
        <row r="1834">
          <cell r="E1834" t="str">
            <v>LUC-EZZ-400427-00</v>
          </cell>
          <cell r="F1834">
            <v>5341457225</v>
          </cell>
        </row>
        <row r="1835">
          <cell r="E1835" t="str">
            <v>LUC-EZZ-400414-00</v>
          </cell>
          <cell r="F1835">
            <v>5341457225</v>
          </cell>
        </row>
        <row r="1836">
          <cell r="E1836" t="str">
            <v>LUC-E00-510001-00</v>
          </cell>
          <cell r="F1836">
            <v>5341457225</v>
          </cell>
        </row>
        <row r="1837">
          <cell r="E1837" t="str">
            <v>LUC-EZZ-450113-00</v>
          </cell>
          <cell r="F1837">
            <v>5341457225</v>
          </cell>
        </row>
        <row r="1838">
          <cell r="E1838" t="str">
            <v>LUC-E00-460034-00</v>
          </cell>
          <cell r="F1838">
            <v>5341457225</v>
          </cell>
        </row>
        <row r="1839">
          <cell r="E1839" t="str">
            <v>EF-45171679</v>
          </cell>
          <cell r="F1839">
            <v>5341457225</v>
          </cell>
        </row>
        <row r="1840">
          <cell r="E1840" t="str">
            <v>LUC-E00-450067-00</v>
          </cell>
          <cell r="F1840">
            <v>5341457225</v>
          </cell>
        </row>
        <row r="1841">
          <cell r="E1841" t="str">
            <v>LUC-E00-470047-00</v>
          </cell>
          <cell r="F1841">
            <v>5341457225</v>
          </cell>
        </row>
        <row r="1842">
          <cell r="E1842" t="str">
            <v>LUC-EZZ-420251-00</v>
          </cell>
          <cell r="F1842">
            <v>618106366310</v>
          </cell>
        </row>
        <row r="1843">
          <cell r="E1843" t="str">
            <v>LUC-EZZ-420354-00</v>
          </cell>
          <cell r="F1843">
            <v>618106366310</v>
          </cell>
        </row>
        <row r="1844">
          <cell r="E1844" t="str">
            <v>LUC-EZZ-450089-00</v>
          </cell>
          <cell r="F1844">
            <v>618106366310</v>
          </cell>
        </row>
        <row r="1845">
          <cell r="E1845" t="str">
            <v>LUC-EZZ-420354-00</v>
          </cell>
          <cell r="F1845">
            <v>618106366310</v>
          </cell>
        </row>
        <row r="1846">
          <cell r="E1846" t="str">
            <v>LUC-EZZ-420354-00</v>
          </cell>
          <cell r="F1846">
            <v>618108335954</v>
          </cell>
        </row>
        <row r="1847">
          <cell r="E1847" t="str">
            <v>EF-45103947.X.X</v>
          </cell>
          <cell r="F1847">
            <v>423264331863</v>
          </cell>
        </row>
        <row r="1848">
          <cell r="E1848" t="str">
            <v>LUC-E00-420135-00</v>
          </cell>
          <cell r="F1848">
            <v>423264331863</v>
          </cell>
        </row>
        <row r="1849">
          <cell r="E1849" t="str">
            <v>PUR-13-0215-00</v>
          </cell>
          <cell r="F1849">
            <v>423264331863</v>
          </cell>
        </row>
        <row r="1850">
          <cell r="E1850" t="str">
            <v>PURET-13-0009-00</v>
          </cell>
          <cell r="F1850">
            <v>423264331863</v>
          </cell>
        </row>
        <row r="1851">
          <cell r="E1851" t="str">
            <v>LUC-EZZ-400042-00</v>
          </cell>
          <cell r="F1851">
            <v>423264331863</v>
          </cell>
        </row>
        <row r="1852">
          <cell r="E1852" t="str">
            <v>LUC-E00-400035-04</v>
          </cell>
          <cell r="F1852">
            <v>423264331863</v>
          </cell>
        </row>
        <row r="1853">
          <cell r="E1853" t="str">
            <v>PUR-12-0407-00</v>
          </cell>
          <cell r="F1853">
            <v>423264331863</v>
          </cell>
        </row>
        <row r="1854">
          <cell r="E1854" t="str">
            <v>PUR-12-0297-00</v>
          </cell>
          <cell r="F1854">
            <v>423264331863</v>
          </cell>
        </row>
        <row r="1855">
          <cell r="E1855" t="str">
            <v>EF-45036461.X.X</v>
          </cell>
          <cell r="F1855">
            <v>423264331863</v>
          </cell>
        </row>
        <row r="1856">
          <cell r="E1856" t="str">
            <v>EF-45037930.X.X</v>
          </cell>
          <cell r="F1856">
            <v>423264331863</v>
          </cell>
        </row>
        <row r="1857">
          <cell r="E1857" t="str">
            <v>EF-45059477.X.X</v>
          </cell>
          <cell r="F1857">
            <v>423264331863</v>
          </cell>
        </row>
        <row r="1858">
          <cell r="E1858" t="str">
            <v>121-000519.X.X</v>
          </cell>
          <cell r="F1858">
            <v>423264331863</v>
          </cell>
        </row>
        <row r="1859">
          <cell r="E1859" t="str">
            <v>121-000519.X.X</v>
          </cell>
          <cell r="F1859">
            <v>423264331863</v>
          </cell>
        </row>
        <row r="1860">
          <cell r="E1860" t="str">
            <v>121-000519.X.X</v>
          </cell>
          <cell r="F1860">
            <v>423264331863</v>
          </cell>
        </row>
        <row r="1861">
          <cell r="E1861" t="str">
            <v>EF-45060499.X.X</v>
          </cell>
          <cell r="F1861">
            <v>423264331863</v>
          </cell>
        </row>
        <row r="1862">
          <cell r="E1862" t="str">
            <v>EF-45125131</v>
          </cell>
          <cell r="F1862">
            <v>423264331863</v>
          </cell>
        </row>
        <row r="1863">
          <cell r="E1863" t="str">
            <v>PUR-12-0475-00</v>
          </cell>
          <cell r="F1863">
            <v>423264331863</v>
          </cell>
        </row>
        <row r="1864">
          <cell r="E1864" t="str">
            <v>EF-45125129</v>
          </cell>
          <cell r="F1864">
            <v>423264331863</v>
          </cell>
        </row>
        <row r="1865">
          <cell r="E1865" t="str">
            <v>PURET-12-0170-00</v>
          </cell>
          <cell r="F1865">
            <v>423264331863</v>
          </cell>
        </row>
        <row r="1866">
          <cell r="E1866" t="str">
            <v>PUR-12-0474-00</v>
          </cell>
          <cell r="F1866">
            <v>423264331863</v>
          </cell>
        </row>
        <row r="1867">
          <cell r="E1867" t="str">
            <v>PUR-12-0460-00</v>
          </cell>
          <cell r="F1867">
            <v>423264331863</v>
          </cell>
        </row>
        <row r="1868">
          <cell r="E1868" t="str">
            <v>EF-45041208.X.X</v>
          </cell>
          <cell r="F1868">
            <v>423264331863</v>
          </cell>
        </row>
        <row r="1869">
          <cell r="E1869" t="str">
            <v>121-000357.X.X</v>
          </cell>
          <cell r="F1869">
            <v>423264331863</v>
          </cell>
        </row>
        <row r="1870">
          <cell r="E1870" t="str">
            <v>EF-45035558.X.X</v>
          </cell>
          <cell r="F1870">
            <v>423264331863</v>
          </cell>
        </row>
        <row r="1871">
          <cell r="E1871" t="str">
            <v>EF-45105218.X.X</v>
          </cell>
          <cell r="F1871">
            <v>423264331863</v>
          </cell>
        </row>
        <row r="1872">
          <cell r="E1872" t="str">
            <v>EF-45050173</v>
          </cell>
          <cell r="F1872">
            <v>423264331863</v>
          </cell>
        </row>
        <row r="1873">
          <cell r="E1873" t="str">
            <v>EF-45043446.X.X</v>
          </cell>
          <cell r="F1873">
            <v>423264331863</v>
          </cell>
        </row>
        <row r="1874">
          <cell r="E1874" t="str">
            <v>PUR-12-0472-00</v>
          </cell>
          <cell r="F1874">
            <v>423264331863</v>
          </cell>
        </row>
        <row r="1875">
          <cell r="E1875" t="str">
            <v>PUR-12-0412-00</v>
          </cell>
          <cell r="F1875">
            <v>423264331863</v>
          </cell>
        </row>
        <row r="1876">
          <cell r="E1876" t="str">
            <v>PUR-12-0420-00</v>
          </cell>
          <cell r="F1876">
            <v>423264331863</v>
          </cell>
        </row>
        <row r="1877">
          <cell r="E1877" t="str">
            <v>121-000107.X.X</v>
          </cell>
          <cell r="F1877">
            <v>423264331863</v>
          </cell>
        </row>
        <row r="1878">
          <cell r="E1878" t="str">
            <v>121-000359.X.X</v>
          </cell>
          <cell r="F1878">
            <v>423264331863</v>
          </cell>
        </row>
        <row r="1879">
          <cell r="E1879" t="str">
            <v>121-000359.X.X</v>
          </cell>
          <cell r="F1879">
            <v>423264331863</v>
          </cell>
        </row>
        <row r="1880">
          <cell r="E1880" t="str">
            <v>121-000359.X.X</v>
          </cell>
          <cell r="F1880">
            <v>423264331863</v>
          </cell>
        </row>
        <row r="1881">
          <cell r="E1881" t="str">
            <v>121-000359.X.X</v>
          </cell>
          <cell r="F1881">
            <v>423264331863</v>
          </cell>
        </row>
        <row r="1882">
          <cell r="E1882" t="str">
            <v>EF-45043569</v>
          </cell>
          <cell r="F1882">
            <v>423264331863</v>
          </cell>
        </row>
        <row r="1883">
          <cell r="E1883" t="str">
            <v>LUC-E00-420024-00</v>
          </cell>
          <cell r="F1883">
            <v>423264331863</v>
          </cell>
        </row>
        <row r="1884">
          <cell r="E1884" t="str">
            <v>PUR-13-0226-00</v>
          </cell>
          <cell r="F1884">
            <v>423264331863</v>
          </cell>
        </row>
        <row r="1885">
          <cell r="E1885" t="str">
            <v>122-000673.X.X</v>
          </cell>
          <cell r="F1885">
            <v>423264331863</v>
          </cell>
        </row>
        <row r="1886">
          <cell r="E1886" t="str">
            <v>122-000453.X.X</v>
          </cell>
          <cell r="F1886">
            <v>423264331863</v>
          </cell>
        </row>
        <row r="1887">
          <cell r="E1887" t="str">
            <v>122-000453.X.X</v>
          </cell>
          <cell r="F1887">
            <v>423264331863</v>
          </cell>
        </row>
        <row r="1888">
          <cell r="E1888" t="str">
            <v>122-000453.X.X</v>
          </cell>
          <cell r="F1888">
            <v>423264331863</v>
          </cell>
        </row>
        <row r="1889">
          <cell r="E1889" t="str">
            <v>122-000453.X.X</v>
          </cell>
          <cell r="F1889">
            <v>423264331863</v>
          </cell>
        </row>
        <row r="1890">
          <cell r="E1890" t="str">
            <v>122-000453.X.X</v>
          </cell>
          <cell r="F1890">
            <v>423264331863</v>
          </cell>
        </row>
        <row r="1891">
          <cell r="E1891" t="str">
            <v>EF-45061095</v>
          </cell>
          <cell r="F1891">
            <v>423264331863</v>
          </cell>
        </row>
        <row r="1892">
          <cell r="E1892" t="str">
            <v>PUR-13-0227-00</v>
          </cell>
          <cell r="F1892">
            <v>423264331863</v>
          </cell>
        </row>
        <row r="1893">
          <cell r="E1893" t="str">
            <v>LUC-E00-420037-01</v>
          </cell>
          <cell r="F1893">
            <v>423264331863</v>
          </cell>
        </row>
        <row r="1894">
          <cell r="E1894" t="str">
            <v>LUC-E00-420025-03</v>
          </cell>
          <cell r="F1894">
            <v>423264331863</v>
          </cell>
        </row>
        <row r="1895">
          <cell r="E1895" t="str">
            <v>LUC-E00-420025-03</v>
          </cell>
          <cell r="F1895">
            <v>423264331863</v>
          </cell>
        </row>
        <row r="1896">
          <cell r="E1896" t="str">
            <v>LUC-EZZ-420822-00</v>
          </cell>
          <cell r="F1896">
            <v>423264331863</v>
          </cell>
        </row>
        <row r="1897">
          <cell r="E1897" t="str">
            <v>LUC-EZZ-420257-00</v>
          </cell>
          <cell r="F1897">
            <v>423264331863</v>
          </cell>
        </row>
        <row r="1898">
          <cell r="E1898" t="str">
            <v>LUC-E00-420025-02</v>
          </cell>
          <cell r="F1898">
            <v>423264331863</v>
          </cell>
        </row>
        <row r="1899">
          <cell r="E1899" t="str">
            <v>LUC-EZZ-421132-00</v>
          </cell>
          <cell r="F1899">
            <v>423264331863</v>
          </cell>
        </row>
        <row r="1900">
          <cell r="E1900" t="str">
            <v>LUC-EZZ-421132-00</v>
          </cell>
          <cell r="F1900">
            <v>423264331863</v>
          </cell>
        </row>
        <row r="1901">
          <cell r="E1901" t="str">
            <v>LUC-E00-420027-02</v>
          </cell>
          <cell r="F1901">
            <v>423264331863</v>
          </cell>
        </row>
        <row r="1902">
          <cell r="E1902" t="str">
            <v>LUC-EZZ-420148-00</v>
          </cell>
          <cell r="F1902">
            <v>423264331863</v>
          </cell>
        </row>
        <row r="1903">
          <cell r="E1903" t="str">
            <v>EF-45083316.X.X</v>
          </cell>
          <cell r="F1903">
            <v>423264331863</v>
          </cell>
        </row>
        <row r="1904">
          <cell r="E1904" t="str">
            <v>122-001250</v>
          </cell>
          <cell r="F1904">
            <v>423264331863</v>
          </cell>
        </row>
        <row r="1905">
          <cell r="E1905" t="str">
            <v>121-000206.X.X</v>
          </cell>
          <cell r="F1905">
            <v>423264331863</v>
          </cell>
        </row>
        <row r="1906">
          <cell r="E1906" t="str">
            <v>EF-45092460.X.X</v>
          </cell>
          <cell r="F1906">
            <v>423264331863</v>
          </cell>
        </row>
        <row r="1907">
          <cell r="E1907" t="str">
            <v>PUR-12-0470-00</v>
          </cell>
          <cell r="F1907">
            <v>423264331863</v>
          </cell>
        </row>
        <row r="1908">
          <cell r="E1908" t="str">
            <v>PURET-13-0001-00</v>
          </cell>
          <cell r="F1908">
            <v>423264331863</v>
          </cell>
        </row>
        <row r="1909">
          <cell r="E1909" t="str">
            <v>EF-45048198</v>
          </cell>
          <cell r="F1909">
            <v>423264331863</v>
          </cell>
        </row>
        <row r="1910">
          <cell r="E1910" t="str">
            <v>PUR-12-0297-00</v>
          </cell>
          <cell r="F1910">
            <v>423264331863</v>
          </cell>
        </row>
        <row r="1911">
          <cell r="E1911" t="str">
            <v>PUR-12-0412-00</v>
          </cell>
          <cell r="F1911">
            <v>423264331863</v>
          </cell>
        </row>
        <row r="1912">
          <cell r="E1912" t="str">
            <v>PUR-14-0086-00</v>
          </cell>
          <cell r="F1912">
            <v>423264331863</v>
          </cell>
        </row>
        <row r="1913">
          <cell r="E1913" t="str">
            <v>AGI-520-50001-01</v>
          </cell>
          <cell r="F1913">
            <v>423264331863</v>
          </cell>
        </row>
        <row r="1914">
          <cell r="E1914" t="str">
            <v>PUR-09-0233-00</v>
          </cell>
          <cell r="F1914">
            <v>425055632014</v>
          </cell>
        </row>
        <row r="1915">
          <cell r="E1915" t="str">
            <v>PUR-09-0233-00</v>
          </cell>
          <cell r="F1915">
            <v>425055632014</v>
          </cell>
        </row>
        <row r="1916">
          <cell r="E1916" t="str">
            <v>EF-45093131.X.X</v>
          </cell>
          <cell r="F1916">
            <v>419341531743</v>
          </cell>
        </row>
        <row r="1917">
          <cell r="E1917" t="str">
            <v>EF-45060996.X.X</v>
          </cell>
          <cell r="F1917">
            <v>419341531743</v>
          </cell>
        </row>
        <row r="1918">
          <cell r="E1918" t="str">
            <v>102-001558</v>
          </cell>
          <cell r="F1918">
            <v>444380790253</v>
          </cell>
        </row>
        <row r="1919">
          <cell r="E1919" t="str">
            <v>102-001558</v>
          </cell>
          <cell r="F1919">
            <v>444380790253</v>
          </cell>
        </row>
        <row r="1920">
          <cell r="E1920" t="str">
            <v>141-002773</v>
          </cell>
          <cell r="F1920">
            <v>772167046426</v>
          </cell>
        </row>
        <row r="1921">
          <cell r="E1921" t="str">
            <v>141-002774</v>
          </cell>
          <cell r="F1921">
            <v>772167046426</v>
          </cell>
        </row>
        <row r="1922">
          <cell r="E1922" t="str">
            <v>LUC-EZZ-470097-01</v>
          </cell>
          <cell r="F1922">
            <v>4110321760</v>
          </cell>
        </row>
        <row r="1923">
          <cell r="E1923" t="str">
            <v>EF-45003824</v>
          </cell>
          <cell r="F1923">
            <v>426617518660</v>
          </cell>
        </row>
        <row r="1924">
          <cell r="E1924" t="str">
            <v>EF-45046347.X.X</v>
          </cell>
          <cell r="F1924">
            <v>410797032488</v>
          </cell>
        </row>
        <row r="1925">
          <cell r="E1925" t="str">
            <v>PUR-07-0210-00</v>
          </cell>
          <cell r="F1925">
            <v>772138154410</v>
          </cell>
        </row>
        <row r="1926">
          <cell r="E1926" t="str">
            <v>EF-45205752</v>
          </cell>
          <cell r="F1926">
            <v>444860317365</v>
          </cell>
        </row>
        <row r="1927">
          <cell r="E1927" t="str">
            <v>LUC-E00-450010-00</v>
          </cell>
          <cell r="F1927">
            <v>444860317365</v>
          </cell>
        </row>
        <row r="1928">
          <cell r="E1928" t="str">
            <v>LUC-EZZ-420342-00</v>
          </cell>
          <cell r="F1928">
            <v>4812787666</v>
          </cell>
        </row>
        <row r="1929">
          <cell r="E1929" t="str">
            <v>LUC-EZZ-421534-00</v>
          </cell>
          <cell r="F1929">
            <v>4812787666</v>
          </cell>
        </row>
        <row r="1930">
          <cell r="E1930" t="str">
            <v>LUC-EZZ-420200-00</v>
          </cell>
          <cell r="F1930">
            <v>4812787666</v>
          </cell>
        </row>
        <row r="1931">
          <cell r="E1931" t="str">
            <v>LUC-EZZ-420211-00</v>
          </cell>
          <cell r="F1931">
            <v>4812787666</v>
          </cell>
        </row>
        <row r="1932">
          <cell r="E1932" t="str">
            <v>LUC-EZZ-440036-00</v>
          </cell>
          <cell r="F1932">
            <v>4812787666</v>
          </cell>
        </row>
        <row r="1933">
          <cell r="E1933" t="str">
            <v>LUC-EZZ-440127-00</v>
          </cell>
          <cell r="F1933">
            <v>4812787666</v>
          </cell>
        </row>
        <row r="1934">
          <cell r="E1934" t="str">
            <v>LUC-EZZ-440867-00</v>
          </cell>
          <cell r="F1934">
            <v>4812787666</v>
          </cell>
        </row>
        <row r="1935">
          <cell r="E1935" t="str">
            <v>LUC-EZZ-470276-00</v>
          </cell>
          <cell r="F1935">
            <v>4812787666</v>
          </cell>
        </row>
        <row r="1936">
          <cell r="E1936" t="str">
            <v>LUC-EZZ-470464-00</v>
          </cell>
          <cell r="F1936">
            <v>4812787666</v>
          </cell>
        </row>
        <row r="1937">
          <cell r="E1937" t="str">
            <v>LUC-EZZ-470155-00</v>
          </cell>
          <cell r="F1937">
            <v>4812787666</v>
          </cell>
        </row>
        <row r="1938">
          <cell r="E1938" t="str">
            <v>LUC-EZZ-470274-00</v>
          </cell>
          <cell r="F1938">
            <v>4812787666</v>
          </cell>
        </row>
        <row r="1939">
          <cell r="E1939" t="str">
            <v>LUC-EZZ-470424-00</v>
          </cell>
          <cell r="F1939">
            <v>4812787666</v>
          </cell>
        </row>
        <row r="1940">
          <cell r="E1940" t="str">
            <v>LUC-EZZ-470055-00</v>
          </cell>
          <cell r="F1940">
            <v>4812787666</v>
          </cell>
        </row>
        <row r="1941">
          <cell r="E1941" t="str">
            <v>LUC-EZZ-510047-00</v>
          </cell>
          <cell r="F1941">
            <v>4812787666</v>
          </cell>
        </row>
        <row r="1942">
          <cell r="E1942" t="str">
            <v>LUC-EZZ-450179-00</v>
          </cell>
          <cell r="F1942">
            <v>4812787666</v>
          </cell>
        </row>
        <row r="1943">
          <cell r="E1943" t="str">
            <v>LUC-P11-K33A00-02</v>
          </cell>
          <cell r="F1943">
            <v>4812787666</v>
          </cell>
        </row>
        <row r="1944">
          <cell r="E1944" t="str">
            <v>LUC-P11-K33B00-02</v>
          </cell>
          <cell r="F1944">
            <v>4812787666</v>
          </cell>
        </row>
        <row r="1945">
          <cell r="E1945" t="str">
            <v>LUC-P11-K33900-02</v>
          </cell>
          <cell r="F1945">
            <v>4812787666</v>
          </cell>
        </row>
        <row r="1946">
          <cell r="E1946" t="str">
            <v>LUC-P11-K33P00-00</v>
          </cell>
          <cell r="F1946">
            <v>4812787666</v>
          </cell>
        </row>
        <row r="1947">
          <cell r="E1947" t="str">
            <v>LUC-P11-K33C00-02</v>
          </cell>
          <cell r="F1947">
            <v>4812787666</v>
          </cell>
        </row>
        <row r="1948">
          <cell r="E1948" t="str">
            <v>PUR-11-0104-06</v>
          </cell>
          <cell r="F1948">
            <v>4812787742</v>
          </cell>
        </row>
        <row r="1949">
          <cell r="E1949" t="str">
            <v>PUR-11-0104-06</v>
          </cell>
          <cell r="F1949">
            <v>4812787742</v>
          </cell>
        </row>
        <row r="1950">
          <cell r="E1950" t="str">
            <v>PUR-11-0104-06</v>
          </cell>
          <cell r="F1950">
            <v>4812787742</v>
          </cell>
        </row>
        <row r="1951">
          <cell r="E1951" t="str">
            <v>PUR-11-0104-06</v>
          </cell>
          <cell r="F1951">
            <v>4812787742</v>
          </cell>
        </row>
        <row r="1952">
          <cell r="E1952" t="str">
            <v>PUR-11-0104-06</v>
          </cell>
          <cell r="F1952">
            <v>4812787742</v>
          </cell>
        </row>
        <row r="1953">
          <cell r="E1953" t="str">
            <v>LUC-E00-420037-02</v>
          </cell>
          <cell r="F1953">
            <v>5826203423</v>
          </cell>
        </row>
        <row r="1954">
          <cell r="E1954" t="str">
            <v>EF-45054135.X.X</v>
          </cell>
          <cell r="F1954">
            <v>5826203423</v>
          </cell>
        </row>
        <row r="1955">
          <cell r="E1955" t="str">
            <v>LUC-EZZ-490230-04</v>
          </cell>
          <cell r="F1955">
            <v>1514950</v>
          </cell>
        </row>
        <row r="1956">
          <cell r="E1956" t="str">
            <v>LUC-EZZ-490317-02</v>
          </cell>
          <cell r="F1956">
            <v>1514950</v>
          </cell>
        </row>
        <row r="1957">
          <cell r="E1957" t="str">
            <v>LUC-EZZ-490231-04</v>
          </cell>
          <cell r="F1957">
            <v>1514950</v>
          </cell>
        </row>
        <row r="1958">
          <cell r="E1958" t="str">
            <v>PUR-16-0037-00</v>
          </cell>
          <cell r="F1958" t="str">
            <v>LSZHPH2501380</v>
          </cell>
        </row>
        <row r="1959">
          <cell r="E1959" t="str">
            <v>PUR-16-0044-01</v>
          </cell>
          <cell r="F1959" t="str">
            <v>LSZHPH2501380</v>
          </cell>
        </row>
        <row r="1960">
          <cell r="E1960" t="str">
            <v>PUR-16-0044-01</v>
          </cell>
          <cell r="F1960" t="str">
            <v>LSZHPH2501380</v>
          </cell>
        </row>
        <row r="1961">
          <cell r="E1961" t="str">
            <v>PUR-16-0035-00</v>
          </cell>
          <cell r="F1961" t="str">
            <v>LSZHPH2501380</v>
          </cell>
        </row>
        <row r="1962">
          <cell r="E1962" t="str">
            <v>LUC-E00-440028-00</v>
          </cell>
          <cell r="F1962">
            <v>772168763321</v>
          </cell>
        </row>
        <row r="1963">
          <cell r="E1963" t="str">
            <v>EF-45236388</v>
          </cell>
          <cell r="F1963">
            <v>429523093929</v>
          </cell>
        </row>
        <row r="1964">
          <cell r="E1964" t="str">
            <v>LUC-E00-470073-00</v>
          </cell>
          <cell r="F1964">
            <v>7425748875</v>
          </cell>
        </row>
        <row r="1965">
          <cell r="E1965" t="str">
            <v>LUC-EZZ-420151-00</v>
          </cell>
          <cell r="F1965">
            <v>7425748875</v>
          </cell>
        </row>
        <row r="1966">
          <cell r="E1966" t="str">
            <v>EF-45055219.X.X</v>
          </cell>
          <cell r="F1966">
            <v>7425748875</v>
          </cell>
        </row>
        <row r="1967">
          <cell r="E1967" t="str">
            <v>EF-45122321</v>
          </cell>
          <cell r="F1967">
            <v>7425748875</v>
          </cell>
        </row>
        <row r="1968">
          <cell r="E1968" t="str">
            <v>AGI-510-50006-01</v>
          </cell>
          <cell r="F1968">
            <v>7425748875</v>
          </cell>
        </row>
        <row r="1969">
          <cell r="E1969" t="str">
            <v>122-000362.X.X</v>
          </cell>
          <cell r="F1969">
            <v>7425748875</v>
          </cell>
        </row>
        <row r="1970">
          <cell r="E1970" t="str">
            <v>PURET-12-0084-00</v>
          </cell>
          <cell r="F1970">
            <v>7425748875</v>
          </cell>
        </row>
        <row r="1971">
          <cell r="E1971" t="str">
            <v>EF-45122009</v>
          </cell>
          <cell r="F1971">
            <v>7425748875</v>
          </cell>
        </row>
        <row r="1972">
          <cell r="E1972" t="str">
            <v>PURET-14-0022-00</v>
          </cell>
          <cell r="F1972">
            <v>7425748875</v>
          </cell>
        </row>
        <row r="1973">
          <cell r="E1973" t="str">
            <v>PUR-09-0444-00</v>
          </cell>
          <cell r="F1973">
            <v>7425748875</v>
          </cell>
        </row>
        <row r="1974">
          <cell r="E1974" t="str">
            <v>AGI-450-50014-01</v>
          </cell>
          <cell r="F1974">
            <v>436830364885</v>
          </cell>
        </row>
        <row r="1975">
          <cell r="E1975" t="str">
            <v>PUR-13-0153-00</v>
          </cell>
          <cell r="F1975">
            <v>772168183772</v>
          </cell>
        </row>
        <row r="1976">
          <cell r="E1976" t="str">
            <v>PURET-13-0028-00</v>
          </cell>
          <cell r="F1976">
            <v>772168183772</v>
          </cell>
        </row>
        <row r="1977">
          <cell r="E1977" t="str">
            <v>LUC-E00-400034-019</v>
          </cell>
          <cell r="F1977">
            <v>429083210150</v>
          </cell>
        </row>
        <row r="1978">
          <cell r="E1978" t="str">
            <v>PUR-25-0009-00</v>
          </cell>
          <cell r="F1978">
            <v>429083210150</v>
          </cell>
        </row>
        <row r="1979">
          <cell r="E1979" t="str">
            <v>LUC-E00-400067-263</v>
          </cell>
          <cell r="F1979">
            <v>429083210150</v>
          </cell>
        </row>
        <row r="1980">
          <cell r="E1980" t="str">
            <v>LUC-E00-400067-263</v>
          </cell>
          <cell r="F1980">
            <v>429083210150</v>
          </cell>
        </row>
        <row r="1981">
          <cell r="E1981" t="str">
            <v>PUR-09-0408-00</v>
          </cell>
          <cell r="F1981">
            <v>429083210150</v>
          </cell>
        </row>
        <row r="1982">
          <cell r="E1982" t="str">
            <v>PUR-09-0408-00</v>
          </cell>
          <cell r="F1982">
            <v>429083210150</v>
          </cell>
        </row>
        <row r="1983">
          <cell r="E1983" t="str">
            <v>LUC-E00-400067-295</v>
          </cell>
          <cell r="F1983">
            <v>429083210150</v>
          </cell>
        </row>
        <row r="1984">
          <cell r="E1984" t="str">
            <v>LUC-E00-400067-134</v>
          </cell>
          <cell r="F1984">
            <v>429083210150</v>
          </cell>
        </row>
        <row r="1985">
          <cell r="E1985" t="str">
            <v>LUC-E00-400067-313</v>
          </cell>
          <cell r="F1985">
            <v>429083210150</v>
          </cell>
        </row>
        <row r="1986">
          <cell r="E1986" t="str">
            <v>PUR-05-0027-00</v>
          </cell>
          <cell r="F1986">
            <v>429083210150</v>
          </cell>
        </row>
        <row r="1987">
          <cell r="E1987" t="str">
            <v>EF-45174165</v>
          </cell>
          <cell r="F1987">
            <v>429083210150</v>
          </cell>
        </row>
        <row r="1988">
          <cell r="E1988" t="str">
            <v>LUC-E00-400067-100</v>
          </cell>
          <cell r="F1988">
            <v>429083210150</v>
          </cell>
        </row>
        <row r="1989">
          <cell r="E1989" t="str">
            <v>PUR-13-0165-00</v>
          </cell>
          <cell r="F1989">
            <v>429083210150</v>
          </cell>
        </row>
        <row r="1990">
          <cell r="E1990" t="str">
            <v>EF-45061084</v>
          </cell>
          <cell r="F1990">
            <v>429083210150</v>
          </cell>
        </row>
        <row r="1991">
          <cell r="E1991" t="str">
            <v>EF-45093036</v>
          </cell>
          <cell r="F1991">
            <v>429083210150</v>
          </cell>
        </row>
        <row r="1992">
          <cell r="E1992" t="str">
            <v>LUC-E00-400011-000</v>
          </cell>
          <cell r="F1992">
            <v>429083210150</v>
          </cell>
        </row>
        <row r="1993">
          <cell r="E1993" t="str">
            <v>LUC-EZZ-400223-00</v>
          </cell>
          <cell r="F1993">
            <v>444337066878</v>
          </cell>
        </row>
        <row r="1994">
          <cell r="E1994" t="str">
            <v>PUR-09-0261-00</v>
          </cell>
          <cell r="F1994">
            <v>444337066878</v>
          </cell>
        </row>
        <row r="1995">
          <cell r="E1995" t="str">
            <v>PUR-09-0322-00</v>
          </cell>
          <cell r="F1995">
            <v>444337066878</v>
          </cell>
        </row>
        <row r="1996">
          <cell r="E1996" t="str">
            <v>AGI-302-50001-01</v>
          </cell>
          <cell r="F1996">
            <v>444337066878</v>
          </cell>
        </row>
        <row r="1997">
          <cell r="E1997" t="str">
            <v>LUC-EZZ-470181-00</v>
          </cell>
          <cell r="F1997">
            <v>444337066878</v>
          </cell>
        </row>
        <row r="1998">
          <cell r="E1998" t="str">
            <v>PUR-09-0262-00</v>
          </cell>
          <cell r="F1998">
            <v>444337066878</v>
          </cell>
        </row>
        <row r="1999">
          <cell r="E1999" t="str">
            <v>LUC-EZZ-400206-00</v>
          </cell>
          <cell r="F1999">
            <v>444337066878</v>
          </cell>
        </row>
        <row r="2000">
          <cell r="E2000" t="str">
            <v>EF-45241780</v>
          </cell>
          <cell r="F2000">
            <v>444337066878</v>
          </cell>
        </row>
        <row r="2001">
          <cell r="E2001" t="str">
            <v>PUR-09-0260-00</v>
          </cell>
          <cell r="F2001">
            <v>444337066878</v>
          </cell>
        </row>
        <row r="2002">
          <cell r="E2002" t="str">
            <v>EF-45241780</v>
          </cell>
          <cell r="F2002">
            <v>444337066878</v>
          </cell>
        </row>
        <row r="2003">
          <cell r="E2003" t="str">
            <v>LUC-E00-470083-00</v>
          </cell>
          <cell r="F2003">
            <v>444337066878</v>
          </cell>
        </row>
        <row r="2004">
          <cell r="E2004" t="str">
            <v>PUR-09-0422-00</v>
          </cell>
          <cell r="F2004">
            <v>444337066878</v>
          </cell>
        </row>
        <row r="2005">
          <cell r="E2005" t="str">
            <v>LUC-E00-470083-00</v>
          </cell>
          <cell r="F2005">
            <v>444337066878</v>
          </cell>
        </row>
        <row r="2006">
          <cell r="E2006" t="str">
            <v>PUR-09-0279-00</v>
          </cell>
          <cell r="F2006">
            <v>444337066878</v>
          </cell>
        </row>
        <row r="2007">
          <cell r="E2007" t="str">
            <v>LUC-E00-450176-00</v>
          </cell>
          <cell r="F2007">
            <v>444337066878</v>
          </cell>
        </row>
        <row r="2008">
          <cell r="E2008" t="str">
            <v>PUR-09-0220-00</v>
          </cell>
          <cell r="F2008">
            <v>444337066878</v>
          </cell>
        </row>
        <row r="2009">
          <cell r="E2009" t="str">
            <v>LUC-E00-420045-01</v>
          </cell>
          <cell r="F2009">
            <v>772166008635</v>
          </cell>
        </row>
        <row r="2010">
          <cell r="E2010" t="str">
            <v>PUR-13-0153-00</v>
          </cell>
          <cell r="F2010">
            <v>772166008635</v>
          </cell>
        </row>
        <row r="2011">
          <cell r="E2011" t="str">
            <v>PUR-13-0152-00</v>
          </cell>
          <cell r="F2011">
            <v>772166008635</v>
          </cell>
        </row>
        <row r="2012">
          <cell r="E2012" t="str">
            <v>PURET-12-0035-00</v>
          </cell>
          <cell r="F2012">
            <v>772166008635</v>
          </cell>
        </row>
        <row r="2013">
          <cell r="E2013" t="str">
            <v>AGI-501-50001-01</v>
          </cell>
          <cell r="F2013">
            <v>772138775561</v>
          </cell>
        </row>
        <row r="2014">
          <cell r="E2014" t="str">
            <v>EF-45092354.X.X</v>
          </cell>
          <cell r="F2014">
            <v>772138775561</v>
          </cell>
        </row>
        <row r="2015">
          <cell r="E2015" t="str">
            <v>AGI-450-40089-01</v>
          </cell>
          <cell r="F2015">
            <v>772138775561</v>
          </cell>
        </row>
        <row r="2016">
          <cell r="E2016" t="str">
            <v>AGI-450-50022-01</v>
          </cell>
          <cell r="F2016">
            <v>772138775561</v>
          </cell>
        </row>
        <row r="2017">
          <cell r="E2017" t="str">
            <v>AGI-532-50002-01</v>
          </cell>
          <cell r="F2017">
            <v>772138775561</v>
          </cell>
        </row>
        <row r="2018">
          <cell r="E2018" t="str">
            <v>130-001583</v>
          </cell>
          <cell r="F2018">
            <v>5793381974</v>
          </cell>
        </row>
        <row r="2019">
          <cell r="E2019" t="str">
            <v>141-002762</v>
          </cell>
          <cell r="F2019">
            <v>5793381974</v>
          </cell>
        </row>
        <row r="2020">
          <cell r="E2020" t="str">
            <v>126-001831</v>
          </cell>
          <cell r="F2020">
            <v>5793381974</v>
          </cell>
        </row>
        <row r="2021">
          <cell r="E2021" t="str">
            <v>PUR-33-0027-00</v>
          </cell>
          <cell r="F2021">
            <v>5793649245</v>
          </cell>
        </row>
        <row r="2022">
          <cell r="E2022" t="str">
            <v>PUR-09-0343-00</v>
          </cell>
          <cell r="F2022">
            <v>425055633065</v>
          </cell>
        </row>
        <row r="2023">
          <cell r="E2023" t="str">
            <v>PUR-09-0343-00</v>
          </cell>
          <cell r="F2023">
            <v>425055633065</v>
          </cell>
        </row>
        <row r="2024">
          <cell r="E2024" t="str">
            <v>PUR-09-0343-00</v>
          </cell>
          <cell r="F2024">
            <v>425055633065</v>
          </cell>
        </row>
        <row r="2025">
          <cell r="E2025" t="str">
            <v>PUR-09-0343-00</v>
          </cell>
          <cell r="F2025">
            <v>425055633065</v>
          </cell>
        </row>
        <row r="2026">
          <cell r="E2026" t="str">
            <v>PUR-09-0343-00</v>
          </cell>
          <cell r="F2026">
            <v>425055633065</v>
          </cell>
        </row>
        <row r="2027">
          <cell r="E2027" t="str">
            <v>PUR-09-0343-00</v>
          </cell>
          <cell r="F2027">
            <v>425055633065</v>
          </cell>
        </row>
        <row r="2028">
          <cell r="E2028" t="str">
            <v>PUR-09-0343-00</v>
          </cell>
          <cell r="F2028">
            <v>425055633065</v>
          </cell>
        </row>
        <row r="2029">
          <cell r="E2029" t="str">
            <v>PUR-12-0346-00</v>
          </cell>
          <cell r="F2029">
            <v>772194153939</v>
          </cell>
        </row>
        <row r="2030">
          <cell r="E2030" t="str">
            <v>LUC-EZZ-400196-00</v>
          </cell>
          <cell r="F2030">
            <v>772194153939</v>
          </cell>
        </row>
        <row r="2031">
          <cell r="E2031" t="str">
            <v>PUR-12-0337-00</v>
          </cell>
          <cell r="F2031">
            <v>772194153939</v>
          </cell>
        </row>
        <row r="2032">
          <cell r="E2032" t="str">
            <v>EF-45043819.X.X</v>
          </cell>
          <cell r="F2032">
            <v>772194153939</v>
          </cell>
        </row>
        <row r="2033">
          <cell r="E2033" t="str">
            <v>PUR-12-0337-00</v>
          </cell>
          <cell r="F2033">
            <v>772194153939</v>
          </cell>
        </row>
        <row r="2034">
          <cell r="E2034" t="str">
            <v>PUR-12-0343-00</v>
          </cell>
          <cell r="F2034">
            <v>772194153939</v>
          </cell>
        </row>
        <row r="2035">
          <cell r="E2035" t="str">
            <v>EF-45047446</v>
          </cell>
          <cell r="F2035">
            <v>772194153939</v>
          </cell>
        </row>
        <row r="2036">
          <cell r="E2036" t="str">
            <v>PUR-12-0314-00</v>
          </cell>
          <cell r="F2036">
            <v>772194153939</v>
          </cell>
        </row>
        <row r="2037">
          <cell r="E2037" t="str">
            <v>LUC-E00-470110-00</v>
          </cell>
          <cell r="F2037">
            <v>426080009808</v>
          </cell>
        </row>
        <row r="2038">
          <cell r="E2038" t="str">
            <v>PUR-13-0196-00</v>
          </cell>
          <cell r="F2038">
            <v>434611753841</v>
          </cell>
        </row>
        <row r="2039">
          <cell r="E2039" t="str">
            <v>PUR-13-0196-00</v>
          </cell>
          <cell r="F2039">
            <v>434611753841</v>
          </cell>
        </row>
        <row r="2040">
          <cell r="E2040" t="str">
            <v>PUR-13-0196-00</v>
          </cell>
          <cell r="F2040">
            <v>434611753841</v>
          </cell>
        </row>
        <row r="2041">
          <cell r="E2041" t="str">
            <v>PUR-13-0196-00</v>
          </cell>
          <cell r="F2041">
            <v>434611753841</v>
          </cell>
        </row>
        <row r="2042">
          <cell r="E2042" t="str">
            <v>PUR-13-0196-00</v>
          </cell>
          <cell r="F2042">
            <v>434611753841</v>
          </cell>
        </row>
        <row r="2043">
          <cell r="E2043" t="str">
            <v>PURET-13-0007-00</v>
          </cell>
          <cell r="F2043">
            <v>434611753841</v>
          </cell>
        </row>
        <row r="2044">
          <cell r="E2044" t="str">
            <v>PUR-13-0161-00</v>
          </cell>
          <cell r="F2044">
            <v>434611753841</v>
          </cell>
        </row>
        <row r="2045">
          <cell r="E2045" t="str">
            <v>PURET-13-0007-00</v>
          </cell>
          <cell r="F2045">
            <v>434611753841</v>
          </cell>
        </row>
        <row r="2046">
          <cell r="E2046" t="str">
            <v>PURET-13-0007-00</v>
          </cell>
          <cell r="F2046">
            <v>434611753841</v>
          </cell>
        </row>
        <row r="2047">
          <cell r="E2047" t="str">
            <v>PUR-13-0147-00</v>
          </cell>
          <cell r="F2047">
            <v>434611753841</v>
          </cell>
        </row>
        <row r="2048">
          <cell r="E2048" t="str">
            <v>PUR-13-0161-00</v>
          </cell>
          <cell r="F2048">
            <v>434611753841</v>
          </cell>
        </row>
        <row r="2049">
          <cell r="E2049" t="str">
            <v>PUR-13-0229-00</v>
          </cell>
          <cell r="F2049">
            <v>434611753841</v>
          </cell>
        </row>
        <row r="2050">
          <cell r="E2050" t="str">
            <v>PUR-13-0134-00</v>
          </cell>
          <cell r="F2050">
            <v>434611753841</v>
          </cell>
        </row>
        <row r="2051">
          <cell r="E2051" t="str">
            <v>LUC-E00-420002-00</v>
          </cell>
          <cell r="F2051">
            <v>434611753841</v>
          </cell>
        </row>
        <row r="2052">
          <cell r="E2052" t="str">
            <v>LUC-EZZ-420097-00</v>
          </cell>
          <cell r="F2052">
            <v>434611753841</v>
          </cell>
        </row>
        <row r="2053">
          <cell r="E2053" t="str">
            <v>PUR-03-0082-02</v>
          </cell>
          <cell r="F2053">
            <v>444380900055</v>
          </cell>
        </row>
        <row r="2054">
          <cell r="E2054" t="str">
            <v>PUR-03-0092-03-H</v>
          </cell>
          <cell r="F2054" t="str">
            <v>8TV1899</v>
          </cell>
        </row>
        <row r="2055">
          <cell r="E2055" t="str">
            <v>PUR-03-0092-03-H</v>
          </cell>
          <cell r="F2055" t="str">
            <v>8TV1900</v>
          </cell>
        </row>
        <row r="2056">
          <cell r="E2056" t="str">
            <v>PUR-11-0091-06</v>
          </cell>
          <cell r="F2056" t="str">
            <v>ST25020549</v>
          </cell>
        </row>
        <row r="2057">
          <cell r="E2057" t="str">
            <v>PUR-11-0091-06</v>
          </cell>
          <cell r="F2057" t="str">
            <v>ST25020549</v>
          </cell>
        </row>
        <row r="2058">
          <cell r="E2058" t="str">
            <v>PUR-11-0105-04</v>
          </cell>
          <cell r="F2058" t="str">
            <v>ST25020549</v>
          </cell>
        </row>
        <row r="2059">
          <cell r="E2059" t="str">
            <v>PUR-11-0105-04</v>
          </cell>
          <cell r="F2059" t="str">
            <v>ST25020549</v>
          </cell>
        </row>
        <row r="2060">
          <cell r="E2060" t="str">
            <v>PUR-11-0105-04</v>
          </cell>
          <cell r="F2060" t="str">
            <v>ST25020549</v>
          </cell>
        </row>
        <row r="2061">
          <cell r="E2061" t="str">
            <v>PUR-33-0027-00</v>
          </cell>
          <cell r="F2061">
            <v>772262578481</v>
          </cell>
        </row>
        <row r="2062">
          <cell r="E2062" t="str">
            <v>PUR-18-0446-00</v>
          </cell>
          <cell r="F2062">
            <v>772262578481</v>
          </cell>
        </row>
        <row r="2063">
          <cell r="E2063" t="str">
            <v>PUR-18-0548-00</v>
          </cell>
          <cell r="F2063">
            <v>772262578481</v>
          </cell>
        </row>
        <row r="2064">
          <cell r="E2064" t="str">
            <v>PUR-18-0561-00</v>
          </cell>
          <cell r="F2064">
            <v>772262578481</v>
          </cell>
        </row>
        <row r="2065">
          <cell r="E2065" t="str">
            <v>PUR-31-0103-00</v>
          </cell>
          <cell r="F2065" t="str">
            <v>XLTEHU250256</v>
          </cell>
        </row>
        <row r="2066">
          <cell r="E2066" t="str">
            <v>PUR-11-0104-06</v>
          </cell>
          <cell r="F2066">
            <v>4812789014</v>
          </cell>
        </row>
        <row r="2067">
          <cell r="E2067" t="str">
            <v>PUR-11-0104-06</v>
          </cell>
          <cell r="F2067">
            <v>4812789014</v>
          </cell>
        </row>
        <row r="2068">
          <cell r="E2068" t="str">
            <v>PUR-11-0104-06</v>
          </cell>
          <cell r="F2068">
            <v>4812789014</v>
          </cell>
        </row>
        <row r="2069">
          <cell r="E2069" t="str">
            <v>PUR-11-0104-06</v>
          </cell>
          <cell r="F2069">
            <v>4812789014</v>
          </cell>
        </row>
        <row r="2070">
          <cell r="E2070" t="str">
            <v>PUR-11-0104-06</v>
          </cell>
          <cell r="F2070">
            <v>4812789014</v>
          </cell>
        </row>
        <row r="2071">
          <cell r="E2071" t="str">
            <v>LUC-EZZ-490304-04</v>
          </cell>
          <cell r="F2071">
            <v>1514993</v>
          </cell>
        </row>
        <row r="2072">
          <cell r="E2072" t="str">
            <v>LUC-EZZ-490231-04</v>
          </cell>
          <cell r="F2072">
            <v>1514993</v>
          </cell>
        </row>
        <row r="2073">
          <cell r="E2073" t="str">
            <v>LUC-EZZ-490305-05</v>
          </cell>
          <cell r="F2073">
            <v>1514993</v>
          </cell>
        </row>
        <row r="2074">
          <cell r="E2074" t="str">
            <v>LUC-EZZ-490315-01</v>
          </cell>
          <cell r="F2074">
            <v>1514993</v>
          </cell>
        </row>
        <row r="2075">
          <cell r="E2075" t="str">
            <v>PUR-09-0267-00</v>
          </cell>
          <cell r="F2075">
            <v>415242187651</v>
          </cell>
        </row>
        <row r="2076">
          <cell r="E2076" t="str">
            <v>EF-45224584</v>
          </cell>
          <cell r="F2076">
            <v>714497059950</v>
          </cell>
        </row>
        <row r="2077">
          <cell r="E2077" t="str">
            <v>EF-45156843</v>
          </cell>
          <cell r="F2077">
            <v>714497059950</v>
          </cell>
        </row>
        <row r="2078">
          <cell r="E2078" t="str">
            <v>EF-45166123-9</v>
          </cell>
          <cell r="F2078">
            <v>714497059950</v>
          </cell>
        </row>
        <row r="2079">
          <cell r="E2079" t="str">
            <v>PUR-09-0233-00</v>
          </cell>
          <cell r="F2079">
            <v>425055633981</v>
          </cell>
        </row>
        <row r="2080">
          <cell r="E2080" t="str">
            <v>EF-45079903.X.X</v>
          </cell>
          <cell r="F2080">
            <v>420225794336</v>
          </cell>
        </row>
        <row r="2081">
          <cell r="E2081" t="str">
            <v>EF-45224843</v>
          </cell>
          <cell r="F2081">
            <v>420225794483</v>
          </cell>
        </row>
        <row r="2082">
          <cell r="E2082" t="str">
            <v>AGI-410-50002-01</v>
          </cell>
          <cell r="F2082">
            <v>119209580428</v>
          </cell>
        </row>
        <row r="2083">
          <cell r="E2083" t="str">
            <v>PUR-09-0233-00</v>
          </cell>
          <cell r="F2083">
            <v>441407878771</v>
          </cell>
        </row>
        <row r="2084">
          <cell r="E2084" t="str">
            <v>PUR-09-0233-00</v>
          </cell>
          <cell r="F2084">
            <v>441407878771</v>
          </cell>
        </row>
        <row r="2085">
          <cell r="E2085" t="str">
            <v>EF-45051532.X.X</v>
          </cell>
          <cell r="F2085">
            <v>441557210695</v>
          </cell>
        </row>
        <row r="2086">
          <cell r="E2086" t="str">
            <v>EF-45149057</v>
          </cell>
          <cell r="F2086">
            <v>441557210695</v>
          </cell>
        </row>
        <row r="2087">
          <cell r="E2087" t="str">
            <v>LUC-E00-450149-01</v>
          </cell>
          <cell r="F2087">
            <v>441557210695</v>
          </cell>
        </row>
        <row r="2088">
          <cell r="E2088" t="str">
            <v>LUC-EZZ-400210-00</v>
          </cell>
          <cell r="F2088">
            <v>441557210695</v>
          </cell>
        </row>
        <row r="2089">
          <cell r="E2089" t="str">
            <v>122-001070</v>
          </cell>
          <cell r="F2089">
            <v>643036752625</v>
          </cell>
        </row>
        <row r="2090">
          <cell r="E2090" t="str">
            <v>EF-45206046</v>
          </cell>
          <cell r="F2090">
            <v>446162837790</v>
          </cell>
        </row>
        <row r="2091">
          <cell r="E2091" t="str">
            <v>EF-45118972</v>
          </cell>
          <cell r="F2091">
            <v>446162837790</v>
          </cell>
        </row>
        <row r="2092">
          <cell r="E2092" t="str">
            <v>LUC-E00-440140-01</v>
          </cell>
          <cell r="F2092">
            <v>285684394771</v>
          </cell>
        </row>
        <row r="2093">
          <cell r="E2093" t="str">
            <v>LUC-EZZ-440129-00</v>
          </cell>
          <cell r="F2093">
            <v>285684394771</v>
          </cell>
        </row>
        <row r="2094">
          <cell r="E2094" t="str">
            <v>PUR-03-0074-02</v>
          </cell>
          <cell r="F2094" t="str">
            <v>8TV1901</v>
          </cell>
        </row>
        <row r="2095">
          <cell r="E2095" t="str">
            <v>PUR-03-0074-02</v>
          </cell>
          <cell r="F2095" t="str">
            <v>8TV1902</v>
          </cell>
        </row>
        <row r="2096">
          <cell r="E2096" t="str">
            <v>PUR-03-0074-02</v>
          </cell>
          <cell r="F2096" t="str">
            <v>8TV1903</v>
          </cell>
        </row>
        <row r="2097">
          <cell r="E2097" t="str">
            <v>PUR-31-0061-02</v>
          </cell>
          <cell r="F2097" t="str">
            <v>PSHPH2520100</v>
          </cell>
        </row>
        <row r="2098">
          <cell r="E2098" t="str">
            <v>PUR-31-0061-02</v>
          </cell>
          <cell r="F2098" t="str">
            <v>PSHPH2520100</v>
          </cell>
        </row>
        <row r="2099">
          <cell r="E2099" t="str">
            <v>PUR-17-0283-02</v>
          </cell>
          <cell r="F2099" t="str">
            <v>PSHPH2520100</v>
          </cell>
        </row>
        <row r="2100">
          <cell r="E2100" t="str">
            <v>LUC-EZZ-400010-00</v>
          </cell>
          <cell r="F2100">
            <v>4812789335</v>
          </cell>
        </row>
        <row r="2101">
          <cell r="E2101" t="str">
            <v>LUC-EZZ-520030-00</v>
          </cell>
          <cell r="F2101">
            <v>4812789335</v>
          </cell>
        </row>
        <row r="2102">
          <cell r="E2102" t="str">
            <v>LUC-EZZ-420219-00</v>
          </cell>
          <cell r="F2102">
            <v>4812789335</v>
          </cell>
        </row>
        <row r="2103">
          <cell r="E2103" t="str">
            <v>LUC-EZZ-420058-00</v>
          </cell>
          <cell r="F2103">
            <v>4812789335</v>
          </cell>
        </row>
        <row r="2104">
          <cell r="E2104" t="str">
            <v>LUC-EZZ-420392-00</v>
          </cell>
          <cell r="F2104">
            <v>4812789335</v>
          </cell>
        </row>
        <row r="2105">
          <cell r="E2105" t="str">
            <v>LUC-EZZ-450213-00</v>
          </cell>
          <cell r="F2105">
            <v>4812789335</v>
          </cell>
        </row>
        <row r="2106">
          <cell r="E2106" t="str">
            <v>LUC-EZZ-450620-00</v>
          </cell>
          <cell r="F2106">
            <v>4812789335</v>
          </cell>
        </row>
        <row r="2107">
          <cell r="E2107" t="str">
            <v>LUC-EZZ-470152-01</v>
          </cell>
          <cell r="F2107">
            <v>4812789335</v>
          </cell>
        </row>
        <row r="2108">
          <cell r="E2108" t="str">
            <v>LUC-EZZ-420123-00</v>
          </cell>
          <cell r="F2108">
            <v>4812789335</v>
          </cell>
        </row>
        <row r="2109">
          <cell r="E2109" t="str">
            <v>LUC-EZZ-421047-00</v>
          </cell>
          <cell r="F2109">
            <v>4812789335</v>
          </cell>
        </row>
        <row r="2110">
          <cell r="E2110" t="str">
            <v>LUC-EZZ-420325-00</v>
          </cell>
          <cell r="F2110">
            <v>4812789335</v>
          </cell>
        </row>
        <row r="2111">
          <cell r="E2111" t="str">
            <v>LUC-EZZ-420192-00</v>
          </cell>
          <cell r="F2111">
            <v>4812789335</v>
          </cell>
        </row>
        <row r="2112">
          <cell r="E2112" t="str">
            <v>LUC-EZZ-420023-00</v>
          </cell>
          <cell r="F2112">
            <v>4812789335</v>
          </cell>
        </row>
        <row r="2113">
          <cell r="E2113" t="str">
            <v>LUC-EZZ-510081-00</v>
          </cell>
          <cell r="F2113">
            <v>4812789335</v>
          </cell>
        </row>
        <row r="2114">
          <cell r="E2114" t="str">
            <v>LUC-EZZ-420143-00</v>
          </cell>
          <cell r="F2114">
            <v>4812789335</v>
          </cell>
        </row>
        <row r="2115">
          <cell r="E2115" t="str">
            <v>LUC-EZZ-470152-00</v>
          </cell>
          <cell r="F2115">
            <v>4812789335</v>
          </cell>
        </row>
        <row r="2116">
          <cell r="E2116" t="str">
            <v>LUC-EZZ-450214-00</v>
          </cell>
          <cell r="F2116">
            <v>4812789335</v>
          </cell>
        </row>
        <row r="2117">
          <cell r="E2117" t="str">
            <v>LUC-EZZ-450176-00</v>
          </cell>
          <cell r="F2117">
            <v>4812789335</v>
          </cell>
        </row>
        <row r="2118">
          <cell r="E2118" t="str">
            <v>LUC-EZZ-441672-00</v>
          </cell>
          <cell r="F2118">
            <v>4812789335</v>
          </cell>
        </row>
        <row r="2119">
          <cell r="E2119" t="str">
            <v>LUC-EZZ-420391-00</v>
          </cell>
          <cell r="F2119">
            <v>4812789335</v>
          </cell>
        </row>
        <row r="2120">
          <cell r="E2120" t="str">
            <v>LUC-EZZ-470153-00</v>
          </cell>
          <cell r="F2120">
            <v>4812789335</v>
          </cell>
        </row>
        <row r="2121">
          <cell r="E2121" t="str">
            <v>LUC-EZZ-470272-00</v>
          </cell>
          <cell r="F2121">
            <v>4812789335</v>
          </cell>
        </row>
        <row r="2122">
          <cell r="E2122" t="str">
            <v>LUC-EZZ-470272-00</v>
          </cell>
          <cell r="F2122">
            <v>4812789335</v>
          </cell>
        </row>
        <row r="2123">
          <cell r="E2123" t="str">
            <v>LUC-EZZ-470136-00</v>
          </cell>
          <cell r="F2123">
            <v>4812789335</v>
          </cell>
        </row>
        <row r="2124">
          <cell r="E2124" t="str">
            <v>LUC-EZZ-450476-00</v>
          </cell>
          <cell r="F2124">
            <v>4812789335</v>
          </cell>
        </row>
        <row r="2125">
          <cell r="E2125" t="str">
            <v>LUC-EZZ-490050-03</v>
          </cell>
          <cell r="F2125">
            <v>4812789335</v>
          </cell>
        </row>
        <row r="2126">
          <cell r="E2126" t="str">
            <v>LUC-EZZ-490225-05</v>
          </cell>
          <cell r="F2126">
            <v>4812789335</v>
          </cell>
        </row>
        <row r="2127">
          <cell r="E2127" t="str">
            <v>LUC-P11-KA6000-03</v>
          </cell>
          <cell r="F2127">
            <v>4812789335</v>
          </cell>
        </row>
        <row r="2128">
          <cell r="E2128" t="str">
            <v>LUC-P11-K82200-02</v>
          </cell>
          <cell r="F2128">
            <v>4812789335</v>
          </cell>
        </row>
        <row r="2129">
          <cell r="E2129" t="str">
            <v>LUC-P11-K82300-00</v>
          </cell>
          <cell r="F2129">
            <v>4812789335</v>
          </cell>
        </row>
        <row r="2130">
          <cell r="E2130" t="str">
            <v>LUC-P11-J80200-00</v>
          </cell>
          <cell r="F2130">
            <v>4812789335</v>
          </cell>
        </row>
        <row r="2131">
          <cell r="E2131" t="str">
            <v>LUC-P11-J81500-01</v>
          </cell>
          <cell r="F2131">
            <v>4812789335</v>
          </cell>
        </row>
        <row r="2132">
          <cell r="E2132" t="str">
            <v>LUC-P11-J81300-01</v>
          </cell>
          <cell r="F2132">
            <v>4812789335</v>
          </cell>
        </row>
        <row r="2133">
          <cell r="E2133" t="str">
            <v>LUC-P11-K33R00-01</v>
          </cell>
          <cell r="F2133">
            <v>4812789335</v>
          </cell>
        </row>
        <row r="2134">
          <cell r="E2134" t="str">
            <v>LUC-P11-K34A00-03</v>
          </cell>
          <cell r="F2134">
            <v>4812789335</v>
          </cell>
        </row>
        <row r="2135">
          <cell r="E2135" t="str">
            <v>LUC-P11-K35500-04</v>
          </cell>
          <cell r="F2135">
            <v>4812789335</v>
          </cell>
        </row>
        <row r="2136">
          <cell r="E2136" t="str">
            <v>LUC-P11-J5R000-04</v>
          </cell>
          <cell r="F2136">
            <v>4812789335</v>
          </cell>
        </row>
        <row r="2137">
          <cell r="E2137" t="str">
            <v>LUC-P11-K34000-03</v>
          </cell>
          <cell r="F2137">
            <v>4812789335</v>
          </cell>
        </row>
        <row r="2138">
          <cell r="E2138" t="str">
            <v>LUC-P11-K33800-04</v>
          </cell>
          <cell r="F2138">
            <v>4812789335</v>
          </cell>
        </row>
        <row r="2139">
          <cell r="E2139" t="str">
            <v>LUC-EZZ-470423-00</v>
          </cell>
          <cell r="F2139">
            <v>4812789335</v>
          </cell>
        </row>
        <row r="2140">
          <cell r="E2140" t="str">
            <v>LUC-EZZ-400253-00</v>
          </cell>
          <cell r="F2140">
            <v>619345506170</v>
          </cell>
        </row>
        <row r="2141">
          <cell r="E2141" t="str">
            <v>LUC-EZZ-400127-00</v>
          </cell>
          <cell r="F2141">
            <v>619345506170</v>
          </cell>
        </row>
        <row r="2142">
          <cell r="E2142" t="str">
            <v>LUC-EZZ-400336-00</v>
          </cell>
          <cell r="F2142">
            <v>619345506170</v>
          </cell>
        </row>
        <row r="2143">
          <cell r="E2143" t="str">
            <v>LUC-EZZ-400117-00</v>
          </cell>
          <cell r="F2143">
            <v>619345506170</v>
          </cell>
        </row>
        <row r="2144">
          <cell r="E2144" t="str">
            <v>LUC-EZZ-401680-00</v>
          </cell>
          <cell r="F2144">
            <v>619345506170</v>
          </cell>
        </row>
        <row r="2145">
          <cell r="E2145" t="str">
            <v>LUC-EZZ-400200-00</v>
          </cell>
          <cell r="F2145">
            <v>619345506170</v>
          </cell>
        </row>
        <row r="2146">
          <cell r="E2146" t="str">
            <v>LUC-EZZ-510007-00</v>
          </cell>
          <cell r="F2146">
            <v>619345506170</v>
          </cell>
        </row>
        <row r="2147">
          <cell r="E2147" t="str">
            <v>LUC-EZZ-510082-00</v>
          </cell>
          <cell r="F2147">
            <v>619345506170</v>
          </cell>
        </row>
        <row r="2148">
          <cell r="E2148" t="str">
            <v>LUC-EZZ-510082-00</v>
          </cell>
          <cell r="F2148">
            <v>619345506170</v>
          </cell>
        </row>
        <row r="2149">
          <cell r="E2149" t="str">
            <v>LUC-EZZ-400717-00</v>
          </cell>
          <cell r="F2149">
            <v>619345506170</v>
          </cell>
        </row>
        <row r="2150">
          <cell r="E2150" t="str">
            <v>LUC-EZZ-401725-00</v>
          </cell>
          <cell r="F2150">
            <v>619345506170</v>
          </cell>
        </row>
        <row r="2151">
          <cell r="E2151" t="str">
            <v>LUC-EZZ-401610-00</v>
          </cell>
          <cell r="F2151">
            <v>619345506170</v>
          </cell>
        </row>
        <row r="2152">
          <cell r="E2152" t="str">
            <v>LUC-EZZ-400359-00</v>
          </cell>
          <cell r="F2152">
            <v>619345506170</v>
          </cell>
        </row>
        <row r="2153">
          <cell r="E2153" t="str">
            <v>LUC-EZZ-400211-00</v>
          </cell>
          <cell r="F2153">
            <v>619345506170</v>
          </cell>
        </row>
        <row r="2154">
          <cell r="E2154" t="str">
            <v>LUC-EZZ-400261-00</v>
          </cell>
          <cell r="F2154">
            <v>619345506170</v>
          </cell>
        </row>
        <row r="2155">
          <cell r="E2155" t="str">
            <v>LUC-EZZ-400554-00</v>
          </cell>
          <cell r="F2155">
            <v>619345506170</v>
          </cell>
        </row>
        <row r="2156">
          <cell r="E2156" t="str">
            <v>LUC-EZZ-400278-00</v>
          </cell>
          <cell r="F2156">
            <v>619345506170</v>
          </cell>
        </row>
        <row r="2157">
          <cell r="E2157" t="str">
            <v>LUC-EZZ-401250-00</v>
          </cell>
          <cell r="F2157">
            <v>619345506170</v>
          </cell>
        </row>
        <row r="2158">
          <cell r="E2158" t="str">
            <v>LUC-EZZ-450093-00</v>
          </cell>
          <cell r="F2158">
            <v>619345506170</v>
          </cell>
        </row>
        <row r="2159">
          <cell r="E2159" t="str">
            <v>LUC-P11-K35000-02</v>
          </cell>
          <cell r="F2159">
            <v>619345506170</v>
          </cell>
        </row>
        <row r="2160">
          <cell r="E2160" t="str">
            <v>LUC-EZZ-480893-00</v>
          </cell>
          <cell r="F2160">
            <v>619345506170</v>
          </cell>
        </row>
        <row r="2161">
          <cell r="E2161" t="str">
            <v>LUC-EZZ-480006-00</v>
          </cell>
          <cell r="F2161">
            <v>619345506170</v>
          </cell>
        </row>
        <row r="2162">
          <cell r="E2162" t="str">
            <v>LUC-P11-K41800-00</v>
          </cell>
          <cell r="F2162">
            <v>619345506170</v>
          </cell>
        </row>
        <row r="2163">
          <cell r="E2163" t="str">
            <v>LUC-EZZ-401720-00</v>
          </cell>
          <cell r="F2163">
            <v>619345506170</v>
          </cell>
        </row>
        <row r="2164">
          <cell r="E2164" t="str">
            <v>LUC-EZZ-510106-00</v>
          </cell>
          <cell r="F2164">
            <v>619345506170</v>
          </cell>
        </row>
        <row r="2165">
          <cell r="E2165" t="str">
            <v>LUC-EZZ-420191-00</v>
          </cell>
          <cell r="F2165">
            <v>619345506170</v>
          </cell>
        </row>
        <row r="2166">
          <cell r="E2166" t="str">
            <v>LUC-EZZ-510052-00</v>
          </cell>
          <cell r="F2166">
            <v>619345506170</v>
          </cell>
        </row>
        <row r="2167">
          <cell r="E2167" t="str">
            <v>LUC-EZZ-470369-00</v>
          </cell>
          <cell r="F2167">
            <v>619345506170</v>
          </cell>
        </row>
        <row r="2168">
          <cell r="E2168" t="str">
            <v>LUC-EZZ-470359-00</v>
          </cell>
          <cell r="F2168">
            <v>619345506170</v>
          </cell>
        </row>
        <row r="2169">
          <cell r="E2169" t="str">
            <v>LUC-EZZ-470128-00</v>
          </cell>
          <cell r="F2169">
            <v>619345506170</v>
          </cell>
        </row>
        <row r="2170">
          <cell r="E2170" t="str">
            <v>LUC-P11-JA3300-00</v>
          </cell>
          <cell r="F2170">
            <v>619345506170</v>
          </cell>
        </row>
        <row r="2171">
          <cell r="E2171" t="str">
            <v>LUC-P11-JA3400-00</v>
          </cell>
          <cell r="F2171">
            <v>619345506170</v>
          </cell>
        </row>
        <row r="2172">
          <cell r="E2172" t="str">
            <v>LUC-EZZ-400054-00</v>
          </cell>
          <cell r="F2172">
            <v>619345506170</v>
          </cell>
        </row>
        <row r="2173">
          <cell r="E2173" t="str">
            <v>LUC-EZZ-450006-00</v>
          </cell>
          <cell r="F2173">
            <v>619345506170</v>
          </cell>
        </row>
        <row r="2174">
          <cell r="E2174" t="str">
            <v>LUC-EZZ-440189-00</v>
          </cell>
          <cell r="F2174">
            <v>619345506170</v>
          </cell>
        </row>
        <row r="2175">
          <cell r="E2175" t="str">
            <v>LUC-EZZ-490121-06</v>
          </cell>
          <cell r="F2175">
            <v>619345506170</v>
          </cell>
        </row>
        <row r="2176">
          <cell r="E2176" t="str">
            <v>LUC-EZZ-490216-01</v>
          </cell>
          <cell r="F2176">
            <v>619345506170</v>
          </cell>
        </row>
        <row r="2177">
          <cell r="E2177" t="str">
            <v>EF-45033295</v>
          </cell>
          <cell r="F2177">
            <v>772266784319</v>
          </cell>
        </row>
        <row r="2178">
          <cell r="E2178" t="str">
            <v>102-001558</v>
          </cell>
          <cell r="F2178">
            <v>444380923696</v>
          </cell>
        </row>
        <row r="2179">
          <cell r="E2179" t="str">
            <v>102-001558</v>
          </cell>
          <cell r="F2179">
            <v>444380923696</v>
          </cell>
        </row>
        <row r="2180">
          <cell r="E2180" t="str">
            <v>LUC-P11-K41300-00</v>
          </cell>
          <cell r="F2180">
            <v>445320524030</v>
          </cell>
        </row>
        <row r="2181">
          <cell r="E2181" t="str">
            <v>LUC-P11-K41E00-01</v>
          </cell>
          <cell r="F2181">
            <v>445320524030</v>
          </cell>
        </row>
        <row r="2182">
          <cell r="E2182" t="str">
            <v>LUC-E00-510030-00</v>
          </cell>
          <cell r="F2182">
            <v>445320524030</v>
          </cell>
        </row>
        <row r="2183">
          <cell r="E2183" t="str">
            <v>121-000208.X.X</v>
          </cell>
          <cell r="F2183">
            <v>445320524030</v>
          </cell>
        </row>
        <row r="2184">
          <cell r="E2184" t="str">
            <v>LUC-E00-420011-12</v>
          </cell>
          <cell r="F2184">
            <v>409298775401</v>
          </cell>
        </row>
        <row r="2185">
          <cell r="E2185" t="str">
            <v>LUC-E00-420070-00</v>
          </cell>
          <cell r="F2185">
            <v>409298775401</v>
          </cell>
        </row>
        <row r="2186">
          <cell r="E2186" t="str">
            <v>LUC-E00-420002-03</v>
          </cell>
          <cell r="F2186">
            <v>409298775401</v>
          </cell>
        </row>
        <row r="2187">
          <cell r="E2187" t="str">
            <v>LUC-E00-420049-01</v>
          </cell>
          <cell r="F2187">
            <v>409298775401</v>
          </cell>
        </row>
        <row r="2188">
          <cell r="E2188" t="str">
            <v>LUC-E00-420047-00</v>
          </cell>
          <cell r="F2188">
            <v>409298775401</v>
          </cell>
        </row>
        <row r="2189">
          <cell r="E2189" t="str">
            <v>LUC-EZZ-420179-00</v>
          </cell>
          <cell r="F2189">
            <v>409298775401</v>
          </cell>
        </row>
        <row r="2190">
          <cell r="E2190" t="str">
            <v>LUC-EZZ-420179-00</v>
          </cell>
          <cell r="F2190">
            <v>409298775401</v>
          </cell>
        </row>
        <row r="2191">
          <cell r="E2191" t="str">
            <v>LUC-E00-420033-00</v>
          </cell>
          <cell r="F2191">
            <v>409298775401</v>
          </cell>
        </row>
        <row r="2192">
          <cell r="E2192" t="str">
            <v>LUC-E00-420034-01</v>
          </cell>
          <cell r="F2192">
            <v>409298775401</v>
          </cell>
        </row>
        <row r="2193">
          <cell r="E2193" t="str">
            <v>EF-45079903.X.X</v>
          </cell>
          <cell r="F2193">
            <v>420225794417</v>
          </cell>
        </row>
        <row r="2194">
          <cell r="E2194" t="str">
            <v>LUC-E00-470137-00</v>
          </cell>
          <cell r="F2194">
            <v>772261729872</v>
          </cell>
        </row>
        <row r="2195">
          <cell r="E2195" t="str">
            <v>LUC-E00-460015-01</v>
          </cell>
          <cell r="F2195">
            <v>1394446981</v>
          </cell>
        </row>
        <row r="2196">
          <cell r="E2196" t="str">
            <v>LUC-E00-400010-020</v>
          </cell>
          <cell r="F2196">
            <v>1394446981</v>
          </cell>
        </row>
        <row r="2197">
          <cell r="E2197" t="str">
            <v>LUC-EZZ-420136-00</v>
          </cell>
          <cell r="F2197">
            <v>1394446981</v>
          </cell>
        </row>
        <row r="2198">
          <cell r="E2198" t="str">
            <v>LUC-EZZ-420136-00</v>
          </cell>
          <cell r="F2198">
            <v>1394446981</v>
          </cell>
        </row>
        <row r="2199">
          <cell r="E2199" t="str">
            <v>LUC-E00-420055-12</v>
          </cell>
          <cell r="F2199">
            <v>1394446981</v>
          </cell>
        </row>
        <row r="2200">
          <cell r="E2200" t="str">
            <v>LUC-E00-420050-00</v>
          </cell>
          <cell r="F2200">
            <v>1394446981</v>
          </cell>
        </row>
        <row r="2201">
          <cell r="E2201" t="str">
            <v>LUC-E00-460008-00</v>
          </cell>
          <cell r="F2201">
            <v>1394446981</v>
          </cell>
        </row>
        <row r="2202">
          <cell r="E2202" t="str">
            <v>EF-45124870</v>
          </cell>
          <cell r="F2202">
            <v>1394446981</v>
          </cell>
        </row>
        <row r="2203">
          <cell r="E2203" t="str">
            <v>LUC-EZZ-510014-00</v>
          </cell>
          <cell r="F2203">
            <v>1394446981</v>
          </cell>
        </row>
        <row r="2204">
          <cell r="E2204" t="str">
            <v>LUC-EZZ-420352-00</v>
          </cell>
          <cell r="F2204">
            <v>1394446981</v>
          </cell>
        </row>
        <row r="2205">
          <cell r="E2205" t="str">
            <v>LUC-E00-400001-013</v>
          </cell>
          <cell r="F2205">
            <v>1394446981</v>
          </cell>
        </row>
        <row r="2206">
          <cell r="E2206" t="str">
            <v>LUC-E00-400010-035</v>
          </cell>
          <cell r="F2206">
            <v>1394446981</v>
          </cell>
        </row>
        <row r="2207">
          <cell r="E2207" t="str">
            <v>LUC-E00-420015-00</v>
          </cell>
          <cell r="F2207">
            <v>1394446981</v>
          </cell>
        </row>
        <row r="2208">
          <cell r="E2208" t="str">
            <v>LUC-EZZ-450108-00</v>
          </cell>
          <cell r="F2208">
            <v>1394446981</v>
          </cell>
        </row>
        <row r="2209">
          <cell r="E2209" t="str">
            <v>LUC-EZZ-420399-00</v>
          </cell>
          <cell r="F2209">
            <v>1394446981</v>
          </cell>
        </row>
        <row r="2210">
          <cell r="E2210" t="str">
            <v>LUC-E00-450028-00</v>
          </cell>
          <cell r="F2210">
            <v>1394446981</v>
          </cell>
        </row>
        <row r="2211">
          <cell r="E2211" t="str">
            <v>LUC-E00-400010-037</v>
          </cell>
          <cell r="F2211">
            <v>1394446981</v>
          </cell>
        </row>
        <row r="2212">
          <cell r="E2212" t="str">
            <v>LUC-E00-400010-007</v>
          </cell>
          <cell r="F2212">
            <v>1394446981</v>
          </cell>
        </row>
        <row r="2213">
          <cell r="E2213" t="str">
            <v>LUC-E00-510066-00</v>
          </cell>
          <cell r="F2213">
            <v>1394446981</v>
          </cell>
        </row>
        <row r="2214">
          <cell r="E2214" t="str">
            <v>LUC-EZZ-421706-00</v>
          </cell>
          <cell r="F2214">
            <v>1394446981</v>
          </cell>
        </row>
        <row r="2215">
          <cell r="E2215" t="str">
            <v>LUC-E00-400010-048</v>
          </cell>
          <cell r="F2215">
            <v>1394446981</v>
          </cell>
        </row>
        <row r="2216">
          <cell r="E2216" t="str">
            <v>LUC-E00-450044-00</v>
          </cell>
          <cell r="F2216">
            <v>1394446981</v>
          </cell>
        </row>
        <row r="2217">
          <cell r="E2217" t="str">
            <v>LUC-E00-510093-00</v>
          </cell>
          <cell r="F2217">
            <v>1394446981</v>
          </cell>
        </row>
        <row r="2218">
          <cell r="E2218" t="str">
            <v>LUC-EZZ-470424-00</v>
          </cell>
          <cell r="F2218">
            <v>1394446981</v>
          </cell>
        </row>
        <row r="2219">
          <cell r="E2219" t="str">
            <v>LUC-E00-420076-00</v>
          </cell>
          <cell r="F2219">
            <v>1394446981</v>
          </cell>
        </row>
        <row r="2220">
          <cell r="E2220" t="str">
            <v>LUC-E00-420019-00</v>
          </cell>
          <cell r="F2220">
            <v>1394446981</v>
          </cell>
        </row>
        <row r="2221">
          <cell r="E2221" t="str">
            <v>LUC-E00-420027-03</v>
          </cell>
          <cell r="F2221">
            <v>1394446981</v>
          </cell>
        </row>
        <row r="2222">
          <cell r="E2222" t="str">
            <v>LUC-EZZ-400245-00</v>
          </cell>
          <cell r="F2222">
            <v>1394446981</v>
          </cell>
        </row>
        <row r="2223">
          <cell r="E2223" t="str">
            <v>LUC-E00-450043-00</v>
          </cell>
          <cell r="F2223">
            <v>1394446981</v>
          </cell>
        </row>
        <row r="2224">
          <cell r="E2224" t="str">
            <v>LUC-E00-480008-00</v>
          </cell>
          <cell r="F2224">
            <v>1394446981</v>
          </cell>
        </row>
        <row r="2225">
          <cell r="E2225" t="str">
            <v>LUC-E00-470447-00</v>
          </cell>
          <cell r="F2225">
            <v>1394446981</v>
          </cell>
        </row>
        <row r="2226">
          <cell r="E2226" t="str">
            <v>LUC-EZZ-420102-00</v>
          </cell>
          <cell r="F2226">
            <v>1394446981</v>
          </cell>
        </row>
        <row r="2227">
          <cell r="E2227" t="str">
            <v>LUC-EZZ-420174-00</v>
          </cell>
          <cell r="F2227">
            <v>1394446981</v>
          </cell>
        </row>
        <row r="2228">
          <cell r="E2228" t="str">
            <v>LUC-E00-420037-00</v>
          </cell>
          <cell r="F2228">
            <v>1394446981</v>
          </cell>
        </row>
        <row r="2229">
          <cell r="E2229" t="str">
            <v>LUC-E00-420069-00</v>
          </cell>
          <cell r="F2229">
            <v>1394446981</v>
          </cell>
        </row>
        <row r="2230">
          <cell r="E2230" t="str">
            <v>LUC-EZZ-420094-00</v>
          </cell>
          <cell r="F2230">
            <v>1394446981</v>
          </cell>
        </row>
        <row r="2231">
          <cell r="E2231" t="str">
            <v>LUC-EZZ-420172-00</v>
          </cell>
          <cell r="F2231">
            <v>1394446981</v>
          </cell>
        </row>
        <row r="2232">
          <cell r="E2232" t="str">
            <v>LUC-EZZ-420121-00</v>
          </cell>
          <cell r="F2232">
            <v>1394446981</v>
          </cell>
        </row>
        <row r="2233">
          <cell r="E2233" t="str">
            <v>LUC-E00-450026-00</v>
          </cell>
          <cell r="F2233">
            <v>1394446981</v>
          </cell>
        </row>
        <row r="2234">
          <cell r="E2234" t="str">
            <v>LUC-E00-400001-010</v>
          </cell>
          <cell r="F2234">
            <v>1394446981</v>
          </cell>
        </row>
        <row r="2235">
          <cell r="E2235" t="str">
            <v>LUC-E00-400003-007</v>
          </cell>
          <cell r="F2235">
            <v>1394446981</v>
          </cell>
        </row>
        <row r="2236">
          <cell r="E2236" t="str">
            <v>LUC-E00-400010-009</v>
          </cell>
          <cell r="F2236">
            <v>1394446981</v>
          </cell>
        </row>
        <row r="2237">
          <cell r="E2237" t="str">
            <v>LUC-E00-400010-043</v>
          </cell>
          <cell r="F2237">
            <v>1394446981</v>
          </cell>
        </row>
        <row r="2238">
          <cell r="E2238" t="str">
            <v>LUC-E00-400010-047</v>
          </cell>
          <cell r="F2238">
            <v>1394446981</v>
          </cell>
        </row>
        <row r="2239">
          <cell r="E2239" t="str">
            <v>LUC-E00-400048-00</v>
          </cell>
          <cell r="F2239">
            <v>1394446981</v>
          </cell>
        </row>
        <row r="2240">
          <cell r="E2240" t="str">
            <v>LUC-E00-420054-00</v>
          </cell>
          <cell r="F2240">
            <v>1394446981</v>
          </cell>
        </row>
        <row r="2241">
          <cell r="E2241" t="str">
            <v>LUC-E00-510041-00</v>
          </cell>
          <cell r="F2241">
            <v>1394446981</v>
          </cell>
        </row>
        <row r="2242">
          <cell r="E2242" t="str">
            <v>LUC-E00-450052-00</v>
          </cell>
          <cell r="F2242">
            <v>1394446981</v>
          </cell>
        </row>
        <row r="2243">
          <cell r="E2243" t="str">
            <v>LUC-E00-400244-00</v>
          </cell>
          <cell r="F2243">
            <v>1394446981</v>
          </cell>
        </row>
        <row r="2244">
          <cell r="E2244" t="str">
            <v>LUC-E00-420020-03</v>
          </cell>
          <cell r="F2244">
            <v>1394446981</v>
          </cell>
        </row>
        <row r="2245">
          <cell r="E2245" t="str">
            <v>LUC-E00-420027-04</v>
          </cell>
          <cell r="F2245">
            <v>1394446981</v>
          </cell>
        </row>
        <row r="2246">
          <cell r="E2246" t="str">
            <v>LUC-E00-420060-00</v>
          </cell>
          <cell r="F2246">
            <v>1394446981</v>
          </cell>
        </row>
        <row r="2247">
          <cell r="E2247" t="str">
            <v>LUC-E00-480006-00</v>
          </cell>
          <cell r="F2247">
            <v>1394446981</v>
          </cell>
        </row>
        <row r="2248">
          <cell r="E2248" t="str">
            <v>EF-45179595</v>
          </cell>
          <cell r="F2248">
            <v>1394446981</v>
          </cell>
        </row>
        <row r="2249">
          <cell r="E2249" t="str">
            <v>LUC-EZZ-460737-00</v>
          </cell>
          <cell r="F2249">
            <v>1394446981</v>
          </cell>
        </row>
        <row r="2250">
          <cell r="E2250" t="str">
            <v>LUC-EZZ-460737-00</v>
          </cell>
          <cell r="F2250">
            <v>1394446981</v>
          </cell>
        </row>
        <row r="2251">
          <cell r="E2251" t="str">
            <v>LUC-E00-420054-00</v>
          </cell>
          <cell r="F2251">
            <v>1394446981</v>
          </cell>
        </row>
        <row r="2252">
          <cell r="E2252" t="str">
            <v>LUC-EZZ-510080-00</v>
          </cell>
          <cell r="F2252">
            <v>1394446981</v>
          </cell>
        </row>
        <row r="2253">
          <cell r="E2253" t="str">
            <v>PUR-03-0092-03</v>
          </cell>
          <cell r="F2253" t="str">
            <v>8TV1917</v>
          </cell>
        </row>
        <row r="2254">
          <cell r="E2254" t="str">
            <v>PUR-03-0092-03</v>
          </cell>
          <cell r="F2254" t="str">
            <v>8TV1918</v>
          </cell>
        </row>
        <row r="2255">
          <cell r="E2255" t="str">
            <v>LUC-P21-K81001-01</v>
          </cell>
          <cell r="F2255" t="str">
            <v>ST25030058</v>
          </cell>
        </row>
        <row r="2256">
          <cell r="E2256" t="str">
            <v>LUC-P21-K81202-00</v>
          </cell>
          <cell r="F2256" t="str">
            <v>ST25030058</v>
          </cell>
        </row>
        <row r="2257">
          <cell r="E2257" t="str">
            <v>LUC-E00-690106-01</v>
          </cell>
          <cell r="F2257" t="str">
            <v>ST25020988</v>
          </cell>
        </row>
        <row r="2258">
          <cell r="E2258" t="str">
            <v>LUC-E00-690106-00</v>
          </cell>
          <cell r="F2258" t="str">
            <v>ST25020988</v>
          </cell>
        </row>
        <row r="2259">
          <cell r="E2259" t="str">
            <v>LUC-E00-690033-01</v>
          </cell>
          <cell r="F2259" t="str">
            <v>ST25020988</v>
          </cell>
        </row>
        <row r="2260">
          <cell r="E2260" t="str">
            <v>LUC-E00-690033-01</v>
          </cell>
          <cell r="F2260" t="str">
            <v>ST25020988</v>
          </cell>
        </row>
        <row r="2261">
          <cell r="E2261" t="str">
            <v>LUC-E00-690033-00</v>
          </cell>
          <cell r="F2261" t="str">
            <v>ST25020988</v>
          </cell>
        </row>
        <row r="2262">
          <cell r="E2262" t="str">
            <v>LUC-E00-690033-00</v>
          </cell>
          <cell r="F2262" t="str">
            <v>ST25020988</v>
          </cell>
        </row>
        <row r="2263">
          <cell r="E2263" t="str">
            <v>LUC-E00-690033-02</v>
          </cell>
          <cell r="F2263" t="str">
            <v>ST25020988</v>
          </cell>
        </row>
        <row r="2264">
          <cell r="E2264" t="str">
            <v>LUC-E00-690033-03</v>
          </cell>
          <cell r="F2264" t="str">
            <v>ST25020988</v>
          </cell>
        </row>
        <row r="2265">
          <cell r="E2265" t="str">
            <v>PUR-31-0103-00</v>
          </cell>
          <cell r="F2265" t="str">
            <v>XLTCKG250259</v>
          </cell>
        </row>
        <row r="2266">
          <cell r="E2266" t="str">
            <v>PUR-31-0103-00</v>
          </cell>
          <cell r="F2266" t="str">
            <v>XLTCKG250259</v>
          </cell>
        </row>
        <row r="2267">
          <cell r="E2267" t="str">
            <v>PUR-03-0092-03</v>
          </cell>
          <cell r="F2267" t="str">
            <v>8TV1913</v>
          </cell>
        </row>
        <row r="2268">
          <cell r="E2268" t="str">
            <v>PUR-03-0092-03</v>
          </cell>
          <cell r="F2268" t="str">
            <v>8TV1914</v>
          </cell>
        </row>
        <row r="2269">
          <cell r="E2269" t="str">
            <v>PUR-03-0092-03</v>
          </cell>
          <cell r="F2269" t="str">
            <v>8TV1915</v>
          </cell>
        </row>
        <row r="2270">
          <cell r="E2270" t="str">
            <v>PUR-03-0092-03</v>
          </cell>
          <cell r="F2270" t="str">
            <v>8TV1916</v>
          </cell>
        </row>
        <row r="2271">
          <cell r="E2271" t="str">
            <v>PUR-27-0028-00</v>
          </cell>
          <cell r="F2271">
            <v>2807795642</v>
          </cell>
        </row>
        <row r="2272">
          <cell r="E2272" t="str">
            <v>LUC-E00-420011-12</v>
          </cell>
          <cell r="F2272">
            <v>409298775592</v>
          </cell>
        </row>
        <row r="2273">
          <cell r="E2273" t="str">
            <v>LUC-E00-420003-00</v>
          </cell>
          <cell r="F2273">
            <v>571583412788</v>
          </cell>
        </row>
        <row r="2274">
          <cell r="E2274" t="str">
            <v>EF-45043246.X.X</v>
          </cell>
          <cell r="F2274">
            <v>426617528547</v>
          </cell>
        </row>
        <row r="2275">
          <cell r="E2275" t="str">
            <v>LUC-E00-690010-01</v>
          </cell>
          <cell r="F2275">
            <v>285624540750</v>
          </cell>
        </row>
        <row r="2276">
          <cell r="E2276" t="str">
            <v>AGI-510-40118-01</v>
          </cell>
          <cell r="F2276">
            <v>643036752772</v>
          </cell>
        </row>
        <row r="2277">
          <cell r="E2277" t="str">
            <v>AGI-510-40118-01</v>
          </cell>
          <cell r="F2277">
            <v>643036752772</v>
          </cell>
        </row>
        <row r="2278">
          <cell r="E2278" t="str">
            <v>LUC-E00-690029-00</v>
          </cell>
          <cell r="F2278">
            <v>772350938525</v>
          </cell>
        </row>
        <row r="2279">
          <cell r="E2279" t="str">
            <v>LUC-P21-K33900-00</v>
          </cell>
          <cell r="F2279">
            <v>898442189186</v>
          </cell>
        </row>
        <row r="2280">
          <cell r="E2280" t="str">
            <v>PUR-03-0104-03</v>
          </cell>
          <cell r="F2280" t="str">
            <v>8TV1923</v>
          </cell>
        </row>
        <row r="2281">
          <cell r="E2281" t="str">
            <v>PUR-09-0233-00</v>
          </cell>
          <cell r="F2281">
            <v>425055637005</v>
          </cell>
        </row>
        <row r="2282">
          <cell r="E2282" t="str">
            <v>PUR-09-0343-00</v>
          </cell>
          <cell r="F2282">
            <v>425055637005</v>
          </cell>
        </row>
        <row r="2283">
          <cell r="E2283" t="str">
            <v>PUR-14-0049-00</v>
          </cell>
          <cell r="F2283">
            <v>7425779631</v>
          </cell>
        </row>
        <row r="2284">
          <cell r="E2284" t="str">
            <v>PUR-14-0076-00</v>
          </cell>
          <cell r="F2284">
            <v>7425779631</v>
          </cell>
        </row>
        <row r="2285">
          <cell r="E2285" t="str">
            <v>LUC-EZZ-420151-00</v>
          </cell>
          <cell r="F2285">
            <v>7425779631</v>
          </cell>
        </row>
        <row r="2286">
          <cell r="E2286" t="str">
            <v>LUC-EZZ-420151-00</v>
          </cell>
          <cell r="F2286">
            <v>7425779631</v>
          </cell>
        </row>
        <row r="2287">
          <cell r="E2287" t="str">
            <v>PUR-14-0076-00</v>
          </cell>
          <cell r="F2287">
            <v>7425779631</v>
          </cell>
        </row>
        <row r="2288">
          <cell r="E2288" t="str">
            <v>PUR-14-0076-00</v>
          </cell>
          <cell r="F2288">
            <v>7425779631</v>
          </cell>
        </row>
        <row r="2289">
          <cell r="E2289" t="str">
            <v>LUC-E00-470074-01</v>
          </cell>
          <cell r="F2289">
            <v>7425779631</v>
          </cell>
        </row>
        <row r="2290">
          <cell r="E2290" t="str">
            <v>LUC-EZZ-690758-00</v>
          </cell>
          <cell r="F2290">
            <v>7425779631</v>
          </cell>
        </row>
        <row r="2291">
          <cell r="E2291" t="str">
            <v>PUR-21-0021-00</v>
          </cell>
          <cell r="F2291">
            <v>7425779631</v>
          </cell>
        </row>
        <row r="2292">
          <cell r="E2292" t="str">
            <v>PUR-14-0049-00</v>
          </cell>
          <cell r="F2292">
            <v>7425779631</v>
          </cell>
        </row>
        <row r="2293">
          <cell r="E2293" t="str">
            <v>PUR-14-0049-00</v>
          </cell>
          <cell r="F2293">
            <v>7425779631</v>
          </cell>
        </row>
        <row r="2294">
          <cell r="E2294" t="str">
            <v>PURET-14-0022-00</v>
          </cell>
          <cell r="F2294">
            <v>7425779631</v>
          </cell>
        </row>
        <row r="2295">
          <cell r="E2295" t="str">
            <v>PUR-16-0035-00</v>
          </cell>
          <cell r="F2295" t="str">
            <v>LSZHPH2501591</v>
          </cell>
        </row>
        <row r="2296">
          <cell r="E2296" t="str">
            <v>PUR-16-0049-01</v>
          </cell>
          <cell r="F2296" t="str">
            <v>LSZHPH2501591</v>
          </cell>
        </row>
        <row r="2297">
          <cell r="E2297" t="str">
            <v>EF-45112739</v>
          </cell>
          <cell r="F2297">
            <v>285826704104</v>
          </cell>
        </row>
        <row r="2298">
          <cell r="E2298" t="str">
            <v>EF-45126678</v>
          </cell>
          <cell r="F2298">
            <v>419341533286</v>
          </cell>
        </row>
        <row r="2299">
          <cell r="E2299" t="str">
            <v>EF-45057841.X.X</v>
          </cell>
          <cell r="F2299">
            <v>419341533286</v>
          </cell>
        </row>
        <row r="2300">
          <cell r="E2300" t="str">
            <v>EF-45047914.X.X</v>
          </cell>
          <cell r="F2300">
            <v>419341533286</v>
          </cell>
        </row>
        <row r="2301">
          <cell r="E2301" t="str">
            <v>EF-45016922</v>
          </cell>
          <cell r="F2301">
            <v>419341533286</v>
          </cell>
        </row>
        <row r="2302">
          <cell r="E2302" t="str">
            <v>EF-45020465</v>
          </cell>
          <cell r="F2302">
            <v>419341533286</v>
          </cell>
        </row>
        <row r="2303">
          <cell r="E2303" t="str">
            <v>EF-45037442.X.X</v>
          </cell>
          <cell r="F2303">
            <v>419341533286</v>
          </cell>
        </row>
        <row r="2304">
          <cell r="E2304" t="str">
            <v>EF-45041618</v>
          </cell>
          <cell r="F2304">
            <v>419341533286</v>
          </cell>
        </row>
        <row r="2305">
          <cell r="E2305" t="str">
            <v>EF-45027595</v>
          </cell>
          <cell r="F2305">
            <v>419341533286</v>
          </cell>
        </row>
        <row r="2306">
          <cell r="E2306" t="str">
            <v>PUR-09-0343-00</v>
          </cell>
          <cell r="F2306">
            <v>416338349056</v>
          </cell>
        </row>
        <row r="2307">
          <cell r="E2307" t="str">
            <v>PUR-09-0343-00</v>
          </cell>
          <cell r="F2307">
            <v>416338349056</v>
          </cell>
        </row>
        <row r="2308">
          <cell r="E2308" t="str">
            <v>LUC-EZZ-470423-00</v>
          </cell>
          <cell r="F2308">
            <v>933698340173</v>
          </cell>
        </row>
        <row r="2309">
          <cell r="E2309" t="str">
            <v>AGI-540-50001-01</v>
          </cell>
          <cell r="F2309">
            <v>446168620170</v>
          </cell>
        </row>
        <row r="2310">
          <cell r="E2310" t="str">
            <v>LUC-E00-400010-005</v>
          </cell>
          <cell r="F2310">
            <v>446168620170</v>
          </cell>
        </row>
        <row r="2311">
          <cell r="E2311" t="str">
            <v>LUC-EZZ-400201-00</v>
          </cell>
          <cell r="F2311">
            <v>446168620170</v>
          </cell>
        </row>
        <row r="2312">
          <cell r="E2312" t="str">
            <v>PUR-09-0422-00</v>
          </cell>
          <cell r="F2312">
            <v>446168620170</v>
          </cell>
        </row>
        <row r="2313">
          <cell r="E2313" t="str">
            <v>PURET-21-0009-00</v>
          </cell>
          <cell r="F2313">
            <v>446168620170</v>
          </cell>
        </row>
        <row r="2314">
          <cell r="E2314" t="str">
            <v>LUC-EZZ-400231-00</v>
          </cell>
          <cell r="F2314">
            <v>446168620170</v>
          </cell>
        </row>
        <row r="2315">
          <cell r="E2315" t="str">
            <v>LUC-E00-470071-01</v>
          </cell>
          <cell r="F2315">
            <v>446168620170</v>
          </cell>
        </row>
        <row r="2316">
          <cell r="E2316" t="str">
            <v>LUC-E00-400010-001</v>
          </cell>
          <cell r="F2316">
            <v>446168620170</v>
          </cell>
        </row>
        <row r="2317">
          <cell r="E2317" t="str">
            <v>LUC-E00-400028-002</v>
          </cell>
          <cell r="F2317">
            <v>446168620170</v>
          </cell>
        </row>
        <row r="2318">
          <cell r="E2318" t="str">
            <v>AGI-450-40077-01</v>
          </cell>
          <cell r="F2318">
            <v>446168620170</v>
          </cell>
        </row>
        <row r="2319">
          <cell r="E2319" t="str">
            <v>LUC-E00-400001-005</v>
          </cell>
          <cell r="F2319">
            <v>446168620170</v>
          </cell>
        </row>
        <row r="2320">
          <cell r="E2320" t="str">
            <v>LUC-EZZ-400542-00</v>
          </cell>
          <cell r="F2320">
            <v>446168620170</v>
          </cell>
        </row>
        <row r="2321">
          <cell r="E2321" t="str">
            <v>AGI-532-50004-01</v>
          </cell>
          <cell r="F2321">
            <v>446168620170</v>
          </cell>
        </row>
        <row r="2322">
          <cell r="E2322" t="str">
            <v>PUR-09-0279-00</v>
          </cell>
          <cell r="F2322">
            <v>446168620170</v>
          </cell>
        </row>
        <row r="2323">
          <cell r="E2323" t="str">
            <v>LUC-E00-450084-00</v>
          </cell>
          <cell r="F2323">
            <v>446168620170</v>
          </cell>
        </row>
        <row r="2324">
          <cell r="E2324" t="str">
            <v>PUR-09-0422-00</v>
          </cell>
          <cell r="F2324">
            <v>446168620170</v>
          </cell>
        </row>
        <row r="2325">
          <cell r="E2325" t="str">
            <v>LUC-EZZ-400226-00</v>
          </cell>
          <cell r="F2325">
            <v>446168620170</v>
          </cell>
        </row>
        <row r="2326">
          <cell r="E2326" t="str">
            <v>PUR-24-0028-00</v>
          </cell>
          <cell r="F2326">
            <v>446168620170</v>
          </cell>
        </row>
        <row r="2327">
          <cell r="E2327" t="str">
            <v>EF-45132300.X.X</v>
          </cell>
          <cell r="F2327">
            <v>446168620170</v>
          </cell>
        </row>
        <row r="2328">
          <cell r="E2328" t="str">
            <v>PUR-09-0422-00</v>
          </cell>
          <cell r="F2328">
            <v>446168620170</v>
          </cell>
        </row>
        <row r="2329">
          <cell r="E2329" t="str">
            <v>LUC-EZZ-470139-00</v>
          </cell>
          <cell r="F2329">
            <v>446168620170</v>
          </cell>
        </row>
        <row r="2330">
          <cell r="E2330" t="str">
            <v>LUC-EZZ-440166-00</v>
          </cell>
          <cell r="F2330">
            <v>446168620170</v>
          </cell>
        </row>
        <row r="2331">
          <cell r="E2331" t="str">
            <v>PUR-09-0322-00</v>
          </cell>
          <cell r="F2331">
            <v>446168620170</v>
          </cell>
        </row>
        <row r="2332">
          <cell r="E2332" t="str">
            <v>AGI-450-50023-01</v>
          </cell>
          <cell r="F2332">
            <v>446168620170</v>
          </cell>
        </row>
        <row r="2333">
          <cell r="E2333" t="str">
            <v>PUR-09-0422-00</v>
          </cell>
          <cell r="F2333">
            <v>446168620170</v>
          </cell>
        </row>
        <row r="2334">
          <cell r="E2334" t="str">
            <v>LUC-E00-400010-026</v>
          </cell>
          <cell r="F2334">
            <v>446168620170</v>
          </cell>
        </row>
        <row r="2335">
          <cell r="E2335" t="str">
            <v>EF-45104926</v>
          </cell>
          <cell r="F2335">
            <v>446168620170</v>
          </cell>
        </row>
        <row r="2336">
          <cell r="E2336" t="str">
            <v>LUC-E00-400010-045</v>
          </cell>
          <cell r="F2336">
            <v>446168620170</v>
          </cell>
        </row>
        <row r="2337">
          <cell r="E2337" t="str">
            <v>PUR-09-0279-00</v>
          </cell>
          <cell r="F2337">
            <v>446168620170</v>
          </cell>
        </row>
        <row r="2338">
          <cell r="E2338" t="str">
            <v>PUR-09-0321-00</v>
          </cell>
          <cell r="F2338">
            <v>446168620170</v>
          </cell>
        </row>
        <row r="2339">
          <cell r="E2339" t="str">
            <v>LUC-E00-400001-012</v>
          </cell>
          <cell r="F2339">
            <v>446168620170</v>
          </cell>
        </row>
        <row r="2340">
          <cell r="E2340" t="str">
            <v>EF-45103518</v>
          </cell>
          <cell r="F2340">
            <v>446168620170</v>
          </cell>
        </row>
        <row r="2341">
          <cell r="E2341" t="str">
            <v>PUR-09-0324-00</v>
          </cell>
          <cell r="F2341">
            <v>446168620170</v>
          </cell>
        </row>
        <row r="2342">
          <cell r="E2342" t="str">
            <v>EF-45171576</v>
          </cell>
          <cell r="F2342">
            <v>446168620170</v>
          </cell>
        </row>
        <row r="2343">
          <cell r="E2343" t="str">
            <v>LUC-E00-420054-03</v>
          </cell>
          <cell r="F2343">
            <v>972682004977</v>
          </cell>
        </row>
        <row r="2344">
          <cell r="E2344" t="str">
            <v>LUC-E00-420054-03</v>
          </cell>
          <cell r="F2344">
            <v>972682004977</v>
          </cell>
        </row>
        <row r="2345">
          <cell r="E2345" t="str">
            <v>102-001596</v>
          </cell>
          <cell r="F2345">
            <v>446847192809</v>
          </cell>
        </row>
        <row r="2346">
          <cell r="E2346" t="str">
            <v>LUC-EZZ-400629-00</v>
          </cell>
          <cell r="F2346">
            <v>1906185341</v>
          </cell>
        </row>
        <row r="2347">
          <cell r="E2347" t="str">
            <v>LUC-E00-400018-000</v>
          </cell>
          <cell r="F2347">
            <v>1906185341</v>
          </cell>
        </row>
        <row r="2348">
          <cell r="E2348" t="str">
            <v>LUC-E00-400192-00</v>
          </cell>
          <cell r="F2348">
            <v>1906185341</v>
          </cell>
        </row>
        <row r="2349">
          <cell r="E2349" t="str">
            <v>PUR-21-0021-00</v>
          </cell>
          <cell r="F2349">
            <v>1906185341</v>
          </cell>
        </row>
        <row r="2350">
          <cell r="E2350" t="str">
            <v>LUC-E00-400047-00</v>
          </cell>
          <cell r="F2350">
            <v>1906185341</v>
          </cell>
        </row>
        <row r="2351">
          <cell r="E2351" t="str">
            <v>LUC-EZZ-421298-00</v>
          </cell>
          <cell r="F2351">
            <v>1906185341</v>
          </cell>
        </row>
        <row r="2352">
          <cell r="E2352" t="str">
            <v>LUC-EZZ-420536-00</v>
          </cell>
          <cell r="F2352">
            <v>1906185341</v>
          </cell>
        </row>
        <row r="2353">
          <cell r="E2353" t="str">
            <v>PUR-17-0187-00</v>
          </cell>
          <cell r="F2353">
            <v>1906185341</v>
          </cell>
        </row>
        <row r="2354">
          <cell r="E2354" t="str">
            <v>EF-45234399</v>
          </cell>
          <cell r="F2354">
            <v>1906185341</v>
          </cell>
        </row>
        <row r="2355">
          <cell r="E2355" t="str">
            <v>LUC-P00-F143AG-00</v>
          </cell>
          <cell r="F2355">
            <v>772378442181</v>
          </cell>
        </row>
        <row r="2356">
          <cell r="E2356" t="str">
            <v>LUC-P00-F18AAG-00</v>
          </cell>
          <cell r="F2356">
            <v>772378442181</v>
          </cell>
        </row>
        <row r="2357">
          <cell r="E2357" t="str">
            <v>PUR-03-0114-00</v>
          </cell>
          <cell r="F2357" t="str">
            <v>8TV1924</v>
          </cell>
        </row>
        <row r="2358">
          <cell r="E2358" t="str">
            <v>PUR-03-0114-00</v>
          </cell>
          <cell r="F2358" t="str">
            <v>8TV1925</v>
          </cell>
        </row>
        <row r="2359">
          <cell r="E2359" t="str">
            <v>PUR-03-0114-00</v>
          </cell>
          <cell r="F2359" t="str">
            <v>8TV1926</v>
          </cell>
        </row>
        <row r="2360">
          <cell r="E2360" t="str">
            <v>LUC-EZZ-471584-00</v>
          </cell>
          <cell r="F2360">
            <v>772381690645</v>
          </cell>
        </row>
        <row r="2361">
          <cell r="E2361" t="str">
            <v>PUR-31-0103-00</v>
          </cell>
          <cell r="F2361" t="str">
            <v>XLTEHU250350</v>
          </cell>
        </row>
        <row r="2362">
          <cell r="E2362" t="str">
            <v>PUR-31-0103-00</v>
          </cell>
          <cell r="F2362" t="str">
            <v>XLTEHU250350</v>
          </cell>
        </row>
        <row r="2363">
          <cell r="E2363" t="str">
            <v>PUR-31-0103-00</v>
          </cell>
          <cell r="F2363" t="str">
            <v>XLTEHU250350</v>
          </cell>
        </row>
        <row r="2364">
          <cell r="E2364" t="str">
            <v>PUR-09-0233-00</v>
          </cell>
          <cell r="F2364">
            <v>425055638045</v>
          </cell>
        </row>
        <row r="2365">
          <cell r="E2365" t="str">
            <v>LUC-EZZ-690708-00</v>
          </cell>
          <cell r="F2365">
            <v>4110321993</v>
          </cell>
        </row>
        <row r="2366">
          <cell r="E2366" t="str">
            <v>102-001636</v>
          </cell>
          <cell r="F2366" t="str">
            <v>HDLCA090078</v>
          </cell>
        </row>
        <row r="2367">
          <cell r="E2367" t="str">
            <v>EF-45036459.X.X</v>
          </cell>
          <cell r="F2367">
            <v>772323474754</v>
          </cell>
        </row>
        <row r="2368">
          <cell r="E2368" t="str">
            <v>EF-45129267</v>
          </cell>
          <cell r="F2368">
            <v>772323474754</v>
          </cell>
        </row>
        <row r="2369">
          <cell r="E2369" t="str">
            <v>PUR-12-0317-00</v>
          </cell>
          <cell r="F2369">
            <v>772323474754</v>
          </cell>
        </row>
        <row r="2370">
          <cell r="E2370" t="str">
            <v>LUC-E00-690215-00</v>
          </cell>
          <cell r="F2370" t="str">
            <v>ASPHPHE14299912</v>
          </cell>
        </row>
        <row r="2371">
          <cell r="E2371" t="str">
            <v>LUC-E00-690215-00</v>
          </cell>
          <cell r="F2371" t="str">
            <v>ASPHPHE14299912</v>
          </cell>
        </row>
        <row r="2372">
          <cell r="E2372" t="str">
            <v>LUC-E00-690215-00</v>
          </cell>
          <cell r="F2372" t="str">
            <v>ASPHPHE14299912</v>
          </cell>
        </row>
        <row r="2373">
          <cell r="E2373" t="str">
            <v>LUC-E00-690215-00</v>
          </cell>
          <cell r="F2373" t="str">
            <v>ASPHPHE14299912</v>
          </cell>
        </row>
        <row r="2374">
          <cell r="E2374" t="str">
            <v>LUC-E00-690215-00</v>
          </cell>
          <cell r="F2374" t="str">
            <v>ASPHPHE14299912</v>
          </cell>
        </row>
        <row r="2375">
          <cell r="E2375" t="str">
            <v>LUC-E00-690215-00</v>
          </cell>
          <cell r="F2375" t="str">
            <v>ASPHPHE14299912</v>
          </cell>
        </row>
        <row r="2376">
          <cell r="E2376" t="str">
            <v>LUC-E00-690215-00</v>
          </cell>
          <cell r="F2376" t="str">
            <v>ASPHPHE14299912</v>
          </cell>
        </row>
        <row r="2377">
          <cell r="E2377" t="str">
            <v>LUC-E00-690215-00</v>
          </cell>
          <cell r="F2377" t="str">
            <v>ASPHPHE14299912</v>
          </cell>
        </row>
        <row r="2378">
          <cell r="E2378" t="str">
            <v>LUC-E00-690215-00</v>
          </cell>
          <cell r="F2378" t="str">
            <v>ASPHPHE14299912</v>
          </cell>
        </row>
        <row r="2379">
          <cell r="E2379" t="str">
            <v>LUC-E00-690215-00</v>
          </cell>
          <cell r="F2379" t="str">
            <v>ASPHPHE14299912</v>
          </cell>
        </row>
        <row r="2380">
          <cell r="E2380" t="str">
            <v>LUC-E00-690215-00</v>
          </cell>
          <cell r="F2380" t="str">
            <v>ASPHPHE14299912</v>
          </cell>
        </row>
        <row r="2381">
          <cell r="E2381" t="str">
            <v>LUC-E00-690215-00</v>
          </cell>
          <cell r="F2381" t="str">
            <v>ASPHPHE14299912</v>
          </cell>
        </row>
        <row r="2382">
          <cell r="E2382" t="str">
            <v>LUC-E00-690215-00</v>
          </cell>
          <cell r="F2382" t="str">
            <v>ASPHPHE14299912</v>
          </cell>
        </row>
        <row r="2383">
          <cell r="E2383" t="str">
            <v>132-001513</v>
          </cell>
          <cell r="F2383">
            <v>5794868310</v>
          </cell>
        </row>
        <row r="2384">
          <cell r="E2384" t="str">
            <v>PUR-07-0167-00</v>
          </cell>
          <cell r="F2384">
            <v>422229065979</v>
          </cell>
        </row>
        <row r="2385">
          <cell r="E2385" t="str">
            <v>PUR-16-0046-01</v>
          </cell>
          <cell r="F2385">
            <v>772383307576</v>
          </cell>
        </row>
        <row r="2386">
          <cell r="E2386" t="str">
            <v>PUR-11-0104-05</v>
          </cell>
          <cell r="F2386" t="str">
            <v>PSHPH2520135</v>
          </cell>
        </row>
        <row r="2387">
          <cell r="E2387" t="str">
            <v>PUR-11-0104-05</v>
          </cell>
          <cell r="F2387" t="str">
            <v>PSHPH2520135</v>
          </cell>
        </row>
        <row r="2388">
          <cell r="E2388" t="str">
            <v>PUR-11-0104-05</v>
          </cell>
          <cell r="F2388" t="str">
            <v>PSHPH2520135</v>
          </cell>
        </row>
        <row r="2389">
          <cell r="E2389" t="str">
            <v>PUR-11-0104-05</v>
          </cell>
          <cell r="F2389" t="str">
            <v>PSHPH2520135</v>
          </cell>
        </row>
        <row r="2390">
          <cell r="E2390" t="str">
            <v>PUR-11-0104-05</v>
          </cell>
          <cell r="F2390" t="str">
            <v>PSHPH2520135</v>
          </cell>
        </row>
        <row r="2391">
          <cell r="E2391" t="str">
            <v>PUR-03-0091-02</v>
          </cell>
          <cell r="F2391">
            <v>444380983280</v>
          </cell>
        </row>
        <row r="2392">
          <cell r="E2392" t="str">
            <v>LUC-EZZ-490316-01</v>
          </cell>
          <cell r="F2392">
            <v>1515038</v>
          </cell>
        </row>
        <row r="2393">
          <cell r="E2393" t="str">
            <v>LUC-EZZ-490317-02</v>
          </cell>
          <cell r="F2393">
            <v>1515038</v>
          </cell>
        </row>
        <row r="2394">
          <cell r="E2394" t="str">
            <v>LUC-EZZ-490310-04</v>
          </cell>
          <cell r="F2394">
            <v>1515038</v>
          </cell>
        </row>
        <row r="2395">
          <cell r="E2395" t="str">
            <v>LUC-EZZ-490306-00</v>
          </cell>
          <cell r="F2395">
            <v>1515038</v>
          </cell>
        </row>
        <row r="2396">
          <cell r="E2396" t="str">
            <v>LUC-EZZ-490315-01</v>
          </cell>
          <cell r="F2396">
            <v>1515038</v>
          </cell>
        </row>
        <row r="2397">
          <cell r="E2397" t="str">
            <v>LUC-EZZ-490305-05</v>
          </cell>
          <cell r="F2397">
            <v>1515038</v>
          </cell>
        </row>
        <row r="2398">
          <cell r="E2398" t="str">
            <v>LUC-EZZ-490231-04</v>
          </cell>
          <cell r="F2398">
            <v>1515038</v>
          </cell>
        </row>
        <row r="2399">
          <cell r="E2399" t="str">
            <v>LUC-EZZ-490230-04</v>
          </cell>
          <cell r="F2399">
            <v>1515038</v>
          </cell>
        </row>
        <row r="2400">
          <cell r="E2400" t="str">
            <v>EF-45024964</v>
          </cell>
          <cell r="F2400">
            <v>772323383470</v>
          </cell>
        </row>
        <row r="2401">
          <cell r="E2401" t="str">
            <v>LUC-E00-470175-00</v>
          </cell>
          <cell r="F2401">
            <v>772323383470</v>
          </cell>
        </row>
        <row r="2402">
          <cell r="E2402" t="str">
            <v>EF-45188276</v>
          </cell>
          <cell r="F2402">
            <v>772323383470</v>
          </cell>
        </row>
        <row r="2403">
          <cell r="E2403" t="str">
            <v>PUR-13-0155-00</v>
          </cell>
          <cell r="F2403">
            <v>434611754208</v>
          </cell>
        </row>
        <row r="2404">
          <cell r="E2404" t="str">
            <v>PURET-13-0002-00</v>
          </cell>
          <cell r="F2404">
            <v>434611754208</v>
          </cell>
        </row>
        <row r="2405">
          <cell r="E2405" t="str">
            <v>PURET-13-0007-00</v>
          </cell>
          <cell r="F2405">
            <v>434611754208</v>
          </cell>
        </row>
        <row r="2406">
          <cell r="E2406" t="str">
            <v>PUR-13-0196-00</v>
          </cell>
          <cell r="F2406">
            <v>434611754208</v>
          </cell>
        </row>
        <row r="2407">
          <cell r="E2407" t="str">
            <v>PUR-13-0196-00</v>
          </cell>
          <cell r="F2407">
            <v>434611754208</v>
          </cell>
        </row>
        <row r="2408">
          <cell r="E2408" t="str">
            <v>LUC-E00-420185-00</v>
          </cell>
          <cell r="F2408">
            <v>434611754208</v>
          </cell>
        </row>
        <row r="2409">
          <cell r="E2409" t="str">
            <v>PUR-13-0160-00</v>
          </cell>
          <cell r="F2409">
            <v>434611754208</v>
          </cell>
        </row>
        <row r="2410">
          <cell r="E2410" t="str">
            <v>PUR-13-0160-00</v>
          </cell>
          <cell r="F2410">
            <v>434611754208</v>
          </cell>
        </row>
        <row r="2411">
          <cell r="E2411" t="str">
            <v>PUR-13-0160-00</v>
          </cell>
          <cell r="F2411">
            <v>434611754208</v>
          </cell>
        </row>
        <row r="2412">
          <cell r="E2412" t="str">
            <v>PURET-13-0066-00</v>
          </cell>
          <cell r="F2412">
            <v>434611754208</v>
          </cell>
        </row>
        <row r="2413">
          <cell r="E2413" t="str">
            <v>EF-45060487.X.X</v>
          </cell>
          <cell r="F2413">
            <v>434611754208</v>
          </cell>
        </row>
        <row r="2414">
          <cell r="E2414" t="str">
            <v>EF-45094378</v>
          </cell>
          <cell r="F2414">
            <v>434611754208</v>
          </cell>
        </row>
        <row r="2415">
          <cell r="E2415" t="str">
            <v>PUR-13-0148-00</v>
          </cell>
          <cell r="F2415">
            <v>772322179328</v>
          </cell>
        </row>
        <row r="2416">
          <cell r="E2416" t="str">
            <v>PUR-13-0153-00</v>
          </cell>
          <cell r="F2416">
            <v>772322179328</v>
          </cell>
        </row>
        <row r="2417">
          <cell r="E2417" t="str">
            <v>AGI-450-50026-01</v>
          </cell>
          <cell r="F2417">
            <v>772322179328</v>
          </cell>
        </row>
        <row r="2418">
          <cell r="E2418" t="str">
            <v>EF-45112739</v>
          </cell>
          <cell r="F2418">
            <v>285869881748</v>
          </cell>
        </row>
        <row r="2419">
          <cell r="E2419" t="str">
            <v>PUR-09-0233-00</v>
          </cell>
          <cell r="F2419">
            <v>425055639270</v>
          </cell>
        </row>
        <row r="2420">
          <cell r="E2420" t="str">
            <v>PUR-09-0233-00</v>
          </cell>
          <cell r="F2420">
            <v>425055639270</v>
          </cell>
        </row>
        <row r="2421">
          <cell r="E2421" t="str">
            <v>PUR-09-0233-00</v>
          </cell>
          <cell r="F2421">
            <v>425055639270</v>
          </cell>
        </row>
        <row r="2422">
          <cell r="E2422" t="str">
            <v>LUC-EZZ-470421-00</v>
          </cell>
          <cell r="F2422">
            <v>285952778415</v>
          </cell>
        </row>
        <row r="2423">
          <cell r="E2423" t="str">
            <v>LUC-E00-450039-00</v>
          </cell>
          <cell r="F2423">
            <v>441557276508</v>
          </cell>
        </row>
        <row r="2424">
          <cell r="E2424" t="str">
            <v>LUC-EZZ-450047-00</v>
          </cell>
          <cell r="F2424">
            <v>441557276508</v>
          </cell>
        </row>
        <row r="2425">
          <cell r="E2425" t="str">
            <v>LUC-E00-450060-00</v>
          </cell>
          <cell r="F2425">
            <v>441557276508</v>
          </cell>
        </row>
        <row r="2426">
          <cell r="E2426" t="str">
            <v>EF-45096952</v>
          </cell>
          <cell r="F2426">
            <v>441557276508</v>
          </cell>
        </row>
        <row r="2427">
          <cell r="E2427" t="str">
            <v>EF-45051532.X.X</v>
          </cell>
          <cell r="F2427">
            <v>441557276508</v>
          </cell>
        </row>
        <row r="2428">
          <cell r="E2428" t="str">
            <v>PUR-05-0031-00</v>
          </cell>
          <cell r="F2428">
            <v>441557276508</v>
          </cell>
        </row>
        <row r="2429">
          <cell r="E2429" t="str">
            <v>142-000035.X.X</v>
          </cell>
          <cell r="F2429">
            <v>430388045212</v>
          </cell>
        </row>
        <row r="2430">
          <cell r="E2430" t="str">
            <v>PUR-03-0091-02</v>
          </cell>
          <cell r="F2430">
            <v>447380561206</v>
          </cell>
        </row>
        <row r="2431">
          <cell r="E2431" t="str">
            <v>PUR-03-0091-02</v>
          </cell>
          <cell r="F2431">
            <v>447380561206</v>
          </cell>
        </row>
        <row r="2432">
          <cell r="E2432" t="str">
            <v>PUR-09-0256-00</v>
          </cell>
          <cell r="F2432">
            <v>411336017404</v>
          </cell>
        </row>
        <row r="2433">
          <cell r="E2433" t="str">
            <v>PUR-07-0223-00</v>
          </cell>
          <cell r="F2433">
            <v>772323522680</v>
          </cell>
        </row>
        <row r="2434">
          <cell r="E2434" t="str">
            <v>PUR-07-0315-00</v>
          </cell>
          <cell r="F2434">
            <v>772323522680</v>
          </cell>
        </row>
        <row r="2435">
          <cell r="E2435" t="str">
            <v>122-001457</v>
          </cell>
          <cell r="F2435">
            <v>446007050399</v>
          </cell>
        </row>
        <row r="2436">
          <cell r="E2436" t="str">
            <v>119-001195</v>
          </cell>
          <cell r="F2436">
            <v>446007050399</v>
          </cell>
        </row>
        <row r="2437">
          <cell r="E2437" t="str">
            <v>EF-45206275</v>
          </cell>
          <cell r="F2437">
            <v>446007050399</v>
          </cell>
        </row>
        <row r="2438">
          <cell r="E2438" t="str">
            <v>EF-45236356</v>
          </cell>
          <cell r="F2438">
            <v>446007050399</v>
          </cell>
        </row>
        <row r="2439">
          <cell r="E2439" t="str">
            <v>EF-45234399</v>
          </cell>
          <cell r="F2439">
            <v>446007050399</v>
          </cell>
        </row>
        <row r="2440">
          <cell r="E2440" t="str">
            <v>EF-45125060</v>
          </cell>
          <cell r="F2440">
            <v>722661007989</v>
          </cell>
        </row>
        <row r="2441">
          <cell r="E2441" t="str">
            <v>LUC-E00-470073-00</v>
          </cell>
          <cell r="F2441">
            <v>772382106464</v>
          </cell>
        </row>
        <row r="2442">
          <cell r="E2442" t="str">
            <v>EF-45129595</v>
          </cell>
          <cell r="F2442">
            <v>772382106464</v>
          </cell>
        </row>
        <row r="2443">
          <cell r="E2443" t="str">
            <v>LUC-EZZ-470138-00</v>
          </cell>
          <cell r="F2443">
            <v>772382106464</v>
          </cell>
        </row>
        <row r="2444">
          <cell r="E2444" t="str">
            <v>LUC-EZZ-470138-00</v>
          </cell>
          <cell r="F2444">
            <v>772382106464</v>
          </cell>
        </row>
        <row r="2445">
          <cell r="E2445" t="str">
            <v>EF-45111698</v>
          </cell>
          <cell r="F2445">
            <v>772382106464</v>
          </cell>
        </row>
        <row r="2446">
          <cell r="E2446" t="str">
            <v>PUR-09-0346-00</v>
          </cell>
          <cell r="F2446">
            <v>772382106464</v>
          </cell>
        </row>
        <row r="2447">
          <cell r="E2447" t="str">
            <v>AGI-532-50002-01</v>
          </cell>
          <cell r="F2447">
            <v>772382106464</v>
          </cell>
        </row>
        <row r="2448">
          <cell r="E2448" t="str">
            <v>EF-45236388</v>
          </cell>
          <cell r="F2448">
            <v>725187040137</v>
          </cell>
        </row>
        <row r="2449">
          <cell r="E2449" t="str">
            <v>EF-45127982</v>
          </cell>
          <cell r="F2449">
            <v>429083210941</v>
          </cell>
        </row>
        <row r="2450">
          <cell r="E2450" t="str">
            <v>EF-45127982</v>
          </cell>
          <cell r="F2450">
            <v>429083210941</v>
          </cell>
        </row>
        <row r="2451">
          <cell r="E2451" t="str">
            <v>PUR-13-0237-00</v>
          </cell>
          <cell r="F2451">
            <v>429083210941</v>
          </cell>
        </row>
        <row r="2452">
          <cell r="E2452" t="str">
            <v>PUR-13-0237-00</v>
          </cell>
          <cell r="F2452">
            <v>429083210941</v>
          </cell>
        </row>
        <row r="2453">
          <cell r="E2453" t="str">
            <v>LUC-E00-400067-344</v>
          </cell>
          <cell r="F2453">
            <v>429083210941</v>
          </cell>
        </row>
        <row r="2454">
          <cell r="E2454" t="str">
            <v>PUR-13-0154-00</v>
          </cell>
          <cell r="F2454">
            <v>429083210941</v>
          </cell>
        </row>
        <row r="2455">
          <cell r="E2455" t="str">
            <v>EF-45224890</v>
          </cell>
          <cell r="F2455">
            <v>429083210941</v>
          </cell>
        </row>
        <row r="2456">
          <cell r="E2456" t="str">
            <v>EF-45134776</v>
          </cell>
          <cell r="F2456">
            <v>429083210941</v>
          </cell>
        </row>
        <row r="2457">
          <cell r="E2457" t="str">
            <v>EF-45122014</v>
          </cell>
          <cell r="F2457">
            <v>429083210941</v>
          </cell>
        </row>
        <row r="2458">
          <cell r="E2458" t="str">
            <v>PURET-24-0001-00</v>
          </cell>
          <cell r="F2458">
            <v>429083210941</v>
          </cell>
        </row>
        <row r="2459">
          <cell r="E2459" t="str">
            <v>PUR-09-0408-00</v>
          </cell>
          <cell r="F2459">
            <v>429083210941</v>
          </cell>
        </row>
        <row r="2460">
          <cell r="E2460" t="str">
            <v>PUR-25-0003-00</v>
          </cell>
          <cell r="F2460">
            <v>429083210941</v>
          </cell>
        </row>
        <row r="2461">
          <cell r="E2461" t="str">
            <v>PUR-14-0085-00</v>
          </cell>
          <cell r="F2461">
            <v>429083210941</v>
          </cell>
        </row>
        <row r="2462">
          <cell r="E2462" t="str">
            <v>EF-45046948.X.X</v>
          </cell>
          <cell r="F2462">
            <v>429083210941</v>
          </cell>
        </row>
        <row r="2463">
          <cell r="E2463" t="str">
            <v>PUR-14-0085-00</v>
          </cell>
          <cell r="F2463">
            <v>429083210941</v>
          </cell>
        </row>
        <row r="2464">
          <cell r="E2464" t="str">
            <v>LUC-E00-440045-00</v>
          </cell>
          <cell r="F2464">
            <v>285920494061</v>
          </cell>
        </row>
        <row r="2465">
          <cell r="E2465" t="str">
            <v>EF-45141572</v>
          </cell>
          <cell r="F2465">
            <v>772322518853</v>
          </cell>
        </row>
        <row r="2466">
          <cell r="E2466" t="str">
            <v>EF-45141572</v>
          </cell>
          <cell r="F2466">
            <v>772322518853</v>
          </cell>
        </row>
        <row r="2467">
          <cell r="E2467" t="str">
            <v>PUR-14-0050-00</v>
          </cell>
          <cell r="F2467">
            <v>4259644804</v>
          </cell>
        </row>
        <row r="2468">
          <cell r="E2468" t="str">
            <v>LUC-E00-510045-00</v>
          </cell>
          <cell r="F2468">
            <v>4259644804</v>
          </cell>
        </row>
        <row r="2469">
          <cell r="E2469" t="str">
            <v>LUC-E00-420058-00</v>
          </cell>
          <cell r="F2469">
            <v>4259644804</v>
          </cell>
        </row>
        <row r="2470">
          <cell r="E2470" t="str">
            <v>EF-45037433.X.X</v>
          </cell>
          <cell r="F2470">
            <v>4259644804</v>
          </cell>
        </row>
        <row r="2471">
          <cell r="E2471" t="str">
            <v>LUC-EZZ-420507-00</v>
          </cell>
          <cell r="F2471">
            <v>4259644804</v>
          </cell>
        </row>
        <row r="2472">
          <cell r="E2472" t="str">
            <v>EF-45046948.X.X</v>
          </cell>
          <cell r="F2472">
            <v>4259644804</v>
          </cell>
        </row>
        <row r="2473">
          <cell r="E2473" t="str">
            <v>LUC-E00-460038-00</v>
          </cell>
          <cell r="F2473">
            <v>4259644804</v>
          </cell>
        </row>
        <row r="2474">
          <cell r="E2474" t="str">
            <v>AGI-450-40069-01</v>
          </cell>
          <cell r="F2474">
            <v>4259644804</v>
          </cell>
        </row>
        <row r="2475">
          <cell r="E2475" t="str">
            <v>LUC-EZZ-420002-00</v>
          </cell>
          <cell r="F2475">
            <v>4259644804</v>
          </cell>
        </row>
        <row r="2476">
          <cell r="E2476" t="str">
            <v>LUC-E00-420050-00</v>
          </cell>
          <cell r="F2476">
            <v>4259644804</v>
          </cell>
        </row>
        <row r="2477">
          <cell r="E2477" t="str">
            <v>LUC-E00-420050-00</v>
          </cell>
          <cell r="F2477">
            <v>4259644804</v>
          </cell>
        </row>
        <row r="2478">
          <cell r="E2478" t="str">
            <v>LUC-E00-420050-00</v>
          </cell>
          <cell r="F2478">
            <v>4259644804</v>
          </cell>
        </row>
        <row r="2479">
          <cell r="E2479" t="str">
            <v>LUC-E00-460015-01</v>
          </cell>
          <cell r="F2479">
            <v>4259644804</v>
          </cell>
        </row>
        <row r="2480">
          <cell r="E2480" t="str">
            <v>LUC-E00-460015-01</v>
          </cell>
          <cell r="F2480">
            <v>4259644804</v>
          </cell>
        </row>
        <row r="2481">
          <cell r="E2481" t="str">
            <v>PUR-14-0050-00</v>
          </cell>
          <cell r="F2481">
            <v>4259644804</v>
          </cell>
        </row>
        <row r="2482">
          <cell r="E2482" t="str">
            <v>LUC-E00-510021-00</v>
          </cell>
          <cell r="F2482">
            <v>4259644804</v>
          </cell>
        </row>
        <row r="2483">
          <cell r="E2483" t="str">
            <v>LUC-E00-510021-00</v>
          </cell>
          <cell r="F2483">
            <v>4259644804</v>
          </cell>
        </row>
        <row r="2484">
          <cell r="E2484" t="str">
            <v>LUC-E00-400010-048</v>
          </cell>
          <cell r="F2484">
            <v>4259644804</v>
          </cell>
        </row>
        <row r="2485">
          <cell r="E2485" t="str">
            <v>EF-45110875.X.X</v>
          </cell>
          <cell r="F2485">
            <v>4259644804</v>
          </cell>
        </row>
        <row r="2486">
          <cell r="E2486" t="str">
            <v>LUC-E00-400010-034</v>
          </cell>
          <cell r="F2486">
            <v>4259644804</v>
          </cell>
        </row>
        <row r="2487">
          <cell r="E2487" t="str">
            <v>LUC-EZZ-450112-00</v>
          </cell>
          <cell r="F2487">
            <v>4259644804</v>
          </cell>
        </row>
        <row r="2488">
          <cell r="E2488" t="str">
            <v>LUC-EZZ-420102-00</v>
          </cell>
          <cell r="F2488">
            <v>4259644804</v>
          </cell>
        </row>
        <row r="2489">
          <cell r="E2489" t="str">
            <v>LUC-EZZ-420102-00</v>
          </cell>
          <cell r="F2489">
            <v>4259644804</v>
          </cell>
        </row>
        <row r="2490">
          <cell r="E2490" t="str">
            <v>LUC-E00-420054-01</v>
          </cell>
          <cell r="F2490">
            <v>4259644804</v>
          </cell>
        </row>
        <row r="2491">
          <cell r="E2491" t="str">
            <v>LUC-E00-420019-00</v>
          </cell>
          <cell r="F2491">
            <v>4259644804</v>
          </cell>
        </row>
        <row r="2492">
          <cell r="E2492" t="str">
            <v>LUC-E00-420056-00</v>
          </cell>
          <cell r="F2492">
            <v>4259644804</v>
          </cell>
        </row>
        <row r="2493">
          <cell r="E2493" t="str">
            <v>LUC-EZZ-420507-00</v>
          </cell>
          <cell r="F2493">
            <v>4259644804</v>
          </cell>
        </row>
        <row r="2494">
          <cell r="E2494" t="str">
            <v>LUC-EZZ-420490-00</v>
          </cell>
          <cell r="F2494">
            <v>4259644804</v>
          </cell>
        </row>
        <row r="2495">
          <cell r="E2495" t="str">
            <v>LUC-EZZ-420490-00</v>
          </cell>
          <cell r="F2495">
            <v>4259644804</v>
          </cell>
        </row>
        <row r="2496">
          <cell r="E2496" t="str">
            <v>LUC-E00-690010-02</v>
          </cell>
          <cell r="F2496" t="str">
            <v>1ZYX31596610037899</v>
          </cell>
        </row>
        <row r="2497">
          <cell r="E2497" t="str">
            <v>LUC-E00-470121-01</v>
          </cell>
          <cell r="F2497">
            <v>285978241778</v>
          </cell>
        </row>
        <row r="2498">
          <cell r="E2498" t="str">
            <v>LUC-E00-420034-01</v>
          </cell>
          <cell r="F2498">
            <v>409298776327</v>
          </cell>
        </row>
        <row r="2499">
          <cell r="E2499" t="str">
            <v>LUC-E00-420049-01</v>
          </cell>
          <cell r="F2499">
            <v>409298776327</v>
          </cell>
        </row>
        <row r="2500">
          <cell r="E2500" t="str">
            <v>LUC-EZZ-420176-00</v>
          </cell>
          <cell r="F2500">
            <v>409298776327</v>
          </cell>
        </row>
        <row r="2501">
          <cell r="E2501" t="str">
            <v>LUC-EZZ-420179-00</v>
          </cell>
          <cell r="F2501">
            <v>409298776327</v>
          </cell>
        </row>
        <row r="2502">
          <cell r="E2502" t="str">
            <v>LUC-E00-420059-00</v>
          </cell>
          <cell r="F2502">
            <v>409298776327</v>
          </cell>
        </row>
        <row r="2503">
          <cell r="E2503" t="str">
            <v>LUC-E00-420033-00</v>
          </cell>
          <cell r="F2503">
            <v>409298776327</v>
          </cell>
        </row>
        <row r="2504">
          <cell r="E2504" t="str">
            <v>LUC-E00-420033-00</v>
          </cell>
          <cell r="F2504">
            <v>409298776327</v>
          </cell>
        </row>
        <row r="2505">
          <cell r="E2505" t="str">
            <v>LUC-E00-400022-000</v>
          </cell>
          <cell r="F2505">
            <v>409298776327</v>
          </cell>
        </row>
        <row r="2506">
          <cell r="E2506" t="str">
            <v>PUR-03-0091-02</v>
          </cell>
          <cell r="F2506">
            <v>447380570130</v>
          </cell>
        </row>
        <row r="2507">
          <cell r="E2507" t="str">
            <v>LUC-HJ-A317</v>
          </cell>
          <cell r="F2507">
            <v>772421171117</v>
          </cell>
        </row>
        <row r="2508">
          <cell r="E2508" t="str">
            <v>PUR-17-0283-02</v>
          </cell>
          <cell r="F2508" t="str">
            <v>KNQ2</v>
          </cell>
        </row>
        <row r="2509">
          <cell r="E2509" t="str">
            <v>LUC-E00-470093-00</v>
          </cell>
          <cell r="F2509">
            <v>286037062198</v>
          </cell>
        </row>
        <row r="2510">
          <cell r="E2510" t="str">
            <v>EF-45116977</v>
          </cell>
          <cell r="F2510">
            <v>653992343496</v>
          </cell>
        </row>
        <row r="2511">
          <cell r="E2511" t="str">
            <v>EF-45116977</v>
          </cell>
          <cell r="F2511">
            <v>653992343496</v>
          </cell>
        </row>
        <row r="2512">
          <cell r="E2512" t="str">
            <v>EF-45116977</v>
          </cell>
          <cell r="F2512">
            <v>653992343496</v>
          </cell>
        </row>
        <row r="2513">
          <cell r="E2513" t="str">
            <v>PUR-07-0210-00</v>
          </cell>
          <cell r="F2513">
            <v>772455490141</v>
          </cell>
        </row>
        <row r="2514">
          <cell r="E2514" t="str">
            <v>PUR-09-0233-00</v>
          </cell>
          <cell r="F2514">
            <v>441407915769</v>
          </cell>
        </row>
        <row r="2515">
          <cell r="E2515" t="str">
            <v>PUR-09-0233-00</v>
          </cell>
          <cell r="F2515">
            <v>425055640365</v>
          </cell>
        </row>
        <row r="2516">
          <cell r="E2516" t="str">
            <v>PUR-09-0233-00</v>
          </cell>
          <cell r="F2516">
            <v>425055640365</v>
          </cell>
        </row>
        <row r="2517">
          <cell r="E2517" t="str">
            <v>EF-45171838</v>
          </cell>
          <cell r="F2517">
            <v>437723103011</v>
          </cell>
        </row>
        <row r="2518">
          <cell r="E2518" t="str">
            <v>PUR-15-0220-00</v>
          </cell>
          <cell r="F2518">
            <v>902348924355</v>
          </cell>
        </row>
        <row r="2519">
          <cell r="E2519" t="str">
            <v>PUR-03-0038-00</v>
          </cell>
          <cell r="F2519">
            <v>447380555715</v>
          </cell>
        </row>
        <row r="2520">
          <cell r="E2520" t="str">
            <v>LUC-E00-400067-008</v>
          </cell>
          <cell r="F2520">
            <v>447183407313</v>
          </cell>
        </row>
        <row r="2521">
          <cell r="E2521" t="str">
            <v>PUR-12-0297-00</v>
          </cell>
          <cell r="F2521">
            <v>4914826291</v>
          </cell>
        </row>
        <row r="2522">
          <cell r="E2522" t="str">
            <v>PUR-12-0408-00</v>
          </cell>
          <cell r="F2522">
            <v>4914826291</v>
          </cell>
        </row>
        <row r="2523">
          <cell r="E2523" t="str">
            <v>PUR-12-0297-00</v>
          </cell>
          <cell r="F2523">
            <v>4914826291</v>
          </cell>
        </row>
        <row r="2524">
          <cell r="E2524" t="str">
            <v>PURET-13-0001-00</v>
          </cell>
          <cell r="F2524">
            <v>4914826291</v>
          </cell>
        </row>
        <row r="2525">
          <cell r="E2525" t="str">
            <v>122-001674</v>
          </cell>
          <cell r="F2525">
            <v>4914826291</v>
          </cell>
        </row>
        <row r="2526">
          <cell r="E2526" t="str">
            <v>122-001674</v>
          </cell>
          <cell r="F2526">
            <v>4914826291</v>
          </cell>
        </row>
        <row r="2527">
          <cell r="E2527" t="str">
            <v>PUR-13-0138-00</v>
          </cell>
          <cell r="F2527">
            <v>4914826291</v>
          </cell>
        </row>
        <row r="2528">
          <cell r="E2528" t="str">
            <v>PUR-13-0138-00</v>
          </cell>
          <cell r="F2528">
            <v>4914826291</v>
          </cell>
        </row>
        <row r="2529">
          <cell r="E2529" t="str">
            <v>PURET-13-0009-00</v>
          </cell>
          <cell r="F2529">
            <v>4914826291</v>
          </cell>
        </row>
        <row r="2530">
          <cell r="E2530" t="str">
            <v>PUR-12-0297-00</v>
          </cell>
          <cell r="F2530">
            <v>4914826291</v>
          </cell>
        </row>
        <row r="2531">
          <cell r="E2531" t="str">
            <v>PUR-12-0322-00</v>
          </cell>
          <cell r="F2531">
            <v>4914826291</v>
          </cell>
        </row>
        <row r="2532">
          <cell r="E2532" t="str">
            <v>PUR-12-0319-00</v>
          </cell>
          <cell r="F2532">
            <v>4914826291</v>
          </cell>
        </row>
        <row r="2533">
          <cell r="E2533" t="str">
            <v>PUR-12-0284-00</v>
          </cell>
          <cell r="F2533">
            <v>4914826291</v>
          </cell>
        </row>
        <row r="2534">
          <cell r="E2534" t="str">
            <v>PUR-12-0304-00</v>
          </cell>
          <cell r="F2534">
            <v>4914826291</v>
          </cell>
        </row>
        <row r="2535">
          <cell r="E2535" t="str">
            <v>PUR-12-0310-00</v>
          </cell>
          <cell r="F2535">
            <v>4914826291</v>
          </cell>
        </row>
        <row r="2536">
          <cell r="E2536" t="str">
            <v>PURET-12-0011-00</v>
          </cell>
          <cell r="F2536">
            <v>4914826291</v>
          </cell>
        </row>
        <row r="2537">
          <cell r="E2537" t="str">
            <v>PUR-12-0306-00</v>
          </cell>
          <cell r="F2537">
            <v>4914826291</v>
          </cell>
        </row>
        <row r="2538">
          <cell r="E2538" t="str">
            <v>PUR-12-0416-00</v>
          </cell>
          <cell r="F2538">
            <v>4914826291</v>
          </cell>
        </row>
        <row r="2539">
          <cell r="E2539" t="str">
            <v>PUR-12-0422-00</v>
          </cell>
          <cell r="F2539">
            <v>4914826291</v>
          </cell>
        </row>
        <row r="2540">
          <cell r="E2540" t="str">
            <v>PUR-13-0156-00</v>
          </cell>
          <cell r="F2540">
            <v>4914826291</v>
          </cell>
        </row>
        <row r="2541">
          <cell r="E2541" t="str">
            <v>121-000358.X.X</v>
          </cell>
          <cell r="F2541">
            <v>4914826291</v>
          </cell>
        </row>
        <row r="2542">
          <cell r="E2542" t="str">
            <v>PUR-13-0215-00</v>
          </cell>
          <cell r="F2542">
            <v>4914826291</v>
          </cell>
        </row>
        <row r="2543">
          <cell r="E2543" t="str">
            <v>PURET-13-0119-00</v>
          </cell>
          <cell r="F2543">
            <v>4914826291</v>
          </cell>
        </row>
        <row r="2544">
          <cell r="E2544" t="str">
            <v>PURET-13-0119-00</v>
          </cell>
          <cell r="F2544">
            <v>4914826291</v>
          </cell>
        </row>
        <row r="2545">
          <cell r="E2545" t="str">
            <v>PUR-13-0158-00</v>
          </cell>
          <cell r="F2545">
            <v>4914826291</v>
          </cell>
        </row>
        <row r="2546">
          <cell r="E2546" t="str">
            <v>PUR-12-0297-00</v>
          </cell>
          <cell r="F2546">
            <v>4914826291</v>
          </cell>
        </row>
        <row r="2547">
          <cell r="E2547" t="str">
            <v>PURET-13-0040-00</v>
          </cell>
          <cell r="F2547">
            <v>4914826291</v>
          </cell>
        </row>
        <row r="2548">
          <cell r="E2548" t="str">
            <v>PUR-14-0051-00</v>
          </cell>
          <cell r="F2548">
            <v>4914826291</v>
          </cell>
        </row>
        <row r="2549">
          <cell r="E2549" t="str">
            <v>PUR-12-0432-00</v>
          </cell>
          <cell r="F2549">
            <v>4914826291</v>
          </cell>
        </row>
        <row r="2550">
          <cell r="E2550" t="str">
            <v>121-000521.X.X</v>
          </cell>
          <cell r="F2550">
            <v>4914826291</v>
          </cell>
        </row>
        <row r="2551">
          <cell r="E2551" t="str">
            <v>PUR-14-0086-00</v>
          </cell>
          <cell r="F2551">
            <v>4914826291</v>
          </cell>
        </row>
        <row r="2552">
          <cell r="E2552" t="str">
            <v>PUR-13-0138-00</v>
          </cell>
          <cell r="F2552">
            <v>4914826291</v>
          </cell>
        </row>
        <row r="2553">
          <cell r="E2553" t="str">
            <v>PUR-12-0408-00</v>
          </cell>
          <cell r="F2553">
            <v>4914826291</v>
          </cell>
        </row>
        <row r="2554">
          <cell r="E2554" t="str">
            <v>PUR-12-0294-00</v>
          </cell>
          <cell r="F2554">
            <v>4914826291</v>
          </cell>
        </row>
        <row r="2555">
          <cell r="E2555" t="str">
            <v>PURET-12-0212-00</v>
          </cell>
          <cell r="F2555">
            <v>4914826291</v>
          </cell>
        </row>
        <row r="2556">
          <cell r="E2556" t="str">
            <v>PUR-12-0483-00</v>
          </cell>
          <cell r="F2556">
            <v>4914826291</v>
          </cell>
        </row>
        <row r="2557">
          <cell r="E2557" t="str">
            <v>PURET-12-0017-00</v>
          </cell>
          <cell r="F2557">
            <v>4914826291</v>
          </cell>
        </row>
        <row r="2558">
          <cell r="E2558" t="str">
            <v>PURET-12-0225-00</v>
          </cell>
          <cell r="F2558">
            <v>4914826291</v>
          </cell>
        </row>
        <row r="2559">
          <cell r="E2559" t="str">
            <v>PUR-12-0271-00</v>
          </cell>
          <cell r="F2559">
            <v>4914826291</v>
          </cell>
        </row>
        <row r="2560">
          <cell r="E2560" t="str">
            <v>PUR-12-0293-00</v>
          </cell>
          <cell r="F2560">
            <v>4914826291</v>
          </cell>
        </row>
        <row r="2561">
          <cell r="E2561" t="str">
            <v>PUR-12-0431-00</v>
          </cell>
          <cell r="F2561">
            <v>4914826291</v>
          </cell>
        </row>
        <row r="2562">
          <cell r="E2562" t="str">
            <v>PUR-12-0065-00</v>
          </cell>
          <cell r="F2562">
            <v>4914826291</v>
          </cell>
        </row>
        <row r="2563">
          <cell r="E2563" t="str">
            <v>PUR-12-0309-00</v>
          </cell>
          <cell r="F2563">
            <v>4914826291</v>
          </cell>
        </row>
        <row r="2564">
          <cell r="E2564" t="str">
            <v>PUR-12-0468-00</v>
          </cell>
          <cell r="F2564">
            <v>4914826291</v>
          </cell>
        </row>
        <row r="2565">
          <cell r="E2565" t="str">
            <v>PURET-12-0257-00</v>
          </cell>
          <cell r="F2565">
            <v>4914826291</v>
          </cell>
        </row>
        <row r="2566">
          <cell r="E2566" t="str">
            <v>PUR-12-0470-00</v>
          </cell>
          <cell r="F2566">
            <v>4914826291</v>
          </cell>
        </row>
        <row r="2567">
          <cell r="E2567" t="str">
            <v>PUR-12-0467-00</v>
          </cell>
          <cell r="F2567">
            <v>4914826291</v>
          </cell>
        </row>
        <row r="2568">
          <cell r="E2568" t="str">
            <v>PUR-12-0423-00</v>
          </cell>
          <cell r="F2568">
            <v>4914826291</v>
          </cell>
        </row>
        <row r="2569">
          <cell r="E2569" t="str">
            <v>LUC-P21-K2C400-01</v>
          </cell>
          <cell r="F2569" t="str">
            <v>ST25030236</v>
          </cell>
        </row>
        <row r="2570">
          <cell r="E2570" t="str">
            <v>LUC-P21-K2C400-01</v>
          </cell>
          <cell r="F2570" t="str">
            <v>ST25030236</v>
          </cell>
        </row>
        <row r="2571">
          <cell r="E2571" t="str">
            <v>LUC-P21-K61100-02</v>
          </cell>
          <cell r="F2571" t="str">
            <v>ST25030236</v>
          </cell>
        </row>
        <row r="2572">
          <cell r="E2572" t="str">
            <v>LUC-P21-K61100-02</v>
          </cell>
          <cell r="F2572" t="str">
            <v>ST25030236</v>
          </cell>
        </row>
        <row r="2573">
          <cell r="E2573" t="str">
            <v>LUC-P21-K61100-02</v>
          </cell>
          <cell r="F2573" t="str">
            <v>ST25030236</v>
          </cell>
        </row>
        <row r="2574">
          <cell r="E2574" t="str">
            <v>LUC-E00-690010-00</v>
          </cell>
          <cell r="F2574">
            <v>285915411033</v>
          </cell>
        </row>
        <row r="2575">
          <cell r="E2575" t="str">
            <v>PUR-17-0187-00</v>
          </cell>
          <cell r="F2575">
            <v>3393164235</v>
          </cell>
        </row>
        <row r="2576">
          <cell r="E2576" t="str">
            <v>PUR-12-0411-00</v>
          </cell>
          <cell r="F2576">
            <v>3393164235</v>
          </cell>
        </row>
        <row r="2577">
          <cell r="E2577" t="str">
            <v>PUR-13-0147-00</v>
          </cell>
          <cell r="F2577">
            <v>3393164235</v>
          </cell>
        </row>
        <row r="2578">
          <cell r="E2578" t="str">
            <v>PURET-12-0004-00</v>
          </cell>
          <cell r="F2578">
            <v>3393164235</v>
          </cell>
        </row>
        <row r="2579">
          <cell r="E2579" t="str">
            <v>PURET-12-0029-00</v>
          </cell>
          <cell r="F2579">
            <v>3393164235</v>
          </cell>
        </row>
        <row r="2580">
          <cell r="E2580" t="str">
            <v>PUR-12-0332-00</v>
          </cell>
          <cell r="F2580">
            <v>3393164235</v>
          </cell>
        </row>
        <row r="2581">
          <cell r="E2581" t="str">
            <v>PUR-14-0076-00</v>
          </cell>
          <cell r="F2581">
            <v>7425811374</v>
          </cell>
        </row>
        <row r="2582">
          <cell r="E2582" t="str">
            <v>EF-45098407</v>
          </cell>
          <cell r="F2582">
            <v>7425811374</v>
          </cell>
        </row>
        <row r="2583">
          <cell r="E2583" t="str">
            <v>EF-45098407</v>
          </cell>
          <cell r="F2583">
            <v>7425811374</v>
          </cell>
        </row>
        <row r="2584">
          <cell r="E2584" t="str">
            <v>EF-45124074</v>
          </cell>
          <cell r="F2584">
            <v>7425811374</v>
          </cell>
        </row>
        <row r="2585">
          <cell r="E2585" t="str">
            <v>PUR-14-0077-00</v>
          </cell>
          <cell r="F2585">
            <v>7425811374</v>
          </cell>
        </row>
        <row r="2586">
          <cell r="E2586" t="str">
            <v>PUR-14-0083-00</v>
          </cell>
          <cell r="F2586">
            <v>7425811374</v>
          </cell>
        </row>
        <row r="2587">
          <cell r="E2587" t="str">
            <v>PUR-14-0077-00</v>
          </cell>
          <cell r="F2587">
            <v>7425811374</v>
          </cell>
        </row>
        <row r="2588">
          <cell r="E2588" t="str">
            <v>PUR-14-0083-00</v>
          </cell>
          <cell r="F2588">
            <v>7425811374</v>
          </cell>
        </row>
        <row r="2589">
          <cell r="E2589" t="str">
            <v>EF-45072100.X.X</v>
          </cell>
          <cell r="F2589">
            <v>7425811374</v>
          </cell>
        </row>
        <row r="2590">
          <cell r="E2590" t="str">
            <v>EF-45051531.X.X</v>
          </cell>
          <cell r="F2590">
            <v>7425811374</v>
          </cell>
        </row>
        <row r="2591">
          <cell r="E2591" t="str">
            <v>EF-45051531.X.X</v>
          </cell>
          <cell r="F2591">
            <v>7425811374</v>
          </cell>
        </row>
        <row r="2592">
          <cell r="E2592" t="str">
            <v>PUR-13-0157-00</v>
          </cell>
          <cell r="F2592">
            <v>7425811374</v>
          </cell>
        </row>
        <row r="2593">
          <cell r="E2593" t="str">
            <v>PUR-13-0125-00</v>
          </cell>
          <cell r="F2593">
            <v>7425811374</v>
          </cell>
        </row>
        <row r="2594">
          <cell r="E2594" t="str">
            <v>PUR-13-0125-00</v>
          </cell>
          <cell r="F2594">
            <v>7425811374</v>
          </cell>
        </row>
        <row r="2595">
          <cell r="E2595" t="str">
            <v>EF-45113161</v>
          </cell>
          <cell r="F2595">
            <v>7425811374</v>
          </cell>
        </row>
        <row r="2596">
          <cell r="E2596" t="str">
            <v>EF-45051531.X.X</v>
          </cell>
          <cell r="F2596">
            <v>7425811374</v>
          </cell>
        </row>
        <row r="2597">
          <cell r="E2597" t="str">
            <v>EF-45046920</v>
          </cell>
          <cell r="F2597">
            <v>7425811374</v>
          </cell>
        </row>
        <row r="2598">
          <cell r="E2598" t="str">
            <v>PURET-24-0002-00</v>
          </cell>
          <cell r="F2598">
            <v>7425811374</v>
          </cell>
        </row>
        <row r="2599">
          <cell r="E2599" t="str">
            <v>LUC-EZZ-450249-00</v>
          </cell>
          <cell r="F2599">
            <v>7425811374</v>
          </cell>
        </row>
        <row r="2600">
          <cell r="E2600" t="str">
            <v>PUR-09-0343-00</v>
          </cell>
          <cell r="F2600">
            <v>425055642287</v>
          </cell>
        </row>
        <row r="2601">
          <cell r="E2601" t="str">
            <v>EF-45055310</v>
          </cell>
          <cell r="F2601">
            <v>419341534948</v>
          </cell>
        </row>
        <row r="2602">
          <cell r="E2602" t="str">
            <v>EF-45027595</v>
          </cell>
          <cell r="F2602">
            <v>419341534948</v>
          </cell>
        </row>
        <row r="2603">
          <cell r="E2603" t="str">
            <v>LUC-E00-690217-00</v>
          </cell>
          <cell r="F2603">
            <v>643036753297</v>
          </cell>
        </row>
        <row r="2604">
          <cell r="E2604" t="str">
            <v>PUR-27-0019-00</v>
          </cell>
          <cell r="F2604">
            <v>643036753334</v>
          </cell>
        </row>
        <row r="2605">
          <cell r="E2605" t="str">
            <v>PUR-27-0019-00</v>
          </cell>
          <cell r="F2605">
            <v>643036753334</v>
          </cell>
        </row>
        <row r="2606">
          <cell r="E2606" t="str">
            <v>PUR-27-0019-00</v>
          </cell>
          <cell r="F2606">
            <v>643036753334</v>
          </cell>
        </row>
        <row r="2607">
          <cell r="E2607" t="str">
            <v>LUC-E00-400010-021</v>
          </cell>
          <cell r="F2607">
            <v>447948408103</v>
          </cell>
        </row>
        <row r="2608">
          <cell r="E2608" t="str">
            <v>LUC-E00-470086-00</v>
          </cell>
          <cell r="F2608">
            <v>447948408103</v>
          </cell>
        </row>
        <row r="2609">
          <cell r="E2609" t="str">
            <v>LUC-E00-400054-01</v>
          </cell>
          <cell r="F2609">
            <v>447948408103</v>
          </cell>
        </row>
        <row r="2610">
          <cell r="E2610" t="str">
            <v>LUC-EZZ-470181-00</v>
          </cell>
          <cell r="F2610">
            <v>447948408103</v>
          </cell>
        </row>
        <row r="2611">
          <cell r="E2611" t="str">
            <v>PUR-09-0434-00</v>
          </cell>
          <cell r="F2611">
            <v>447948408103</v>
          </cell>
        </row>
        <row r="2612">
          <cell r="E2612" t="str">
            <v>LUC-EZZ-470095-00</v>
          </cell>
          <cell r="F2612">
            <v>447948408103</v>
          </cell>
        </row>
        <row r="2613">
          <cell r="E2613" t="str">
            <v>PUR-09-0322-00</v>
          </cell>
          <cell r="F2613">
            <v>447948408103</v>
          </cell>
        </row>
        <row r="2614">
          <cell r="E2614" t="str">
            <v>LUC-E00-420027-05</v>
          </cell>
          <cell r="F2614">
            <v>447948408103</v>
          </cell>
        </row>
        <row r="2615">
          <cell r="E2615" t="str">
            <v>LUC-E00-470081-00</v>
          </cell>
          <cell r="F2615">
            <v>447948408103</v>
          </cell>
        </row>
        <row r="2616">
          <cell r="E2616" t="str">
            <v>LUC-E00-470071-01</v>
          </cell>
          <cell r="F2616">
            <v>447948408103</v>
          </cell>
        </row>
        <row r="2617">
          <cell r="E2617" t="str">
            <v>LUC-EZZ-400331-00</v>
          </cell>
          <cell r="F2617">
            <v>447948408103</v>
          </cell>
        </row>
        <row r="2618">
          <cell r="E2618" t="str">
            <v>PUR-09-0324-00</v>
          </cell>
          <cell r="F2618">
            <v>447948408103</v>
          </cell>
        </row>
        <row r="2619">
          <cell r="E2619" t="str">
            <v>EF-45127606</v>
          </cell>
          <cell r="F2619">
            <v>447948408103</v>
          </cell>
        </row>
        <row r="2620">
          <cell r="E2620" t="str">
            <v>LUC-E00-470030-00</v>
          </cell>
          <cell r="F2620">
            <v>447948408103</v>
          </cell>
        </row>
        <row r="2621">
          <cell r="E2621" t="str">
            <v>LUC-E00-470028-00</v>
          </cell>
          <cell r="F2621">
            <v>447948408103</v>
          </cell>
        </row>
        <row r="2622">
          <cell r="E2622" t="str">
            <v>PUR-09-0255-00</v>
          </cell>
          <cell r="F2622">
            <v>447948408103</v>
          </cell>
        </row>
        <row r="2623">
          <cell r="E2623" t="str">
            <v>LUC-E00-470028-00</v>
          </cell>
          <cell r="F2623">
            <v>447948408103</v>
          </cell>
        </row>
        <row r="2624">
          <cell r="E2624" t="str">
            <v>EF-45091073.X.X</v>
          </cell>
          <cell r="F2624">
            <v>447948408103</v>
          </cell>
        </row>
        <row r="2625">
          <cell r="E2625" t="str">
            <v>LUC-E00-460007-00</v>
          </cell>
          <cell r="F2625">
            <v>447948408103</v>
          </cell>
        </row>
        <row r="2626">
          <cell r="E2626" t="str">
            <v>LUC-E00-400026-00</v>
          </cell>
          <cell r="F2626">
            <v>447948408103</v>
          </cell>
        </row>
        <row r="2627">
          <cell r="E2627" t="str">
            <v>LUC-E00-470081-00</v>
          </cell>
          <cell r="F2627">
            <v>447948408103</v>
          </cell>
        </row>
        <row r="2628">
          <cell r="E2628" t="str">
            <v>EF-45120129</v>
          </cell>
          <cell r="F2628">
            <v>447948408103</v>
          </cell>
        </row>
        <row r="2629">
          <cell r="E2629" t="str">
            <v>LUC-E00-450068-00</v>
          </cell>
          <cell r="F2629">
            <v>447948408103</v>
          </cell>
        </row>
        <row r="2630">
          <cell r="E2630" t="str">
            <v>PUR-09-0324-00</v>
          </cell>
          <cell r="F2630">
            <v>447948408103</v>
          </cell>
        </row>
        <row r="2631">
          <cell r="E2631" t="str">
            <v>PUR-09-0279-00</v>
          </cell>
          <cell r="F2631">
            <v>447948408103</v>
          </cell>
        </row>
        <row r="2632">
          <cell r="E2632" t="str">
            <v>PUR-09-0256-00</v>
          </cell>
          <cell r="F2632">
            <v>447948408103</v>
          </cell>
        </row>
        <row r="2633">
          <cell r="E2633" t="str">
            <v>PUR-09-0434-00</v>
          </cell>
          <cell r="F2633">
            <v>447948408103</v>
          </cell>
        </row>
        <row r="2634">
          <cell r="E2634" t="str">
            <v>LUC-EZZ-470181-00</v>
          </cell>
          <cell r="F2634">
            <v>447948408103</v>
          </cell>
        </row>
        <row r="2635">
          <cell r="E2635" t="str">
            <v>PUR-09-0255-00</v>
          </cell>
          <cell r="F2635">
            <v>447948408103</v>
          </cell>
        </row>
        <row r="2636">
          <cell r="E2636" t="str">
            <v>LUC-EZZ-471621-00</v>
          </cell>
          <cell r="F2636">
            <v>447948408103</v>
          </cell>
        </row>
        <row r="2637">
          <cell r="E2637" t="str">
            <v>EF-45056862.X.X</v>
          </cell>
          <cell r="F2637">
            <v>447948408103</v>
          </cell>
        </row>
        <row r="2638">
          <cell r="E2638" t="str">
            <v>LUC-E00-470472-00</v>
          </cell>
          <cell r="F2638">
            <v>447948408103</v>
          </cell>
        </row>
        <row r="2639">
          <cell r="E2639" t="str">
            <v>LUC-E00-420027-05</v>
          </cell>
          <cell r="F2639">
            <v>447948408103</v>
          </cell>
        </row>
        <row r="2640">
          <cell r="E2640" t="str">
            <v>LUC-EZZ-470095-00</v>
          </cell>
          <cell r="F2640">
            <v>447948408103</v>
          </cell>
        </row>
        <row r="2641">
          <cell r="E2641" t="str">
            <v>PUR-09-0256-00</v>
          </cell>
          <cell r="F2641">
            <v>447948408103</v>
          </cell>
        </row>
        <row r="2642">
          <cell r="E2642" t="str">
            <v>LUC-E00-400025-09</v>
          </cell>
          <cell r="F2642">
            <v>447948408103</v>
          </cell>
        </row>
        <row r="2643">
          <cell r="E2643" t="str">
            <v>PUR-18-0579-00</v>
          </cell>
          <cell r="F2643">
            <v>772489810599</v>
          </cell>
        </row>
        <row r="2644">
          <cell r="E2644" t="str">
            <v>PUR-18-0580-00</v>
          </cell>
          <cell r="F2644">
            <v>772489810599</v>
          </cell>
        </row>
        <row r="2645">
          <cell r="E2645" t="str">
            <v>PUR-18-0483-00</v>
          </cell>
          <cell r="F2645">
            <v>772489810599</v>
          </cell>
        </row>
        <row r="2646">
          <cell r="E2646" t="str">
            <v>PUR-18-0518-00</v>
          </cell>
          <cell r="F2646">
            <v>772489810599</v>
          </cell>
        </row>
        <row r="2647">
          <cell r="E2647" t="str">
            <v>PURET-13-0028-00</v>
          </cell>
          <cell r="F2647">
            <v>772489307886</v>
          </cell>
        </row>
        <row r="2648">
          <cell r="E2648" t="str">
            <v>PUR-13-0148-00</v>
          </cell>
          <cell r="F2648">
            <v>772489307886</v>
          </cell>
        </row>
        <row r="2649">
          <cell r="E2649" t="str">
            <v>PUR-13-0150-00</v>
          </cell>
          <cell r="F2649">
            <v>772489307886</v>
          </cell>
        </row>
        <row r="2650">
          <cell r="E2650" t="str">
            <v>PUR-13-0244-00</v>
          </cell>
          <cell r="F2650">
            <v>772489307886</v>
          </cell>
        </row>
        <row r="2651">
          <cell r="E2651" t="str">
            <v>PUR-13-0150-00</v>
          </cell>
          <cell r="F2651">
            <v>772489307886</v>
          </cell>
        </row>
        <row r="2652">
          <cell r="E2652" t="str">
            <v>PUR-13-0150-00</v>
          </cell>
          <cell r="F2652">
            <v>772489307886</v>
          </cell>
        </row>
        <row r="2653">
          <cell r="E2653" t="str">
            <v>EF-45057846.X.X</v>
          </cell>
          <cell r="F2653">
            <v>772489307886</v>
          </cell>
        </row>
        <row r="2654">
          <cell r="E2654" t="str">
            <v>PUR-13-0153-00</v>
          </cell>
          <cell r="F2654">
            <v>772489307886</v>
          </cell>
        </row>
        <row r="2655">
          <cell r="E2655" t="str">
            <v>EF-45058007.X.X</v>
          </cell>
          <cell r="F2655">
            <v>772489307886</v>
          </cell>
        </row>
        <row r="2656">
          <cell r="E2656" t="str">
            <v>LUC-E00-510020-00</v>
          </cell>
          <cell r="F2656">
            <v>772489307886</v>
          </cell>
        </row>
        <row r="2657">
          <cell r="E2657" t="str">
            <v>LUC-E00-690033-02</v>
          </cell>
          <cell r="F2657">
            <v>772516340209</v>
          </cell>
        </row>
        <row r="2658">
          <cell r="E2658" t="str">
            <v>LUC-E00-690033-03</v>
          </cell>
          <cell r="F2658">
            <v>772516340209</v>
          </cell>
        </row>
        <row r="2659">
          <cell r="E2659" t="str">
            <v>LUC-P21-K87100-00-R</v>
          </cell>
          <cell r="F2659">
            <v>4812791175</v>
          </cell>
        </row>
        <row r="2660">
          <cell r="E2660" t="str">
            <v>PUR-11-0065-06</v>
          </cell>
          <cell r="F2660" t="str">
            <v>LSZHPH2501856</v>
          </cell>
        </row>
        <row r="2661">
          <cell r="E2661" t="str">
            <v>PUR-11-0092-05</v>
          </cell>
          <cell r="F2661" t="str">
            <v>LSZHPH2501856</v>
          </cell>
        </row>
        <row r="2662">
          <cell r="E2662" t="str">
            <v>PUR-11-0066-05</v>
          </cell>
          <cell r="F2662" t="str">
            <v>LSZHPH2501856</v>
          </cell>
        </row>
        <row r="2663">
          <cell r="E2663" t="str">
            <v>LUC-EZZ-420049-00</v>
          </cell>
          <cell r="F2663">
            <v>439135158691</v>
          </cell>
        </row>
        <row r="2664">
          <cell r="E2664" t="str">
            <v>LUC-E00-470096-00</v>
          </cell>
          <cell r="F2664">
            <v>4110322159</v>
          </cell>
        </row>
        <row r="2665">
          <cell r="E2665" t="str">
            <v>LUC-E00-470096-00</v>
          </cell>
          <cell r="F2665">
            <v>4110322160</v>
          </cell>
        </row>
        <row r="2666">
          <cell r="E2666" t="str">
            <v>PUR-03-0096-02</v>
          </cell>
          <cell r="F2666" t="str">
            <v>8TV1957</v>
          </cell>
        </row>
        <row r="2667">
          <cell r="E2667" t="str">
            <v>PUR-03-0096-02</v>
          </cell>
          <cell r="F2667" t="str">
            <v>8TV1957</v>
          </cell>
        </row>
        <row r="2668">
          <cell r="E2668" t="str">
            <v>PUR-03-0099-03</v>
          </cell>
          <cell r="F2668" t="str">
            <v>8TV1957</v>
          </cell>
        </row>
        <row r="2669">
          <cell r="E2669" t="str">
            <v>PUR-03-0099-03</v>
          </cell>
          <cell r="F2669" t="str">
            <v>8TV1957</v>
          </cell>
        </row>
        <row r="2670">
          <cell r="E2670" t="str">
            <v>PUR-03-0092-03-H</v>
          </cell>
          <cell r="F2670" t="str">
            <v>8TV1964</v>
          </cell>
        </row>
        <row r="2671">
          <cell r="E2671" t="str">
            <v>PUR-03-0092-03-H</v>
          </cell>
          <cell r="F2671" t="str">
            <v>8TV1971</v>
          </cell>
        </row>
        <row r="2672">
          <cell r="E2672" t="str">
            <v>PUR-03-0092-03-H</v>
          </cell>
          <cell r="F2672" t="str">
            <v>8TV1972</v>
          </cell>
        </row>
        <row r="2673">
          <cell r="E2673" t="str">
            <v>PUR-03-0092-03-H</v>
          </cell>
          <cell r="F2673" t="str">
            <v>8TV1973</v>
          </cell>
        </row>
        <row r="2674">
          <cell r="E2674" t="str">
            <v>PUR-03-0092-03-H</v>
          </cell>
          <cell r="F2674" t="str">
            <v>8TV1974</v>
          </cell>
        </row>
        <row r="2675">
          <cell r="E2675" t="str">
            <v>PUR-03-0092-03-H</v>
          </cell>
          <cell r="F2675" t="str">
            <v>8TV1975</v>
          </cell>
        </row>
        <row r="2676">
          <cell r="E2676" t="str">
            <v>PUR-03-0096-02</v>
          </cell>
          <cell r="F2676" t="str">
            <v>8TV1949</v>
          </cell>
        </row>
        <row r="2677">
          <cell r="E2677" t="str">
            <v>PUR-03-0096-02</v>
          </cell>
          <cell r="F2677" t="str">
            <v>8TV1950</v>
          </cell>
        </row>
        <row r="2678">
          <cell r="E2678" t="str">
            <v>EF-45205872</v>
          </cell>
          <cell r="F2678">
            <v>714497060288</v>
          </cell>
        </row>
        <row r="2679">
          <cell r="E2679" t="str">
            <v>EF-45227728</v>
          </cell>
          <cell r="F2679">
            <v>714497060288</v>
          </cell>
        </row>
        <row r="2680">
          <cell r="E2680" t="str">
            <v>EF-45166123-9</v>
          </cell>
          <cell r="F2680">
            <v>714497060288</v>
          </cell>
        </row>
        <row r="2681">
          <cell r="E2681" t="str">
            <v>LUC-EZZ-490230-04</v>
          </cell>
          <cell r="F2681">
            <v>6519970310</v>
          </cell>
        </row>
        <row r="2682">
          <cell r="E2682" t="str">
            <v>LUC-EZZ-490230-04</v>
          </cell>
          <cell r="F2682">
            <v>6519970310</v>
          </cell>
        </row>
        <row r="2683">
          <cell r="E2683" t="str">
            <v>LUC-EZZ-490317-02</v>
          </cell>
          <cell r="F2683">
            <v>6519970310</v>
          </cell>
        </row>
        <row r="2684">
          <cell r="E2684" t="str">
            <v>AGI-510-40081-01</v>
          </cell>
          <cell r="F2684">
            <v>446184991122</v>
          </cell>
        </row>
        <row r="2685">
          <cell r="E2685" t="str">
            <v>LUC-EZZ-690244-00</v>
          </cell>
          <cell r="F2685">
            <v>285915434300</v>
          </cell>
        </row>
        <row r="2686">
          <cell r="E2686" t="str">
            <v>LUC-E00-690055-00</v>
          </cell>
          <cell r="F2686">
            <v>285915434300</v>
          </cell>
        </row>
        <row r="2687">
          <cell r="E2687" t="str">
            <v>LUC-E00-470183-00</v>
          </cell>
          <cell r="F2687">
            <v>441407922430</v>
          </cell>
        </row>
        <row r="2688">
          <cell r="E2688" t="str">
            <v>PUR-07-0328-00</v>
          </cell>
          <cell r="F2688">
            <v>422229070305</v>
          </cell>
        </row>
        <row r="2689">
          <cell r="E2689" t="str">
            <v>PUR-07-0167-00</v>
          </cell>
          <cell r="F2689">
            <v>422229070305</v>
          </cell>
        </row>
        <row r="2690">
          <cell r="E2690" t="str">
            <v>LUC-E00-690010-02</v>
          </cell>
          <cell r="F2690">
            <v>286037627766</v>
          </cell>
        </row>
        <row r="2691">
          <cell r="E2691" t="str">
            <v>LUC-E00-690010-02</v>
          </cell>
          <cell r="F2691">
            <v>286037627766</v>
          </cell>
        </row>
        <row r="2692">
          <cell r="E2692" t="str">
            <v>LUC-E00-470047-00</v>
          </cell>
          <cell r="F2692">
            <v>643036753827</v>
          </cell>
        </row>
        <row r="2693">
          <cell r="E2693" t="str">
            <v>LUC-E00-510031-00</v>
          </cell>
          <cell r="F2693" t="str">
            <v>1Z75A9570472974491</v>
          </cell>
        </row>
        <row r="2694">
          <cell r="E2694" t="str">
            <v>EF-45168872</v>
          </cell>
          <cell r="F2694">
            <v>447948400488</v>
          </cell>
        </row>
        <row r="2695">
          <cell r="E2695" t="str">
            <v>EF-45112739</v>
          </cell>
          <cell r="F2695">
            <v>286168007299</v>
          </cell>
        </row>
        <row r="2696">
          <cell r="E2696" t="str">
            <v>EF-45206256</v>
          </cell>
          <cell r="F2696">
            <v>722661008816</v>
          </cell>
        </row>
        <row r="2697">
          <cell r="E2697" t="str">
            <v>LUC-E00-440003-01</v>
          </cell>
          <cell r="F2697">
            <v>722661008816</v>
          </cell>
        </row>
        <row r="2698">
          <cell r="E2698" t="str">
            <v>LUC-E00-440003-02</v>
          </cell>
          <cell r="F2698">
            <v>722661008816</v>
          </cell>
        </row>
        <row r="2699">
          <cell r="E2699" t="str">
            <v>LUC-E00-440013-00</v>
          </cell>
          <cell r="F2699">
            <v>722661008816</v>
          </cell>
        </row>
        <row r="2700">
          <cell r="E2700" t="str">
            <v>LUC-E00-440014-01</v>
          </cell>
          <cell r="F2700">
            <v>722661008816</v>
          </cell>
        </row>
        <row r="2701">
          <cell r="E2701" t="str">
            <v>LUC-E00-440023-02</v>
          </cell>
          <cell r="F2701">
            <v>722661008816</v>
          </cell>
        </row>
        <row r="2702">
          <cell r="E2702" t="str">
            <v>LUC-E00-440044-00</v>
          </cell>
          <cell r="F2702">
            <v>722661008816</v>
          </cell>
        </row>
        <row r="2703">
          <cell r="E2703" t="str">
            <v>LUC-E00-440072-01</v>
          </cell>
          <cell r="F2703">
            <v>722661008816</v>
          </cell>
        </row>
        <row r="2704">
          <cell r="E2704" t="str">
            <v>LUC-E00-440124-00</v>
          </cell>
          <cell r="F2704">
            <v>722661008816</v>
          </cell>
        </row>
        <row r="2705">
          <cell r="E2705" t="str">
            <v>LUC-EZZ-440028-00</v>
          </cell>
          <cell r="F2705">
            <v>722661008816</v>
          </cell>
        </row>
        <row r="2706">
          <cell r="E2706" t="str">
            <v>LUC-EZZ-440031-00</v>
          </cell>
          <cell r="F2706">
            <v>722661008816</v>
          </cell>
        </row>
        <row r="2707">
          <cell r="E2707" t="str">
            <v>LUC-EZZ-440911-00</v>
          </cell>
          <cell r="F2707">
            <v>722661008816</v>
          </cell>
        </row>
        <row r="2708">
          <cell r="E2708" t="str">
            <v>LUC-EZZ-440030-00</v>
          </cell>
          <cell r="F2708">
            <v>722661008816</v>
          </cell>
        </row>
        <row r="2709">
          <cell r="E2709" t="str">
            <v>LUC-EZZ-440090-00</v>
          </cell>
          <cell r="F2709">
            <v>722661008816</v>
          </cell>
        </row>
        <row r="2710">
          <cell r="E2710" t="str">
            <v>LUC-E00-440077-02</v>
          </cell>
          <cell r="F2710">
            <v>722661008816</v>
          </cell>
        </row>
        <row r="2711">
          <cell r="E2711" t="str">
            <v>LUC-E00-440051-01</v>
          </cell>
          <cell r="F2711">
            <v>722661008816</v>
          </cell>
        </row>
        <row r="2712">
          <cell r="E2712" t="str">
            <v>LUC-EZZ-440099-00</v>
          </cell>
          <cell r="F2712">
            <v>722661008816</v>
          </cell>
        </row>
        <row r="2713">
          <cell r="E2713" t="str">
            <v>EF-45193108</v>
          </cell>
          <cell r="F2713">
            <v>772519644863</v>
          </cell>
        </row>
        <row r="2714">
          <cell r="E2714" t="str">
            <v>LUC-EZZ-420101-00</v>
          </cell>
          <cell r="F2714">
            <v>571583413924</v>
          </cell>
        </row>
        <row r="2715">
          <cell r="E2715" t="str">
            <v>LUC-EZZ-420101-00</v>
          </cell>
          <cell r="F2715">
            <v>571583413924</v>
          </cell>
        </row>
        <row r="2716">
          <cell r="E2716" t="str">
            <v>LUC-EZZ-420101-00</v>
          </cell>
          <cell r="F2716">
            <v>571583413924</v>
          </cell>
        </row>
        <row r="2717">
          <cell r="E2717" t="str">
            <v>LUC-EZZ-420101-00</v>
          </cell>
          <cell r="F2717">
            <v>571583413924</v>
          </cell>
        </row>
        <row r="2718">
          <cell r="E2718" t="str">
            <v>LUC-EZZ-420101-00</v>
          </cell>
          <cell r="F2718">
            <v>571583413924</v>
          </cell>
        </row>
        <row r="2719">
          <cell r="E2719" t="str">
            <v>LUC-E00-420002-09</v>
          </cell>
          <cell r="F2719">
            <v>571583413924</v>
          </cell>
        </row>
        <row r="2720">
          <cell r="E2720" t="str">
            <v>LUC-E00-420002-03</v>
          </cell>
          <cell r="F2720">
            <v>571583413924</v>
          </cell>
        </row>
        <row r="2721">
          <cell r="E2721" t="str">
            <v>LUC-E00-420002-03</v>
          </cell>
          <cell r="F2721">
            <v>571583413924</v>
          </cell>
        </row>
        <row r="2722">
          <cell r="E2722" t="str">
            <v>LUC-E00-480001-00</v>
          </cell>
          <cell r="F2722">
            <v>650242687652</v>
          </cell>
        </row>
        <row r="2723">
          <cell r="E2723" t="str">
            <v>PURET-13-0022-00</v>
          </cell>
          <cell r="F2723">
            <v>434611754675</v>
          </cell>
        </row>
        <row r="2724">
          <cell r="E2724" t="str">
            <v>PUR-13-0147-00</v>
          </cell>
          <cell r="F2724">
            <v>434611754675</v>
          </cell>
        </row>
        <row r="2725">
          <cell r="E2725" t="str">
            <v>PURET-13-0022-00</v>
          </cell>
          <cell r="F2725">
            <v>434611754675</v>
          </cell>
        </row>
        <row r="2726">
          <cell r="E2726" t="str">
            <v>PURET-13-0022-00</v>
          </cell>
          <cell r="F2726">
            <v>434611754675</v>
          </cell>
        </row>
        <row r="2727">
          <cell r="E2727" t="str">
            <v>PUR-13-0160-00</v>
          </cell>
          <cell r="F2727">
            <v>434611754675</v>
          </cell>
        </row>
        <row r="2728">
          <cell r="E2728" t="str">
            <v>PUR-13-0161-00</v>
          </cell>
          <cell r="F2728">
            <v>434611754675</v>
          </cell>
        </row>
        <row r="2729">
          <cell r="E2729" t="str">
            <v>PURET-13-0022-00</v>
          </cell>
          <cell r="F2729">
            <v>434611754675</v>
          </cell>
        </row>
        <row r="2730">
          <cell r="E2730" t="str">
            <v>122-000701.X.X</v>
          </cell>
          <cell r="F2730">
            <v>434611754675</v>
          </cell>
        </row>
        <row r="2731">
          <cell r="E2731" t="str">
            <v>EF-45115697</v>
          </cell>
          <cell r="F2731">
            <v>447956376180</v>
          </cell>
        </row>
        <row r="2732">
          <cell r="E2732" t="str">
            <v>EF-45236356</v>
          </cell>
          <cell r="F2732">
            <v>447956376180</v>
          </cell>
        </row>
        <row r="2733">
          <cell r="E2733" t="str">
            <v>PUR-09-0294-00</v>
          </cell>
          <cell r="F2733">
            <v>447956376180</v>
          </cell>
        </row>
        <row r="2734">
          <cell r="E2734" t="str">
            <v>EF-45234399</v>
          </cell>
          <cell r="F2734">
            <v>447956376180</v>
          </cell>
        </row>
        <row r="2735">
          <cell r="E2735" t="str">
            <v>LUC-E00-400067-207</v>
          </cell>
          <cell r="F2735">
            <v>447956376180</v>
          </cell>
        </row>
        <row r="2736">
          <cell r="E2736" t="str">
            <v>LUC-E00-400067-320</v>
          </cell>
          <cell r="F2736">
            <v>447956376180</v>
          </cell>
        </row>
        <row r="2737">
          <cell r="E2737" t="str">
            <v>LUC-EZZ-400297-00</v>
          </cell>
          <cell r="F2737">
            <v>447956376180</v>
          </cell>
        </row>
        <row r="2738">
          <cell r="E2738" t="str">
            <v>LUC-E00-440097-00</v>
          </cell>
          <cell r="F2738">
            <v>447956376180</v>
          </cell>
        </row>
        <row r="2739">
          <cell r="E2739" t="str">
            <v>LUC-EZZ-470211-00</v>
          </cell>
          <cell r="F2739">
            <v>286237286910</v>
          </cell>
        </row>
        <row r="2740">
          <cell r="E2740" t="str">
            <v>141-001532</v>
          </cell>
          <cell r="F2740">
            <v>772593416250</v>
          </cell>
        </row>
        <row r="2741">
          <cell r="E2741" t="str">
            <v>141-001532</v>
          </cell>
          <cell r="F2741">
            <v>772593416250</v>
          </cell>
        </row>
        <row r="2742">
          <cell r="E2742" t="str">
            <v>141-002725</v>
          </cell>
          <cell r="F2742">
            <v>772593416250</v>
          </cell>
        </row>
        <row r="2743">
          <cell r="E2743" t="str">
            <v>LUC-EZZ-470242-00</v>
          </cell>
          <cell r="F2743">
            <v>442084723397</v>
          </cell>
        </row>
        <row r="2744">
          <cell r="E2744" t="str">
            <v>102-001542</v>
          </cell>
          <cell r="F2744">
            <v>772596006279</v>
          </cell>
        </row>
        <row r="2745">
          <cell r="E2745" t="str">
            <v>PURET-12-0024-00</v>
          </cell>
          <cell r="F2745">
            <v>441557329207</v>
          </cell>
        </row>
        <row r="2746">
          <cell r="E2746" t="str">
            <v>PURET-13-0007-00</v>
          </cell>
          <cell r="F2746">
            <v>441557329207</v>
          </cell>
        </row>
        <row r="2747">
          <cell r="E2747" t="str">
            <v>PUR-13-0156-00</v>
          </cell>
          <cell r="F2747">
            <v>441557329207</v>
          </cell>
        </row>
        <row r="2748">
          <cell r="E2748" t="str">
            <v>PUR-21-0036-00</v>
          </cell>
          <cell r="F2748">
            <v>441557329207</v>
          </cell>
        </row>
        <row r="2749">
          <cell r="E2749" t="str">
            <v>PUR-13-0164-00</v>
          </cell>
          <cell r="F2749">
            <v>441557329207</v>
          </cell>
        </row>
        <row r="2750">
          <cell r="E2750" t="str">
            <v>LUC-E00-4700103-00</v>
          </cell>
          <cell r="F2750">
            <v>286170043702</v>
          </cell>
        </row>
        <row r="2751">
          <cell r="E2751" t="str">
            <v>PUR-13-0236-00</v>
          </cell>
          <cell r="F2751">
            <v>421281348207</v>
          </cell>
        </row>
        <row r="2752">
          <cell r="E2752" t="str">
            <v>EF-45059919.X.X</v>
          </cell>
          <cell r="F2752">
            <v>772543621937</v>
          </cell>
        </row>
        <row r="2753">
          <cell r="E2753" t="str">
            <v>EF-45036466.X.X</v>
          </cell>
          <cell r="F2753">
            <v>772543621937</v>
          </cell>
        </row>
        <row r="2754">
          <cell r="E2754" t="str">
            <v>PUR-12-0343-00</v>
          </cell>
          <cell r="F2754">
            <v>772543621937</v>
          </cell>
        </row>
        <row r="2755">
          <cell r="E2755" t="str">
            <v>EF-45044048.X.X</v>
          </cell>
          <cell r="F2755">
            <v>772543621937</v>
          </cell>
        </row>
        <row r="2756">
          <cell r="E2756" t="str">
            <v>LUC-E00-690003-00</v>
          </cell>
          <cell r="F2756">
            <v>409298777286</v>
          </cell>
        </row>
        <row r="2757">
          <cell r="E2757" t="str">
            <v>LUC-E00-440031-00</v>
          </cell>
          <cell r="F2757">
            <v>409298777286</v>
          </cell>
        </row>
        <row r="2758">
          <cell r="E2758" t="str">
            <v>LUC-E00-400022-000</v>
          </cell>
          <cell r="F2758">
            <v>409298777286</v>
          </cell>
        </row>
        <row r="2759">
          <cell r="E2759" t="str">
            <v>LUC-EZZ-420099-00</v>
          </cell>
          <cell r="F2759">
            <v>409298777286</v>
          </cell>
        </row>
        <row r="2760">
          <cell r="E2760" t="str">
            <v>LUC-EZZ-420099-00</v>
          </cell>
          <cell r="F2760">
            <v>409298777286</v>
          </cell>
        </row>
        <row r="2761">
          <cell r="E2761" t="str">
            <v>LUC-E00-420055-00</v>
          </cell>
          <cell r="F2761">
            <v>409298777286</v>
          </cell>
        </row>
        <row r="2762">
          <cell r="E2762" t="str">
            <v>LUC-EZZ-420098-00</v>
          </cell>
          <cell r="F2762">
            <v>409298777286</v>
          </cell>
        </row>
        <row r="2763">
          <cell r="E2763" t="str">
            <v>LUC-EZZ-420098-00</v>
          </cell>
          <cell r="F2763">
            <v>409298777286</v>
          </cell>
        </row>
        <row r="2764">
          <cell r="E2764" t="str">
            <v>PUR-12-0411-00</v>
          </cell>
          <cell r="F2764">
            <v>429083211823</v>
          </cell>
        </row>
        <row r="2765">
          <cell r="E2765" t="str">
            <v>PUR-14-0085-00</v>
          </cell>
          <cell r="F2765">
            <v>429083211823</v>
          </cell>
        </row>
        <row r="2766">
          <cell r="E2766" t="str">
            <v>PUR-21-0026-00</v>
          </cell>
          <cell r="F2766">
            <v>429083211823</v>
          </cell>
        </row>
        <row r="2767">
          <cell r="E2767" t="str">
            <v>PUR-09-0408-00</v>
          </cell>
          <cell r="F2767">
            <v>429083211823</v>
          </cell>
        </row>
        <row r="2768">
          <cell r="E2768" t="str">
            <v>AGI-510-40067-01</v>
          </cell>
          <cell r="F2768">
            <v>429083211823</v>
          </cell>
        </row>
        <row r="2769">
          <cell r="E2769" t="str">
            <v>PUR-05-0027-00</v>
          </cell>
          <cell r="F2769">
            <v>429083211823</v>
          </cell>
        </row>
        <row r="2770">
          <cell r="E2770" t="str">
            <v>LUC-EZZ-420482-00</v>
          </cell>
          <cell r="F2770">
            <v>429083211823</v>
          </cell>
        </row>
        <row r="2771">
          <cell r="E2771" t="str">
            <v>LUC-E00-460005-00</v>
          </cell>
          <cell r="F2771">
            <v>429083211823</v>
          </cell>
        </row>
        <row r="2772">
          <cell r="E2772" t="str">
            <v>LUC-E00-510029-00</v>
          </cell>
          <cell r="F2772">
            <v>429083211823</v>
          </cell>
        </row>
        <row r="2773">
          <cell r="E2773" t="str">
            <v>LUC-E00-440108-00</v>
          </cell>
          <cell r="F2773">
            <v>429083211823</v>
          </cell>
        </row>
        <row r="2774">
          <cell r="E2774" t="str">
            <v>LUC-E00-510029-00</v>
          </cell>
          <cell r="F2774">
            <v>429083211823</v>
          </cell>
        </row>
        <row r="2775">
          <cell r="E2775" t="str">
            <v>LUC-EZZ-420396-00</v>
          </cell>
          <cell r="F2775">
            <v>429083211823</v>
          </cell>
        </row>
        <row r="2776">
          <cell r="E2776" t="str">
            <v>LUC-E00-420055-15</v>
          </cell>
          <cell r="F2776">
            <v>429083211823</v>
          </cell>
        </row>
        <row r="2777">
          <cell r="E2777" t="str">
            <v>LUC-EZZ-420396-00</v>
          </cell>
          <cell r="F2777">
            <v>429083211823</v>
          </cell>
        </row>
        <row r="2778">
          <cell r="E2778" t="str">
            <v>PUR-27-0024-00</v>
          </cell>
          <cell r="F2778">
            <v>429083211823</v>
          </cell>
        </row>
        <row r="2779">
          <cell r="E2779" t="str">
            <v>LUC-E00-400090-01</v>
          </cell>
          <cell r="F2779">
            <v>429083211823</v>
          </cell>
        </row>
        <row r="2780">
          <cell r="E2780" t="str">
            <v>LUC-E00-420055-08</v>
          </cell>
          <cell r="F2780">
            <v>429083211823</v>
          </cell>
        </row>
        <row r="2781">
          <cell r="E2781" t="str">
            <v>PUR-27-0019-00</v>
          </cell>
          <cell r="F2781">
            <v>429083211823</v>
          </cell>
        </row>
        <row r="2782">
          <cell r="E2782" t="str">
            <v>LUC-E00-440147-00</v>
          </cell>
          <cell r="F2782">
            <v>429083211823</v>
          </cell>
        </row>
        <row r="2783">
          <cell r="E2783" t="str">
            <v>LUC-EZZ-420482-00</v>
          </cell>
          <cell r="F2783">
            <v>429083211823</v>
          </cell>
        </row>
        <row r="2784">
          <cell r="E2784" t="str">
            <v>EF-45135159</v>
          </cell>
          <cell r="F2784">
            <v>429083211823</v>
          </cell>
        </row>
        <row r="2785">
          <cell r="E2785" t="str">
            <v>EF-45206161</v>
          </cell>
          <cell r="F2785">
            <v>429083211823</v>
          </cell>
        </row>
        <row r="2786">
          <cell r="E2786" t="str">
            <v>LUC-E00-400028-002</v>
          </cell>
          <cell r="F2786">
            <v>286075280984</v>
          </cell>
        </row>
        <row r="2787">
          <cell r="E2787" t="str">
            <v>PUR-12-0482-00</v>
          </cell>
          <cell r="F2787">
            <v>423264337265</v>
          </cell>
        </row>
        <row r="2788">
          <cell r="E2788" t="str">
            <v>PUR-14-0051-00</v>
          </cell>
          <cell r="F2788">
            <v>423264337265</v>
          </cell>
        </row>
        <row r="2789">
          <cell r="E2789" t="str">
            <v>PUR-14-0051-00</v>
          </cell>
          <cell r="F2789">
            <v>423264337265</v>
          </cell>
        </row>
        <row r="2790">
          <cell r="E2790" t="str">
            <v>PUR-12-0432-00</v>
          </cell>
          <cell r="F2790">
            <v>423264337265</v>
          </cell>
        </row>
        <row r="2791">
          <cell r="E2791" t="str">
            <v>121-000520.X.X</v>
          </cell>
          <cell r="F2791">
            <v>423264337265</v>
          </cell>
        </row>
        <row r="2792">
          <cell r="E2792" t="str">
            <v>121-000520.X.X</v>
          </cell>
          <cell r="F2792">
            <v>423264337265</v>
          </cell>
        </row>
        <row r="2793">
          <cell r="E2793" t="str">
            <v>PUR-12-0432-00</v>
          </cell>
          <cell r="F2793">
            <v>423264337265</v>
          </cell>
        </row>
        <row r="2794">
          <cell r="E2794" t="str">
            <v>LUC-E00-420135-00</v>
          </cell>
          <cell r="F2794">
            <v>423264337265</v>
          </cell>
        </row>
        <row r="2795">
          <cell r="E2795" t="str">
            <v>LUC-E00-420135-00</v>
          </cell>
          <cell r="F2795">
            <v>423264337265</v>
          </cell>
        </row>
        <row r="2796">
          <cell r="E2796" t="str">
            <v>PURET-12-0127-00</v>
          </cell>
          <cell r="F2796">
            <v>423264337265</v>
          </cell>
        </row>
        <row r="2797">
          <cell r="E2797" t="str">
            <v>PUR-12-0302-00</v>
          </cell>
          <cell r="F2797">
            <v>423264337265</v>
          </cell>
        </row>
        <row r="2798">
          <cell r="E2798" t="str">
            <v>EF-45044094.X.X</v>
          </cell>
          <cell r="F2798">
            <v>423264337265</v>
          </cell>
        </row>
        <row r="2799">
          <cell r="E2799" t="str">
            <v>PUR-12-0412-00</v>
          </cell>
          <cell r="F2799">
            <v>423264337265</v>
          </cell>
        </row>
        <row r="2800">
          <cell r="E2800" t="str">
            <v>121-001823</v>
          </cell>
          <cell r="F2800">
            <v>423264337265</v>
          </cell>
        </row>
        <row r="2801">
          <cell r="E2801" t="str">
            <v>121-001823</v>
          </cell>
          <cell r="F2801">
            <v>423264337265</v>
          </cell>
        </row>
        <row r="2802">
          <cell r="E2802" t="str">
            <v>LUC-E00-420024-00</v>
          </cell>
          <cell r="F2802">
            <v>423264337265</v>
          </cell>
        </row>
        <row r="2803">
          <cell r="E2803" t="str">
            <v>LUC-E00-420024-00</v>
          </cell>
          <cell r="F2803">
            <v>423264337265</v>
          </cell>
        </row>
        <row r="2804">
          <cell r="E2804" t="str">
            <v>LUC-E00-420025-04</v>
          </cell>
          <cell r="F2804">
            <v>423264337265</v>
          </cell>
        </row>
        <row r="2805">
          <cell r="E2805" t="str">
            <v>122-001250</v>
          </cell>
          <cell r="F2805">
            <v>423264337265</v>
          </cell>
        </row>
        <row r="2806">
          <cell r="E2806" t="str">
            <v>PUR-14-0051-00</v>
          </cell>
          <cell r="F2806">
            <v>423264337265</v>
          </cell>
        </row>
        <row r="2807">
          <cell r="E2807" t="str">
            <v>PUR-13-0215-00</v>
          </cell>
          <cell r="F2807">
            <v>423264337265</v>
          </cell>
        </row>
        <row r="2808">
          <cell r="E2808" t="str">
            <v>PURET-13-0001-00</v>
          </cell>
          <cell r="F2808">
            <v>423264337265</v>
          </cell>
        </row>
        <row r="2809">
          <cell r="E2809" t="str">
            <v>PUR-14-0086-00</v>
          </cell>
          <cell r="F2809">
            <v>423264337265</v>
          </cell>
        </row>
        <row r="2810">
          <cell r="E2810" t="str">
            <v>PUR-16-0035-00</v>
          </cell>
          <cell r="F2810" t="str">
            <v>LSZHPH2501966</v>
          </cell>
        </row>
        <row r="2811">
          <cell r="E2811" t="str">
            <v>PUR-16-0046-01</v>
          </cell>
          <cell r="F2811" t="str">
            <v>LSZHPH2501966</v>
          </cell>
        </row>
        <row r="2812">
          <cell r="E2812" t="str">
            <v>PUR-16-0051-00</v>
          </cell>
          <cell r="F2812" t="str">
            <v>LSZHPH2501966</v>
          </cell>
        </row>
        <row r="2813">
          <cell r="E2813" t="str">
            <v>LUC-E00-690011-00</v>
          </cell>
          <cell r="F2813">
            <v>286158276580</v>
          </cell>
        </row>
        <row r="2814">
          <cell r="E2814" t="str">
            <v>EF-45130963</v>
          </cell>
          <cell r="F2814">
            <v>286158276580</v>
          </cell>
        </row>
        <row r="2815">
          <cell r="E2815" t="str">
            <v>LUC-EZZ-490310-04</v>
          </cell>
          <cell r="F2815">
            <v>6520434255</v>
          </cell>
        </row>
        <row r="2816">
          <cell r="E2816" t="str">
            <v>LUC-P11-L1AU00-02</v>
          </cell>
          <cell r="F2816" t="str">
            <v>LSHHPH2501516</v>
          </cell>
        </row>
        <row r="2817">
          <cell r="E2817" t="str">
            <v>PUR-05-0032-00</v>
          </cell>
          <cell r="F2817">
            <v>7425830974</v>
          </cell>
        </row>
        <row r="2818">
          <cell r="E2818" t="str">
            <v>PUR-05-0032-00</v>
          </cell>
          <cell r="F2818">
            <v>7425830974</v>
          </cell>
        </row>
        <row r="2819">
          <cell r="E2819" t="str">
            <v>EF-45064498.X.X</v>
          </cell>
          <cell r="F2819">
            <v>643036753930</v>
          </cell>
        </row>
        <row r="2820">
          <cell r="E2820" t="str">
            <v>EF-45064498.X.X</v>
          </cell>
          <cell r="F2820">
            <v>643036753930</v>
          </cell>
        </row>
        <row r="2821">
          <cell r="E2821" t="str">
            <v>122-001250</v>
          </cell>
          <cell r="F2821">
            <v>423264340397</v>
          </cell>
        </row>
        <row r="2822">
          <cell r="E2822" t="str">
            <v>PUR-13-0241-00</v>
          </cell>
          <cell r="F2822">
            <v>423264340397</v>
          </cell>
        </row>
        <row r="2823">
          <cell r="E2823" t="str">
            <v>PUR-12-0318-00</v>
          </cell>
          <cell r="F2823">
            <v>423264340397</v>
          </cell>
        </row>
        <row r="2824">
          <cell r="E2824" t="str">
            <v>PUR-12-0322-00</v>
          </cell>
          <cell r="F2824">
            <v>423264340397</v>
          </cell>
        </row>
        <row r="2825">
          <cell r="E2825" t="str">
            <v>PUR-12-0328-00</v>
          </cell>
          <cell r="F2825">
            <v>423264340397</v>
          </cell>
        </row>
        <row r="2826">
          <cell r="E2826" t="str">
            <v>PUR-12-0307-00</v>
          </cell>
          <cell r="F2826">
            <v>423264340397</v>
          </cell>
        </row>
        <row r="2827">
          <cell r="E2827" t="str">
            <v>122-001191</v>
          </cell>
          <cell r="F2827">
            <v>423264340397</v>
          </cell>
        </row>
        <row r="2828">
          <cell r="E2828" t="str">
            <v>EF-45083316.X.X</v>
          </cell>
          <cell r="F2828">
            <v>423264340397</v>
          </cell>
        </row>
        <row r="2829">
          <cell r="E2829" t="str">
            <v>PUR-13-0212-00</v>
          </cell>
          <cell r="F2829">
            <v>423264340397</v>
          </cell>
        </row>
        <row r="2830">
          <cell r="E2830" t="str">
            <v>PUR-13-0212-00</v>
          </cell>
          <cell r="F2830">
            <v>423264340397</v>
          </cell>
        </row>
        <row r="2831">
          <cell r="E2831" t="str">
            <v>PUR-13-0212-00</v>
          </cell>
          <cell r="F2831">
            <v>423264340397</v>
          </cell>
        </row>
        <row r="2832">
          <cell r="E2832" t="str">
            <v>EF-45045057.X.X</v>
          </cell>
          <cell r="F2832">
            <v>423264340397</v>
          </cell>
        </row>
        <row r="2833">
          <cell r="E2833" t="str">
            <v>PUR-12-0365-00</v>
          </cell>
          <cell r="F2833">
            <v>423264340397</v>
          </cell>
        </row>
        <row r="2834">
          <cell r="E2834" t="str">
            <v>PUR-12-0472-00</v>
          </cell>
          <cell r="F2834">
            <v>423264340397</v>
          </cell>
        </row>
        <row r="2835">
          <cell r="E2835" t="str">
            <v>121-000358.X.X</v>
          </cell>
          <cell r="F2835">
            <v>423264340397</v>
          </cell>
        </row>
        <row r="2836">
          <cell r="E2836" t="str">
            <v>LUC-E00-420024-00</v>
          </cell>
          <cell r="F2836">
            <v>423264340397</v>
          </cell>
        </row>
        <row r="2837">
          <cell r="E2837" t="str">
            <v>PUR-13-0156-00</v>
          </cell>
          <cell r="F2837">
            <v>423264340397</v>
          </cell>
        </row>
        <row r="2838">
          <cell r="E2838" t="str">
            <v>122-000673.X.X</v>
          </cell>
          <cell r="F2838">
            <v>423264340397</v>
          </cell>
        </row>
        <row r="2839">
          <cell r="E2839" t="str">
            <v>122-000673.X.X</v>
          </cell>
          <cell r="F2839">
            <v>423264340397</v>
          </cell>
        </row>
        <row r="2840">
          <cell r="E2840" t="str">
            <v>122-000453.X.X</v>
          </cell>
          <cell r="F2840">
            <v>423264340397</v>
          </cell>
        </row>
        <row r="2841">
          <cell r="E2841" t="str">
            <v>PUR-13-0215-00</v>
          </cell>
          <cell r="F2841">
            <v>423264340397</v>
          </cell>
        </row>
        <row r="2842">
          <cell r="E2842" t="str">
            <v>PUR-13-0215-00</v>
          </cell>
          <cell r="F2842">
            <v>423264340397</v>
          </cell>
        </row>
        <row r="2843">
          <cell r="E2843" t="str">
            <v>PUR-13-0215-00</v>
          </cell>
          <cell r="F2843">
            <v>423264340397</v>
          </cell>
        </row>
        <row r="2844">
          <cell r="E2844" t="str">
            <v>PUR-13-0215-00</v>
          </cell>
          <cell r="F2844">
            <v>423264340397</v>
          </cell>
        </row>
        <row r="2845">
          <cell r="E2845" t="str">
            <v>PURET-13-0001-00</v>
          </cell>
          <cell r="F2845">
            <v>423264340397</v>
          </cell>
        </row>
        <row r="2846">
          <cell r="E2846" t="str">
            <v>PURET-13-0001-00</v>
          </cell>
          <cell r="F2846">
            <v>423264340397</v>
          </cell>
        </row>
        <row r="2847">
          <cell r="E2847" t="str">
            <v>PURET-13-0001-00</v>
          </cell>
          <cell r="F2847">
            <v>423264340397</v>
          </cell>
        </row>
        <row r="2848">
          <cell r="E2848" t="str">
            <v>EF-45045880</v>
          </cell>
          <cell r="F2848">
            <v>423264340397</v>
          </cell>
        </row>
        <row r="2849">
          <cell r="E2849" t="str">
            <v>PUR-13-0159-00</v>
          </cell>
          <cell r="F2849">
            <v>423264340397</v>
          </cell>
        </row>
        <row r="2850">
          <cell r="E2850" t="str">
            <v>PUR-13-0149-00</v>
          </cell>
          <cell r="F2850">
            <v>423264340397</v>
          </cell>
        </row>
        <row r="2851">
          <cell r="E2851" t="str">
            <v>PURET-12-0011-00</v>
          </cell>
          <cell r="F2851">
            <v>423264340397</v>
          </cell>
        </row>
        <row r="2852">
          <cell r="E2852" t="str">
            <v>LUC-E00-460015-00</v>
          </cell>
          <cell r="F2852">
            <v>447948500057</v>
          </cell>
        </row>
        <row r="2853">
          <cell r="E2853" t="str">
            <v>LUC-E00-400010-022</v>
          </cell>
          <cell r="F2853">
            <v>447948500057</v>
          </cell>
        </row>
        <row r="2854">
          <cell r="E2854" t="str">
            <v>EF-45169197</v>
          </cell>
          <cell r="F2854">
            <v>433911951283</v>
          </cell>
        </row>
        <row r="2855">
          <cell r="E2855" t="str">
            <v>LUC-E00-690030-02</v>
          </cell>
          <cell r="F2855">
            <v>433711646660</v>
          </cell>
        </row>
        <row r="2856">
          <cell r="E2856" t="str">
            <v>LUC-E00-690030-02</v>
          </cell>
          <cell r="F2856">
            <v>433711646660</v>
          </cell>
        </row>
        <row r="2857">
          <cell r="E2857" t="str">
            <v>LUC-E00-690030-02</v>
          </cell>
          <cell r="F2857">
            <v>433711646660</v>
          </cell>
        </row>
        <row r="2858">
          <cell r="E2858" t="str">
            <v>LUC-E00-690030-02</v>
          </cell>
          <cell r="F2858">
            <v>433711646660</v>
          </cell>
        </row>
        <row r="2859">
          <cell r="E2859" t="str">
            <v>LUC-E00-690030-02</v>
          </cell>
          <cell r="F2859">
            <v>433711646660</v>
          </cell>
        </row>
        <row r="2860">
          <cell r="E2860" t="str">
            <v>LUC-E00-690030-02</v>
          </cell>
          <cell r="F2860">
            <v>433711646660</v>
          </cell>
        </row>
        <row r="2861">
          <cell r="E2861" t="str">
            <v>LUC-E00-690030-02</v>
          </cell>
          <cell r="F2861">
            <v>433711646660</v>
          </cell>
        </row>
        <row r="2862">
          <cell r="E2862" t="str">
            <v>LUC-E00-690030-02</v>
          </cell>
          <cell r="F2862">
            <v>433711646660</v>
          </cell>
        </row>
        <row r="2863">
          <cell r="E2863" t="str">
            <v>LUC-E00-690030-02</v>
          </cell>
          <cell r="F2863">
            <v>433711646660</v>
          </cell>
        </row>
        <row r="2864">
          <cell r="E2864" t="str">
            <v>PUR-09-0233-00</v>
          </cell>
          <cell r="F2864">
            <v>425055644268</v>
          </cell>
        </row>
        <row r="2865">
          <cell r="E2865" t="str">
            <v>110-000101</v>
          </cell>
          <cell r="F2865">
            <v>447743104205</v>
          </cell>
        </row>
        <row r="2866">
          <cell r="E2866" t="str">
            <v>PUR-12-0417-00</v>
          </cell>
          <cell r="F2866">
            <v>447743104205</v>
          </cell>
        </row>
        <row r="2867">
          <cell r="E2867" t="str">
            <v>110-000101</v>
          </cell>
          <cell r="F2867">
            <v>447743104205</v>
          </cell>
        </row>
        <row r="2868">
          <cell r="E2868" t="str">
            <v>PUR-12-0418-00</v>
          </cell>
          <cell r="F2868">
            <v>447743104205</v>
          </cell>
        </row>
        <row r="2869">
          <cell r="E2869" t="str">
            <v>LUC-E00-400067-451</v>
          </cell>
          <cell r="F2869">
            <v>7251428520</v>
          </cell>
        </row>
        <row r="2870">
          <cell r="E2870" t="str">
            <v>LUC-E00-510112-00</v>
          </cell>
          <cell r="F2870">
            <v>7251428520</v>
          </cell>
        </row>
        <row r="2871">
          <cell r="E2871" t="str">
            <v>LUC-E00-470009-00</v>
          </cell>
          <cell r="F2871">
            <v>7251428520</v>
          </cell>
        </row>
        <row r="2872">
          <cell r="E2872" t="str">
            <v>LUC-E00-470118-00</v>
          </cell>
          <cell r="F2872">
            <v>7251428520</v>
          </cell>
        </row>
        <row r="2873">
          <cell r="E2873" t="str">
            <v>LUC-E00-420056-01</v>
          </cell>
          <cell r="F2873">
            <v>7251428520</v>
          </cell>
        </row>
        <row r="2874">
          <cell r="E2874" t="str">
            <v>LUC-E00-420057-00</v>
          </cell>
          <cell r="F2874">
            <v>7251428520</v>
          </cell>
        </row>
        <row r="2875">
          <cell r="E2875" t="str">
            <v>LUC-EZZ-510638-00</v>
          </cell>
          <cell r="F2875">
            <v>7251428520</v>
          </cell>
        </row>
        <row r="2876">
          <cell r="E2876" t="str">
            <v>LUC-E00-420025-05</v>
          </cell>
          <cell r="F2876">
            <v>7251428520</v>
          </cell>
        </row>
        <row r="2877">
          <cell r="E2877" t="str">
            <v>LUC-E00-470131-00</v>
          </cell>
          <cell r="F2877">
            <v>7251428520</v>
          </cell>
        </row>
        <row r="2878">
          <cell r="E2878" t="str">
            <v>LUC-E00-470122-01</v>
          </cell>
          <cell r="F2878">
            <v>7251428520</v>
          </cell>
        </row>
        <row r="2879">
          <cell r="E2879" t="str">
            <v>LUC-EZZ-470192-00</v>
          </cell>
          <cell r="F2879">
            <v>7251428520</v>
          </cell>
        </row>
        <row r="2880">
          <cell r="E2880" t="str">
            <v>LUC-E00-470330-00</v>
          </cell>
          <cell r="F2880">
            <v>7251428520</v>
          </cell>
        </row>
        <row r="2881">
          <cell r="E2881" t="str">
            <v>LUC-EZZ-510639-00</v>
          </cell>
          <cell r="F2881">
            <v>7251428520</v>
          </cell>
        </row>
        <row r="2882">
          <cell r="E2882" t="str">
            <v>LUC-E00-470060-00</v>
          </cell>
          <cell r="F2882">
            <v>7251428520</v>
          </cell>
        </row>
        <row r="2883">
          <cell r="E2883" t="str">
            <v>LUC-E00-510015-00</v>
          </cell>
          <cell r="F2883">
            <v>7251428520</v>
          </cell>
        </row>
        <row r="2884">
          <cell r="E2884" t="str">
            <v>LUC-E00-470087-00</v>
          </cell>
          <cell r="F2884">
            <v>7251428520</v>
          </cell>
        </row>
        <row r="2885">
          <cell r="E2885" t="str">
            <v>LUC-E00-470301-00</v>
          </cell>
          <cell r="F2885">
            <v>7251428520</v>
          </cell>
        </row>
        <row r="2886">
          <cell r="E2886" t="str">
            <v>LUC-E00-470330-00</v>
          </cell>
          <cell r="F2886">
            <v>7251428520</v>
          </cell>
        </row>
        <row r="2887">
          <cell r="E2887" t="str">
            <v>LUC-E00-470048-00</v>
          </cell>
          <cell r="F2887">
            <v>7251428520</v>
          </cell>
        </row>
        <row r="2888">
          <cell r="E2888" t="str">
            <v>LUC-E00-420054-01</v>
          </cell>
          <cell r="F2888">
            <v>7251428520</v>
          </cell>
        </row>
        <row r="2889">
          <cell r="E2889" t="str">
            <v>LUC-EZZ-420172-00</v>
          </cell>
          <cell r="F2889">
            <v>7251428520</v>
          </cell>
        </row>
        <row r="2890">
          <cell r="E2890" t="str">
            <v>LUC-EZZ-420281-00</v>
          </cell>
          <cell r="F2890">
            <v>7251428520</v>
          </cell>
        </row>
        <row r="2891">
          <cell r="E2891" t="str">
            <v>LUC-EZZ-440169-00</v>
          </cell>
          <cell r="F2891">
            <v>7251428520</v>
          </cell>
        </row>
        <row r="2892">
          <cell r="E2892" t="str">
            <v>LUC-E00-420037-09</v>
          </cell>
          <cell r="F2892">
            <v>7251428520</v>
          </cell>
        </row>
        <row r="2893">
          <cell r="E2893" t="str">
            <v>LUC-E00-460008-00</v>
          </cell>
          <cell r="F2893">
            <v>7251428520</v>
          </cell>
        </row>
        <row r="2894">
          <cell r="E2894" t="str">
            <v>LUC-E00-450056-00</v>
          </cell>
          <cell r="F2894">
            <v>7251428520</v>
          </cell>
        </row>
        <row r="2895">
          <cell r="E2895" t="str">
            <v>LUC-E00-470032-00</v>
          </cell>
          <cell r="F2895">
            <v>7251428520</v>
          </cell>
        </row>
        <row r="2896">
          <cell r="E2896" t="str">
            <v>LUC-E00-420057-00</v>
          </cell>
          <cell r="F2896">
            <v>7251428520</v>
          </cell>
        </row>
        <row r="2897">
          <cell r="E2897" t="str">
            <v>LUC-E00-420241-00</v>
          </cell>
          <cell r="F2897">
            <v>7251428520</v>
          </cell>
        </row>
        <row r="2898">
          <cell r="E2898" t="str">
            <v>LUC-E00-510064-00</v>
          </cell>
          <cell r="F2898">
            <v>7251428520</v>
          </cell>
        </row>
        <row r="2899">
          <cell r="E2899" t="str">
            <v>LUC-E00-450036-00</v>
          </cell>
          <cell r="F2899">
            <v>7251428520</v>
          </cell>
        </row>
        <row r="2900">
          <cell r="E2900" t="str">
            <v>LUC-E00-450046-00</v>
          </cell>
          <cell r="F2900">
            <v>7251428520</v>
          </cell>
        </row>
        <row r="2901">
          <cell r="E2901" t="str">
            <v>PUR-31-0061-02</v>
          </cell>
          <cell r="F2901" t="str">
            <v>PSHPH2530016</v>
          </cell>
        </row>
        <row r="2902">
          <cell r="E2902" t="str">
            <v>PUR-31-0066-02</v>
          </cell>
          <cell r="F2902" t="str">
            <v>PSHPH2530016</v>
          </cell>
        </row>
        <row r="2903">
          <cell r="E2903" t="str">
            <v>PUR-31-0066-02</v>
          </cell>
          <cell r="F2903" t="str">
            <v>PSHPH2530016</v>
          </cell>
        </row>
        <row r="2904">
          <cell r="E2904" t="str">
            <v>PUR-31-0066-02</v>
          </cell>
          <cell r="F2904" t="str">
            <v>PSHPH2530016</v>
          </cell>
        </row>
        <row r="2905">
          <cell r="E2905" t="str">
            <v>LUC-P00-F18AAG-00</v>
          </cell>
          <cell r="F2905">
            <v>772625223071</v>
          </cell>
        </row>
        <row r="2906">
          <cell r="E2906" t="str">
            <v>LUC-P00-F18AAG-00</v>
          </cell>
          <cell r="F2906">
            <v>772625223071</v>
          </cell>
        </row>
        <row r="2907">
          <cell r="E2907" t="str">
            <v>LUC-EZZ-470153-00</v>
          </cell>
          <cell r="F2907">
            <v>772628495970</v>
          </cell>
        </row>
        <row r="2908">
          <cell r="E2908" t="str">
            <v>PUR-09-0294-00</v>
          </cell>
          <cell r="F2908">
            <v>772628495970</v>
          </cell>
        </row>
        <row r="2909">
          <cell r="E2909" t="str">
            <v>EF-45074500.X.X</v>
          </cell>
          <cell r="F2909">
            <v>772628495970</v>
          </cell>
        </row>
        <row r="2910">
          <cell r="E2910" t="str">
            <v>LUC-E00-480005-00</v>
          </cell>
          <cell r="F2910">
            <v>772654669449</v>
          </cell>
        </row>
        <row r="2911">
          <cell r="E2911" t="str">
            <v>LUC-E00-510034-00</v>
          </cell>
          <cell r="F2911">
            <v>4711841429</v>
          </cell>
        </row>
        <row r="2912">
          <cell r="E2912" t="str">
            <v>PUR-09-0346-00</v>
          </cell>
          <cell r="F2912">
            <v>4711841429</v>
          </cell>
        </row>
        <row r="2913">
          <cell r="E2913" t="str">
            <v>EF-45092354.X.X</v>
          </cell>
          <cell r="F2913">
            <v>4711841429</v>
          </cell>
        </row>
        <row r="2914">
          <cell r="E2914" t="str">
            <v>LUC-E00-690001-00</v>
          </cell>
          <cell r="F2914">
            <v>4711841429</v>
          </cell>
        </row>
        <row r="2915">
          <cell r="E2915" t="str">
            <v>EF-45118972</v>
          </cell>
          <cell r="F2915">
            <v>4711841429</v>
          </cell>
        </row>
        <row r="2916">
          <cell r="E2916" t="str">
            <v>EF-45174166</v>
          </cell>
          <cell r="F2916">
            <v>4711841429</v>
          </cell>
        </row>
        <row r="2917">
          <cell r="E2917" t="str">
            <v>LUC-E00-420011-04</v>
          </cell>
          <cell r="F2917">
            <v>4711841429</v>
          </cell>
        </row>
        <row r="2918">
          <cell r="E2918" t="str">
            <v>LUC-E00-470036-00</v>
          </cell>
          <cell r="F2918">
            <v>4711841429</v>
          </cell>
        </row>
        <row r="2919">
          <cell r="E2919" t="str">
            <v>LUC-E00-470072-00</v>
          </cell>
          <cell r="F2919">
            <v>4711841429</v>
          </cell>
        </row>
        <row r="2920">
          <cell r="E2920" t="str">
            <v>LUC-E00-470045-00</v>
          </cell>
          <cell r="F2920">
            <v>4711841429</v>
          </cell>
        </row>
        <row r="2921">
          <cell r="E2921" t="str">
            <v>122-000293.X.X</v>
          </cell>
          <cell r="F2921">
            <v>7425840402</v>
          </cell>
        </row>
        <row r="2922">
          <cell r="E2922" t="str">
            <v>EF-45046246.X.X</v>
          </cell>
          <cell r="F2922">
            <v>7425840402</v>
          </cell>
        </row>
        <row r="2923">
          <cell r="E2923" t="str">
            <v>LUC-E00-400049-00</v>
          </cell>
          <cell r="F2923">
            <v>7425840402</v>
          </cell>
        </row>
        <row r="2924">
          <cell r="E2924" t="str">
            <v>PUR-17-0187-00</v>
          </cell>
          <cell r="F2924">
            <v>7425840402</v>
          </cell>
        </row>
        <row r="2925">
          <cell r="E2925" t="str">
            <v>EF-45051531.X.X</v>
          </cell>
          <cell r="F2925">
            <v>7425840402</v>
          </cell>
        </row>
        <row r="2926">
          <cell r="E2926" t="str">
            <v>EF-45046246.X.X</v>
          </cell>
          <cell r="F2926">
            <v>7425840402</v>
          </cell>
        </row>
        <row r="2927">
          <cell r="E2927" t="str">
            <v>EF-45044050.X.X</v>
          </cell>
          <cell r="F2927">
            <v>7425840402</v>
          </cell>
        </row>
        <row r="2928">
          <cell r="E2928" t="str">
            <v>AGI-510-50001-01</v>
          </cell>
          <cell r="F2928">
            <v>7425840402</v>
          </cell>
        </row>
        <row r="2929">
          <cell r="E2929" t="str">
            <v>EF-45044050.X.X</v>
          </cell>
          <cell r="F2929">
            <v>7425840402</v>
          </cell>
        </row>
        <row r="2930">
          <cell r="E2930" t="str">
            <v>EF-45121796</v>
          </cell>
          <cell r="F2930">
            <v>7425840402</v>
          </cell>
        </row>
        <row r="2931">
          <cell r="E2931" t="str">
            <v>PUR-03-0096-02</v>
          </cell>
          <cell r="F2931" t="str">
            <v>8TV1991</v>
          </cell>
        </row>
        <row r="2932">
          <cell r="E2932" t="str">
            <v>EF-45093131.X.X</v>
          </cell>
          <cell r="F2932">
            <v>419341536697</v>
          </cell>
        </row>
        <row r="2933">
          <cell r="E2933" t="str">
            <v>EF-45093131.X.X</v>
          </cell>
          <cell r="F2933">
            <v>419341536697</v>
          </cell>
        </row>
        <row r="2934">
          <cell r="E2934" t="str">
            <v>EF-45093131.X.X</v>
          </cell>
          <cell r="F2934">
            <v>419341536697</v>
          </cell>
        </row>
        <row r="2935">
          <cell r="E2935" t="str">
            <v>EF-45057064.X.X</v>
          </cell>
          <cell r="F2935">
            <v>419341536697</v>
          </cell>
        </row>
        <row r="2936">
          <cell r="E2936" t="str">
            <v>EF-45093131.X.X</v>
          </cell>
          <cell r="F2936">
            <v>419341536697</v>
          </cell>
        </row>
        <row r="2937">
          <cell r="E2937" t="str">
            <v>LUC-EZZ-470423-00</v>
          </cell>
          <cell r="F2937">
            <v>416338352420</v>
          </cell>
        </row>
        <row r="2938">
          <cell r="E2938" t="str">
            <v>EF-45059490.X.X</v>
          </cell>
          <cell r="F2938">
            <v>419341536723</v>
          </cell>
        </row>
        <row r="2939">
          <cell r="E2939" t="str">
            <v>LUC-E00-690010-01</v>
          </cell>
          <cell r="F2939">
            <v>286237975224</v>
          </cell>
        </row>
        <row r="2940">
          <cell r="E2940" t="str">
            <v>PUR-24-0031-00</v>
          </cell>
          <cell r="F2940">
            <v>653992343669</v>
          </cell>
        </row>
        <row r="2941">
          <cell r="E2941" t="str">
            <v>EF-45043231</v>
          </cell>
          <cell r="F2941">
            <v>410797032650</v>
          </cell>
        </row>
        <row r="2942">
          <cell r="E2942" t="str">
            <v>PUR-09-0427-00</v>
          </cell>
          <cell r="F2942">
            <v>772653469930</v>
          </cell>
        </row>
        <row r="2943">
          <cell r="E2943" t="str">
            <v>PUR-09-0427-00</v>
          </cell>
          <cell r="F2943">
            <v>772653469930</v>
          </cell>
        </row>
        <row r="2944">
          <cell r="E2944" t="str">
            <v>PUR-13-0244-00</v>
          </cell>
          <cell r="F2944">
            <v>772653469930</v>
          </cell>
        </row>
        <row r="2945">
          <cell r="E2945" t="str">
            <v>PUR-13-0244-00</v>
          </cell>
          <cell r="F2945">
            <v>772653469930</v>
          </cell>
        </row>
        <row r="2946">
          <cell r="E2946" t="str">
            <v>PUR-13-0244-00</v>
          </cell>
          <cell r="F2946">
            <v>772653469930</v>
          </cell>
        </row>
        <row r="2947">
          <cell r="E2947" t="str">
            <v>EF-45076937</v>
          </cell>
          <cell r="F2947">
            <v>772653469930</v>
          </cell>
        </row>
        <row r="2948">
          <cell r="E2948" t="str">
            <v>130-000513</v>
          </cell>
          <cell r="F2948">
            <v>446851220654</v>
          </cell>
        </row>
        <row r="2949">
          <cell r="E2949" t="str">
            <v>130-000513</v>
          </cell>
          <cell r="F2949">
            <v>446851220654</v>
          </cell>
        </row>
        <row r="2950">
          <cell r="E2950" t="str">
            <v>EF-45043536.X.X</v>
          </cell>
          <cell r="F2950">
            <v>772653593801</v>
          </cell>
        </row>
        <row r="2951">
          <cell r="E2951" t="str">
            <v>EF-45057846.X.X</v>
          </cell>
          <cell r="F2951">
            <v>772653593801</v>
          </cell>
        </row>
        <row r="2952">
          <cell r="E2952" t="str">
            <v>EF-45057846.X.X</v>
          </cell>
          <cell r="F2952">
            <v>772653593801</v>
          </cell>
        </row>
        <row r="2953">
          <cell r="E2953" t="str">
            <v>PUR-13-0153-00</v>
          </cell>
          <cell r="F2953">
            <v>772653593801</v>
          </cell>
        </row>
        <row r="2954">
          <cell r="E2954" t="str">
            <v>PURET-12-0029-00</v>
          </cell>
          <cell r="F2954">
            <v>772653593801</v>
          </cell>
        </row>
        <row r="2955">
          <cell r="E2955" t="str">
            <v>PURET-12-0029-00</v>
          </cell>
          <cell r="F2955">
            <v>772653593801</v>
          </cell>
        </row>
        <row r="2956">
          <cell r="E2956" t="str">
            <v>LUC-E00-400028-002</v>
          </cell>
          <cell r="F2956">
            <v>286284149702</v>
          </cell>
        </row>
        <row r="2957">
          <cell r="E2957" t="str">
            <v>PURET-18-0095-00</v>
          </cell>
          <cell r="F2957">
            <v>772626487019</v>
          </cell>
        </row>
        <row r="2958">
          <cell r="E2958" t="str">
            <v>LUC-E00-470086-00</v>
          </cell>
          <cell r="F2958">
            <v>447948548176</v>
          </cell>
        </row>
        <row r="2959">
          <cell r="E2959" t="str">
            <v>LUC-E00-400010-000</v>
          </cell>
          <cell r="F2959">
            <v>447948559909</v>
          </cell>
        </row>
        <row r="2960">
          <cell r="E2960" t="str">
            <v>PUR-18-0480-00</v>
          </cell>
          <cell r="F2960">
            <v>772620960989</v>
          </cell>
        </row>
        <row r="2961">
          <cell r="E2961" t="str">
            <v>PUR-18-0581-00</v>
          </cell>
          <cell r="F2961">
            <v>772620960989</v>
          </cell>
        </row>
        <row r="2962">
          <cell r="E2962" t="str">
            <v>PUR-18-0446-00</v>
          </cell>
          <cell r="F2962">
            <v>772620960989</v>
          </cell>
        </row>
        <row r="2963">
          <cell r="E2963" t="str">
            <v>AGI-510-40077-01</v>
          </cell>
          <cell r="F2963">
            <v>772652626991</v>
          </cell>
        </row>
        <row r="2964">
          <cell r="E2964" t="str">
            <v>PUR-13-0158-00</v>
          </cell>
          <cell r="F2964">
            <v>8278747212</v>
          </cell>
        </row>
        <row r="2965">
          <cell r="E2965" t="str">
            <v>PUR-27-0020-00</v>
          </cell>
          <cell r="F2965">
            <v>8278747212</v>
          </cell>
        </row>
        <row r="2966">
          <cell r="E2966" t="str">
            <v>EF-45223815</v>
          </cell>
          <cell r="F2966">
            <v>8278747212</v>
          </cell>
        </row>
        <row r="2967">
          <cell r="E2967" t="str">
            <v>EF-45126767</v>
          </cell>
          <cell r="F2967">
            <v>8278747212</v>
          </cell>
        </row>
        <row r="2968">
          <cell r="E2968" t="str">
            <v>LUC-E00-420050-00</v>
          </cell>
          <cell r="F2968">
            <v>8278747212</v>
          </cell>
        </row>
        <row r="2969">
          <cell r="E2969" t="str">
            <v>PUR-12-0331-00</v>
          </cell>
          <cell r="F2969">
            <v>426080010271</v>
          </cell>
        </row>
        <row r="2970">
          <cell r="E2970">
            <v>45252299</v>
          </cell>
          <cell r="F2970">
            <v>426080010271</v>
          </cell>
        </row>
        <row r="2971">
          <cell r="E2971">
            <v>45253067</v>
          </cell>
          <cell r="F2971">
            <v>426080010271</v>
          </cell>
        </row>
        <row r="2972">
          <cell r="E2972" t="str">
            <v>PUR-09-0477-00</v>
          </cell>
          <cell r="F2972">
            <v>426080010271</v>
          </cell>
        </row>
        <row r="2973">
          <cell r="E2973" t="str">
            <v>LUC-E00-450132-00</v>
          </cell>
          <cell r="F2973">
            <v>426080010271</v>
          </cell>
        </row>
        <row r="2974">
          <cell r="E2974" t="str">
            <v>LUC-E00-470032-00</v>
          </cell>
          <cell r="F2974">
            <v>426080010271</v>
          </cell>
        </row>
        <row r="2975">
          <cell r="E2975" t="str">
            <v>LUC-E00-470077-00</v>
          </cell>
          <cell r="F2975">
            <v>426080010271</v>
          </cell>
        </row>
        <row r="2976">
          <cell r="E2976" t="str">
            <v>LUC-E00-470120-00</v>
          </cell>
          <cell r="F2976">
            <v>426080010271</v>
          </cell>
        </row>
        <row r="2977">
          <cell r="E2977" t="str">
            <v>LUC-E00-470263-00</v>
          </cell>
          <cell r="F2977">
            <v>426080010271</v>
          </cell>
        </row>
        <row r="2978">
          <cell r="E2978" t="str">
            <v>LUC-E00-510041-00</v>
          </cell>
          <cell r="F2978">
            <v>426080010271</v>
          </cell>
        </row>
        <row r="2979">
          <cell r="E2979" t="str">
            <v>LUC-EZZ-470431-00</v>
          </cell>
          <cell r="F2979">
            <v>426080010271</v>
          </cell>
        </row>
        <row r="2980">
          <cell r="E2980" t="str">
            <v>LUC-E00-400010-003</v>
          </cell>
          <cell r="F2980">
            <v>426080010271</v>
          </cell>
        </row>
        <row r="2981">
          <cell r="E2981" t="str">
            <v>LUC-E00-400010-021</v>
          </cell>
          <cell r="F2981">
            <v>426080010271</v>
          </cell>
        </row>
        <row r="2982">
          <cell r="E2982" t="str">
            <v>LUC-E00-450075-00</v>
          </cell>
          <cell r="F2982">
            <v>426080010271</v>
          </cell>
        </row>
        <row r="2983">
          <cell r="E2983" t="str">
            <v>LUC-E00-460009-00</v>
          </cell>
          <cell r="F2983">
            <v>426080010271</v>
          </cell>
        </row>
        <row r="2984">
          <cell r="E2984" t="str">
            <v>LUC-E00-470379-00</v>
          </cell>
          <cell r="F2984">
            <v>426080010271</v>
          </cell>
        </row>
        <row r="2985">
          <cell r="E2985" t="str">
            <v>LUC-E00-540005-00</v>
          </cell>
          <cell r="F2985">
            <v>426080010271</v>
          </cell>
        </row>
        <row r="2986">
          <cell r="E2986" t="str">
            <v>LUC-E00-400011-003</v>
          </cell>
          <cell r="F2986">
            <v>426080010271</v>
          </cell>
        </row>
        <row r="2987">
          <cell r="E2987" t="str">
            <v>LUC-E00-420002-09</v>
          </cell>
          <cell r="F2987">
            <v>426080010271</v>
          </cell>
        </row>
        <row r="2988">
          <cell r="E2988" t="str">
            <v>LUC-E00-420057-00</v>
          </cell>
          <cell r="F2988">
            <v>426080010271</v>
          </cell>
        </row>
        <row r="2989">
          <cell r="E2989" t="str">
            <v>LUC-E00-440031-00</v>
          </cell>
          <cell r="F2989">
            <v>426080010271</v>
          </cell>
        </row>
        <row r="2990">
          <cell r="E2990" t="str">
            <v>LUC-EZZ-420099-00</v>
          </cell>
          <cell r="F2990">
            <v>426080010271</v>
          </cell>
        </row>
        <row r="2991">
          <cell r="E2991" t="str">
            <v>LUC-E00-400011-005</v>
          </cell>
          <cell r="F2991">
            <v>426080010271</v>
          </cell>
        </row>
        <row r="2992">
          <cell r="E2992" t="str">
            <v>LUC-E00-400012-17</v>
          </cell>
          <cell r="F2992">
            <v>426080010271</v>
          </cell>
        </row>
        <row r="2993">
          <cell r="E2993" t="str">
            <v>LUC-E00-420054-04</v>
          </cell>
          <cell r="F2993">
            <v>426080010271</v>
          </cell>
        </row>
        <row r="2994">
          <cell r="E2994" t="str">
            <v>LUC-E00-470085-00</v>
          </cell>
          <cell r="F2994">
            <v>426080010271</v>
          </cell>
        </row>
        <row r="2995">
          <cell r="E2995" t="str">
            <v>LUC-E00-470161-01</v>
          </cell>
          <cell r="F2995">
            <v>426080010271</v>
          </cell>
        </row>
        <row r="2996">
          <cell r="E2996" t="str">
            <v>LUC-EZZ-400342-00</v>
          </cell>
          <cell r="F2996">
            <v>426080010271</v>
          </cell>
        </row>
        <row r="2997">
          <cell r="E2997" t="str">
            <v>LUC-EZZ-510023-00</v>
          </cell>
          <cell r="F2997">
            <v>426080010271</v>
          </cell>
        </row>
        <row r="2998">
          <cell r="E2998" t="str">
            <v>EF-45060149.X.X</v>
          </cell>
          <cell r="F2998">
            <v>426080010271</v>
          </cell>
        </row>
        <row r="2999">
          <cell r="E2999" t="str">
            <v>PUR-13-0238-00</v>
          </cell>
          <cell r="F2999">
            <v>426080010271</v>
          </cell>
        </row>
        <row r="3000">
          <cell r="E3000" t="str">
            <v>EF-45120874.X.X</v>
          </cell>
          <cell r="F3000">
            <v>426080010271</v>
          </cell>
        </row>
        <row r="3001">
          <cell r="E3001" t="str">
            <v>LUC-E00-420074-00</v>
          </cell>
          <cell r="F3001">
            <v>426080010271</v>
          </cell>
        </row>
        <row r="3002">
          <cell r="E3002" t="str">
            <v>EF-45055219.X.X</v>
          </cell>
          <cell r="F3002">
            <v>426080010271</v>
          </cell>
        </row>
        <row r="3003">
          <cell r="E3003" t="str">
            <v>LUC-E00-510032-00</v>
          </cell>
          <cell r="F3003">
            <v>426080010271</v>
          </cell>
        </row>
        <row r="3004">
          <cell r="E3004" t="str">
            <v>PUR-03-0092-03-H</v>
          </cell>
          <cell r="F3004" t="str">
            <v>8TV1997</v>
          </cell>
        </row>
        <row r="3005">
          <cell r="E3005" t="str">
            <v>PUR-03-0092-03-H</v>
          </cell>
          <cell r="F3005" t="str">
            <v>8TV1998</v>
          </cell>
        </row>
        <row r="3006">
          <cell r="E3006" t="str">
            <v>PUR-03-0092-03-H</v>
          </cell>
          <cell r="F3006" t="str">
            <v>8TV1999</v>
          </cell>
        </row>
        <row r="3007">
          <cell r="E3007" t="str">
            <v>PUR-03-0092-03-H</v>
          </cell>
          <cell r="F3007" t="str">
            <v>8TV3900</v>
          </cell>
        </row>
        <row r="3008">
          <cell r="E3008" t="str">
            <v>LUC-E00-510014-00</v>
          </cell>
          <cell r="F3008">
            <v>449317662125</v>
          </cell>
        </row>
        <row r="3009">
          <cell r="E3009" t="str">
            <v>LUC-E00-510014-00</v>
          </cell>
          <cell r="F3009">
            <v>449317662125</v>
          </cell>
        </row>
        <row r="3010">
          <cell r="E3010" t="str">
            <v>PUR-12-0317-00</v>
          </cell>
          <cell r="F3010">
            <v>772683154839</v>
          </cell>
        </row>
        <row r="3011">
          <cell r="E3011" t="str">
            <v>EF-45111902</v>
          </cell>
          <cell r="F3011">
            <v>772683154839</v>
          </cell>
        </row>
        <row r="3012">
          <cell r="E3012" t="str">
            <v>EF-45043819.X.X</v>
          </cell>
          <cell r="F3012">
            <v>772683154839</v>
          </cell>
        </row>
        <row r="3013">
          <cell r="E3013" t="str">
            <v>EF-45036483.X.X</v>
          </cell>
          <cell r="F3013">
            <v>772683154839</v>
          </cell>
        </row>
        <row r="3014">
          <cell r="E3014" t="str">
            <v>EF-45043833.X.X</v>
          </cell>
          <cell r="F3014">
            <v>772683154839</v>
          </cell>
        </row>
        <row r="3015">
          <cell r="E3015" t="str">
            <v>LUC-E00-450009-00</v>
          </cell>
          <cell r="F3015">
            <v>772683154839</v>
          </cell>
        </row>
        <row r="3016">
          <cell r="E3016" t="str">
            <v>EF-45083316.X.X</v>
          </cell>
          <cell r="F3016">
            <v>772683154839</v>
          </cell>
        </row>
        <row r="3017">
          <cell r="E3017" t="str">
            <v>PURET-12-0090-00</v>
          </cell>
          <cell r="F3017">
            <v>772683154839</v>
          </cell>
        </row>
        <row r="3018">
          <cell r="E3018" t="str">
            <v>PUR-03-0091-02</v>
          </cell>
          <cell r="F3018">
            <v>447380710347</v>
          </cell>
        </row>
        <row r="3019">
          <cell r="E3019" t="str">
            <v>EF-45076928.X.X</v>
          </cell>
          <cell r="F3019">
            <v>772709775756</v>
          </cell>
        </row>
        <row r="3020">
          <cell r="E3020" t="str">
            <v>LUC-E00-470039-00</v>
          </cell>
          <cell r="F3020">
            <v>772709775756</v>
          </cell>
        </row>
        <row r="3021">
          <cell r="E3021" t="str">
            <v>LUC-E00-470042-00</v>
          </cell>
          <cell r="F3021">
            <v>772709775756</v>
          </cell>
        </row>
        <row r="3022">
          <cell r="E3022" t="str">
            <v>LUC-E00-470116-00</v>
          </cell>
          <cell r="F3022">
            <v>772709775756</v>
          </cell>
        </row>
        <row r="3023">
          <cell r="E3023" t="str">
            <v>LUC-E00-470073-00</v>
          </cell>
          <cell r="F3023">
            <v>772709775756</v>
          </cell>
        </row>
        <row r="3024">
          <cell r="E3024" t="str">
            <v>LUC-E00-470519-00</v>
          </cell>
          <cell r="F3024">
            <v>772709775756</v>
          </cell>
        </row>
        <row r="3025">
          <cell r="E3025" t="str">
            <v>PUR-03-0092-03-H</v>
          </cell>
          <cell r="F3025" t="str">
            <v>8TV3910</v>
          </cell>
        </row>
        <row r="3026">
          <cell r="E3026" t="str">
            <v>PUR-03-0092-03-H</v>
          </cell>
          <cell r="F3026" t="str">
            <v>8TV3911</v>
          </cell>
        </row>
        <row r="3027">
          <cell r="E3027" t="str">
            <v>PUR-03-0092-03-H</v>
          </cell>
          <cell r="F3027" t="str">
            <v>8TV3912</v>
          </cell>
        </row>
        <row r="3028">
          <cell r="E3028" t="str">
            <v>EF-45125060</v>
          </cell>
          <cell r="F3028">
            <v>722661009444</v>
          </cell>
        </row>
        <row r="3029">
          <cell r="E3029" t="str">
            <v>LUC-E00-440003-00</v>
          </cell>
          <cell r="F3029">
            <v>722661009444</v>
          </cell>
        </row>
        <row r="3030">
          <cell r="E3030" t="str">
            <v>LUC-E00-440014-00</v>
          </cell>
          <cell r="F3030">
            <v>722661009444</v>
          </cell>
        </row>
        <row r="3031">
          <cell r="E3031" t="str">
            <v>LUC-E00-440046-00</v>
          </cell>
          <cell r="F3031">
            <v>722661009444</v>
          </cell>
        </row>
        <row r="3032">
          <cell r="E3032" t="str">
            <v>LUC-E00-440046-00</v>
          </cell>
          <cell r="F3032">
            <v>722661009444</v>
          </cell>
        </row>
        <row r="3033">
          <cell r="E3033" t="str">
            <v>LUC-E00-440048-00</v>
          </cell>
          <cell r="F3033">
            <v>722661009444</v>
          </cell>
        </row>
        <row r="3034">
          <cell r="E3034" t="str">
            <v>LUC-EZZ-440018-00</v>
          </cell>
          <cell r="F3034">
            <v>722661009444</v>
          </cell>
        </row>
        <row r="3035">
          <cell r="E3035" t="str">
            <v>LUC-EZZ-440032-00</v>
          </cell>
          <cell r="F3035">
            <v>722661009444</v>
          </cell>
        </row>
        <row r="3036">
          <cell r="E3036" t="str">
            <v>PUR-07-0328-00</v>
          </cell>
          <cell r="F3036">
            <v>422229075167</v>
          </cell>
        </row>
        <row r="3037">
          <cell r="E3037" t="str">
            <v>PUR-07-0328-00</v>
          </cell>
          <cell r="F3037">
            <v>422229075167</v>
          </cell>
        </row>
        <row r="3038">
          <cell r="E3038" t="str">
            <v>LUC-E00-470263-00</v>
          </cell>
          <cell r="F3038">
            <v>730610852638</v>
          </cell>
        </row>
        <row r="3039">
          <cell r="E3039" t="str">
            <v>EF-45187673</v>
          </cell>
          <cell r="F3039">
            <v>772698487511</v>
          </cell>
        </row>
        <row r="3040">
          <cell r="E3040" t="str">
            <v>EF-45047062</v>
          </cell>
          <cell r="F3040">
            <v>735753078931</v>
          </cell>
        </row>
        <row r="3041">
          <cell r="E3041" t="str">
            <v>LUC-P21-K33R00-01</v>
          </cell>
          <cell r="F3041">
            <v>772683807339</v>
          </cell>
        </row>
        <row r="3042">
          <cell r="E3042" t="str">
            <v>EF-45205870</v>
          </cell>
          <cell r="F3042">
            <v>772710678528</v>
          </cell>
        </row>
        <row r="3043">
          <cell r="E3043" t="str">
            <v>PUR-13-0167-00</v>
          </cell>
          <cell r="F3043">
            <v>434611755270</v>
          </cell>
        </row>
        <row r="3044">
          <cell r="E3044" t="str">
            <v>EF-45059919.X.X</v>
          </cell>
          <cell r="F3044">
            <v>434611755270</v>
          </cell>
        </row>
        <row r="3045">
          <cell r="E3045" t="str">
            <v>EF-45117206.X.X</v>
          </cell>
          <cell r="F3045">
            <v>434611755270</v>
          </cell>
        </row>
        <row r="3046">
          <cell r="E3046" t="str">
            <v>PUR-13-0131-00</v>
          </cell>
          <cell r="F3046">
            <v>434611755270</v>
          </cell>
        </row>
        <row r="3047">
          <cell r="E3047" t="str">
            <v>EF-45059919.X.X</v>
          </cell>
          <cell r="F3047">
            <v>434611755270</v>
          </cell>
        </row>
        <row r="3048">
          <cell r="E3048" t="str">
            <v>PUR-13-0235-00</v>
          </cell>
          <cell r="F3048">
            <v>429083212646</v>
          </cell>
        </row>
        <row r="3049">
          <cell r="E3049" t="str">
            <v>LUC-EZZ-420482-00</v>
          </cell>
          <cell r="F3049">
            <v>429083212646</v>
          </cell>
        </row>
        <row r="3050">
          <cell r="E3050" t="str">
            <v>LUC-EZZ-420251-00</v>
          </cell>
          <cell r="F3050">
            <v>429083212646</v>
          </cell>
        </row>
        <row r="3051">
          <cell r="E3051" t="str">
            <v>PUR-13-0235-00</v>
          </cell>
          <cell r="F3051">
            <v>429083212646</v>
          </cell>
        </row>
        <row r="3052">
          <cell r="E3052" t="str">
            <v>EF-45041902.X.X</v>
          </cell>
          <cell r="F3052">
            <v>429083212646</v>
          </cell>
        </row>
        <row r="3053">
          <cell r="E3053" t="str">
            <v>PUR-13-0237-00</v>
          </cell>
          <cell r="F3053">
            <v>429083212646</v>
          </cell>
        </row>
        <row r="3054">
          <cell r="E3054" t="str">
            <v>LUC-EZZ-420396-00</v>
          </cell>
          <cell r="F3054">
            <v>429083212646</v>
          </cell>
        </row>
        <row r="3055">
          <cell r="E3055" t="str">
            <v>LUC-E00-470331-00</v>
          </cell>
          <cell r="F3055">
            <v>429083212646</v>
          </cell>
        </row>
        <row r="3056">
          <cell r="E3056" t="str">
            <v>LUC-E00-470331-00</v>
          </cell>
          <cell r="F3056">
            <v>429083212646</v>
          </cell>
        </row>
        <row r="3057">
          <cell r="E3057" t="str">
            <v>PUR-13-0162-00</v>
          </cell>
          <cell r="F3057">
            <v>429083212646</v>
          </cell>
        </row>
        <row r="3058">
          <cell r="E3058" t="str">
            <v>LUC-E00-470383-00</v>
          </cell>
          <cell r="F3058">
            <v>772652150694</v>
          </cell>
        </row>
        <row r="3059">
          <cell r="E3059" t="str">
            <v>EF-45134746</v>
          </cell>
          <cell r="F3059">
            <v>433911965485</v>
          </cell>
        </row>
        <row r="3060">
          <cell r="E3060" t="str">
            <v>PUR-09-0213-00</v>
          </cell>
          <cell r="F3060">
            <v>447911454951</v>
          </cell>
        </row>
        <row r="3061">
          <cell r="E3061" t="str">
            <v>EF-45114287</v>
          </cell>
          <cell r="F3061">
            <v>447911454951</v>
          </cell>
        </row>
        <row r="3062">
          <cell r="E3062" t="str">
            <v>PUR-09-0260-00</v>
          </cell>
          <cell r="F3062">
            <v>447911454951</v>
          </cell>
        </row>
        <row r="3063">
          <cell r="E3063" t="str">
            <v>LUC-E00-450030-00</v>
          </cell>
          <cell r="F3063">
            <v>447911454951</v>
          </cell>
        </row>
        <row r="3064">
          <cell r="E3064" t="str">
            <v>LUC-E00-470082-00</v>
          </cell>
          <cell r="F3064">
            <v>449151643461</v>
          </cell>
        </row>
        <row r="3065">
          <cell r="E3065" t="str">
            <v>LUC-EZZ-400209-00</v>
          </cell>
          <cell r="F3065">
            <v>449151643461</v>
          </cell>
        </row>
        <row r="3066">
          <cell r="E3066" t="str">
            <v>EF-45043833.X.X</v>
          </cell>
          <cell r="F3066">
            <v>449151643461</v>
          </cell>
        </row>
        <row r="3067">
          <cell r="E3067" t="str">
            <v>EF-45050182.X.X</v>
          </cell>
          <cell r="F3067">
            <v>449151643461</v>
          </cell>
        </row>
        <row r="3068">
          <cell r="E3068" t="str">
            <v>EF-45079919</v>
          </cell>
          <cell r="F3068">
            <v>449151643461</v>
          </cell>
        </row>
        <row r="3069">
          <cell r="E3069" t="str">
            <v>LUC-P11-KA4000-00</v>
          </cell>
          <cell r="F3069">
            <v>772681719587</v>
          </cell>
        </row>
        <row r="3070">
          <cell r="E3070" t="str">
            <v>LUC-E00-450041-00</v>
          </cell>
          <cell r="F3070">
            <v>772786855641</v>
          </cell>
        </row>
        <row r="3071">
          <cell r="E3071" t="str">
            <v>EF-45128453.X.X</v>
          </cell>
          <cell r="F3071">
            <v>772677730122</v>
          </cell>
        </row>
        <row r="3072">
          <cell r="E3072" t="str">
            <v>LUC-E00-690032-00</v>
          </cell>
          <cell r="F3072">
            <v>286399876950</v>
          </cell>
        </row>
        <row r="3073">
          <cell r="E3073" t="str">
            <v>LUC-E00-690032-00</v>
          </cell>
          <cell r="F3073">
            <v>286399876950</v>
          </cell>
        </row>
        <row r="3074">
          <cell r="E3074" t="str">
            <v>LUC-EZZ-440129-00</v>
          </cell>
          <cell r="F3074">
            <v>286399876950</v>
          </cell>
        </row>
        <row r="3075">
          <cell r="E3075" t="str">
            <v>LUC-E00-690011-00</v>
          </cell>
          <cell r="F3075">
            <v>286399876950</v>
          </cell>
        </row>
        <row r="3076">
          <cell r="E3076" t="str">
            <v>PUR-14-0087-00</v>
          </cell>
          <cell r="F3076">
            <v>447948565753</v>
          </cell>
        </row>
        <row r="3077">
          <cell r="E3077" t="str">
            <v>EF-45092831</v>
          </cell>
          <cell r="F3077">
            <v>447948565753</v>
          </cell>
        </row>
        <row r="3078">
          <cell r="E3078" t="str">
            <v>LUC-E00-470083-00</v>
          </cell>
          <cell r="F3078">
            <v>447948565753</v>
          </cell>
        </row>
        <row r="3079">
          <cell r="E3079" t="str">
            <v>LUC-E00-400010-053</v>
          </cell>
          <cell r="F3079">
            <v>447948565753</v>
          </cell>
        </row>
        <row r="3080">
          <cell r="E3080" t="str">
            <v>EF-45108861.X.X</v>
          </cell>
          <cell r="F3080">
            <v>447948565753</v>
          </cell>
        </row>
        <row r="3081">
          <cell r="E3081" t="str">
            <v>LUC-E00-400010-044</v>
          </cell>
          <cell r="F3081">
            <v>447948565753</v>
          </cell>
        </row>
        <row r="3082">
          <cell r="E3082" t="str">
            <v>PUR-09-0255-00</v>
          </cell>
          <cell r="F3082">
            <v>447948565753</v>
          </cell>
        </row>
        <row r="3083">
          <cell r="E3083" t="str">
            <v>EF-45120874.X.X</v>
          </cell>
          <cell r="F3083">
            <v>447948565753</v>
          </cell>
        </row>
        <row r="3084">
          <cell r="E3084" t="str">
            <v>LUC-EZZ-470181-00</v>
          </cell>
          <cell r="F3084">
            <v>447948565753</v>
          </cell>
        </row>
        <row r="3085">
          <cell r="E3085" t="str">
            <v>LUC-E00-470083-00</v>
          </cell>
          <cell r="F3085">
            <v>447948565753</v>
          </cell>
        </row>
        <row r="3086">
          <cell r="E3086" t="str">
            <v>LUC-E00-400010-000</v>
          </cell>
          <cell r="F3086">
            <v>447948565753</v>
          </cell>
        </row>
        <row r="3087">
          <cell r="E3087" t="str">
            <v>LUC-E00-460007-00</v>
          </cell>
          <cell r="F3087">
            <v>447948565753</v>
          </cell>
        </row>
        <row r="3088">
          <cell r="E3088" t="str">
            <v>PUR-09-0263-00</v>
          </cell>
          <cell r="F3088">
            <v>447948565753</v>
          </cell>
        </row>
        <row r="3089">
          <cell r="E3089" t="str">
            <v>PUR-09-0262-00</v>
          </cell>
          <cell r="F3089">
            <v>447948565753</v>
          </cell>
        </row>
        <row r="3090">
          <cell r="E3090" t="str">
            <v>LUC-E00-460007-00</v>
          </cell>
          <cell r="F3090">
            <v>447948565753</v>
          </cell>
        </row>
        <row r="3091">
          <cell r="E3091" t="str">
            <v>LUC-E00-400010-044</v>
          </cell>
          <cell r="F3091">
            <v>447948565753</v>
          </cell>
        </row>
        <row r="3092">
          <cell r="E3092" t="str">
            <v>LUC-E00-400010-000</v>
          </cell>
          <cell r="F3092">
            <v>447948565753</v>
          </cell>
        </row>
        <row r="3093">
          <cell r="E3093" t="str">
            <v>PUR-09-0279-00</v>
          </cell>
          <cell r="F3093">
            <v>447948565753</v>
          </cell>
        </row>
        <row r="3094">
          <cell r="E3094" t="str">
            <v>EF-45071390.X.X</v>
          </cell>
          <cell r="F3094">
            <v>447948565753</v>
          </cell>
        </row>
        <row r="3095">
          <cell r="E3095" t="str">
            <v>PUR-09-0253-00</v>
          </cell>
          <cell r="F3095">
            <v>447948565753</v>
          </cell>
        </row>
        <row r="3096">
          <cell r="E3096" t="str">
            <v>EF-45049976.X.X</v>
          </cell>
          <cell r="F3096">
            <v>447948565753</v>
          </cell>
        </row>
        <row r="3097">
          <cell r="E3097" t="str">
            <v>LUC-E00-400010-000</v>
          </cell>
          <cell r="F3097">
            <v>447948565753</v>
          </cell>
        </row>
        <row r="3098">
          <cell r="E3098" t="str">
            <v>EF-45077523.X.X</v>
          </cell>
          <cell r="F3098">
            <v>447948565753</v>
          </cell>
        </row>
        <row r="3099">
          <cell r="E3099" t="str">
            <v>LUC-E00-400010-000</v>
          </cell>
          <cell r="F3099">
            <v>447948565753</v>
          </cell>
        </row>
        <row r="3100">
          <cell r="E3100" t="str">
            <v>LUC-EZZ-470433-00</v>
          </cell>
          <cell r="F3100">
            <v>447948565753</v>
          </cell>
        </row>
        <row r="3101">
          <cell r="E3101" t="str">
            <v>LUC-E00-440149-00</v>
          </cell>
          <cell r="F3101">
            <v>447948565753</v>
          </cell>
        </row>
        <row r="3102">
          <cell r="E3102" t="str">
            <v>EF-45052488.X.X</v>
          </cell>
          <cell r="F3102">
            <v>447948565753</v>
          </cell>
        </row>
        <row r="3103">
          <cell r="E3103" t="str">
            <v>LUC-E00-470069-00</v>
          </cell>
          <cell r="F3103">
            <v>447948565753</v>
          </cell>
        </row>
        <row r="3104">
          <cell r="E3104" t="str">
            <v>PUR-15-0207-00</v>
          </cell>
          <cell r="F3104">
            <v>772752707487</v>
          </cell>
        </row>
        <row r="3105">
          <cell r="E3105" t="str">
            <v>PUR-15-0207-00</v>
          </cell>
          <cell r="F3105">
            <v>772752707487</v>
          </cell>
        </row>
        <row r="3106">
          <cell r="E3106" t="str">
            <v>PUR-10-0248-00</v>
          </cell>
          <cell r="F3106">
            <v>772778185740</v>
          </cell>
        </row>
        <row r="3107">
          <cell r="E3107" t="str">
            <v>LUC-E00-690032-00</v>
          </cell>
          <cell r="F3107">
            <v>286563980424</v>
          </cell>
        </row>
        <row r="3108">
          <cell r="E3108" t="str">
            <v>LUC-E00-690011-00</v>
          </cell>
          <cell r="F3108">
            <v>286563980424</v>
          </cell>
        </row>
        <row r="3109">
          <cell r="E3109" t="str">
            <v>LUC-P11-K2B300-03</v>
          </cell>
          <cell r="F3109" t="str">
            <v>PSHPH2530061</v>
          </cell>
        </row>
        <row r="3110">
          <cell r="E3110" t="str">
            <v>LUC-EZZ-490310-04</v>
          </cell>
          <cell r="F3110">
            <v>6521793401</v>
          </cell>
        </row>
        <row r="3111">
          <cell r="E3111" t="str">
            <v>LUC-EZZ-490304-04</v>
          </cell>
          <cell r="F3111">
            <v>6521793401</v>
          </cell>
        </row>
        <row r="3112">
          <cell r="E3112" t="str">
            <v>LUC-EZZ-490230-04</v>
          </cell>
          <cell r="F3112">
            <v>6521793401</v>
          </cell>
        </row>
        <row r="3113">
          <cell r="E3113" t="str">
            <v>LUC-EZZ-490315-02</v>
          </cell>
          <cell r="F3113">
            <v>6521793401</v>
          </cell>
        </row>
        <row r="3114">
          <cell r="E3114" t="str">
            <v>LUC-EZZ-490316-02</v>
          </cell>
          <cell r="F3114">
            <v>6521793401</v>
          </cell>
        </row>
        <row r="3115">
          <cell r="E3115" t="str">
            <v>LUC-EZZ-490317-04</v>
          </cell>
          <cell r="F3115">
            <v>6521793401</v>
          </cell>
        </row>
        <row r="3116">
          <cell r="E3116" t="str">
            <v>LUC-E00-470379-00</v>
          </cell>
          <cell r="F3116">
            <v>9530889034</v>
          </cell>
        </row>
        <row r="3117">
          <cell r="E3117" t="str">
            <v>LUC-E00-510082-00</v>
          </cell>
          <cell r="F3117">
            <v>9530889034</v>
          </cell>
        </row>
        <row r="3118">
          <cell r="E3118" t="str">
            <v>LUC-E00-450043-00</v>
          </cell>
          <cell r="F3118">
            <v>9530889034</v>
          </cell>
        </row>
        <row r="3119">
          <cell r="E3119" t="str">
            <v>LUC-EZZ-450835-00</v>
          </cell>
          <cell r="F3119">
            <v>9530889034</v>
          </cell>
        </row>
        <row r="3120">
          <cell r="E3120" t="str">
            <v>LUC-EZZ-510014-00</v>
          </cell>
          <cell r="F3120">
            <v>9530889034</v>
          </cell>
        </row>
        <row r="3121">
          <cell r="E3121" t="str">
            <v>LUC-EZZ-460737-00</v>
          </cell>
          <cell r="F3121">
            <v>9530889034</v>
          </cell>
        </row>
        <row r="3122">
          <cell r="E3122" t="str">
            <v>LUC-EZZ-420352-00</v>
          </cell>
          <cell r="F3122">
            <v>9530889034</v>
          </cell>
        </row>
        <row r="3123">
          <cell r="E3123" t="str">
            <v>LUC-EZZ-420136-00</v>
          </cell>
          <cell r="F3123">
            <v>9530889034</v>
          </cell>
        </row>
        <row r="3124">
          <cell r="E3124" t="str">
            <v>LUC-E00-450029-00</v>
          </cell>
          <cell r="F3124">
            <v>9530889034</v>
          </cell>
        </row>
        <row r="3125">
          <cell r="E3125" t="str">
            <v>LUC-EZZ-420094-00</v>
          </cell>
          <cell r="F3125">
            <v>9530889034</v>
          </cell>
        </row>
        <row r="3126">
          <cell r="E3126" t="str">
            <v>LUC-EZZ-400387-00</v>
          </cell>
          <cell r="F3126">
            <v>9530889034</v>
          </cell>
        </row>
        <row r="3127">
          <cell r="E3127" t="str">
            <v>LUC-E00-450036-00</v>
          </cell>
          <cell r="F3127">
            <v>9530889034</v>
          </cell>
        </row>
        <row r="3128">
          <cell r="E3128" t="str">
            <v>LUC-E00-510066-00</v>
          </cell>
          <cell r="F3128">
            <v>9530889034</v>
          </cell>
        </row>
        <row r="3129">
          <cell r="E3129" t="str">
            <v>LUC-EZZ-421706-00</v>
          </cell>
          <cell r="F3129">
            <v>9530889034</v>
          </cell>
        </row>
        <row r="3130">
          <cell r="E3130" t="str">
            <v>LUC-EZZ-450112-00</v>
          </cell>
          <cell r="F3130">
            <v>9530889034</v>
          </cell>
        </row>
        <row r="3131">
          <cell r="E3131" t="str">
            <v>LUC-EZZ-420507-00</v>
          </cell>
          <cell r="F3131">
            <v>9530889034</v>
          </cell>
        </row>
        <row r="3132">
          <cell r="E3132" t="str">
            <v>LUC-EZZ-420089-00</v>
          </cell>
          <cell r="F3132">
            <v>9530889034</v>
          </cell>
        </row>
        <row r="3133">
          <cell r="E3133" t="str">
            <v>LUC-E00-470318-00</v>
          </cell>
          <cell r="F3133">
            <v>9530889034</v>
          </cell>
        </row>
        <row r="3134">
          <cell r="E3134" t="str">
            <v>LUC-E00-470032-00</v>
          </cell>
          <cell r="F3134">
            <v>9530889034</v>
          </cell>
        </row>
        <row r="3135">
          <cell r="E3135" t="str">
            <v>LUC-EZZ-420046-00</v>
          </cell>
          <cell r="F3135">
            <v>9530889034</v>
          </cell>
        </row>
        <row r="3136">
          <cell r="E3136" t="str">
            <v>LUC-E00-470089-00</v>
          </cell>
          <cell r="F3136">
            <v>9530889034</v>
          </cell>
        </row>
        <row r="3137">
          <cell r="E3137" t="str">
            <v>LUC-E00-400056-01</v>
          </cell>
          <cell r="F3137">
            <v>9530889034</v>
          </cell>
        </row>
        <row r="3138">
          <cell r="E3138" t="str">
            <v>LUC-E00-510084-00</v>
          </cell>
          <cell r="F3138">
            <v>9530889034</v>
          </cell>
        </row>
        <row r="3139">
          <cell r="E3139" t="str">
            <v>LUC-E00-510031-00</v>
          </cell>
          <cell r="F3139">
            <v>9530889034</v>
          </cell>
        </row>
        <row r="3140">
          <cell r="E3140" t="str">
            <v>LUC-E00-470077-00</v>
          </cell>
          <cell r="F3140">
            <v>9530889034</v>
          </cell>
        </row>
        <row r="3141">
          <cell r="E3141" t="str">
            <v>LUC-E00-470059-00</v>
          </cell>
          <cell r="F3141">
            <v>9530889034</v>
          </cell>
        </row>
        <row r="3142">
          <cell r="E3142" t="str">
            <v>LUC-E00-470048-00</v>
          </cell>
          <cell r="F3142">
            <v>9530889034</v>
          </cell>
        </row>
        <row r="3143">
          <cell r="E3143" t="str">
            <v>LUC-E00-470004-00</v>
          </cell>
          <cell r="F3143">
            <v>9530889034</v>
          </cell>
        </row>
        <row r="3144">
          <cell r="E3144" t="str">
            <v>EF-45188721</v>
          </cell>
          <cell r="F3144">
            <v>9530889034</v>
          </cell>
        </row>
        <row r="3145">
          <cell r="E3145" t="str">
            <v>LUC-E00-420027-03</v>
          </cell>
          <cell r="F3145">
            <v>9530889034</v>
          </cell>
        </row>
        <row r="3146">
          <cell r="E3146" t="str">
            <v>LUC-EZZ-420089-00</v>
          </cell>
          <cell r="F3146">
            <v>9530889034</v>
          </cell>
        </row>
        <row r="3147">
          <cell r="E3147" t="str">
            <v>LUC-EZZ-420089-00</v>
          </cell>
          <cell r="F3147">
            <v>9530889034</v>
          </cell>
        </row>
        <row r="3148">
          <cell r="E3148" t="str">
            <v>LUC-EZZ-420089-00</v>
          </cell>
          <cell r="F3148">
            <v>9530889034</v>
          </cell>
        </row>
        <row r="3149">
          <cell r="E3149" t="str">
            <v>LUC-EZZ-420089-00</v>
          </cell>
          <cell r="F3149">
            <v>9530889034</v>
          </cell>
        </row>
        <row r="3150">
          <cell r="E3150" t="str">
            <v>LUC-E00-510017-00</v>
          </cell>
          <cell r="F3150">
            <v>9530889034</v>
          </cell>
        </row>
        <row r="3151">
          <cell r="E3151" t="str">
            <v>LUC-EZZ-420002-00</v>
          </cell>
          <cell r="F3151">
            <v>9530889034</v>
          </cell>
        </row>
        <row r="3152">
          <cell r="E3152" t="str">
            <v>LUC-EZZ-400225-00</v>
          </cell>
          <cell r="F3152">
            <v>9530889034</v>
          </cell>
        </row>
        <row r="3153">
          <cell r="E3153" t="str">
            <v>LUC-EZZ-420046-00</v>
          </cell>
          <cell r="F3153">
            <v>9530889034</v>
          </cell>
        </row>
        <row r="3154">
          <cell r="E3154" t="str">
            <v>LUC-EZZ-470961-00</v>
          </cell>
          <cell r="F3154">
            <v>9530889034</v>
          </cell>
        </row>
        <row r="3155">
          <cell r="E3155" t="str">
            <v>LUC-E00-470090-00</v>
          </cell>
          <cell r="F3155">
            <v>9530889034</v>
          </cell>
        </row>
        <row r="3156">
          <cell r="E3156" t="str">
            <v>LUC-EZZ-420665-00</v>
          </cell>
          <cell r="F3156">
            <v>9530889034</v>
          </cell>
        </row>
        <row r="3157">
          <cell r="E3157" t="str">
            <v>LUC-EZZ-420695-01</v>
          </cell>
          <cell r="F3157">
            <v>9530889034</v>
          </cell>
        </row>
        <row r="3158">
          <cell r="E3158" t="str">
            <v>LUC-EZZ-420189-00</v>
          </cell>
          <cell r="F3158">
            <v>9530889034</v>
          </cell>
        </row>
        <row r="3159">
          <cell r="E3159" t="str">
            <v>LUC-E00-420057-00</v>
          </cell>
          <cell r="F3159">
            <v>9530889034</v>
          </cell>
        </row>
        <row r="3160">
          <cell r="E3160" t="str">
            <v>LUC-EZZ-510061-00</v>
          </cell>
          <cell r="F3160">
            <v>9530889034</v>
          </cell>
        </row>
        <row r="3161">
          <cell r="E3161" t="str">
            <v>LUC-EZZ-510061-00</v>
          </cell>
          <cell r="F3161">
            <v>9530889034</v>
          </cell>
        </row>
        <row r="3162">
          <cell r="E3162" t="str">
            <v>LUC-EZZ-470464-00</v>
          </cell>
          <cell r="F3162">
            <v>9530889034</v>
          </cell>
        </row>
        <row r="3163">
          <cell r="E3163" t="str">
            <v>LUC-E00-470095-00</v>
          </cell>
          <cell r="F3163">
            <v>9530889034</v>
          </cell>
        </row>
        <row r="3164">
          <cell r="E3164" t="str">
            <v>LUC-E00-470061-00</v>
          </cell>
          <cell r="F3164">
            <v>9530889034</v>
          </cell>
        </row>
        <row r="3165">
          <cell r="E3165" t="str">
            <v>LUC-EZZ-470136-00</v>
          </cell>
          <cell r="F3165">
            <v>9530889034</v>
          </cell>
        </row>
        <row r="3166">
          <cell r="E3166" t="str">
            <v>LUC-E00-470089-00</v>
          </cell>
          <cell r="F3166">
            <v>9530889034</v>
          </cell>
        </row>
        <row r="3167">
          <cell r="E3167" t="str">
            <v>LUC-E00-400010-034</v>
          </cell>
          <cell r="F3167">
            <v>9530889034</v>
          </cell>
        </row>
        <row r="3168">
          <cell r="E3168" t="str">
            <v>LUC-E00-400010-034</v>
          </cell>
          <cell r="F3168">
            <v>9530889034</v>
          </cell>
        </row>
        <row r="3169">
          <cell r="E3169" t="str">
            <v>LUC-E00-400010-034</v>
          </cell>
          <cell r="F3169">
            <v>9530889034</v>
          </cell>
        </row>
        <row r="3170">
          <cell r="E3170" t="str">
            <v>LUC-E00-510045-00</v>
          </cell>
          <cell r="F3170">
            <v>9530889034</v>
          </cell>
        </row>
        <row r="3171">
          <cell r="E3171" t="str">
            <v>LUC-E00-470059-00</v>
          </cell>
          <cell r="F3171">
            <v>9530889034</v>
          </cell>
        </row>
        <row r="3172">
          <cell r="E3172" t="str">
            <v>LUC-E00-510015-00</v>
          </cell>
          <cell r="F3172">
            <v>9530889034</v>
          </cell>
        </row>
        <row r="3173">
          <cell r="E3173" t="str">
            <v>LUC-E00-470048-00</v>
          </cell>
          <cell r="F3173">
            <v>9530889034</v>
          </cell>
        </row>
        <row r="3174">
          <cell r="E3174" t="str">
            <v>LUC-E00-470080-00</v>
          </cell>
          <cell r="F3174">
            <v>9530889034</v>
          </cell>
        </row>
        <row r="3175">
          <cell r="E3175" t="str">
            <v>LUC-E00-400010-020</v>
          </cell>
          <cell r="F3175">
            <v>9530889034</v>
          </cell>
        </row>
        <row r="3176">
          <cell r="E3176" t="str">
            <v>LUC-E00-400010-048</v>
          </cell>
          <cell r="F3176">
            <v>9530889034</v>
          </cell>
        </row>
        <row r="3177">
          <cell r="E3177" t="str">
            <v>LUC-EZZ-451277-00</v>
          </cell>
          <cell r="F3177">
            <v>9530889034</v>
          </cell>
        </row>
        <row r="3178">
          <cell r="E3178" t="str">
            <v>LUC-EZZ-420089-00</v>
          </cell>
          <cell r="F3178">
            <v>9530889034</v>
          </cell>
        </row>
        <row r="3179">
          <cell r="E3179" t="str">
            <v>LUC-E00-420054-00</v>
          </cell>
          <cell r="F3179">
            <v>9530889034</v>
          </cell>
        </row>
        <row r="3180">
          <cell r="E3180" t="str">
            <v>LUC-E00-470131-00</v>
          </cell>
          <cell r="F3180">
            <v>9530889034</v>
          </cell>
        </row>
        <row r="3181">
          <cell r="E3181" t="str">
            <v>LUC-EZZ-450113-00</v>
          </cell>
          <cell r="F3181">
            <v>9530889034</v>
          </cell>
        </row>
        <row r="3182">
          <cell r="E3182" t="str">
            <v>LUC-EZZ-450113-00</v>
          </cell>
          <cell r="F3182">
            <v>9530889034</v>
          </cell>
        </row>
        <row r="3183">
          <cell r="E3183" t="str">
            <v>LUC-E00-460038-00</v>
          </cell>
          <cell r="F3183">
            <v>9530889034</v>
          </cell>
        </row>
        <row r="3184">
          <cell r="E3184" t="str">
            <v>LUC-E00-400067-111</v>
          </cell>
          <cell r="F3184">
            <v>9530889034</v>
          </cell>
        </row>
        <row r="3185">
          <cell r="E3185" t="str">
            <v>PURET-24-0001-00</v>
          </cell>
          <cell r="F3185">
            <v>9530889034</v>
          </cell>
        </row>
        <row r="3186">
          <cell r="E3186" t="str">
            <v>LUC-E00-460038-00</v>
          </cell>
          <cell r="F3186">
            <v>9530889034</v>
          </cell>
        </row>
        <row r="3187">
          <cell r="E3187" t="str">
            <v>LUC-E00-460038-00</v>
          </cell>
          <cell r="F3187">
            <v>9530889034</v>
          </cell>
        </row>
        <row r="3188">
          <cell r="E3188" t="str">
            <v>LUC-E00-400067-111</v>
          </cell>
          <cell r="F3188">
            <v>9530889034</v>
          </cell>
        </row>
        <row r="3189">
          <cell r="E3189" t="str">
            <v>LUC-E00-400010-008</v>
          </cell>
          <cell r="F3189">
            <v>9530889034</v>
          </cell>
        </row>
        <row r="3190">
          <cell r="E3190" t="str">
            <v>LUC-E00-470343-00</v>
          </cell>
          <cell r="F3190">
            <v>9530889034</v>
          </cell>
        </row>
        <row r="3191">
          <cell r="E3191" t="str">
            <v>LUC-E00-470343-00</v>
          </cell>
          <cell r="F3191">
            <v>9530889034</v>
          </cell>
        </row>
        <row r="3192">
          <cell r="E3192" t="str">
            <v>LUC-EZZ-450246-00</v>
          </cell>
          <cell r="F3192">
            <v>9530889034</v>
          </cell>
        </row>
        <row r="3193">
          <cell r="E3193" t="str">
            <v>LUC-E00-470423-00</v>
          </cell>
          <cell r="F3193">
            <v>9530889034</v>
          </cell>
        </row>
        <row r="3194">
          <cell r="E3194" t="str">
            <v>LUC-E00-470061-00</v>
          </cell>
          <cell r="F3194">
            <v>9530889034</v>
          </cell>
        </row>
        <row r="3195">
          <cell r="E3195" t="str">
            <v>LUC-E00-400023-04</v>
          </cell>
          <cell r="F3195">
            <v>9530889034</v>
          </cell>
        </row>
        <row r="3196">
          <cell r="E3196" t="str">
            <v>LUC-E00-510061-01</v>
          </cell>
          <cell r="F3196">
            <v>9530889034</v>
          </cell>
        </row>
        <row r="3197">
          <cell r="E3197" t="str">
            <v>LUC-E00-510064-00</v>
          </cell>
          <cell r="F3197">
            <v>9530889034</v>
          </cell>
        </row>
        <row r="3198">
          <cell r="E3198" t="str">
            <v>LUC-E00-510064-00</v>
          </cell>
          <cell r="F3198">
            <v>9530889034</v>
          </cell>
        </row>
        <row r="3199">
          <cell r="E3199" t="str">
            <v>LUC-EZZ-510638-00</v>
          </cell>
          <cell r="F3199">
            <v>9530889034</v>
          </cell>
        </row>
        <row r="3200">
          <cell r="E3200" t="str">
            <v>LUC-E00-510064-00</v>
          </cell>
          <cell r="F3200">
            <v>9530889034</v>
          </cell>
        </row>
        <row r="3201">
          <cell r="E3201" t="str">
            <v>LUC-E00-470119-00</v>
          </cell>
          <cell r="F3201">
            <v>9530889034</v>
          </cell>
        </row>
        <row r="3202">
          <cell r="E3202" t="str">
            <v>LUC-E00-470020-01</v>
          </cell>
          <cell r="F3202">
            <v>9530889034</v>
          </cell>
        </row>
        <row r="3203">
          <cell r="E3203" t="str">
            <v>LUC-E00-440057-00</v>
          </cell>
          <cell r="F3203">
            <v>9530889034</v>
          </cell>
        </row>
        <row r="3204">
          <cell r="E3204" t="str">
            <v>LUC-E00-440057-00</v>
          </cell>
          <cell r="F3204">
            <v>9530889034</v>
          </cell>
        </row>
        <row r="3205">
          <cell r="E3205" t="str">
            <v>LUC-E00-470120-00</v>
          </cell>
          <cell r="F3205">
            <v>9530889034</v>
          </cell>
        </row>
        <row r="3206">
          <cell r="E3206" t="str">
            <v>LUC-EZZ-420089-00</v>
          </cell>
          <cell r="F3206">
            <v>9530889034</v>
          </cell>
        </row>
        <row r="3207">
          <cell r="E3207" t="str">
            <v>LUC-E00-420045-02</v>
          </cell>
          <cell r="F3207">
            <v>9530889034</v>
          </cell>
        </row>
        <row r="3208">
          <cell r="E3208" t="str">
            <v>LUC-EZZ-400621-00</v>
          </cell>
          <cell r="F3208">
            <v>9530889034</v>
          </cell>
        </row>
        <row r="3209">
          <cell r="E3209" t="str">
            <v>PUR-03-0113-00</v>
          </cell>
          <cell r="F3209" t="str">
            <v>8TV3935</v>
          </cell>
        </row>
        <row r="3210">
          <cell r="E3210" t="str">
            <v>PUR-03-0113-00</v>
          </cell>
          <cell r="F3210" t="str">
            <v>8TV3928</v>
          </cell>
        </row>
        <row r="3211">
          <cell r="E3211" t="str">
            <v>PUR-03-0092-03-H</v>
          </cell>
          <cell r="F3211" t="str">
            <v>8TV3927</v>
          </cell>
        </row>
        <row r="3212">
          <cell r="E3212" t="str">
            <v>PUR-03-0113-00</v>
          </cell>
          <cell r="F3212" t="str">
            <v>8TV3939</v>
          </cell>
        </row>
        <row r="3213">
          <cell r="E3213" t="str">
            <v>PUR-03-0113-00</v>
          </cell>
          <cell r="F3213" t="str">
            <v>8TV3940</v>
          </cell>
        </row>
        <row r="3214">
          <cell r="E3214" t="str">
            <v>LUC-P21-KA3100-00</v>
          </cell>
          <cell r="F3214">
            <v>772789718415</v>
          </cell>
        </row>
        <row r="3215">
          <cell r="E3215" t="str">
            <v>EF-45142345</v>
          </cell>
          <cell r="F3215">
            <v>772753251410</v>
          </cell>
        </row>
        <row r="3216">
          <cell r="E3216" t="str">
            <v>102-001542</v>
          </cell>
          <cell r="F3216">
            <v>772821282313</v>
          </cell>
        </row>
        <row r="3217">
          <cell r="E3217" t="str">
            <v>EF-45061084</v>
          </cell>
          <cell r="F3217">
            <v>449835636749</v>
          </cell>
        </row>
        <row r="3218">
          <cell r="E3218" t="str">
            <v>LUC-E00-400075-00</v>
          </cell>
          <cell r="F3218">
            <v>449835636749</v>
          </cell>
        </row>
        <row r="3219">
          <cell r="E3219" t="str">
            <v>PUR-16-0044-01</v>
          </cell>
          <cell r="F3219" t="str">
            <v>MNN/HPH/00833</v>
          </cell>
        </row>
        <row r="3220">
          <cell r="E3220" t="str">
            <v>PUR-16-0044-01</v>
          </cell>
          <cell r="F3220" t="str">
            <v>MNN/HPH/00833</v>
          </cell>
        </row>
        <row r="3221">
          <cell r="E3221" t="str">
            <v>PUR-16-0051-00</v>
          </cell>
          <cell r="F3221" t="str">
            <v>MNN/HPH/00833</v>
          </cell>
        </row>
        <row r="3222">
          <cell r="E3222" t="str">
            <v>LUC-EZZ-421298-00</v>
          </cell>
          <cell r="F3222">
            <v>1288750223</v>
          </cell>
        </row>
        <row r="3223">
          <cell r="E3223" t="str">
            <v>LUC-EZZ-400629-00</v>
          </cell>
          <cell r="F3223">
            <v>1288750223</v>
          </cell>
        </row>
        <row r="3224">
          <cell r="E3224" t="str">
            <v>LUC-EZZ-420536-00</v>
          </cell>
          <cell r="F3224">
            <v>1288750223</v>
          </cell>
        </row>
        <row r="3225">
          <cell r="E3225" t="str">
            <v>AGI-760-40007-01</v>
          </cell>
          <cell r="F3225">
            <v>1288750223</v>
          </cell>
        </row>
        <row r="3226">
          <cell r="E3226" t="str">
            <v>LUC-E00-400023-000</v>
          </cell>
          <cell r="F3226">
            <v>1288750223</v>
          </cell>
        </row>
        <row r="3227">
          <cell r="E3227" t="str">
            <v>EF-45046853</v>
          </cell>
          <cell r="F3227">
            <v>1288750223</v>
          </cell>
        </row>
        <row r="3228">
          <cell r="E3228" t="str">
            <v>174-000139</v>
          </cell>
          <cell r="F3228">
            <v>1288750223</v>
          </cell>
        </row>
        <row r="3229">
          <cell r="E3229" t="str">
            <v>LUC-EZZ-400192-00</v>
          </cell>
          <cell r="F3229">
            <v>5376314930</v>
          </cell>
        </row>
        <row r="3230">
          <cell r="E3230" t="str">
            <v>LUC-E00-450075-00</v>
          </cell>
          <cell r="F3230">
            <v>5376314930</v>
          </cell>
        </row>
        <row r="3231">
          <cell r="E3231" t="str">
            <v>LUC-EZZ-420151-00</v>
          </cell>
          <cell r="F3231">
            <v>5376314930</v>
          </cell>
        </row>
        <row r="3232">
          <cell r="E3232" t="str">
            <v>EF-45036912.X.X</v>
          </cell>
          <cell r="F3232">
            <v>5376314930</v>
          </cell>
        </row>
        <row r="3233">
          <cell r="E3233" t="str">
            <v>PUR-14-0076-00</v>
          </cell>
          <cell r="F3233">
            <v>5376314930</v>
          </cell>
        </row>
        <row r="3234">
          <cell r="E3234" t="str">
            <v>PUR-14-0077-00</v>
          </cell>
          <cell r="F3234">
            <v>5376314930</v>
          </cell>
        </row>
        <row r="3235">
          <cell r="E3235" t="str">
            <v>PUR-14-0083-00</v>
          </cell>
          <cell r="F3235">
            <v>5376314930</v>
          </cell>
        </row>
        <row r="3236">
          <cell r="E3236" t="str">
            <v>PUR-14-0076-00</v>
          </cell>
          <cell r="F3236">
            <v>5376314930</v>
          </cell>
        </row>
        <row r="3237">
          <cell r="E3237" t="str">
            <v>PUR-14-0083-00</v>
          </cell>
          <cell r="F3237">
            <v>5376314930</v>
          </cell>
        </row>
        <row r="3238">
          <cell r="E3238" t="str">
            <v>PUR-14-0077-00</v>
          </cell>
          <cell r="F3238">
            <v>5376314930</v>
          </cell>
        </row>
        <row r="3239">
          <cell r="E3239" t="str">
            <v>PUR-14-0083-00</v>
          </cell>
          <cell r="F3239">
            <v>5376314930</v>
          </cell>
        </row>
        <row r="3240">
          <cell r="E3240" t="str">
            <v>PUR-14-0076-00</v>
          </cell>
          <cell r="F3240">
            <v>5376314930</v>
          </cell>
        </row>
        <row r="3241">
          <cell r="E3241" t="str">
            <v>PUR-14-0077-00</v>
          </cell>
          <cell r="F3241">
            <v>5376314930</v>
          </cell>
        </row>
        <row r="3242">
          <cell r="E3242" t="str">
            <v>PUR-14-0083-00</v>
          </cell>
          <cell r="F3242">
            <v>5376314930</v>
          </cell>
        </row>
        <row r="3243">
          <cell r="E3243" t="str">
            <v>PUR-12-0288-00</v>
          </cell>
          <cell r="F3243">
            <v>5376314930</v>
          </cell>
        </row>
        <row r="3244">
          <cell r="E3244" t="str">
            <v>PURET-24-0008-00</v>
          </cell>
          <cell r="F3244">
            <v>5376314930</v>
          </cell>
        </row>
        <row r="3245">
          <cell r="E3245" t="str">
            <v>LUC-E00-400024-04</v>
          </cell>
          <cell r="F3245">
            <v>5376314930</v>
          </cell>
        </row>
        <row r="3246">
          <cell r="E3246" t="str">
            <v>LUC-EZZ-690758-00</v>
          </cell>
          <cell r="F3246">
            <v>5376314930</v>
          </cell>
        </row>
        <row r="3247">
          <cell r="E3247" t="str">
            <v>PUR-24-0024-00</v>
          </cell>
          <cell r="F3247">
            <v>5376314930</v>
          </cell>
        </row>
        <row r="3248">
          <cell r="E3248" t="str">
            <v>PUR-24-0024-00</v>
          </cell>
          <cell r="F3248">
            <v>5376314930</v>
          </cell>
        </row>
        <row r="3249">
          <cell r="E3249" t="str">
            <v>LUC-E00-450100-00</v>
          </cell>
          <cell r="F3249">
            <v>5376314930</v>
          </cell>
        </row>
        <row r="3250">
          <cell r="E3250" t="str">
            <v>LUC-E00-400028-06</v>
          </cell>
          <cell r="F3250">
            <v>5376314930</v>
          </cell>
        </row>
        <row r="3251">
          <cell r="E3251" t="str">
            <v>PURET-24-0002-00</v>
          </cell>
          <cell r="F3251">
            <v>5376314930</v>
          </cell>
        </row>
        <row r="3252">
          <cell r="E3252" t="str">
            <v>PURET-24-0002-00</v>
          </cell>
          <cell r="F3252">
            <v>5376314930</v>
          </cell>
        </row>
        <row r="3253">
          <cell r="E3253" t="str">
            <v>AGI-530-40006-01</v>
          </cell>
          <cell r="F3253">
            <v>5376314930</v>
          </cell>
        </row>
        <row r="3254">
          <cell r="E3254" t="str">
            <v>PUR-13-0125-00</v>
          </cell>
          <cell r="F3254">
            <v>5376314930</v>
          </cell>
        </row>
        <row r="3255">
          <cell r="E3255" t="str">
            <v>EF-45072100.X.X</v>
          </cell>
          <cell r="F3255">
            <v>5376314930</v>
          </cell>
        </row>
        <row r="3256">
          <cell r="E3256" t="str">
            <v>AGI-532-40014-01</v>
          </cell>
          <cell r="F3256">
            <v>5376314930</v>
          </cell>
        </row>
        <row r="3257">
          <cell r="E3257" t="str">
            <v>AGI-532-40014-01</v>
          </cell>
          <cell r="F3257">
            <v>5376314930</v>
          </cell>
        </row>
        <row r="3258">
          <cell r="E3258" t="str">
            <v>LUC-E00-450047-00</v>
          </cell>
          <cell r="F3258">
            <v>419341538336</v>
          </cell>
        </row>
        <row r="3259">
          <cell r="E3259" t="str">
            <v>PUR-15-0151-00</v>
          </cell>
          <cell r="F3259">
            <v>772786299585</v>
          </cell>
        </row>
        <row r="3260">
          <cell r="E3260" t="str">
            <v>PUR-12-0338-00</v>
          </cell>
          <cell r="F3260">
            <v>772793247969</v>
          </cell>
        </row>
        <row r="3261">
          <cell r="E3261" t="str">
            <v>AIC-MP-00007057-000</v>
          </cell>
          <cell r="F3261">
            <v>772815220651</v>
          </cell>
        </row>
        <row r="3262">
          <cell r="E3262" t="str">
            <v>EF-45126913</v>
          </cell>
          <cell r="F3262">
            <v>1288750820</v>
          </cell>
        </row>
        <row r="3263">
          <cell r="E3263" t="str">
            <v>PUR-13-0165-00</v>
          </cell>
          <cell r="F3263">
            <v>1288750820</v>
          </cell>
        </row>
        <row r="3264">
          <cell r="E3264" t="str">
            <v>PUR-03-0113-00</v>
          </cell>
          <cell r="F3264" t="str">
            <v>8TV3941</v>
          </cell>
        </row>
        <row r="3265">
          <cell r="E3265" t="str">
            <v>PUR-03-0113-00</v>
          </cell>
          <cell r="F3265" t="str">
            <v>8TV3950</v>
          </cell>
        </row>
        <row r="3266">
          <cell r="E3266" t="str">
            <v>LUC-EZZ-471023-00</v>
          </cell>
          <cell r="F3266">
            <v>8421145666</v>
          </cell>
        </row>
        <row r="3267">
          <cell r="E3267" t="str">
            <v>LUC-EZZ-471023-00</v>
          </cell>
          <cell r="F3267">
            <v>8421145666</v>
          </cell>
        </row>
        <row r="3268">
          <cell r="E3268" t="str">
            <v>LUC-EZZ-471023-00</v>
          </cell>
          <cell r="F3268">
            <v>8421145666</v>
          </cell>
        </row>
        <row r="3269">
          <cell r="E3269" t="str">
            <v>LUC-LABEL-60X40-G</v>
          </cell>
          <cell r="F3269">
            <v>772843594401</v>
          </cell>
        </row>
        <row r="3270">
          <cell r="E3270" t="str">
            <v>LUC-E00-470029-00</v>
          </cell>
          <cell r="F3270">
            <v>449984669925</v>
          </cell>
        </row>
        <row r="3271">
          <cell r="E3271" t="str">
            <v>LUC-E00-400010-003</v>
          </cell>
          <cell r="F3271">
            <v>449984669925</v>
          </cell>
        </row>
        <row r="3272">
          <cell r="E3272" t="str">
            <v>LUC-E00-470041-00</v>
          </cell>
          <cell r="F3272">
            <v>449984669925</v>
          </cell>
        </row>
        <row r="3273">
          <cell r="E3273" t="str">
            <v>EF-45044114.X.X</v>
          </cell>
          <cell r="F3273">
            <v>449984669925</v>
          </cell>
        </row>
        <row r="3274">
          <cell r="E3274" t="str">
            <v>PUR-09-0424-00</v>
          </cell>
          <cell r="F3274">
            <v>449984669925</v>
          </cell>
        </row>
        <row r="3275">
          <cell r="E3275" t="str">
            <v>LUC-E00-470413-01</v>
          </cell>
          <cell r="F3275">
            <v>449984669925</v>
          </cell>
        </row>
        <row r="3276">
          <cell r="E3276" t="str">
            <v>PUR-09-0253-00</v>
          </cell>
          <cell r="F3276">
            <v>449984669925</v>
          </cell>
        </row>
        <row r="3277">
          <cell r="E3277" t="str">
            <v>LUC-E00-400010-026</v>
          </cell>
          <cell r="F3277">
            <v>449984669925</v>
          </cell>
        </row>
        <row r="3278">
          <cell r="E3278" t="str">
            <v>LUC-EZZ-470480-00</v>
          </cell>
          <cell r="F3278">
            <v>449984669925</v>
          </cell>
        </row>
        <row r="3279">
          <cell r="E3279" t="str">
            <v>LUC-E00-400001-012</v>
          </cell>
          <cell r="F3279">
            <v>449984669925</v>
          </cell>
        </row>
        <row r="3280">
          <cell r="E3280" t="str">
            <v>LUC-EZZ-400248-00</v>
          </cell>
          <cell r="F3280">
            <v>449984669925</v>
          </cell>
        </row>
        <row r="3281">
          <cell r="E3281" t="str">
            <v>LUC-EZZ-400201-00</v>
          </cell>
          <cell r="F3281">
            <v>449984669925</v>
          </cell>
        </row>
        <row r="3282">
          <cell r="E3282" t="str">
            <v>LUC-E00-470472-00</v>
          </cell>
          <cell r="F3282">
            <v>449984669925</v>
          </cell>
        </row>
        <row r="3283">
          <cell r="E3283" t="str">
            <v>LUC-EZZ-470139-00</v>
          </cell>
          <cell r="F3283">
            <v>449984669925</v>
          </cell>
        </row>
        <row r="3284">
          <cell r="E3284" t="str">
            <v>LUC-E00-470127-00</v>
          </cell>
          <cell r="F3284">
            <v>449984669925</v>
          </cell>
        </row>
        <row r="3285">
          <cell r="E3285" t="str">
            <v>LUC-E00-470112-00</v>
          </cell>
          <cell r="F3285">
            <v>449984669925</v>
          </cell>
        </row>
        <row r="3286">
          <cell r="E3286" t="str">
            <v>LUC-EZZ-470191-00</v>
          </cell>
          <cell r="F3286">
            <v>449984669925</v>
          </cell>
        </row>
        <row r="3287">
          <cell r="E3287" t="str">
            <v>LUC-E00-470353-00</v>
          </cell>
          <cell r="F3287">
            <v>449984669925</v>
          </cell>
        </row>
        <row r="3288">
          <cell r="E3288" t="str">
            <v>LUC-E00-470070-00</v>
          </cell>
          <cell r="F3288">
            <v>449984669925</v>
          </cell>
        </row>
        <row r="3289">
          <cell r="E3289" t="str">
            <v>LUC-E00-470081-00</v>
          </cell>
          <cell r="F3289">
            <v>449984669925</v>
          </cell>
        </row>
        <row r="3290">
          <cell r="E3290" t="str">
            <v>LUC-EZZ-400242-00</v>
          </cell>
          <cell r="F3290">
            <v>449984669925</v>
          </cell>
        </row>
        <row r="3291">
          <cell r="E3291" t="str">
            <v>EF-45108861.X.X</v>
          </cell>
          <cell r="F3291">
            <v>449984669925</v>
          </cell>
        </row>
        <row r="3292">
          <cell r="E3292" t="str">
            <v>LUC-EZZ-470422-00</v>
          </cell>
          <cell r="F3292">
            <v>449984669925</v>
          </cell>
        </row>
        <row r="3293">
          <cell r="E3293" t="str">
            <v>LUC-E00-400010-016</v>
          </cell>
          <cell r="F3293">
            <v>449984669925</v>
          </cell>
        </row>
        <row r="3294">
          <cell r="E3294" t="str">
            <v>PUR-09-0253-00</v>
          </cell>
          <cell r="F3294">
            <v>449984669925</v>
          </cell>
        </row>
        <row r="3295">
          <cell r="E3295" t="str">
            <v>LUC-E00-470038-00</v>
          </cell>
          <cell r="F3295">
            <v>449984669925</v>
          </cell>
        </row>
        <row r="3296">
          <cell r="E3296" t="str">
            <v>LUC-E00-400010-001</v>
          </cell>
          <cell r="F3296">
            <v>449984669925</v>
          </cell>
        </row>
        <row r="3297">
          <cell r="E3297" t="str">
            <v>LUC-EZZ-400231-00</v>
          </cell>
          <cell r="F3297">
            <v>449984669925</v>
          </cell>
        </row>
        <row r="3298">
          <cell r="E3298" t="str">
            <v>103-000216.X.X</v>
          </cell>
          <cell r="F3298">
            <v>441659522052</v>
          </cell>
        </row>
        <row r="3299">
          <cell r="E3299" t="str">
            <v>PUR-12-0337-00</v>
          </cell>
          <cell r="F3299">
            <v>772847699548</v>
          </cell>
        </row>
        <row r="3300">
          <cell r="E3300" t="str">
            <v>PUR-13-0245-00</v>
          </cell>
          <cell r="F3300">
            <v>772847699548</v>
          </cell>
        </row>
        <row r="3301">
          <cell r="E3301" t="str">
            <v>122-000453.X.X</v>
          </cell>
          <cell r="F3301">
            <v>772847699548</v>
          </cell>
        </row>
        <row r="3302">
          <cell r="E3302" t="str">
            <v>PURET-12-0056-00</v>
          </cell>
          <cell r="F3302">
            <v>772847699548</v>
          </cell>
        </row>
        <row r="3303">
          <cell r="E3303" t="str">
            <v>AGI-530-40004-01</v>
          </cell>
          <cell r="F3303">
            <v>772847699548</v>
          </cell>
        </row>
        <row r="3304">
          <cell r="E3304" t="str">
            <v>PUR-12-0314-00</v>
          </cell>
          <cell r="F3304">
            <v>772847699548</v>
          </cell>
        </row>
        <row r="3305">
          <cell r="E3305" t="str">
            <v>121-000519.X.X</v>
          </cell>
          <cell r="F3305">
            <v>772847699548</v>
          </cell>
        </row>
        <row r="3306">
          <cell r="E3306" t="str">
            <v>LUC-E00-450009-00</v>
          </cell>
          <cell r="F3306">
            <v>772847699548</v>
          </cell>
        </row>
        <row r="3307">
          <cell r="E3307" t="str">
            <v>LUC-E00-460018-00</v>
          </cell>
          <cell r="F3307">
            <v>411336035068</v>
          </cell>
        </row>
        <row r="3308">
          <cell r="E3308" t="str">
            <v>LUC-E00-460018-00</v>
          </cell>
          <cell r="F3308">
            <v>411336035068</v>
          </cell>
        </row>
        <row r="3309">
          <cell r="E3309" t="str">
            <v>LUC-E00-470013-00</v>
          </cell>
          <cell r="F3309">
            <v>411336035068</v>
          </cell>
        </row>
        <row r="3310">
          <cell r="E3310" t="str">
            <v>PUR-03-0091-02</v>
          </cell>
          <cell r="F3310">
            <v>447380768353</v>
          </cell>
        </row>
        <row r="3311">
          <cell r="E3311" t="str">
            <v>EF-45213270</v>
          </cell>
          <cell r="F3311">
            <v>286590773074</v>
          </cell>
        </row>
        <row r="3312">
          <cell r="E3312" t="str">
            <v>AGI-450-40126-01</v>
          </cell>
          <cell r="F3312">
            <v>286590773074</v>
          </cell>
        </row>
        <row r="3313">
          <cell r="E3313" t="str">
            <v>PUR-13-0236-00</v>
          </cell>
          <cell r="F3313">
            <v>421281350115</v>
          </cell>
        </row>
        <row r="3314">
          <cell r="E3314" t="str">
            <v>LUC-E00-400034-023</v>
          </cell>
          <cell r="F3314">
            <v>449351455605</v>
          </cell>
        </row>
        <row r="3315">
          <cell r="E3315" t="str">
            <v>LUC-E00-470093-00</v>
          </cell>
          <cell r="F3315">
            <v>449351455605</v>
          </cell>
        </row>
        <row r="3316">
          <cell r="E3316" t="str">
            <v>LUC-P11-K41E00-01</v>
          </cell>
          <cell r="F3316">
            <v>449351455605</v>
          </cell>
        </row>
        <row r="3317">
          <cell r="E3317" t="str">
            <v>LUC-EZZ-400609-00</v>
          </cell>
          <cell r="F3317">
            <v>449351455605</v>
          </cell>
        </row>
        <row r="3318">
          <cell r="E3318" t="str">
            <v>LUC-E00-440043-00</v>
          </cell>
          <cell r="F3318">
            <v>286645867314</v>
          </cell>
        </row>
        <row r="3319">
          <cell r="E3319" t="str">
            <v>LUC-E00-470096-00</v>
          </cell>
          <cell r="F3319">
            <v>4110322769</v>
          </cell>
        </row>
        <row r="3320">
          <cell r="E3320" t="str">
            <v>LUC-P21-K2C400-01</v>
          </cell>
          <cell r="F3320" t="str">
            <v>SA250306465</v>
          </cell>
        </row>
        <row r="3321">
          <cell r="E3321" t="str">
            <v>LUC-P21-K61100-02</v>
          </cell>
          <cell r="F3321" t="str">
            <v>SA250306465</v>
          </cell>
        </row>
        <row r="3322">
          <cell r="E3322" t="str">
            <v>LUC-EZZ-490306-00</v>
          </cell>
          <cell r="F3322">
            <v>1515181</v>
          </cell>
        </row>
        <row r="3323">
          <cell r="E3323" t="str">
            <v>LUC-EZZ-470421-00</v>
          </cell>
          <cell r="F3323">
            <v>286715052191</v>
          </cell>
        </row>
        <row r="3324">
          <cell r="E3324" t="str">
            <v>PUR-09-0343-00</v>
          </cell>
          <cell r="F3324">
            <v>425055653295</v>
          </cell>
        </row>
        <row r="3325">
          <cell r="E3325" t="str">
            <v>PUR-09-0343-00</v>
          </cell>
          <cell r="F3325">
            <v>425055653295</v>
          </cell>
        </row>
        <row r="3326">
          <cell r="E3326" t="str">
            <v>PUR-09-0343-00</v>
          </cell>
          <cell r="F3326">
            <v>425055653295</v>
          </cell>
        </row>
        <row r="3327">
          <cell r="E3327" t="str">
            <v>PUR-09-0343-00</v>
          </cell>
          <cell r="F3327">
            <v>425055653295</v>
          </cell>
        </row>
        <row r="3328">
          <cell r="E3328" t="str">
            <v>PUR-09-0343-00</v>
          </cell>
          <cell r="F3328">
            <v>425055653295</v>
          </cell>
        </row>
        <row r="3329">
          <cell r="E3329" t="str">
            <v>PUR-09-0343-00</v>
          </cell>
          <cell r="F3329">
            <v>425055653295</v>
          </cell>
        </row>
        <row r="3330">
          <cell r="E3330" t="str">
            <v>EF-45127244.X.X</v>
          </cell>
          <cell r="F3330">
            <v>445131379489</v>
          </cell>
        </row>
        <row r="3331">
          <cell r="E3331" t="str">
            <v>LUC-E00-470085-00</v>
          </cell>
          <cell r="F3331">
            <v>772899342478</v>
          </cell>
        </row>
        <row r="3332">
          <cell r="E3332" t="str">
            <v>LUC-EZZ-470297-00</v>
          </cell>
          <cell r="F3332">
            <v>772899342478</v>
          </cell>
        </row>
        <row r="3333">
          <cell r="E3333" t="str">
            <v>LUC-EZZ-470297-00</v>
          </cell>
          <cell r="F3333">
            <v>772899342478</v>
          </cell>
        </row>
        <row r="3334">
          <cell r="E3334" t="str">
            <v>LUC-E00-470047-00</v>
          </cell>
          <cell r="F3334">
            <v>619345508724</v>
          </cell>
        </row>
        <row r="3335">
          <cell r="E3335" t="str">
            <v>PUR-24-0028-00</v>
          </cell>
          <cell r="F3335">
            <v>119209587205</v>
          </cell>
        </row>
        <row r="3336">
          <cell r="E3336" t="str">
            <v>AGI-410-50002-01</v>
          </cell>
          <cell r="F3336">
            <v>119209587205</v>
          </cell>
        </row>
        <row r="3337">
          <cell r="E3337" t="str">
            <v>LUC-EZZ-420089-00</v>
          </cell>
          <cell r="F3337">
            <v>449984733000</v>
          </cell>
        </row>
        <row r="3338">
          <cell r="E3338" t="str">
            <v>LUC-EZZ-400200-00</v>
          </cell>
          <cell r="F3338">
            <v>449984733000</v>
          </cell>
        </row>
        <row r="3339">
          <cell r="E3339" t="str">
            <v>PUR-09-0427-00</v>
          </cell>
          <cell r="F3339">
            <v>447911515214</v>
          </cell>
        </row>
        <row r="3340">
          <cell r="E3340" t="str">
            <v>AGI-500-40192-01</v>
          </cell>
          <cell r="F3340">
            <v>447911515214</v>
          </cell>
        </row>
        <row r="3341">
          <cell r="E3341" t="str">
            <v>EF-45137191</v>
          </cell>
          <cell r="F3341">
            <v>447911515214</v>
          </cell>
        </row>
        <row r="3342">
          <cell r="E3342" t="str">
            <v>214-000005</v>
          </cell>
          <cell r="F3342">
            <v>447911515214</v>
          </cell>
        </row>
        <row r="3343">
          <cell r="E3343" t="str">
            <v>PUR-09-0427-00</v>
          </cell>
          <cell r="F3343">
            <v>447911515214</v>
          </cell>
        </row>
        <row r="3344">
          <cell r="E3344" t="str">
            <v>LUC-E00-420047-02</v>
          </cell>
          <cell r="F3344">
            <v>409298778547</v>
          </cell>
        </row>
        <row r="3345">
          <cell r="E3345" t="str">
            <v>LUC-E00-400010-004</v>
          </cell>
          <cell r="F3345">
            <v>409298778547</v>
          </cell>
        </row>
        <row r="3346">
          <cell r="E3346" t="str">
            <v>LUC-E00-690003-00</v>
          </cell>
          <cell r="F3346">
            <v>409298778547</v>
          </cell>
        </row>
        <row r="3347">
          <cell r="E3347" t="str">
            <v>LUC-E00-420047-00</v>
          </cell>
          <cell r="F3347">
            <v>409298778547</v>
          </cell>
        </row>
        <row r="3348">
          <cell r="E3348" t="str">
            <v>LUC-E00-420047-00</v>
          </cell>
          <cell r="F3348">
            <v>409298778547</v>
          </cell>
        </row>
        <row r="3349">
          <cell r="E3349" t="str">
            <v>LUC-E00-440011-00</v>
          </cell>
          <cell r="F3349">
            <v>409298778547</v>
          </cell>
        </row>
        <row r="3350">
          <cell r="E3350" t="str">
            <v>LUC-EZZ-420493-00</v>
          </cell>
          <cell r="F3350">
            <v>409298778547</v>
          </cell>
        </row>
        <row r="3351">
          <cell r="E3351" t="str">
            <v>LUC-EZZ-420493-00</v>
          </cell>
          <cell r="F3351">
            <v>409298778547</v>
          </cell>
        </row>
        <row r="3352">
          <cell r="E3352" t="str">
            <v>LUC-EZZ-420493-00</v>
          </cell>
          <cell r="F3352">
            <v>409298778547</v>
          </cell>
        </row>
        <row r="3353">
          <cell r="E3353" t="str">
            <v>LUC-E00-440032-01</v>
          </cell>
          <cell r="F3353">
            <v>409298778547</v>
          </cell>
        </row>
        <row r="3354">
          <cell r="E3354" t="str">
            <v>LUC-EZZ-420173-00</v>
          </cell>
          <cell r="F3354">
            <v>409298778547</v>
          </cell>
        </row>
        <row r="3355">
          <cell r="E3355" t="str">
            <v>LUC-EZZ-420403-00</v>
          </cell>
          <cell r="F3355">
            <v>409298778547</v>
          </cell>
        </row>
        <row r="3356">
          <cell r="E3356" t="str">
            <v>LUC-E00-440144-00</v>
          </cell>
          <cell r="F3356">
            <v>409298778547</v>
          </cell>
        </row>
        <row r="3357">
          <cell r="E3357" t="str">
            <v>LUC-E00-440144-00</v>
          </cell>
          <cell r="F3357">
            <v>409298778547</v>
          </cell>
        </row>
        <row r="3358">
          <cell r="E3358" t="str">
            <v>LUC-E00-440144-00</v>
          </cell>
          <cell r="F3358">
            <v>409298778547</v>
          </cell>
        </row>
        <row r="3359">
          <cell r="E3359" t="str">
            <v>LUC-E00-400010-004</v>
          </cell>
          <cell r="F3359">
            <v>409298778547</v>
          </cell>
        </row>
        <row r="3360">
          <cell r="E3360" t="str">
            <v>LUC-E00-420047-02</v>
          </cell>
          <cell r="F3360">
            <v>409298778547</v>
          </cell>
        </row>
        <row r="3361">
          <cell r="E3361" t="str">
            <v>LUC-E00-420047-02</v>
          </cell>
          <cell r="F3361">
            <v>409298778547</v>
          </cell>
        </row>
        <row r="3362">
          <cell r="E3362" t="str">
            <v>LUC-E00-420047-02</v>
          </cell>
          <cell r="F3362">
            <v>409298778547</v>
          </cell>
        </row>
        <row r="3363">
          <cell r="E3363" t="str">
            <v>LUC-E00-420047-02</v>
          </cell>
          <cell r="F3363">
            <v>409298778547</v>
          </cell>
        </row>
        <row r="3364">
          <cell r="E3364" t="str">
            <v>LUC-E00-420055-05</v>
          </cell>
          <cell r="F3364">
            <v>409298778547</v>
          </cell>
        </row>
        <row r="3365">
          <cell r="E3365" t="str">
            <v>LUC-E00-400011-000</v>
          </cell>
          <cell r="F3365">
            <v>409298778547</v>
          </cell>
        </row>
        <row r="3366">
          <cell r="E3366" t="str">
            <v>PURET-13-0022-00</v>
          </cell>
          <cell r="F3366">
            <v>434611755888</v>
          </cell>
        </row>
        <row r="3367">
          <cell r="E3367" t="str">
            <v>PUR-13-0147-00</v>
          </cell>
          <cell r="F3367">
            <v>434611755888</v>
          </cell>
        </row>
        <row r="3368">
          <cell r="E3368" t="str">
            <v>PURET-13-0002-00</v>
          </cell>
          <cell r="F3368">
            <v>434611755888</v>
          </cell>
        </row>
        <row r="3369">
          <cell r="E3369" t="str">
            <v>PUR-13-0155-00</v>
          </cell>
          <cell r="F3369">
            <v>434611755888</v>
          </cell>
        </row>
        <row r="3370">
          <cell r="E3370" t="str">
            <v>PUR-13-0229-00</v>
          </cell>
          <cell r="F3370">
            <v>434611755888</v>
          </cell>
        </row>
        <row r="3371">
          <cell r="E3371" t="str">
            <v>PUR-13-0238-00</v>
          </cell>
          <cell r="F3371">
            <v>434611755888</v>
          </cell>
        </row>
        <row r="3372">
          <cell r="E3372" t="str">
            <v>PUR-13-0196-00</v>
          </cell>
          <cell r="F3372">
            <v>434611755888</v>
          </cell>
        </row>
        <row r="3373">
          <cell r="E3373" t="str">
            <v>LUC-E00-420185-00</v>
          </cell>
          <cell r="F3373">
            <v>434611755888</v>
          </cell>
        </row>
        <row r="3374">
          <cell r="E3374" t="str">
            <v>EF-45037536</v>
          </cell>
          <cell r="F3374">
            <v>434611755888</v>
          </cell>
        </row>
        <row r="3375">
          <cell r="E3375" t="str">
            <v>EF-45072100.X.X</v>
          </cell>
          <cell r="F3375">
            <v>571583415813</v>
          </cell>
        </row>
        <row r="3376">
          <cell r="E3376" t="str">
            <v>LUC-E00-420014-03</v>
          </cell>
          <cell r="F3376">
            <v>571583415813</v>
          </cell>
        </row>
        <row r="3377">
          <cell r="E3377" t="str">
            <v>AGI-720-50001-01</v>
          </cell>
          <cell r="F3377">
            <v>719546654433</v>
          </cell>
        </row>
        <row r="3378">
          <cell r="E3378" t="str">
            <v>PUR-09-0267-00</v>
          </cell>
          <cell r="F3378">
            <v>450956503451</v>
          </cell>
        </row>
        <row r="3379">
          <cell r="E3379" t="str">
            <v>LUC-E00-690215-00</v>
          </cell>
          <cell r="F3379">
            <v>912489514725</v>
          </cell>
        </row>
        <row r="3380">
          <cell r="E3380" t="str">
            <v>LUC-E00-690215-00</v>
          </cell>
          <cell r="F3380">
            <v>912489514725</v>
          </cell>
        </row>
        <row r="3381">
          <cell r="E3381" t="str">
            <v>AIC-MP-00005093-000</v>
          </cell>
          <cell r="F3381">
            <v>772849611715</v>
          </cell>
        </row>
        <row r="3382">
          <cell r="E3382" t="str">
            <v>EF-45043246.X.X</v>
          </cell>
          <cell r="F3382">
            <v>426617540250</v>
          </cell>
        </row>
        <row r="3383">
          <cell r="E3383" t="str">
            <v>PUR-11-0065-06</v>
          </cell>
          <cell r="F3383" t="str">
            <v>LSZHPH2502436</v>
          </cell>
        </row>
        <row r="3384">
          <cell r="E3384" t="str">
            <v>PUR-11-0066-05</v>
          </cell>
          <cell r="F3384" t="str">
            <v>LSZHPH2502436</v>
          </cell>
        </row>
        <row r="3385">
          <cell r="E3385" t="str">
            <v>PUR-11-0106-05</v>
          </cell>
          <cell r="F3385" t="str">
            <v>LSZHPH2502436</v>
          </cell>
        </row>
        <row r="3386">
          <cell r="E3386" t="str">
            <v>EF-45110875.X.X</v>
          </cell>
          <cell r="F3386">
            <v>8421145806</v>
          </cell>
        </row>
        <row r="3387">
          <cell r="E3387" t="str">
            <v>LUC-P21-K3AB00-00</v>
          </cell>
          <cell r="F3387" t="str">
            <v>LSHHPH2502176</v>
          </cell>
        </row>
        <row r="3388">
          <cell r="E3388" t="str">
            <v>LUC-P21-K3AT00-00</v>
          </cell>
          <cell r="F3388" t="str">
            <v>LSHHPH2502176</v>
          </cell>
        </row>
        <row r="3389">
          <cell r="E3389" t="str">
            <v>LUC-E00-690030-02</v>
          </cell>
          <cell r="F3389">
            <v>447327238161</v>
          </cell>
        </row>
        <row r="3390">
          <cell r="E3390" t="str">
            <v>LUC-E00-440003-01</v>
          </cell>
          <cell r="F3390">
            <v>722661011639</v>
          </cell>
        </row>
        <row r="3391">
          <cell r="E3391" t="str">
            <v>LUC-E00-440003-02</v>
          </cell>
          <cell r="F3391">
            <v>722661011639</v>
          </cell>
        </row>
        <row r="3392">
          <cell r="E3392" t="str">
            <v>LUC-E00-440013-00</v>
          </cell>
          <cell r="F3392">
            <v>722661011639</v>
          </cell>
        </row>
        <row r="3393">
          <cell r="E3393" t="str">
            <v>LUC-E00-440014-01</v>
          </cell>
          <cell r="F3393">
            <v>722661011639</v>
          </cell>
        </row>
        <row r="3394">
          <cell r="E3394" t="str">
            <v>LUC-E00-440048-00</v>
          </cell>
          <cell r="F3394">
            <v>722661011639</v>
          </cell>
        </row>
        <row r="3395">
          <cell r="E3395" t="str">
            <v>LUC-E00-440124-00</v>
          </cell>
          <cell r="F3395">
            <v>722661011639</v>
          </cell>
        </row>
        <row r="3396">
          <cell r="E3396" t="str">
            <v>LUC-EZZ-440018-00</v>
          </cell>
          <cell r="F3396">
            <v>722661011639</v>
          </cell>
        </row>
        <row r="3397">
          <cell r="E3397" t="str">
            <v>LUC-EZZ-440028-00</v>
          </cell>
          <cell r="F3397">
            <v>722661011639</v>
          </cell>
        </row>
        <row r="3398">
          <cell r="E3398" t="str">
            <v>LUC-EZZ-440031-00</v>
          </cell>
          <cell r="F3398">
            <v>722661011639</v>
          </cell>
        </row>
        <row r="3399">
          <cell r="E3399" t="str">
            <v>LUC-EZZ-440162-00</v>
          </cell>
          <cell r="F3399">
            <v>722661011639</v>
          </cell>
        </row>
        <row r="3400">
          <cell r="E3400" t="str">
            <v>LUC-EZZ-440911-00</v>
          </cell>
          <cell r="F3400">
            <v>722661011639</v>
          </cell>
        </row>
        <row r="3401">
          <cell r="E3401" t="str">
            <v>LUC-EZZ-440030-00</v>
          </cell>
          <cell r="F3401">
            <v>722661011639</v>
          </cell>
        </row>
        <row r="3402">
          <cell r="E3402" t="str">
            <v>LUC-EZZ-440032-00</v>
          </cell>
          <cell r="F3402">
            <v>722661011639</v>
          </cell>
        </row>
        <row r="3403">
          <cell r="E3403" t="str">
            <v>LUC-EZZ-440090-00</v>
          </cell>
          <cell r="F3403">
            <v>722661011639</v>
          </cell>
        </row>
        <row r="3404">
          <cell r="E3404" t="str">
            <v>LUC-E00-440051-01</v>
          </cell>
          <cell r="F3404">
            <v>722661011639</v>
          </cell>
        </row>
        <row r="3405">
          <cell r="E3405" t="str">
            <v>LUC-EZZ-440099-00</v>
          </cell>
          <cell r="F3405">
            <v>722661011639</v>
          </cell>
        </row>
        <row r="3406">
          <cell r="E3406" t="str">
            <v>PUR-24-0031-00</v>
          </cell>
          <cell r="F3406">
            <v>411336038181</v>
          </cell>
        </row>
        <row r="3407">
          <cell r="E3407" t="str">
            <v>LUC-P00-F18AAG-00</v>
          </cell>
          <cell r="F3407">
            <v>880008465524</v>
          </cell>
        </row>
        <row r="3408">
          <cell r="E3408" t="str">
            <v>LUC-P21-K2B300-00</v>
          </cell>
          <cell r="F3408">
            <v>880008465524</v>
          </cell>
        </row>
        <row r="3409">
          <cell r="E3409" t="str">
            <v>LUC-P00-F18AAG-00</v>
          </cell>
          <cell r="F3409">
            <v>880008465524</v>
          </cell>
        </row>
        <row r="3410">
          <cell r="E3410" t="str">
            <v>LUC-P00-F85MDY-00</v>
          </cell>
          <cell r="F3410">
            <v>880008465524</v>
          </cell>
        </row>
        <row r="3411">
          <cell r="E3411" t="str">
            <v>LUC-P00-F856AY-01</v>
          </cell>
          <cell r="F3411">
            <v>880008465524</v>
          </cell>
        </row>
        <row r="3412">
          <cell r="E3412" t="str">
            <v>LUC-P00-F856AY-01</v>
          </cell>
          <cell r="F3412">
            <v>880008465524</v>
          </cell>
        </row>
        <row r="3413">
          <cell r="E3413" t="str">
            <v>LUC-P00-F856AY-01</v>
          </cell>
          <cell r="F3413">
            <v>880008465524</v>
          </cell>
        </row>
        <row r="3414">
          <cell r="E3414" t="str">
            <v>LUC-P00-F856AY-01</v>
          </cell>
          <cell r="F3414">
            <v>880008465524</v>
          </cell>
        </row>
        <row r="3415">
          <cell r="E3415" t="str">
            <v>LUC-P00-F143AG-00</v>
          </cell>
          <cell r="F3415">
            <v>880008465524</v>
          </cell>
        </row>
        <row r="3416">
          <cell r="E3416" t="str">
            <v>LUC-P00-F143AG-00</v>
          </cell>
          <cell r="F3416">
            <v>880008465524</v>
          </cell>
        </row>
        <row r="3417">
          <cell r="E3417" t="str">
            <v>LUC-E00-400010-036</v>
          </cell>
          <cell r="F3417">
            <v>6572918881</v>
          </cell>
        </row>
        <row r="3418">
          <cell r="E3418" t="str">
            <v>LUC-E00-400003-011</v>
          </cell>
          <cell r="F3418">
            <v>6572918881</v>
          </cell>
        </row>
        <row r="3419">
          <cell r="E3419" t="str">
            <v>LUC-E00-400044-00</v>
          </cell>
          <cell r="F3419">
            <v>6572918881</v>
          </cell>
        </row>
        <row r="3420">
          <cell r="E3420" t="str">
            <v>LUC-E00-400010-037</v>
          </cell>
          <cell r="F3420">
            <v>6572918881</v>
          </cell>
        </row>
        <row r="3421">
          <cell r="E3421" t="str">
            <v>LUC-EZZ-420089-00</v>
          </cell>
          <cell r="F3421">
            <v>6572918881</v>
          </cell>
        </row>
        <row r="3422">
          <cell r="E3422" t="str">
            <v>LUC-E00-460015-01</v>
          </cell>
          <cell r="F3422">
            <v>6572918881</v>
          </cell>
        </row>
        <row r="3423">
          <cell r="E3423" t="str">
            <v>LUC-E00-510030-00</v>
          </cell>
          <cell r="F3423">
            <v>6572918881</v>
          </cell>
        </row>
        <row r="3424">
          <cell r="E3424" t="str">
            <v>LUC-E00-420241-00</v>
          </cell>
          <cell r="F3424">
            <v>6572918881</v>
          </cell>
        </row>
        <row r="3425">
          <cell r="E3425" t="str">
            <v>LUC-E00-510027-00</v>
          </cell>
          <cell r="F3425">
            <v>6572918881</v>
          </cell>
        </row>
        <row r="3426">
          <cell r="E3426" t="str">
            <v>LUC-E00-510027-00</v>
          </cell>
          <cell r="F3426">
            <v>6572918881</v>
          </cell>
        </row>
        <row r="3427">
          <cell r="E3427" t="str">
            <v>LUC-E00-510027-00</v>
          </cell>
          <cell r="F3427">
            <v>6572918881</v>
          </cell>
        </row>
        <row r="3428">
          <cell r="E3428" t="str">
            <v>LUC-EZZ-420322-00</v>
          </cell>
          <cell r="F3428">
            <v>6572918881</v>
          </cell>
        </row>
        <row r="3429">
          <cell r="E3429" t="str">
            <v>LUC-EZZ-440176-00</v>
          </cell>
          <cell r="F3429">
            <v>6572918881</v>
          </cell>
        </row>
        <row r="3430">
          <cell r="E3430" t="str">
            <v>LUC-EZZ-440176-00</v>
          </cell>
          <cell r="F3430">
            <v>6572918881</v>
          </cell>
        </row>
        <row r="3431">
          <cell r="E3431" t="str">
            <v>LUC-EZZ-440176-00</v>
          </cell>
          <cell r="F3431">
            <v>6572918881</v>
          </cell>
        </row>
        <row r="3432">
          <cell r="E3432" t="str">
            <v>LUC-E00-470062-00</v>
          </cell>
          <cell r="F3432">
            <v>6572918881</v>
          </cell>
        </row>
        <row r="3433">
          <cell r="E3433" t="str">
            <v>LUC-E00-470242-00</v>
          </cell>
          <cell r="F3433">
            <v>6572918881</v>
          </cell>
        </row>
        <row r="3434">
          <cell r="E3434" t="str">
            <v>LUC-E00-470123-00</v>
          </cell>
          <cell r="F3434">
            <v>6572918881</v>
          </cell>
        </row>
        <row r="3435">
          <cell r="E3435" t="str">
            <v>LUC-E00-420037-10</v>
          </cell>
          <cell r="F3435">
            <v>6572918881</v>
          </cell>
        </row>
        <row r="3436">
          <cell r="E3436" t="str">
            <v>LUC-EZZ-420136-00</v>
          </cell>
          <cell r="F3436">
            <v>6572918881</v>
          </cell>
        </row>
        <row r="3437">
          <cell r="E3437" t="str">
            <v>LUC-EZZ-420046-00</v>
          </cell>
          <cell r="F3437">
            <v>6572918881</v>
          </cell>
        </row>
        <row r="3438">
          <cell r="E3438" t="str">
            <v>LUC-E00-470131-00</v>
          </cell>
          <cell r="F3438">
            <v>6572918881</v>
          </cell>
        </row>
        <row r="3439">
          <cell r="E3439" t="str">
            <v>LUC-E00-470318-00</v>
          </cell>
          <cell r="F3439">
            <v>6572918881</v>
          </cell>
        </row>
        <row r="3440">
          <cell r="E3440" t="str">
            <v>LUC-E00-470075-00</v>
          </cell>
          <cell r="F3440">
            <v>6572918881</v>
          </cell>
        </row>
        <row r="3441">
          <cell r="E3441" t="str">
            <v>LUC-E00-470447-00</v>
          </cell>
          <cell r="F3441">
            <v>6572918881</v>
          </cell>
        </row>
        <row r="3442">
          <cell r="E3442" t="str">
            <v>LUC-E00-510045-00</v>
          </cell>
          <cell r="F3442">
            <v>6572918881</v>
          </cell>
        </row>
        <row r="3443">
          <cell r="E3443" t="str">
            <v>LUC-E00-420054-01</v>
          </cell>
          <cell r="F3443">
            <v>6572918881</v>
          </cell>
        </row>
        <row r="3444">
          <cell r="E3444" t="str">
            <v>LUC-E00-420056-01</v>
          </cell>
          <cell r="F3444">
            <v>6572918881</v>
          </cell>
        </row>
        <row r="3445">
          <cell r="E3445" t="str">
            <v>LUC-E00-470265-00</v>
          </cell>
          <cell r="F3445">
            <v>6572918881</v>
          </cell>
        </row>
        <row r="3446">
          <cell r="E3446" t="str">
            <v>LUC-E00-420056-02</v>
          </cell>
          <cell r="F3446">
            <v>6572918881</v>
          </cell>
        </row>
        <row r="3447">
          <cell r="E3447" t="str">
            <v>LUC-E00-400010-039</v>
          </cell>
          <cell r="F3447">
            <v>6572918881</v>
          </cell>
        </row>
        <row r="3448">
          <cell r="E3448" t="str">
            <v>LUC-E00-470330-00</v>
          </cell>
          <cell r="F3448">
            <v>6572918881</v>
          </cell>
        </row>
        <row r="3449">
          <cell r="E3449" t="str">
            <v>LUC-E00-470059-00</v>
          </cell>
          <cell r="F3449">
            <v>6572918881</v>
          </cell>
        </row>
        <row r="3450">
          <cell r="E3450" t="str">
            <v>LUC-E00-510030-00</v>
          </cell>
          <cell r="F3450">
            <v>6572918881</v>
          </cell>
        </row>
        <row r="3451">
          <cell r="E3451" t="str">
            <v>LUC-E00-470090-00</v>
          </cell>
          <cell r="F3451">
            <v>6572918881</v>
          </cell>
        </row>
        <row r="3452">
          <cell r="E3452" t="str">
            <v>LUC-E00-460023-00</v>
          </cell>
          <cell r="F3452">
            <v>6572918881</v>
          </cell>
        </row>
        <row r="3453">
          <cell r="E3453" t="str">
            <v>LUC-E00-460001-01</v>
          </cell>
          <cell r="F3453">
            <v>6572918881</v>
          </cell>
        </row>
        <row r="3454">
          <cell r="E3454" t="str">
            <v>LUC-E00-420057-00</v>
          </cell>
          <cell r="F3454">
            <v>6572918881</v>
          </cell>
        </row>
        <row r="3455">
          <cell r="E3455" t="str">
            <v>LUC-E00-440028-00</v>
          </cell>
          <cell r="F3455">
            <v>6572918881</v>
          </cell>
        </row>
        <row r="3456">
          <cell r="E3456" t="str">
            <v>EF-45110875.X.X</v>
          </cell>
          <cell r="F3456">
            <v>6572918881</v>
          </cell>
        </row>
        <row r="3457">
          <cell r="E3457" t="str">
            <v>EF-45110875.X.X</v>
          </cell>
          <cell r="F3457">
            <v>6572918881</v>
          </cell>
        </row>
        <row r="3458">
          <cell r="E3458" t="str">
            <v>LUC-EZZ-471023-00</v>
          </cell>
          <cell r="F3458">
            <v>6572918881</v>
          </cell>
        </row>
        <row r="3459">
          <cell r="E3459" t="str">
            <v>LUC-EZZ-471023-00</v>
          </cell>
          <cell r="F3459">
            <v>6572918881</v>
          </cell>
        </row>
        <row r="3460">
          <cell r="E3460" t="str">
            <v>LUC-EZZ-471023-00</v>
          </cell>
          <cell r="F3460">
            <v>6572918881</v>
          </cell>
        </row>
        <row r="3461">
          <cell r="E3461" t="str">
            <v>LUC-E00-420057-00</v>
          </cell>
          <cell r="F3461">
            <v>6572918881</v>
          </cell>
        </row>
        <row r="3462">
          <cell r="E3462" t="str">
            <v>LUC-E00-420057-00</v>
          </cell>
          <cell r="F3462">
            <v>6572918881</v>
          </cell>
        </row>
        <row r="3463">
          <cell r="E3463" t="str">
            <v>EF-45130963</v>
          </cell>
          <cell r="F3463">
            <v>6572918881</v>
          </cell>
        </row>
        <row r="3464">
          <cell r="E3464" t="str">
            <v>LUC-E00-470020-01</v>
          </cell>
          <cell r="F3464">
            <v>6572918881</v>
          </cell>
        </row>
        <row r="3465">
          <cell r="E3465" t="str">
            <v>LUC-E00-400010-007</v>
          </cell>
          <cell r="F3465">
            <v>6572918881</v>
          </cell>
        </row>
        <row r="3466">
          <cell r="E3466" t="str">
            <v>LUC-E00-400010-034</v>
          </cell>
          <cell r="F3466">
            <v>6572918881</v>
          </cell>
        </row>
        <row r="3467">
          <cell r="E3467" t="str">
            <v>LUC-E00-400010-048</v>
          </cell>
          <cell r="F3467">
            <v>6572918881</v>
          </cell>
        </row>
        <row r="3468">
          <cell r="E3468" t="str">
            <v>LUC-E00-420027-03</v>
          </cell>
          <cell r="F3468">
            <v>6572918881</v>
          </cell>
        </row>
        <row r="3469">
          <cell r="E3469" t="str">
            <v>LUC-E00-470082-00</v>
          </cell>
          <cell r="F3469">
            <v>6572918881</v>
          </cell>
        </row>
        <row r="3470">
          <cell r="E3470" t="str">
            <v>LUC-E00-420054-00</v>
          </cell>
          <cell r="F3470">
            <v>6572918881</v>
          </cell>
        </row>
        <row r="3471">
          <cell r="E3471" t="str">
            <v>AGI-534-40007-01</v>
          </cell>
          <cell r="F3471">
            <v>6572918881</v>
          </cell>
        </row>
        <row r="3472">
          <cell r="E3472" t="str">
            <v>AGI-450-40069-01</v>
          </cell>
          <cell r="F3472">
            <v>6572918881</v>
          </cell>
        </row>
        <row r="3473">
          <cell r="E3473" t="str">
            <v>PUR-03-0104-03</v>
          </cell>
          <cell r="F3473" t="str">
            <v>8TV3959</v>
          </cell>
        </row>
        <row r="3474">
          <cell r="E3474" t="str">
            <v>PUR-03-0104-03</v>
          </cell>
          <cell r="F3474" t="str">
            <v>8TV3959</v>
          </cell>
        </row>
        <row r="3475">
          <cell r="E3475" t="str">
            <v>PUR-03-0104-03</v>
          </cell>
          <cell r="F3475" t="str">
            <v>8TV3960</v>
          </cell>
        </row>
        <row r="3476">
          <cell r="E3476" t="str">
            <v>PUR-03-0104-03</v>
          </cell>
          <cell r="F3476" t="str">
            <v>8TV3960</v>
          </cell>
        </row>
        <row r="3477">
          <cell r="E3477" t="str">
            <v>PUR-03-0104-03</v>
          </cell>
          <cell r="F3477" t="str">
            <v>8TV3961</v>
          </cell>
        </row>
        <row r="3478">
          <cell r="E3478" t="str">
            <v>PUR-03-0104-03</v>
          </cell>
          <cell r="F3478" t="str">
            <v>8TV3962</v>
          </cell>
        </row>
        <row r="3479">
          <cell r="E3479" t="str">
            <v>PUR-03-0104-03</v>
          </cell>
          <cell r="F3479" t="str">
            <v>8TV3962</v>
          </cell>
        </row>
        <row r="3480">
          <cell r="E3480" t="str">
            <v>PUR-03-0104-03</v>
          </cell>
          <cell r="F3480" t="str">
            <v>8TV3963</v>
          </cell>
        </row>
        <row r="3481">
          <cell r="E3481" t="str">
            <v>PUR-03-0104-03</v>
          </cell>
          <cell r="F3481" t="str">
            <v>8TV3964</v>
          </cell>
        </row>
        <row r="3482">
          <cell r="E3482" t="str">
            <v>PUR-03-0104-03</v>
          </cell>
          <cell r="F3482" t="str">
            <v>8TV3964</v>
          </cell>
        </row>
        <row r="3483">
          <cell r="E3483" t="str">
            <v>PUR-03-0104-03</v>
          </cell>
          <cell r="F3483" t="str">
            <v>8TV3965</v>
          </cell>
        </row>
        <row r="3484">
          <cell r="E3484" t="str">
            <v>PUR-03-0114-00</v>
          </cell>
          <cell r="F3484" t="str">
            <v>8TV3966</v>
          </cell>
        </row>
        <row r="3485">
          <cell r="E3485" t="str">
            <v>PUR-03-0114-00</v>
          </cell>
          <cell r="F3485" t="str">
            <v>8TV3966</v>
          </cell>
        </row>
        <row r="3486">
          <cell r="E3486" t="str">
            <v>PUR-03-0114-00</v>
          </cell>
          <cell r="F3486" t="str">
            <v>8TV3967</v>
          </cell>
        </row>
        <row r="3487">
          <cell r="E3487" t="str">
            <v>PUR-03-0114-00</v>
          </cell>
          <cell r="F3487" t="str">
            <v>8TV3967</v>
          </cell>
        </row>
        <row r="3488">
          <cell r="E3488" t="str">
            <v>PUR-12-0432-00</v>
          </cell>
          <cell r="F3488">
            <v>4914835028</v>
          </cell>
        </row>
        <row r="3489">
          <cell r="E3489" t="str">
            <v>PUR-12-0482-00</v>
          </cell>
          <cell r="F3489">
            <v>4914835028</v>
          </cell>
        </row>
        <row r="3490">
          <cell r="E3490" t="str">
            <v>PUR-12-0482-00</v>
          </cell>
          <cell r="F3490">
            <v>4914835028</v>
          </cell>
        </row>
        <row r="3491">
          <cell r="E3491" t="str">
            <v>PUR-12-0432-00</v>
          </cell>
          <cell r="F3491">
            <v>4914835028</v>
          </cell>
        </row>
        <row r="3492">
          <cell r="E3492" t="str">
            <v>EF-45046619.X.X</v>
          </cell>
          <cell r="F3492">
            <v>4914835028</v>
          </cell>
        </row>
        <row r="3493">
          <cell r="E3493" t="str">
            <v>EF-45043491.X.X</v>
          </cell>
          <cell r="F3493">
            <v>4914835028</v>
          </cell>
        </row>
        <row r="3494">
          <cell r="E3494" t="str">
            <v>EF-45103947.X.X</v>
          </cell>
          <cell r="F3494">
            <v>4914835028</v>
          </cell>
        </row>
        <row r="3495">
          <cell r="E3495" t="str">
            <v>EF-45043496.X.X</v>
          </cell>
          <cell r="F3495">
            <v>4914835028</v>
          </cell>
        </row>
        <row r="3496">
          <cell r="E3496" t="str">
            <v>EF-45037930.X.X</v>
          </cell>
          <cell r="F3496">
            <v>4914835028</v>
          </cell>
        </row>
        <row r="3497">
          <cell r="E3497" t="str">
            <v>121-000585.X.X</v>
          </cell>
          <cell r="F3497">
            <v>4914835028</v>
          </cell>
        </row>
        <row r="3498">
          <cell r="E3498" t="str">
            <v>122-000673.X.X</v>
          </cell>
          <cell r="F3498">
            <v>4914835028</v>
          </cell>
        </row>
        <row r="3499">
          <cell r="E3499" t="str">
            <v>PUR-13-0159-00</v>
          </cell>
          <cell r="F3499">
            <v>4914835028</v>
          </cell>
        </row>
        <row r="3500">
          <cell r="E3500" t="str">
            <v>AGI-510-40087-01</v>
          </cell>
          <cell r="F3500">
            <v>4914835028</v>
          </cell>
        </row>
        <row r="3501">
          <cell r="E3501" t="str">
            <v>AGI-500-40136-01</v>
          </cell>
          <cell r="F3501">
            <v>4914835028</v>
          </cell>
        </row>
        <row r="3502">
          <cell r="E3502" t="str">
            <v>LUC-EZZ-400042-00</v>
          </cell>
          <cell r="F3502">
            <v>4914835028</v>
          </cell>
        </row>
        <row r="3503">
          <cell r="E3503" t="str">
            <v>LUC-E00-400035-04</v>
          </cell>
          <cell r="F3503">
            <v>4914835028</v>
          </cell>
        </row>
        <row r="3504">
          <cell r="E3504" t="str">
            <v>PUR-12-0407-00</v>
          </cell>
          <cell r="F3504">
            <v>4914835028</v>
          </cell>
        </row>
        <row r="3505">
          <cell r="E3505" t="str">
            <v>PUR-12-0294-00</v>
          </cell>
          <cell r="F3505">
            <v>4914835028</v>
          </cell>
        </row>
        <row r="3506">
          <cell r="E3506" t="str">
            <v>AGI-500-40065-01</v>
          </cell>
          <cell r="F3506">
            <v>4914835028</v>
          </cell>
        </row>
        <row r="3507">
          <cell r="E3507" t="str">
            <v>EF-45037784</v>
          </cell>
          <cell r="F3507">
            <v>4914835028</v>
          </cell>
        </row>
        <row r="3508">
          <cell r="E3508" t="str">
            <v>PURET-12-0017-00</v>
          </cell>
          <cell r="F3508">
            <v>4914835028</v>
          </cell>
        </row>
        <row r="3509">
          <cell r="E3509" t="str">
            <v>EF-45096412</v>
          </cell>
          <cell r="F3509">
            <v>4914835028</v>
          </cell>
        </row>
        <row r="3510">
          <cell r="E3510" t="str">
            <v>PUR-12-0475-00</v>
          </cell>
          <cell r="F3510">
            <v>4914835028</v>
          </cell>
        </row>
        <row r="3511">
          <cell r="E3511" t="str">
            <v>PUR-12-0065-00</v>
          </cell>
          <cell r="F3511">
            <v>4914835028</v>
          </cell>
        </row>
        <row r="3512">
          <cell r="E3512" t="str">
            <v>PUR-12-0304-00</v>
          </cell>
          <cell r="F3512">
            <v>4914835028</v>
          </cell>
        </row>
        <row r="3513">
          <cell r="E3513" t="str">
            <v>AGI-500-40074-01</v>
          </cell>
          <cell r="F3513">
            <v>4914835028</v>
          </cell>
        </row>
        <row r="3514">
          <cell r="E3514" t="str">
            <v>AGI-500-40015-01</v>
          </cell>
          <cell r="F3514">
            <v>4914835028</v>
          </cell>
        </row>
        <row r="3515">
          <cell r="E3515" t="str">
            <v>AGI-500-40107-01</v>
          </cell>
          <cell r="F3515">
            <v>4914835028</v>
          </cell>
        </row>
        <row r="3516">
          <cell r="E3516" t="str">
            <v>PURET-12-0090-00</v>
          </cell>
          <cell r="F3516">
            <v>4914835028</v>
          </cell>
        </row>
        <row r="3517">
          <cell r="E3517" t="str">
            <v>PUR-12-0482-00</v>
          </cell>
          <cell r="F3517">
            <v>4914835028</v>
          </cell>
        </row>
        <row r="3518">
          <cell r="E3518" t="str">
            <v>PUR-12-0482-00</v>
          </cell>
          <cell r="F3518">
            <v>4914835028</v>
          </cell>
        </row>
        <row r="3519">
          <cell r="E3519" t="str">
            <v>PUR-12-0468-00</v>
          </cell>
          <cell r="F3519">
            <v>4914835028</v>
          </cell>
        </row>
        <row r="3520">
          <cell r="E3520" t="str">
            <v>PUR-12-0470-00</v>
          </cell>
          <cell r="F3520">
            <v>4914835028</v>
          </cell>
        </row>
        <row r="3521">
          <cell r="E3521" t="str">
            <v>PUR-12-0412-00</v>
          </cell>
          <cell r="F3521">
            <v>4914835028</v>
          </cell>
        </row>
        <row r="3522">
          <cell r="E3522" t="str">
            <v>PUR-12-0467-00</v>
          </cell>
          <cell r="F3522">
            <v>4914835028</v>
          </cell>
        </row>
        <row r="3523">
          <cell r="E3523" t="str">
            <v>PUR-12-0423-00</v>
          </cell>
          <cell r="F3523">
            <v>4914835028</v>
          </cell>
        </row>
        <row r="3524">
          <cell r="E3524" t="str">
            <v>PUR-12-0482-00</v>
          </cell>
          <cell r="F3524">
            <v>4914835028</v>
          </cell>
        </row>
        <row r="3525">
          <cell r="E3525" t="str">
            <v>PUR-12-0482-00</v>
          </cell>
          <cell r="F3525">
            <v>4914835028</v>
          </cell>
        </row>
        <row r="3526">
          <cell r="E3526" t="str">
            <v>PUR-13-0226-00</v>
          </cell>
          <cell r="F3526">
            <v>4914835028</v>
          </cell>
        </row>
        <row r="3527">
          <cell r="E3527" t="str">
            <v>AGI-510-40085-01</v>
          </cell>
          <cell r="F3527">
            <v>4914835028</v>
          </cell>
        </row>
        <row r="3528">
          <cell r="E3528" t="str">
            <v>PURET-13-0006-00</v>
          </cell>
          <cell r="F3528">
            <v>4914835028</v>
          </cell>
        </row>
        <row r="3529">
          <cell r="E3529" t="str">
            <v>PUR-13-0246-00</v>
          </cell>
          <cell r="F3529">
            <v>4914835028</v>
          </cell>
        </row>
        <row r="3530">
          <cell r="E3530" t="str">
            <v>AGI-510-40027-01</v>
          </cell>
          <cell r="F3530">
            <v>4914835028</v>
          </cell>
        </row>
        <row r="3531">
          <cell r="E3531" t="str">
            <v>PURET-13-0119-00</v>
          </cell>
          <cell r="F3531">
            <v>4914835028</v>
          </cell>
        </row>
        <row r="3532">
          <cell r="E3532" t="str">
            <v>LUC-E00-420027-02</v>
          </cell>
          <cell r="F3532">
            <v>4914835028</v>
          </cell>
        </row>
        <row r="3533">
          <cell r="E3533" t="str">
            <v>PUR-13-0241-00</v>
          </cell>
          <cell r="F3533">
            <v>4914835028</v>
          </cell>
        </row>
        <row r="3534">
          <cell r="E3534" t="str">
            <v>EF-45205917</v>
          </cell>
          <cell r="F3534">
            <v>4914835028</v>
          </cell>
        </row>
        <row r="3535">
          <cell r="E3535" t="str">
            <v>LUC-EZZ-420148-00</v>
          </cell>
          <cell r="F3535">
            <v>4914835028</v>
          </cell>
        </row>
        <row r="3536">
          <cell r="E3536" t="str">
            <v>PUR-14-0086-00</v>
          </cell>
          <cell r="F3536">
            <v>4914835028</v>
          </cell>
        </row>
        <row r="3537">
          <cell r="E3537" t="str">
            <v>PUR-14-0086-00</v>
          </cell>
          <cell r="F3537">
            <v>4914835028</v>
          </cell>
        </row>
        <row r="3538">
          <cell r="E3538" t="str">
            <v>LUC-EZZ-420501-00</v>
          </cell>
          <cell r="F3538">
            <v>423264344495</v>
          </cell>
        </row>
        <row r="3539">
          <cell r="E3539" t="str">
            <v>EF-45057845.X.X</v>
          </cell>
          <cell r="F3539">
            <v>423264344495</v>
          </cell>
        </row>
        <row r="3540">
          <cell r="E3540" t="str">
            <v>PUR-12-0408-00</v>
          </cell>
          <cell r="F3540">
            <v>423264344495</v>
          </cell>
        </row>
        <row r="3541">
          <cell r="E3541" t="str">
            <v>PUR-12-0297-00</v>
          </cell>
          <cell r="F3541">
            <v>423264344495</v>
          </cell>
        </row>
        <row r="3542">
          <cell r="E3542" t="str">
            <v>EF-45065452.X.X</v>
          </cell>
          <cell r="F3542">
            <v>423264344495</v>
          </cell>
        </row>
        <row r="3543">
          <cell r="E3543" t="str">
            <v>PURET-12-0017-00</v>
          </cell>
          <cell r="F3543">
            <v>423264344495</v>
          </cell>
        </row>
        <row r="3544">
          <cell r="E3544" t="str">
            <v>EF-45037930.X.X</v>
          </cell>
          <cell r="F3544">
            <v>423264344495</v>
          </cell>
        </row>
        <row r="3545">
          <cell r="E3545" t="str">
            <v>EF-45043496.X.X</v>
          </cell>
          <cell r="F3545">
            <v>423264344495</v>
          </cell>
        </row>
        <row r="3546">
          <cell r="E3546" t="str">
            <v>EF-45036465</v>
          </cell>
          <cell r="F3546">
            <v>423264344495</v>
          </cell>
        </row>
        <row r="3547">
          <cell r="E3547" t="str">
            <v>EF-45043827.X.X</v>
          </cell>
          <cell r="F3547">
            <v>423264344495</v>
          </cell>
        </row>
        <row r="3548">
          <cell r="E3548" t="str">
            <v>EF-45045621</v>
          </cell>
          <cell r="F3548">
            <v>423264344495</v>
          </cell>
        </row>
        <row r="3549">
          <cell r="E3549" t="str">
            <v>PUR-12-0468-00</v>
          </cell>
          <cell r="F3549">
            <v>423264344495</v>
          </cell>
        </row>
        <row r="3550">
          <cell r="E3550" t="str">
            <v>PURET-12-0257-00</v>
          </cell>
          <cell r="F3550">
            <v>423264344495</v>
          </cell>
        </row>
        <row r="3551">
          <cell r="E3551" t="str">
            <v>122-001674</v>
          </cell>
          <cell r="F3551">
            <v>423264344495</v>
          </cell>
        </row>
        <row r="3552">
          <cell r="E3552" t="str">
            <v>LUC-E00-420025-03</v>
          </cell>
          <cell r="F3552">
            <v>423264344495</v>
          </cell>
        </row>
        <row r="3553">
          <cell r="E3553" t="str">
            <v>LUC-E00-420025-03</v>
          </cell>
          <cell r="F3553">
            <v>423264344495</v>
          </cell>
        </row>
        <row r="3554">
          <cell r="E3554" t="str">
            <v>PUR-13-0215-00</v>
          </cell>
          <cell r="F3554">
            <v>423264344495</v>
          </cell>
        </row>
        <row r="3555">
          <cell r="E3555" t="str">
            <v>121-000520.X.X</v>
          </cell>
          <cell r="F3555">
            <v>423264344495</v>
          </cell>
        </row>
        <row r="3556">
          <cell r="E3556" t="str">
            <v>LUC-E00-420184-00</v>
          </cell>
          <cell r="F3556">
            <v>423264344495</v>
          </cell>
        </row>
        <row r="3557">
          <cell r="E3557" t="str">
            <v>LUC-E00-420184-00</v>
          </cell>
          <cell r="F3557">
            <v>423264344495</v>
          </cell>
        </row>
        <row r="3558">
          <cell r="E3558" t="str">
            <v>LUC-E00-420184-00</v>
          </cell>
          <cell r="F3558">
            <v>423264344495</v>
          </cell>
        </row>
        <row r="3559">
          <cell r="E3559" t="str">
            <v>EF-45092460.X.X</v>
          </cell>
          <cell r="F3559">
            <v>423264344495</v>
          </cell>
        </row>
        <row r="3560">
          <cell r="E3560" t="str">
            <v>PUR-14-0086-00</v>
          </cell>
          <cell r="F3560">
            <v>423264344495</v>
          </cell>
        </row>
        <row r="3561">
          <cell r="E3561" t="str">
            <v>PUR-14-0086-00</v>
          </cell>
          <cell r="F3561">
            <v>423264344495</v>
          </cell>
        </row>
        <row r="3562">
          <cell r="E3562" t="str">
            <v>LUC-E00-440148-00</v>
          </cell>
          <cell r="F3562">
            <v>416006687886</v>
          </cell>
        </row>
        <row r="3563">
          <cell r="E3563" t="str">
            <v>LUC-E00-440148-00</v>
          </cell>
          <cell r="F3563">
            <v>416006687886</v>
          </cell>
        </row>
        <row r="3564">
          <cell r="E3564" t="str">
            <v>PUR-13-0236-00</v>
          </cell>
          <cell r="F3564">
            <v>4914835030</v>
          </cell>
        </row>
        <row r="3565">
          <cell r="E3565" t="str">
            <v>PUR-03-0091-02</v>
          </cell>
          <cell r="F3565">
            <v>450956557061</v>
          </cell>
        </row>
        <row r="3566">
          <cell r="E3566" t="str">
            <v>EF-45046948.X.X</v>
          </cell>
          <cell r="F3566" t="str">
            <v>1Z75A9570472996879</v>
          </cell>
        </row>
        <row r="3567">
          <cell r="E3567" t="str">
            <v>PURET-09-0050-00</v>
          </cell>
          <cell r="F3567">
            <v>5376348202</v>
          </cell>
        </row>
        <row r="3568">
          <cell r="E3568" t="str">
            <v>LUC-E00-400069-00</v>
          </cell>
          <cell r="F3568">
            <v>5376348202</v>
          </cell>
        </row>
        <row r="3569">
          <cell r="E3569" t="str">
            <v>LUC-EZZ-400801-00</v>
          </cell>
          <cell r="F3569">
            <v>5376348202</v>
          </cell>
        </row>
        <row r="3570">
          <cell r="E3570" t="str">
            <v>LUC-EZZ-400801-00</v>
          </cell>
          <cell r="F3570">
            <v>5376348202</v>
          </cell>
        </row>
        <row r="3571">
          <cell r="E3571" t="str">
            <v>LUC-EZZ-400801-00</v>
          </cell>
          <cell r="F3571">
            <v>5376348202</v>
          </cell>
        </row>
        <row r="3572">
          <cell r="E3572" t="str">
            <v>LUC-EZZ-400801-00</v>
          </cell>
          <cell r="F3572">
            <v>5376348202</v>
          </cell>
        </row>
        <row r="3573">
          <cell r="E3573" t="str">
            <v>PURET-14-0022-00</v>
          </cell>
          <cell r="F3573">
            <v>5376348202</v>
          </cell>
        </row>
        <row r="3574">
          <cell r="E3574" t="str">
            <v>EF-45046246.X.X</v>
          </cell>
          <cell r="F3574">
            <v>5376348202</v>
          </cell>
        </row>
        <row r="3575">
          <cell r="E3575" t="str">
            <v>EF-45079074</v>
          </cell>
          <cell r="F3575">
            <v>421194655178</v>
          </cell>
        </row>
        <row r="3576">
          <cell r="E3576" t="str">
            <v>LUC-E00-400034-023</v>
          </cell>
          <cell r="F3576">
            <v>421194655178</v>
          </cell>
        </row>
        <row r="3577">
          <cell r="E3577" t="str">
            <v>LUC-E00-450010-00</v>
          </cell>
          <cell r="F3577">
            <v>421194655178</v>
          </cell>
        </row>
        <row r="3578">
          <cell r="E3578" t="str">
            <v>LUC-E00-470093-00</v>
          </cell>
          <cell r="F3578">
            <v>421194655178</v>
          </cell>
        </row>
        <row r="3579">
          <cell r="E3579" t="str">
            <v>LUC-E00-450010-00</v>
          </cell>
          <cell r="F3579">
            <v>421194655178</v>
          </cell>
        </row>
        <row r="3580">
          <cell r="E3580" t="str">
            <v>LUC-E00-400054-01</v>
          </cell>
          <cell r="F3580">
            <v>421194655178</v>
          </cell>
        </row>
        <row r="3581">
          <cell r="E3581" t="str">
            <v>LUC-E00-400054-01</v>
          </cell>
          <cell r="F3581">
            <v>421194655178</v>
          </cell>
        </row>
        <row r="3582">
          <cell r="E3582" t="str">
            <v>LUC-E00-460006-00</v>
          </cell>
          <cell r="F3582">
            <v>421194655178</v>
          </cell>
        </row>
        <row r="3583">
          <cell r="E3583" t="str">
            <v>LUC-E00-460006-00</v>
          </cell>
          <cell r="F3583">
            <v>421194655178</v>
          </cell>
        </row>
        <row r="3584">
          <cell r="E3584" t="str">
            <v>LUC-E00-420172-00</v>
          </cell>
          <cell r="F3584">
            <v>421194655178</v>
          </cell>
        </row>
        <row r="3585">
          <cell r="E3585" t="str">
            <v>LUC-EZZ-470431-00</v>
          </cell>
          <cell r="F3585">
            <v>421194655178</v>
          </cell>
        </row>
        <row r="3586">
          <cell r="E3586" t="str">
            <v>LUC-E00-400025-09</v>
          </cell>
          <cell r="F3586">
            <v>421194655178</v>
          </cell>
        </row>
        <row r="3587">
          <cell r="E3587" t="str">
            <v>LUC-E00-420086-00</v>
          </cell>
          <cell r="F3587">
            <v>421194655178</v>
          </cell>
        </row>
        <row r="3588">
          <cell r="E3588" t="str">
            <v>LUC-E00-400011-003</v>
          </cell>
          <cell r="F3588">
            <v>421194655178</v>
          </cell>
        </row>
        <row r="3589">
          <cell r="E3589" t="str">
            <v>LUC-E00-540004-00</v>
          </cell>
          <cell r="F3589">
            <v>421194655178</v>
          </cell>
        </row>
        <row r="3590">
          <cell r="E3590" t="str">
            <v>LUC-E00-440148-00</v>
          </cell>
          <cell r="F3590">
            <v>421194655178</v>
          </cell>
        </row>
        <row r="3591">
          <cell r="E3591" t="str">
            <v>LUC-E00-470032-00</v>
          </cell>
          <cell r="F3591">
            <v>643036755290</v>
          </cell>
        </row>
        <row r="3592">
          <cell r="E3592" t="str">
            <v>LUC-E00-690020-00</v>
          </cell>
          <cell r="F3592">
            <v>643036755290</v>
          </cell>
        </row>
        <row r="3593">
          <cell r="E3593" t="str">
            <v>LUC-E00-690055-00</v>
          </cell>
          <cell r="F3593">
            <v>286650578301</v>
          </cell>
        </row>
        <row r="3594">
          <cell r="E3594" t="str">
            <v>LUC-E00-440012-00</v>
          </cell>
          <cell r="F3594">
            <v>742783503081</v>
          </cell>
        </row>
        <row r="3595">
          <cell r="E3595" t="str">
            <v>LUC-E00-470069-00</v>
          </cell>
          <cell r="F3595">
            <v>449984827660</v>
          </cell>
        </row>
        <row r="3596">
          <cell r="E3596" t="str">
            <v>LUC-E00-470070-00</v>
          </cell>
          <cell r="F3596">
            <v>449984827660</v>
          </cell>
        </row>
        <row r="3597">
          <cell r="E3597" t="str">
            <v>EF-45132300.X.X</v>
          </cell>
          <cell r="F3597">
            <v>449984827660</v>
          </cell>
        </row>
        <row r="3598">
          <cell r="E3598" t="str">
            <v>EF-45127606</v>
          </cell>
          <cell r="F3598">
            <v>449984827660</v>
          </cell>
        </row>
        <row r="3599">
          <cell r="E3599" t="str">
            <v>PUR-09-0424-00</v>
          </cell>
          <cell r="F3599">
            <v>449984827660</v>
          </cell>
        </row>
        <row r="3600">
          <cell r="E3600" t="str">
            <v>EF-45090995</v>
          </cell>
          <cell r="F3600">
            <v>449984827660</v>
          </cell>
        </row>
        <row r="3601">
          <cell r="E3601" t="str">
            <v>LUC-E00-400001-012</v>
          </cell>
          <cell r="F3601">
            <v>449984827660</v>
          </cell>
        </row>
        <row r="3602">
          <cell r="E3602" t="str">
            <v>LUC-EZZ-440166-00</v>
          </cell>
          <cell r="F3602">
            <v>449984827660</v>
          </cell>
        </row>
        <row r="3603">
          <cell r="E3603" t="str">
            <v>PUR-09-0434-00</v>
          </cell>
          <cell r="F3603">
            <v>449984827660</v>
          </cell>
        </row>
        <row r="3604">
          <cell r="E3604" t="str">
            <v>PUR-09-0220-00</v>
          </cell>
          <cell r="F3604">
            <v>449984827660</v>
          </cell>
        </row>
        <row r="3605">
          <cell r="E3605" t="str">
            <v>LUC-EZZ-400261-00</v>
          </cell>
          <cell r="F3605">
            <v>449984827660</v>
          </cell>
        </row>
        <row r="3606">
          <cell r="E3606" t="str">
            <v>LUC-E00-400056-01</v>
          </cell>
          <cell r="F3606">
            <v>449984827660</v>
          </cell>
        </row>
        <row r="3607">
          <cell r="E3607" t="str">
            <v>LUC-E00-470472-00</v>
          </cell>
          <cell r="F3607">
            <v>449984827660</v>
          </cell>
        </row>
        <row r="3608">
          <cell r="E3608" t="str">
            <v>PUR-09-0434-00</v>
          </cell>
          <cell r="F3608">
            <v>449984827660</v>
          </cell>
        </row>
        <row r="3609">
          <cell r="E3609" t="str">
            <v>PUR-09-0260-00</v>
          </cell>
          <cell r="F3609">
            <v>449984827660</v>
          </cell>
        </row>
        <row r="3610">
          <cell r="E3610" t="str">
            <v>LUC-EZZ-420281-00</v>
          </cell>
          <cell r="F3610">
            <v>449984827660</v>
          </cell>
        </row>
        <row r="3611">
          <cell r="E3611" t="str">
            <v>AGI-530-40013-01</v>
          </cell>
          <cell r="F3611">
            <v>449984827660</v>
          </cell>
        </row>
        <row r="3612">
          <cell r="E3612" t="str">
            <v>LUC-EZZ-420090-00</v>
          </cell>
          <cell r="F3612">
            <v>449984827660</v>
          </cell>
        </row>
        <row r="3613">
          <cell r="E3613" t="str">
            <v>LUC-EZZ-420281-00</v>
          </cell>
          <cell r="F3613">
            <v>449984827660</v>
          </cell>
        </row>
        <row r="3614">
          <cell r="E3614" t="str">
            <v>LUC-E00-400010-000</v>
          </cell>
          <cell r="F3614">
            <v>449984827660</v>
          </cell>
        </row>
        <row r="3615">
          <cell r="E3615" t="str">
            <v>PUR-09-0424-00</v>
          </cell>
          <cell r="F3615">
            <v>449984827660</v>
          </cell>
        </row>
        <row r="3616">
          <cell r="E3616" t="str">
            <v>PUR-09-0424-00</v>
          </cell>
          <cell r="F3616">
            <v>449984827660</v>
          </cell>
        </row>
        <row r="3617">
          <cell r="E3617" t="str">
            <v>EF-45130563</v>
          </cell>
          <cell r="F3617">
            <v>449984827660</v>
          </cell>
        </row>
        <row r="3618">
          <cell r="E3618" t="str">
            <v>LUC-E00-450176-00</v>
          </cell>
          <cell r="F3618">
            <v>449984827660</v>
          </cell>
        </row>
        <row r="3619">
          <cell r="E3619" t="str">
            <v>LUC-EZZ-450236-00</v>
          </cell>
          <cell r="F3619">
            <v>449984827660</v>
          </cell>
        </row>
        <row r="3620">
          <cell r="E3620" t="str">
            <v>PUR-09-0434-00</v>
          </cell>
          <cell r="F3620">
            <v>449984827660</v>
          </cell>
        </row>
        <row r="3621">
          <cell r="E3621" t="str">
            <v>PUR-09-0424-00</v>
          </cell>
          <cell r="F3621">
            <v>449984827660</v>
          </cell>
        </row>
        <row r="3622">
          <cell r="E3622" t="str">
            <v>LUC-E00-450070-00</v>
          </cell>
          <cell r="F3622">
            <v>449984827660</v>
          </cell>
        </row>
        <row r="3623">
          <cell r="E3623" t="str">
            <v>LUC-EZZ-400248-00</v>
          </cell>
          <cell r="F3623">
            <v>449984827660</v>
          </cell>
        </row>
        <row r="3624">
          <cell r="E3624" t="str">
            <v>LUC-EZZ-400162-00</v>
          </cell>
          <cell r="F3624">
            <v>449984827660</v>
          </cell>
        </row>
        <row r="3625">
          <cell r="E3625" t="str">
            <v>LUC-EZZ-510061-00</v>
          </cell>
          <cell r="F3625">
            <v>449984827660</v>
          </cell>
        </row>
        <row r="3626">
          <cell r="E3626" t="str">
            <v>LUC-EZZ-470433-00</v>
          </cell>
          <cell r="F3626">
            <v>449984827660</v>
          </cell>
        </row>
        <row r="3627">
          <cell r="E3627" t="str">
            <v>PUR-09-0434-00</v>
          </cell>
          <cell r="F3627">
            <v>449984827660</v>
          </cell>
        </row>
        <row r="3628">
          <cell r="E3628" t="str">
            <v>LUC-EZZ-450070-00</v>
          </cell>
          <cell r="F3628">
            <v>449984827660</v>
          </cell>
        </row>
        <row r="3629">
          <cell r="E3629" t="str">
            <v>EF-45050219</v>
          </cell>
          <cell r="F3629">
            <v>449984827660</v>
          </cell>
        </row>
        <row r="3630">
          <cell r="E3630" t="str">
            <v>LUC-EZZ-440204-00</v>
          </cell>
          <cell r="F3630">
            <v>449984827660</v>
          </cell>
        </row>
        <row r="3631">
          <cell r="E3631" t="str">
            <v>LUC-E00-470043-00</v>
          </cell>
          <cell r="F3631">
            <v>449984827660</v>
          </cell>
        </row>
        <row r="3632">
          <cell r="E3632" t="str">
            <v>EF-45168872</v>
          </cell>
          <cell r="F3632">
            <v>449984827660</v>
          </cell>
        </row>
        <row r="3633">
          <cell r="E3633" t="str">
            <v>PUR-14-0097-00</v>
          </cell>
          <cell r="F3633">
            <v>449984827660</v>
          </cell>
        </row>
        <row r="3634">
          <cell r="E3634" t="str">
            <v>LUC-E00-470071-01</v>
          </cell>
          <cell r="F3634">
            <v>449984827660</v>
          </cell>
        </row>
        <row r="3635">
          <cell r="E3635" t="str">
            <v>LUC-EZZ-421002-00</v>
          </cell>
          <cell r="F3635">
            <v>449984827660</v>
          </cell>
        </row>
        <row r="3636">
          <cell r="E3636" t="str">
            <v>PUR-09-0422-00</v>
          </cell>
          <cell r="F3636">
            <v>449984827660</v>
          </cell>
        </row>
        <row r="3637">
          <cell r="E3637" t="str">
            <v>LUC-EZZ-400608-00</v>
          </cell>
          <cell r="F3637">
            <v>449984827660</v>
          </cell>
        </row>
        <row r="3638">
          <cell r="E3638" t="str">
            <v>LUC-EZZ-400289-00</v>
          </cell>
          <cell r="F3638">
            <v>449984827660</v>
          </cell>
        </row>
        <row r="3639">
          <cell r="E3639" t="str">
            <v>LUC-E00-400056-01</v>
          </cell>
          <cell r="F3639">
            <v>449984827660</v>
          </cell>
        </row>
        <row r="3640">
          <cell r="E3640" t="str">
            <v>EF-45094074</v>
          </cell>
          <cell r="F3640">
            <v>449984827660</v>
          </cell>
        </row>
        <row r="3641">
          <cell r="E3641" t="str">
            <v>102-000384</v>
          </cell>
          <cell r="F3641">
            <v>446847375433</v>
          </cell>
        </row>
        <row r="3642">
          <cell r="E3642" t="str">
            <v>120-000257.X.X</v>
          </cell>
          <cell r="F3642">
            <v>719546654639</v>
          </cell>
        </row>
        <row r="3643">
          <cell r="E3643" t="str">
            <v>LUC-E00-690030-03</v>
          </cell>
          <cell r="F3643">
            <v>8427347423</v>
          </cell>
        </row>
        <row r="3644">
          <cell r="E3644" t="str">
            <v>LUC-EZZ-421298-00</v>
          </cell>
          <cell r="F3644">
            <v>8427347423</v>
          </cell>
        </row>
        <row r="3645">
          <cell r="E3645" t="str">
            <v>LUC-EZZ-400629-00</v>
          </cell>
          <cell r="F3645">
            <v>8427347423</v>
          </cell>
        </row>
        <row r="3646">
          <cell r="E3646" t="str">
            <v>LUC-E00-450010-00</v>
          </cell>
          <cell r="F3646">
            <v>8427347423</v>
          </cell>
        </row>
        <row r="3647">
          <cell r="E3647" t="str">
            <v>LUC-EZZ-400211-00</v>
          </cell>
          <cell r="F3647">
            <v>8427347423</v>
          </cell>
        </row>
        <row r="3648">
          <cell r="E3648" t="str">
            <v>LUC-E00-400010-002</v>
          </cell>
          <cell r="F3648">
            <v>8427347423</v>
          </cell>
        </row>
        <row r="3649">
          <cell r="E3649" t="str">
            <v>LUC-E00-400010-003</v>
          </cell>
          <cell r="F3649">
            <v>8427347423</v>
          </cell>
        </row>
        <row r="3650">
          <cell r="E3650" t="str">
            <v>LUC-EZZ-420195-00</v>
          </cell>
          <cell r="F3650">
            <v>8427347423</v>
          </cell>
        </row>
        <row r="3651">
          <cell r="E3651" t="str">
            <v>LUC-EZZ-420695-01</v>
          </cell>
          <cell r="F3651">
            <v>8427347423</v>
          </cell>
        </row>
        <row r="3652">
          <cell r="E3652" t="str">
            <v>LUC-E00-400010-003</v>
          </cell>
          <cell r="F3652">
            <v>8427347423</v>
          </cell>
        </row>
        <row r="3653">
          <cell r="E3653" t="str">
            <v>LUC-E00-400010-037</v>
          </cell>
          <cell r="F3653">
            <v>8427347423</v>
          </cell>
        </row>
        <row r="3654">
          <cell r="E3654" t="str">
            <v>LUC-E00-400010-037</v>
          </cell>
          <cell r="F3654">
            <v>8427347423</v>
          </cell>
        </row>
        <row r="3655">
          <cell r="E3655" t="str">
            <v>LUC-E00-400059-098</v>
          </cell>
          <cell r="F3655">
            <v>8427347423</v>
          </cell>
        </row>
        <row r="3656">
          <cell r="E3656" t="str">
            <v>LUC-E00-440029-00</v>
          </cell>
          <cell r="F3656">
            <v>8427347423</v>
          </cell>
        </row>
        <row r="3657">
          <cell r="E3657" t="str">
            <v>EF-45234399</v>
          </cell>
          <cell r="F3657">
            <v>8427347423</v>
          </cell>
        </row>
        <row r="3658">
          <cell r="E3658" t="str">
            <v>LUC-E00-420015-00</v>
          </cell>
          <cell r="F3658">
            <v>8427347423</v>
          </cell>
        </row>
        <row r="3659">
          <cell r="E3659" t="str">
            <v>EF-45102320</v>
          </cell>
          <cell r="F3659" t="str">
            <v>LSZHPH2502913</v>
          </cell>
        </row>
        <row r="3660">
          <cell r="E3660" t="str">
            <v>LUC-EZZ-440073-00</v>
          </cell>
          <cell r="F3660">
            <v>447911551922</v>
          </cell>
        </row>
        <row r="3661">
          <cell r="E3661" t="str">
            <v>AIC-MP-CN006281-S01</v>
          </cell>
          <cell r="F3661">
            <v>880106995406</v>
          </cell>
        </row>
        <row r="3662">
          <cell r="E3662" t="str">
            <v>LUC-E00-420084-00</v>
          </cell>
          <cell r="F3662">
            <v>972682011111</v>
          </cell>
        </row>
        <row r="3663">
          <cell r="E3663" t="str">
            <v>LUC-E00-440047-00</v>
          </cell>
          <cell r="F3663">
            <v>972682011111</v>
          </cell>
        </row>
        <row r="3664">
          <cell r="E3664" t="str">
            <v>LUC-EZZ-510052-00</v>
          </cell>
          <cell r="F3664">
            <v>972682011111</v>
          </cell>
        </row>
        <row r="3665">
          <cell r="E3665" t="str">
            <v>LUC-E00-440047-00</v>
          </cell>
          <cell r="F3665">
            <v>972682011111</v>
          </cell>
        </row>
        <row r="3666">
          <cell r="E3666" t="str">
            <v>LUC-E00-420073-00</v>
          </cell>
          <cell r="F3666">
            <v>972682011111</v>
          </cell>
        </row>
        <row r="3667">
          <cell r="E3667" t="str">
            <v>LUC-E00-420051-02</v>
          </cell>
          <cell r="F3667">
            <v>972682011111</v>
          </cell>
        </row>
        <row r="3668">
          <cell r="E3668" t="str">
            <v>LUC-EZZ-420084-00</v>
          </cell>
          <cell r="F3668">
            <v>972682011111</v>
          </cell>
        </row>
        <row r="3669">
          <cell r="E3669" t="str">
            <v>PUR-25-0009-00</v>
          </cell>
          <cell r="F3669">
            <v>4711844872</v>
          </cell>
        </row>
        <row r="3670">
          <cell r="E3670" t="str">
            <v>PUR-25-0009-00</v>
          </cell>
          <cell r="F3670">
            <v>4711844872</v>
          </cell>
        </row>
        <row r="3671">
          <cell r="E3671" t="str">
            <v>PUR-13-0128-00</v>
          </cell>
          <cell r="F3671">
            <v>4711844872</v>
          </cell>
        </row>
        <row r="3672">
          <cell r="E3672" t="str">
            <v>PUR-13-0128-00</v>
          </cell>
          <cell r="F3672">
            <v>4711844872</v>
          </cell>
        </row>
        <row r="3673">
          <cell r="E3673" t="str">
            <v>LUC-E00-470389-00</v>
          </cell>
          <cell r="F3673">
            <v>4711844872</v>
          </cell>
        </row>
        <row r="3674">
          <cell r="E3674" t="str">
            <v>LUC-E00-470389-00</v>
          </cell>
          <cell r="F3674">
            <v>4711844872</v>
          </cell>
        </row>
        <row r="3675">
          <cell r="E3675" t="str">
            <v>LUC-E00-470389-00</v>
          </cell>
          <cell r="F3675">
            <v>4711844872</v>
          </cell>
        </row>
        <row r="3676">
          <cell r="E3676" t="str">
            <v>LUC-E00-450154-00</v>
          </cell>
          <cell r="F3676">
            <v>4711844872</v>
          </cell>
        </row>
        <row r="3677">
          <cell r="E3677" t="str">
            <v>LUC-E00-450154-00</v>
          </cell>
          <cell r="F3677">
            <v>4711844872</v>
          </cell>
        </row>
        <row r="3678">
          <cell r="E3678" t="str">
            <v>LUC-E00-450057-00</v>
          </cell>
          <cell r="F3678">
            <v>4711844872</v>
          </cell>
        </row>
        <row r="3679">
          <cell r="E3679" t="str">
            <v>PURET-24-0001-00</v>
          </cell>
          <cell r="F3679">
            <v>4711844872</v>
          </cell>
        </row>
        <row r="3680">
          <cell r="E3680" t="str">
            <v>LUC-EZZ-440206-00</v>
          </cell>
          <cell r="F3680">
            <v>4711844872</v>
          </cell>
        </row>
        <row r="3681">
          <cell r="E3681" t="str">
            <v>LUC-E00-420055-15</v>
          </cell>
          <cell r="F3681">
            <v>4711844872</v>
          </cell>
        </row>
        <row r="3682">
          <cell r="E3682" t="str">
            <v>LUC-E00-440022-00</v>
          </cell>
          <cell r="F3682">
            <v>4711844872</v>
          </cell>
        </row>
        <row r="3683">
          <cell r="E3683" t="str">
            <v>LUC-E00-440022-00</v>
          </cell>
          <cell r="F3683">
            <v>4711844872</v>
          </cell>
        </row>
        <row r="3684">
          <cell r="E3684" t="str">
            <v>LUC-E00-440022-00</v>
          </cell>
          <cell r="F3684">
            <v>4711844872</v>
          </cell>
        </row>
        <row r="3685">
          <cell r="E3685" t="str">
            <v>LUC-E00-440108-00</v>
          </cell>
          <cell r="F3685">
            <v>4711844872</v>
          </cell>
        </row>
        <row r="3686">
          <cell r="E3686" t="str">
            <v>PUR-13-0154-00</v>
          </cell>
          <cell r="F3686">
            <v>4711844872</v>
          </cell>
        </row>
        <row r="3687">
          <cell r="E3687" t="str">
            <v>AGI-510-40067-01</v>
          </cell>
          <cell r="F3687">
            <v>4711844872</v>
          </cell>
        </row>
        <row r="3688">
          <cell r="E3688" t="str">
            <v>PURET-21-0018-00</v>
          </cell>
          <cell r="F3688">
            <v>4711844872</v>
          </cell>
        </row>
        <row r="3689">
          <cell r="E3689" t="str">
            <v>LUC-E00-420074-00</v>
          </cell>
          <cell r="F3689">
            <v>4711844872</v>
          </cell>
        </row>
        <row r="3690">
          <cell r="E3690" t="str">
            <v>EF-45058084</v>
          </cell>
          <cell r="F3690">
            <v>4711844872</v>
          </cell>
        </row>
        <row r="3691">
          <cell r="E3691" t="str">
            <v>PUR-13-0162-00</v>
          </cell>
          <cell r="F3691">
            <v>4711844872</v>
          </cell>
        </row>
        <row r="3692">
          <cell r="E3692" t="str">
            <v>EF-45212491</v>
          </cell>
          <cell r="F3692">
            <v>4711844872</v>
          </cell>
        </row>
        <row r="3693">
          <cell r="E3693" t="str">
            <v>PUR-13-0165-00</v>
          </cell>
          <cell r="F3693">
            <v>4711844872</v>
          </cell>
        </row>
        <row r="3694">
          <cell r="E3694" t="str">
            <v>PUR-13-0141-00</v>
          </cell>
          <cell r="F3694">
            <v>4711844872</v>
          </cell>
        </row>
        <row r="3695">
          <cell r="E3695" t="str">
            <v>PUR-21-0026-00</v>
          </cell>
          <cell r="F3695">
            <v>4711844872</v>
          </cell>
        </row>
        <row r="3696">
          <cell r="E3696" t="str">
            <v>PUR-25-0009-00</v>
          </cell>
          <cell r="F3696">
            <v>4711844872</v>
          </cell>
        </row>
        <row r="3697">
          <cell r="E3697" t="str">
            <v>EF-45155438</v>
          </cell>
          <cell r="F3697">
            <v>4711844872</v>
          </cell>
        </row>
        <row r="3698">
          <cell r="E3698" t="str">
            <v>PUR-09-0213-00</v>
          </cell>
          <cell r="F3698">
            <v>447911574669</v>
          </cell>
        </row>
        <row r="3699">
          <cell r="E3699" t="str">
            <v>PUR-09-0213-00</v>
          </cell>
          <cell r="F3699">
            <v>447911574669</v>
          </cell>
        </row>
        <row r="3700">
          <cell r="E3700" t="str">
            <v>PUR-05-0031-00</v>
          </cell>
          <cell r="F3700">
            <v>447911574669</v>
          </cell>
        </row>
        <row r="3701">
          <cell r="E3701" t="str">
            <v>LUC-E00-400028-000</v>
          </cell>
          <cell r="F3701">
            <v>447911574669</v>
          </cell>
        </row>
        <row r="3702">
          <cell r="E3702" t="str">
            <v>LUC-E00-450039-00</v>
          </cell>
          <cell r="F3702">
            <v>447911574669</v>
          </cell>
        </row>
        <row r="3703">
          <cell r="E3703" t="str">
            <v>EF-45127982</v>
          </cell>
          <cell r="F3703">
            <v>447911574669</v>
          </cell>
        </row>
        <row r="3704">
          <cell r="E3704" t="str">
            <v>EF-45205754</v>
          </cell>
          <cell r="F3704">
            <v>447911574669</v>
          </cell>
        </row>
        <row r="3705">
          <cell r="E3705" t="str">
            <v>LUC-EZZ-400238-00</v>
          </cell>
          <cell r="F3705">
            <v>447911574669</v>
          </cell>
        </row>
        <row r="3706">
          <cell r="E3706" t="str">
            <v>LUC-EZZ-400239-00</v>
          </cell>
          <cell r="F3706">
            <v>447911574669</v>
          </cell>
        </row>
        <row r="3707">
          <cell r="E3707" t="str">
            <v>LUC-E00-420037-03</v>
          </cell>
          <cell r="F3707">
            <v>447911574669</v>
          </cell>
        </row>
        <row r="3708">
          <cell r="E3708" t="str">
            <v>LUC-E00-450132-00</v>
          </cell>
          <cell r="F3708">
            <v>447911574669</v>
          </cell>
        </row>
        <row r="3709">
          <cell r="E3709" t="str">
            <v>LUC-E00-420045-00</v>
          </cell>
          <cell r="F3709">
            <v>447911574669</v>
          </cell>
        </row>
        <row r="3710">
          <cell r="E3710" t="str">
            <v>LUC-EZZ-490315-02</v>
          </cell>
          <cell r="F3710">
            <v>1515231</v>
          </cell>
        </row>
        <row r="3711">
          <cell r="E3711" t="str">
            <v>LUC-EZZ-490315-02</v>
          </cell>
          <cell r="F3711">
            <v>1515231</v>
          </cell>
        </row>
        <row r="3712">
          <cell r="E3712" t="str">
            <v>LUC-EZZ-490259-00</v>
          </cell>
          <cell r="F3712">
            <v>1515231</v>
          </cell>
        </row>
        <row r="3713">
          <cell r="E3713" t="str">
            <v>LUC-EZZ-490304-04</v>
          </cell>
          <cell r="F3713">
            <v>1515231</v>
          </cell>
        </row>
        <row r="3714">
          <cell r="E3714" t="str">
            <v>LUC-P11-J80300-00</v>
          </cell>
          <cell r="F3714">
            <v>880102338474</v>
          </cell>
        </row>
        <row r="3715">
          <cell r="E3715" t="str">
            <v>LUC-E00-690088-00-R</v>
          </cell>
          <cell r="F3715">
            <v>447327270680</v>
          </cell>
        </row>
        <row r="3716">
          <cell r="E3716" t="str">
            <v>LUC-E00-690088-00-R</v>
          </cell>
          <cell r="F3716">
            <v>447327270680</v>
          </cell>
        </row>
        <row r="3717">
          <cell r="E3717" t="str">
            <v>LUC-E00-690088-00-R</v>
          </cell>
          <cell r="F3717">
            <v>447327270680</v>
          </cell>
        </row>
        <row r="3718">
          <cell r="E3718" t="str">
            <v>LUC-E00-690088-00-R</v>
          </cell>
          <cell r="F3718">
            <v>447327270680</v>
          </cell>
        </row>
        <row r="3719">
          <cell r="E3719" t="str">
            <v>LUC-E00-690088-00-R</v>
          </cell>
          <cell r="F3719">
            <v>447327270680</v>
          </cell>
        </row>
        <row r="3720">
          <cell r="E3720" t="str">
            <v>LUC-E00-690088-00-R</v>
          </cell>
          <cell r="F3720">
            <v>447327270680</v>
          </cell>
        </row>
        <row r="3721">
          <cell r="E3721" t="str">
            <v>LUC-E00-450026-00</v>
          </cell>
          <cell r="F3721">
            <v>449984833150</v>
          </cell>
        </row>
        <row r="3722">
          <cell r="E3722" t="str">
            <v>LUC-E00-400054-01</v>
          </cell>
          <cell r="F3722">
            <v>880106682441</v>
          </cell>
        </row>
        <row r="3723">
          <cell r="E3723" t="str">
            <v>AGI-530-40013-01</v>
          </cell>
          <cell r="F3723">
            <v>880106682441</v>
          </cell>
        </row>
        <row r="3724">
          <cell r="E3724" t="str">
            <v>LUC-E00-400011-003</v>
          </cell>
          <cell r="F3724">
            <v>286885206988</v>
          </cell>
        </row>
        <row r="3725">
          <cell r="E3725" t="str">
            <v>PUR-03-0095-00</v>
          </cell>
          <cell r="F3725">
            <v>446847391094</v>
          </cell>
        </row>
        <row r="3726">
          <cell r="E3726" t="str">
            <v>LUC-E00-420073-00</v>
          </cell>
          <cell r="F3726">
            <v>447911550054</v>
          </cell>
        </row>
        <row r="3727">
          <cell r="E3727" t="str">
            <v>AGI-410-50002-01</v>
          </cell>
          <cell r="F3727">
            <v>119209589470</v>
          </cell>
        </row>
        <row r="3728">
          <cell r="E3728" t="str">
            <v>AGI-410-50002-01</v>
          </cell>
          <cell r="F3728">
            <v>119209589470</v>
          </cell>
        </row>
        <row r="3729">
          <cell r="E3729" t="str">
            <v>PUR-24-0028-00</v>
          </cell>
          <cell r="F3729">
            <v>119209589470</v>
          </cell>
        </row>
        <row r="3730">
          <cell r="E3730" t="str">
            <v>PUR-24-0028-00</v>
          </cell>
          <cell r="F3730">
            <v>119209589470</v>
          </cell>
        </row>
        <row r="3731">
          <cell r="E3731" t="str">
            <v>LUC-E00-400054-01</v>
          </cell>
          <cell r="F3731">
            <v>450463514240</v>
          </cell>
        </row>
        <row r="3732">
          <cell r="E3732" t="str">
            <v>LUC-E00-460006-00</v>
          </cell>
          <cell r="F3732">
            <v>450463514240</v>
          </cell>
        </row>
        <row r="3733">
          <cell r="E3733" t="str">
            <v>LUC-E00-420086-00</v>
          </cell>
          <cell r="F3733">
            <v>450463514240</v>
          </cell>
        </row>
        <row r="3734">
          <cell r="E3734" t="str">
            <v>LUC-P11-K41E00-01</v>
          </cell>
          <cell r="F3734">
            <v>450463514240</v>
          </cell>
        </row>
        <row r="3735">
          <cell r="E3735" t="str">
            <v>LUC-P11-K41E00-01</v>
          </cell>
          <cell r="F3735">
            <v>450463514240</v>
          </cell>
        </row>
        <row r="3736">
          <cell r="E3736" t="str">
            <v>LUC-EZZ-400554-00</v>
          </cell>
          <cell r="F3736">
            <v>450463514240</v>
          </cell>
        </row>
        <row r="3737">
          <cell r="E3737" t="str">
            <v>LUC-EZZ-400608-00</v>
          </cell>
          <cell r="F3737">
            <v>450463514240</v>
          </cell>
        </row>
        <row r="3738">
          <cell r="E3738" t="str">
            <v>LUC-E00-420086-00</v>
          </cell>
          <cell r="F3738">
            <v>450463514240</v>
          </cell>
        </row>
        <row r="3739">
          <cell r="E3739" t="str">
            <v>LUC-EZZ-400609-00</v>
          </cell>
          <cell r="F3739">
            <v>450463514240</v>
          </cell>
        </row>
        <row r="3740">
          <cell r="E3740" t="str">
            <v>EF-45033295</v>
          </cell>
          <cell r="F3740">
            <v>449984835977</v>
          </cell>
        </row>
        <row r="3741">
          <cell r="E3741" t="str">
            <v>LUC-EZZ-440073-00</v>
          </cell>
          <cell r="F3741">
            <v>742783503574</v>
          </cell>
        </row>
        <row r="3742">
          <cell r="E3742" t="str">
            <v>LUC-E00-420072-01</v>
          </cell>
          <cell r="F3742">
            <v>434611756829</v>
          </cell>
        </row>
        <row r="3743">
          <cell r="E3743" t="str">
            <v>LUC-E00-420072-01</v>
          </cell>
          <cell r="F3743">
            <v>434611756829</v>
          </cell>
        </row>
        <row r="3744">
          <cell r="E3744" t="str">
            <v>PUR-13-0157-00</v>
          </cell>
          <cell r="F3744">
            <v>434611756829</v>
          </cell>
        </row>
        <row r="3745">
          <cell r="E3745" t="str">
            <v>PUR-13-0160-00</v>
          </cell>
          <cell r="F3745">
            <v>434611756829</v>
          </cell>
        </row>
        <row r="3746">
          <cell r="E3746" t="str">
            <v>LUC-E00-420275-00</v>
          </cell>
          <cell r="F3746">
            <v>434611756829</v>
          </cell>
        </row>
        <row r="3747">
          <cell r="E3747" t="str">
            <v>PUR-123-001781</v>
          </cell>
          <cell r="F3747">
            <v>434611756829</v>
          </cell>
        </row>
        <row r="3748">
          <cell r="E3748" t="str">
            <v>PUR-123-001781</v>
          </cell>
          <cell r="F3748">
            <v>434611756829</v>
          </cell>
        </row>
        <row r="3749">
          <cell r="E3749" t="str">
            <v>PUR-123-001781</v>
          </cell>
          <cell r="F3749">
            <v>434611756829</v>
          </cell>
        </row>
        <row r="3750">
          <cell r="E3750" t="str">
            <v>LUC-E00-420275-00</v>
          </cell>
          <cell r="F3750">
            <v>434611756829</v>
          </cell>
        </row>
        <row r="3751">
          <cell r="E3751" t="str">
            <v>LUC-E00-440003-02</v>
          </cell>
          <cell r="F3751">
            <v>722661012256</v>
          </cell>
        </row>
        <row r="3752">
          <cell r="E3752" t="str">
            <v>LUC-E00-440013-00</v>
          </cell>
          <cell r="F3752">
            <v>722661012256</v>
          </cell>
        </row>
        <row r="3753">
          <cell r="E3753" t="str">
            <v>LUC-E00-440014-00</v>
          </cell>
          <cell r="F3753">
            <v>722661012256</v>
          </cell>
        </row>
        <row r="3754">
          <cell r="E3754" t="str">
            <v>LUC-E00-440014-01</v>
          </cell>
          <cell r="F3754">
            <v>722661012256</v>
          </cell>
        </row>
        <row r="3755">
          <cell r="E3755" t="str">
            <v>LUC-E00-440023-02</v>
          </cell>
          <cell r="F3755">
            <v>722661012256</v>
          </cell>
        </row>
        <row r="3756">
          <cell r="E3756" t="str">
            <v>LUC-E00-440046-00</v>
          </cell>
          <cell r="F3756">
            <v>722661012256</v>
          </cell>
        </row>
        <row r="3757">
          <cell r="E3757" t="str">
            <v>LUC-E00-440048-00</v>
          </cell>
          <cell r="F3757">
            <v>722661012256</v>
          </cell>
        </row>
        <row r="3758">
          <cell r="E3758" t="str">
            <v>LUC-E00-440124-00</v>
          </cell>
          <cell r="F3758">
            <v>722661012256</v>
          </cell>
        </row>
        <row r="3759">
          <cell r="E3759" t="str">
            <v>LUC-EZZ-440018-00</v>
          </cell>
          <cell r="F3759">
            <v>722661012256</v>
          </cell>
        </row>
        <row r="3760">
          <cell r="E3760" t="str">
            <v>LUC-EZZ-440162-00</v>
          </cell>
          <cell r="F3760">
            <v>722661012256</v>
          </cell>
        </row>
        <row r="3761">
          <cell r="E3761" t="str">
            <v>LUC-EZZ-440099-00</v>
          </cell>
          <cell r="F3761">
            <v>722661012256</v>
          </cell>
        </row>
        <row r="3762">
          <cell r="E3762" t="str">
            <v>PUR-09-0346-00</v>
          </cell>
          <cell r="F3762">
            <v>429083213686</v>
          </cell>
        </row>
        <row r="3763">
          <cell r="E3763" t="str">
            <v>PUR-09-0346-00</v>
          </cell>
          <cell r="F3763">
            <v>429083213686</v>
          </cell>
        </row>
        <row r="3764">
          <cell r="E3764" t="str">
            <v>PUR-09-0346-00</v>
          </cell>
          <cell r="F3764">
            <v>429083213686</v>
          </cell>
        </row>
        <row r="3765">
          <cell r="E3765" t="str">
            <v>LUC-E00-470252-00</v>
          </cell>
          <cell r="F3765">
            <v>429083213686</v>
          </cell>
        </row>
        <row r="3766">
          <cell r="E3766" t="str">
            <v>PUR-13-0141-00</v>
          </cell>
          <cell r="F3766">
            <v>429083213686</v>
          </cell>
        </row>
        <row r="3767">
          <cell r="E3767" t="str">
            <v>LUC-E00-420055-15</v>
          </cell>
          <cell r="F3767">
            <v>429083213686</v>
          </cell>
        </row>
        <row r="3768">
          <cell r="E3768" t="str">
            <v>LUC-EZZ-420396-00</v>
          </cell>
          <cell r="F3768">
            <v>429083213686</v>
          </cell>
        </row>
        <row r="3769">
          <cell r="E3769" t="str">
            <v>LUC-EZZ-420396-00</v>
          </cell>
          <cell r="F3769">
            <v>429083213686</v>
          </cell>
        </row>
        <row r="3770">
          <cell r="E3770" t="str">
            <v>LUC-EZZ-420396-00</v>
          </cell>
          <cell r="F3770">
            <v>429083213686</v>
          </cell>
        </row>
        <row r="3771">
          <cell r="E3771" t="str">
            <v>PUR-09-0417-00</v>
          </cell>
          <cell r="F3771">
            <v>429083213686</v>
          </cell>
        </row>
        <row r="3772">
          <cell r="E3772" t="str">
            <v>PUR-07-0210-00</v>
          </cell>
          <cell r="F3772">
            <v>880104092800</v>
          </cell>
        </row>
        <row r="3773">
          <cell r="E3773" t="str">
            <v>LUC-P21-KA3200-00</v>
          </cell>
          <cell r="F3773">
            <v>433911993419</v>
          </cell>
        </row>
        <row r="3774">
          <cell r="E3774" t="str">
            <v>LUC-E00-440045-00</v>
          </cell>
          <cell r="F3774">
            <v>286912264120</v>
          </cell>
        </row>
        <row r="3775">
          <cell r="E3775" t="str">
            <v>LUC-EZZ-440129-00</v>
          </cell>
          <cell r="F3775">
            <v>286912264120</v>
          </cell>
        </row>
        <row r="3776">
          <cell r="E3776" t="str">
            <v>AGI-500-40220-01</v>
          </cell>
          <cell r="F3776">
            <v>880104074617</v>
          </cell>
        </row>
        <row r="3777">
          <cell r="E3777" t="str">
            <v>122-000735.X.X</v>
          </cell>
          <cell r="F3777">
            <v>880104074617</v>
          </cell>
        </row>
        <row r="3778">
          <cell r="E3778" t="str">
            <v>LUC-E00-420037-02</v>
          </cell>
          <cell r="F3778">
            <v>880104074617</v>
          </cell>
        </row>
        <row r="3779">
          <cell r="E3779" t="str">
            <v>PUR-13-0152-00</v>
          </cell>
          <cell r="F3779">
            <v>880104074617</v>
          </cell>
        </row>
        <row r="3780">
          <cell r="E3780" t="str">
            <v>LUC-E00-420037-02</v>
          </cell>
          <cell r="F3780">
            <v>880104074617</v>
          </cell>
        </row>
        <row r="3781">
          <cell r="E3781" t="str">
            <v>PUR-11-0104-06</v>
          </cell>
          <cell r="F3781" t="str">
            <v>PSHPH2530099</v>
          </cell>
        </row>
        <row r="3782">
          <cell r="E3782" t="str">
            <v>PUR-11-0104-05</v>
          </cell>
          <cell r="F3782" t="str">
            <v>PSHPH2530099</v>
          </cell>
        </row>
        <row r="3783">
          <cell r="E3783" t="str">
            <v>PUR-11-0104-05</v>
          </cell>
          <cell r="F3783" t="str">
            <v>PSHPH2530099</v>
          </cell>
        </row>
        <row r="3784">
          <cell r="E3784" t="str">
            <v>PUR-11-0104-05</v>
          </cell>
          <cell r="F3784" t="str">
            <v>PSHPH2530099</v>
          </cell>
        </row>
        <row r="3785">
          <cell r="E3785" t="str">
            <v>PUR-11-0104-05</v>
          </cell>
          <cell r="F3785" t="str">
            <v>PSHPH2530099</v>
          </cell>
        </row>
        <row r="3786">
          <cell r="E3786" t="str">
            <v>PUR-11-0104-05</v>
          </cell>
          <cell r="F3786" t="str">
            <v>PSHPH2530099</v>
          </cell>
        </row>
        <row r="3787">
          <cell r="E3787" t="str">
            <v>PUR-11-0104-05</v>
          </cell>
          <cell r="F3787" t="str">
            <v>PSHPH2530099</v>
          </cell>
        </row>
        <row r="3788">
          <cell r="E3788" t="str">
            <v>PUR-11-0104-06</v>
          </cell>
          <cell r="F3788" t="str">
            <v>PSHPH2530099</v>
          </cell>
        </row>
        <row r="3789">
          <cell r="E3789" t="str">
            <v>AGI-510-40123-01</v>
          </cell>
          <cell r="F3789">
            <v>880178204412</v>
          </cell>
        </row>
        <row r="3790">
          <cell r="E3790" t="str">
            <v>LUC-E00-470083-00</v>
          </cell>
          <cell r="F3790">
            <v>452056062845</v>
          </cell>
        </row>
        <row r="3791">
          <cell r="E3791" t="str">
            <v>AGI-600-40049-01</v>
          </cell>
          <cell r="F3791">
            <v>880133908135</v>
          </cell>
        </row>
        <row r="3792">
          <cell r="E3792" t="str">
            <v>AGI-600-40049-01</v>
          </cell>
          <cell r="F3792">
            <v>880133908135</v>
          </cell>
        </row>
        <row r="3793">
          <cell r="E3793" t="str">
            <v>EF-45232580</v>
          </cell>
          <cell r="F3793">
            <v>452056075227</v>
          </cell>
        </row>
        <row r="3794">
          <cell r="E3794" t="str">
            <v>LUC-EZZ-470421-00</v>
          </cell>
          <cell r="F3794">
            <v>287006085483</v>
          </cell>
        </row>
        <row r="3795">
          <cell r="E3795" t="str">
            <v>LUC-E00-470121-01</v>
          </cell>
          <cell r="F3795">
            <v>287006085483</v>
          </cell>
        </row>
        <row r="3796">
          <cell r="E3796" t="str">
            <v>LUC-P21-K33900-00</v>
          </cell>
          <cell r="F3796">
            <v>898442189175</v>
          </cell>
        </row>
        <row r="3797">
          <cell r="E3797" t="str">
            <v>141-002780</v>
          </cell>
          <cell r="F3797">
            <v>880181844809</v>
          </cell>
        </row>
        <row r="3798">
          <cell r="E3798" t="str">
            <v>141-002782</v>
          </cell>
          <cell r="F3798">
            <v>880181844809</v>
          </cell>
        </row>
        <row r="3799">
          <cell r="E3799" t="str">
            <v>141-002781</v>
          </cell>
          <cell r="F3799">
            <v>880181844809</v>
          </cell>
        </row>
        <row r="3800">
          <cell r="E3800" t="str">
            <v>LUC-E00-450067-00</v>
          </cell>
          <cell r="F3800">
            <v>9672414975</v>
          </cell>
        </row>
        <row r="3801">
          <cell r="E3801" t="str">
            <v>LUC-E00-450029-00</v>
          </cell>
          <cell r="F3801">
            <v>9672414975</v>
          </cell>
        </row>
        <row r="3802">
          <cell r="E3802" t="str">
            <v>LUC-E00-470020-01</v>
          </cell>
          <cell r="F3802">
            <v>9672414975</v>
          </cell>
        </row>
        <row r="3803">
          <cell r="E3803" t="str">
            <v>LUC-EZZ-471623-00</v>
          </cell>
          <cell r="F3803">
            <v>9672414975</v>
          </cell>
        </row>
        <row r="3804">
          <cell r="E3804" t="str">
            <v>LUC-E00-420027-03</v>
          </cell>
          <cell r="F3804">
            <v>9672414975</v>
          </cell>
        </row>
        <row r="3805">
          <cell r="E3805" t="str">
            <v>LUC-E00-400010-037</v>
          </cell>
          <cell r="F3805">
            <v>9672414975</v>
          </cell>
        </row>
        <row r="3806">
          <cell r="E3806" t="str">
            <v>LUC-E00-400001-003</v>
          </cell>
          <cell r="F3806">
            <v>9672414975</v>
          </cell>
        </row>
        <row r="3807">
          <cell r="E3807" t="str">
            <v>LUC-E00-470061-00</v>
          </cell>
          <cell r="F3807">
            <v>9672414975</v>
          </cell>
        </row>
        <row r="3808">
          <cell r="E3808" t="str">
            <v>LUC-EZZ-510014-00</v>
          </cell>
          <cell r="F3808">
            <v>9672414975</v>
          </cell>
        </row>
        <row r="3809">
          <cell r="E3809" t="str">
            <v>LUC-E00-510082-00</v>
          </cell>
          <cell r="F3809">
            <v>9672414975</v>
          </cell>
        </row>
        <row r="3810">
          <cell r="E3810" t="str">
            <v>LUC-EZZ-420121-00</v>
          </cell>
          <cell r="F3810">
            <v>9672414975</v>
          </cell>
        </row>
        <row r="3811">
          <cell r="E3811" t="str">
            <v>LUC-E00-510066-00</v>
          </cell>
          <cell r="F3811">
            <v>9672414975</v>
          </cell>
        </row>
        <row r="3812">
          <cell r="E3812" t="str">
            <v>LUC-EZZ-421706-00</v>
          </cell>
          <cell r="F3812">
            <v>9672414975</v>
          </cell>
        </row>
        <row r="3813">
          <cell r="E3813" t="str">
            <v>LUC-EZZ-420398-00</v>
          </cell>
          <cell r="F3813">
            <v>9672414975</v>
          </cell>
        </row>
        <row r="3814">
          <cell r="E3814" t="str">
            <v>LUC-E00-470330-00</v>
          </cell>
          <cell r="F3814">
            <v>9672414975</v>
          </cell>
        </row>
        <row r="3815">
          <cell r="E3815" t="str">
            <v>LUC-E00-420057-00</v>
          </cell>
          <cell r="F3815">
            <v>9672414975</v>
          </cell>
        </row>
        <row r="3816">
          <cell r="E3816" t="str">
            <v>LUC-E00-420045-02</v>
          </cell>
          <cell r="F3816">
            <v>9672414975</v>
          </cell>
        </row>
        <row r="3817">
          <cell r="E3817" t="str">
            <v>LUC-E00-400010-043</v>
          </cell>
          <cell r="F3817">
            <v>9672414975</v>
          </cell>
        </row>
        <row r="3818">
          <cell r="E3818" t="str">
            <v>LUC-E00-460008-00</v>
          </cell>
          <cell r="F3818">
            <v>9672414975</v>
          </cell>
        </row>
        <row r="3819">
          <cell r="E3819" t="str">
            <v>LUC-E00-510019-00</v>
          </cell>
          <cell r="F3819">
            <v>9672414975</v>
          </cell>
        </row>
        <row r="3820">
          <cell r="E3820" t="str">
            <v>PUR-24-0028-00</v>
          </cell>
          <cell r="F3820">
            <v>9672414975</v>
          </cell>
        </row>
        <row r="3821">
          <cell r="E3821" t="str">
            <v>PUR-24-0028-00</v>
          </cell>
          <cell r="F3821">
            <v>9672414975</v>
          </cell>
        </row>
        <row r="3822">
          <cell r="E3822" t="str">
            <v>LUC-E00-420015-00</v>
          </cell>
          <cell r="F3822">
            <v>9672414975</v>
          </cell>
        </row>
        <row r="3823">
          <cell r="E3823" t="str">
            <v>LUC-E00-470123-00</v>
          </cell>
          <cell r="F3823">
            <v>9672414975</v>
          </cell>
        </row>
        <row r="3824">
          <cell r="E3824" t="str">
            <v>LUC-E00-470123-00</v>
          </cell>
          <cell r="F3824">
            <v>9672414975</v>
          </cell>
        </row>
        <row r="3825">
          <cell r="E3825" t="str">
            <v>LUC-E00-470123-00</v>
          </cell>
          <cell r="F3825">
            <v>9672414975</v>
          </cell>
        </row>
        <row r="3826">
          <cell r="E3826" t="str">
            <v>LUC-EZZ-420261-00</v>
          </cell>
          <cell r="F3826">
            <v>9672414975</v>
          </cell>
        </row>
        <row r="3827">
          <cell r="E3827" t="str">
            <v>LUC-E00-510093-00</v>
          </cell>
          <cell r="F3827">
            <v>9672414975</v>
          </cell>
        </row>
        <row r="3828">
          <cell r="E3828" t="str">
            <v>LUC-E00-400003-43</v>
          </cell>
          <cell r="F3828">
            <v>9672414975</v>
          </cell>
        </row>
        <row r="3829">
          <cell r="E3829" t="str">
            <v>LUC-EZZ-400621-00</v>
          </cell>
          <cell r="F3829">
            <v>9672414975</v>
          </cell>
        </row>
        <row r="3830">
          <cell r="E3830" t="str">
            <v>LUC-EZZ-420118-00</v>
          </cell>
          <cell r="F3830">
            <v>9672414975</v>
          </cell>
        </row>
        <row r="3831">
          <cell r="E3831" t="str">
            <v>LUC-EZZ-401043-00</v>
          </cell>
          <cell r="F3831">
            <v>9672414975</v>
          </cell>
        </row>
        <row r="3832">
          <cell r="E3832" t="str">
            <v>LUC-E00-420057-00</v>
          </cell>
          <cell r="F3832">
            <v>9672414975</v>
          </cell>
        </row>
        <row r="3833">
          <cell r="E3833" t="str">
            <v>LUC-E00-400010-023</v>
          </cell>
          <cell r="F3833">
            <v>9672414975</v>
          </cell>
        </row>
        <row r="3834">
          <cell r="E3834" t="str">
            <v>LUC-E00-420054-05</v>
          </cell>
          <cell r="F3834">
            <v>9672414975</v>
          </cell>
        </row>
        <row r="3835">
          <cell r="E3835" t="str">
            <v>LUC-E00-470090-00</v>
          </cell>
          <cell r="F3835">
            <v>9672414975</v>
          </cell>
        </row>
        <row r="3836">
          <cell r="E3836" t="str">
            <v>LUC-E00-420076-00</v>
          </cell>
          <cell r="F3836">
            <v>9672414975</v>
          </cell>
        </row>
        <row r="3837">
          <cell r="E3837" t="str">
            <v>AGI-510-40042-01</v>
          </cell>
          <cell r="F3837">
            <v>9672414975</v>
          </cell>
        </row>
        <row r="3838">
          <cell r="E3838" t="str">
            <v>LUC-E00-480006-00</v>
          </cell>
          <cell r="F3838">
            <v>9672414975</v>
          </cell>
        </row>
        <row r="3839">
          <cell r="E3839" t="str">
            <v>LUC-EZZ-400221-00</v>
          </cell>
          <cell r="F3839">
            <v>9672414975</v>
          </cell>
        </row>
        <row r="3840">
          <cell r="E3840" t="str">
            <v>LUC-E00-400010-003</v>
          </cell>
          <cell r="F3840">
            <v>9672414975</v>
          </cell>
        </row>
        <row r="3841">
          <cell r="E3841" t="str">
            <v>LUC-E00-460015-00</v>
          </cell>
          <cell r="F3841">
            <v>9672414975</v>
          </cell>
        </row>
        <row r="3842">
          <cell r="E3842" t="str">
            <v>LUC-EZZ-420665-00</v>
          </cell>
          <cell r="F3842">
            <v>9672414975</v>
          </cell>
        </row>
        <row r="3843">
          <cell r="E3843" t="str">
            <v>LUC-EZZ-420261-00</v>
          </cell>
          <cell r="F3843">
            <v>9672414975</v>
          </cell>
        </row>
        <row r="3844">
          <cell r="E3844" t="str">
            <v>LUC-E00-450075-00</v>
          </cell>
          <cell r="F3844">
            <v>9672414975</v>
          </cell>
        </row>
        <row r="3845">
          <cell r="E3845" t="str">
            <v>LUC-E00-450067-00</v>
          </cell>
          <cell r="F3845">
            <v>9672414975</v>
          </cell>
        </row>
        <row r="3846">
          <cell r="E3846" t="str">
            <v>LUC-E00-400010-000</v>
          </cell>
          <cell r="F3846">
            <v>9672414975</v>
          </cell>
        </row>
        <row r="3847">
          <cell r="E3847" t="str">
            <v>LUC-E00-450028-00</v>
          </cell>
          <cell r="F3847">
            <v>9672414975</v>
          </cell>
        </row>
        <row r="3848">
          <cell r="E3848" t="str">
            <v>LUC-E00-510064-00</v>
          </cell>
          <cell r="F3848">
            <v>9672414975</v>
          </cell>
        </row>
        <row r="3849">
          <cell r="E3849" t="str">
            <v>LUC-E00-540005-00</v>
          </cell>
          <cell r="F3849">
            <v>9672414975</v>
          </cell>
        </row>
        <row r="3850">
          <cell r="E3850" t="str">
            <v>LUC-E00-470122-01</v>
          </cell>
          <cell r="F3850">
            <v>9672414975</v>
          </cell>
        </row>
        <row r="3851">
          <cell r="E3851" t="str">
            <v>LUC-E00-470122-01</v>
          </cell>
          <cell r="F3851">
            <v>9672414975</v>
          </cell>
        </row>
        <row r="3852">
          <cell r="E3852" t="str">
            <v>LUC-E00-510037-00</v>
          </cell>
          <cell r="F3852">
            <v>9672414975</v>
          </cell>
        </row>
        <row r="3853">
          <cell r="E3853" t="str">
            <v>LUC-E00-470301-00</v>
          </cell>
          <cell r="F3853">
            <v>9672414975</v>
          </cell>
        </row>
        <row r="3854">
          <cell r="E3854" t="str">
            <v>LUC-E00-470301-00</v>
          </cell>
          <cell r="F3854">
            <v>9672414975</v>
          </cell>
        </row>
        <row r="3855">
          <cell r="E3855" t="str">
            <v>LUC-E00-480006-00</v>
          </cell>
          <cell r="F3855">
            <v>9672414975</v>
          </cell>
        </row>
        <row r="3856">
          <cell r="E3856" t="str">
            <v>LUC-E00-470049-00</v>
          </cell>
          <cell r="F3856">
            <v>9672414975</v>
          </cell>
        </row>
        <row r="3857">
          <cell r="E3857" t="str">
            <v>LUC-E00-470361-00</v>
          </cell>
          <cell r="F3857">
            <v>9672414975</v>
          </cell>
        </row>
        <row r="3858">
          <cell r="E3858" t="str">
            <v>LUC-E00-510037-00</v>
          </cell>
          <cell r="F3858">
            <v>9672414975</v>
          </cell>
        </row>
        <row r="3859">
          <cell r="E3859" t="str">
            <v>LUC-E00-510037-00</v>
          </cell>
          <cell r="F3859">
            <v>9672414975</v>
          </cell>
        </row>
        <row r="3860">
          <cell r="E3860" t="str">
            <v>LUC-E00-510037-00</v>
          </cell>
          <cell r="F3860">
            <v>9672414975</v>
          </cell>
        </row>
        <row r="3861">
          <cell r="E3861" t="str">
            <v>LUC-E00-510037-00</v>
          </cell>
          <cell r="F3861">
            <v>9672414975</v>
          </cell>
        </row>
        <row r="3862">
          <cell r="E3862" t="str">
            <v>LUC-E00-510037-00</v>
          </cell>
          <cell r="F3862">
            <v>9672414975</v>
          </cell>
        </row>
        <row r="3863">
          <cell r="E3863" t="str">
            <v>LUC-E00-420054-01</v>
          </cell>
          <cell r="F3863">
            <v>9672414975</v>
          </cell>
        </row>
        <row r="3864">
          <cell r="E3864" t="str">
            <v>LUC-EZZ-470431-00</v>
          </cell>
          <cell r="F3864">
            <v>9672414975</v>
          </cell>
        </row>
        <row r="3865">
          <cell r="E3865" t="str">
            <v>LUC-EZZ-510061-00</v>
          </cell>
          <cell r="F3865">
            <v>9672414975</v>
          </cell>
        </row>
        <row r="3866">
          <cell r="E3866" t="str">
            <v>LUC-E00-470033-00</v>
          </cell>
          <cell r="F3866">
            <v>9672414975</v>
          </cell>
        </row>
        <row r="3867">
          <cell r="E3867" t="str">
            <v>LUC-E00-470173-00</v>
          </cell>
          <cell r="F3867">
            <v>9672414975</v>
          </cell>
        </row>
        <row r="3868">
          <cell r="E3868" t="str">
            <v>LUC-E00-470033-00</v>
          </cell>
          <cell r="F3868">
            <v>9672414975</v>
          </cell>
        </row>
        <row r="3869">
          <cell r="E3869" t="str">
            <v>LUC-E00-470173-00</v>
          </cell>
          <cell r="F3869">
            <v>9672414975</v>
          </cell>
        </row>
        <row r="3870">
          <cell r="E3870" t="str">
            <v>LUC-E00-510021-00</v>
          </cell>
          <cell r="F3870">
            <v>9672414975</v>
          </cell>
        </row>
        <row r="3871">
          <cell r="E3871" t="str">
            <v>LUC-EZZ-420331-00</v>
          </cell>
          <cell r="F3871">
            <v>9672414975</v>
          </cell>
        </row>
        <row r="3872">
          <cell r="E3872" t="str">
            <v>LUC-E00-470060-00</v>
          </cell>
          <cell r="F3872">
            <v>9672414975</v>
          </cell>
        </row>
        <row r="3873">
          <cell r="E3873" t="str">
            <v>LUC-E00-470060-00</v>
          </cell>
          <cell r="F3873">
            <v>9672414975</v>
          </cell>
        </row>
        <row r="3874">
          <cell r="E3874" t="str">
            <v>LUC-E00-470049-00</v>
          </cell>
          <cell r="F3874">
            <v>9672414975</v>
          </cell>
        </row>
        <row r="3875">
          <cell r="E3875" t="str">
            <v>LUC-E00-470049-00</v>
          </cell>
          <cell r="F3875">
            <v>9672414975</v>
          </cell>
        </row>
        <row r="3876">
          <cell r="E3876" t="str">
            <v>LUC-E00-470049-00</v>
          </cell>
          <cell r="F3876">
            <v>9672414975</v>
          </cell>
        </row>
        <row r="3877">
          <cell r="E3877" t="str">
            <v>LUC-E00-470009-00</v>
          </cell>
          <cell r="F3877">
            <v>9672414975</v>
          </cell>
        </row>
        <row r="3878">
          <cell r="E3878" t="str">
            <v>LUC-E00-470032-00</v>
          </cell>
          <cell r="F3878">
            <v>9672414975</v>
          </cell>
        </row>
        <row r="3879">
          <cell r="E3879" t="str">
            <v>LUC-E00-420051-00</v>
          </cell>
          <cell r="F3879">
            <v>9672414975</v>
          </cell>
        </row>
        <row r="3880">
          <cell r="E3880" t="str">
            <v>LUC-E00-420002-07</v>
          </cell>
          <cell r="F3880">
            <v>9672414975</v>
          </cell>
        </row>
        <row r="3881">
          <cell r="E3881" t="str">
            <v>LUC-EZZ-420133-00</v>
          </cell>
          <cell r="F3881">
            <v>9672414975</v>
          </cell>
        </row>
        <row r="3882">
          <cell r="E3882" t="str">
            <v>LUC-EZZ-420175-00</v>
          </cell>
          <cell r="F3882">
            <v>9672414975</v>
          </cell>
        </row>
        <row r="3883">
          <cell r="E3883" t="str">
            <v>LUC-E00-420002-07</v>
          </cell>
          <cell r="F3883">
            <v>9672414975</v>
          </cell>
        </row>
        <row r="3884">
          <cell r="E3884" t="str">
            <v>LUC-EZZ-420133-00</v>
          </cell>
          <cell r="F3884">
            <v>9672414975</v>
          </cell>
        </row>
        <row r="3885">
          <cell r="E3885" t="str">
            <v>LUC-EZZ-420173-00</v>
          </cell>
          <cell r="F3885">
            <v>9672414975</v>
          </cell>
        </row>
        <row r="3886">
          <cell r="E3886" t="str">
            <v>LUC-E00-440028-00</v>
          </cell>
          <cell r="F3886">
            <v>9672414975</v>
          </cell>
        </row>
        <row r="3887">
          <cell r="E3887" t="str">
            <v>LUC-E00-510021-00</v>
          </cell>
          <cell r="F3887">
            <v>9672414975</v>
          </cell>
        </row>
        <row r="3888">
          <cell r="E3888" t="str">
            <v>LUC-E00-420054-04</v>
          </cell>
          <cell r="F3888">
            <v>9672414975</v>
          </cell>
        </row>
        <row r="3889">
          <cell r="E3889" t="str">
            <v>LUC-E00-420054-04</v>
          </cell>
          <cell r="F3889">
            <v>9672414975</v>
          </cell>
        </row>
        <row r="3890">
          <cell r="E3890" t="str">
            <v>LUC-E00-420054-04</v>
          </cell>
          <cell r="F3890">
            <v>9672414975</v>
          </cell>
        </row>
        <row r="3891">
          <cell r="E3891" t="str">
            <v>LUC-E00-420057-00</v>
          </cell>
          <cell r="F3891">
            <v>9672414975</v>
          </cell>
        </row>
        <row r="3892">
          <cell r="E3892" t="str">
            <v>LUC-EZZ-420097-00</v>
          </cell>
          <cell r="F3892">
            <v>9672414975</v>
          </cell>
        </row>
        <row r="3893">
          <cell r="E3893" t="str">
            <v>LUC-E00-420055-00</v>
          </cell>
          <cell r="F3893">
            <v>409298779407</v>
          </cell>
        </row>
        <row r="3894">
          <cell r="E3894" t="str">
            <v>LUC-E00-690010-01</v>
          </cell>
          <cell r="F3894">
            <v>286938001705</v>
          </cell>
        </row>
        <row r="3895">
          <cell r="E3895" t="str">
            <v>LUC-E00-690010-02</v>
          </cell>
          <cell r="F3895">
            <v>286938001705</v>
          </cell>
        </row>
        <row r="3896">
          <cell r="E3896" t="str">
            <v>LUC-E00-4700103-00</v>
          </cell>
          <cell r="F3896">
            <v>287059849734</v>
          </cell>
        </row>
        <row r="3897">
          <cell r="E3897" t="str">
            <v>PUR-12-0512-00</v>
          </cell>
          <cell r="F3897">
            <v>423264345609</v>
          </cell>
        </row>
        <row r="3898">
          <cell r="E3898" t="str">
            <v>LUC-E00-400035-04</v>
          </cell>
          <cell r="F3898">
            <v>423264345609</v>
          </cell>
        </row>
        <row r="3899">
          <cell r="E3899" t="str">
            <v>PUR-12-0482-00</v>
          </cell>
          <cell r="F3899">
            <v>423264345609</v>
          </cell>
        </row>
        <row r="3900">
          <cell r="E3900" t="str">
            <v>PUR-12-0482-00</v>
          </cell>
          <cell r="F3900">
            <v>423264345609</v>
          </cell>
        </row>
        <row r="3901">
          <cell r="E3901" t="str">
            <v>PUR-12-0475-00</v>
          </cell>
          <cell r="F3901">
            <v>423264345609</v>
          </cell>
        </row>
        <row r="3902">
          <cell r="E3902" t="str">
            <v>PUR-12-0482-00</v>
          </cell>
          <cell r="F3902">
            <v>423264345609</v>
          </cell>
        </row>
        <row r="3903">
          <cell r="E3903" t="str">
            <v>PUR-12-0423-00</v>
          </cell>
          <cell r="F3903">
            <v>423264345609</v>
          </cell>
        </row>
        <row r="3904">
          <cell r="E3904" t="str">
            <v>121-000206.X.X</v>
          </cell>
          <cell r="F3904">
            <v>423264345609</v>
          </cell>
        </row>
        <row r="3905">
          <cell r="E3905" t="str">
            <v>LUC-E00-420025-03</v>
          </cell>
          <cell r="F3905">
            <v>423264345609</v>
          </cell>
        </row>
        <row r="3906">
          <cell r="E3906" t="str">
            <v>LUC-EZZ-420257-00</v>
          </cell>
          <cell r="F3906">
            <v>423264345609</v>
          </cell>
        </row>
        <row r="3907">
          <cell r="E3907" t="str">
            <v>PUR-13-0250-00</v>
          </cell>
          <cell r="F3907">
            <v>423264345609</v>
          </cell>
        </row>
        <row r="3908">
          <cell r="E3908" t="str">
            <v>LUC-E00-420025-03</v>
          </cell>
          <cell r="F3908">
            <v>423264345609</v>
          </cell>
        </row>
        <row r="3909">
          <cell r="E3909" t="str">
            <v>LUC-E00-420025-03</v>
          </cell>
          <cell r="F3909">
            <v>423264345609</v>
          </cell>
        </row>
        <row r="3910">
          <cell r="E3910" t="str">
            <v>LUC-EZZ-420257-00</v>
          </cell>
          <cell r="F3910">
            <v>423264345609</v>
          </cell>
        </row>
        <row r="3911">
          <cell r="E3911" t="str">
            <v>LUC-EZZ-421132-00</v>
          </cell>
          <cell r="F3911">
            <v>423264345609</v>
          </cell>
        </row>
        <row r="3912">
          <cell r="E3912" t="str">
            <v>LUC-EZZ-420148-00</v>
          </cell>
          <cell r="F3912">
            <v>423264345609</v>
          </cell>
        </row>
        <row r="3913">
          <cell r="E3913" t="str">
            <v>AGI-500-40228-01</v>
          </cell>
          <cell r="F3913">
            <v>423264345609</v>
          </cell>
        </row>
        <row r="3914">
          <cell r="E3914" t="str">
            <v>121-000585.X.X</v>
          </cell>
          <cell r="F3914">
            <v>423264345609</v>
          </cell>
        </row>
        <row r="3915">
          <cell r="E3915" t="str">
            <v>121-000585.X.X</v>
          </cell>
          <cell r="F3915">
            <v>423264345609</v>
          </cell>
        </row>
        <row r="3916">
          <cell r="E3916" t="str">
            <v>PUR-14-0086-00</v>
          </cell>
          <cell r="F3916">
            <v>423264345609</v>
          </cell>
        </row>
        <row r="3917">
          <cell r="E3917" t="str">
            <v>LUC-E00-440031-00</v>
          </cell>
          <cell r="F3917">
            <v>409298779381</v>
          </cell>
        </row>
        <row r="3918">
          <cell r="E3918" t="str">
            <v>LUC-E00-690003-00</v>
          </cell>
          <cell r="F3918">
            <v>409298779381</v>
          </cell>
        </row>
        <row r="3919">
          <cell r="E3919" t="str">
            <v>LUC-E00-400018-01</v>
          </cell>
          <cell r="F3919">
            <v>409298779381</v>
          </cell>
        </row>
        <row r="3920">
          <cell r="E3920" t="str">
            <v>LUC-E00-400022-000</v>
          </cell>
          <cell r="F3920">
            <v>409298779381</v>
          </cell>
        </row>
        <row r="3921">
          <cell r="E3921" t="str">
            <v>LUC-E00-440031-00</v>
          </cell>
          <cell r="F3921">
            <v>409298779381</v>
          </cell>
        </row>
        <row r="3922">
          <cell r="E3922" t="str">
            <v>LUC-E00-420055-00</v>
          </cell>
          <cell r="F3922">
            <v>409298779381</v>
          </cell>
        </row>
        <row r="3923">
          <cell r="E3923" t="str">
            <v>LUC-E00-400010-004</v>
          </cell>
          <cell r="F3923">
            <v>409298779381</v>
          </cell>
        </row>
        <row r="3924">
          <cell r="E3924" t="str">
            <v>LUC-E00-400011-000</v>
          </cell>
          <cell r="F3924">
            <v>409298779381</v>
          </cell>
        </row>
        <row r="3925">
          <cell r="E3925" t="str">
            <v>AIC-MP-00006327-000</v>
          </cell>
          <cell r="F3925">
            <v>880242755989</v>
          </cell>
        </row>
        <row r="3926">
          <cell r="E3926" t="str">
            <v>AIC-MP-DE000240-S01</v>
          </cell>
          <cell r="F3926">
            <v>880182147047</v>
          </cell>
        </row>
        <row r="3927">
          <cell r="E3927" t="str">
            <v>PUR-25-0009-00</v>
          </cell>
          <cell r="F3927">
            <v>426080010411</v>
          </cell>
        </row>
        <row r="3928">
          <cell r="E3928" t="str">
            <v>PUR-09-0329-00</v>
          </cell>
          <cell r="F3928">
            <v>426080010411</v>
          </cell>
        </row>
        <row r="3929">
          <cell r="E3929" t="str">
            <v>LUC-E00-480015-01</v>
          </cell>
          <cell r="F3929">
            <v>426080010411</v>
          </cell>
        </row>
        <row r="3930">
          <cell r="E3930" t="str">
            <v>EF-45225702</v>
          </cell>
          <cell r="F3930">
            <v>426080010411</v>
          </cell>
        </row>
        <row r="3931">
          <cell r="E3931" t="str">
            <v>PUR-09-0343-00</v>
          </cell>
          <cell r="F3931">
            <v>426080010411</v>
          </cell>
        </row>
        <row r="3932">
          <cell r="E3932" t="str">
            <v>PUR-14-0105-00</v>
          </cell>
          <cell r="F3932">
            <v>426080010411</v>
          </cell>
        </row>
        <row r="3933">
          <cell r="E3933" t="str">
            <v>LUC-E00-420072-00</v>
          </cell>
          <cell r="F3933">
            <v>426080010411</v>
          </cell>
        </row>
        <row r="3934">
          <cell r="E3934" t="str">
            <v>PUR-15-0207-00</v>
          </cell>
          <cell r="F3934">
            <v>426080010411</v>
          </cell>
        </row>
        <row r="3935">
          <cell r="E3935" t="str">
            <v>PUR-15-0231-00</v>
          </cell>
          <cell r="F3935">
            <v>426080010411</v>
          </cell>
        </row>
        <row r="3936">
          <cell r="E3936" t="str">
            <v>EF-45040767.X.X</v>
          </cell>
          <cell r="F3936">
            <v>426080010411</v>
          </cell>
        </row>
        <row r="3937">
          <cell r="E3937">
            <v>45247007</v>
          </cell>
          <cell r="F3937">
            <v>426080010411</v>
          </cell>
        </row>
        <row r="3938">
          <cell r="E3938">
            <v>45194860</v>
          </cell>
          <cell r="F3938">
            <v>426080010411</v>
          </cell>
        </row>
        <row r="3939">
          <cell r="E3939" t="str">
            <v>PUR-03-0038-00</v>
          </cell>
          <cell r="F3939">
            <v>426080010411</v>
          </cell>
        </row>
        <row r="3940">
          <cell r="E3940" t="str">
            <v>PUR-11-0104-06</v>
          </cell>
          <cell r="F3940">
            <v>426080010411</v>
          </cell>
        </row>
        <row r="3941">
          <cell r="E3941" t="str">
            <v>PUR-09-0427-00</v>
          </cell>
          <cell r="F3941">
            <v>426080010411</v>
          </cell>
        </row>
        <row r="3942">
          <cell r="E3942" t="str">
            <v>PUR-11-0104-05</v>
          </cell>
          <cell r="F3942">
            <v>426080010411</v>
          </cell>
        </row>
        <row r="3943">
          <cell r="E3943" t="str">
            <v>PUR-14-0076-00</v>
          </cell>
          <cell r="F3943">
            <v>426080010411</v>
          </cell>
        </row>
        <row r="3944">
          <cell r="E3944" t="str">
            <v>PUR-14-0077-00</v>
          </cell>
          <cell r="F3944">
            <v>426080010411</v>
          </cell>
        </row>
        <row r="3945">
          <cell r="E3945" t="str">
            <v>PUR-14-0083-00</v>
          </cell>
          <cell r="F3945">
            <v>426080010411</v>
          </cell>
        </row>
        <row r="3946">
          <cell r="E3946" t="str">
            <v>PUR-31-0103-00</v>
          </cell>
          <cell r="F3946">
            <v>426080010411</v>
          </cell>
        </row>
        <row r="3947">
          <cell r="E3947" t="str">
            <v>PURET-12-0111-00</v>
          </cell>
          <cell r="F3947">
            <v>426080010411</v>
          </cell>
        </row>
        <row r="3948">
          <cell r="E3948" t="str">
            <v>EF-45120026</v>
          </cell>
          <cell r="F3948">
            <v>426080010411</v>
          </cell>
        </row>
        <row r="3949">
          <cell r="E3949" t="str">
            <v>EF-45042138</v>
          </cell>
          <cell r="F3949">
            <v>426080010411</v>
          </cell>
        </row>
        <row r="3950">
          <cell r="E3950" t="str">
            <v>LUC-E00-400028-004</v>
          </cell>
          <cell r="F3950">
            <v>426080010411</v>
          </cell>
        </row>
        <row r="3951">
          <cell r="E3951" t="str">
            <v>LUC-EZZ-440099-00</v>
          </cell>
          <cell r="F3951">
            <v>426080010411</v>
          </cell>
        </row>
        <row r="3952">
          <cell r="E3952" t="str">
            <v>LUC-E00-690029-00</v>
          </cell>
          <cell r="F3952">
            <v>880175409362</v>
          </cell>
        </row>
        <row r="3953">
          <cell r="E3953" t="str">
            <v>LUC-E00-690029-00</v>
          </cell>
          <cell r="F3953">
            <v>880175409362</v>
          </cell>
        </row>
        <row r="3954">
          <cell r="E3954" t="str">
            <v>LUC-P21-K81001-01</v>
          </cell>
          <cell r="F3954" t="str">
            <v>ST25040050</v>
          </cell>
        </row>
        <row r="3955">
          <cell r="E3955" t="str">
            <v>LUC-P21-K81202-00</v>
          </cell>
          <cell r="F3955" t="str">
            <v>ST25040050</v>
          </cell>
        </row>
        <row r="3956">
          <cell r="E3956" t="str">
            <v>LUC-E00-420045-01</v>
          </cell>
          <cell r="F3956" t="str">
            <v>1Z75A9570473009826</v>
          </cell>
        </row>
        <row r="3957">
          <cell r="E3957" t="str">
            <v>LUC-E00-460007-00</v>
          </cell>
          <cell r="F3957">
            <v>452056141379</v>
          </cell>
        </row>
        <row r="3958">
          <cell r="E3958" t="str">
            <v>PUR-09-0424-00</v>
          </cell>
          <cell r="F3958">
            <v>452056141379</v>
          </cell>
        </row>
        <row r="3959">
          <cell r="E3959" t="str">
            <v>PUR-09-0434-00</v>
          </cell>
          <cell r="F3959">
            <v>452056141379</v>
          </cell>
        </row>
        <row r="3960">
          <cell r="E3960" t="str">
            <v>PUR-09-0279-00</v>
          </cell>
          <cell r="F3960">
            <v>452056141379</v>
          </cell>
        </row>
        <row r="3961">
          <cell r="E3961" t="str">
            <v>PUR-09-0279-00</v>
          </cell>
          <cell r="F3961">
            <v>452056141379</v>
          </cell>
        </row>
        <row r="3962">
          <cell r="E3962" t="str">
            <v>PUR-09-0261-00</v>
          </cell>
          <cell r="F3962">
            <v>452056141379</v>
          </cell>
        </row>
        <row r="3963">
          <cell r="E3963" t="str">
            <v>EF-45135145</v>
          </cell>
          <cell r="F3963">
            <v>452056141379</v>
          </cell>
        </row>
        <row r="3964">
          <cell r="E3964" t="str">
            <v>LUC-E00-400011-004</v>
          </cell>
          <cell r="F3964">
            <v>452056141379</v>
          </cell>
        </row>
        <row r="3965">
          <cell r="E3965" t="str">
            <v>PUR-09-0434-00</v>
          </cell>
          <cell r="F3965">
            <v>452056141379</v>
          </cell>
        </row>
        <row r="3966">
          <cell r="E3966" t="str">
            <v>PUR-09-0422-00</v>
          </cell>
          <cell r="F3966">
            <v>452056141379</v>
          </cell>
        </row>
        <row r="3967">
          <cell r="E3967" t="str">
            <v>PUR-09-0422-00</v>
          </cell>
          <cell r="F3967">
            <v>452056141379</v>
          </cell>
        </row>
        <row r="3968">
          <cell r="E3968" t="str">
            <v>LUC-EZZ-400766-00</v>
          </cell>
          <cell r="F3968">
            <v>452056141379</v>
          </cell>
        </row>
        <row r="3969">
          <cell r="E3969" t="str">
            <v>PUR-09-0424-00</v>
          </cell>
          <cell r="F3969">
            <v>452056141379</v>
          </cell>
        </row>
        <row r="3970">
          <cell r="E3970" t="str">
            <v>LUC-E00-400010-026</v>
          </cell>
          <cell r="F3970">
            <v>452056141379</v>
          </cell>
        </row>
        <row r="3971">
          <cell r="E3971" t="str">
            <v>LUC-E00-470083-00</v>
          </cell>
          <cell r="F3971">
            <v>452056141379</v>
          </cell>
        </row>
        <row r="3972">
          <cell r="E3972" t="str">
            <v>PUR-09-0434-00</v>
          </cell>
          <cell r="F3972">
            <v>452056141379</v>
          </cell>
        </row>
        <row r="3973">
          <cell r="E3973" t="str">
            <v>PUR-09-0422-00</v>
          </cell>
          <cell r="F3973">
            <v>452056141379</v>
          </cell>
        </row>
        <row r="3974">
          <cell r="E3974" t="str">
            <v>LUC-E00-450176-00</v>
          </cell>
          <cell r="F3974">
            <v>452056141379</v>
          </cell>
        </row>
        <row r="3975">
          <cell r="E3975" t="str">
            <v>LUC-EZZ-400264-00</v>
          </cell>
          <cell r="F3975">
            <v>452056141379</v>
          </cell>
        </row>
        <row r="3976">
          <cell r="E3976" t="str">
            <v>LUC-E00-470081-00</v>
          </cell>
          <cell r="F3976">
            <v>452056141379</v>
          </cell>
        </row>
        <row r="3977">
          <cell r="E3977" t="str">
            <v>LUC-EZZ-470181-00</v>
          </cell>
          <cell r="F3977">
            <v>452056141379</v>
          </cell>
        </row>
        <row r="3978">
          <cell r="E3978" t="str">
            <v>LUC-E00-460007-00</v>
          </cell>
          <cell r="F3978">
            <v>452056141379</v>
          </cell>
        </row>
        <row r="3979">
          <cell r="E3979" t="str">
            <v>PUR-27-0017-00</v>
          </cell>
          <cell r="F3979">
            <v>452056141379</v>
          </cell>
        </row>
        <row r="3980">
          <cell r="E3980" t="str">
            <v>PUR-09-0434-00</v>
          </cell>
          <cell r="F3980">
            <v>452056141379</v>
          </cell>
        </row>
        <row r="3981">
          <cell r="E3981" t="str">
            <v>LUC-E00-400010-044</v>
          </cell>
          <cell r="F3981">
            <v>452056141379</v>
          </cell>
        </row>
        <row r="3982">
          <cell r="E3982" t="str">
            <v>LUC-EZZ-400248-00</v>
          </cell>
          <cell r="F3982">
            <v>452056141379</v>
          </cell>
        </row>
        <row r="3983">
          <cell r="E3983" t="str">
            <v>LUC-E00-400001-005</v>
          </cell>
          <cell r="F3983">
            <v>452056141379</v>
          </cell>
        </row>
        <row r="3984">
          <cell r="E3984" t="str">
            <v>LUC-E00-460007-01</v>
          </cell>
          <cell r="F3984">
            <v>452056141379</v>
          </cell>
        </row>
        <row r="3985">
          <cell r="E3985" t="str">
            <v>LUC-E00-400028-002</v>
          </cell>
          <cell r="F3985">
            <v>452056141379</v>
          </cell>
        </row>
        <row r="3986">
          <cell r="E3986" t="str">
            <v>LUC-E00-470028-00</v>
          </cell>
          <cell r="F3986">
            <v>452056141379</v>
          </cell>
        </row>
        <row r="3987">
          <cell r="E3987" t="str">
            <v>LUC-EZZ-400231-00</v>
          </cell>
          <cell r="F3987">
            <v>452056141379</v>
          </cell>
        </row>
        <row r="3988">
          <cell r="E3988" t="str">
            <v>LUC-E00-470086-00</v>
          </cell>
          <cell r="F3988">
            <v>452056141379</v>
          </cell>
        </row>
        <row r="3989">
          <cell r="E3989" t="str">
            <v>LUC-E00-460007-01</v>
          </cell>
          <cell r="F3989">
            <v>452056141379</v>
          </cell>
        </row>
        <row r="3990">
          <cell r="E3990" t="str">
            <v>LUC-E00-460007-01</v>
          </cell>
          <cell r="F3990">
            <v>452056141379</v>
          </cell>
        </row>
        <row r="3991">
          <cell r="E3991" t="str">
            <v>PUR-09-0422-00</v>
          </cell>
          <cell r="F3991">
            <v>452056141379</v>
          </cell>
        </row>
        <row r="3992">
          <cell r="E3992" t="str">
            <v>PUR-09-0434-00</v>
          </cell>
          <cell r="F3992">
            <v>452056141379</v>
          </cell>
        </row>
        <row r="3993">
          <cell r="E3993" t="str">
            <v>LUC-EZZ-400201-00</v>
          </cell>
          <cell r="F3993">
            <v>452056141379</v>
          </cell>
        </row>
        <row r="3994">
          <cell r="E3994" t="str">
            <v>LUC-E00-400010-026</v>
          </cell>
          <cell r="F3994">
            <v>452056141379</v>
          </cell>
        </row>
        <row r="3995">
          <cell r="E3995" t="str">
            <v>PUR-09-0279-00</v>
          </cell>
          <cell r="F3995">
            <v>452056141379</v>
          </cell>
        </row>
        <row r="3996">
          <cell r="E3996" t="str">
            <v>LUC-E00-470031-00</v>
          </cell>
          <cell r="F3996">
            <v>452056141379</v>
          </cell>
        </row>
        <row r="3997">
          <cell r="E3997" t="str">
            <v>PUR-09-0434-00</v>
          </cell>
          <cell r="F3997">
            <v>452056141379</v>
          </cell>
        </row>
        <row r="3998">
          <cell r="E3998" t="str">
            <v>PURET-09-0050-00</v>
          </cell>
          <cell r="F3998">
            <v>452056141379</v>
          </cell>
        </row>
        <row r="3999">
          <cell r="E3999" t="str">
            <v>PURET-21-0009-00</v>
          </cell>
          <cell r="F3999">
            <v>452056141379</v>
          </cell>
        </row>
        <row r="4000">
          <cell r="E4000" t="str">
            <v>PUR-09-0434-00</v>
          </cell>
          <cell r="F4000">
            <v>452056141379</v>
          </cell>
        </row>
        <row r="4001">
          <cell r="E4001" t="str">
            <v>PUR-09-0260-00</v>
          </cell>
          <cell r="F4001">
            <v>452056141379</v>
          </cell>
        </row>
        <row r="4002">
          <cell r="E4002" t="str">
            <v>AGI-530-40013-01</v>
          </cell>
          <cell r="F4002">
            <v>452056141379</v>
          </cell>
        </row>
        <row r="4003">
          <cell r="E4003" t="str">
            <v>AGI-530-40013-01</v>
          </cell>
          <cell r="F4003">
            <v>452056141379</v>
          </cell>
        </row>
        <row r="4004">
          <cell r="E4004" t="str">
            <v>EF-45091073.X.X</v>
          </cell>
          <cell r="F4004">
            <v>452056141379</v>
          </cell>
        </row>
        <row r="4005">
          <cell r="E4005" t="str">
            <v>PUR-09-0279-00</v>
          </cell>
          <cell r="F4005">
            <v>452056141379</v>
          </cell>
        </row>
        <row r="4006">
          <cell r="E4006" t="str">
            <v>LUC-E00-400010-001</v>
          </cell>
          <cell r="F4006">
            <v>452056141379</v>
          </cell>
        </row>
        <row r="4007">
          <cell r="E4007" t="str">
            <v>PUR-09-0233-00</v>
          </cell>
          <cell r="F4007">
            <v>452730382042</v>
          </cell>
        </row>
        <row r="4008">
          <cell r="E4008" t="str">
            <v>LUC-E00-440029-00</v>
          </cell>
          <cell r="F4008">
            <v>880247430810</v>
          </cell>
        </row>
        <row r="4009">
          <cell r="E4009" t="str">
            <v>LUC-E00-400059-098</v>
          </cell>
          <cell r="F4009">
            <v>880247430810</v>
          </cell>
        </row>
        <row r="4010">
          <cell r="E4010" t="str">
            <v>LUC-E00-440172-00</v>
          </cell>
          <cell r="F4010">
            <v>880247430810</v>
          </cell>
        </row>
        <row r="4011">
          <cell r="E4011" t="str">
            <v>EF-45188480</v>
          </cell>
          <cell r="F4011">
            <v>452056133587</v>
          </cell>
        </row>
        <row r="4012">
          <cell r="E4012" t="str">
            <v>PUR-09-0324-00</v>
          </cell>
          <cell r="F4012">
            <v>452056136884</v>
          </cell>
        </row>
        <row r="4013">
          <cell r="E4013" t="str">
            <v>LUC-E00-400035-03</v>
          </cell>
          <cell r="F4013">
            <v>452445519599</v>
          </cell>
        </row>
        <row r="4014">
          <cell r="E4014" t="str">
            <v>LUC-E00-420275-00</v>
          </cell>
          <cell r="F4014">
            <v>452445519599</v>
          </cell>
        </row>
        <row r="4015">
          <cell r="E4015" t="str">
            <v>LUC-EZZ-400609-00</v>
          </cell>
          <cell r="F4015">
            <v>452445519599</v>
          </cell>
        </row>
        <row r="4016">
          <cell r="E4016" t="str">
            <v>LUC-EZZ-400609-00</v>
          </cell>
          <cell r="F4016">
            <v>452445519599</v>
          </cell>
        </row>
        <row r="4017">
          <cell r="E4017" t="str">
            <v>LUC-EZZ-690942-00</v>
          </cell>
          <cell r="F4017">
            <v>452445519599</v>
          </cell>
        </row>
        <row r="4018">
          <cell r="E4018" t="str">
            <v>LUC-E00-400018-01</v>
          </cell>
          <cell r="F4018">
            <v>452445519599</v>
          </cell>
        </row>
        <row r="4019">
          <cell r="E4019" t="str">
            <v>LUC-E00-400018-01</v>
          </cell>
          <cell r="F4019">
            <v>452445519599</v>
          </cell>
        </row>
        <row r="4020">
          <cell r="E4020" t="str">
            <v>LUC-GF1500-00-60-50CC</v>
          </cell>
          <cell r="F4020">
            <v>452445519599</v>
          </cell>
        </row>
        <row r="4021">
          <cell r="E4021" t="str">
            <v>AIC-MP-00006013-000</v>
          </cell>
          <cell r="F4021">
            <v>880214453955</v>
          </cell>
        </row>
        <row r="4022">
          <cell r="E4022" t="str">
            <v>EF-45079903.X.X</v>
          </cell>
          <cell r="F4022">
            <v>420225797699</v>
          </cell>
        </row>
        <row r="4023">
          <cell r="E4023" t="str">
            <v>EF-45129873</v>
          </cell>
          <cell r="F4023">
            <v>420225797699</v>
          </cell>
        </row>
        <row r="4024">
          <cell r="E4024" t="str">
            <v>EF-45224843</v>
          </cell>
          <cell r="F4024">
            <v>420225797699</v>
          </cell>
        </row>
        <row r="4025">
          <cell r="E4025" t="str">
            <v>EF-45224843</v>
          </cell>
          <cell r="F4025">
            <v>420225797699</v>
          </cell>
        </row>
        <row r="4026">
          <cell r="E4026" t="str">
            <v>EF-45205757</v>
          </cell>
          <cell r="F4026">
            <v>287110806424</v>
          </cell>
        </row>
        <row r="4027">
          <cell r="E4027" t="str">
            <v>LUC-EZZ-470242-00</v>
          </cell>
          <cell r="F4027">
            <v>449847398801</v>
          </cell>
        </row>
        <row r="4028">
          <cell r="E4028" t="str">
            <v>120-010212.X.X</v>
          </cell>
          <cell r="F4028">
            <v>741988698214</v>
          </cell>
        </row>
        <row r="4029">
          <cell r="E4029" t="str">
            <v>PUR-07-0315-00</v>
          </cell>
          <cell r="F4029">
            <v>880215341738</v>
          </cell>
        </row>
        <row r="4030">
          <cell r="E4030" t="str">
            <v>PUR-07-0295-00</v>
          </cell>
          <cell r="F4030">
            <v>880215341738</v>
          </cell>
        </row>
        <row r="4031">
          <cell r="E4031" t="str">
            <v>LUC-E00-420054-03</v>
          </cell>
          <cell r="F4031">
            <v>972682012107</v>
          </cell>
        </row>
        <row r="4032">
          <cell r="E4032" t="str">
            <v>PURET-12-0084-00</v>
          </cell>
          <cell r="F4032">
            <v>5376379691</v>
          </cell>
        </row>
        <row r="4033">
          <cell r="E4033" t="str">
            <v>LUC-EZZ-510023-00</v>
          </cell>
          <cell r="F4033">
            <v>5376379691</v>
          </cell>
        </row>
        <row r="4034">
          <cell r="E4034" t="str">
            <v>PUR-14-0076-00</v>
          </cell>
          <cell r="F4034">
            <v>5376379691</v>
          </cell>
        </row>
        <row r="4035">
          <cell r="E4035" t="str">
            <v>PUR-14-0077-00</v>
          </cell>
          <cell r="F4035">
            <v>5376379691</v>
          </cell>
        </row>
        <row r="4036">
          <cell r="E4036" t="str">
            <v>PUR-14-0077-00</v>
          </cell>
          <cell r="F4036">
            <v>5376379691</v>
          </cell>
        </row>
        <row r="4037">
          <cell r="E4037" t="str">
            <v>PUR-12-0288-00</v>
          </cell>
          <cell r="F4037">
            <v>5376379691</v>
          </cell>
        </row>
        <row r="4038">
          <cell r="E4038" t="str">
            <v>PUR-14-0077-00</v>
          </cell>
          <cell r="F4038">
            <v>5376379691</v>
          </cell>
        </row>
        <row r="4039">
          <cell r="E4039" t="str">
            <v>LUC-E00-470074-01</v>
          </cell>
          <cell r="F4039">
            <v>5376379691</v>
          </cell>
        </row>
        <row r="4040">
          <cell r="E4040" t="str">
            <v>LUC-E00-400024-04</v>
          </cell>
          <cell r="F4040">
            <v>5376379691</v>
          </cell>
        </row>
        <row r="4041">
          <cell r="E4041" t="str">
            <v>LUC-EZZ-690758-00</v>
          </cell>
          <cell r="F4041">
            <v>5376379691</v>
          </cell>
        </row>
        <row r="4042">
          <cell r="E4042" t="str">
            <v>LUC-E00-450039-01</v>
          </cell>
          <cell r="F4042">
            <v>5376379691</v>
          </cell>
        </row>
        <row r="4043">
          <cell r="E4043" t="str">
            <v>LUC-EZZ-420151-00</v>
          </cell>
          <cell r="F4043">
            <v>5376379691</v>
          </cell>
        </row>
        <row r="4044">
          <cell r="E4044" t="str">
            <v>LUC-EZZ-420151-00</v>
          </cell>
          <cell r="F4044">
            <v>5376379691</v>
          </cell>
        </row>
        <row r="4045">
          <cell r="E4045" t="str">
            <v>PUR-09-0444-00</v>
          </cell>
          <cell r="F4045">
            <v>5376379691</v>
          </cell>
        </row>
        <row r="4046">
          <cell r="E4046" t="str">
            <v>122-000362.X.X</v>
          </cell>
          <cell r="F4046">
            <v>5376379691</v>
          </cell>
        </row>
        <row r="4047">
          <cell r="E4047" t="str">
            <v>PUR-27-0028-00</v>
          </cell>
          <cell r="F4047">
            <v>2674741075</v>
          </cell>
        </row>
        <row r="4048">
          <cell r="E4048" t="str">
            <v>LUC-E00-400047-00</v>
          </cell>
          <cell r="F4048">
            <v>2674741075</v>
          </cell>
        </row>
        <row r="4049">
          <cell r="E4049" t="str">
            <v>LUC-E00-400004-01</v>
          </cell>
          <cell r="F4049">
            <v>2674741075</v>
          </cell>
        </row>
        <row r="4050">
          <cell r="E4050" t="str">
            <v>LUC-E00-400010-003</v>
          </cell>
          <cell r="F4050">
            <v>2674741075</v>
          </cell>
        </row>
        <row r="4051">
          <cell r="E4051" t="str">
            <v>EF-45051535</v>
          </cell>
          <cell r="F4051">
            <v>2674741075</v>
          </cell>
        </row>
        <row r="4052">
          <cell r="E4052" t="str">
            <v>LUC-EZZ-490305-05</v>
          </cell>
          <cell r="F4052" t="str">
            <v>ST25040444</v>
          </cell>
        </row>
        <row r="4053">
          <cell r="E4053" t="str">
            <v>LUC-P21-K34500-02</v>
          </cell>
          <cell r="F4053" t="str">
            <v>SHHPH25005390</v>
          </cell>
        </row>
        <row r="4054">
          <cell r="E4054" t="str">
            <v>LUC-P21-K34200-00</v>
          </cell>
          <cell r="F4054" t="str">
            <v>SHHPH25005390</v>
          </cell>
        </row>
        <row r="4055">
          <cell r="E4055" t="str">
            <v>LUC-P21-K34600-02</v>
          </cell>
          <cell r="F4055" t="str">
            <v>SHHPH25005390</v>
          </cell>
        </row>
        <row r="4056">
          <cell r="E4056" t="str">
            <v>LUC-EZZ-490310-04</v>
          </cell>
          <cell r="F4056">
            <v>1515267</v>
          </cell>
        </row>
        <row r="4057">
          <cell r="E4057" t="str">
            <v>LUC-EZZ-490304-04</v>
          </cell>
          <cell r="F4057">
            <v>1515267</v>
          </cell>
        </row>
        <row r="4058">
          <cell r="E4058" t="str">
            <v>LUC-EZZ-490315-01</v>
          </cell>
          <cell r="F4058">
            <v>1515267</v>
          </cell>
        </row>
        <row r="4059">
          <cell r="E4059" t="str">
            <v>LUC-EZZ-490315-01</v>
          </cell>
          <cell r="F4059">
            <v>1515267</v>
          </cell>
        </row>
        <row r="4060">
          <cell r="E4060" t="str">
            <v>LUC-EZZ-490230-04</v>
          </cell>
          <cell r="F4060">
            <v>1515267</v>
          </cell>
        </row>
        <row r="4061">
          <cell r="E4061" t="str">
            <v>LUC-E00-690010-00</v>
          </cell>
          <cell r="F4061">
            <v>287060647681</v>
          </cell>
        </row>
        <row r="4062">
          <cell r="E4062" t="str">
            <v>EF-45047062</v>
          </cell>
          <cell r="F4062">
            <v>446185032890</v>
          </cell>
        </row>
        <row r="4063">
          <cell r="E4063" t="str">
            <v>PUR-09-0343-00</v>
          </cell>
          <cell r="F4063">
            <v>441408019593</v>
          </cell>
        </row>
        <row r="4064">
          <cell r="E4064" t="str">
            <v>PUR-09-0343-00</v>
          </cell>
          <cell r="F4064">
            <v>441408019593</v>
          </cell>
        </row>
        <row r="4065">
          <cell r="E4065" t="str">
            <v>PUR-09-0343-00</v>
          </cell>
          <cell r="F4065">
            <v>441408019593</v>
          </cell>
        </row>
        <row r="4066">
          <cell r="E4066" t="str">
            <v>PUR-09-0343-00</v>
          </cell>
          <cell r="F4066">
            <v>441408019593</v>
          </cell>
        </row>
        <row r="4067">
          <cell r="E4067" t="str">
            <v>PUR-09-0343-00</v>
          </cell>
          <cell r="F4067">
            <v>441408019593</v>
          </cell>
        </row>
        <row r="4068">
          <cell r="E4068" t="str">
            <v>PUR-09-0343-00</v>
          </cell>
          <cell r="F4068">
            <v>441408011916</v>
          </cell>
        </row>
        <row r="4069">
          <cell r="E4069" t="str">
            <v>PUR-09-0343-00</v>
          </cell>
          <cell r="F4069">
            <v>441408011916</v>
          </cell>
        </row>
        <row r="4070">
          <cell r="E4070" t="str">
            <v>PUR-09-0343-00</v>
          </cell>
          <cell r="F4070">
            <v>441408011916</v>
          </cell>
        </row>
        <row r="4071">
          <cell r="E4071" t="str">
            <v>PUR-09-0343-00</v>
          </cell>
          <cell r="F4071">
            <v>441408011916</v>
          </cell>
        </row>
        <row r="4072">
          <cell r="E4072" t="str">
            <v>PUR-09-0343-00</v>
          </cell>
          <cell r="F4072">
            <v>441408011916</v>
          </cell>
        </row>
        <row r="4073">
          <cell r="E4073" t="str">
            <v>PUR-09-0343-00</v>
          </cell>
          <cell r="F4073">
            <v>441408011916</v>
          </cell>
        </row>
        <row r="4074">
          <cell r="E4074" t="str">
            <v>PUR-09-0343-00</v>
          </cell>
          <cell r="F4074">
            <v>441408011916</v>
          </cell>
        </row>
        <row r="4075">
          <cell r="E4075" t="str">
            <v>PUR-09-0343-00</v>
          </cell>
          <cell r="F4075">
            <v>441408011916</v>
          </cell>
        </row>
        <row r="4076">
          <cell r="E4076" t="str">
            <v>PUR-09-0343-00</v>
          </cell>
          <cell r="F4076">
            <v>441408011916</v>
          </cell>
        </row>
        <row r="4077">
          <cell r="E4077" t="str">
            <v>PUR-09-0343-00</v>
          </cell>
          <cell r="F4077">
            <v>441408011916</v>
          </cell>
        </row>
        <row r="4078">
          <cell r="E4078" t="str">
            <v>PUR-09-0343-00</v>
          </cell>
          <cell r="F4078">
            <v>441408011916</v>
          </cell>
        </row>
        <row r="4079">
          <cell r="E4079" t="str">
            <v>PUR-09-0343-00</v>
          </cell>
          <cell r="F4079">
            <v>441408011916</v>
          </cell>
        </row>
        <row r="4080">
          <cell r="E4080" t="str">
            <v>LUC-E00-420238-00</v>
          </cell>
          <cell r="F4080">
            <v>880325008767</v>
          </cell>
        </row>
        <row r="4081">
          <cell r="E4081" t="str">
            <v>LUC-E00-420238-00</v>
          </cell>
          <cell r="F4081">
            <v>880325008767</v>
          </cell>
        </row>
        <row r="4082">
          <cell r="E4082" t="str">
            <v>LUC-E00-420028-00</v>
          </cell>
          <cell r="F4082">
            <v>880325008767</v>
          </cell>
        </row>
        <row r="4083">
          <cell r="E4083" t="str">
            <v>LUC-E00-690001-00</v>
          </cell>
          <cell r="F4083">
            <v>880325008767</v>
          </cell>
        </row>
        <row r="4084">
          <cell r="E4084" t="str">
            <v>EF-45051534</v>
          </cell>
          <cell r="F4084">
            <v>880325008767</v>
          </cell>
        </row>
        <row r="4085">
          <cell r="E4085" t="str">
            <v>LUC-E00-470473-00</v>
          </cell>
          <cell r="F4085">
            <v>880325008767</v>
          </cell>
        </row>
        <row r="4086">
          <cell r="E4086" t="str">
            <v>EF-45168874</v>
          </cell>
          <cell r="F4086">
            <v>452056194730</v>
          </cell>
        </row>
        <row r="4087">
          <cell r="E4087" t="str">
            <v>EF-45171838</v>
          </cell>
          <cell r="F4087">
            <v>437723106797</v>
          </cell>
        </row>
        <row r="4088">
          <cell r="E4088" t="str">
            <v>EF-45205706</v>
          </cell>
          <cell r="F4088">
            <v>287158498955</v>
          </cell>
        </row>
        <row r="4089">
          <cell r="E4089" t="str">
            <v>PUR-07-0167-00</v>
          </cell>
          <cell r="F4089">
            <v>422229082721</v>
          </cell>
        </row>
        <row r="4090">
          <cell r="E4090" t="str">
            <v>PUR-07-0292-00</v>
          </cell>
          <cell r="F4090">
            <v>422229082721</v>
          </cell>
        </row>
        <row r="4091">
          <cell r="E4091" t="str">
            <v>LUC-E00-440003-02</v>
          </cell>
          <cell r="F4091">
            <v>722661012705</v>
          </cell>
        </row>
        <row r="4092">
          <cell r="E4092" t="str">
            <v>LUC-E00-440046-00</v>
          </cell>
          <cell r="F4092">
            <v>722661012705</v>
          </cell>
        </row>
        <row r="4093">
          <cell r="E4093" t="str">
            <v>LUC-E00-440072-01</v>
          </cell>
          <cell r="F4093">
            <v>722661012705</v>
          </cell>
        </row>
        <row r="4094">
          <cell r="E4094" t="str">
            <v>EF-45205870</v>
          </cell>
          <cell r="F4094">
            <v>880272118190</v>
          </cell>
        </row>
        <row r="4095">
          <cell r="E4095" t="str">
            <v>LUC-E00-470137-00</v>
          </cell>
          <cell r="F4095">
            <v>880244309709</v>
          </cell>
        </row>
        <row r="4096">
          <cell r="E4096" t="str">
            <v>EF-45141378</v>
          </cell>
          <cell r="F4096">
            <v>880264578956</v>
          </cell>
        </row>
        <row r="4097">
          <cell r="E4097" t="str">
            <v>PURET-13-0068-00</v>
          </cell>
          <cell r="F4097">
            <v>880301663185</v>
          </cell>
        </row>
        <row r="4098">
          <cell r="E4098" t="str">
            <v>121-000022.X.X</v>
          </cell>
          <cell r="F4098">
            <v>880301663185</v>
          </cell>
        </row>
        <row r="4099">
          <cell r="E4099" t="str">
            <v>PUR-12-0483-00</v>
          </cell>
          <cell r="F4099">
            <v>880301663185</v>
          </cell>
        </row>
        <row r="4100">
          <cell r="E4100" t="str">
            <v>PUR-12-0322-00</v>
          </cell>
          <cell r="F4100">
            <v>880301663185</v>
          </cell>
        </row>
        <row r="4101">
          <cell r="E4101" t="str">
            <v>122-000453.X.X</v>
          </cell>
          <cell r="F4101">
            <v>880301663185</v>
          </cell>
        </row>
        <row r="4102">
          <cell r="E4102" t="str">
            <v>122-000453.X.X</v>
          </cell>
          <cell r="F4102">
            <v>880301663185</v>
          </cell>
        </row>
        <row r="4103">
          <cell r="E4103" t="str">
            <v>122-000453.X.X</v>
          </cell>
          <cell r="F4103">
            <v>880301663185</v>
          </cell>
        </row>
        <row r="4104">
          <cell r="E4104" t="str">
            <v>122-000453.X.X</v>
          </cell>
          <cell r="F4104">
            <v>880301663185</v>
          </cell>
        </row>
        <row r="4105">
          <cell r="E4105" t="str">
            <v>EF-45044048.X.X</v>
          </cell>
          <cell r="F4105">
            <v>880301663185</v>
          </cell>
        </row>
        <row r="4106">
          <cell r="E4106" t="str">
            <v>EF-45129267</v>
          </cell>
          <cell r="F4106">
            <v>880301663185</v>
          </cell>
        </row>
        <row r="4107">
          <cell r="E4107" t="str">
            <v>EF-45129267</v>
          </cell>
          <cell r="F4107">
            <v>880301663185</v>
          </cell>
        </row>
        <row r="4108">
          <cell r="E4108" t="str">
            <v>120-010212.X.X</v>
          </cell>
          <cell r="F4108">
            <v>741988698280</v>
          </cell>
        </row>
        <row r="4109">
          <cell r="E4109" t="str">
            <v>AIC-MP-00004104-000</v>
          </cell>
          <cell r="F4109">
            <v>880217335780</v>
          </cell>
        </row>
        <row r="4110">
          <cell r="E4110" t="str">
            <v>LUC-E00-690217-00</v>
          </cell>
          <cell r="F4110">
            <v>912489516279</v>
          </cell>
        </row>
        <row r="4111">
          <cell r="E4111" t="str">
            <v>LUC-EZZ-421242-00</v>
          </cell>
          <cell r="F4111">
            <v>880303789147</v>
          </cell>
        </row>
        <row r="4112">
          <cell r="E4112" t="str">
            <v>LUC-EZZ-421242-00</v>
          </cell>
          <cell r="F4112">
            <v>880303789147</v>
          </cell>
        </row>
        <row r="4113">
          <cell r="E4113" t="str">
            <v>LUC-E00-420020-08</v>
          </cell>
          <cell r="F4113">
            <v>880303789147</v>
          </cell>
        </row>
        <row r="4114">
          <cell r="E4114" t="str">
            <v>LUC-E00-420038-01</v>
          </cell>
          <cell r="F4114">
            <v>880303789147</v>
          </cell>
        </row>
        <row r="4115">
          <cell r="E4115" t="str">
            <v>LUC-E00-420038-01</v>
          </cell>
          <cell r="F4115">
            <v>880303789147</v>
          </cell>
        </row>
        <row r="4116">
          <cell r="E4116" t="str">
            <v>LUC-E00-420037-14</v>
          </cell>
          <cell r="F4116">
            <v>880303789147</v>
          </cell>
        </row>
        <row r="4117">
          <cell r="E4117" t="str">
            <v>PUR-13-0148-00</v>
          </cell>
          <cell r="F4117">
            <v>880303789147</v>
          </cell>
        </row>
        <row r="4118">
          <cell r="E4118" t="str">
            <v>PUR-13-0152-00</v>
          </cell>
          <cell r="F4118">
            <v>880303789147</v>
          </cell>
        </row>
        <row r="4119">
          <cell r="E4119" t="str">
            <v>PURET-12-0004-00</v>
          </cell>
          <cell r="F4119">
            <v>880303789147</v>
          </cell>
        </row>
        <row r="4120">
          <cell r="E4120" t="str">
            <v>PURET-12-0024-00</v>
          </cell>
          <cell r="F4120">
            <v>880303789147</v>
          </cell>
        </row>
        <row r="4121">
          <cell r="E4121" t="str">
            <v>PUR-13-0165-00</v>
          </cell>
          <cell r="F4121">
            <v>429083214270</v>
          </cell>
        </row>
        <row r="4122">
          <cell r="E4122" t="str">
            <v>EF-45058031</v>
          </cell>
          <cell r="F4122">
            <v>429083214270</v>
          </cell>
        </row>
        <row r="4123">
          <cell r="E4123" t="str">
            <v>LUC-E00-420055-01</v>
          </cell>
          <cell r="F4123">
            <v>429083214270</v>
          </cell>
        </row>
        <row r="4124">
          <cell r="E4124" t="str">
            <v>LUC-E00-420019-01</v>
          </cell>
          <cell r="F4124">
            <v>429083214270</v>
          </cell>
        </row>
        <row r="4125">
          <cell r="E4125" t="str">
            <v>LUC-E00-420043-01</v>
          </cell>
          <cell r="F4125">
            <v>429083214270</v>
          </cell>
        </row>
        <row r="4126">
          <cell r="E4126" t="str">
            <v>LUC-EZZ-420331-00</v>
          </cell>
          <cell r="F4126">
            <v>429083214270</v>
          </cell>
        </row>
        <row r="4127">
          <cell r="E4127" t="str">
            <v>LUC-EZZ-420331-00</v>
          </cell>
          <cell r="F4127">
            <v>429083214270</v>
          </cell>
        </row>
        <row r="4128">
          <cell r="E4128" t="str">
            <v>LUC-E00-480007-00</v>
          </cell>
          <cell r="F4128">
            <v>429083214270</v>
          </cell>
        </row>
        <row r="4129">
          <cell r="E4129" t="str">
            <v>LUC-EZZ-420331-00</v>
          </cell>
          <cell r="F4129">
            <v>429083214270</v>
          </cell>
        </row>
        <row r="4130">
          <cell r="E4130" t="str">
            <v>LUC-E00-480007-00</v>
          </cell>
          <cell r="F4130">
            <v>429083214270</v>
          </cell>
        </row>
        <row r="4131">
          <cell r="E4131" t="str">
            <v>LUC-EZZ-420695-01</v>
          </cell>
          <cell r="F4131">
            <v>429083214270</v>
          </cell>
        </row>
        <row r="4132">
          <cell r="E4132" t="str">
            <v>LUC-E00-420043-01</v>
          </cell>
          <cell r="F4132">
            <v>429083214270</v>
          </cell>
        </row>
        <row r="4133">
          <cell r="E4133" t="str">
            <v>EF-45046354</v>
          </cell>
          <cell r="F4133">
            <v>429083214270</v>
          </cell>
        </row>
        <row r="4134">
          <cell r="E4134" t="str">
            <v>AGI-510-40081-01</v>
          </cell>
          <cell r="F4134">
            <v>429083214270</v>
          </cell>
        </row>
        <row r="4135">
          <cell r="E4135" t="str">
            <v>AGI-450-40128-01</v>
          </cell>
          <cell r="F4135">
            <v>429083214270</v>
          </cell>
        </row>
        <row r="4136">
          <cell r="E4136" t="str">
            <v>AGI-450-40128-01</v>
          </cell>
          <cell r="F4136">
            <v>429083214270</v>
          </cell>
        </row>
        <row r="4137">
          <cell r="E4137" t="str">
            <v>LUC-E00-420172-00</v>
          </cell>
          <cell r="F4137">
            <v>429083214270</v>
          </cell>
        </row>
        <row r="4138">
          <cell r="E4138" t="str">
            <v>LUC-E00-420172-00</v>
          </cell>
          <cell r="F4138">
            <v>429083214270</v>
          </cell>
        </row>
        <row r="4139">
          <cell r="E4139" t="str">
            <v>LUC-E00-420172-00</v>
          </cell>
          <cell r="F4139">
            <v>429083214270</v>
          </cell>
        </row>
        <row r="4140">
          <cell r="E4140" t="str">
            <v>LUC-E00-470109-00</v>
          </cell>
          <cell r="F4140">
            <v>416338357639</v>
          </cell>
        </row>
        <row r="4141">
          <cell r="E4141" t="str">
            <v>LUC-EZZ-690244-00</v>
          </cell>
          <cell r="F4141">
            <v>287109198775</v>
          </cell>
        </row>
        <row r="4142">
          <cell r="E4142" t="str">
            <v>LUC-E00-690010-03</v>
          </cell>
          <cell r="F4142">
            <v>287109198775</v>
          </cell>
        </row>
        <row r="4143">
          <cell r="E4143" t="str">
            <v>LUC-E00-690055-00</v>
          </cell>
          <cell r="F4143">
            <v>287109198775</v>
          </cell>
        </row>
        <row r="4144">
          <cell r="E4144" t="str">
            <v>PUR-13-0236-00</v>
          </cell>
          <cell r="F4144">
            <v>4914848672</v>
          </cell>
        </row>
        <row r="4145">
          <cell r="E4145" t="str">
            <v>PUR-13-0236-00</v>
          </cell>
          <cell r="F4145">
            <v>4914848672</v>
          </cell>
        </row>
        <row r="4146">
          <cell r="E4146" t="str">
            <v>PUR-13-0236-00</v>
          </cell>
          <cell r="F4146">
            <v>4914848672</v>
          </cell>
        </row>
        <row r="4147">
          <cell r="E4147" t="str">
            <v>PUR-16-0035-00</v>
          </cell>
          <cell r="F4147" t="str">
            <v>LSZHPH2503117</v>
          </cell>
        </row>
        <row r="4148">
          <cell r="E4148" t="str">
            <v>PUR-16-0046-01</v>
          </cell>
          <cell r="F4148" t="str">
            <v>LSZHPH2503117</v>
          </cell>
        </row>
        <row r="4149">
          <cell r="E4149" t="str">
            <v>PUR-16-0049-01</v>
          </cell>
          <cell r="F4149" t="str">
            <v>LSZHPH2503117</v>
          </cell>
        </row>
        <row r="4150">
          <cell r="E4150" t="str">
            <v>LUC-E00-510046-00</v>
          </cell>
          <cell r="F4150">
            <v>4711845125</v>
          </cell>
        </row>
        <row r="4151">
          <cell r="E4151" t="str">
            <v>LUC-EZZ-450006-00</v>
          </cell>
          <cell r="F4151">
            <v>4711845125</v>
          </cell>
        </row>
        <row r="4152">
          <cell r="E4152" t="str">
            <v>LUC-EZZ-420211-00</v>
          </cell>
          <cell r="F4152">
            <v>4711845125</v>
          </cell>
        </row>
        <row r="4153">
          <cell r="E4153" t="str">
            <v>LUC-EZZ-511370-00</v>
          </cell>
          <cell r="F4153">
            <v>4711845125</v>
          </cell>
        </row>
        <row r="4154">
          <cell r="E4154" t="str">
            <v>LUC-E00-400011-005</v>
          </cell>
          <cell r="F4154">
            <v>4711845125</v>
          </cell>
        </row>
        <row r="4155">
          <cell r="E4155" t="str">
            <v>LUC-E00-690001-00</v>
          </cell>
          <cell r="F4155">
            <v>4711845125</v>
          </cell>
        </row>
        <row r="4156">
          <cell r="E4156" t="str">
            <v>LUC-E00-690001-00</v>
          </cell>
          <cell r="F4156">
            <v>4711845125</v>
          </cell>
        </row>
        <row r="4157">
          <cell r="E4157" t="str">
            <v>LUC-E00-420028-00</v>
          </cell>
          <cell r="F4157">
            <v>4711845125</v>
          </cell>
        </row>
        <row r="4158">
          <cell r="E4158" t="str">
            <v>LUC-E00-420028-00</v>
          </cell>
          <cell r="F4158">
            <v>4711845125</v>
          </cell>
        </row>
        <row r="4159">
          <cell r="E4159" t="str">
            <v>LUC-E00-420011-04</v>
          </cell>
          <cell r="F4159">
            <v>4711845125</v>
          </cell>
        </row>
        <row r="4160">
          <cell r="E4160" t="str">
            <v>LUC-EZZ-440200-00</v>
          </cell>
          <cell r="F4160">
            <v>4711845125</v>
          </cell>
        </row>
        <row r="4161">
          <cell r="E4161" t="str">
            <v>AGI-532-40016-01</v>
          </cell>
          <cell r="F4161">
            <v>4711845125</v>
          </cell>
        </row>
        <row r="4162">
          <cell r="E4162" t="str">
            <v>LUC-E00-420011-04</v>
          </cell>
          <cell r="F4162">
            <v>4711845125</v>
          </cell>
        </row>
        <row r="4163">
          <cell r="E4163" t="str">
            <v>LUC-E00-400059-140</v>
          </cell>
          <cell r="F4163">
            <v>4711845125</v>
          </cell>
        </row>
        <row r="4164">
          <cell r="E4164" t="str">
            <v>LUC-E00-400059-004</v>
          </cell>
          <cell r="F4164">
            <v>4711845125</v>
          </cell>
        </row>
        <row r="4165">
          <cell r="E4165" t="str">
            <v>LUC-EZZ-470093-00</v>
          </cell>
          <cell r="F4165">
            <v>4711845125</v>
          </cell>
        </row>
        <row r="4166">
          <cell r="E4166" t="str">
            <v>LUC-EZZ-470138-00</v>
          </cell>
          <cell r="F4166">
            <v>4711845125</v>
          </cell>
        </row>
        <row r="4167">
          <cell r="E4167" t="str">
            <v>LUC-E00-470036-00</v>
          </cell>
          <cell r="F4167">
            <v>4711845125</v>
          </cell>
        </row>
        <row r="4168">
          <cell r="E4168" t="str">
            <v>LUC-E00-470039-00</v>
          </cell>
          <cell r="F4168">
            <v>4711845125</v>
          </cell>
        </row>
        <row r="4169">
          <cell r="E4169" t="str">
            <v>LUC-E00-470036-00</v>
          </cell>
          <cell r="F4169">
            <v>4711845125</v>
          </cell>
        </row>
        <row r="4170">
          <cell r="E4170" t="str">
            <v>LUC-E00-470272-01</v>
          </cell>
          <cell r="F4170">
            <v>4711845125</v>
          </cell>
        </row>
        <row r="4171">
          <cell r="E4171" t="str">
            <v>LUC-E00-470073-00</v>
          </cell>
          <cell r="F4171">
            <v>4711845125</v>
          </cell>
        </row>
        <row r="4172">
          <cell r="E4172" t="str">
            <v>LUC-E00-470274-00</v>
          </cell>
          <cell r="F4172">
            <v>4711845125</v>
          </cell>
        </row>
        <row r="4173">
          <cell r="E4173" t="str">
            <v>LUC-E00-470042-00</v>
          </cell>
          <cell r="F4173">
            <v>4711845125</v>
          </cell>
        </row>
        <row r="4174">
          <cell r="E4174" t="str">
            <v>LUC-EZZ-470138-00</v>
          </cell>
          <cell r="F4174">
            <v>4711845125</v>
          </cell>
        </row>
        <row r="4175">
          <cell r="E4175" t="str">
            <v>EF-45130435</v>
          </cell>
          <cell r="F4175">
            <v>4711845125</v>
          </cell>
        </row>
        <row r="4176">
          <cell r="E4176" t="str">
            <v>LUC-E00-470039-00</v>
          </cell>
          <cell r="F4176">
            <v>4711845125</v>
          </cell>
        </row>
        <row r="4177">
          <cell r="E4177" t="str">
            <v>LUC-E00-470085-00</v>
          </cell>
          <cell r="F4177">
            <v>4711845125</v>
          </cell>
        </row>
        <row r="4178">
          <cell r="E4178" t="str">
            <v>AGI-450-40126-01</v>
          </cell>
          <cell r="F4178">
            <v>4711845125</v>
          </cell>
        </row>
        <row r="4179">
          <cell r="E4179" t="str">
            <v>LUC-E00-690215-00</v>
          </cell>
          <cell r="F4179" t="str">
            <v>ASPHPHE14343109</v>
          </cell>
        </row>
        <row r="4180">
          <cell r="E4180" t="str">
            <v>LUC-E00-440097-00</v>
          </cell>
          <cell r="F4180">
            <v>450464473302</v>
          </cell>
        </row>
        <row r="4181">
          <cell r="E4181" t="str">
            <v>LUC-P11-K41E00-01</v>
          </cell>
          <cell r="F4181">
            <v>450464473302</v>
          </cell>
        </row>
        <row r="4182">
          <cell r="E4182" t="str">
            <v>LUC-E00-450010-00</v>
          </cell>
          <cell r="F4182">
            <v>450464473302</v>
          </cell>
        </row>
        <row r="4183">
          <cell r="E4183" t="str">
            <v>LUC-E00-400035-08</v>
          </cell>
          <cell r="F4183">
            <v>450464473302</v>
          </cell>
        </row>
        <row r="4184">
          <cell r="E4184" t="str">
            <v>LUC-E00-420072-01</v>
          </cell>
          <cell r="F4184">
            <v>450464473302</v>
          </cell>
        </row>
        <row r="4185">
          <cell r="E4185" t="str">
            <v>EF-45113162</v>
          </cell>
          <cell r="F4185">
            <v>450464473302</v>
          </cell>
        </row>
        <row r="4186">
          <cell r="E4186" t="str">
            <v>EF-45079919</v>
          </cell>
          <cell r="F4186">
            <v>450464473302</v>
          </cell>
        </row>
        <row r="4187">
          <cell r="E4187" t="str">
            <v>134-001540</v>
          </cell>
          <cell r="F4187">
            <v>450464473302</v>
          </cell>
        </row>
        <row r="4188">
          <cell r="E4188" t="str">
            <v>LUC-EZZ-440129-00</v>
          </cell>
          <cell r="F4188">
            <v>287160397419</v>
          </cell>
        </row>
        <row r="4189">
          <cell r="E4189" t="str">
            <v>EF-45130938</v>
          </cell>
          <cell r="F4189">
            <v>287160397419</v>
          </cell>
        </row>
        <row r="4190">
          <cell r="E4190" t="str">
            <v>LUC-P00-F185AG-00</v>
          </cell>
          <cell r="F4190">
            <v>880305595702</v>
          </cell>
        </row>
        <row r="4191">
          <cell r="E4191" t="str">
            <v>LUC-P00-F185AG-00</v>
          </cell>
          <cell r="F4191">
            <v>880305595702</v>
          </cell>
        </row>
        <row r="4192">
          <cell r="E4192" t="str">
            <v>LUC-P00-F853AY-00</v>
          </cell>
          <cell r="F4192">
            <v>880305595702</v>
          </cell>
        </row>
        <row r="4193">
          <cell r="E4193" t="str">
            <v>LUC-P00-F18AAG-00</v>
          </cell>
          <cell r="F4193">
            <v>880305595702</v>
          </cell>
        </row>
        <row r="4194">
          <cell r="E4194" t="str">
            <v>LUC-P00-F18AAG-00</v>
          </cell>
          <cell r="F4194">
            <v>880305595702</v>
          </cell>
        </row>
        <row r="4195">
          <cell r="E4195" t="str">
            <v>LUC-P00-F193DG-00</v>
          </cell>
          <cell r="F4195">
            <v>880305595702</v>
          </cell>
        </row>
        <row r="4196">
          <cell r="E4196" t="str">
            <v>LUC-E00-420072-00</v>
          </cell>
          <cell r="F4196" t="str">
            <v>1Z6Y3R080403602094</v>
          </cell>
        </row>
        <row r="4197">
          <cell r="E4197" t="str">
            <v>LUC-EZZ-420345-00</v>
          </cell>
          <cell r="F4197" t="str">
            <v>1Z75A9570473013900</v>
          </cell>
        </row>
        <row r="4198">
          <cell r="E4198" t="str">
            <v>LUC-E00-470432-00</v>
          </cell>
          <cell r="F4198">
            <v>119209590819</v>
          </cell>
        </row>
        <row r="4199">
          <cell r="E4199" t="str">
            <v>121-001823</v>
          </cell>
          <cell r="F4199">
            <v>679486491734</v>
          </cell>
        </row>
        <row r="4200">
          <cell r="E4200" t="str">
            <v>121-001823</v>
          </cell>
          <cell r="F4200">
            <v>679486491734</v>
          </cell>
        </row>
        <row r="4201">
          <cell r="E4201" t="str">
            <v>PUR-24-0031-00</v>
          </cell>
          <cell r="F4201">
            <v>411336043684</v>
          </cell>
        </row>
        <row r="4202">
          <cell r="E4202" t="str">
            <v>PUR-09-0256-00</v>
          </cell>
          <cell r="F4202">
            <v>411336043684</v>
          </cell>
        </row>
        <row r="4203">
          <cell r="E4203" t="str">
            <v>PUR-09-0256-00</v>
          </cell>
          <cell r="F4203">
            <v>411336043684</v>
          </cell>
        </row>
        <row r="4204">
          <cell r="E4204" t="str">
            <v>LUC-EZZ-420179-00</v>
          </cell>
          <cell r="F4204">
            <v>409298780190</v>
          </cell>
        </row>
        <row r="4205">
          <cell r="E4205" t="str">
            <v>LUC-EZZ-420179-00</v>
          </cell>
          <cell r="F4205">
            <v>409298780190</v>
          </cell>
        </row>
        <row r="4206">
          <cell r="E4206" t="str">
            <v>LUC-EZZ-420179-00</v>
          </cell>
          <cell r="F4206">
            <v>409298780190</v>
          </cell>
        </row>
        <row r="4207">
          <cell r="E4207" t="str">
            <v>LUC-E00-420049-01</v>
          </cell>
          <cell r="F4207">
            <v>409298780190</v>
          </cell>
        </row>
        <row r="4208">
          <cell r="E4208" t="str">
            <v>LUC-E00-420049-01</v>
          </cell>
          <cell r="F4208">
            <v>409298780190</v>
          </cell>
        </row>
        <row r="4209">
          <cell r="E4209" t="str">
            <v>LUC-E00-420002-00</v>
          </cell>
          <cell r="F4209">
            <v>409298780190</v>
          </cell>
        </row>
        <row r="4210">
          <cell r="E4210" t="str">
            <v>PUR-09-0427-00</v>
          </cell>
          <cell r="F4210">
            <v>447911624667</v>
          </cell>
        </row>
        <row r="4211">
          <cell r="E4211" t="str">
            <v>LUC-E00-450132-00</v>
          </cell>
          <cell r="F4211">
            <v>447911624667</v>
          </cell>
        </row>
        <row r="4212">
          <cell r="E4212" t="str">
            <v>EF-45206166</v>
          </cell>
          <cell r="F4212">
            <v>447911624667</v>
          </cell>
        </row>
        <row r="4213">
          <cell r="E4213" t="str">
            <v>PUR-09-0213-00</v>
          </cell>
          <cell r="F4213">
            <v>447911624667</v>
          </cell>
        </row>
        <row r="4214">
          <cell r="E4214" t="str">
            <v>PUR-09-0213-00</v>
          </cell>
          <cell r="F4214">
            <v>447911624667</v>
          </cell>
        </row>
        <row r="4215">
          <cell r="E4215" t="str">
            <v>LUC-EZZ-400209-00</v>
          </cell>
          <cell r="F4215">
            <v>447911624667</v>
          </cell>
        </row>
        <row r="4216">
          <cell r="E4216" t="str">
            <v>141-001629</v>
          </cell>
          <cell r="F4216">
            <v>880346778462</v>
          </cell>
        </row>
        <row r="4217">
          <cell r="E4217" t="str">
            <v>141-001629</v>
          </cell>
          <cell r="F4217">
            <v>880346778462</v>
          </cell>
        </row>
        <row r="4218">
          <cell r="E4218" t="str">
            <v>LUC-EZZ-510640-00</v>
          </cell>
          <cell r="F4218">
            <v>2213935835</v>
          </cell>
        </row>
        <row r="4219">
          <cell r="E4219" t="str">
            <v>PUR-09-0329-00</v>
          </cell>
          <cell r="F4219">
            <v>2213935835</v>
          </cell>
        </row>
        <row r="4220">
          <cell r="E4220" t="str">
            <v>PUR-09-0329-00</v>
          </cell>
          <cell r="F4220">
            <v>2213935835</v>
          </cell>
        </row>
        <row r="4221">
          <cell r="E4221" t="str">
            <v>PUR-09-0329-00</v>
          </cell>
          <cell r="F4221">
            <v>2213935835</v>
          </cell>
        </row>
        <row r="4222">
          <cell r="E4222" t="str">
            <v>PUR-09-0329-00</v>
          </cell>
          <cell r="F4222">
            <v>2213935835</v>
          </cell>
        </row>
        <row r="4223">
          <cell r="E4223" t="str">
            <v>PUR-09-0329-00</v>
          </cell>
          <cell r="F4223">
            <v>2213935835</v>
          </cell>
        </row>
        <row r="4224">
          <cell r="E4224" t="str">
            <v>LUC-EZZ-400011-00</v>
          </cell>
          <cell r="F4224">
            <v>2213935835</v>
          </cell>
        </row>
        <row r="4225">
          <cell r="E4225" t="str">
            <v>LUC-EZZ-400205-00</v>
          </cell>
          <cell r="F4225">
            <v>2213935835</v>
          </cell>
        </row>
        <row r="4226">
          <cell r="E4226" t="str">
            <v>EF-45054135.X.X</v>
          </cell>
          <cell r="F4226">
            <v>2213935835</v>
          </cell>
        </row>
        <row r="4227">
          <cell r="E4227" t="str">
            <v>LUC-E00-540004-00</v>
          </cell>
          <cell r="F4227">
            <v>2213935835</v>
          </cell>
        </row>
        <row r="4228">
          <cell r="E4228" t="str">
            <v>LUC-E00-420055-06</v>
          </cell>
          <cell r="F4228">
            <v>2213935835</v>
          </cell>
        </row>
        <row r="4229">
          <cell r="E4229" t="str">
            <v>LUC-E00-510043-00</v>
          </cell>
          <cell r="F4229">
            <v>2213935835</v>
          </cell>
        </row>
        <row r="4230">
          <cell r="E4230" t="str">
            <v>EF-45205701</v>
          </cell>
          <cell r="F4230">
            <v>2213935835</v>
          </cell>
        </row>
        <row r="4231">
          <cell r="E4231" t="str">
            <v>LUC-E00-540004-00</v>
          </cell>
          <cell r="F4231">
            <v>2213935835</v>
          </cell>
        </row>
        <row r="4232">
          <cell r="E4232" t="str">
            <v>LUC-E00-540004-00</v>
          </cell>
          <cell r="F4232">
            <v>2213935835</v>
          </cell>
        </row>
        <row r="4233">
          <cell r="E4233" t="str">
            <v>LUC-E00-480015-01</v>
          </cell>
          <cell r="F4233">
            <v>2213935835</v>
          </cell>
        </row>
        <row r="4234">
          <cell r="E4234" t="str">
            <v>LUC-E00-450046-00</v>
          </cell>
          <cell r="F4234">
            <v>2213935835</v>
          </cell>
        </row>
        <row r="4235">
          <cell r="E4235" t="str">
            <v>LUC-E00-450046-00</v>
          </cell>
          <cell r="F4235">
            <v>2213935835</v>
          </cell>
        </row>
        <row r="4236">
          <cell r="E4236" t="str">
            <v>EF-45205701</v>
          </cell>
          <cell r="F4236">
            <v>2213935835</v>
          </cell>
        </row>
        <row r="4237">
          <cell r="E4237" t="str">
            <v>EF-45205701</v>
          </cell>
          <cell r="F4237">
            <v>2213935835</v>
          </cell>
        </row>
        <row r="4238">
          <cell r="E4238" t="str">
            <v>LUC-E00-450046-00</v>
          </cell>
          <cell r="F4238">
            <v>2213935835</v>
          </cell>
        </row>
        <row r="4239">
          <cell r="E4239" t="str">
            <v>LUC-E00-450067-00</v>
          </cell>
          <cell r="F4239">
            <v>2213935835</v>
          </cell>
        </row>
        <row r="4240">
          <cell r="E4240" t="str">
            <v>LUC-E00-420060-00</v>
          </cell>
          <cell r="F4240">
            <v>2213935835</v>
          </cell>
        </row>
        <row r="4241">
          <cell r="E4241" t="str">
            <v>LUC-E00-420069-00</v>
          </cell>
          <cell r="F4241">
            <v>2213935835</v>
          </cell>
        </row>
        <row r="4242">
          <cell r="E4242" t="str">
            <v>LUC-E00-470033-00</v>
          </cell>
          <cell r="F4242">
            <v>2213935835</v>
          </cell>
        </row>
        <row r="4243">
          <cell r="E4243" t="str">
            <v>LUC-E00-440028-00</v>
          </cell>
          <cell r="F4243">
            <v>2213935835</v>
          </cell>
        </row>
        <row r="4244">
          <cell r="E4244" t="str">
            <v>LUC-EZZ-420189-00</v>
          </cell>
          <cell r="F4244">
            <v>2213935835</v>
          </cell>
        </row>
        <row r="4245">
          <cell r="E4245" t="str">
            <v>LUC-EZZ-420189-00</v>
          </cell>
          <cell r="F4245">
            <v>2213935835</v>
          </cell>
        </row>
        <row r="4246">
          <cell r="E4246" t="str">
            <v>LUC-EZZ-420189-00</v>
          </cell>
          <cell r="F4246">
            <v>2213935835</v>
          </cell>
        </row>
        <row r="4247">
          <cell r="E4247" t="str">
            <v>LUC-E00-510019-00</v>
          </cell>
          <cell r="F4247">
            <v>2213935835</v>
          </cell>
        </row>
        <row r="4248">
          <cell r="E4248" t="str">
            <v>LUC-EZZ-420174-00</v>
          </cell>
          <cell r="F4248">
            <v>2213935835</v>
          </cell>
        </row>
        <row r="4249">
          <cell r="E4249" t="str">
            <v>LUC-EZZ-450476-00</v>
          </cell>
          <cell r="F4249">
            <v>2213935835</v>
          </cell>
        </row>
        <row r="4250">
          <cell r="E4250" t="str">
            <v>LUC-EZZ-460737-00</v>
          </cell>
          <cell r="F4250">
            <v>2213935835</v>
          </cell>
        </row>
        <row r="4251">
          <cell r="E4251" t="str">
            <v>LUC-E00-480008-00</v>
          </cell>
          <cell r="F4251">
            <v>2213935835</v>
          </cell>
        </row>
        <row r="4252">
          <cell r="E4252" t="str">
            <v>LUC-E00-480008-00</v>
          </cell>
          <cell r="F4252">
            <v>2213935835</v>
          </cell>
        </row>
        <row r="4253">
          <cell r="E4253" t="str">
            <v>LUC-E00-480008-00</v>
          </cell>
          <cell r="F4253">
            <v>2213935835</v>
          </cell>
        </row>
        <row r="4254">
          <cell r="E4254" t="str">
            <v>LUC-E00-480008-00</v>
          </cell>
          <cell r="F4254">
            <v>2213935835</v>
          </cell>
        </row>
        <row r="4255">
          <cell r="E4255" t="str">
            <v>LUC-E00-480008-00</v>
          </cell>
          <cell r="F4255">
            <v>2213935835</v>
          </cell>
        </row>
        <row r="4256">
          <cell r="E4256" t="str">
            <v>LUC-E00-690020-00</v>
          </cell>
          <cell r="F4256">
            <v>2213935835</v>
          </cell>
        </row>
        <row r="4257">
          <cell r="E4257" t="str">
            <v>LUC-E00-510037-00</v>
          </cell>
          <cell r="F4257">
            <v>2213935835</v>
          </cell>
        </row>
        <row r="4258">
          <cell r="E4258" t="str">
            <v>LUC-E00-510037-00</v>
          </cell>
          <cell r="F4258">
            <v>2213935835</v>
          </cell>
        </row>
        <row r="4259">
          <cell r="E4259" t="str">
            <v>LUC-E00-510037-00</v>
          </cell>
          <cell r="F4259">
            <v>2213935835</v>
          </cell>
        </row>
        <row r="4260">
          <cell r="E4260" t="str">
            <v>LUC-E00-510037-00</v>
          </cell>
          <cell r="F4260">
            <v>2213935835</v>
          </cell>
        </row>
        <row r="4261">
          <cell r="E4261" t="str">
            <v>LUC-E00-510037-00</v>
          </cell>
          <cell r="F4261">
            <v>2213935835</v>
          </cell>
        </row>
        <row r="4262">
          <cell r="E4262" t="str">
            <v>LUC-E00-510112-00</v>
          </cell>
          <cell r="F4262">
            <v>2213935835</v>
          </cell>
        </row>
        <row r="4263">
          <cell r="E4263" t="str">
            <v>LUC-E00-450148-01</v>
          </cell>
          <cell r="F4263">
            <v>2213935835</v>
          </cell>
        </row>
        <row r="4264">
          <cell r="E4264" t="str">
            <v>LUC-EZZ-450113-00</v>
          </cell>
          <cell r="F4264">
            <v>2213935835</v>
          </cell>
        </row>
        <row r="4265">
          <cell r="E4265" t="str">
            <v>LUC-EZZ-450113-00</v>
          </cell>
          <cell r="F4265">
            <v>2213935835</v>
          </cell>
        </row>
        <row r="4266">
          <cell r="E4266" t="str">
            <v>LUC-E00-510021-00</v>
          </cell>
          <cell r="F4266">
            <v>2213935835</v>
          </cell>
        </row>
        <row r="4267">
          <cell r="E4267" t="str">
            <v>LUC-EZZ-420172-00</v>
          </cell>
          <cell r="F4267">
            <v>2213935835</v>
          </cell>
        </row>
        <row r="4268">
          <cell r="E4268" t="str">
            <v>LUC-E00-440097-00</v>
          </cell>
          <cell r="F4268">
            <v>2213935835</v>
          </cell>
        </row>
        <row r="4269">
          <cell r="E4269" t="str">
            <v>LUC-E00-440097-00</v>
          </cell>
          <cell r="F4269">
            <v>2213935835</v>
          </cell>
        </row>
        <row r="4270">
          <cell r="E4270" t="str">
            <v>LUC-E00-440097-00</v>
          </cell>
          <cell r="F4270">
            <v>2213935835</v>
          </cell>
        </row>
        <row r="4271">
          <cell r="E4271" t="str">
            <v>LUC-E00-440097-00</v>
          </cell>
          <cell r="F4271">
            <v>2213935835</v>
          </cell>
        </row>
        <row r="4272">
          <cell r="E4272" t="str">
            <v>LUC-E00-440097-00</v>
          </cell>
          <cell r="F4272">
            <v>2213935835</v>
          </cell>
        </row>
        <row r="4273">
          <cell r="E4273" t="str">
            <v>LUC-E00-420019-00</v>
          </cell>
          <cell r="F4273">
            <v>2213935835</v>
          </cell>
        </row>
        <row r="4274">
          <cell r="E4274" t="str">
            <v>LUC-EZZ-400036-00</v>
          </cell>
          <cell r="F4274">
            <v>2213935835</v>
          </cell>
        </row>
        <row r="4275">
          <cell r="E4275" t="str">
            <v>LUC-EZZ-420695-01</v>
          </cell>
          <cell r="F4275">
            <v>2213935835</v>
          </cell>
        </row>
        <row r="4276">
          <cell r="E4276" t="str">
            <v>LUC-E00-400012-15</v>
          </cell>
          <cell r="F4276">
            <v>2213935835</v>
          </cell>
        </row>
        <row r="4277">
          <cell r="E4277" t="str">
            <v>LUC-EZZ-420665-00</v>
          </cell>
          <cell r="F4277">
            <v>2213935835</v>
          </cell>
        </row>
        <row r="4278">
          <cell r="E4278" t="str">
            <v>LUC-EZZ-450112-00</v>
          </cell>
          <cell r="F4278">
            <v>2213935835</v>
          </cell>
        </row>
        <row r="4279">
          <cell r="E4279" t="str">
            <v>LUC-E00-510112-00</v>
          </cell>
          <cell r="F4279">
            <v>2213935835</v>
          </cell>
        </row>
        <row r="4280">
          <cell r="E4280" t="str">
            <v>LUC-EZZ-510080-00</v>
          </cell>
          <cell r="F4280">
            <v>2213935835</v>
          </cell>
        </row>
        <row r="4281">
          <cell r="E4281" t="str">
            <v>LUC-E00-460008-00</v>
          </cell>
          <cell r="F4281">
            <v>2213935835</v>
          </cell>
        </row>
        <row r="4282">
          <cell r="E4282" t="str">
            <v>LUC-E00-460038-00</v>
          </cell>
          <cell r="F4282">
            <v>2213935835</v>
          </cell>
        </row>
        <row r="4283">
          <cell r="E4283" t="str">
            <v>LUC-E00-440029-00</v>
          </cell>
          <cell r="F4283">
            <v>2213935835</v>
          </cell>
        </row>
        <row r="4284">
          <cell r="E4284" t="str">
            <v>LUC-EZZ-420330-00</v>
          </cell>
          <cell r="F4284">
            <v>2213935835</v>
          </cell>
        </row>
        <row r="4285">
          <cell r="E4285" t="str">
            <v>LUC-E00-420002-00</v>
          </cell>
          <cell r="F4285">
            <v>2213935835</v>
          </cell>
        </row>
        <row r="4286">
          <cell r="E4286" t="str">
            <v>LUC-EZZ-420261-00</v>
          </cell>
          <cell r="F4286">
            <v>2213935835</v>
          </cell>
        </row>
        <row r="4287">
          <cell r="E4287" t="str">
            <v>LUC-EZZ-420118-00</v>
          </cell>
          <cell r="F4287">
            <v>2213935835</v>
          </cell>
        </row>
        <row r="4288">
          <cell r="E4288" t="str">
            <v>LUC-E00-510082-00</v>
          </cell>
          <cell r="F4288">
            <v>2213935835</v>
          </cell>
        </row>
        <row r="4289">
          <cell r="E4289" t="str">
            <v>132-001427</v>
          </cell>
          <cell r="F4289">
            <v>8710571881</v>
          </cell>
        </row>
        <row r="4290">
          <cell r="E4290" t="str">
            <v>LUC-P21-K2C400-01</v>
          </cell>
          <cell r="F4290" t="str">
            <v>LNBHPH251648</v>
          </cell>
        </row>
        <row r="4291">
          <cell r="E4291" t="str">
            <v>LUC-P21-K2C400-01</v>
          </cell>
          <cell r="F4291" t="str">
            <v>LNBHPH251648</v>
          </cell>
        </row>
        <row r="4292">
          <cell r="E4292" t="str">
            <v>LUC-P21-K2C400-01</v>
          </cell>
          <cell r="F4292" t="str">
            <v>LNBHPH251648</v>
          </cell>
        </row>
        <row r="4293">
          <cell r="E4293" t="str">
            <v>LUC-P21-K2C400-01</v>
          </cell>
          <cell r="F4293" t="str">
            <v>LNBHPH251648</v>
          </cell>
        </row>
        <row r="4294">
          <cell r="E4294" t="str">
            <v>LUC-P21-K2C400-01</v>
          </cell>
          <cell r="F4294" t="str">
            <v>LNBHPH251648</v>
          </cell>
        </row>
        <row r="4295">
          <cell r="E4295" t="str">
            <v>LUC-P21-K61100-02</v>
          </cell>
          <cell r="F4295" t="str">
            <v>LNBHPH251648</v>
          </cell>
        </row>
        <row r="4296">
          <cell r="E4296" t="str">
            <v>LUC-P21-K61100-02</v>
          </cell>
          <cell r="F4296" t="str">
            <v>LNBHPH251648</v>
          </cell>
        </row>
        <row r="4297">
          <cell r="E4297" t="str">
            <v>LUC-P21-K61100-02</v>
          </cell>
          <cell r="F4297" t="str">
            <v>LNBHPH251648</v>
          </cell>
        </row>
        <row r="4298">
          <cell r="E4298" t="str">
            <v>LUC-P21-K61100-02</v>
          </cell>
          <cell r="F4298" t="str">
            <v>LNBHPH251648</v>
          </cell>
        </row>
        <row r="4299">
          <cell r="E4299" t="str">
            <v>LUC-P21-K61100-02</v>
          </cell>
          <cell r="F4299" t="str">
            <v>LNBHPH251648</v>
          </cell>
        </row>
        <row r="4300">
          <cell r="E4300" t="str">
            <v>LUC-EZZ-690138-04</v>
          </cell>
          <cell r="F4300">
            <v>619345509834</v>
          </cell>
        </row>
        <row r="4301">
          <cell r="E4301" t="str">
            <v>LUC-EZZ-690138-00</v>
          </cell>
          <cell r="F4301">
            <v>619345509834</v>
          </cell>
        </row>
        <row r="4302">
          <cell r="E4302" t="str">
            <v>LUC-EZZ-690138-01</v>
          </cell>
          <cell r="F4302">
            <v>619345509834</v>
          </cell>
        </row>
        <row r="4303">
          <cell r="E4303" t="str">
            <v>LUC-EZZ-690138-02</v>
          </cell>
          <cell r="F4303">
            <v>619345509834</v>
          </cell>
        </row>
        <row r="4304">
          <cell r="E4304" t="str">
            <v>LUC-EZZ-690138-03</v>
          </cell>
          <cell r="F4304">
            <v>619345509834</v>
          </cell>
        </row>
        <row r="4305">
          <cell r="E4305" t="str">
            <v>LUC-EZZ-510080-00</v>
          </cell>
          <cell r="F4305">
            <v>452056213290</v>
          </cell>
        </row>
        <row r="4306">
          <cell r="E4306" t="str">
            <v>LUC-E00-400035-04</v>
          </cell>
          <cell r="F4306">
            <v>423264348685</v>
          </cell>
        </row>
        <row r="4307">
          <cell r="E4307" t="str">
            <v>PUR-12-0297-00</v>
          </cell>
          <cell r="F4307">
            <v>423264348685</v>
          </cell>
        </row>
        <row r="4308">
          <cell r="E4308" t="str">
            <v>EF-45045057.X.X</v>
          </cell>
          <cell r="F4308">
            <v>423264348685</v>
          </cell>
        </row>
        <row r="4309">
          <cell r="E4309" t="str">
            <v>PUR-12-0065-00</v>
          </cell>
          <cell r="F4309">
            <v>423264348685</v>
          </cell>
        </row>
        <row r="4310">
          <cell r="E4310" t="str">
            <v>PUR-12-0304-00</v>
          </cell>
          <cell r="F4310">
            <v>423264348685</v>
          </cell>
        </row>
        <row r="4311">
          <cell r="E4311" t="str">
            <v>LUC-E00-420037-01</v>
          </cell>
          <cell r="F4311">
            <v>423264348685</v>
          </cell>
        </row>
        <row r="4312">
          <cell r="E4312" t="str">
            <v>LUC-E00-420025-03</v>
          </cell>
          <cell r="F4312">
            <v>423264348685</v>
          </cell>
        </row>
        <row r="4313">
          <cell r="E4313" t="str">
            <v>LUC-E00-420025-03</v>
          </cell>
          <cell r="F4313">
            <v>423264348685</v>
          </cell>
        </row>
        <row r="4314">
          <cell r="E4314" t="str">
            <v>LUC-E00-420025-03</v>
          </cell>
          <cell r="F4314">
            <v>423264348685</v>
          </cell>
        </row>
        <row r="4315">
          <cell r="E4315" t="str">
            <v>122-000673.X.X</v>
          </cell>
          <cell r="F4315">
            <v>423264348685</v>
          </cell>
        </row>
        <row r="4316">
          <cell r="E4316" t="str">
            <v>122-000673.X.X</v>
          </cell>
          <cell r="F4316">
            <v>423264348685</v>
          </cell>
        </row>
        <row r="4317">
          <cell r="E4317" t="str">
            <v>PUR-09-0294-00</v>
          </cell>
          <cell r="F4317">
            <v>287366589637</v>
          </cell>
        </row>
        <row r="4318">
          <cell r="E4318" t="str">
            <v>LUC-E00-470001-00</v>
          </cell>
          <cell r="F4318">
            <v>446185036624</v>
          </cell>
        </row>
        <row r="4319">
          <cell r="E4319" t="str">
            <v>LUC-E00-400046-00</v>
          </cell>
          <cell r="F4319">
            <v>287222978710</v>
          </cell>
        </row>
        <row r="4320">
          <cell r="E4320" t="str">
            <v>AGI-510-40081-01</v>
          </cell>
          <cell r="F4320">
            <v>643036756220</v>
          </cell>
        </row>
        <row r="4321">
          <cell r="E4321" t="str">
            <v>AGI-510-40081-01</v>
          </cell>
          <cell r="F4321">
            <v>643036756220</v>
          </cell>
        </row>
        <row r="4322">
          <cell r="E4322" t="str">
            <v>AGI-510-40081-01</v>
          </cell>
          <cell r="F4322">
            <v>643036756220</v>
          </cell>
        </row>
        <row r="4323">
          <cell r="E4323" t="str">
            <v>AGI-510-40081-01</v>
          </cell>
          <cell r="F4323">
            <v>643036756220</v>
          </cell>
        </row>
        <row r="4324">
          <cell r="E4324" t="str">
            <v>LUC-EZZ-400475-00</v>
          </cell>
          <cell r="F4324">
            <v>421194685240</v>
          </cell>
        </row>
        <row r="4325">
          <cell r="E4325" t="str">
            <v>LUC-E00-470379-00</v>
          </cell>
          <cell r="F4325">
            <v>421194685240</v>
          </cell>
        </row>
        <row r="4326">
          <cell r="E4326" t="str">
            <v>LUC-EZZ-420345-00</v>
          </cell>
          <cell r="F4326">
            <v>421194685240</v>
          </cell>
        </row>
        <row r="4327">
          <cell r="E4327" t="str">
            <v>LUC-E00-460009-00</v>
          </cell>
          <cell r="F4327">
            <v>421194685240</v>
          </cell>
        </row>
        <row r="4328">
          <cell r="E4328" t="str">
            <v>121-000474.X.X</v>
          </cell>
          <cell r="F4328">
            <v>421194685240</v>
          </cell>
        </row>
        <row r="4329">
          <cell r="E4329" t="str">
            <v>174-000055.X.X</v>
          </cell>
          <cell r="F4329">
            <v>421194685240</v>
          </cell>
        </row>
        <row r="4330">
          <cell r="E4330" t="str">
            <v>124-002762</v>
          </cell>
          <cell r="F4330">
            <v>421194685240</v>
          </cell>
        </row>
        <row r="4331">
          <cell r="E4331" t="str">
            <v>124-002763</v>
          </cell>
          <cell r="F4331">
            <v>421194685240</v>
          </cell>
        </row>
        <row r="4332">
          <cell r="E4332" t="str">
            <v>123-001915</v>
          </cell>
          <cell r="F4332">
            <v>421194685240</v>
          </cell>
        </row>
        <row r="4333">
          <cell r="E4333" t="str">
            <v>AIC-120-012778</v>
          </cell>
          <cell r="F4333">
            <v>880381849493</v>
          </cell>
        </row>
        <row r="4334">
          <cell r="E4334" t="str">
            <v>AIC-120-012779</v>
          </cell>
          <cell r="F4334">
            <v>880381849493</v>
          </cell>
        </row>
        <row r="4335">
          <cell r="E4335" t="str">
            <v>LUC-P11-L1AU00-02</v>
          </cell>
          <cell r="F4335" t="str">
            <v>LSHHPH2502530</v>
          </cell>
        </row>
        <row r="4336">
          <cell r="E4336" t="str">
            <v>LUC-E00-690217-01</v>
          </cell>
          <cell r="F4336">
            <v>4110323321</v>
          </cell>
        </row>
        <row r="4337">
          <cell r="E4337" t="str">
            <v>LUC-EZZ-690241-00</v>
          </cell>
          <cell r="F4337">
            <v>4110323322</v>
          </cell>
        </row>
        <row r="4338">
          <cell r="E4338" t="str">
            <v>LUC-EZZ-691595-00</v>
          </cell>
          <cell r="F4338">
            <v>4110323323</v>
          </cell>
        </row>
        <row r="4339">
          <cell r="E4339" t="str">
            <v>LUC-EZZ-691595-00</v>
          </cell>
          <cell r="F4339">
            <v>4110323323</v>
          </cell>
        </row>
        <row r="4340">
          <cell r="E4340" t="str">
            <v>LUC-EZZ-691595-00</v>
          </cell>
          <cell r="F4340">
            <v>4110323323</v>
          </cell>
        </row>
        <row r="4341">
          <cell r="E4341" t="str">
            <v>LUC-EZZ-691595-00</v>
          </cell>
          <cell r="F4341">
            <v>4110323323</v>
          </cell>
        </row>
        <row r="4342">
          <cell r="E4342" t="str">
            <v>LUC-EZZ-691595-00</v>
          </cell>
          <cell r="F4342">
            <v>4110323323</v>
          </cell>
        </row>
        <row r="4343">
          <cell r="E4343" t="str">
            <v>LUC-EZZ-691595-00</v>
          </cell>
          <cell r="F4343">
            <v>4110323323</v>
          </cell>
        </row>
        <row r="4344">
          <cell r="E4344" t="str">
            <v>LUC-EZZ-420352-00</v>
          </cell>
          <cell r="F4344">
            <v>2384369842</v>
          </cell>
        </row>
        <row r="4345">
          <cell r="E4345" t="str">
            <v>LUC-EZZ-400629-00</v>
          </cell>
          <cell r="F4345">
            <v>1790069260</v>
          </cell>
        </row>
        <row r="4346">
          <cell r="E4346" t="str">
            <v>LUC-E00-400192-00</v>
          </cell>
          <cell r="F4346">
            <v>1790069260</v>
          </cell>
        </row>
        <row r="4347">
          <cell r="E4347" t="str">
            <v>LUC-E00-400010-029</v>
          </cell>
          <cell r="F4347">
            <v>1790069260</v>
          </cell>
        </row>
        <row r="4348">
          <cell r="E4348" t="str">
            <v>LUC-E00-400010-025</v>
          </cell>
          <cell r="F4348">
            <v>1790069260</v>
          </cell>
        </row>
        <row r="4349">
          <cell r="E4349" t="str">
            <v>LUC-E00-400048-00</v>
          </cell>
          <cell r="F4349">
            <v>1790069260</v>
          </cell>
        </row>
        <row r="4350">
          <cell r="E4350" t="str">
            <v>LUC-EZZ-420189-00</v>
          </cell>
          <cell r="F4350">
            <v>1790069260</v>
          </cell>
        </row>
        <row r="4351">
          <cell r="E4351" t="str">
            <v>LUC-E00-420173-00</v>
          </cell>
          <cell r="F4351">
            <v>1790069260</v>
          </cell>
        </row>
        <row r="4352">
          <cell r="E4352" t="str">
            <v>LUC-E00-420050-00</v>
          </cell>
          <cell r="F4352">
            <v>1790069260</v>
          </cell>
        </row>
        <row r="4353">
          <cell r="E4353" t="str">
            <v>LUC-EZZ-400414-00</v>
          </cell>
          <cell r="F4353">
            <v>1790069260</v>
          </cell>
        </row>
        <row r="4354">
          <cell r="E4354" t="str">
            <v>LUC-EZZ-400621-00</v>
          </cell>
          <cell r="F4354">
            <v>1790069260</v>
          </cell>
        </row>
        <row r="4355">
          <cell r="E4355" t="str">
            <v>LUC-EZZ-420352-00</v>
          </cell>
          <cell r="F4355">
            <v>1790069260</v>
          </cell>
        </row>
        <row r="4356">
          <cell r="E4356" t="str">
            <v>LUC-E00-400010-008</v>
          </cell>
          <cell r="F4356">
            <v>1790069260</v>
          </cell>
        </row>
        <row r="4357">
          <cell r="E4357" t="str">
            <v>LUC-EZZ-400261-00</v>
          </cell>
          <cell r="F4357">
            <v>1790069260</v>
          </cell>
        </row>
        <row r="4358">
          <cell r="E4358" t="str">
            <v>LUC-EZZ-400831-00</v>
          </cell>
          <cell r="F4358">
            <v>1790069260</v>
          </cell>
        </row>
        <row r="4359">
          <cell r="E4359" t="str">
            <v>LUC-E00-400267-00</v>
          </cell>
          <cell r="F4359">
            <v>1790069260</v>
          </cell>
        </row>
        <row r="4360">
          <cell r="E4360" t="str">
            <v>EF-45041902.X.X</v>
          </cell>
          <cell r="F4360">
            <v>419341543107</v>
          </cell>
        </row>
        <row r="4361">
          <cell r="E4361" t="str">
            <v>EF-45057845.X.X</v>
          </cell>
          <cell r="F4361">
            <v>419341543107</v>
          </cell>
        </row>
        <row r="4362">
          <cell r="E4362" t="str">
            <v>EF-45057845.X.X</v>
          </cell>
          <cell r="F4362">
            <v>419341543107</v>
          </cell>
        </row>
        <row r="4363">
          <cell r="E4363" t="str">
            <v>EF-45127161.X.X</v>
          </cell>
          <cell r="F4363">
            <v>714497069388</v>
          </cell>
        </row>
        <row r="4364">
          <cell r="E4364" t="str">
            <v>EF-45224584</v>
          </cell>
          <cell r="F4364">
            <v>714497069388</v>
          </cell>
        </row>
        <row r="4365">
          <cell r="E4365" t="str">
            <v>EF-45043246.X.X</v>
          </cell>
          <cell r="F4365">
            <v>741988712299</v>
          </cell>
        </row>
        <row r="4366">
          <cell r="E4366" t="str">
            <v>AIC-MP-ID007244-S01</v>
          </cell>
          <cell r="F4366">
            <v>880411800124</v>
          </cell>
        </row>
        <row r="4367">
          <cell r="E4367" t="str">
            <v>AIC-MP-ID007394-S01</v>
          </cell>
          <cell r="F4367">
            <v>880411800124</v>
          </cell>
        </row>
        <row r="4368">
          <cell r="E4368" t="str">
            <v>LUC-E00-440172-00</v>
          </cell>
          <cell r="F4368">
            <v>453779950040</v>
          </cell>
        </row>
        <row r="4369">
          <cell r="E4369" t="str">
            <v>LUC-EZZ-400200-00</v>
          </cell>
          <cell r="F4369">
            <v>453779950040</v>
          </cell>
        </row>
        <row r="4370">
          <cell r="E4370" t="str">
            <v>PUR-09-0253-00</v>
          </cell>
          <cell r="F4370">
            <v>453779950040</v>
          </cell>
        </row>
        <row r="4371">
          <cell r="E4371" t="str">
            <v>LUC-EZZ-400248-00</v>
          </cell>
          <cell r="F4371">
            <v>453779950040</v>
          </cell>
        </row>
        <row r="4372">
          <cell r="E4372" t="str">
            <v>LUC-EZZ-450113-00</v>
          </cell>
          <cell r="F4372">
            <v>453779950040</v>
          </cell>
        </row>
        <row r="4373">
          <cell r="E4373" t="str">
            <v>LUC-E00-400010-020</v>
          </cell>
          <cell r="F4373">
            <v>453779950040</v>
          </cell>
        </row>
        <row r="4374">
          <cell r="E4374" t="str">
            <v>LUC-EZZ-450110-00</v>
          </cell>
          <cell r="F4374">
            <v>453779950040</v>
          </cell>
        </row>
        <row r="4375">
          <cell r="E4375" t="str">
            <v>LUC-EZZ-401043-00</v>
          </cell>
          <cell r="F4375">
            <v>453779950040</v>
          </cell>
        </row>
        <row r="4376">
          <cell r="E4376" t="str">
            <v>PUR-09-0322-00</v>
          </cell>
          <cell r="F4376">
            <v>453779950040</v>
          </cell>
        </row>
        <row r="4377">
          <cell r="E4377" t="str">
            <v>EF-45129595</v>
          </cell>
          <cell r="F4377">
            <v>453779950040</v>
          </cell>
        </row>
        <row r="4378">
          <cell r="E4378" t="str">
            <v>LUC-EZZ-400201-00</v>
          </cell>
          <cell r="F4378">
            <v>453779950040</v>
          </cell>
        </row>
        <row r="4379">
          <cell r="E4379" t="str">
            <v>PUR-09-0424-00</v>
          </cell>
          <cell r="F4379">
            <v>453779950040</v>
          </cell>
        </row>
        <row r="4380">
          <cell r="E4380" t="str">
            <v>EF-45056968.X.X</v>
          </cell>
          <cell r="F4380">
            <v>453779950040</v>
          </cell>
        </row>
        <row r="4381">
          <cell r="E4381" t="str">
            <v>LUC-E00-400010-003</v>
          </cell>
          <cell r="F4381">
            <v>453779950040</v>
          </cell>
        </row>
        <row r="4382">
          <cell r="E4382" t="str">
            <v>LUC-E00-450199-00</v>
          </cell>
          <cell r="F4382">
            <v>453779950040</v>
          </cell>
        </row>
        <row r="4383">
          <cell r="E4383" t="str">
            <v>LUC-EZZ-460737-00</v>
          </cell>
          <cell r="F4383">
            <v>453779950040</v>
          </cell>
        </row>
        <row r="4384">
          <cell r="E4384" t="str">
            <v>EF-45130014</v>
          </cell>
          <cell r="F4384">
            <v>453779950040</v>
          </cell>
        </row>
        <row r="4385">
          <cell r="E4385" t="str">
            <v>LUC-EZZ-400248-00</v>
          </cell>
          <cell r="F4385">
            <v>453779950040</v>
          </cell>
        </row>
        <row r="4386">
          <cell r="E4386" t="str">
            <v>LUC-E00-450056-00</v>
          </cell>
          <cell r="F4386">
            <v>453779950040</v>
          </cell>
        </row>
        <row r="4387">
          <cell r="E4387" t="str">
            <v>LUC-E00-400067-111</v>
          </cell>
          <cell r="F4387">
            <v>453779950040</v>
          </cell>
        </row>
        <row r="4388">
          <cell r="E4388" t="str">
            <v>LUC-EZZ-400226-00</v>
          </cell>
          <cell r="F4388">
            <v>453779950040</v>
          </cell>
        </row>
        <row r="4389">
          <cell r="E4389" t="str">
            <v>LUC-EZZ-420345-00</v>
          </cell>
          <cell r="F4389">
            <v>453779950040</v>
          </cell>
        </row>
        <row r="4390">
          <cell r="E4390" t="str">
            <v>LUC-EZZ-470181-00</v>
          </cell>
          <cell r="F4390">
            <v>453779950040</v>
          </cell>
        </row>
        <row r="4391">
          <cell r="E4391" t="str">
            <v>AGI-520-40025-01</v>
          </cell>
          <cell r="F4391">
            <v>880381657349</v>
          </cell>
        </row>
        <row r="4392">
          <cell r="E4392" t="str">
            <v>AGI-520-40025-01</v>
          </cell>
          <cell r="F4392">
            <v>880381657349</v>
          </cell>
        </row>
        <row r="4393">
          <cell r="E4393" t="str">
            <v>LUC-EZZ-490050-03</v>
          </cell>
          <cell r="F4393">
            <v>8710922146</v>
          </cell>
        </row>
        <row r="4394">
          <cell r="E4394" t="str">
            <v>PUR-03-0074-02</v>
          </cell>
          <cell r="F4394" t="str">
            <v>8TV4005</v>
          </cell>
        </row>
        <row r="4395">
          <cell r="E4395" t="str">
            <v>LUC-E00-420048-00</v>
          </cell>
          <cell r="F4395">
            <v>4812801272</v>
          </cell>
        </row>
        <row r="4396">
          <cell r="E4396" t="str">
            <v>LUC-EZZ-420539-00</v>
          </cell>
          <cell r="F4396">
            <v>4812801272</v>
          </cell>
        </row>
        <row r="4397">
          <cell r="E4397" t="str">
            <v>EF-45059919.X.X</v>
          </cell>
          <cell r="F4397">
            <v>4812801272</v>
          </cell>
        </row>
        <row r="4398">
          <cell r="E4398" t="str">
            <v>LUC-EZZ-420133-00</v>
          </cell>
          <cell r="F4398">
            <v>4812801272</v>
          </cell>
        </row>
        <row r="4399">
          <cell r="E4399" t="str">
            <v>PURET-13-0022-00</v>
          </cell>
          <cell r="F4399">
            <v>4812801272</v>
          </cell>
        </row>
        <row r="4400">
          <cell r="E4400" t="str">
            <v>PURET-13-0009-00</v>
          </cell>
          <cell r="F4400">
            <v>4812801272</v>
          </cell>
        </row>
        <row r="4401">
          <cell r="E4401" t="str">
            <v>PURET-13-0009-00</v>
          </cell>
          <cell r="F4401">
            <v>4812801272</v>
          </cell>
        </row>
        <row r="4402">
          <cell r="E4402" t="str">
            <v>PUR-13-0138-00</v>
          </cell>
          <cell r="F4402">
            <v>4812801272</v>
          </cell>
        </row>
        <row r="4403">
          <cell r="E4403" t="str">
            <v>PURET-13-0002-00</v>
          </cell>
          <cell r="F4403">
            <v>4812801272</v>
          </cell>
        </row>
        <row r="4404">
          <cell r="E4404" t="str">
            <v>PURET-13-0009-00</v>
          </cell>
          <cell r="F4404">
            <v>4812801272</v>
          </cell>
        </row>
        <row r="4405">
          <cell r="E4405" t="str">
            <v>PURET-13-0007-00</v>
          </cell>
          <cell r="F4405">
            <v>4812801272</v>
          </cell>
        </row>
        <row r="4406">
          <cell r="E4406" t="str">
            <v>PUR-13-0196-00</v>
          </cell>
          <cell r="F4406">
            <v>4812801272</v>
          </cell>
        </row>
        <row r="4407">
          <cell r="E4407" t="str">
            <v>PUR-13-0161-00</v>
          </cell>
          <cell r="F4407">
            <v>4812801272</v>
          </cell>
        </row>
        <row r="4408">
          <cell r="E4408" t="str">
            <v>PUR-13-0212-00</v>
          </cell>
          <cell r="F4408">
            <v>4812801272</v>
          </cell>
        </row>
        <row r="4409">
          <cell r="E4409" t="str">
            <v>PURET-13-0066-00</v>
          </cell>
          <cell r="F4409">
            <v>4812801272</v>
          </cell>
        </row>
        <row r="4410">
          <cell r="E4410" t="str">
            <v>PUR-13-0134-00</v>
          </cell>
          <cell r="F4410">
            <v>4812801272</v>
          </cell>
        </row>
        <row r="4411">
          <cell r="E4411" t="str">
            <v>PUR-13-0229-00</v>
          </cell>
          <cell r="F4411">
            <v>4812801272</v>
          </cell>
        </row>
        <row r="4412">
          <cell r="E4412" t="str">
            <v>PURET-13-0022-00</v>
          </cell>
          <cell r="F4412">
            <v>4812801272</v>
          </cell>
        </row>
        <row r="4413">
          <cell r="E4413" t="str">
            <v>PUR-13-0138-00</v>
          </cell>
          <cell r="F4413">
            <v>4812801272</v>
          </cell>
        </row>
        <row r="4414">
          <cell r="E4414" t="str">
            <v>LUC-E00-420084-00</v>
          </cell>
          <cell r="F4414">
            <v>972682014305</v>
          </cell>
        </row>
        <row r="4415">
          <cell r="E4415" t="str">
            <v>LUC-E00-510029-00</v>
          </cell>
          <cell r="F4415">
            <v>972682014305</v>
          </cell>
        </row>
        <row r="4416">
          <cell r="E4416" t="str">
            <v>LUC-E00-420037-08</v>
          </cell>
          <cell r="F4416">
            <v>972682014305</v>
          </cell>
        </row>
        <row r="4417">
          <cell r="E4417" t="str">
            <v>LUC-E00-470265-00</v>
          </cell>
          <cell r="F4417">
            <v>972682014305</v>
          </cell>
        </row>
        <row r="4418">
          <cell r="E4418" t="str">
            <v>LUC-EZZ-510639-00</v>
          </cell>
          <cell r="F4418">
            <v>972682014305</v>
          </cell>
        </row>
        <row r="4419">
          <cell r="E4419" t="str">
            <v>LUC-EZZ-510052-00</v>
          </cell>
          <cell r="F4419">
            <v>972682014305</v>
          </cell>
        </row>
        <row r="4420">
          <cell r="E4420" t="str">
            <v>LUC-EZZ-451277-00</v>
          </cell>
          <cell r="F4420">
            <v>972682014305</v>
          </cell>
        </row>
        <row r="4421">
          <cell r="E4421" t="str">
            <v>LUC-E00-440030-00</v>
          </cell>
          <cell r="F4421">
            <v>972682014305</v>
          </cell>
        </row>
        <row r="4422">
          <cell r="E4422" t="str">
            <v>LUC-E00-690217-01</v>
          </cell>
          <cell r="F4422">
            <v>4110323382</v>
          </cell>
        </row>
        <row r="4423">
          <cell r="E4423" t="str">
            <v>LUC-E00-420135-00</v>
          </cell>
          <cell r="F4423">
            <v>1790070881</v>
          </cell>
        </row>
        <row r="4424">
          <cell r="E4424" t="str">
            <v>LUC-E00-420055-00</v>
          </cell>
          <cell r="F4424">
            <v>1790070881</v>
          </cell>
        </row>
        <row r="4425">
          <cell r="E4425" t="str">
            <v>LUC-E00-420034-01</v>
          </cell>
          <cell r="F4425">
            <v>1790070881</v>
          </cell>
        </row>
        <row r="4426">
          <cell r="E4426" t="str">
            <v>LUC-E00-690003-00</v>
          </cell>
          <cell r="F4426">
            <v>1790070881</v>
          </cell>
        </row>
        <row r="4427">
          <cell r="E4427" t="str">
            <v>PUR-09-0444-00</v>
          </cell>
          <cell r="F4427">
            <v>5376412403</v>
          </cell>
        </row>
        <row r="4428">
          <cell r="E4428" t="str">
            <v>PURET-24-0002-00</v>
          </cell>
          <cell r="F4428">
            <v>5376412403</v>
          </cell>
        </row>
        <row r="4429">
          <cell r="E4429" t="str">
            <v>PUR-14-0049-00</v>
          </cell>
          <cell r="F4429">
            <v>5376412403</v>
          </cell>
        </row>
        <row r="4430">
          <cell r="E4430" t="str">
            <v>EF-45052527</v>
          </cell>
          <cell r="F4430">
            <v>5376412403</v>
          </cell>
        </row>
        <row r="4431">
          <cell r="E4431" t="str">
            <v>EF-45051531.X.X</v>
          </cell>
          <cell r="F4431">
            <v>5376412403</v>
          </cell>
        </row>
        <row r="4432">
          <cell r="E4432" t="str">
            <v>LUC-EZZ-460781-00</v>
          </cell>
          <cell r="F4432">
            <v>5376412403</v>
          </cell>
        </row>
        <row r="4433">
          <cell r="E4433" t="str">
            <v>LUC-EZZ-460781-00</v>
          </cell>
          <cell r="F4433">
            <v>5376412403</v>
          </cell>
        </row>
        <row r="4434">
          <cell r="E4434" t="str">
            <v>122-000293.X.X</v>
          </cell>
          <cell r="F4434">
            <v>5376412403</v>
          </cell>
        </row>
        <row r="4435">
          <cell r="E4435" t="str">
            <v>LUC-EZZ-510023-00</v>
          </cell>
          <cell r="F4435">
            <v>5376412403</v>
          </cell>
        </row>
        <row r="4436">
          <cell r="E4436" t="str">
            <v>LUC-E00-460042-00</v>
          </cell>
          <cell r="F4436">
            <v>5376412403</v>
          </cell>
        </row>
        <row r="4437">
          <cell r="E4437" t="str">
            <v>121-000519.X.X</v>
          </cell>
          <cell r="F4437">
            <v>5376412403</v>
          </cell>
        </row>
        <row r="4438">
          <cell r="E4438" t="str">
            <v>121-000519.X.X</v>
          </cell>
          <cell r="F4438">
            <v>5376412403</v>
          </cell>
        </row>
        <row r="4439">
          <cell r="E4439" t="str">
            <v>122-000362.X.X</v>
          </cell>
          <cell r="F4439">
            <v>5376412403</v>
          </cell>
        </row>
        <row r="4440">
          <cell r="E4440" t="str">
            <v>LUC-E00-470432-00</v>
          </cell>
          <cell r="F4440">
            <v>451923632834</v>
          </cell>
        </row>
        <row r="4441">
          <cell r="E4441" t="str">
            <v>LUC-E00-460009-00</v>
          </cell>
          <cell r="F4441">
            <v>451923632834</v>
          </cell>
        </row>
        <row r="4442">
          <cell r="E4442" t="str">
            <v>LUC-E00-420027-05</v>
          </cell>
          <cell r="F4442">
            <v>451923632834</v>
          </cell>
        </row>
        <row r="4443">
          <cell r="E4443" t="str">
            <v>LUC-E00-510046-00</v>
          </cell>
          <cell r="F4443">
            <v>451923632834</v>
          </cell>
        </row>
        <row r="4444">
          <cell r="E4444" t="str">
            <v>EF-45117206.X.X</v>
          </cell>
          <cell r="F4444">
            <v>451923632834</v>
          </cell>
        </row>
        <row r="4445">
          <cell r="E4445" t="str">
            <v>LUC-E00-400334-00</v>
          </cell>
          <cell r="F4445">
            <v>451923632834</v>
          </cell>
        </row>
        <row r="4446">
          <cell r="E4446" t="str">
            <v>122-004285</v>
          </cell>
          <cell r="F4446">
            <v>451923632834</v>
          </cell>
        </row>
        <row r="4447">
          <cell r="E4447" t="str">
            <v>LUC-E00-420241-00</v>
          </cell>
          <cell r="F4447">
            <v>451923632834</v>
          </cell>
        </row>
        <row r="4448">
          <cell r="E4448" t="str">
            <v>LUC-E00-450056-00</v>
          </cell>
          <cell r="F4448">
            <v>451923632834</v>
          </cell>
        </row>
        <row r="4449">
          <cell r="E4449" t="str">
            <v>LUC-E00-400067-143</v>
          </cell>
          <cell r="F4449">
            <v>451923632834</v>
          </cell>
        </row>
        <row r="4450">
          <cell r="E4450" t="str">
            <v>LUC-E00-420002-10</v>
          </cell>
          <cell r="F4450">
            <v>451923632834</v>
          </cell>
        </row>
        <row r="4451">
          <cell r="E4451" t="str">
            <v>LUC-E00-400012-18</v>
          </cell>
          <cell r="F4451">
            <v>451923632834</v>
          </cell>
        </row>
        <row r="4452">
          <cell r="E4452" t="str">
            <v>LUC-E00-400034-019</v>
          </cell>
          <cell r="F4452">
            <v>451923632834</v>
          </cell>
        </row>
        <row r="4453">
          <cell r="E4453" t="str">
            <v>LUC-EZZ-420331-00</v>
          </cell>
          <cell r="F4453">
            <v>451923632834</v>
          </cell>
        </row>
        <row r="4454">
          <cell r="E4454" t="str">
            <v>LUC-E00-470093-00</v>
          </cell>
          <cell r="F4454">
            <v>287448268656</v>
          </cell>
        </row>
        <row r="4455">
          <cell r="E4455" t="str">
            <v>LUC-E00-470093-00</v>
          </cell>
          <cell r="F4455">
            <v>287448268656</v>
          </cell>
        </row>
        <row r="4456">
          <cell r="E4456" t="str">
            <v>LUC-E00-470093-00</v>
          </cell>
          <cell r="F4456">
            <v>287448268656</v>
          </cell>
        </row>
        <row r="4457">
          <cell r="E4457" t="str">
            <v>LUC-E00-690030-03</v>
          </cell>
          <cell r="F4457">
            <v>453779966911</v>
          </cell>
        </row>
        <row r="4458">
          <cell r="E4458" t="str">
            <v>LUC-E00-400022-000</v>
          </cell>
          <cell r="F4458">
            <v>453779969910</v>
          </cell>
        </row>
        <row r="4459">
          <cell r="E4459" t="str">
            <v>EF-45047095</v>
          </cell>
          <cell r="F4459">
            <v>287367675787</v>
          </cell>
        </row>
        <row r="4460">
          <cell r="E4460" t="str">
            <v>EF-45120874.X.X</v>
          </cell>
          <cell r="F4460">
            <v>287367675787</v>
          </cell>
        </row>
        <row r="4461">
          <cell r="E4461" t="str">
            <v>EF-45169196</v>
          </cell>
          <cell r="F4461">
            <v>287367675787</v>
          </cell>
        </row>
        <row r="4462">
          <cell r="E4462" t="str">
            <v>LUC-EZZ-420084-00</v>
          </cell>
          <cell r="F4462">
            <v>453779968237</v>
          </cell>
        </row>
        <row r="4463">
          <cell r="E4463" t="str">
            <v>LUC-EZZ-470961-00</v>
          </cell>
          <cell r="F4463">
            <v>453779968237</v>
          </cell>
        </row>
        <row r="4464">
          <cell r="E4464" t="str">
            <v>EF-45134746</v>
          </cell>
          <cell r="F4464">
            <v>433912026457</v>
          </cell>
        </row>
        <row r="4465">
          <cell r="E4465" t="str">
            <v>EF-45134746</v>
          </cell>
          <cell r="F4465">
            <v>433912026457</v>
          </cell>
        </row>
        <row r="4466">
          <cell r="E4466" t="str">
            <v>LUC-E00-450010-00</v>
          </cell>
          <cell r="F4466">
            <v>880451480422</v>
          </cell>
        </row>
        <row r="4467">
          <cell r="E4467" t="str">
            <v>LUC-E00-400056-00</v>
          </cell>
          <cell r="F4467">
            <v>880451480422</v>
          </cell>
        </row>
        <row r="4468">
          <cell r="E4468" t="str">
            <v>LUC-E00-420025-05</v>
          </cell>
          <cell r="F4468">
            <v>880451480422</v>
          </cell>
        </row>
        <row r="4469">
          <cell r="E4469" t="str">
            <v>LUC-EZZ-400609-00</v>
          </cell>
          <cell r="F4469">
            <v>880451480422</v>
          </cell>
        </row>
        <row r="4470">
          <cell r="E4470" t="str">
            <v>EF-45133505</v>
          </cell>
          <cell r="F4470">
            <v>287486337488</v>
          </cell>
        </row>
        <row r="4471">
          <cell r="E4471" t="str">
            <v>EF-45133505</v>
          </cell>
          <cell r="F4471">
            <v>287486337488</v>
          </cell>
        </row>
        <row r="4472">
          <cell r="E4472" t="str">
            <v>PUR-09-0294-00</v>
          </cell>
          <cell r="F4472">
            <v>287486337488</v>
          </cell>
        </row>
        <row r="4473">
          <cell r="E4473" t="str">
            <v>PUR-03-0092-03</v>
          </cell>
          <cell r="F4473" t="str">
            <v>8TV4007</v>
          </cell>
        </row>
        <row r="4474">
          <cell r="E4474" t="str">
            <v>PUR-03-0092-03</v>
          </cell>
          <cell r="F4474" t="str">
            <v>8TV4008</v>
          </cell>
        </row>
        <row r="4475">
          <cell r="E4475" t="str">
            <v>PUR-03-0092-03</v>
          </cell>
          <cell r="F4475" t="str">
            <v>8TV4009</v>
          </cell>
        </row>
        <row r="4476">
          <cell r="E4476" t="str">
            <v>PUR-03-0092-03</v>
          </cell>
          <cell r="F4476" t="str">
            <v>8TV4010</v>
          </cell>
        </row>
        <row r="4477">
          <cell r="E4477" t="str">
            <v>PUR-09-0233-00</v>
          </cell>
          <cell r="F4477">
            <v>452730387950</v>
          </cell>
        </row>
        <row r="4478">
          <cell r="E4478" t="str">
            <v>PUR-09-0343-00</v>
          </cell>
          <cell r="F4478">
            <v>441408034733</v>
          </cell>
        </row>
        <row r="4479">
          <cell r="E4479" t="str">
            <v>PUR-09-0343-00</v>
          </cell>
          <cell r="F4479">
            <v>441408034733</v>
          </cell>
        </row>
        <row r="4480">
          <cell r="E4480" t="str">
            <v>PUR-09-0343-00</v>
          </cell>
          <cell r="F4480">
            <v>441408034733</v>
          </cell>
        </row>
        <row r="4481">
          <cell r="E4481" t="str">
            <v>PUR-09-0343-00</v>
          </cell>
          <cell r="F4481">
            <v>441408034733</v>
          </cell>
        </row>
        <row r="4482">
          <cell r="E4482" t="str">
            <v>PUR-09-0343-00</v>
          </cell>
          <cell r="F4482">
            <v>441408034733</v>
          </cell>
        </row>
        <row r="4483">
          <cell r="E4483" t="str">
            <v>PUR-09-0343-00</v>
          </cell>
          <cell r="F4483">
            <v>441408044252</v>
          </cell>
        </row>
        <row r="4484">
          <cell r="E4484" t="str">
            <v>PUR-09-0343-00</v>
          </cell>
          <cell r="F4484">
            <v>441408044252</v>
          </cell>
        </row>
        <row r="4485">
          <cell r="E4485" t="str">
            <v>PUR-09-0343-00</v>
          </cell>
          <cell r="F4485">
            <v>441408044252</v>
          </cell>
        </row>
        <row r="4486">
          <cell r="E4486" t="str">
            <v>PUR-09-0343-00</v>
          </cell>
          <cell r="F4486">
            <v>441408044252</v>
          </cell>
        </row>
        <row r="4487">
          <cell r="E4487" t="str">
            <v>PUR-09-0343-00</v>
          </cell>
          <cell r="F4487">
            <v>441408044252</v>
          </cell>
        </row>
        <row r="4488">
          <cell r="E4488" t="str">
            <v>PUR-09-0343-00</v>
          </cell>
          <cell r="F4488">
            <v>441408044252</v>
          </cell>
        </row>
        <row r="4489">
          <cell r="E4489" t="str">
            <v>PUR-09-0343-00</v>
          </cell>
          <cell r="F4489">
            <v>441408044252</v>
          </cell>
        </row>
        <row r="4490">
          <cell r="E4490" t="str">
            <v>PUR-09-0343-00</v>
          </cell>
          <cell r="F4490">
            <v>441408044252</v>
          </cell>
        </row>
        <row r="4491">
          <cell r="E4491" t="str">
            <v>AIC-MP-00006419-000</v>
          </cell>
          <cell r="F4491">
            <v>880473253770</v>
          </cell>
        </row>
        <row r="4492">
          <cell r="E4492" t="str">
            <v>LUC-E00-470079-00</v>
          </cell>
          <cell r="F4492">
            <v>880475813938</v>
          </cell>
        </row>
        <row r="4493">
          <cell r="E4493" t="str">
            <v>LUC-E00-510034-00</v>
          </cell>
          <cell r="F4493">
            <v>880475813938</v>
          </cell>
        </row>
        <row r="4494">
          <cell r="E4494" t="str">
            <v>LUC-E00-470001-00</v>
          </cell>
          <cell r="F4494">
            <v>446185041336</v>
          </cell>
        </row>
        <row r="4495">
          <cell r="E4495" t="str">
            <v>LUC-E00-470001-00</v>
          </cell>
          <cell r="F4495">
            <v>446185041336</v>
          </cell>
        </row>
        <row r="4496">
          <cell r="E4496" t="str">
            <v>AIC-MP-00004938-000</v>
          </cell>
          <cell r="F4496">
            <v>880473616321</v>
          </cell>
        </row>
        <row r="4497">
          <cell r="E4497" t="str">
            <v>AIC-MP-00005957-000</v>
          </cell>
          <cell r="F4497">
            <v>880473616321</v>
          </cell>
        </row>
        <row r="4498">
          <cell r="E4498" t="str">
            <v>AIC-MP-ID007394-S01</v>
          </cell>
          <cell r="F4498">
            <v>880473616321</v>
          </cell>
        </row>
        <row r="4499">
          <cell r="E4499" t="str">
            <v>LUC-E00-400010-002</v>
          </cell>
          <cell r="F4499">
            <v>287317316330</v>
          </cell>
        </row>
        <row r="4500">
          <cell r="E4500" t="str">
            <v>LUC-E00-400011-003</v>
          </cell>
          <cell r="F4500">
            <v>287363738540</v>
          </cell>
        </row>
        <row r="4501">
          <cell r="E4501" t="str">
            <v>LUC-E00-470183-00</v>
          </cell>
          <cell r="F4501">
            <v>441408044734</v>
          </cell>
        </row>
        <row r="4502">
          <cell r="E4502" t="str">
            <v>LUC-E00-420027-04</v>
          </cell>
          <cell r="F4502">
            <v>453181307092</v>
          </cell>
        </row>
        <row r="4503">
          <cell r="E4503" t="str">
            <v>LUC-E00-420037-14</v>
          </cell>
          <cell r="F4503">
            <v>453181307092</v>
          </cell>
        </row>
        <row r="4504">
          <cell r="E4504" t="str">
            <v>LUC-E00-420073-00</v>
          </cell>
          <cell r="F4504">
            <v>453181307092</v>
          </cell>
        </row>
        <row r="4505">
          <cell r="E4505" t="str">
            <v>LUC-EZZ-400237-00</v>
          </cell>
          <cell r="F4505">
            <v>453181307092</v>
          </cell>
        </row>
        <row r="4506">
          <cell r="E4506" t="str">
            <v>LUC-EZZ-450070-00</v>
          </cell>
          <cell r="F4506">
            <v>453181307092</v>
          </cell>
        </row>
        <row r="4507">
          <cell r="E4507" t="str">
            <v>PUR-09-0427-00</v>
          </cell>
          <cell r="F4507">
            <v>453181307092</v>
          </cell>
        </row>
        <row r="4508">
          <cell r="E4508" t="str">
            <v>PUR-09-0213-00</v>
          </cell>
          <cell r="F4508">
            <v>453181307092</v>
          </cell>
        </row>
        <row r="4509">
          <cell r="E4509" t="str">
            <v>LUC-E00-440097-00</v>
          </cell>
          <cell r="F4509">
            <v>453181307092</v>
          </cell>
        </row>
        <row r="4510">
          <cell r="E4510" t="str">
            <v>LUC-E00-400028-13</v>
          </cell>
          <cell r="F4510">
            <v>453181307092</v>
          </cell>
        </row>
        <row r="4511">
          <cell r="E4511" t="str">
            <v>LUC-E00-420024-00</v>
          </cell>
          <cell r="F4511">
            <v>453181307092</v>
          </cell>
        </row>
        <row r="4512">
          <cell r="E4512" t="str">
            <v>PUR-21-0036-00</v>
          </cell>
          <cell r="F4512">
            <v>453181307092</v>
          </cell>
        </row>
        <row r="4513">
          <cell r="E4513" t="str">
            <v>PUR-12-0337-00</v>
          </cell>
          <cell r="F4513">
            <v>880448810980</v>
          </cell>
        </row>
        <row r="4514">
          <cell r="E4514" t="str">
            <v>PUR-12-0343-00</v>
          </cell>
          <cell r="F4514">
            <v>880448810980</v>
          </cell>
        </row>
        <row r="4515">
          <cell r="E4515" t="str">
            <v>PUR-12-0337-00</v>
          </cell>
          <cell r="F4515">
            <v>880448810980</v>
          </cell>
        </row>
        <row r="4516">
          <cell r="E4516" t="str">
            <v>PUR-12-0431-00</v>
          </cell>
          <cell r="F4516">
            <v>880448810980</v>
          </cell>
        </row>
        <row r="4517">
          <cell r="E4517" t="str">
            <v>PURET-12-0011-00</v>
          </cell>
          <cell r="F4517">
            <v>880448810980</v>
          </cell>
        </row>
        <row r="4518">
          <cell r="E4518" t="str">
            <v>PURET-12-0225-00</v>
          </cell>
          <cell r="F4518">
            <v>880448810980</v>
          </cell>
        </row>
        <row r="4519">
          <cell r="E4519" t="str">
            <v>PUR-12-0324-00</v>
          </cell>
          <cell r="F4519">
            <v>880448810980</v>
          </cell>
        </row>
        <row r="4520">
          <cell r="E4520" t="str">
            <v>EF-45043819.X.X</v>
          </cell>
          <cell r="F4520">
            <v>880448810980</v>
          </cell>
        </row>
        <row r="4521">
          <cell r="E4521" t="str">
            <v>EF-45043826.X.X</v>
          </cell>
          <cell r="F4521">
            <v>880448810980</v>
          </cell>
        </row>
        <row r="4522">
          <cell r="E4522" t="str">
            <v>EF-45036455.X.X</v>
          </cell>
          <cell r="F4522">
            <v>880448810980</v>
          </cell>
        </row>
        <row r="4523">
          <cell r="E4523" t="str">
            <v>PUR-07-0210-00</v>
          </cell>
          <cell r="F4523">
            <v>880447714600</v>
          </cell>
        </row>
        <row r="4524">
          <cell r="E4524" t="str">
            <v>EF-45155479</v>
          </cell>
          <cell r="F4524">
            <v>880447714600</v>
          </cell>
        </row>
        <row r="4525">
          <cell r="E4525" t="str">
            <v>EF-45086573</v>
          </cell>
          <cell r="F4525">
            <v>912489516901</v>
          </cell>
        </row>
        <row r="4526">
          <cell r="E4526" t="str">
            <v>122-000735.X.X</v>
          </cell>
          <cell r="F4526">
            <v>880475068461</v>
          </cell>
        </row>
        <row r="4527">
          <cell r="E4527" t="str">
            <v>PURET-12-0035-00</v>
          </cell>
          <cell r="F4527">
            <v>880475068461</v>
          </cell>
        </row>
        <row r="4528">
          <cell r="E4528" t="str">
            <v>PURET-12-0035-00</v>
          </cell>
          <cell r="F4528">
            <v>880475068461</v>
          </cell>
        </row>
        <row r="4529">
          <cell r="E4529" t="str">
            <v>PURET-13-0028-00</v>
          </cell>
          <cell r="F4529">
            <v>880475068461</v>
          </cell>
        </row>
        <row r="4530">
          <cell r="E4530" t="str">
            <v>PURET-13-0028-00</v>
          </cell>
          <cell r="F4530">
            <v>880475068461</v>
          </cell>
        </row>
        <row r="4531">
          <cell r="E4531" t="str">
            <v>EF-45090819</v>
          </cell>
          <cell r="F4531">
            <v>880475068461</v>
          </cell>
        </row>
        <row r="4532">
          <cell r="E4532" t="str">
            <v>EF-45043536.X.X</v>
          </cell>
          <cell r="F4532">
            <v>880475068461</v>
          </cell>
        </row>
        <row r="4533">
          <cell r="E4533" t="str">
            <v>EF-45076937</v>
          </cell>
          <cell r="F4533">
            <v>880475068461</v>
          </cell>
        </row>
        <row r="4534">
          <cell r="E4534" t="str">
            <v>LUC-E00-420045-00</v>
          </cell>
          <cell r="F4534">
            <v>880475068461</v>
          </cell>
        </row>
        <row r="4535">
          <cell r="E4535" t="str">
            <v>LUC-E00-420045-00</v>
          </cell>
          <cell r="F4535">
            <v>880475068461</v>
          </cell>
        </row>
        <row r="4536">
          <cell r="E4536" t="str">
            <v>LUC-E00-420045-00</v>
          </cell>
          <cell r="F4536">
            <v>880475068461</v>
          </cell>
        </row>
        <row r="4537">
          <cell r="E4537" t="str">
            <v>PUR-09-0267-00</v>
          </cell>
          <cell r="F4537">
            <v>453789852773</v>
          </cell>
        </row>
        <row r="4538">
          <cell r="E4538" t="str">
            <v>PUR-03-0038-00</v>
          </cell>
          <cell r="F4538">
            <v>453789852773</v>
          </cell>
        </row>
        <row r="4539">
          <cell r="E4539" t="str">
            <v>PUR-09-0267-00</v>
          </cell>
          <cell r="F4539">
            <v>453789852773</v>
          </cell>
        </row>
        <row r="4540">
          <cell r="E4540" t="str">
            <v>LUC-P00-F189AG-00</v>
          </cell>
          <cell r="F4540">
            <v>880475160831</v>
          </cell>
        </row>
        <row r="4541">
          <cell r="E4541" t="str">
            <v>LUC-P00-F189AG-00</v>
          </cell>
          <cell r="F4541">
            <v>880475160831</v>
          </cell>
        </row>
        <row r="4542">
          <cell r="E4542" t="str">
            <v>LUC-P00-F189AG-00</v>
          </cell>
          <cell r="F4542">
            <v>880475160831</v>
          </cell>
        </row>
        <row r="4543">
          <cell r="E4543" t="str">
            <v>LUC-E00-420051-02</v>
          </cell>
          <cell r="F4543">
            <v>429083215027</v>
          </cell>
        </row>
        <row r="4544">
          <cell r="E4544" t="str">
            <v>LUC-E00-420051-02</v>
          </cell>
          <cell r="F4544">
            <v>429083215027</v>
          </cell>
        </row>
        <row r="4545">
          <cell r="E4545" t="str">
            <v>LUC-E00-420051-02</v>
          </cell>
          <cell r="F4545">
            <v>429083215027</v>
          </cell>
        </row>
        <row r="4546">
          <cell r="E4546" t="str">
            <v>LUC-E00-420051-02</v>
          </cell>
          <cell r="F4546">
            <v>429083215027</v>
          </cell>
        </row>
        <row r="4547">
          <cell r="E4547" t="str">
            <v>LUC-E00-420051-02</v>
          </cell>
          <cell r="F4547">
            <v>429083215027</v>
          </cell>
        </row>
        <row r="4548">
          <cell r="E4548" t="str">
            <v>LUC-E00-420051-02</v>
          </cell>
          <cell r="F4548">
            <v>429083215027</v>
          </cell>
        </row>
        <row r="4549">
          <cell r="E4549" t="str">
            <v>LUC-E00-510018-00</v>
          </cell>
          <cell r="F4549">
            <v>429083215027</v>
          </cell>
        </row>
        <row r="4550">
          <cell r="E4550" t="str">
            <v>LUC-EZZ-420331-00</v>
          </cell>
          <cell r="F4550">
            <v>429083215027</v>
          </cell>
        </row>
        <row r="4551">
          <cell r="E4551" t="str">
            <v>LUC-E00-460005-00</v>
          </cell>
          <cell r="F4551">
            <v>429083215027</v>
          </cell>
        </row>
        <row r="4552">
          <cell r="E4552" t="str">
            <v>LUC-EZZ-420331-00</v>
          </cell>
          <cell r="F4552">
            <v>429083215027</v>
          </cell>
        </row>
        <row r="4553">
          <cell r="E4553" t="str">
            <v>PUR-13-0149-00</v>
          </cell>
          <cell r="F4553">
            <v>429083215027</v>
          </cell>
        </row>
        <row r="4554">
          <cell r="E4554" t="str">
            <v>LUC-E00-460005-00</v>
          </cell>
          <cell r="F4554">
            <v>429083215027</v>
          </cell>
        </row>
        <row r="4555">
          <cell r="E4555" t="str">
            <v>PUR-14-0085-00</v>
          </cell>
          <cell r="F4555">
            <v>429083215027</v>
          </cell>
        </row>
        <row r="4556">
          <cell r="E4556" t="str">
            <v>PUR-27-0024-00</v>
          </cell>
          <cell r="F4556">
            <v>429083215027</v>
          </cell>
        </row>
        <row r="4557">
          <cell r="E4557" t="str">
            <v>PUR-13-0164-00</v>
          </cell>
          <cell r="F4557">
            <v>429083215027</v>
          </cell>
        </row>
        <row r="4558">
          <cell r="E4558" t="str">
            <v>PUR-11-0065-06</v>
          </cell>
          <cell r="F4558" t="str">
            <v>LSZHPH2503521</v>
          </cell>
        </row>
        <row r="4559">
          <cell r="E4559" t="str">
            <v>PUR-11-0065-06</v>
          </cell>
          <cell r="F4559" t="str">
            <v>LSZHPH2503521</v>
          </cell>
        </row>
        <row r="4560">
          <cell r="E4560" t="str">
            <v>PUR-11-0106-05</v>
          </cell>
          <cell r="F4560" t="str">
            <v>LSZHPH2503521</v>
          </cell>
        </row>
        <row r="4561">
          <cell r="E4561" t="str">
            <v>PUR-11-0065-06</v>
          </cell>
          <cell r="F4561" t="str">
            <v>LSZHPH2503521</v>
          </cell>
        </row>
        <row r="4562">
          <cell r="E4562" t="str">
            <v>PUR-11-0106-05</v>
          </cell>
          <cell r="F4562" t="str">
            <v>LSZHPH2503521</v>
          </cell>
        </row>
        <row r="4563">
          <cell r="E4563" t="str">
            <v>PUR-11-0066-05</v>
          </cell>
          <cell r="F4563" t="str">
            <v>LSZHPH2503521</v>
          </cell>
        </row>
        <row r="4564">
          <cell r="E4564" t="str">
            <v>PUR-33-0027-00</v>
          </cell>
          <cell r="F4564">
            <v>880551814610</v>
          </cell>
        </row>
        <row r="4565">
          <cell r="E4565" t="str">
            <v>PUR-18-0548-00</v>
          </cell>
          <cell r="F4565">
            <v>880551814610</v>
          </cell>
        </row>
        <row r="4566">
          <cell r="E4566" t="str">
            <v>PUR-18-0580-00</v>
          </cell>
          <cell r="F4566">
            <v>880551814610</v>
          </cell>
        </row>
        <row r="4567">
          <cell r="E4567" t="str">
            <v>PUR-18-0579-00</v>
          </cell>
          <cell r="F4567">
            <v>880551814610</v>
          </cell>
        </row>
        <row r="4568">
          <cell r="E4568" t="str">
            <v>LUC-P21-K81001-01</v>
          </cell>
          <cell r="F4568" t="str">
            <v>LSHHPH2502352</v>
          </cell>
        </row>
        <row r="4569">
          <cell r="E4569" t="str">
            <v>LUC-P21-K81100-01</v>
          </cell>
          <cell r="F4569" t="str">
            <v>LSHHPH2502352</v>
          </cell>
        </row>
        <row r="4570">
          <cell r="E4570" t="str">
            <v>LUC-P21-K81101-01</v>
          </cell>
          <cell r="F4570" t="str">
            <v>LSHHPH2502352</v>
          </cell>
        </row>
        <row r="4571">
          <cell r="E4571" t="str">
            <v>LUC-P21-K81201-01</v>
          </cell>
          <cell r="F4571" t="str">
            <v>LSHHPH2502352</v>
          </cell>
        </row>
        <row r="4572">
          <cell r="E4572" t="str">
            <v>PUR-11-0104-05</v>
          </cell>
          <cell r="F4572">
            <v>4812801452</v>
          </cell>
        </row>
        <row r="4573">
          <cell r="E4573" t="str">
            <v>PUR-11-0104-05</v>
          </cell>
          <cell r="F4573">
            <v>4812801452</v>
          </cell>
        </row>
        <row r="4574">
          <cell r="E4574" t="str">
            <v>PUR-11-0104-05</v>
          </cell>
          <cell r="F4574">
            <v>4812801452</v>
          </cell>
        </row>
        <row r="4575">
          <cell r="E4575" t="str">
            <v>PUR-17-0283-02</v>
          </cell>
          <cell r="F4575" t="str">
            <v>KNQ3</v>
          </cell>
        </row>
        <row r="4576">
          <cell r="E4576" t="str">
            <v>LUC-E00-690033-03</v>
          </cell>
          <cell r="F4576" t="str">
            <v>LSHHPH2502641</v>
          </cell>
        </row>
        <row r="4577">
          <cell r="E4577" t="str">
            <v>LUC-E00-690033-01</v>
          </cell>
          <cell r="F4577" t="str">
            <v>LSHHPH2502641</v>
          </cell>
        </row>
        <row r="4578">
          <cell r="E4578" t="str">
            <v>LUC-E00-690033-02</v>
          </cell>
          <cell r="F4578" t="str">
            <v>LSHHPH2502641</v>
          </cell>
        </row>
        <row r="4579">
          <cell r="E4579" t="str">
            <v>LUC-E00-690033-00</v>
          </cell>
          <cell r="F4579" t="str">
            <v>LSHHPH2502641</v>
          </cell>
        </row>
        <row r="4580">
          <cell r="E4580" t="str">
            <v>LUC-E00-690106-01</v>
          </cell>
          <cell r="F4580" t="str">
            <v>LSHHPH2502641</v>
          </cell>
        </row>
        <row r="4581">
          <cell r="E4581" t="str">
            <v>LUC-E00-690106-00</v>
          </cell>
          <cell r="F4581" t="str">
            <v>LSHHPH2502641</v>
          </cell>
        </row>
        <row r="4582">
          <cell r="E4582" t="str">
            <v>PUR-03-0091-02</v>
          </cell>
          <cell r="F4582">
            <v>453789899760</v>
          </cell>
        </row>
        <row r="4583">
          <cell r="E4583" t="str">
            <v>PUR-09-0294-00</v>
          </cell>
          <cell r="F4583">
            <v>287567431001</v>
          </cell>
        </row>
        <row r="4584">
          <cell r="E4584" t="str">
            <v>PUR-09-0294-00</v>
          </cell>
          <cell r="F4584">
            <v>287567431001</v>
          </cell>
        </row>
        <row r="4585">
          <cell r="E4585" t="str">
            <v>PUR-09-0294-00</v>
          </cell>
          <cell r="F4585">
            <v>287567431001</v>
          </cell>
        </row>
        <row r="4586">
          <cell r="E4586" t="str">
            <v>PUR-09-0294-00</v>
          </cell>
          <cell r="F4586">
            <v>287567431001</v>
          </cell>
        </row>
        <row r="4587">
          <cell r="E4587" t="str">
            <v>PUR-09-0294-00</v>
          </cell>
          <cell r="F4587">
            <v>287567431001</v>
          </cell>
        </row>
        <row r="4588">
          <cell r="E4588" t="str">
            <v>LUC-EZZ-490535-00</v>
          </cell>
          <cell r="F4588" t="str">
            <v>ST25040810</v>
          </cell>
        </row>
        <row r="4589">
          <cell r="E4589" t="str">
            <v>LUC-EZZ-490315-02</v>
          </cell>
          <cell r="F4589" t="str">
            <v>ST25040810</v>
          </cell>
        </row>
        <row r="4590">
          <cell r="E4590" t="str">
            <v>LUC-EZZ-490310-04</v>
          </cell>
          <cell r="F4590" t="str">
            <v>ST25040810</v>
          </cell>
        </row>
        <row r="4591">
          <cell r="E4591" t="str">
            <v>LUC-EZZ-490305-05</v>
          </cell>
          <cell r="F4591" t="str">
            <v>ST25040810</v>
          </cell>
        </row>
        <row r="4592">
          <cell r="E4592" t="str">
            <v>LUC-EZZ-490231-04</v>
          </cell>
          <cell r="F4592" t="str">
            <v>ST25040810</v>
          </cell>
        </row>
        <row r="4593">
          <cell r="E4593" t="str">
            <v>PUR-03-0096-02</v>
          </cell>
          <cell r="F4593" t="str">
            <v>8TV4011</v>
          </cell>
        </row>
        <row r="4594">
          <cell r="E4594" t="str">
            <v>PUR-03-0096-02</v>
          </cell>
          <cell r="F4594" t="str">
            <v>8TV4012</v>
          </cell>
        </row>
        <row r="4595">
          <cell r="E4595" t="str">
            <v>PUR-03-0099-03</v>
          </cell>
          <cell r="F4595" t="str">
            <v>8TV4013</v>
          </cell>
        </row>
        <row r="4596">
          <cell r="E4596" t="str">
            <v>LUC-E00-690032-00</v>
          </cell>
          <cell r="F4596">
            <v>426080010764</v>
          </cell>
        </row>
        <row r="4597">
          <cell r="E4597" t="str">
            <v>LUC-E00-450052-00</v>
          </cell>
          <cell r="F4597">
            <v>426080010764</v>
          </cell>
        </row>
        <row r="4598">
          <cell r="E4598" t="str">
            <v>LUC-E00-420057-01</v>
          </cell>
          <cell r="F4598">
            <v>426080010764</v>
          </cell>
        </row>
        <row r="4599">
          <cell r="E4599" t="str">
            <v>EF-45112739</v>
          </cell>
          <cell r="F4599">
            <v>426080010764</v>
          </cell>
        </row>
        <row r="4600">
          <cell r="E4600" t="str">
            <v>LUC-E00-420055-15</v>
          </cell>
          <cell r="F4600">
            <v>426080010764</v>
          </cell>
        </row>
        <row r="4601">
          <cell r="E4601" t="str">
            <v>LUC-E00-420070-00</v>
          </cell>
          <cell r="F4601">
            <v>426080010764</v>
          </cell>
        </row>
        <row r="4602">
          <cell r="E4602" t="str">
            <v>LUC-E00-400001-010</v>
          </cell>
          <cell r="F4602">
            <v>426080010764</v>
          </cell>
        </row>
        <row r="4603">
          <cell r="E4603" t="str">
            <v>LUC-E00-400011-003</v>
          </cell>
          <cell r="F4603">
            <v>426080010764</v>
          </cell>
        </row>
        <row r="4604">
          <cell r="E4604">
            <v>45247007</v>
          </cell>
          <cell r="F4604">
            <v>426080010764</v>
          </cell>
        </row>
        <row r="4605">
          <cell r="E4605">
            <v>45194860</v>
          </cell>
          <cell r="F4605">
            <v>426080010764</v>
          </cell>
        </row>
        <row r="4606">
          <cell r="E4606" t="str">
            <v>LUC-E00-440029-00</v>
          </cell>
          <cell r="F4606">
            <v>426080010764</v>
          </cell>
        </row>
        <row r="4607">
          <cell r="E4607" t="str">
            <v>LUC-EZZ-400244-00</v>
          </cell>
          <cell r="F4607">
            <v>426080010764</v>
          </cell>
        </row>
        <row r="4608">
          <cell r="E4608" t="str">
            <v>LUC-E00-470049-00</v>
          </cell>
          <cell r="F4608">
            <v>426080010764</v>
          </cell>
        </row>
        <row r="4609">
          <cell r="E4609" t="str">
            <v>LUC-E00-420045-02</v>
          </cell>
          <cell r="F4609">
            <v>426080010764</v>
          </cell>
        </row>
        <row r="4610">
          <cell r="E4610" t="str">
            <v>LUC-E00-400010-010</v>
          </cell>
          <cell r="F4610">
            <v>426080010764</v>
          </cell>
        </row>
        <row r="4611">
          <cell r="E4611" t="str">
            <v>LUC-E00-420002-00</v>
          </cell>
          <cell r="F4611">
            <v>426080010764</v>
          </cell>
        </row>
        <row r="4612">
          <cell r="E4612" t="str">
            <v>LUC-E00-450067-00</v>
          </cell>
          <cell r="F4612">
            <v>426080010764</v>
          </cell>
        </row>
        <row r="4613">
          <cell r="E4613" t="str">
            <v>EF-45140636</v>
          </cell>
          <cell r="F4613">
            <v>426080010764</v>
          </cell>
        </row>
        <row r="4614">
          <cell r="E4614" t="str">
            <v>LUC-EZZ-420120-00</v>
          </cell>
          <cell r="F4614">
            <v>426080010764</v>
          </cell>
        </row>
        <row r="4615">
          <cell r="E4615" t="str">
            <v>EF-45049939.X.X</v>
          </cell>
          <cell r="F4615">
            <v>426080010764</v>
          </cell>
        </row>
        <row r="4616">
          <cell r="E4616" t="str">
            <v>LUC-E00-400010-016</v>
          </cell>
          <cell r="F4616">
            <v>426080010764</v>
          </cell>
        </row>
        <row r="4617">
          <cell r="E4617" t="str">
            <v>EF-45052527</v>
          </cell>
          <cell r="F4617">
            <v>426080010764</v>
          </cell>
        </row>
        <row r="4618">
          <cell r="E4618" t="str">
            <v>LUC-E00-400010-003</v>
          </cell>
          <cell r="F4618">
            <v>426080010764</v>
          </cell>
        </row>
        <row r="4619">
          <cell r="E4619" t="str">
            <v>LUC-E00-400010-048</v>
          </cell>
          <cell r="F4619">
            <v>426080010764</v>
          </cell>
        </row>
        <row r="4620">
          <cell r="E4620" t="str">
            <v>LUC-E00-400010-022</v>
          </cell>
          <cell r="F4620">
            <v>426080010764</v>
          </cell>
        </row>
        <row r="4621">
          <cell r="E4621" t="str">
            <v>LUC-E00-420055-00</v>
          </cell>
          <cell r="F4621">
            <v>426080010764</v>
          </cell>
        </row>
        <row r="4622">
          <cell r="E4622" t="str">
            <v>LUCC-EZZ-420095-00</v>
          </cell>
          <cell r="F4622">
            <v>426080010764</v>
          </cell>
        </row>
        <row r="4623">
          <cell r="E4623" t="str">
            <v>LUC-EZZ-400609-00</v>
          </cell>
          <cell r="F4623">
            <v>426080010764</v>
          </cell>
        </row>
        <row r="4624">
          <cell r="E4624" t="str">
            <v>LUC-E00-420034-01</v>
          </cell>
          <cell r="F4624">
            <v>426080010764</v>
          </cell>
        </row>
        <row r="4625">
          <cell r="E4625" t="str">
            <v>LUC-E00-420037-01</v>
          </cell>
          <cell r="F4625">
            <v>426080010764</v>
          </cell>
        </row>
        <row r="4626">
          <cell r="E4626" t="str">
            <v>EF-45129595</v>
          </cell>
          <cell r="F4626">
            <v>426080010764</v>
          </cell>
        </row>
        <row r="4627">
          <cell r="E4627" t="str">
            <v>LUC-EZZ-440129-00</v>
          </cell>
          <cell r="F4627">
            <v>426080010764</v>
          </cell>
        </row>
        <row r="4628">
          <cell r="E4628" t="str">
            <v>LUC-E00-420054-01</v>
          </cell>
          <cell r="F4628">
            <v>426080010764</v>
          </cell>
        </row>
        <row r="4629">
          <cell r="E4629" t="str">
            <v>LUC-E00-400001-005</v>
          </cell>
          <cell r="F4629">
            <v>426080010764</v>
          </cell>
        </row>
        <row r="4630">
          <cell r="E4630" t="str">
            <v>LUC-E00-400067-487</v>
          </cell>
          <cell r="F4630">
            <v>426080010764</v>
          </cell>
        </row>
        <row r="4631">
          <cell r="E4631" t="str">
            <v>LUC-E00-420076-00</v>
          </cell>
          <cell r="F4631">
            <v>426080010764</v>
          </cell>
        </row>
        <row r="4632">
          <cell r="E4632" t="str">
            <v>PUR-15-0207-00</v>
          </cell>
          <cell r="F4632">
            <v>880517912783</v>
          </cell>
        </row>
        <row r="4633">
          <cell r="E4633" t="str">
            <v>PUR-15-0207-00</v>
          </cell>
          <cell r="F4633">
            <v>880517912783</v>
          </cell>
        </row>
        <row r="4634">
          <cell r="E4634" t="str">
            <v>PUR-15-0207-00</v>
          </cell>
          <cell r="F4634">
            <v>880517912783</v>
          </cell>
        </row>
        <row r="4635">
          <cell r="E4635" t="str">
            <v>LUC-E00-690201-00</v>
          </cell>
          <cell r="F4635">
            <v>880517912783</v>
          </cell>
        </row>
        <row r="4636">
          <cell r="E4636" t="str">
            <v>134-000473</v>
          </cell>
          <cell r="F4636">
            <v>445131385197</v>
          </cell>
        </row>
        <row r="4637">
          <cell r="E4637" t="str">
            <v>EF-45125060</v>
          </cell>
          <cell r="F4637">
            <v>722661013300</v>
          </cell>
        </row>
        <row r="4638">
          <cell r="E4638" t="str">
            <v>LUC-E00-440003-01</v>
          </cell>
          <cell r="F4638">
            <v>722661013300</v>
          </cell>
        </row>
        <row r="4639">
          <cell r="E4639" t="str">
            <v>LUC-E00-440003-02</v>
          </cell>
          <cell r="F4639">
            <v>722661013300</v>
          </cell>
        </row>
        <row r="4640">
          <cell r="E4640" t="str">
            <v>LUC-E00-440046-00</v>
          </cell>
          <cell r="F4640">
            <v>722661013300</v>
          </cell>
        </row>
        <row r="4641">
          <cell r="E4641" t="str">
            <v>LUC-E00-440072-01</v>
          </cell>
          <cell r="F4641">
            <v>722661013300</v>
          </cell>
        </row>
        <row r="4642">
          <cell r="E4642" t="str">
            <v>LUC-EZZ-440028-00</v>
          </cell>
          <cell r="F4642">
            <v>722661013300</v>
          </cell>
        </row>
        <row r="4643">
          <cell r="E4643" t="str">
            <v>LUC-EZZ-440031-00</v>
          </cell>
          <cell r="F4643">
            <v>722661013300</v>
          </cell>
        </row>
        <row r="4644">
          <cell r="E4644" t="str">
            <v>LUC-EZZ-440911-00</v>
          </cell>
          <cell r="F4644">
            <v>722661013300</v>
          </cell>
        </row>
        <row r="4645">
          <cell r="E4645" t="str">
            <v>LUC-EZZ-440030-00</v>
          </cell>
          <cell r="F4645">
            <v>722661013300</v>
          </cell>
        </row>
        <row r="4646">
          <cell r="E4646" t="str">
            <v>LUC-EZZ-440090-00</v>
          </cell>
          <cell r="F4646">
            <v>722661013300</v>
          </cell>
        </row>
        <row r="4647">
          <cell r="E4647" t="str">
            <v>LUC-E00-440024-00</v>
          </cell>
          <cell r="F4647">
            <v>409298781061</v>
          </cell>
        </row>
        <row r="4648">
          <cell r="E4648" t="str">
            <v>LUC-E00-440030-00</v>
          </cell>
          <cell r="F4648">
            <v>409298781061</v>
          </cell>
        </row>
        <row r="4649">
          <cell r="E4649" t="str">
            <v>LUC-E00-420049-00</v>
          </cell>
          <cell r="F4649">
            <v>409298781061</v>
          </cell>
        </row>
        <row r="4650">
          <cell r="E4650" t="str">
            <v>LUC-E00-420049-00</v>
          </cell>
          <cell r="F4650">
            <v>409298781061</v>
          </cell>
        </row>
        <row r="4651">
          <cell r="E4651" t="str">
            <v>LUC-E00-420049-00</v>
          </cell>
          <cell r="F4651">
            <v>409298781061</v>
          </cell>
        </row>
        <row r="4652">
          <cell r="E4652" t="str">
            <v>LUC-EZZ-420095-00</v>
          </cell>
          <cell r="F4652">
            <v>409298781061</v>
          </cell>
        </row>
        <row r="4653">
          <cell r="E4653" t="str">
            <v>LUC-EZZ-420095-00</v>
          </cell>
          <cell r="F4653">
            <v>409298781061</v>
          </cell>
        </row>
        <row r="4654">
          <cell r="E4654" t="str">
            <v>LUC-E00-440030-00</v>
          </cell>
          <cell r="F4654">
            <v>409298781061</v>
          </cell>
        </row>
        <row r="4655">
          <cell r="E4655" t="str">
            <v>LUC-EZZ-420101-00</v>
          </cell>
          <cell r="F4655">
            <v>409298781061</v>
          </cell>
        </row>
        <row r="4656">
          <cell r="E4656" t="str">
            <v>LUC-E00-420059-00</v>
          </cell>
          <cell r="F4656">
            <v>409298781061</v>
          </cell>
        </row>
        <row r="4657">
          <cell r="E4657" t="str">
            <v>LUC-E00-420059-00</v>
          </cell>
          <cell r="F4657">
            <v>409298781061</v>
          </cell>
        </row>
        <row r="4658">
          <cell r="E4658" t="str">
            <v>LUC-E00-420002-03</v>
          </cell>
          <cell r="F4658">
            <v>409298781061</v>
          </cell>
        </row>
        <row r="4659">
          <cell r="E4659" t="str">
            <v>PUR-12-0472-00</v>
          </cell>
          <cell r="F4659">
            <v>409298781061</v>
          </cell>
        </row>
        <row r="4660">
          <cell r="E4660" t="str">
            <v>LUC-E00-420002-09</v>
          </cell>
          <cell r="F4660">
            <v>409298781061</v>
          </cell>
        </row>
        <row r="4661">
          <cell r="E4661" t="str">
            <v>LUC-E00-420054-06</v>
          </cell>
          <cell r="F4661">
            <v>409298781061</v>
          </cell>
        </row>
        <row r="4662">
          <cell r="E4662" t="str">
            <v>LUC-E00-400011-000</v>
          </cell>
          <cell r="F4662">
            <v>409298781061</v>
          </cell>
        </row>
        <row r="4663">
          <cell r="E4663" t="str">
            <v>LUC-EZZ-420098-00</v>
          </cell>
          <cell r="F4663">
            <v>409298781061</v>
          </cell>
        </row>
        <row r="4664">
          <cell r="E4664" t="str">
            <v>LUC-EZZ-420098-00</v>
          </cell>
          <cell r="F4664">
            <v>409298781061</v>
          </cell>
        </row>
        <row r="4665">
          <cell r="E4665" t="str">
            <v>123-001914</v>
          </cell>
          <cell r="F4665">
            <v>880480002905</v>
          </cell>
        </row>
        <row r="4666">
          <cell r="E4666" t="str">
            <v>LUC-EZZ-400261-00</v>
          </cell>
          <cell r="F4666">
            <v>3768824356</v>
          </cell>
        </row>
        <row r="4667">
          <cell r="E4667" t="str">
            <v>LUC-E00-400001-010</v>
          </cell>
          <cell r="F4667">
            <v>3768824356</v>
          </cell>
        </row>
        <row r="4668">
          <cell r="E4668" t="str">
            <v>LUC-E00-400010-007</v>
          </cell>
          <cell r="F4668">
            <v>3768824356</v>
          </cell>
        </row>
        <row r="4669">
          <cell r="E4669" t="str">
            <v>LUC-E00-400010-034</v>
          </cell>
          <cell r="F4669">
            <v>3768824356</v>
          </cell>
        </row>
        <row r="4670">
          <cell r="E4670" t="str">
            <v>LUC-E00-400010-048</v>
          </cell>
          <cell r="F4670">
            <v>3768824356</v>
          </cell>
        </row>
        <row r="4671">
          <cell r="E4671" t="str">
            <v>LUC-E00-420076-00</v>
          </cell>
          <cell r="F4671">
            <v>3768824356</v>
          </cell>
        </row>
        <row r="4672">
          <cell r="E4672" t="str">
            <v>LUC-E00-510019-00</v>
          </cell>
          <cell r="F4672">
            <v>3768824356</v>
          </cell>
        </row>
        <row r="4673">
          <cell r="E4673" t="str">
            <v>LUC-EZZ-420539-00</v>
          </cell>
          <cell r="F4673">
            <v>3768824356</v>
          </cell>
        </row>
        <row r="4674">
          <cell r="E4674" t="str">
            <v>LUC-E00-420076-00</v>
          </cell>
          <cell r="F4674">
            <v>3768824356</v>
          </cell>
        </row>
        <row r="4675">
          <cell r="E4675" t="str">
            <v>LUC-E00-400010-050</v>
          </cell>
          <cell r="F4675">
            <v>3768824356</v>
          </cell>
        </row>
        <row r="4676">
          <cell r="E4676" t="str">
            <v>LUC-EZZ-420151-00</v>
          </cell>
          <cell r="F4676">
            <v>3768824356</v>
          </cell>
        </row>
        <row r="4677">
          <cell r="E4677" t="str">
            <v>LUC-E00-400010-044</v>
          </cell>
          <cell r="F4677">
            <v>3768824356</v>
          </cell>
        </row>
        <row r="4678">
          <cell r="E4678" t="str">
            <v>LUC-E00-420059-03</v>
          </cell>
          <cell r="F4678">
            <v>3768824356</v>
          </cell>
        </row>
        <row r="4679">
          <cell r="E4679" t="str">
            <v>LUC-E00-400010-043</v>
          </cell>
          <cell r="F4679">
            <v>3768824356</v>
          </cell>
        </row>
        <row r="4680">
          <cell r="E4680" t="str">
            <v>LUC-E00-450052-00</v>
          </cell>
          <cell r="F4680">
            <v>3768824356</v>
          </cell>
        </row>
        <row r="4681">
          <cell r="E4681" t="str">
            <v>LUC-EZZ-420527-00</v>
          </cell>
          <cell r="F4681">
            <v>3768824356</v>
          </cell>
        </row>
        <row r="4682">
          <cell r="E4682" t="str">
            <v>LUC-EZZ-420151-00</v>
          </cell>
          <cell r="F4682">
            <v>3768824356</v>
          </cell>
        </row>
        <row r="4683">
          <cell r="E4683" t="str">
            <v>LUC-EZZ-420399-00</v>
          </cell>
          <cell r="F4683">
            <v>3768824356</v>
          </cell>
        </row>
        <row r="4684">
          <cell r="E4684" t="str">
            <v>LUC-E00-450043-00</v>
          </cell>
          <cell r="F4684">
            <v>3768824356</v>
          </cell>
        </row>
        <row r="4685">
          <cell r="E4685" t="str">
            <v>LUC-E00-450043-00</v>
          </cell>
          <cell r="F4685">
            <v>3768824356</v>
          </cell>
        </row>
        <row r="4686">
          <cell r="E4686" t="str">
            <v>LUC-E00-450043-00</v>
          </cell>
          <cell r="F4686">
            <v>3768824356</v>
          </cell>
        </row>
        <row r="4687">
          <cell r="E4687" t="str">
            <v>LUC-EZZ-510080-00</v>
          </cell>
          <cell r="F4687">
            <v>3768824356</v>
          </cell>
        </row>
        <row r="4688">
          <cell r="E4688" t="str">
            <v>LUC-E00-420186-00</v>
          </cell>
          <cell r="F4688">
            <v>3768824356</v>
          </cell>
        </row>
        <row r="4689">
          <cell r="E4689" t="str">
            <v>LUC-E00-510021-00</v>
          </cell>
          <cell r="F4689">
            <v>3768824356</v>
          </cell>
        </row>
        <row r="4690">
          <cell r="E4690" t="str">
            <v>LUC-E00-420054-04</v>
          </cell>
          <cell r="F4690">
            <v>3768824356</v>
          </cell>
        </row>
        <row r="4691">
          <cell r="E4691" t="str">
            <v>LUC-E00-4700104-00</v>
          </cell>
          <cell r="F4691">
            <v>3768824356</v>
          </cell>
        </row>
        <row r="4692">
          <cell r="E4692" t="str">
            <v>LUC-E00-420027-03</v>
          </cell>
          <cell r="F4692">
            <v>3768824356</v>
          </cell>
        </row>
        <row r="4693">
          <cell r="E4693" t="str">
            <v>LUC-E00-420057-01</v>
          </cell>
          <cell r="F4693">
            <v>3768824356</v>
          </cell>
        </row>
        <row r="4694">
          <cell r="E4694" t="str">
            <v>LUC-E00-470059-00</v>
          </cell>
          <cell r="F4694">
            <v>3768824356</v>
          </cell>
        </row>
        <row r="4695">
          <cell r="E4695" t="str">
            <v>LUC-EZZ-420345-00</v>
          </cell>
          <cell r="F4695">
            <v>3768824356</v>
          </cell>
        </row>
        <row r="4696">
          <cell r="E4696" t="str">
            <v>LUC-E00-470004-00</v>
          </cell>
          <cell r="F4696">
            <v>3768824356</v>
          </cell>
        </row>
        <row r="4697">
          <cell r="E4697" t="str">
            <v>LUC-EZZ-420094-00</v>
          </cell>
          <cell r="F4697">
            <v>3768824356</v>
          </cell>
        </row>
        <row r="4698">
          <cell r="E4698" t="str">
            <v>LUC-EZZ-420188-00</v>
          </cell>
          <cell r="F4698">
            <v>3768824356</v>
          </cell>
        </row>
        <row r="4699">
          <cell r="E4699" t="str">
            <v>LUC-E00-420046-00</v>
          </cell>
          <cell r="F4699">
            <v>3768824356</v>
          </cell>
        </row>
        <row r="4700">
          <cell r="E4700" t="str">
            <v>LUC-E00-470004-00</v>
          </cell>
          <cell r="F4700">
            <v>3768824356</v>
          </cell>
        </row>
        <row r="4701">
          <cell r="E4701" t="str">
            <v>LUC-E00-420027-03</v>
          </cell>
          <cell r="F4701">
            <v>3768824356</v>
          </cell>
        </row>
        <row r="4702">
          <cell r="E4702" t="str">
            <v>LUC-EZZ-420345-00</v>
          </cell>
          <cell r="F4702">
            <v>3768824356</v>
          </cell>
        </row>
        <row r="4703">
          <cell r="E4703" t="str">
            <v>LUC-EZZ-420345-00</v>
          </cell>
          <cell r="F4703">
            <v>3768824356</v>
          </cell>
        </row>
        <row r="4704">
          <cell r="E4704" t="str">
            <v>LUC-EZZ-420345-00</v>
          </cell>
          <cell r="F4704">
            <v>3768824356</v>
          </cell>
        </row>
        <row r="4705">
          <cell r="E4705" t="str">
            <v>LUC-E00-420037-00</v>
          </cell>
          <cell r="F4705">
            <v>3768824356</v>
          </cell>
        </row>
        <row r="4706">
          <cell r="E4706" t="str">
            <v>LUC-EZZ-450112-00</v>
          </cell>
          <cell r="F4706">
            <v>3768824356</v>
          </cell>
        </row>
        <row r="4707">
          <cell r="E4707" t="str">
            <v>LUC-E00-470089-00</v>
          </cell>
          <cell r="F4707">
            <v>3768824356</v>
          </cell>
        </row>
        <row r="4708">
          <cell r="E4708" t="str">
            <v>LUC-EZZ-420089-00</v>
          </cell>
          <cell r="F4708">
            <v>3768824356</v>
          </cell>
        </row>
        <row r="4709">
          <cell r="E4709" t="str">
            <v>LUC-EZZ-420089-00</v>
          </cell>
          <cell r="F4709">
            <v>3768824356</v>
          </cell>
        </row>
        <row r="4710">
          <cell r="E4710" t="str">
            <v>LUC-E00-400010-047</v>
          </cell>
          <cell r="F4710">
            <v>3768824356</v>
          </cell>
        </row>
        <row r="4711">
          <cell r="E4711" t="str">
            <v>LUC-EZZ-470136-00</v>
          </cell>
          <cell r="F4711">
            <v>3768824356</v>
          </cell>
        </row>
        <row r="4712">
          <cell r="E4712" t="str">
            <v>LUC-EZZ-510640-00</v>
          </cell>
          <cell r="F4712">
            <v>3768824356</v>
          </cell>
        </row>
        <row r="4713">
          <cell r="E4713" t="str">
            <v>LUC-EZZ-420172-00</v>
          </cell>
          <cell r="F4713">
            <v>3768824356</v>
          </cell>
        </row>
        <row r="4714">
          <cell r="E4714" t="str">
            <v>LUC-EZZ-420174-00</v>
          </cell>
          <cell r="F4714">
            <v>3768824356</v>
          </cell>
        </row>
        <row r="4715">
          <cell r="E4715" t="str">
            <v>LUC-EZZ-420399-00</v>
          </cell>
          <cell r="F4715">
            <v>3768824356</v>
          </cell>
        </row>
        <row r="4716">
          <cell r="E4716" t="str">
            <v>LUC-EZZ-450835-00</v>
          </cell>
          <cell r="F4716">
            <v>3768824356</v>
          </cell>
        </row>
        <row r="4717">
          <cell r="E4717" t="str">
            <v>LUC-EZZ-460737-00</v>
          </cell>
          <cell r="F4717">
            <v>3768824356</v>
          </cell>
        </row>
        <row r="4718">
          <cell r="E4718" t="str">
            <v>LUC-EZZ-420091-00</v>
          </cell>
          <cell r="F4718">
            <v>3768824356</v>
          </cell>
        </row>
        <row r="4719">
          <cell r="E4719" t="str">
            <v>LUC-EZZ-420133-00</v>
          </cell>
          <cell r="F4719">
            <v>3768824356</v>
          </cell>
        </row>
        <row r="4720">
          <cell r="E4720" t="str">
            <v>LUC-EZZ-450112-00</v>
          </cell>
          <cell r="F4720">
            <v>3768824356</v>
          </cell>
        </row>
        <row r="4721">
          <cell r="E4721" t="str">
            <v>LUC-EZZ-510023-00</v>
          </cell>
          <cell r="F4721">
            <v>3768824356</v>
          </cell>
        </row>
        <row r="4722">
          <cell r="E4722" t="str">
            <v>LUC-EZZ-420345-00</v>
          </cell>
          <cell r="F4722">
            <v>3768824356</v>
          </cell>
        </row>
        <row r="4723">
          <cell r="E4723" t="str">
            <v>LUC-EZZ-420345-00</v>
          </cell>
          <cell r="F4723">
            <v>3768824356</v>
          </cell>
        </row>
        <row r="4724">
          <cell r="E4724" t="str">
            <v>LUC-EZZ-420345-00</v>
          </cell>
          <cell r="F4724">
            <v>3768824356</v>
          </cell>
        </row>
        <row r="4725">
          <cell r="E4725" t="str">
            <v>LUC-E00-420056-00</v>
          </cell>
          <cell r="F4725">
            <v>3768824356</v>
          </cell>
        </row>
        <row r="4726">
          <cell r="E4726" t="str">
            <v>LUC-E00-420056-00</v>
          </cell>
          <cell r="F4726">
            <v>3768824356</v>
          </cell>
        </row>
        <row r="4727">
          <cell r="E4727" t="str">
            <v>LUC-EZZ-420189-00</v>
          </cell>
          <cell r="F4727">
            <v>3768824356</v>
          </cell>
        </row>
        <row r="4728">
          <cell r="E4728" t="str">
            <v>LUC-EZZ-420102-00</v>
          </cell>
          <cell r="F4728">
            <v>3768824356</v>
          </cell>
        </row>
        <row r="4729">
          <cell r="E4729" t="str">
            <v>LUC-EZZ-420102-00</v>
          </cell>
          <cell r="F4729">
            <v>3768824356</v>
          </cell>
        </row>
        <row r="4730">
          <cell r="E4730" t="str">
            <v>LUC-E00-420054-04</v>
          </cell>
          <cell r="F4730">
            <v>3768824356</v>
          </cell>
        </row>
        <row r="4731">
          <cell r="E4731" t="str">
            <v>LUC-EZZ-690131-00</v>
          </cell>
          <cell r="F4731">
            <v>4110323442</v>
          </cell>
        </row>
        <row r="4732">
          <cell r="E4732" t="str">
            <v>LUC-EZZ-690131-00</v>
          </cell>
          <cell r="F4732">
            <v>4110323442</v>
          </cell>
        </row>
        <row r="4733">
          <cell r="E4733" t="str">
            <v>LUC-EZZ-690131-00</v>
          </cell>
          <cell r="F4733">
            <v>4110323442</v>
          </cell>
        </row>
        <row r="4734">
          <cell r="E4734" t="str">
            <v>LUC-EZZ-690131-00</v>
          </cell>
          <cell r="F4734">
            <v>4110323442</v>
          </cell>
        </row>
        <row r="4735">
          <cell r="E4735" t="str">
            <v>LUC-E00-690217-01</v>
          </cell>
          <cell r="F4735">
            <v>4110323444</v>
          </cell>
        </row>
        <row r="4736">
          <cell r="E4736" t="str">
            <v>PUR-16-0046-01</v>
          </cell>
          <cell r="F4736" t="str">
            <v>MNN/HPH/00844</v>
          </cell>
        </row>
        <row r="4737">
          <cell r="E4737" t="str">
            <v>PUR-16-0046-01</v>
          </cell>
          <cell r="F4737" t="str">
            <v>MNN/HPH/00844</v>
          </cell>
        </row>
        <row r="4738">
          <cell r="E4738" t="str">
            <v>PUR-16-0049-01</v>
          </cell>
          <cell r="F4738" t="str">
            <v>MNN/HPH/00844</v>
          </cell>
        </row>
        <row r="4739">
          <cell r="E4739" t="str">
            <v>PUR-16-0051-00</v>
          </cell>
          <cell r="F4739" t="str">
            <v>MNN/HPH/00844</v>
          </cell>
        </row>
        <row r="4740">
          <cell r="E4740" t="str">
            <v>PUR-03-0092-03</v>
          </cell>
          <cell r="F4740" t="str">
            <v>8TV4014</v>
          </cell>
        </row>
        <row r="4741">
          <cell r="E4741" t="str">
            <v>PUR-03-0092-03</v>
          </cell>
          <cell r="F4741" t="str">
            <v>8TV4015</v>
          </cell>
        </row>
        <row r="4742">
          <cell r="E4742" t="str">
            <v>PUR-03-0092-03</v>
          </cell>
          <cell r="F4742" t="str">
            <v>8TV4016</v>
          </cell>
        </row>
        <row r="4743">
          <cell r="E4743" t="str">
            <v>PUR-03-0092-03</v>
          </cell>
          <cell r="F4743" t="str">
            <v>8TV4017</v>
          </cell>
        </row>
        <row r="4744">
          <cell r="E4744" t="str">
            <v>PUR-03-0092-03</v>
          </cell>
          <cell r="F4744" t="str">
            <v>8TV4018</v>
          </cell>
        </row>
        <row r="4745">
          <cell r="E4745" t="str">
            <v>LUC-EZZ-420084-00</v>
          </cell>
          <cell r="F4745">
            <v>287484507775</v>
          </cell>
        </row>
        <row r="4746">
          <cell r="E4746" t="str">
            <v>PUR-09-0233-00</v>
          </cell>
          <cell r="F4746">
            <v>452730390040</v>
          </cell>
        </row>
        <row r="4747">
          <cell r="E4747" t="str">
            <v>PUR-14-0086-00</v>
          </cell>
          <cell r="F4747">
            <v>423264352493</v>
          </cell>
        </row>
        <row r="4748">
          <cell r="E4748" t="str">
            <v>PUR-12-0418-00</v>
          </cell>
          <cell r="F4748">
            <v>423264352493</v>
          </cell>
        </row>
        <row r="4749">
          <cell r="E4749" t="str">
            <v>121-000359.X.X</v>
          </cell>
          <cell r="F4749">
            <v>423264352493</v>
          </cell>
        </row>
        <row r="4750">
          <cell r="E4750" t="str">
            <v>121-000359.X.X</v>
          </cell>
          <cell r="F4750">
            <v>423264352493</v>
          </cell>
        </row>
        <row r="4751">
          <cell r="E4751" t="str">
            <v>121-000359.X.X</v>
          </cell>
          <cell r="F4751">
            <v>423264352493</v>
          </cell>
        </row>
        <row r="4752">
          <cell r="E4752" t="str">
            <v>AGI-500-40015-01</v>
          </cell>
          <cell r="F4752">
            <v>423264352493</v>
          </cell>
        </row>
        <row r="4753">
          <cell r="E4753" t="str">
            <v>121-000356.X.X</v>
          </cell>
          <cell r="F4753">
            <v>423264352493</v>
          </cell>
        </row>
        <row r="4754">
          <cell r="E4754" t="str">
            <v>PUR-12-0333-00</v>
          </cell>
          <cell r="F4754">
            <v>423264352493</v>
          </cell>
        </row>
        <row r="4755">
          <cell r="E4755" t="str">
            <v>PURET-12-0212-00</v>
          </cell>
          <cell r="F4755">
            <v>423264352493</v>
          </cell>
        </row>
        <row r="4756">
          <cell r="E4756" t="str">
            <v>AGI-500-40228-01</v>
          </cell>
          <cell r="F4756">
            <v>423264352493</v>
          </cell>
        </row>
        <row r="4757">
          <cell r="E4757" t="str">
            <v>PUR-12-0423-00</v>
          </cell>
          <cell r="F4757">
            <v>423264352493</v>
          </cell>
        </row>
        <row r="4758">
          <cell r="E4758" t="str">
            <v>121-000198.X.X</v>
          </cell>
          <cell r="F4758">
            <v>423264352493</v>
          </cell>
        </row>
        <row r="4759">
          <cell r="E4759" t="str">
            <v>PUR-13-0226-00</v>
          </cell>
          <cell r="F4759">
            <v>423264352493</v>
          </cell>
        </row>
        <row r="4760">
          <cell r="E4760" t="str">
            <v>122-000673.X.X</v>
          </cell>
          <cell r="F4760">
            <v>423264352493</v>
          </cell>
        </row>
        <row r="4761">
          <cell r="E4761" t="str">
            <v>PUR-13-0156-00</v>
          </cell>
          <cell r="F4761">
            <v>423264352493</v>
          </cell>
        </row>
        <row r="4762">
          <cell r="E4762" t="str">
            <v>LUC-E00-420037-01</v>
          </cell>
          <cell r="F4762">
            <v>423264352493</v>
          </cell>
        </row>
        <row r="4763">
          <cell r="E4763" t="str">
            <v>122-000453.X.X</v>
          </cell>
          <cell r="F4763">
            <v>423264352493</v>
          </cell>
        </row>
        <row r="4764">
          <cell r="E4764" t="str">
            <v>121-000208.X.X</v>
          </cell>
          <cell r="F4764">
            <v>423264352493</v>
          </cell>
        </row>
        <row r="4765">
          <cell r="E4765" t="str">
            <v>121-000520.X.X</v>
          </cell>
          <cell r="F4765">
            <v>423264352493</v>
          </cell>
        </row>
        <row r="4766">
          <cell r="E4766" t="str">
            <v>121-000359.X.X</v>
          </cell>
          <cell r="F4766">
            <v>423264352493</v>
          </cell>
        </row>
        <row r="4767">
          <cell r="E4767" t="str">
            <v>AGI-500-40218-01</v>
          </cell>
          <cell r="F4767">
            <v>423264352493</v>
          </cell>
        </row>
        <row r="4768">
          <cell r="E4768" t="str">
            <v>LUC-E00-400046-00</v>
          </cell>
          <cell r="F4768">
            <v>454110123410</v>
          </cell>
        </row>
        <row r="4769">
          <cell r="E4769" t="str">
            <v>LUC-E00-400028-08</v>
          </cell>
          <cell r="F4769">
            <v>454110123410</v>
          </cell>
        </row>
        <row r="4770">
          <cell r="E4770" t="str">
            <v>LUC-E00-420045-02</v>
          </cell>
          <cell r="F4770">
            <v>454110123410</v>
          </cell>
        </row>
        <row r="4771">
          <cell r="E4771" t="str">
            <v>LUC-EZZ-400608-00</v>
          </cell>
          <cell r="F4771">
            <v>454110123410</v>
          </cell>
        </row>
        <row r="4772">
          <cell r="E4772" t="str">
            <v>LUC-E00-420086-00</v>
          </cell>
          <cell r="F4772">
            <v>454110123410</v>
          </cell>
        </row>
        <row r="4773">
          <cell r="E4773" t="str">
            <v>LUC-E00-420235-00</v>
          </cell>
          <cell r="F4773">
            <v>454110123410</v>
          </cell>
        </row>
        <row r="4774">
          <cell r="E4774" t="str">
            <v>LUC-E00-420235-00</v>
          </cell>
          <cell r="F4774">
            <v>454110123410</v>
          </cell>
        </row>
        <row r="4775">
          <cell r="E4775" t="str">
            <v>LUC-E00-420172-00</v>
          </cell>
          <cell r="F4775">
            <v>454110123410</v>
          </cell>
        </row>
        <row r="4776">
          <cell r="E4776" t="str">
            <v>LUC-E00-450148-01</v>
          </cell>
          <cell r="F4776">
            <v>454110123410</v>
          </cell>
        </row>
        <row r="4777">
          <cell r="E4777" t="str">
            <v>LUC-EZZ-450108-00</v>
          </cell>
          <cell r="F4777">
            <v>454110123410</v>
          </cell>
        </row>
        <row r="4778">
          <cell r="E4778" t="str">
            <v>LUC-EZZ-400606-00</v>
          </cell>
          <cell r="F4778">
            <v>454110123410</v>
          </cell>
        </row>
        <row r="4779">
          <cell r="E4779" t="str">
            <v>LUC-E00-420072-01</v>
          </cell>
          <cell r="F4779">
            <v>454110123410</v>
          </cell>
        </row>
        <row r="4780">
          <cell r="E4780" t="str">
            <v>110-000101</v>
          </cell>
          <cell r="F4780">
            <v>454110123410</v>
          </cell>
        </row>
        <row r="4781">
          <cell r="E4781" t="str">
            <v>LUC-E00-420056-01</v>
          </cell>
          <cell r="F4781">
            <v>454110123410</v>
          </cell>
        </row>
        <row r="4782">
          <cell r="E4782" t="str">
            <v>LUC-E00-400010-033</v>
          </cell>
          <cell r="F4782">
            <v>454110123410</v>
          </cell>
        </row>
        <row r="4783">
          <cell r="E4783" t="str">
            <v>LUC-E00-690030-03</v>
          </cell>
          <cell r="F4783">
            <v>453779949698</v>
          </cell>
        </row>
        <row r="4784">
          <cell r="E4784" t="str">
            <v>LUC-E00-510014-00</v>
          </cell>
          <cell r="F4784">
            <v>453079499564</v>
          </cell>
        </row>
        <row r="4785">
          <cell r="E4785" t="str">
            <v>LUC-E00-510014-00</v>
          </cell>
          <cell r="F4785">
            <v>453079499564</v>
          </cell>
        </row>
        <row r="4786">
          <cell r="E4786" t="str">
            <v>LUC-E00-510014-00</v>
          </cell>
          <cell r="F4786">
            <v>453079499564</v>
          </cell>
        </row>
        <row r="4787">
          <cell r="E4787" t="str">
            <v>LUC-EZZ-440129-00</v>
          </cell>
          <cell r="F4787">
            <v>287553404825</v>
          </cell>
        </row>
        <row r="4788">
          <cell r="E4788" t="str">
            <v>130-000513</v>
          </cell>
          <cell r="F4788">
            <v>446851252487</v>
          </cell>
        </row>
        <row r="4789">
          <cell r="E4789" t="str">
            <v>PUR-11-0105-04</v>
          </cell>
          <cell r="F4789" t="str">
            <v>PSHPH2540032</v>
          </cell>
        </row>
        <row r="4790">
          <cell r="E4790" t="str">
            <v>PUR-11-0105-04</v>
          </cell>
          <cell r="F4790" t="str">
            <v>PSHPH2540032</v>
          </cell>
        </row>
        <row r="4791">
          <cell r="E4791" t="str">
            <v>PUR-11-0105-04</v>
          </cell>
          <cell r="F4791" t="str">
            <v>PSHPH2540032</v>
          </cell>
        </row>
        <row r="4792">
          <cell r="E4792" t="str">
            <v>PUR-11-0105-04</v>
          </cell>
          <cell r="F4792" t="str">
            <v>PSHPH2540032</v>
          </cell>
        </row>
        <row r="4793">
          <cell r="E4793" t="str">
            <v>PUR-11-0105-04</v>
          </cell>
          <cell r="F4793" t="str">
            <v>PSHPH2540032</v>
          </cell>
        </row>
        <row r="4794">
          <cell r="E4794" t="str">
            <v>PUR-11-0105-04</v>
          </cell>
          <cell r="F4794" t="str">
            <v>PSHPH2540032</v>
          </cell>
        </row>
        <row r="4795">
          <cell r="E4795" t="str">
            <v>PUR-11-0105-04</v>
          </cell>
          <cell r="F4795" t="str">
            <v>PSHPH2540032</v>
          </cell>
        </row>
        <row r="4796">
          <cell r="E4796" t="str">
            <v>PUR-11-0106-05</v>
          </cell>
          <cell r="F4796" t="str">
            <v>PSHPH2540032</v>
          </cell>
        </row>
        <row r="4797">
          <cell r="E4797" t="str">
            <v>PUR-11-0106-05</v>
          </cell>
          <cell r="F4797" t="str">
            <v>PSHPH2540032</v>
          </cell>
        </row>
        <row r="4798">
          <cell r="E4798" t="str">
            <v>PUR-11-0106-05</v>
          </cell>
          <cell r="F4798" t="str">
            <v>PSHPH2540032</v>
          </cell>
        </row>
        <row r="4799">
          <cell r="E4799" t="str">
            <v>PUR-03-0091-02</v>
          </cell>
          <cell r="F4799">
            <v>453789885889</v>
          </cell>
        </row>
        <row r="4800">
          <cell r="E4800" t="str">
            <v>EF-45110781</v>
          </cell>
          <cell r="F4800">
            <v>880453625059</v>
          </cell>
        </row>
        <row r="4801">
          <cell r="E4801" t="str">
            <v>PUR-03-0074-02</v>
          </cell>
          <cell r="F4801" t="str">
            <v>8TV4023</v>
          </cell>
        </row>
        <row r="4802">
          <cell r="E4802" t="str">
            <v>PUR-03-0074-02</v>
          </cell>
          <cell r="F4802" t="str">
            <v>8TV4024</v>
          </cell>
        </row>
        <row r="4803">
          <cell r="E4803" t="str">
            <v>PUR-03-0096-02</v>
          </cell>
          <cell r="F4803" t="str">
            <v>8TV4019</v>
          </cell>
        </row>
        <row r="4804">
          <cell r="E4804" t="str">
            <v>PUR-03-0096-02</v>
          </cell>
          <cell r="F4804" t="str">
            <v>8TV4020</v>
          </cell>
        </row>
        <row r="4805">
          <cell r="E4805" t="str">
            <v>LUC-E00-400243-00</v>
          </cell>
          <cell r="F4805">
            <v>453780049789</v>
          </cell>
        </row>
        <row r="4806">
          <cell r="E4806" t="str">
            <v>141-001581</v>
          </cell>
          <cell r="F4806">
            <v>880585822800</v>
          </cell>
        </row>
        <row r="4807">
          <cell r="E4807" t="str">
            <v>141-001628</v>
          </cell>
          <cell r="F4807">
            <v>880585822800</v>
          </cell>
        </row>
        <row r="4808">
          <cell r="E4808" t="str">
            <v>141-001628</v>
          </cell>
          <cell r="F4808">
            <v>880585822800</v>
          </cell>
        </row>
        <row r="4809">
          <cell r="E4809" t="str">
            <v>141-001628</v>
          </cell>
          <cell r="F4809">
            <v>880585822800</v>
          </cell>
        </row>
        <row r="4810">
          <cell r="E4810" t="str">
            <v>LUC-EZZ-440073-00</v>
          </cell>
          <cell r="F4810">
            <v>742783507797</v>
          </cell>
        </row>
        <row r="4811">
          <cell r="E4811" t="str">
            <v>PUR-15-0220-00</v>
          </cell>
          <cell r="F4811">
            <v>902348925237</v>
          </cell>
        </row>
        <row r="4812">
          <cell r="E4812" t="str">
            <v>PUR-15-0220-00</v>
          </cell>
          <cell r="F4812">
            <v>902348925237</v>
          </cell>
        </row>
        <row r="4813">
          <cell r="E4813" t="str">
            <v>PUR-15-0220-00</v>
          </cell>
          <cell r="F4813">
            <v>902348925237</v>
          </cell>
        </row>
        <row r="4814">
          <cell r="E4814" t="str">
            <v>PUR-09-0294-00</v>
          </cell>
          <cell r="F4814">
            <v>453780081266</v>
          </cell>
        </row>
        <row r="4815">
          <cell r="E4815" t="str">
            <v>PUR-21-0024-00</v>
          </cell>
          <cell r="F4815">
            <v>453780081266</v>
          </cell>
        </row>
        <row r="4816">
          <cell r="E4816" t="str">
            <v>LUC-E00-420027-05</v>
          </cell>
          <cell r="F4816">
            <v>453780081266</v>
          </cell>
        </row>
        <row r="4817">
          <cell r="E4817" t="str">
            <v>LUC-E00-400010-045</v>
          </cell>
          <cell r="F4817">
            <v>453780081266</v>
          </cell>
        </row>
        <row r="4818">
          <cell r="E4818" t="str">
            <v>LUC-EZZ-450053-00</v>
          </cell>
          <cell r="F4818">
            <v>453780081266</v>
          </cell>
        </row>
        <row r="4819">
          <cell r="E4819" t="str">
            <v>PUR-09-0294-00</v>
          </cell>
          <cell r="F4819">
            <v>453780081266</v>
          </cell>
        </row>
        <row r="4820">
          <cell r="E4820" t="str">
            <v>EF-45090995</v>
          </cell>
          <cell r="F4820">
            <v>453780081266</v>
          </cell>
        </row>
        <row r="4821">
          <cell r="E4821" t="str">
            <v>LUC-E00-470083-00</v>
          </cell>
          <cell r="F4821">
            <v>453780081266</v>
          </cell>
        </row>
        <row r="4822">
          <cell r="E4822" t="str">
            <v>EF-45129595</v>
          </cell>
          <cell r="F4822">
            <v>453780081266</v>
          </cell>
        </row>
        <row r="4823">
          <cell r="E4823" t="str">
            <v>EF-45129595</v>
          </cell>
          <cell r="F4823">
            <v>453780081266</v>
          </cell>
        </row>
        <row r="4824">
          <cell r="E4824" t="str">
            <v>PUR-09-0294-00</v>
          </cell>
          <cell r="F4824">
            <v>453780081266</v>
          </cell>
        </row>
        <row r="4825">
          <cell r="E4825" t="str">
            <v>LUC-E00-480007-00</v>
          </cell>
          <cell r="F4825">
            <v>453780081266</v>
          </cell>
        </row>
        <row r="4826">
          <cell r="E4826" t="str">
            <v>AIC-133-001102</v>
          </cell>
          <cell r="F4826">
            <v>880578989812</v>
          </cell>
        </row>
        <row r="4827">
          <cell r="E4827" t="str">
            <v>AIC-134-001627</v>
          </cell>
          <cell r="F4827">
            <v>880578989812</v>
          </cell>
        </row>
        <row r="4828">
          <cell r="E4828" t="str">
            <v>AIC-MP-00006266-000</v>
          </cell>
          <cell r="F4828">
            <v>880578989812</v>
          </cell>
        </row>
        <row r="4829">
          <cell r="E4829" t="str">
            <v>AIC-134-001631</v>
          </cell>
          <cell r="F4829">
            <v>880578989812</v>
          </cell>
        </row>
        <row r="4830">
          <cell r="E4830" t="str">
            <v>AIC-133-001102</v>
          </cell>
          <cell r="F4830">
            <v>880579190020</v>
          </cell>
        </row>
        <row r="4831">
          <cell r="E4831" t="str">
            <v>AIC-134-001627</v>
          </cell>
          <cell r="F4831">
            <v>880579190020</v>
          </cell>
        </row>
        <row r="4832">
          <cell r="E4832" t="str">
            <v>AIC-134-001628</v>
          </cell>
          <cell r="F4832">
            <v>880579190020</v>
          </cell>
        </row>
        <row r="4833">
          <cell r="E4833" t="str">
            <v>AIC-134-001631</v>
          </cell>
          <cell r="F4833">
            <v>880579190020</v>
          </cell>
        </row>
        <row r="4834">
          <cell r="E4834" t="str">
            <v>174-000139</v>
          </cell>
          <cell r="F4834">
            <v>1299323244</v>
          </cell>
        </row>
        <row r="4835">
          <cell r="E4835" t="str">
            <v>LUC-E00-420047-02</v>
          </cell>
          <cell r="F4835">
            <v>1299323244</v>
          </cell>
        </row>
        <row r="4836">
          <cell r="E4836" t="str">
            <v>LUC-EZZ-420084-00</v>
          </cell>
          <cell r="F4836">
            <v>1299323244</v>
          </cell>
        </row>
        <row r="4837">
          <cell r="E4837" t="str">
            <v>LUC-EZZ-420095-00</v>
          </cell>
          <cell r="F4837">
            <v>1299323244</v>
          </cell>
        </row>
        <row r="4838">
          <cell r="E4838" t="str">
            <v>EF-45234399</v>
          </cell>
          <cell r="F4838">
            <v>1299323244</v>
          </cell>
        </row>
        <row r="4839">
          <cell r="E4839" t="str">
            <v>LUC-E00-400010-003</v>
          </cell>
          <cell r="F4839">
            <v>1299323244</v>
          </cell>
        </row>
        <row r="4840">
          <cell r="E4840" t="str">
            <v>LUC-E00-400034-118</v>
          </cell>
          <cell r="F4840">
            <v>1299323244</v>
          </cell>
        </row>
        <row r="4841">
          <cell r="E4841" t="str">
            <v>LUC-E00-400010-010</v>
          </cell>
          <cell r="F4841">
            <v>1299323244</v>
          </cell>
        </row>
        <row r="4842">
          <cell r="E4842" t="str">
            <v>LUC-EZZ-400244-00</v>
          </cell>
          <cell r="F4842">
            <v>1299323244</v>
          </cell>
        </row>
        <row r="4843">
          <cell r="E4843" t="str">
            <v>LUC-E00-420068-00-R</v>
          </cell>
          <cell r="F4843">
            <v>1299323244</v>
          </cell>
        </row>
        <row r="4844">
          <cell r="E4844" t="str">
            <v>PUR-03-0092-03</v>
          </cell>
          <cell r="F4844" t="str">
            <v>8TV4027</v>
          </cell>
        </row>
        <row r="4845">
          <cell r="E4845" t="str">
            <v>PUR-03-0092-03</v>
          </cell>
          <cell r="F4845" t="str">
            <v>8TV4028</v>
          </cell>
        </row>
        <row r="4846">
          <cell r="E4846" t="str">
            <v>LUC-P21-K87100-00</v>
          </cell>
          <cell r="F4846">
            <v>4812803658</v>
          </cell>
        </row>
        <row r="4847">
          <cell r="E4847" t="str">
            <v>EF-45135156</v>
          </cell>
          <cell r="F4847" t="str">
            <v>LPIAHPH250928</v>
          </cell>
        </row>
        <row r="4848">
          <cell r="E4848" t="str">
            <v>LUC-EZZ-690942-00</v>
          </cell>
          <cell r="F4848">
            <v>4110323552</v>
          </cell>
        </row>
        <row r="4849">
          <cell r="E4849" t="str">
            <v>LUC-EZZ-420084-00</v>
          </cell>
          <cell r="F4849">
            <v>287559511850</v>
          </cell>
        </row>
        <row r="4850">
          <cell r="E4850" t="str">
            <v>LUC-EZZ-400192-00</v>
          </cell>
          <cell r="F4850">
            <v>287560758284</v>
          </cell>
        </row>
        <row r="4851">
          <cell r="E4851" t="str">
            <v>LUC-E00-460018-00</v>
          </cell>
          <cell r="F4851">
            <v>453094628464</v>
          </cell>
        </row>
        <row r="4852">
          <cell r="E4852" t="str">
            <v>LUC-E00-510084-00</v>
          </cell>
          <cell r="F4852">
            <v>453094628464</v>
          </cell>
        </row>
        <row r="4853">
          <cell r="E4853" t="str">
            <v>LUC-EZZ-440911-00</v>
          </cell>
          <cell r="F4853">
            <v>453094628464</v>
          </cell>
        </row>
        <row r="4854">
          <cell r="E4854" t="str">
            <v>LUC-E00-400034-069</v>
          </cell>
          <cell r="F4854">
            <v>453094628464</v>
          </cell>
        </row>
        <row r="4855">
          <cell r="E4855" t="str">
            <v>LUC-E00-400075-00</v>
          </cell>
          <cell r="F4855">
            <v>453094628464</v>
          </cell>
        </row>
        <row r="4856">
          <cell r="E4856" t="str">
            <v>LUC-E00-440029-00</v>
          </cell>
          <cell r="F4856">
            <v>453094628464</v>
          </cell>
        </row>
        <row r="4857">
          <cell r="E4857" t="str">
            <v>LUC-E00-400069-00</v>
          </cell>
          <cell r="F4857">
            <v>453094628464</v>
          </cell>
        </row>
        <row r="4858">
          <cell r="E4858" t="str">
            <v>LUC-E00-470379-00</v>
          </cell>
          <cell r="F4858">
            <v>453094628464</v>
          </cell>
        </row>
        <row r="4859">
          <cell r="E4859" t="str">
            <v>LUC-EZZ-420345-00</v>
          </cell>
          <cell r="F4859">
            <v>453094628464</v>
          </cell>
        </row>
        <row r="4860">
          <cell r="E4860" t="str">
            <v>LUC-E00-690200-01</v>
          </cell>
          <cell r="F4860">
            <v>453094628464</v>
          </cell>
        </row>
        <row r="4861">
          <cell r="E4861" t="str">
            <v>LUC-E00-420068-00-R</v>
          </cell>
          <cell r="F4861">
            <v>453094628464</v>
          </cell>
        </row>
        <row r="4862">
          <cell r="E4862" t="str">
            <v>LUC-E00-460007-00</v>
          </cell>
          <cell r="F4862">
            <v>453094628464</v>
          </cell>
        </row>
        <row r="4863">
          <cell r="E4863" t="str">
            <v>LUC-E00-400010-008</v>
          </cell>
          <cell r="F4863">
            <v>453094628464</v>
          </cell>
        </row>
        <row r="4864">
          <cell r="E4864" t="str">
            <v>LUC-E00-420045-02</v>
          </cell>
          <cell r="F4864">
            <v>453094628464</v>
          </cell>
        </row>
        <row r="4865">
          <cell r="E4865" t="str">
            <v>LUC-EZZ-420084-00</v>
          </cell>
          <cell r="F4865">
            <v>453094628464</v>
          </cell>
        </row>
        <row r="4866">
          <cell r="E4866" t="str">
            <v>LUC-EZZ-400206-00</v>
          </cell>
          <cell r="F4866">
            <v>453780080226</v>
          </cell>
        </row>
        <row r="4867">
          <cell r="E4867" t="str">
            <v>PUR-09-0294-00</v>
          </cell>
          <cell r="F4867">
            <v>453780090890</v>
          </cell>
        </row>
        <row r="4868">
          <cell r="E4868" t="str">
            <v>LUC-E00-400054-01</v>
          </cell>
          <cell r="F4868">
            <v>453780090890</v>
          </cell>
        </row>
        <row r="4869">
          <cell r="E4869" t="str">
            <v>LUC-E00-420072-00</v>
          </cell>
          <cell r="F4869">
            <v>454755159663</v>
          </cell>
        </row>
        <row r="4870">
          <cell r="E4870" t="str">
            <v>LUC-E00-420037-02</v>
          </cell>
          <cell r="F4870">
            <v>453780085478</v>
          </cell>
        </row>
        <row r="4871">
          <cell r="E4871" t="str">
            <v>LUC-EZZ-440031-00</v>
          </cell>
          <cell r="F4871">
            <v>722661013734</v>
          </cell>
        </row>
        <row r="4872">
          <cell r="E4872" t="str">
            <v>LUC-EZZ-440090-00</v>
          </cell>
          <cell r="F4872">
            <v>722661013734</v>
          </cell>
        </row>
        <row r="4873">
          <cell r="E4873" t="str">
            <v>LUC-E00-420011-00</v>
          </cell>
          <cell r="F4873">
            <v>409298782080</v>
          </cell>
        </row>
        <row r="4874">
          <cell r="E4874" t="str">
            <v>LUC-EZZ-420330-00</v>
          </cell>
          <cell r="F4874">
            <v>409298782080</v>
          </cell>
        </row>
        <row r="4875">
          <cell r="E4875" t="str">
            <v>LUC-E00-420047-02</v>
          </cell>
          <cell r="F4875">
            <v>409298782080</v>
          </cell>
        </row>
        <row r="4876">
          <cell r="E4876" t="str">
            <v>LUC-EZZ-420493-00</v>
          </cell>
          <cell r="F4876">
            <v>409298782080</v>
          </cell>
        </row>
        <row r="4877">
          <cell r="E4877" t="str">
            <v>LUC-E00-440030-00</v>
          </cell>
          <cell r="F4877">
            <v>409298782080</v>
          </cell>
        </row>
        <row r="4878">
          <cell r="E4878" t="str">
            <v>LUC-E00-440031-00</v>
          </cell>
          <cell r="F4878">
            <v>409298782080</v>
          </cell>
        </row>
        <row r="4879">
          <cell r="E4879" t="str">
            <v>LUC-E00-440024-00</v>
          </cell>
          <cell r="F4879">
            <v>409298782080</v>
          </cell>
        </row>
        <row r="4880">
          <cell r="E4880" t="str">
            <v>LUC-E00-440024-00</v>
          </cell>
          <cell r="F4880">
            <v>409298782080</v>
          </cell>
        </row>
        <row r="4881">
          <cell r="E4881" t="str">
            <v>LUC-E00-440024-00</v>
          </cell>
          <cell r="F4881">
            <v>409298782080</v>
          </cell>
        </row>
        <row r="4882">
          <cell r="E4882" t="str">
            <v>LUC-E00-420047-02</v>
          </cell>
          <cell r="F4882">
            <v>409298782080</v>
          </cell>
        </row>
        <row r="4883">
          <cell r="E4883" t="str">
            <v>LUC-E00-420060-03</v>
          </cell>
          <cell r="F4883">
            <v>409298782080</v>
          </cell>
        </row>
        <row r="4884">
          <cell r="E4884" t="str">
            <v>PUR-09-0417-00</v>
          </cell>
          <cell r="F4884">
            <v>454590166558</v>
          </cell>
        </row>
        <row r="4885">
          <cell r="E4885" t="str">
            <v>LUC-E00-420074-00</v>
          </cell>
          <cell r="F4885">
            <v>454590166558</v>
          </cell>
        </row>
        <row r="4886">
          <cell r="E4886" t="str">
            <v>LUC-E00-420074-00</v>
          </cell>
          <cell r="F4886">
            <v>454590166558</v>
          </cell>
        </row>
        <row r="4887">
          <cell r="E4887" t="str">
            <v>LUC-E00-420074-00</v>
          </cell>
          <cell r="F4887">
            <v>454590166558</v>
          </cell>
        </row>
        <row r="4888">
          <cell r="E4888" t="str">
            <v>LUC-E00-510029-00</v>
          </cell>
          <cell r="F4888">
            <v>454590166558</v>
          </cell>
        </row>
        <row r="4889">
          <cell r="E4889" t="str">
            <v>LUC-E00-420055-15</v>
          </cell>
          <cell r="F4889">
            <v>454590166558</v>
          </cell>
        </row>
        <row r="4890">
          <cell r="E4890" t="str">
            <v>LUC-E00-540019-00</v>
          </cell>
          <cell r="F4890">
            <v>454590166558</v>
          </cell>
        </row>
        <row r="4891">
          <cell r="E4891" t="str">
            <v>LUC-E00-540019-00</v>
          </cell>
          <cell r="F4891">
            <v>454590166558</v>
          </cell>
        </row>
        <row r="4892">
          <cell r="E4892" t="str">
            <v>LUC-E00-540019-00</v>
          </cell>
          <cell r="F4892">
            <v>454590166558</v>
          </cell>
        </row>
        <row r="4893">
          <cell r="E4893" t="str">
            <v>PUR-13-0237-00</v>
          </cell>
          <cell r="F4893">
            <v>454590166558</v>
          </cell>
        </row>
        <row r="4894">
          <cell r="E4894" t="str">
            <v>LUC-EZZ-420396-00</v>
          </cell>
          <cell r="F4894">
            <v>454590166558</v>
          </cell>
        </row>
        <row r="4895">
          <cell r="E4895" t="str">
            <v>LUC-E00-420043-01</v>
          </cell>
          <cell r="F4895">
            <v>454590166558</v>
          </cell>
        </row>
        <row r="4896">
          <cell r="E4896" t="str">
            <v>LUC-EZZ-420344-00</v>
          </cell>
          <cell r="F4896">
            <v>454590166558</v>
          </cell>
        </row>
        <row r="4897">
          <cell r="E4897" t="str">
            <v>PUR-13-0158-00</v>
          </cell>
          <cell r="F4897">
            <v>454590166558</v>
          </cell>
        </row>
        <row r="4898">
          <cell r="E4898" t="str">
            <v>PUR-13-0158-00</v>
          </cell>
          <cell r="F4898">
            <v>454590166558</v>
          </cell>
        </row>
        <row r="4899">
          <cell r="E4899" t="str">
            <v>LUC-EZZ-420344-00</v>
          </cell>
          <cell r="F4899">
            <v>454590166558</v>
          </cell>
        </row>
        <row r="4900">
          <cell r="E4900" t="str">
            <v>LUC-E00-480007-00</v>
          </cell>
          <cell r="F4900">
            <v>454590166558</v>
          </cell>
        </row>
        <row r="4901">
          <cell r="E4901" t="str">
            <v>AGI-720-50001-01</v>
          </cell>
          <cell r="F4901">
            <v>719546655197</v>
          </cell>
        </row>
        <row r="4902">
          <cell r="E4902" t="str">
            <v>PURET-13-0022-00</v>
          </cell>
          <cell r="F4902">
            <v>434611758784</v>
          </cell>
        </row>
        <row r="4903">
          <cell r="E4903" t="str">
            <v>LUC-E00-420072-01</v>
          </cell>
          <cell r="F4903">
            <v>434611758784</v>
          </cell>
        </row>
        <row r="4904">
          <cell r="E4904" t="str">
            <v>LUC-E00-420072-01</v>
          </cell>
          <cell r="F4904">
            <v>434611758784</v>
          </cell>
        </row>
        <row r="4905">
          <cell r="E4905" t="str">
            <v>LUC-EZZ-420133-00</v>
          </cell>
          <cell r="F4905">
            <v>434611758784</v>
          </cell>
        </row>
        <row r="4906">
          <cell r="E4906" t="str">
            <v>PUR-13-0138-00</v>
          </cell>
          <cell r="F4906">
            <v>434611758784</v>
          </cell>
        </row>
        <row r="4907">
          <cell r="E4907" t="str">
            <v>PUR-13-0138-00</v>
          </cell>
          <cell r="F4907">
            <v>434611758784</v>
          </cell>
        </row>
        <row r="4908">
          <cell r="E4908" t="str">
            <v>AIC-MP-00007007-000</v>
          </cell>
          <cell r="F4908">
            <v>880640007107</v>
          </cell>
        </row>
        <row r="4909">
          <cell r="E4909" t="str">
            <v>AIC-120-012779</v>
          </cell>
          <cell r="F4909">
            <v>880640948384</v>
          </cell>
        </row>
        <row r="4910">
          <cell r="E4910" t="str">
            <v>LUC-EZZ-420102-00</v>
          </cell>
          <cell r="F4910">
            <v>972682015507</v>
          </cell>
        </row>
        <row r="4911">
          <cell r="E4911" t="str">
            <v>PURET-13-0028-00</v>
          </cell>
          <cell r="F4911">
            <v>880616364151</v>
          </cell>
        </row>
        <row r="4912">
          <cell r="E4912" t="str">
            <v>PURET-12-0029-00</v>
          </cell>
          <cell r="F4912">
            <v>880616364151</v>
          </cell>
        </row>
        <row r="4913">
          <cell r="E4913" t="str">
            <v>LUC-EZZ-401043-00</v>
          </cell>
          <cell r="F4913">
            <v>880616364151</v>
          </cell>
        </row>
        <row r="4914">
          <cell r="E4914" t="str">
            <v>LUC-EZZ-401043-00</v>
          </cell>
          <cell r="F4914">
            <v>880616364151</v>
          </cell>
        </row>
        <row r="4915">
          <cell r="E4915" t="str">
            <v>LUC-EZZ-400071-00</v>
          </cell>
          <cell r="F4915">
            <v>880616364151</v>
          </cell>
        </row>
        <row r="4916">
          <cell r="E4916" t="str">
            <v>LUC-EZZ-400071-00</v>
          </cell>
          <cell r="F4916">
            <v>880616364151</v>
          </cell>
        </row>
        <row r="4917">
          <cell r="E4917" t="str">
            <v>LUC-E00-400012-18</v>
          </cell>
          <cell r="F4917">
            <v>880616364151</v>
          </cell>
        </row>
        <row r="4918">
          <cell r="E4918" t="str">
            <v>LUC-E00-400012-17</v>
          </cell>
          <cell r="F4918">
            <v>880616364151</v>
          </cell>
        </row>
        <row r="4919">
          <cell r="E4919" t="str">
            <v>LUC-E00-400012-001</v>
          </cell>
          <cell r="F4919">
            <v>880616364151</v>
          </cell>
        </row>
        <row r="4920">
          <cell r="E4920" t="str">
            <v>LUC-E00-400012-15</v>
          </cell>
          <cell r="F4920">
            <v>880616364151</v>
          </cell>
        </row>
        <row r="4921">
          <cell r="E4921" t="str">
            <v>LUC-E00-420045-01</v>
          </cell>
          <cell r="F4921">
            <v>880616364151</v>
          </cell>
        </row>
        <row r="4922">
          <cell r="E4922" t="str">
            <v>PUR-13-0153-00</v>
          </cell>
          <cell r="F4922">
            <v>880616364151</v>
          </cell>
        </row>
        <row r="4923">
          <cell r="E4923" t="str">
            <v>EF-45058007.X.X</v>
          </cell>
          <cell r="F4923">
            <v>880616364151</v>
          </cell>
        </row>
        <row r="4924">
          <cell r="E4924" t="str">
            <v>EF-45058007.X.X</v>
          </cell>
          <cell r="F4924">
            <v>880616364151</v>
          </cell>
        </row>
        <row r="4925">
          <cell r="E4925" t="str">
            <v>PUR-03-0091-02</v>
          </cell>
          <cell r="F4925">
            <v>453789915131</v>
          </cell>
        </row>
        <row r="4926">
          <cell r="E4926" t="str">
            <v>PUR-03-0091-02</v>
          </cell>
          <cell r="F4926">
            <v>453789915131</v>
          </cell>
        </row>
        <row r="4927">
          <cell r="E4927" t="str">
            <v>LUC-E00-420028-00</v>
          </cell>
          <cell r="F4927">
            <v>880589292449</v>
          </cell>
        </row>
        <row r="4928">
          <cell r="E4928" t="str">
            <v>LUC-E00-690157-01</v>
          </cell>
          <cell r="F4928">
            <v>880589292449</v>
          </cell>
        </row>
        <row r="4929">
          <cell r="E4929" t="str">
            <v>LUC-E00-400069-00</v>
          </cell>
          <cell r="F4929">
            <v>880589292449</v>
          </cell>
        </row>
        <row r="4930">
          <cell r="E4930" t="str">
            <v>LUC-EZZ-420084-00</v>
          </cell>
          <cell r="F4930">
            <v>880589292449</v>
          </cell>
        </row>
        <row r="4931">
          <cell r="E4931" t="str">
            <v>LUC-EZZ-440028-00</v>
          </cell>
          <cell r="F4931">
            <v>880589292449</v>
          </cell>
        </row>
        <row r="4932">
          <cell r="E4932" t="str">
            <v>LUC-EZZ-471621-00</v>
          </cell>
          <cell r="F4932">
            <v>287700533881</v>
          </cell>
        </row>
        <row r="4933">
          <cell r="E4933" t="str">
            <v>LUC-EZZ-470138-00</v>
          </cell>
          <cell r="F4933">
            <v>287700533881</v>
          </cell>
        </row>
        <row r="4934">
          <cell r="E4934" t="str">
            <v>LUC-E00-470388-00</v>
          </cell>
          <cell r="F4934">
            <v>287700533881</v>
          </cell>
        </row>
        <row r="4935">
          <cell r="E4935" t="str">
            <v>LUC-EZZ-490307-01</v>
          </cell>
          <cell r="F4935">
            <v>1515357</v>
          </cell>
        </row>
        <row r="4936">
          <cell r="E4936" t="str">
            <v>LUC-EZZ-490316-01</v>
          </cell>
          <cell r="F4936">
            <v>1515357</v>
          </cell>
        </row>
        <row r="4937">
          <cell r="E4937" t="str">
            <v>LUC-EZZ-690131-00</v>
          </cell>
          <cell r="F4937" t="str">
            <v>1Z9083VF0478861955</v>
          </cell>
        </row>
        <row r="4938">
          <cell r="E4938" t="str">
            <v>LUC-EZZ-690131-00</v>
          </cell>
          <cell r="F4938">
            <v>456016065684</v>
          </cell>
        </row>
        <row r="4939">
          <cell r="E4939" t="str">
            <v>PUR-03-0074-02</v>
          </cell>
          <cell r="F4939" t="str">
            <v>8TV4036</v>
          </cell>
        </row>
        <row r="4940">
          <cell r="E4940" t="str">
            <v>PUR-03-0091-02</v>
          </cell>
          <cell r="F4940">
            <v>453789930874</v>
          </cell>
        </row>
        <row r="4941">
          <cell r="E4941" t="str">
            <v>PUR-03-0091-02</v>
          </cell>
          <cell r="F4941">
            <v>453789930874</v>
          </cell>
        </row>
        <row r="4942">
          <cell r="E4942" t="str">
            <v>LUC-E00-510030-00</v>
          </cell>
          <cell r="F4942">
            <v>453780103530</v>
          </cell>
        </row>
        <row r="4943">
          <cell r="E4943" t="str">
            <v>EF-45127245.X.X</v>
          </cell>
          <cell r="F4943">
            <v>426411168260</v>
          </cell>
        </row>
        <row r="4944">
          <cell r="E4944" t="str">
            <v>EF-45130022</v>
          </cell>
          <cell r="F4944">
            <v>880599919402</v>
          </cell>
        </row>
        <row r="4945">
          <cell r="E4945" t="str">
            <v>LUC-EZZ-470136-00</v>
          </cell>
          <cell r="F4945">
            <v>287543907518</v>
          </cell>
        </row>
        <row r="4946">
          <cell r="E4946" t="str">
            <v>LUC-EZZ-470136-00</v>
          </cell>
          <cell r="F4946">
            <v>287543907518</v>
          </cell>
        </row>
        <row r="4947">
          <cell r="E4947" t="str">
            <v>LUC-EZZ-470136-00</v>
          </cell>
          <cell r="F4947">
            <v>287543907518</v>
          </cell>
        </row>
        <row r="4948">
          <cell r="E4948" t="str">
            <v>LUC-E00-420003-00</v>
          </cell>
          <cell r="F4948">
            <v>679486494001</v>
          </cell>
        </row>
        <row r="4949">
          <cell r="E4949" t="str">
            <v>PUR-03-0091-02</v>
          </cell>
          <cell r="F4949">
            <v>453789945557</v>
          </cell>
        </row>
        <row r="4950">
          <cell r="E4950" t="str">
            <v>PUR-03-0091-02</v>
          </cell>
          <cell r="F4950">
            <v>453789945557</v>
          </cell>
        </row>
        <row r="4951">
          <cell r="E4951" t="str">
            <v>PUR-03-0091-02</v>
          </cell>
          <cell r="F4951">
            <v>453789927904</v>
          </cell>
        </row>
        <row r="4952">
          <cell r="E4952" t="str">
            <v>PUR-03-0096-02</v>
          </cell>
          <cell r="F4952" t="str">
            <v>8TV4029</v>
          </cell>
        </row>
        <row r="4953">
          <cell r="E4953" t="str">
            <v>PUR-03-0099-03</v>
          </cell>
          <cell r="F4953" t="str">
            <v>8TV4029</v>
          </cell>
        </row>
        <row r="4954">
          <cell r="E4954" t="str">
            <v>LUC-EZZ-420352-00</v>
          </cell>
          <cell r="F4954">
            <v>3038878275</v>
          </cell>
        </row>
        <row r="4955">
          <cell r="E4955" t="str">
            <v>LUC-EZZ-470138-00</v>
          </cell>
          <cell r="F4955">
            <v>880660971259</v>
          </cell>
        </row>
        <row r="4956">
          <cell r="E4956" t="str">
            <v>LUC-EZZ-400011-00</v>
          </cell>
          <cell r="F4956">
            <v>880660971259</v>
          </cell>
        </row>
        <row r="4957">
          <cell r="E4957" t="str">
            <v>LUC-EZZ-470138-00</v>
          </cell>
          <cell r="F4957">
            <v>880660971259</v>
          </cell>
        </row>
        <row r="4958">
          <cell r="E4958" t="str">
            <v>EF-45100289</v>
          </cell>
          <cell r="F4958">
            <v>453181363232</v>
          </cell>
        </row>
        <row r="4959">
          <cell r="E4959" t="str">
            <v>LUC-EZZ-450047-00</v>
          </cell>
          <cell r="F4959">
            <v>453181363232</v>
          </cell>
        </row>
        <row r="4960">
          <cell r="E4960" t="str">
            <v>121-000022.X.X</v>
          </cell>
          <cell r="F4960">
            <v>880679383541</v>
          </cell>
        </row>
        <row r="4961">
          <cell r="E4961" t="str">
            <v>PUR-13-0159-00</v>
          </cell>
          <cell r="F4961">
            <v>880679383541</v>
          </cell>
        </row>
        <row r="4962">
          <cell r="E4962" t="str">
            <v>PUR-13-0159-00</v>
          </cell>
          <cell r="F4962">
            <v>880679383541</v>
          </cell>
        </row>
        <row r="4963">
          <cell r="E4963" t="str">
            <v>PUR-12-0271-00</v>
          </cell>
          <cell r="F4963">
            <v>880679383541</v>
          </cell>
        </row>
        <row r="4964">
          <cell r="E4964" t="str">
            <v>PUR-12-0271-00</v>
          </cell>
          <cell r="F4964">
            <v>880679383541</v>
          </cell>
        </row>
        <row r="4965">
          <cell r="E4965" t="str">
            <v>PUR-12-0474-00</v>
          </cell>
          <cell r="F4965">
            <v>880679383541</v>
          </cell>
        </row>
        <row r="4966">
          <cell r="E4966" t="str">
            <v>PUR-12-0460-00</v>
          </cell>
          <cell r="F4966">
            <v>880679383541</v>
          </cell>
        </row>
        <row r="4967">
          <cell r="E4967" t="str">
            <v>PUR-12-0310-00</v>
          </cell>
          <cell r="F4967">
            <v>880679383541</v>
          </cell>
        </row>
        <row r="4968">
          <cell r="E4968" t="str">
            <v>PUR-03-0082-02</v>
          </cell>
          <cell r="F4968">
            <v>453789927867</v>
          </cell>
        </row>
        <row r="4969">
          <cell r="E4969" t="str">
            <v>LUC-E00-400010-021</v>
          </cell>
          <cell r="F4969">
            <v>3038879443</v>
          </cell>
        </row>
        <row r="4970">
          <cell r="E4970" t="str">
            <v>LUC-E00-400012-19</v>
          </cell>
          <cell r="F4970">
            <v>3038879443</v>
          </cell>
        </row>
        <row r="4971">
          <cell r="E4971" t="str">
            <v>LUC-EZZ-400297-00</v>
          </cell>
          <cell r="F4971">
            <v>3038879443</v>
          </cell>
        </row>
        <row r="4972">
          <cell r="E4972" t="str">
            <v>LUC-EZZ-400542-00</v>
          </cell>
          <cell r="F4972">
            <v>3038879443</v>
          </cell>
        </row>
        <row r="4973">
          <cell r="E4973" t="str">
            <v>LUC-E00-450132-00</v>
          </cell>
          <cell r="F4973">
            <v>3038879443</v>
          </cell>
        </row>
        <row r="4974">
          <cell r="E4974" t="str">
            <v>LUC-E00-450132-00</v>
          </cell>
          <cell r="F4974">
            <v>3038879443</v>
          </cell>
        </row>
        <row r="4975">
          <cell r="E4975" t="str">
            <v>LUC-E00-420135-00</v>
          </cell>
          <cell r="F4975">
            <v>3038879443</v>
          </cell>
        </row>
        <row r="4976">
          <cell r="E4976" t="str">
            <v>LUC-E00-420135-00</v>
          </cell>
          <cell r="F4976">
            <v>3038879443</v>
          </cell>
        </row>
        <row r="4977">
          <cell r="E4977" t="str">
            <v>LUC-E00-400244-00</v>
          </cell>
          <cell r="F4977">
            <v>3038879443</v>
          </cell>
        </row>
        <row r="4978">
          <cell r="E4978" t="str">
            <v>LUC-EZZ-420090-00</v>
          </cell>
          <cell r="F4978">
            <v>3038879443</v>
          </cell>
        </row>
        <row r="4979">
          <cell r="E4979" t="str">
            <v>LUC-EZZ-510638-00</v>
          </cell>
          <cell r="F4979">
            <v>3038879443</v>
          </cell>
        </row>
        <row r="4980">
          <cell r="E4980" t="str">
            <v>LUC-E00-420048-00</v>
          </cell>
          <cell r="F4980">
            <v>3038879443</v>
          </cell>
        </row>
        <row r="4981">
          <cell r="E4981" t="str">
            <v>LUC-EZZ-420493-00</v>
          </cell>
          <cell r="F4981">
            <v>3038879443</v>
          </cell>
        </row>
        <row r="4982">
          <cell r="E4982" t="str">
            <v>LUC-EZZ-470961-00</v>
          </cell>
          <cell r="F4982">
            <v>3038879443</v>
          </cell>
        </row>
        <row r="4983">
          <cell r="E4983" t="str">
            <v>LUC-E00-470020-01</v>
          </cell>
          <cell r="F4983">
            <v>3038879443</v>
          </cell>
        </row>
        <row r="4984">
          <cell r="E4984" t="str">
            <v>LUC-E00-460038-00</v>
          </cell>
          <cell r="F4984">
            <v>3038879443</v>
          </cell>
        </row>
        <row r="4985">
          <cell r="E4985" t="str">
            <v>LUC-E00-450043-00</v>
          </cell>
          <cell r="F4985">
            <v>3038879443</v>
          </cell>
        </row>
        <row r="4986">
          <cell r="E4986" t="str">
            <v>LUC-EZZ-450110-00</v>
          </cell>
          <cell r="F4986">
            <v>3038879443</v>
          </cell>
        </row>
        <row r="4987">
          <cell r="E4987" t="str">
            <v>LUC-EZZ-470136-00</v>
          </cell>
          <cell r="F4987">
            <v>3038879443</v>
          </cell>
        </row>
        <row r="4988">
          <cell r="E4988" t="str">
            <v>LUC-E00-470020-01</v>
          </cell>
          <cell r="F4988">
            <v>3038879443</v>
          </cell>
        </row>
        <row r="4989">
          <cell r="E4989" t="str">
            <v>LUC-E00-470122-01</v>
          </cell>
          <cell r="F4989">
            <v>3038879443</v>
          </cell>
        </row>
        <row r="4990">
          <cell r="E4990" t="str">
            <v>LUC-E00-400010-016</v>
          </cell>
          <cell r="F4990">
            <v>3038879443</v>
          </cell>
        </row>
        <row r="4991">
          <cell r="E4991" t="str">
            <v>LUC-E00-400067-211</v>
          </cell>
          <cell r="F4991">
            <v>3038879443</v>
          </cell>
        </row>
        <row r="4992">
          <cell r="E4992" t="str">
            <v>LUC-EZZ-470192-00</v>
          </cell>
          <cell r="F4992">
            <v>3038879443</v>
          </cell>
        </row>
        <row r="4993">
          <cell r="E4993" t="str">
            <v>LUC-E00-420002-03</v>
          </cell>
          <cell r="F4993">
            <v>3038879443</v>
          </cell>
        </row>
        <row r="4994">
          <cell r="E4994" t="str">
            <v>LUC-E00-510015-00</v>
          </cell>
          <cell r="F4994">
            <v>3038879443</v>
          </cell>
        </row>
        <row r="4995">
          <cell r="E4995" t="str">
            <v>LUC-EZZ-420322-00</v>
          </cell>
          <cell r="F4995">
            <v>3038879443</v>
          </cell>
        </row>
        <row r="4996">
          <cell r="E4996" t="str">
            <v>LUC-E00-400010-022</v>
          </cell>
          <cell r="F4996">
            <v>3038879443</v>
          </cell>
        </row>
        <row r="4997">
          <cell r="E4997" t="str">
            <v>LUC-E00-440029-00</v>
          </cell>
          <cell r="F4997">
            <v>3038879443</v>
          </cell>
        </row>
        <row r="4998">
          <cell r="E4998" t="str">
            <v>LUC-E00-510014-00</v>
          </cell>
          <cell r="F4998">
            <v>3038879443</v>
          </cell>
        </row>
        <row r="4999">
          <cell r="E4999" t="str">
            <v>LUC-E00-420050-00</v>
          </cell>
          <cell r="F4999">
            <v>3038879443</v>
          </cell>
        </row>
        <row r="5000">
          <cell r="E5000" t="str">
            <v>LUC-E00-420050-00</v>
          </cell>
          <cell r="F5000">
            <v>3038879443</v>
          </cell>
        </row>
        <row r="5001">
          <cell r="E5001" t="str">
            <v>LUC-E00-420171-00</v>
          </cell>
          <cell r="F5001">
            <v>3038879443</v>
          </cell>
        </row>
        <row r="5002">
          <cell r="E5002" t="str">
            <v>LUC-E00-420171-00</v>
          </cell>
          <cell r="F5002">
            <v>3038879443</v>
          </cell>
        </row>
        <row r="5003">
          <cell r="E5003" t="str">
            <v>LUC-E00-420171-00</v>
          </cell>
          <cell r="F5003">
            <v>3038879443</v>
          </cell>
        </row>
        <row r="5004">
          <cell r="E5004" t="str">
            <v>LUC-E00-420025-05</v>
          </cell>
          <cell r="F5004">
            <v>3038879443</v>
          </cell>
        </row>
        <row r="5005">
          <cell r="E5005" t="str">
            <v>LUC-E00-420025-05</v>
          </cell>
          <cell r="F5005">
            <v>3038879443</v>
          </cell>
        </row>
        <row r="5006">
          <cell r="E5006" t="str">
            <v>LUC-E00-420025-05</v>
          </cell>
          <cell r="F5006">
            <v>3038879443</v>
          </cell>
        </row>
        <row r="5007">
          <cell r="E5007" t="str">
            <v>LUC-E00-420025-05</v>
          </cell>
          <cell r="F5007">
            <v>3038879443</v>
          </cell>
        </row>
        <row r="5008">
          <cell r="E5008" t="str">
            <v>LUC-E00-420025-05</v>
          </cell>
          <cell r="F5008">
            <v>3038879443</v>
          </cell>
        </row>
        <row r="5009">
          <cell r="E5009" t="str">
            <v>LUC-EZZ-420102-00</v>
          </cell>
          <cell r="F5009">
            <v>3038879443</v>
          </cell>
        </row>
        <row r="5010">
          <cell r="E5010" t="str">
            <v>LUC-EZZ-400414-00</v>
          </cell>
          <cell r="F5010">
            <v>3038879443</v>
          </cell>
        </row>
        <row r="5011">
          <cell r="E5011" t="str">
            <v>LUC-EZZ-510061-00</v>
          </cell>
          <cell r="F5011">
            <v>3038879443</v>
          </cell>
        </row>
        <row r="5012">
          <cell r="E5012" t="str">
            <v>LUC-E00-400010-046</v>
          </cell>
          <cell r="F5012">
            <v>3038879443</v>
          </cell>
        </row>
        <row r="5013">
          <cell r="E5013" t="str">
            <v>AGI-534-40006-01</v>
          </cell>
          <cell r="F5013">
            <v>3038879443</v>
          </cell>
        </row>
        <row r="5014">
          <cell r="E5014" t="str">
            <v>LUC-E00-440047-00</v>
          </cell>
          <cell r="F5014">
            <v>3038879443</v>
          </cell>
        </row>
        <row r="5015">
          <cell r="E5015" t="str">
            <v>LUC-E00-440047-00</v>
          </cell>
          <cell r="F5015">
            <v>3038879443</v>
          </cell>
        </row>
        <row r="5016">
          <cell r="E5016" t="str">
            <v>LUC-E00-420173-00</v>
          </cell>
          <cell r="F5016">
            <v>3038879443</v>
          </cell>
        </row>
        <row r="5017">
          <cell r="E5017" t="str">
            <v>LUC-E00-440028-00</v>
          </cell>
          <cell r="F5017">
            <v>3038879443</v>
          </cell>
        </row>
        <row r="5018">
          <cell r="E5018" t="str">
            <v>LUC-E00-440047-00</v>
          </cell>
          <cell r="F5018">
            <v>3038879443</v>
          </cell>
        </row>
        <row r="5019">
          <cell r="E5019" t="str">
            <v>LUC-E00-440047-00</v>
          </cell>
          <cell r="F5019">
            <v>3038879443</v>
          </cell>
        </row>
        <row r="5020">
          <cell r="E5020" t="str">
            <v>LUC-EZZ-450476-00</v>
          </cell>
          <cell r="F5020">
            <v>3038879443</v>
          </cell>
        </row>
        <row r="5021">
          <cell r="E5021" t="str">
            <v>LUC-E00-400010-048</v>
          </cell>
          <cell r="F5021">
            <v>3038879443</v>
          </cell>
        </row>
        <row r="5022">
          <cell r="E5022" t="str">
            <v>LUC-E00-510021-00</v>
          </cell>
          <cell r="F5022">
            <v>3038879443</v>
          </cell>
        </row>
        <row r="5023">
          <cell r="E5023" t="str">
            <v>LUC-E00-510021-00</v>
          </cell>
          <cell r="F5023">
            <v>3038879443</v>
          </cell>
        </row>
        <row r="5024">
          <cell r="E5024" t="str">
            <v>LUC-E00-510021-00</v>
          </cell>
          <cell r="F5024">
            <v>3038879443</v>
          </cell>
        </row>
        <row r="5025">
          <cell r="E5025" t="str">
            <v>LUC-E00-510021-00</v>
          </cell>
          <cell r="F5025">
            <v>3038879443</v>
          </cell>
        </row>
        <row r="5026">
          <cell r="E5026" t="str">
            <v>LUC-E00-510021-00</v>
          </cell>
          <cell r="F5026">
            <v>3038879443</v>
          </cell>
        </row>
        <row r="5027">
          <cell r="E5027" t="str">
            <v>LUC-E00-510021-00</v>
          </cell>
          <cell r="F5027">
            <v>3038879443</v>
          </cell>
        </row>
        <row r="5028">
          <cell r="E5028" t="str">
            <v>LUC-E00-400067-111</v>
          </cell>
          <cell r="F5028">
            <v>3038879443</v>
          </cell>
        </row>
        <row r="5029">
          <cell r="E5029" t="str">
            <v>LUC-E00-420011-05</v>
          </cell>
          <cell r="F5029">
            <v>3038879443</v>
          </cell>
        </row>
        <row r="5030">
          <cell r="E5030" t="str">
            <v>PUR-24-0028-00</v>
          </cell>
          <cell r="F5030">
            <v>3038879443</v>
          </cell>
        </row>
        <row r="5031">
          <cell r="E5031" t="str">
            <v>LUC-E00-470111-00</v>
          </cell>
          <cell r="F5031">
            <v>4110323553</v>
          </cell>
        </row>
        <row r="5032">
          <cell r="E5032" t="str">
            <v>LUC-EZZ-690145-00</v>
          </cell>
          <cell r="F5032">
            <v>4110323707</v>
          </cell>
        </row>
        <row r="5033">
          <cell r="E5033" t="str">
            <v>LUC-EZZ-690241-00</v>
          </cell>
          <cell r="F5033">
            <v>4110323708</v>
          </cell>
        </row>
        <row r="5034">
          <cell r="E5034" t="str">
            <v>LUC-EZZ-690241-00</v>
          </cell>
          <cell r="F5034">
            <v>4110323708</v>
          </cell>
        </row>
        <row r="5035">
          <cell r="E5035" t="str">
            <v>LUC-EZZ-690241-00</v>
          </cell>
          <cell r="F5035">
            <v>4110323708</v>
          </cell>
        </row>
        <row r="5036">
          <cell r="E5036" t="str">
            <v>LUC-EZZ-490230-05</v>
          </cell>
          <cell r="F5036">
            <v>2407129222</v>
          </cell>
        </row>
        <row r="5037">
          <cell r="E5037" t="str">
            <v>LUC-EZZ-490315-02</v>
          </cell>
          <cell r="F5037" t="str">
            <v>ST25041328</v>
          </cell>
        </row>
        <row r="5038">
          <cell r="E5038" t="str">
            <v>LUC-EZZ-490315-02</v>
          </cell>
          <cell r="F5038" t="str">
            <v>ST25041328</v>
          </cell>
        </row>
        <row r="5039">
          <cell r="E5039" t="str">
            <v>LUC-EZZ-490315-02</v>
          </cell>
          <cell r="F5039" t="str">
            <v>ST25041328</v>
          </cell>
        </row>
        <row r="5040">
          <cell r="E5040" t="str">
            <v>LUC-EZZ-490259-00</v>
          </cell>
          <cell r="F5040" t="str">
            <v>ST25041328</v>
          </cell>
        </row>
        <row r="5041">
          <cell r="E5041" t="str">
            <v>LUC-EZZ-490317-02</v>
          </cell>
          <cell r="F5041" t="str">
            <v>ST25041328</v>
          </cell>
        </row>
        <row r="5042">
          <cell r="E5042" t="str">
            <v>LUC-EZZ-490316-01</v>
          </cell>
          <cell r="F5042" t="str">
            <v>ST25041328</v>
          </cell>
        </row>
        <row r="5043">
          <cell r="E5043" t="str">
            <v>LUC-EZZ-400475-00</v>
          </cell>
          <cell r="F5043">
            <v>456016135000</v>
          </cell>
        </row>
        <row r="5044">
          <cell r="E5044" t="str">
            <v>PUR-14-0080-00</v>
          </cell>
          <cell r="F5044">
            <v>421194717125</v>
          </cell>
        </row>
        <row r="5045">
          <cell r="E5045" t="str">
            <v>LUC-P11-K41E00-01</v>
          </cell>
          <cell r="F5045">
            <v>421194717125</v>
          </cell>
        </row>
        <row r="5046">
          <cell r="E5046" t="str">
            <v>LUC-EZZ-420536-00</v>
          </cell>
          <cell r="F5046">
            <v>421194717125</v>
          </cell>
        </row>
        <row r="5047">
          <cell r="E5047" t="str">
            <v>LUC-E00-480007-00</v>
          </cell>
          <cell r="F5047">
            <v>421194717125</v>
          </cell>
        </row>
        <row r="5048">
          <cell r="E5048" t="str">
            <v>LUC-E00-400023-000</v>
          </cell>
          <cell r="F5048">
            <v>421194717125</v>
          </cell>
        </row>
        <row r="5049">
          <cell r="E5049" t="str">
            <v>LUC-EZZ-400609-00</v>
          </cell>
          <cell r="F5049">
            <v>421194717125</v>
          </cell>
        </row>
        <row r="5050">
          <cell r="E5050" t="str">
            <v>LUC-E00-420060-03</v>
          </cell>
          <cell r="F5050">
            <v>421194717125</v>
          </cell>
        </row>
        <row r="5051">
          <cell r="E5051" t="str">
            <v>LUC-E00-420016-00</v>
          </cell>
          <cell r="F5051">
            <v>421194717125</v>
          </cell>
        </row>
        <row r="5052">
          <cell r="E5052" t="str">
            <v>PUR-13-0195-00</v>
          </cell>
          <cell r="F5052">
            <v>421281360804</v>
          </cell>
        </row>
        <row r="5053">
          <cell r="E5053" t="str">
            <v>PUR-18-0581-00</v>
          </cell>
          <cell r="F5053">
            <v>880675505330</v>
          </cell>
        </row>
        <row r="5054">
          <cell r="E5054" t="str">
            <v>PUR-18-0612-00</v>
          </cell>
          <cell r="F5054">
            <v>880675505330</v>
          </cell>
        </row>
        <row r="5055">
          <cell r="E5055" t="str">
            <v>PUR-18-0625-00</v>
          </cell>
          <cell r="F5055">
            <v>880675505330</v>
          </cell>
        </row>
        <row r="5056">
          <cell r="E5056" t="str">
            <v>LUC-E00-690029-00</v>
          </cell>
          <cell r="F5056">
            <v>880681680415</v>
          </cell>
        </row>
        <row r="5057">
          <cell r="E5057" t="str">
            <v>LUC-E00-690029-00</v>
          </cell>
          <cell r="F5057">
            <v>880681680415</v>
          </cell>
        </row>
        <row r="5058">
          <cell r="E5058" t="str">
            <v>EF-45036497</v>
          </cell>
          <cell r="F5058">
            <v>423264357440</v>
          </cell>
        </row>
        <row r="5059">
          <cell r="E5059" t="str">
            <v>121-000100.X.X</v>
          </cell>
          <cell r="F5059">
            <v>423264357440</v>
          </cell>
        </row>
        <row r="5060">
          <cell r="E5060" t="str">
            <v>121-001611</v>
          </cell>
          <cell r="F5060">
            <v>423264357440</v>
          </cell>
        </row>
        <row r="5061">
          <cell r="E5061" t="str">
            <v>121-000520.X.X</v>
          </cell>
          <cell r="F5061">
            <v>423264357440</v>
          </cell>
        </row>
        <row r="5062">
          <cell r="E5062" t="str">
            <v>PUR-13-0212-00</v>
          </cell>
          <cell r="F5062">
            <v>423264357440</v>
          </cell>
        </row>
        <row r="5063">
          <cell r="E5063" t="str">
            <v>PUR-12-0407-00</v>
          </cell>
          <cell r="F5063">
            <v>423264357440</v>
          </cell>
        </row>
        <row r="5064">
          <cell r="E5064" t="str">
            <v>PURET-12-0017-00</v>
          </cell>
          <cell r="F5064">
            <v>423264357440</v>
          </cell>
        </row>
        <row r="5065">
          <cell r="E5065" t="str">
            <v>EF-45105280</v>
          </cell>
          <cell r="F5065">
            <v>423264357440</v>
          </cell>
        </row>
        <row r="5066">
          <cell r="E5066" t="str">
            <v>EF-45060797.X.X</v>
          </cell>
          <cell r="F5066">
            <v>423264357440</v>
          </cell>
        </row>
        <row r="5067">
          <cell r="E5067" t="str">
            <v>EF-45044558.X.X</v>
          </cell>
          <cell r="F5067">
            <v>423264357440</v>
          </cell>
        </row>
        <row r="5068">
          <cell r="E5068" t="str">
            <v>EF-45035538.X.X</v>
          </cell>
          <cell r="F5068">
            <v>423264357440</v>
          </cell>
        </row>
        <row r="5069">
          <cell r="E5069" t="str">
            <v>PUR-12-0482-00</v>
          </cell>
          <cell r="F5069">
            <v>423264357440</v>
          </cell>
        </row>
        <row r="5070">
          <cell r="E5070" t="str">
            <v>121-001823</v>
          </cell>
          <cell r="F5070">
            <v>423264357440</v>
          </cell>
        </row>
        <row r="5071">
          <cell r="E5071" t="str">
            <v>EF-45037533.X.X</v>
          </cell>
          <cell r="F5071">
            <v>423264357440</v>
          </cell>
        </row>
        <row r="5072">
          <cell r="E5072" t="str">
            <v>122-000673.X.X</v>
          </cell>
          <cell r="F5072">
            <v>423264357440</v>
          </cell>
        </row>
        <row r="5073">
          <cell r="E5073" t="str">
            <v>PURET-13-0006-00</v>
          </cell>
          <cell r="F5073">
            <v>423264357440</v>
          </cell>
        </row>
        <row r="5074">
          <cell r="E5074" t="str">
            <v>EF-45057845.X.X</v>
          </cell>
          <cell r="F5074">
            <v>423264357440</v>
          </cell>
        </row>
        <row r="5075">
          <cell r="E5075" t="str">
            <v>PURET-13-0001-00</v>
          </cell>
          <cell r="F5075">
            <v>423264357440</v>
          </cell>
        </row>
        <row r="5076">
          <cell r="E5076" t="str">
            <v>PUR-13-0215-00</v>
          </cell>
          <cell r="F5076">
            <v>423264357440</v>
          </cell>
        </row>
        <row r="5077">
          <cell r="E5077" t="str">
            <v>PUR-13-0215-00</v>
          </cell>
          <cell r="F5077">
            <v>423264357440</v>
          </cell>
        </row>
        <row r="5078">
          <cell r="E5078" t="str">
            <v>PURET-13-0119-00</v>
          </cell>
          <cell r="F5078">
            <v>423264357440</v>
          </cell>
        </row>
        <row r="5079">
          <cell r="E5079" t="str">
            <v>PURET-13-0119-00</v>
          </cell>
          <cell r="F5079">
            <v>423264357440</v>
          </cell>
        </row>
        <row r="5080">
          <cell r="E5080" t="str">
            <v>LUC-E00-510032-00</v>
          </cell>
          <cell r="F5080">
            <v>411336048697</v>
          </cell>
        </row>
        <row r="5081">
          <cell r="E5081" t="str">
            <v>LUC-E00-510032-00</v>
          </cell>
          <cell r="F5081">
            <v>411336048697</v>
          </cell>
        </row>
        <row r="5082">
          <cell r="E5082" t="str">
            <v>PUR-03-0082-02</v>
          </cell>
          <cell r="F5082">
            <v>453789947825</v>
          </cell>
        </row>
        <row r="5083">
          <cell r="E5083" t="str">
            <v>LUC-E00-690033-00</v>
          </cell>
          <cell r="F5083" t="str">
            <v>LSHHPH2502938</v>
          </cell>
        </row>
        <row r="5084">
          <cell r="E5084" t="str">
            <v>LUC-E00-690033-00</v>
          </cell>
          <cell r="F5084" t="str">
            <v>LSHHPH2502938</v>
          </cell>
        </row>
        <row r="5085">
          <cell r="E5085" t="str">
            <v>LUC-E00-690033-01</v>
          </cell>
          <cell r="F5085" t="str">
            <v>LSHHPH2502938</v>
          </cell>
        </row>
        <row r="5086">
          <cell r="E5086" t="str">
            <v>LUC-E00-690033-01</v>
          </cell>
          <cell r="F5086" t="str">
            <v>LSHHPH2502938</v>
          </cell>
        </row>
        <row r="5087">
          <cell r="E5087" t="str">
            <v>LUC-E00-690106-00</v>
          </cell>
          <cell r="F5087" t="str">
            <v>LSHHPH2502938</v>
          </cell>
        </row>
        <row r="5088">
          <cell r="E5088" t="str">
            <v>LUC-E00-690106-01</v>
          </cell>
          <cell r="F5088" t="str">
            <v>LSHHPH2502938</v>
          </cell>
        </row>
        <row r="5089">
          <cell r="E5089" t="str">
            <v>LUC-E00-400069-00</v>
          </cell>
          <cell r="F5089">
            <v>5376440694</v>
          </cell>
        </row>
        <row r="5090">
          <cell r="E5090" t="str">
            <v>LUC-E00-400069-00</v>
          </cell>
          <cell r="F5090">
            <v>5376440694</v>
          </cell>
        </row>
        <row r="5091">
          <cell r="E5091" t="str">
            <v>LUC-E00-400069-00</v>
          </cell>
          <cell r="F5091">
            <v>5376440694</v>
          </cell>
        </row>
        <row r="5092">
          <cell r="E5092" t="str">
            <v>LUC-E00-400069-00</v>
          </cell>
          <cell r="F5092">
            <v>5376440694</v>
          </cell>
        </row>
        <row r="5093">
          <cell r="E5093" t="str">
            <v>LUC-E00-400069-00</v>
          </cell>
          <cell r="F5093">
            <v>5376440694</v>
          </cell>
        </row>
        <row r="5094">
          <cell r="E5094" t="str">
            <v>PURET-24-0002-00</v>
          </cell>
          <cell r="F5094">
            <v>5376450951</v>
          </cell>
        </row>
        <row r="5095">
          <cell r="E5095" t="str">
            <v>LUC-E00-510016-00</v>
          </cell>
          <cell r="F5095">
            <v>5376450951</v>
          </cell>
        </row>
        <row r="5096">
          <cell r="E5096" t="str">
            <v>LUC-E00-420185-00</v>
          </cell>
          <cell r="F5096">
            <v>5376450951</v>
          </cell>
        </row>
        <row r="5097">
          <cell r="E5097" t="str">
            <v>LUC-E00-450075-00</v>
          </cell>
          <cell r="F5097">
            <v>5376450951</v>
          </cell>
        </row>
        <row r="5098">
          <cell r="E5098" t="str">
            <v>LUC-E00-450075-00</v>
          </cell>
          <cell r="F5098">
            <v>5376450951</v>
          </cell>
        </row>
        <row r="5099">
          <cell r="E5099" t="str">
            <v>PUR-27-0020-00</v>
          </cell>
          <cell r="F5099">
            <v>5376450951</v>
          </cell>
        </row>
        <row r="5100">
          <cell r="E5100" t="str">
            <v>LUC-E00-460006-00</v>
          </cell>
          <cell r="F5100">
            <v>5376450951</v>
          </cell>
        </row>
        <row r="5101">
          <cell r="E5101" t="str">
            <v>LUC-E00-460009-00</v>
          </cell>
          <cell r="F5101">
            <v>5376450951</v>
          </cell>
        </row>
        <row r="5102">
          <cell r="E5102" t="str">
            <v>LUC-E00-460009-00</v>
          </cell>
          <cell r="F5102">
            <v>5376450951</v>
          </cell>
        </row>
        <row r="5103">
          <cell r="E5103" t="str">
            <v>LUC-E00-460009-00</v>
          </cell>
          <cell r="F5103">
            <v>5376450951</v>
          </cell>
        </row>
        <row r="5104">
          <cell r="E5104" t="str">
            <v>LUC-E00-460009-00</v>
          </cell>
          <cell r="F5104">
            <v>5376450951</v>
          </cell>
        </row>
        <row r="5105">
          <cell r="E5105" t="str">
            <v>EF-45142527</v>
          </cell>
          <cell r="F5105">
            <v>5376450951</v>
          </cell>
        </row>
        <row r="5106">
          <cell r="E5106" t="str">
            <v>AGI-510-50001-01</v>
          </cell>
          <cell r="F5106">
            <v>5376450951</v>
          </cell>
        </row>
        <row r="5107">
          <cell r="E5107" t="str">
            <v>AGI-510-50001-01</v>
          </cell>
          <cell r="F5107">
            <v>5376450951</v>
          </cell>
        </row>
        <row r="5108">
          <cell r="E5108" t="str">
            <v>LUC-E00-460007-01</v>
          </cell>
          <cell r="F5108">
            <v>5376450951</v>
          </cell>
        </row>
        <row r="5109">
          <cell r="E5109" t="str">
            <v>LUC-E00-460007-01</v>
          </cell>
          <cell r="F5109">
            <v>5376450951</v>
          </cell>
        </row>
        <row r="5110">
          <cell r="E5110" t="str">
            <v>PUR-14-0076-00</v>
          </cell>
          <cell r="F5110">
            <v>5376450951</v>
          </cell>
        </row>
        <row r="5111">
          <cell r="E5111" t="str">
            <v>PUR-09-0324-00</v>
          </cell>
          <cell r="F5111">
            <v>456478012896</v>
          </cell>
        </row>
        <row r="5112">
          <cell r="E5112" t="str">
            <v>LUC-EZZ-400248-00</v>
          </cell>
          <cell r="F5112">
            <v>456478012896</v>
          </cell>
        </row>
        <row r="5113">
          <cell r="E5113" t="str">
            <v>LUC-EZZ-450070-00</v>
          </cell>
          <cell r="F5113">
            <v>456478012896</v>
          </cell>
        </row>
        <row r="5114">
          <cell r="E5114" t="str">
            <v>EF-45241780</v>
          </cell>
          <cell r="F5114">
            <v>456478012896</v>
          </cell>
        </row>
        <row r="5115">
          <cell r="E5115" t="str">
            <v>PUR-09-0294-00</v>
          </cell>
          <cell r="F5115">
            <v>456478012896</v>
          </cell>
        </row>
        <row r="5116">
          <cell r="E5116" t="str">
            <v>LUC-EZZ-400434-00</v>
          </cell>
          <cell r="F5116">
            <v>456478012896</v>
          </cell>
        </row>
        <row r="5117">
          <cell r="E5117" t="str">
            <v>PUR-09-0294-00</v>
          </cell>
          <cell r="F5117">
            <v>456478012896</v>
          </cell>
        </row>
        <row r="5118">
          <cell r="E5118" t="str">
            <v>PUR-09-0321-00</v>
          </cell>
          <cell r="F5118">
            <v>456478012896</v>
          </cell>
        </row>
        <row r="5119">
          <cell r="E5119" t="str">
            <v>LUC-EZZ-400201-00</v>
          </cell>
          <cell r="F5119">
            <v>456478012896</v>
          </cell>
        </row>
        <row r="5120">
          <cell r="E5120" t="str">
            <v>PUR-09-0294-00</v>
          </cell>
          <cell r="F5120">
            <v>456478012896</v>
          </cell>
        </row>
        <row r="5121">
          <cell r="E5121" t="str">
            <v>LUC-E00-460007-00</v>
          </cell>
          <cell r="F5121">
            <v>456478012896</v>
          </cell>
        </row>
        <row r="5122">
          <cell r="E5122" t="str">
            <v>LUC-E00-470081-00</v>
          </cell>
          <cell r="F5122">
            <v>456478012896</v>
          </cell>
        </row>
        <row r="5123">
          <cell r="E5123" t="str">
            <v>LUC-E00-460007-00</v>
          </cell>
          <cell r="F5123">
            <v>456478012896</v>
          </cell>
        </row>
        <row r="5124">
          <cell r="E5124" t="str">
            <v>LUC-E00-400028-002</v>
          </cell>
          <cell r="F5124">
            <v>456478012896</v>
          </cell>
        </row>
        <row r="5125">
          <cell r="E5125" t="str">
            <v>LUC-EZZ-470139-00</v>
          </cell>
          <cell r="F5125">
            <v>456478012896</v>
          </cell>
        </row>
        <row r="5126">
          <cell r="E5126" t="str">
            <v>AGI-450-40087-01</v>
          </cell>
          <cell r="F5126">
            <v>287849098801</v>
          </cell>
        </row>
        <row r="5127">
          <cell r="E5127" t="str">
            <v>AGI-450-40087-01</v>
          </cell>
          <cell r="F5127">
            <v>287849098801</v>
          </cell>
        </row>
        <row r="5128">
          <cell r="E5128" t="str">
            <v>AGI-450-40087-01</v>
          </cell>
          <cell r="F5128">
            <v>287849098801</v>
          </cell>
        </row>
        <row r="5129">
          <cell r="E5129" t="str">
            <v>AGI-450-40087-01</v>
          </cell>
          <cell r="F5129">
            <v>287849098801</v>
          </cell>
        </row>
        <row r="5130">
          <cell r="E5130" t="str">
            <v>AGI-450-40087-01</v>
          </cell>
          <cell r="F5130">
            <v>287849098801</v>
          </cell>
        </row>
        <row r="5131">
          <cell r="E5131" t="str">
            <v>AGI-450-40087-01</v>
          </cell>
          <cell r="F5131">
            <v>287849098801</v>
          </cell>
        </row>
        <row r="5132">
          <cell r="E5132" t="str">
            <v>AGI-450-40087-01</v>
          </cell>
          <cell r="F5132">
            <v>287849098801</v>
          </cell>
        </row>
        <row r="5133">
          <cell r="E5133" t="str">
            <v>AGI-450-40087-01</v>
          </cell>
          <cell r="F5133">
            <v>287849098801</v>
          </cell>
        </row>
        <row r="5134">
          <cell r="E5134" t="str">
            <v>PUR-14-0087-00</v>
          </cell>
          <cell r="F5134">
            <v>456478005449</v>
          </cell>
        </row>
        <row r="5135">
          <cell r="E5135" t="str">
            <v>PUR-14-0087-00</v>
          </cell>
          <cell r="F5135">
            <v>456478005449</v>
          </cell>
        </row>
        <row r="5136">
          <cell r="E5136" t="str">
            <v>PUR-07-0167-00</v>
          </cell>
          <cell r="F5136">
            <v>454593954280</v>
          </cell>
        </row>
        <row r="5137">
          <cell r="E5137" t="str">
            <v>PUR-07-0167-00</v>
          </cell>
          <cell r="F5137">
            <v>454593954280</v>
          </cell>
        </row>
        <row r="5138">
          <cell r="E5138" t="str">
            <v>PUR-07-0167-00</v>
          </cell>
          <cell r="F5138">
            <v>454593954280</v>
          </cell>
        </row>
        <row r="5139">
          <cell r="E5139" t="str">
            <v>PUR-09-0263-00</v>
          </cell>
          <cell r="F5139">
            <v>456478006310</v>
          </cell>
        </row>
        <row r="5140">
          <cell r="E5140" t="str">
            <v>LUC-E00-460006-00</v>
          </cell>
          <cell r="F5140">
            <v>456478005714</v>
          </cell>
        </row>
        <row r="5141">
          <cell r="E5141" t="str">
            <v>PUR-16-0044-01</v>
          </cell>
          <cell r="F5141" t="str">
            <v>MNN/HPH/00869</v>
          </cell>
        </row>
        <row r="5142">
          <cell r="E5142" t="str">
            <v>PUR-16-0046-01</v>
          </cell>
          <cell r="F5142" t="str">
            <v>MNN/HPH/00869</v>
          </cell>
        </row>
        <row r="5143">
          <cell r="E5143" t="str">
            <v>PUR-16-0046-01</v>
          </cell>
          <cell r="F5143" t="str">
            <v>MNN/HPH/00869</v>
          </cell>
        </row>
        <row r="5144">
          <cell r="E5144" t="str">
            <v>PUR-16-0049-01</v>
          </cell>
          <cell r="F5144" t="str">
            <v>MNN/HPH/00869</v>
          </cell>
        </row>
        <row r="5145">
          <cell r="E5145" t="str">
            <v>PUR-16-0049-01</v>
          </cell>
          <cell r="F5145" t="str">
            <v>MNN/HPH/00869</v>
          </cell>
        </row>
        <row r="5146">
          <cell r="E5146" t="str">
            <v>141-001538</v>
          </cell>
          <cell r="F5146">
            <v>880740967224</v>
          </cell>
        </row>
        <row r="5147">
          <cell r="E5147" t="str">
            <v>LUC-P00-F260CG-00</v>
          </cell>
          <cell r="F5147">
            <v>880739617890</v>
          </cell>
        </row>
        <row r="5148">
          <cell r="E5148" t="str">
            <v>LUC-P00-F134CG-00</v>
          </cell>
          <cell r="F5148">
            <v>880739617890</v>
          </cell>
        </row>
        <row r="5149">
          <cell r="E5149" t="str">
            <v>LUC-P00-F134CG-00</v>
          </cell>
          <cell r="F5149">
            <v>880739617890</v>
          </cell>
        </row>
        <row r="5150">
          <cell r="E5150" t="str">
            <v>LUC-P00-F193DG-00</v>
          </cell>
          <cell r="F5150">
            <v>880739617890</v>
          </cell>
        </row>
        <row r="5151">
          <cell r="E5151" t="str">
            <v>LUC-P00-F260CG-00</v>
          </cell>
          <cell r="F5151">
            <v>880739617890</v>
          </cell>
        </row>
        <row r="5152">
          <cell r="E5152" t="str">
            <v>LUC-P00-F320DB-00</v>
          </cell>
          <cell r="F5152">
            <v>880739617890</v>
          </cell>
        </row>
        <row r="5153">
          <cell r="E5153" t="str">
            <v>LUC-P00-F320DB-00</v>
          </cell>
          <cell r="F5153">
            <v>880739617890</v>
          </cell>
        </row>
        <row r="5154">
          <cell r="E5154" t="str">
            <v>LUC-P00-F320DB-00</v>
          </cell>
          <cell r="F5154">
            <v>880739617890</v>
          </cell>
        </row>
        <row r="5155">
          <cell r="E5155" t="str">
            <v>LUC-P00-F320DB-00</v>
          </cell>
          <cell r="F5155">
            <v>880739617890</v>
          </cell>
        </row>
        <row r="5156">
          <cell r="E5156" t="str">
            <v>LUC-EZZ-690131-00</v>
          </cell>
          <cell r="F5156">
            <v>4110323706</v>
          </cell>
        </row>
        <row r="5157">
          <cell r="E5157" t="str">
            <v>LUC-EZZ-690131-00</v>
          </cell>
          <cell r="F5157">
            <v>4110323706</v>
          </cell>
        </row>
        <row r="5158">
          <cell r="E5158" t="str">
            <v>LUC-EZZ-690131-00</v>
          </cell>
          <cell r="F5158">
            <v>4110323706</v>
          </cell>
        </row>
        <row r="5159">
          <cell r="E5159" t="str">
            <v>LUC-EZZ-690131-00</v>
          </cell>
          <cell r="F5159">
            <v>4110323706</v>
          </cell>
        </row>
        <row r="5160">
          <cell r="E5160" t="str">
            <v>LUC-E00-470096-00</v>
          </cell>
          <cell r="F5160">
            <v>4110323709</v>
          </cell>
        </row>
        <row r="5161">
          <cell r="E5161" t="str">
            <v>LUC-E00-470096-00</v>
          </cell>
          <cell r="F5161">
            <v>4110323776</v>
          </cell>
        </row>
        <row r="5162">
          <cell r="E5162" t="str">
            <v>PUR-03-0092-03</v>
          </cell>
          <cell r="F5162" t="str">
            <v>8TV4035</v>
          </cell>
        </row>
        <row r="5163">
          <cell r="E5163" t="str">
            <v>PUR-03-0092-03</v>
          </cell>
          <cell r="F5163" t="str">
            <v>8TV4034</v>
          </cell>
        </row>
        <row r="5164">
          <cell r="E5164" t="str">
            <v>PUR-11-0105-04</v>
          </cell>
          <cell r="F5164" t="str">
            <v>HAN53057</v>
          </cell>
        </row>
        <row r="5165">
          <cell r="E5165" t="str">
            <v>PUR-11-0105-04</v>
          </cell>
          <cell r="F5165" t="str">
            <v>HAN53057</v>
          </cell>
        </row>
        <row r="5166">
          <cell r="E5166" t="str">
            <v>PUR-11-0105-04</v>
          </cell>
          <cell r="F5166" t="str">
            <v>HAN53057</v>
          </cell>
        </row>
        <row r="5167">
          <cell r="E5167" t="str">
            <v>PUR-11-0105-04</v>
          </cell>
          <cell r="F5167" t="str">
            <v>HAN53057</v>
          </cell>
        </row>
        <row r="5168">
          <cell r="E5168" t="str">
            <v>LUC-E00-450026-00</v>
          </cell>
          <cell r="F5168">
            <v>5376465360</v>
          </cell>
        </row>
        <row r="5169">
          <cell r="E5169" t="str">
            <v>PUR-14-0076-00</v>
          </cell>
          <cell r="F5169">
            <v>5376465360</v>
          </cell>
        </row>
        <row r="5170">
          <cell r="E5170" t="str">
            <v>EF-45113162</v>
          </cell>
          <cell r="F5170">
            <v>5376465360</v>
          </cell>
        </row>
        <row r="5171">
          <cell r="E5171" t="str">
            <v>PUR-12-0412-00</v>
          </cell>
          <cell r="F5171">
            <v>5376465360</v>
          </cell>
        </row>
        <row r="5172">
          <cell r="E5172" t="str">
            <v>PUR-12-0432-00</v>
          </cell>
          <cell r="F5172">
            <v>5376465360</v>
          </cell>
        </row>
        <row r="5173">
          <cell r="E5173" t="str">
            <v>PUR-12-0432-00</v>
          </cell>
          <cell r="F5173">
            <v>5376465360</v>
          </cell>
        </row>
        <row r="5174">
          <cell r="E5174" t="str">
            <v>PUR-14-0076-00</v>
          </cell>
          <cell r="F5174">
            <v>5376465360</v>
          </cell>
        </row>
        <row r="5175">
          <cell r="E5175" t="str">
            <v>HLOB-14-0076-00</v>
          </cell>
          <cell r="F5175">
            <v>5376465360</v>
          </cell>
        </row>
        <row r="5176">
          <cell r="E5176" t="str">
            <v>HLOB-14-0077-00</v>
          </cell>
          <cell r="F5176">
            <v>5376465360</v>
          </cell>
        </row>
        <row r="5177">
          <cell r="E5177" t="str">
            <v>HLOB-14-0083-00</v>
          </cell>
          <cell r="F5177">
            <v>5376465360</v>
          </cell>
        </row>
        <row r="5178">
          <cell r="E5178" t="str">
            <v>PUR-14-0076-00</v>
          </cell>
          <cell r="F5178">
            <v>5376465360</v>
          </cell>
        </row>
        <row r="5179">
          <cell r="E5179" t="str">
            <v>HLOB-14-0083-00</v>
          </cell>
          <cell r="F5179">
            <v>5376465360</v>
          </cell>
        </row>
        <row r="5180">
          <cell r="E5180" t="str">
            <v>HLOB-14-0077-00</v>
          </cell>
          <cell r="F5180">
            <v>5376465360</v>
          </cell>
        </row>
        <row r="5181">
          <cell r="E5181" t="str">
            <v>HLOB-14-0076-00</v>
          </cell>
          <cell r="F5181">
            <v>5376465360</v>
          </cell>
        </row>
        <row r="5182">
          <cell r="E5182" t="str">
            <v>HLOB-14-0076-00</v>
          </cell>
          <cell r="F5182">
            <v>5376465360</v>
          </cell>
        </row>
        <row r="5183">
          <cell r="E5183" t="str">
            <v>HLOB-14-0083-00</v>
          </cell>
          <cell r="F5183">
            <v>5376465360</v>
          </cell>
        </row>
        <row r="5184">
          <cell r="E5184" t="str">
            <v>PUR-14-0076-00</v>
          </cell>
          <cell r="F5184">
            <v>5376465360</v>
          </cell>
        </row>
        <row r="5185">
          <cell r="E5185" t="str">
            <v>HLOB-24-0024-00</v>
          </cell>
          <cell r="F5185">
            <v>5376465360</v>
          </cell>
        </row>
        <row r="5186">
          <cell r="E5186" t="str">
            <v>HLOB-24-0008-00</v>
          </cell>
          <cell r="F5186">
            <v>5376465360</v>
          </cell>
        </row>
        <row r="5187">
          <cell r="E5187" t="str">
            <v>PURET-12-0084-00</v>
          </cell>
          <cell r="F5187">
            <v>5376465360</v>
          </cell>
        </row>
        <row r="5188">
          <cell r="E5188" t="str">
            <v>PUR-09-0444-00</v>
          </cell>
          <cell r="F5188">
            <v>5376465360</v>
          </cell>
        </row>
        <row r="5189">
          <cell r="E5189" t="str">
            <v>PURET-24-0008-00</v>
          </cell>
          <cell r="F5189">
            <v>5376465360</v>
          </cell>
        </row>
        <row r="5190">
          <cell r="E5190" t="str">
            <v>PUR-09-0329-00</v>
          </cell>
          <cell r="F5190">
            <v>5376465360</v>
          </cell>
        </row>
        <row r="5191">
          <cell r="E5191" t="str">
            <v>PUR-14-0077-00</v>
          </cell>
          <cell r="F5191">
            <v>5376465360</v>
          </cell>
        </row>
        <row r="5192">
          <cell r="E5192" t="str">
            <v>PUR-14-0049-00</v>
          </cell>
          <cell r="F5192">
            <v>5376465360</v>
          </cell>
        </row>
        <row r="5193">
          <cell r="E5193" t="str">
            <v>LUC-E00-460009-00</v>
          </cell>
          <cell r="F5193">
            <v>5376465360</v>
          </cell>
        </row>
        <row r="5194">
          <cell r="E5194" t="str">
            <v>PURET-12-0257-00</v>
          </cell>
          <cell r="F5194">
            <v>5376465360</v>
          </cell>
        </row>
        <row r="5195">
          <cell r="E5195" t="str">
            <v>HLOB-12-0257-00</v>
          </cell>
          <cell r="F5195">
            <v>5376465360</v>
          </cell>
        </row>
        <row r="5196">
          <cell r="E5196" t="str">
            <v>EF-45131276</v>
          </cell>
          <cell r="F5196" t="str">
            <v>S00369769</v>
          </cell>
        </row>
        <row r="5197">
          <cell r="E5197" t="str">
            <v>EF-45131277</v>
          </cell>
          <cell r="F5197" t="str">
            <v>S00369769</v>
          </cell>
        </row>
        <row r="5198">
          <cell r="E5198" t="str">
            <v>EF-45105056</v>
          </cell>
          <cell r="F5198" t="str">
            <v>S00369769</v>
          </cell>
        </row>
        <row r="5199">
          <cell r="E5199" t="str">
            <v>EF-45146844</v>
          </cell>
          <cell r="F5199" t="str">
            <v>S00369769</v>
          </cell>
        </row>
        <row r="5200">
          <cell r="E5200" t="str">
            <v>102-001542</v>
          </cell>
          <cell r="F5200" t="str">
            <v>EKLF2504178</v>
          </cell>
        </row>
        <row r="5201">
          <cell r="E5201" t="str">
            <v>LUC-EZZ-490307-01</v>
          </cell>
          <cell r="F5201">
            <v>1515387</v>
          </cell>
        </row>
        <row r="5202">
          <cell r="E5202" t="str">
            <v>LUC-EZZ-490317-02</v>
          </cell>
          <cell r="F5202">
            <v>1515387</v>
          </cell>
        </row>
        <row r="5203">
          <cell r="E5203" t="str">
            <v>LUC-EZZ-490315-01</v>
          </cell>
          <cell r="F5203">
            <v>1515387</v>
          </cell>
        </row>
        <row r="5204">
          <cell r="E5204" t="str">
            <v>LUC-EZZ-490317-02</v>
          </cell>
          <cell r="F5204">
            <v>1515387</v>
          </cell>
        </row>
        <row r="5205">
          <cell r="E5205" t="str">
            <v>LUC-EZZ-490307-01</v>
          </cell>
          <cell r="F5205">
            <v>1515387</v>
          </cell>
        </row>
        <row r="5206">
          <cell r="E5206" t="str">
            <v>LUC-P21-K61200-02</v>
          </cell>
          <cell r="F5206">
            <v>880796868183</v>
          </cell>
        </row>
        <row r="5207">
          <cell r="E5207" t="str">
            <v>PUR-12-0507-00</v>
          </cell>
          <cell r="F5207">
            <v>880799291173</v>
          </cell>
        </row>
        <row r="5208">
          <cell r="E5208" t="str">
            <v>PUR-12-0284-00</v>
          </cell>
          <cell r="F5208">
            <v>880799291173</v>
          </cell>
        </row>
        <row r="5209">
          <cell r="E5209" t="str">
            <v>HLOB-12-0293-00</v>
          </cell>
          <cell r="F5209">
            <v>880799291173</v>
          </cell>
        </row>
        <row r="5210">
          <cell r="E5210" t="str">
            <v>HLOB-12-0294-00</v>
          </cell>
          <cell r="F5210">
            <v>880799291173</v>
          </cell>
        </row>
        <row r="5211">
          <cell r="E5211" t="str">
            <v>HLOB-12-0017-00</v>
          </cell>
          <cell r="F5211">
            <v>880799291173</v>
          </cell>
        </row>
        <row r="5212">
          <cell r="E5212" t="str">
            <v>PURET-12-0170-00</v>
          </cell>
          <cell r="F5212">
            <v>880799291173</v>
          </cell>
        </row>
        <row r="5213">
          <cell r="E5213" t="str">
            <v>PUR-12-0475-00</v>
          </cell>
          <cell r="F5213">
            <v>880799291173</v>
          </cell>
        </row>
        <row r="5214">
          <cell r="E5214" t="str">
            <v>EF-45135111</v>
          </cell>
          <cell r="F5214">
            <v>456478002715</v>
          </cell>
        </row>
        <row r="5215">
          <cell r="E5215" t="str">
            <v>AIC-MP-00000165-000</v>
          </cell>
          <cell r="F5215">
            <v>880800412278</v>
          </cell>
        </row>
        <row r="5216">
          <cell r="E5216" t="str">
            <v>AIC-MP-00005857-000</v>
          </cell>
          <cell r="F5216">
            <v>880800412278</v>
          </cell>
        </row>
        <row r="5217">
          <cell r="E5217" t="str">
            <v>LUC-EZZ-420536-00</v>
          </cell>
          <cell r="F5217">
            <v>8910933441</v>
          </cell>
        </row>
        <row r="5218">
          <cell r="E5218" t="str">
            <v>EF-45130942</v>
          </cell>
          <cell r="F5218">
            <v>8910933441</v>
          </cell>
        </row>
        <row r="5219">
          <cell r="E5219" t="str">
            <v>LUC-EZZ-400629-00</v>
          </cell>
          <cell r="F5219">
            <v>8910933441</v>
          </cell>
        </row>
        <row r="5220">
          <cell r="E5220" t="str">
            <v>LUC-E00-400010-021</v>
          </cell>
          <cell r="F5220">
            <v>8910933441</v>
          </cell>
        </row>
        <row r="5221">
          <cell r="E5221" t="str">
            <v>LUC-E00-420068-00-R</v>
          </cell>
          <cell r="F5221">
            <v>8910933441</v>
          </cell>
        </row>
        <row r="5222">
          <cell r="E5222" t="str">
            <v>LUC-EZZ-490231-05</v>
          </cell>
          <cell r="F5222">
            <v>7206901726</v>
          </cell>
        </row>
        <row r="5223">
          <cell r="E5223" t="str">
            <v>LUC-E00-420068-00-R</v>
          </cell>
          <cell r="F5223">
            <v>287843429344</v>
          </cell>
        </row>
        <row r="5224">
          <cell r="E5224" t="str">
            <v>LUC-E00-470131-00</v>
          </cell>
          <cell r="F5224">
            <v>287867160902</v>
          </cell>
        </row>
        <row r="5225">
          <cell r="E5225" t="str">
            <v>LUC-E00-470131-00</v>
          </cell>
          <cell r="F5225">
            <v>287867160902</v>
          </cell>
        </row>
        <row r="5226">
          <cell r="E5226" t="str">
            <v>HLOB-12-0056-00</v>
          </cell>
          <cell r="F5226">
            <v>880847311987</v>
          </cell>
        </row>
        <row r="5227">
          <cell r="E5227" t="str">
            <v>PUR-12-0460-00</v>
          </cell>
          <cell r="F5227">
            <v>880847311987</v>
          </cell>
        </row>
        <row r="5228">
          <cell r="E5228" t="str">
            <v>HLOB-12-0483-00</v>
          </cell>
          <cell r="F5228">
            <v>880847311987</v>
          </cell>
        </row>
        <row r="5229">
          <cell r="E5229" t="str">
            <v>PUR-13-0159-00</v>
          </cell>
          <cell r="F5229">
            <v>880847311987</v>
          </cell>
        </row>
        <row r="5230">
          <cell r="E5230" t="str">
            <v>AGI-500-50002-01</v>
          </cell>
          <cell r="F5230">
            <v>880847311987</v>
          </cell>
        </row>
        <row r="5231">
          <cell r="E5231" t="str">
            <v>PUR-12-0337-00</v>
          </cell>
          <cell r="F5231">
            <v>880847311987</v>
          </cell>
        </row>
        <row r="5232">
          <cell r="E5232" t="str">
            <v>PUR-12-0343-00</v>
          </cell>
          <cell r="F5232">
            <v>880847311987</v>
          </cell>
        </row>
        <row r="5233">
          <cell r="E5233" t="str">
            <v>PUR-12-0337-00</v>
          </cell>
          <cell r="F5233">
            <v>880847311987</v>
          </cell>
        </row>
        <row r="5234">
          <cell r="E5234" t="str">
            <v>PURET-12-0088-00</v>
          </cell>
          <cell r="F5234">
            <v>880847311987</v>
          </cell>
        </row>
        <row r="5235">
          <cell r="E5235" t="str">
            <v>PURET-13-0068-00</v>
          </cell>
          <cell r="F5235">
            <v>880847311987</v>
          </cell>
        </row>
        <row r="5236">
          <cell r="E5236" t="str">
            <v>PUR-13-0245-00</v>
          </cell>
          <cell r="F5236">
            <v>880847311987</v>
          </cell>
        </row>
        <row r="5237">
          <cell r="E5237" t="str">
            <v>PUR-12-0343-00</v>
          </cell>
          <cell r="F5237">
            <v>880847311987</v>
          </cell>
        </row>
        <row r="5238">
          <cell r="E5238" t="str">
            <v>PUR-12-0293-00</v>
          </cell>
          <cell r="F5238">
            <v>880847311987</v>
          </cell>
        </row>
        <row r="5239">
          <cell r="E5239" t="str">
            <v>HLOB-12-0284-00</v>
          </cell>
          <cell r="F5239">
            <v>880847311987</v>
          </cell>
        </row>
        <row r="5240">
          <cell r="E5240" t="str">
            <v>HLOB-12-0474-00</v>
          </cell>
          <cell r="F5240">
            <v>880847311987</v>
          </cell>
        </row>
        <row r="5241">
          <cell r="E5241" t="str">
            <v>HLOB-12-0431-00</v>
          </cell>
          <cell r="F5241">
            <v>880847311987</v>
          </cell>
        </row>
        <row r="5242">
          <cell r="E5242" t="str">
            <v>HLOB-12-0284-00</v>
          </cell>
          <cell r="F5242">
            <v>880847311987</v>
          </cell>
        </row>
        <row r="5243">
          <cell r="E5243" t="str">
            <v>HLOB-12-0460-00</v>
          </cell>
          <cell r="F5243">
            <v>880847311987</v>
          </cell>
        </row>
        <row r="5244">
          <cell r="E5244" t="str">
            <v>HLOB-13-0227-00</v>
          </cell>
          <cell r="F5244">
            <v>880847311987</v>
          </cell>
        </row>
        <row r="5245">
          <cell r="E5245" t="str">
            <v>HLOB-13-0227-00</v>
          </cell>
          <cell r="F5245">
            <v>880847311987</v>
          </cell>
        </row>
        <row r="5246">
          <cell r="E5246" t="str">
            <v>HLOB-12-0088-00</v>
          </cell>
          <cell r="F5246">
            <v>880847311987</v>
          </cell>
        </row>
        <row r="5247">
          <cell r="E5247" t="str">
            <v>PUR-12-0294-00</v>
          </cell>
          <cell r="F5247">
            <v>880847311987</v>
          </cell>
        </row>
        <row r="5248">
          <cell r="E5248" t="str">
            <v>HLOB-12-0170-00</v>
          </cell>
          <cell r="F5248">
            <v>880847311987</v>
          </cell>
        </row>
        <row r="5249">
          <cell r="E5249" t="str">
            <v>PUR-12-0293-00</v>
          </cell>
          <cell r="F5249">
            <v>880847311987</v>
          </cell>
        </row>
        <row r="5250">
          <cell r="E5250" t="str">
            <v>PUR-12-0271-00</v>
          </cell>
          <cell r="F5250">
            <v>880847311987</v>
          </cell>
        </row>
        <row r="5251">
          <cell r="E5251" t="str">
            <v>PUR-12-0344-00</v>
          </cell>
          <cell r="F5251">
            <v>880847311987</v>
          </cell>
        </row>
        <row r="5252">
          <cell r="E5252" t="str">
            <v>PUR-12-0314-00</v>
          </cell>
          <cell r="F5252">
            <v>880847311987</v>
          </cell>
        </row>
        <row r="5253">
          <cell r="E5253" t="str">
            <v>PUR-12-0271-00</v>
          </cell>
          <cell r="F5253">
            <v>880847311987</v>
          </cell>
        </row>
        <row r="5254">
          <cell r="E5254" t="str">
            <v>PUR-12-0271-00</v>
          </cell>
          <cell r="F5254">
            <v>880847311987</v>
          </cell>
        </row>
        <row r="5255">
          <cell r="E5255" t="str">
            <v>PUR-12-0317-00</v>
          </cell>
          <cell r="F5255">
            <v>880847311987</v>
          </cell>
        </row>
        <row r="5256">
          <cell r="E5256" t="str">
            <v>PUR-12-0328-00</v>
          </cell>
          <cell r="F5256">
            <v>880847311987</v>
          </cell>
        </row>
        <row r="5257">
          <cell r="E5257" t="str">
            <v>PURET-12-0011-00</v>
          </cell>
          <cell r="F5257">
            <v>880847311987</v>
          </cell>
        </row>
        <row r="5258">
          <cell r="E5258" t="str">
            <v>LUC-EZZ-440031-00</v>
          </cell>
          <cell r="F5258">
            <v>722661014248</v>
          </cell>
        </row>
        <row r="5259">
          <cell r="E5259" t="str">
            <v>LUC-EZZ-440031-00</v>
          </cell>
          <cell r="F5259">
            <v>722661014248</v>
          </cell>
        </row>
        <row r="5260">
          <cell r="E5260" t="str">
            <v>LUC-EZZ-440030-00</v>
          </cell>
          <cell r="F5260">
            <v>722661014248</v>
          </cell>
        </row>
        <row r="5261">
          <cell r="E5261" t="str">
            <v>LUC-EZZ-440090-00</v>
          </cell>
          <cell r="F5261">
            <v>722661014248</v>
          </cell>
        </row>
        <row r="5262">
          <cell r="E5262" t="str">
            <v>PUR-09-0294-00</v>
          </cell>
          <cell r="F5262">
            <v>287971407147</v>
          </cell>
        </row>
        <row r="5263">
          <cell r="E5263" t="str">
            <v>HLOB-13-0246-00</v>
          </cell>
          <cell r="F5263">
            <v>453181415005</v>
          </cell>
        </row>
        <row r="5264">
          <cell r="E5264" t="str">
            <v>HLOB-05-0032-00</v>
          </cell>
          <cell r="F5264">
            <v>453181415005</v>
          </cell>
        </row>
        <row r="5265">
          <cell r="E5265" t="str">
            <v>LUC-E00-470110-00</v>
          </cell>
          <cell r="F5265">
            <v>456478069597</v>
          </cell>
        </row>
        <row r="5266">
          <cell r="E5266" t="str">
            <v>EF-45151753</v>
          </cell>
          <cell r="F5266">
            <v>880740592820</v>
          </cell>
        </row>
        <row r="5267">
          <cell r="E5267" t="str">
            <v>LUC-E00-420045-02</v>
          </cell>
          <cell r="F5267">
            <v>454462655003</v>
          </cell>
        </row>
        <row r="5268">
          <cell r="E5268" t="str">
            <v>LUC-E00-460018-00</v>
          </cell>
          <cell r="F5268">
            <v>454462655003</v>
          </cell>
        </row>
        <row r="5269">
          <cell r="E5269" t="str">
            <v>121-000474.X.X</v>
          </cell>
          <cell r="F5269">
            <v>454462655003</v>
          </cell>
        </row>
        <row r="5270">
          <cell r="E5270" t="str">
            <v>LUC-E00-400043-00</v>
          </cell>
          <cell r="F5270">
            <v>454462655003</v>
          </cell>
        </row>
        <row r="5271">
          <cell r="E5271" t="str">
            <v>LUC-E00-400034-090</v>
          </cell>
          <cell r="F5271">
            <v>454462655003</v>
          </cell>
        </row>
        <row r="5272">
          <cell r="E5272" t="str">
            <v>LUC-E00-420238-00</v>
          </cell>
          <cell r="F5272">
            <v>454462655003</v>
          </cell>
        </row>
        <row r="5273">
          <cell r="E5273" t="str">
            <v>LUC-E00-450010-00</v>
          </cell>
          <cell r="F5273">
            <v>454462655003</v>
          </cell>
        </row>
        <row r="5274">
          <cell r="E5274" t="str">
            <v>LUC-E00-690010-02</v>
          </cell>
          <cell r="F5274">
            <v>287805928914</v>
          </cell>
        </row>
        <row r="5275">
          <cell r="E5275" t="str">
            <v>HLOB-15-0220-00</v>
          </cell>
          <cell r="F5275">
            <v>902348925671</v>
          </cell>
        </row>
        <row r="5276">
          <cell r="E5276" t="str">
            <v>HLOB-09-0050-00</v>
          </cell>
          <cell r="F5276">
            <v>880800961887</v>
          </cell>
        </row>
        <row r="5277">
          <cell r="E5277" t="str">
            <v>LUC-E00-440045-00</v>
          </cell>
          <cell r="F5277">
            <v>287909405333</v>
          </cell>
        </row>
        <row r="5278">
          <cell r="E5278" t="str">
            <v>HLOB-12-0467-00</v>
          </cell>
          <cell r="F5278">
            <v>409298782790</v>
          </cell>
        </row>
        <row r="5279">
          <cell r="E5279" t="str">
            <v>LUC-EZZ-420403-00</v>
          </cell>
          <cell r="F5279">
            <v>409298782790</v>
          </cell>
        </row>
        <row r="5280">
          <cell r="E5280" t="str">
            <v>LUC-E00-440031-00</v>
          </cell>
          <cell r="F5280">
            <v>409298782790</v>
          </cell>
        </row>
        <row r="5281">
          <cell r="E5281" t="str">
            <v>PUR-12-0417-00</v>
          </cell>
          <cell r="F5281">
            <v>409298782790</v>
          </cell>
        </row>
        <row r="5282">
          <cell r="E5282" t="str">
            <v>HLOB-12-0420-00</v>
          </cell>
          <cell r="F5282">
            <v>409298782790</v>
          </cell>
        </row>
        <row r="5283">
          <cell r="E5283" t="str">
            <v>HLOB-12-0470-00</v>
          </cell>
          <cell r="F5283">
            <v>409298782790</v>
          </cell>
        </row>
        <row r="5284">
          <cell r="E5284" t="str">
            <v>LUC-E00-400034-118</v>
          </cell>
          <cell r="F5284">
            <v>409298782790</v>
          </cell>
        </row>
        <row r="5285">
          <cell r="E5285" t="str">
            <v>LUC-EZZ-420133-00</v>
          </cell>
          <cell r="F5285">
            <v>434611759596</v>
          </cell>
        </row>
        <row r="5286">
          <cell r="E5286" t="str">
            <v>LUC-EZZ-420133-00</v>
          </cell>
          <cell r="F5286">
            <v>434611759596</v>
          </cell>
        </row>
        <row r="5287">
          <cell r="E5287" t="str">
            <v>HLOB-13-0131-00</v>
          </cell>
          <cell r="F5287">
            <v>434611759596</v>
          </cell>
        </row>
        <row r="5288">
          <cell r="E5288" t="str">
            <v>HLOB-13-0238-00</v>
          </cell>
          <cell r="F5288">
            <v>434611759596</v>
          </cell>
        </row>
        <row r="5289">
          <cell r="E5289" t="str">
            <v>HLOB-13-0212-00</v>
          </cell>
          <cell r="F5289">
            <v>434611759596</v>
          </cell>
        </row>
        <row r="5290">
          <cell r="E5290" t="str">
            <v>HLOB-13-0229-00</v>
          </cell>
          <cell r="F5290">
            <v>434611759596</v>
          </cell>
        </row>
        <row r="5291">
          <cell r="E5291" t="str">
            <v>HLOB-13-0002-00</v>
          </cell>
          <cell r="F5291">
            <v>434611759596</v>
          </cell>
        </row>
        <row r="5292">
          <cell r="E5292" t="str">
            <v>PUR-13-0147-00</v>
          </cell>
          <cell r="F5292">
            <v>434611759596</v>
          </cell>
        </row>
        <row r="5293">
          <cell r="E5293" t="str">
            <v>HLOB-13-0069-00</v>
          </cell>
          <cell r="F5293">
            <v>434611759596</v>
          </cell>
        </row>
        <row r="5294">
          <cell r="E5294" t="str">
            <v>HLOB-13-0066-00</v>
          </cell>
          <cell r="F5294">
            <v>434611759596</v>
          </cell>
        </row>
        <row r="5295">
          <cell r="E5295" t="str">
            <v>HLOB-13-0155-00</v>
          </cell>
          <cell r="F5295">
            <v>434611759596</v>
          </cell>
        </row>
        <row r="5296">
          <cell r="E5296" t="str">
            <v>HLOB-13-0009-00</v>
          </cell>
          <cell r="F5296">
            <v>434611759596</v>
          </cell>
        </row>
        <row r="5297">
          <cell r="E5297" t="str">
            <v>PURET-13-0009-00</v>
          </cell>
          <cell r="F5297">
            <v>434611759596</v>
          </cell>
        </row>
        <row r="5298">
          <cell r="E5298" t="str">
            <v>LUC-E00-420275-00</v>
          </cell>
          <cell r="F5298">
            <v>434611759596</v>
          </cell>
        </row>
        <row r="5299">
          <cell r="E5299" t="str">
            <v>LUC-E00-420072-01</v>
          </cell>
          <cell r="F5299">
            <v>434611759596</v>
          </cell>
        </row>
        <row r="5300">
          <cell r="E5300" t="str">
            <v>PURET-13-0007-00</v>
          </cell>
          <cell r="F5300">
            <v>434611759596</v>
          </cell>
        </row>
        <row r="5301">
          <cell r="E5301" t="str">
            <v>PURET-13-0007-00</v>
          </cell>
          <cell r="F5301">
            <v>434611759596</v>
          </cell>
        </row>
        <row r="5302">
          <cell r="E5302" t="str">
            <v>103-000230.X.X</v>
          </cell>
          <cell r="F5302">
            <v>441659522383</v>
          </cell>
        </row>
        <row r="5303">
          <cell r="E5303" t="str">
            <v>103-000230.X.X</v>
          </cell>
          <cell r="F5303">
            <v>441659522383</v>
          </cell>
        </row>
        <row r="5304">
          <cell r="E5304" t="str">
            <v>AIC-MP-00007042-000</v>
          </cell>
          <cell r="F5304">
            <v>880799886582</v>
          </cell>
        </row>
        <row r="5305">
          <cell r="E5305" t="str">
            <v>LUC-EZZ-400297-00</v>
          </cell>
          <cell r="F5305">
            <v>880798660570</v>
          </cell>
        </row>
        <row r="5306">
          <cell r="E5306" t="str">
            <v>LUC-EZZ-400297-00</v>
          </cell>
          <cell r="F5306">
            <v>880798660570</v>
          </cell>
        </row>
        <row r="5307">
          <cell r="E5307" t="str">
            <v>PURET-12-0029-00</v>
          </cell>
          <cell r="F5307">
            <v>880798660570</v>
          </cell>
        </row>
        <row r="5308">
          <cell r="E5308" t="str">
            <v>HLOB-13-0028-00</v>
          </cell>
          <cell r="F5308">
            <v>880798660570</v>
          </cell>
        </row>
        <row r="5309">
          <cell r="E5309" t="str">
            <v>LUC-E00-400075-00</v>
          </cell>
          <cell r="F5309">
            <v>880798660570</v>
          </cell>
        </row>
        <row r="5310">
          <cell r="E5310" t="str">
            <v>LUC-E00-400075-00</v>
          </cell>
          <cell r="F5310">
            <v>880798660570</v>
          </cell>
        </row>
        <row r="5311">
          <cell r="E5311" t="str">
            <v>LUC-E00-400075-00</v>
          </cell>
          <cell r="F5311">
            <v>880798660570</v>
          </cell>
        </row>
        <row r="5312">
          <cell r="E5312" t="str">
            <v>HLOB-12-0029-00</v>
          </cell>
          <cell r="F5312">
            <v>880798660570</v>
          </cell>
        </row>
        <row r="5313">
          <cell r="E5313" t="str">
            <v>HLOB-12-0035-00</v>
          </cell>
          <cell r="F5313">
            <v>880798660570</v>
          </cell>
        </row>
        <row r="5314">
          <cell r="E5314" t="str">
            <v>LUC-E00-420045-01</v>
          </cell>
          <cell r="F5314">
            <v>880798660570</v>
          </cell>
        </row>
        <row r="5315">
          <cell r="E5315" t="str">
            <v>LUC-E00-420045-00</v>
          </cell>
          <cell r="F5315">
            <v>880798660570</v>
          </cell>
        </row>
        <row r="5316">
          <cell r="E5316" t="str">
            <v>EF-45057846.X.X</v>
          </cell>
          <cell r="F5316">
            <v>880798660570</v>
          </cell>
        </row>
        <row r="5317">
          <cell r="E5317" t="str">
            <v>PUR-03-0091-02</v>
          </cell>
          <cell r="F5317">
            <v>453790005541</v>
          </cell>
        </row>
        <row r="5318">
          <cell r="E5318" t="str">
            <v>PUR-03-0091-02</v>
          </cell>
          <cell r="F5318">
            <v>453790005541</v>
          </cell>
        </row>
        <row r="5319">
          <cell r="E5319" t="str">
            <v>PUR-11-0104-05</v>
          </cell>
          <cell r="F5319" t="str">
            <v>PSHPH2540121</v>
          </cell>
        </row>
        <row r="5320">
          <cell r="E5320" t="str">
            <v>PUR-11-0104-05</v>
          </cell>
          <cell r="F5320" t="str">
            <v>PSHPH2540121</v>
          </cell>
        </row>
        <row r="5321">
          <cell r="E5321" t="str">
            <v>PUR-11-0104-05</v>
          </cell>
          <cell r="F5321" t="str">
            <v>PSHPH2540121</v>
          </cell>
        </row>
        <row r="5322">
          <cell r="E5322" t="str">
            <v>PUR-11-0106-05</v>
          </cell>
          <cell r="F5322" t="str">
            <v>PSHPH2540121</v>
          </cell>
        </row>
        <row r="5323">
          <cell r="E5323" t="str">
            <v>PUR-11-0106-05</v>
          </cell>
          <cell r="F5323" t="str">
            <v>PSHPH2540121</v>
          </cell>
        </row>
        <row r="5324">
          <cell r="E5324" t="str">
            <v>PUR-11-0105-04</v>
          </cell>
          <cell r="F5324" t="str">
            <v>PSHPH2540121</v>
          </cell>
        </row>
        <row r="5325">
          <cell r="E5325" t="str">
            <v>PUR-11-0105-04</v>
          </cell>
          <cell r="F5325" t="str">
            <v>PSHPH2540121</v>
          </cell>
        </row>
        <row r="5326">
          <cell r="E5326" t="str">
            <v>PUR-11-0105-04</v>
          </cell>
          <cell r="F5326" t="str">
            <v>PSHPH2540121</v>
          </cell>
        </row>
        <row r="5327">
          <cell r="E5327" t="str">
            <v>PUR-11-0105-04</v>
          </cell>
          <cell r="F5327" t="str">
            <v>PSHPH2540121</v>
          </cell>
        </row>
        <row r="5328">
          <cell r="E5328" t="str">
            <v>PUR-11-0104-05</v>
          </cell>
          <cell r="F5328" t="str">
            <v>PSHPH2540121</v>
          </cell>
        </row>
        <row r="5329">
          <cell r="E5329" t="str">
            <v>PUR-11-0104-05</v>
          </cell>
          <cell r="F5329" t="str">
            <v>PSHPH2540121</v>
          </cell>
        </row>
        <row r="5330">
          <cell r="E5330" t="str">
            <v>PUR-11-0104-05</v>
          </cell>
          <cell r="F5330" t="str">
            <v>PSHPH2540121</v>
          </cell>
        </row>
        <row r="5331">
          <cell r="E5331" t="str">
            <v>PUR-11-0104-05</v>
          </cell>
          <cell r="F5331" t="str">
            <v>PSHPH2540121</v>
          </cell>
        </row>
        <row r="5332">
          <cell r="E5332" t="str">
            <v>PUR-11-0104-05</v>
          </cell>
          <cell r="F5332" t="str">
            <v>PSHPH2540121</v>
          </cell>
        </row>
        <row r="5333">
          <cell r="E5333" t="str">
            <v>HLOB-11-0104-06</v>
          </cell>
          <cell r="F5333" t="str">
            <v>PSHPH2540142</v>
          </cell>
        </row>
        <row r="5334">
          <cell r="E5334" t="str">
            <v>HLOB-11-0104-06</v>
          </cell>
          <cell r="F5334" t="str">
            <v>PSHPH2540142</v>
          </cell>
        </row>
        <row r="5335">
          <cell r="E5335" t="str">
            <v>PUR-31-0066-02</v>
          </cell>
          <cell r="F5335" t="str">
            <v>PSHPH2540140</v>
          </cell>
        </row>
        <row r="5336">
          <cell r="E5336" t="str">
            <v>PUR-31-0066-02</v>
          </cell>
          <cell r="F5336" t="str">
            <v>PSHPH2540140</v>
          </cell>
        </row>
        <row r="5337">
          <cell r="E5337" t="str">
            <v>PUR-31-0066-02</v>
          </cell>
          <cell r="F5337" t="str">
            <v>PSHPH2540140</v>
          </cell>
        </row>
        <row r="5338">
          <cell r="E5338" t="str">
            <v>PUR-31-0061-02</v>
          </cell>
          <cell r="F5338" t="str">
            <v>PSHPH2540140</v>
          </cell>
        </row>
        <row r="5339">
          <cell r="E5339" t="str">
            <v>PUR-31-0061-02</v>
          </cell>
          <cell r="F5339" t="str">
            <v>PSHPH2540140</v>
          </cell>
        </row>
        <row r="5340">
          <cell r="E5340" t="str">
            <v>PUR-17-0283-02</v>
          </cell>
          <cell r="F5340" t="str">
            <v>PSHPH2540140</v>
          </cell>
        </row>
        <row r="5341">
          <cell r="E5341" t="str">
            <v>LUC-P21-K61200-02</v>
          </cell>
          <cell r="F5341" t="str">
            <v>ST25050139</v>
          </cell>
        </row>
        <row r="5342">
          <cell r="E5342" t="str">
            <v>LUC-P21-K61200-02</v>
          </cell>
          <cell r="F5342" t="str">
            <v>ST25050139</v>
          </cell>
        </row>
        <row r="5343">
          <cell r="E5343" t="str">
            <v>LUC-P21-K81001-01</v>
          </cell>
          <cell r="F5343" t="str">
            <v>LSHHPH2503375</v>
          </cell>
        </row>
        <row r="5344">
          <cell r="E5344" t="str">
            <v>LUC-P21-K81100-01</v>
          </cell>
          <cell r="F5344" t="str">
            <v>LSHHPH2503375</v>
          </cell>
        </row>
        <row r="5345">
          <cell r="E5345" t="str">
            <v>LUC-P21-K81101-01</v>
          </cell>
          <cell r="F5345" t="str">
            <v>LSHHPH2503375</v>
          </cell>
        </row>
        <row r="5346">
          <cell r="E5346" t="str">
            <v>LUC-P21-K81201-01</v>
          </cell>
          <cell r="F5346" t="str">
            <v>LSHHPH2503375</v>
          </cell>
        </row>
        <row r="5347">
          <cell r="E5347" t="str">
            <v>LUC-P21-K81202-00</v>
          </cell>
          <cell r="F5347" t="str">
            <v>LSHHPH2503375</v>
          </cell>
        </row>
        <row r="5348">
          <cell r="E5348" t="str">
            <v>LUC-P21-K81001-01</v>
          </cell>
          <cell r="F5348" t="str">
            <v>LSHHPH2503375</v>
          </cell>
        </row>
        <row r="5349">
          <cell r="E5349" t="str">
            <v>LUC-P11-J80300-00</v>
          </cell>
          <cell r="F5349" t="str">
            <v>LSHHPH2503145</v>
          </cell>
        </row>
        <row r="5350">
          <cell r="E5350" t="str">
            <v>LUC-E00-470044-00</v>
          </cell>
          <cell r="F5350">
            <v>5269895746</v>
          </cell>
        </row>
        <row r="5351">
          <cell r="E5351" t="str">
            <v>LUC-E00-420135-00</v>
          </cell>
          <cell r="F5351">
            <v>5269895746</v>
          </cell>
        </row>
        <row r="5352">
          <cell r="E5352" t="str">
            <v>LUC-E00-420069-00</v>
          </cell>
          <cell r="F5352">
            <v>5269895746</v>
          </cell>
        </row>
        <row r="5353">
          <cell r="E5353" t="str">
            <v>LUC-E00-420055-15</v>
          </cell>
          <cell r="F5353">
            <v>5269895746</v>
          </cell>
        </row>
        <row r="5354">
          <cell r="E5354" t="str">
            <v>LUC-EZZ-470136-00</v>
          </cell>
          <cell r="F5354">
            <v>5269895746</v>
          </cell>
        </row>
        <row r="5355">
          <cell r="E5355" t="str">
            <v>LUC-EZZ-470136-00</v>
          </cell>
          <cell r="F5355">
            <v>5269895746</v>
          </cell>
        </row>
        <row r="5356">
          <cell r="E5356" t="str">
            <v>LUC-EZZ-420090-00</v>
          </cell>
          <cell r="F5356">
            <v>5269895746</v>
          </cell>
        </row>
        <row r="5357">
          <cell r="E5357" t="str">
            <v>LUC-EZZ-450113-00</v>
          </cell>
          <cell r="F5357">
            <v>5269895746</v>
          </cell>
        </row>
        <row r="5358">
          <cell r="E5358" t="str">
            <v>LUC-E00-420069-00</v>
          </cell>
          <cell r="F5358">
            <v>5269895746</v>
          </cell>
        </row>
        <row r="5359">
          <cell r="E5359" t="str">
            <v>LUC-E00-510064-00</v>
          </cell>
          <cell r="F5359">
            <v>5269895746</v>
          </cell>
        </row>
        <row r="5360">
          <cell r="E5360" t="str">
            <v>LUC-E00-510037-00</v>
          </cell>
          <cell r="F5360">
            <v>5269895746</v>
          </cell>
        </row>
        <row r="5361">
          <cell r="E5361" t="str">
            <v>LUC-EZZ-450108-00</v>
          </cell>
          <cell r="F5361">
            <v>5269895746</v>
          </cell>
        </row>
        <row r="5362">
          <cell r="E5362" t="str">
            <v>PUR-14-0050-00</v>
          </cell>
          <cell r="F5362">
            <v>5269895746</v>
          </cell>
        </row>
        <row r="5363">
          <cell r="E5363" t="str">
            <v>LUC-E00-510001-00</v>
          </cell>
          <cell r="F5363">
            <v>5269895746</v>
          </cell>
        </row>
        <row r="5364">
          <cell r="E5364" t="str">
            <v>LUC-E00-460008-00</v>
          </cell>
          <cell r="F5364">
            <v>5269895746</v>
          </cell>
        </row>
        <row r="5365">
          <cell r="E5365" t="str">
            <v>LUC-E00-440029-00</v>
          </cell>
          <cell r="F5365">
            <v>5269895746</v>
          </cell>
        </row>
        <row r="5366">
          <cell r="E5366" t="str">
            <v>LUC-E00-400048-00</v>
          </cell>
          <cell r="F5366">
            <v>5269895746</v>
          </cell>
        </row>
        <row r="5367">
          <cell r="E5367" t="str">
            <v>LUC-E00-470009-00</v>
          </cell>
          <cell r="F5367">
            <v>5269895746</v>
          </cell>
        </row>
        <row r="5368">
          <cell r="E5368" t="str">
            <v>LUC-E00-420171-00</v>
          </cell>
          <cell r="F5368">
            <v>5269895746</v>
          </cell>
        </row>
        <row r="5369">
          <cell r="E5369" t="str">
            <v>LUC-E00-470361-00</v>
          </cell>
          <cell r="F5369">
            <v>5269895746</v>
          </cell>
        </row>
        <row r="5370">
          <cell r="E5370" t="str">
            <v>LUC-E00-480006-00</v>
          </cell>
          <cell r="F5370">
            <v>5269895746</v>
          </cell>
        </row>
        <row r="5371">
          <cell r="E5371" t="str">
            <v>LUC-EZZ-420398-00</v>
          </cell>
          <cell r="F5371">
            <v>5269895746</v>
          </cell>
        </row>
        <row r="5372">
          <cell r="E5372" t="str">
            <v>LUC-EZZ-420488-00</v>
          </cell>
          <cell r="F5372">
            <v>5269895746</v>
          </cell>
        </row>
        <row r="5373">
          <cell r="E5373" t="str">
            <v>LUC-E00-440026-00</v>
          </cell>
          <cell r="F5373">
            <v>5269895746</v>
          </cell>
        </row>
        <row r="5374">
          <cell r="E5374" t="str">
            <v>LUC-E00-470361-00</v>
          </cell>
          <cell r="F5374">
            <v>5269895746</v>
          </cell>
        </row>
        <row r="5375">
          <cell r="E5375" t="str">
            <v>LUC-E00-510031-00</v>
          </cell>
          <cell r="F5375">
            <v>5269895746</v>
          </cell>
        </row>
        <row r="5376">
          <cell r="E5376" t="str">
            <v>LUC-E00-450056-00</v>
          </cell>
          <cell r="F5376">
            <v>5269895746</v>
          </cell>
        </row>
        <row r="5377">
          <cell r="E5377" t="str">
            <v>LUC-E00-690020-00</v>
          </cell>
          <cell r="F5377">
            <v>5269895746</v>
          </cell>
        </row>
        <row r="5378">
          <cell r="E5378" t="str">
            <v>LUC-E00-470082-00</v>
          </cell>
          <cell r="F5378">
            <v>5269895746</v>
          </cell>
        </row>
        <row r="5379">
          <cell r="E5379" t="str">
            <v>LUC-EZZ-510080-00</v>
          </cell>
          <cell r="F5379">
            <v>5269895746</v>
          </cell>
        </row>
        <row r="5380">
          <cell r="E5380" t="str">
            <v>LUC-E00-420056-00</v>
          </cell>
          <cell r="F5380">
            <v>5269895746</v>
          </cell>
        </row>
        <row r="5381">
          <cell r="E5381" t="str">
            <v>LUC-EZZ-510639-00</v>
          </cell>
          <cell r="F5381">
            <v>5269895746</v>
          </cell>
        </row>
        <row r="5382">
          <cell r="E5382" t="str">
            <v>LUC-E00-420027-04</v>
          </cell>
          <cell r="F5382">
            <v>5269895746</v>
          </cell>
        </row>
        <row r="5383">
          <cell r="E5383" t="str">
            <v>LUC-E00-470123-00</v>
          </cell>
          <cell r="F5383">
            <v>5269895746</v>
          </cell>
        </row>
        <row r="5384">
          <cell r="E5384" t="str">
            <v>LUC-E00-470033-00</v>
          </cell>
          <cell r="F5384">
            <v>5269895746</v>
          </cell>
        </row>
        <row r="5385">
          <cell r="E5385" t="str">
            <v>LUC-E00-470087-00</v>
          </cell>
          <cell r="F5385">
            <v>5269895746</v>
          </cell>
        </row>
        <row r="5386">
          <cell r="E5386" t="str">
            <v>LUC-E00-470123-00</v>
          </cell>
          <cell r="F5386">
            <v>5269895746</v>
          </cell>
        </row>
        <row r="5387">
          <cell r="E5387" t="str">
            <v>LUC-E00-470080-00</v>
          </cell>
          <cell r="F5387">
            <v>5269895746</v>
          </cell>
        </row>
        <row r="5388">
          <cell r="E5388" t="str">
            <v>LUC-E00-440029-00</v>
          </cell>
          <cell r="F5388">
            <v>5269895746</v>
          </cell>
        </row>
        <row r="5389">
          <cell r="E5389" t="str">
            <v>LUC-E00-470080-00</v>
          </cell>
          <cell r="F5389">
            <v>5269895746</v>
          </cell>
        </row>
        <row r="5390">
          <cell r="E5390" t="str">
            <v>AGI-450-40069-01</v>
          </cell>
          <cell r="F5390">
            <v>5269895746</v>
          </cell>
        </row>
        <row r="5391">
          <cell r="E5391" t="str">
            <v>LUC-EZZ-470961-00</v>
          </cell>
          <cell r="F5391">
            <v>5269895746</v>
          </cell>
        </row>
        <row r="5392">
          <cell r="E5392" t="str">
            <v>LUC-EZZ-470961-00</v>
          </cell>
          <cell r="F5392">
            <v>5269895746</v>
          </cell>
        </row>
        <row r="5393">
          <cell r="E5393" t="str">
            <v>LUC-E00-420241-00</v>
          </cell>
          <cell r="F5393">
            <v>5269895746</v>
          </cell>
        </row>
        <row r="5394">
          <cell r="E5394" t="str">
            <v>LUC-E00-400049-00</v>
          </cell>
          <cell r="F5394">
            <v>880883405695</v>
          </cell>
        </row>
        <row r="5395">
          <cell r="E5395" t="str">
            <v>EF-45072119</v>
          </cell>
          <cell r="F5395">
            <v>456478151245</v>
          </cell>
        </row>
        <row r="5396">
          <cell r="E5396" t="str">
            <v>PUR-09-0424-00</v>
          </cell>
          <cell r="F5396">
            <v>456478151245</v>
          </cell>
        </row>
        <row r="5397">
          <cell r="E5397" t="str">
            <v>HLOB-09-0434-00</v>
          </cell>
          <cell r="F5397">
            <v>456478151245</v>
          </cell>
        </row>
        <row r="5398">
          <cell r="E5398" t="str">
            <v>PUR-09-0424-00</v>
          </cell>
          <cell r="F5398">
            <v>456478151245</v>
          </cell>
        </row>
        <row r="5399">
          <cell r="E5399" t="str">
            <v>PUR-24-0028-00</v>
          </cell>
          <cell r="F5399">
            <v>456478151245</v>
          </cell>
        </row>
        <row r="5400">
          <cell r="E5400" t="str">
            <v>LUC-E00-470086-00</v>
          </cell>
          <cell r="F5400">
            <v>456478151245</v>
          </cell>
        </row>
        <row r="5401">
          <cell r="E5401" t="str">
            <v>LUC-E00-470413-01</v>
          </cell>
          <cell r="F5401">
            <v>456478151245</v>
          </cell>
        </row>
        <row r="5402">
          <cell r="E5402" t="str">
            <v>PUR-21-0024-00</v>
          </cell>
          <cell r="F5402">
            <v>456478151245</v>
          </cell>
        </row>
        <row r="5403">
          <cell r="E5403" t="str">
            <v>PUR-09-0279-00</v>
          </cell>
          <cell r="F5403">
            <v>456478151245</v>
          </cell>
        </row>
        <row r="5404">
          <cell r="E5404" t="str">
            <v>LUC-E00-470083-00</v>
          </cell>
          <cell r="F5404">
            <v>456478151245</v>
          </cell>
        </row>
        <row r="5405">
          <cell r="E5405" t="str">
            <v>LUC-E00-470083-00</v>
          </cell>
          <cell r="F5405">
            <v>456478151245</v>
          </cell>
        </row>
        <row r="5406">
          <cell r="E5406" t="str">
            <v>LUC-E00-400010-044</v>
          </cell>
          <cell r="F5406">
            <v>456478151245</v>
          </cell>
        </row>
        <row r="5407">
          <cell r="E5407" t="str">
            <v>LUC-E00-460015-00</v>
          </cell>
          <cell r="F5407">
            <v>456478151245</v>
          </cell>
        </row>
        <row r="5408">
          <cell r="E5408" t="str">
            <v>PUR-09-0279-00</v>
          </cell>
          <cell r="F5408">
            <v>456478151245</v>
          </cell>
        </row>
        <row r="5409">
          <cell r="E5409" t="str">
            <v>PUR-09-0434-00</v>
          </cell>
          <cell r="F5409">
            <v>456478151245</v>
          </cell>
        </row>
        <row r="5410">
          <cell r="E5410" t="str">
            <v>HLOB-09-0324-00</v>
          </cell>
          <cell r="F5410">
            <v>456478151245</v>
          </cell>
        </row>
        <row r="5411">
          <cell r="E5411" t="str">
            <v>PUR-09-0434-00</v>
          </cell>
          <cell r="F5411">
            <v>456478151245</v>
          </cell>
        </row>
        <row r="5412">
          <cell r="E5412" t="str">
            <v>PURET-21-0009-00</v>
          </cell>
          <cell r="F5412">
            <v>456478151245</v>
          </cell>
        </row>
        <row r="5413">
          <cell r="E5413" t="str">
            <v>HLOB-09-0279-00</v>
          </cell>
          <cell r="F5413">
            <v>456478151245</v>
          </cell>
        </row>
        <row r="5414">
          <cell r="E5414" t="str">
            <v>PUR-09-0434-00</v>
          </cell>
          <cell r="F5414">
            <v>456478151245</v>
          </cell>
        </row>
        <row r="5415">
          <cell r="E5415" t="str">
            <v>LUC-E00-460007-01</v>
          </cell>
          <cell r="F5415">
            <v>456478151245</v>
          </cell>
        </row>
        <row r="5416">
          <cell r="E5416" t="str">
            <v>HLOB-09-0424-00</v>
          </cell>
          <cell r="F5416">
            <v>456478151245</v>
          </cell>
        </row>
        <row r="5417">
          <cell r="E5417" t="str">
            <v>PUR-09-0255-00</v>
          </cell>
          <cell r="F5417">
            <v>456478151245</v>
          </cell>
        </row>
        <row r="5418">
          <cell r="E5418" t="str">
            <v>PUR-27-0017-00</v>
          </cell>
          <cell r="F5418">
            <v>456478151245</v>
          </cell>
        </row>
        <row r="5419">
          <cell r="E5419" t="str">
            <v>LUC-E00-400026-00</v>
          </cell>
          <cell r="F5419">
            <v>456478151245</v>
          </cell>
        </row>
        <row r="5420">
          <cell r="E5420" t="str">
            <v>EF-45241780</v>
          </cell>
          <cell r="F5420">
            <v>456478151245</v>
          </cell>
        </row>
        <row r="5421">
          <cell r="E5421" t="str">
            <v>EF-45055154.X.X</v>
          </cell>
          <cell r="F5421">
            <v>456478151245</v>
          </cell>
        </row>
        <row r="5422">
          <cell r="E5422" t="str">
            <v>134-000473</v>
          </cell>
          <cell r="F5422">
            <v>445131390531</v>
          </cell>
        </row>
        <row r="5423">
          <cell r="E5423" t="str">
            <v>AIC-MP-IC005531-S02</v>
          </cell>
          <cell r="F5423">
            <v>880849374150</v>
          </cell>
        </row>
        <row r="5424">
          <cell r="E5424" t="str">
            <v>AIC-MP-IC005821-S02</v>
          </cell>
          <cell r="F5424">
            <v>880849374150</v>
          </cell>
        </row>
        <row r="5425">
          <cell r="E5425" t="str">
            <v>AIC-MP-IC006982-S03</v>
          </cell>
          <cell r="F5425">
            <v>880849374150</v>
          </cell>
        </row>
        <row r="5426">
          <cell r="E5426" t="str">
            <v>LUC-E00-480007-00</v>
          </cell>
          <cell r="F5426">
            <v>456705022043</v>
          </cell>
        </row>
        <row r="5427">
          <cell r="E5427" t="str">
            <v>LUC-E00-510018-00</v>
          </cell>
          <cell r="F5427">
            <v>456705022043</v>
          </cell>
        </row>
        <row r="5428">
          <cell r="E5428" t="str">
            <v>PUR-13-0249-00</v>
          </cell>
          <cell r="F5428">
            <v>456705022043</v>
          </cell>
        </row>
        <row r="5429">
          <cell r="E5429" t="str">
            <v>PUR-13-0249-00</v>
          </cell>
          <cell r="F5429">
            <v>456705022043</v>
          </cell>
        </row>
        <row r="5430">
          <cell r="E5430" t="str">
            <v>LUC-EZZ-420251-00</v>
          </cell>
          <cell r="F5430">
            <v>456705022043</v>
          </cell>
        </row>
        <row r="5431">
          <cell r="E5431" t="str">
            <v>LUC-E00-420074-00</v>
          </cell>
          <cell r="F5431">
            <v>456705022043</v>
          </cell>
        </row>
        <row r="5432">
          <cell r="E5432" t="str">
            <v>EF-45087419</v>
          </cell>
          <cell r="F5432">
            <v>456705022043</v>
          </cell>
        </row>
        <row r="5433">
          <cell r="E5433" t="str">
            <v>PUR-09-0346-00</v>
          </cell>
          <cell r="F5433">
            <v>456705022043</v>
          </cell>
        </row>
        <row r="5434">
          <cell r="E5434" t="str">
            <v>PUR-09-0408-00</v>
          </cell>
          <cell r="F5434">
            <v>456705022043</v>
          </cell>
        </row>
        <row r="5435">
          <cell r="E5435" t="str">
            <v>HLOB-21-0026-00</v>
          </cell>
          <cell r="F5435">
            <v>456705022043</v>
          </cell>
        </row>
        <row r="5436">
          <cell r="E5436" t="str">
            <v>PUR-14-0085-00</v>
          </cell>
          <cell r="F5436">
            <v>456705022043</v>
          </cell>
        </row>
        <row r="5437">
          <cell r="E5437" t="str">
            <v>PUR-14-0085-00</v>
          </cell>
          <cell r="F5437">
            <v>456705022043</v>
          </cell>
        </row>
        <row r="5438">
          <cell r="E5438" t="str">
            <v>PUR-27-0019-00</v>
          </cell>
          <cell r="F5438">
            <v>456705022043</v>
          </cell>
        </row>
        <row r="5439">
          <cell r="E5439" t="str">
            <v>PUR-21-0026-00</v>
          </cell>
          <cell r="F5439">
            <v>456705022043</v>
          </cell>
        </row>
        <row r="5440">
          <cell r="E5440" t="str">
            <v>LUC-EZZ-420482-00</v>
          </cell>
          <cell r="F5440">
            <v>456705022043</v>
          </cell>
        </row>
        <row r="5441">
          <cell r="E5441" t="str">
            <v>LUC-E00-440022-00</v>
          </cell>
          <cell r="F5441">
            <v>456705022043</v>
          </cell>
        </row>
        <row r="5442">
          <cell r="E5442" t="str">
            <v>LUC-EZZ-420482-00</v>
          </cell>
          <cell r="F5442">
            <v>456705022043</v>
          </cell>
        </row>
        <row r="5443">
          <cell r="E5443" t="str">
            <v>LUC-EZZ-420482-00</v>
          </cell>
          <cell r="F5443">
            <v>456705022043</v>
          </cell>
        </row>
        <row r="5444">
          <cell r="E5444" t="str">
            <v>LUC-E00-440147-00</v>
          </cell>
          <cell r="F5444">
            <v>456705022043</v>
          </cell>
        </row>
        <row r="5445">
          <cell r="E5445" t="str">
            <v>PUR-27-0024-00</v>
          </cell>
          <cell r="F5445">
            <v>456705022043</v>
          </cell>
        </row>
        <row r="5446">
          <cell r="E5446" t="str">
            <v>PUR-14-0085-00</v>
          </cell>
          <cell r="F5446">
            <v>456705022043</v>
          </cell>
        </row>
        <row r="5447">
          <cell r="E5447" t="str">
            <v>PURET-13-0001-00</v>
          </cell>
          <cell r="F5447">
            <v>456705022043</v>
          </cell>
        </row>
        <row r="5448">
          <cell r="E5448" t="str">
            <v>PUR-09-0408-00</v>
          </cell>
          <cell r="F5448">
            <v>456705022043</v>
          </cell>
        </row>
        <row r="5449">
          <cell r="E5449" t="str">
            <v>EF-45174165</v>
          </cell>
          <cell r="F5449">
            <v>456705022043</v>
          </cell>
        </row>
        <row r="5450">
          <cell r="E5450" t="str">
            <v>PUR-09-0408-00</v>
          </cell>
          <cell r="F5450">
            <v>456705022043</v>
          </cell>
        </row>
        <row r="5451">
          <cell r="E5451" t="str">
            <v>EF-45205856</v>
          </cell>
          <cell r="F5451">
            <v>456705022043</v>
          </cell>
        </row>
        <row r="5452">
          <cell r="E5452" t="str">
            <v>LUC-E00-440022-00</v>
          </cell>
          <cell r="F5452">
            <v>456705022043</v>
          </cell>
        </row>
        <row r="5453">
          <cell r="E5453" t="str">
            <v>LUC-E00-420055-08</v>
          </cell>
          <cell r="F5453">
            <v>456705022043</v>
          </cell>
        </row>
        <row r="5454">
          <cell r="E5454" t="str">
            <v>AGI-600-50001-01</v>
          </cell>
          <cell r="F5454">
            <v>642108553004</v>
          </cell>
        </row>
        <row r="5455">
          <cell r="E5455" t="str">
            <v>AGI-600-50001-01</v>
          </cell>
          <cell r="F5455">
            <v>642108553004</v>
          </cell>
        </row>
        <row r="5456">
          <cell r="E5456" t="str">
            <v>AGI-600-50001-01</v>
          </cell>
          <cell r="F5456">
            <v>642108553004</v>
          </cell>
        </row>
        <row r="5457">
          <cell r="E5457" t="str">
            <v>141-002778</v>
          </cell>
          <cell r="F5457">
            <v>642108553004</v>
          </cell>
        </row>
        <row r="5458">
          <cell r="E5458" t="str">
            <v>PUR-07-0315-00</v>
          </cell>
          <cell r="F5458">
            <v>880908859270</v>
          </cell>
        </row>
        <row r="5459">
          <cell r="E5459" t="str">
            <v>PUR-07-0315-00</v>
          </cell>
          <cell r="F5459">
            <v>880908859270</v>
          </cell>
        </row>
        <row r="5460">
          <cell r="E5460" t="str">
            <v>PUR-07-0333-00</v>
          </cell>
          <cell r="F5460">
            <v>880908859270</v>
          </cell>
        </row>
        <row r="5461">
          <cell r="E5461" t="str">
            <v>AIC-133-001102</v>
          </cell>
          <cell r="F5461">
            <v>880823100347</v>
          </cell>
        </row>
        <row r="5462">
          <cell r="E5462" t="str">
            <v>LUC-P21-K61200-02</v>
          </cell>
          <cell r="F5462">
            <v>880912861207</v>
          </cell>
        </row>
        <row r="5463">
          <cell r="E5463" t="str">
            <v>LUC-P21-K61200-02</v>
          </cell>
          <cell r="F5463">
            <v>880912861207</v>
          </cell>
        </row>
        <row r="5464">
          <cell r="E5464" t="str">
            <v>PUR-03-0091-02</v>
          </cell>
          <cell r="F5464">
            <v>453790036415</v>
          </cell>
        </row>
        <row r="5465">
          <cell r="E5465" t="str">
            <v>LUC-E00-420059-00</v>
          </cell>
          <cell r="F5465">
            <v>2874552505</v>
          </cell>
        </row>
        <row r="5466">
          <cell r="E5466" t="str">
            <v>LUC-E00-420037-00</v>
          </cell>
          <cell r="F5466">
            <v>2874552505</v>
          </cell>
        </row>
        <row r="5467">
          <cell r="E5467" t="str">
            <v>PUR-03-0091-02</v>
          </cell>
          <cell r="F5467">
            <v>457775907408</v>
          </cell>
        </row>
        <row r="5468">
          <cell r="E5468" t="str">
            <v>PUR-03-0091-02</v>
          </cell>
          <cell r="F5468">
            <v>457775907408</v>
          </cell>
        </row>
        <row r="5469">
          <cell r="E5469" t="str">
            <v>LUC-E00-470042-00</v>
          </cell>
          <cell r="F5469">
            <v>880804110846</v>
          </cell>
        </row>
        <row r="5470">
          <cell r="E5470" t="str">
            <v>LUC-E00-470042-00</v>
          </cell>
          <cell r="F5470">
            <v>880804110846</v>
          </cell>
        </row>
        <row r="5471">
          <cell r="E5471" t="str">
            <v>LUC-E00-510046-00</v>
          </cell>
          <cell r="F5471">
            <v>880804110846</v>
          </cell>
        </row>
        <row r="5472">
          <cell r="E5472" t="str">
            <v>PUR-03-0038-00</v>
          </cell>
          <cell r="F5472">
            <v>9248690743</v>
          </cell>
        </row>
        <row r="5473">
          <cell r="E5473" t="str">
            <v>PUR-03-0038-00</v>
          </cell>
          <cell r="F5473">
            <v>9248690743</v>
          </cell>
        </row>
        <row r="5474">
          <cell r="E5474" t="str">
            <v>PUR-03-0038-00</v>
          </cell>
          <cell r="F5474">
            <v>9248690743</v>
          </cell>
        </row>
        <row r="5475">
          <cell r="E5475" t="str">
            <v>PUR-03-0038-00</v>
          </cell>
          <cell r="F5475">
            <v>9248690743</v>
          </cell>
        </row>
        <row r="5476">
          <cell r="E5476" t="str">
            <v>PUR-03-0038-00</v>
          </cell>
          <cell r="F5476">
            <v>9248690743</v>
          </cell>
        </row>
        <row r="5477">
          <cell r="E5477" t="str">
            <v>110-000101</v>
          </cell>
          <cell r="F5477">
            <v>456612296900</v>
          </cell>
        </row>
        <row r="5478">
          <cell r="E5478" t="str">
            <v>123-000306.X.X</v>
          </cell>
          <cell r="F5478">
            <v>456612296900</v>
          </cell>
        </row>
        <row r="5479">
          <cell r="E5479" t="str">
            <v>134-001540</v>
          </cell>
          <cell r="F5479">
            <v>456612296900</v>
          </cell>
        </row>
        <row r="5480">
          <cell r="E5480" t="str">
            <v>LUC-E00-420068-00-R</v>
          </cell>
          <cell r="F5480">
            <v>456612296900</v>
          </cell>
        </row>
        <row r="5481">
          <cell r="E5481" t="str">
            <v>LUC-E00-420068-00-R</v>
          </cell>
          <cell r="F5481">
            <v>456612296900</v>
          </cell>
        </row>
        <row r="5482">
          <cell r="E5482" t="str">
            <v>HLOB-21-0009-00</v>
          </cell>
          <cell r="F5482">
            <v>456478143155</v>
          </cell>
        </row>
        <row r="5483">
          <cell r="E5483" t="str">
            <v>LUC-E00-510014-00</v>
          </cell>
          <cell r="F5483">
            <v>453079505092</v>
          </cell>
        </row>
        <row r="5484">
          <cell r="E5484" t="str">
            <v>LUC-E00-510032-00</v>
          </cell>
          <cell r="F5484">
            <v>453079505092</v>
          </cell>
        </row>
        <row r="5485">
          <cell r="E5485" t="str">
            <v>LUC-E00-510032-00</v>
          </cell>
          <cell r="F5485">
            <v>453079505092</v>
          </cell>
        </row>
        <row r="5486">
          <cell r="E5486" t="str">
            <v>LUC-E00-510032-00</v>
          </cell>
          <cell r="F5486">
            <v>453079505092</v>
          </cell>
        </row>
        <row r="5487">
          <cell r="E5487" t="str">
            <v>LUC-E00-400011-005</v>
          </cell>
          <cell r="F5487">
            <v>880907002230</v>
          </cell>
        </row>
        <row r="5488">
          <cell r="E5488" t="str">
            <v>LUC-EZZ-450006-00</v>
          </cell>
          <cell r="F5488">
            <v>880907002230</v>
          </cell>
        </row>
        <row r="5489">
          <cell r="E5489" t="str">
            <v>LUC-EZZ-470181-00</v>
          </cell>
          <cell r="F5489">
            <v>456478144747</v>
          </cell>
        </row>
        <row r="5490">
          <cell r="E5490" t="str">
            <v>AIC-MP-00006913-000</v>
          </cell>
          <cell r="F5490">
            <v>880909334188</v>
          </cell>
        </row>
        <row r="5491">
          <cell r="E5491" t="str">
            <v>AIC-120-012787</v>
          </cell>
          <cell r="F5491">
            <v>880962462799</v>
          </cell>
        </row>
        <row r="5492">
          <cell r="E5492" t="str">
            <v>103-000216.X.X</v>
          </cell>
          <cell r="F5492">
            <v>730610852833</v>
          </cell>
        </row>
        <row r="5493">
          <cell r="E5493" t="str">
            <v>LUC-E00-690157-01</v>
          </cell>
          <cell r="F5493">
            <v>433912068291</v>
          </cell>
        </row>
        <row r="5494">
          <cell r="E5494" t="str">
            <v>LUC-EZZ-420002-00</v>
          </cell>
          <cell r="F5494">
            <v>456478139531</v>
          </cell>
        </row>
        <row r="5495">
          <cell r="E5495" t="str">
            <v>LUC-E00-400067-405</v>
          </cell>
          <cell r="F5495">
            <v>456478139531</v>
          </cell>
        </row>
        <row r="5496">
          <cell r="E5496" t="str">
            <v>LUC-EZZ-400466-00</v>
          </cell>
          <cell r="F5496">
            <v>456478139531</v>
          </cell>
        </row>
        <row r="5497">
          <cell r="E5497" t="str">
            <v>PUR-16-0037-00</v>
          </cell>
          <cell r="F5497" t="str">
            <v>LSZHPH2504385</v>
          </cell>
        </row>
        <row r="5498">
          <cell r="E5498" t="str">
            <v>PUR-16-0049-01</v>
          </cell>
          <cell r="F5498" t="str">
            <v>LSZHPH2504385</v>
          </cell>
        </row>
        <row r="5499">
          <cell r="E5499" t="str">
            <v>PUR-16-0035-00</v>
          </cell>
          <cell r="F5499" t="str">
            <v>LSZHPH2504385</v>
          </cell>
        </row>
        <row r="5500">
          <cell r="E5500" t="str">
            <v>PUR-16-0035-00</v>
          </cell>
          <cell r="F5500" t="str">
            <v>LSZHPH2504385</v>
          </cell>
        </row>
        <row r="5501">
          <cell r="E5501" t="str">
            <v>PUR-16-0046-01</v>
          </cell>
          <cell r="F5501" t="str">
            <v>LSZHPH2504385</v>
          </cell>
        </row>
        <row r="5502">
          <cell r="E5502" t="str">
            <v>PUR-16-0051-00</v>
          </cell>
          <cell r="F5502" t="str">
            <v>LSZHPH2504385</v>
          </cell>
        </row>
        <row r="5503">
          <cell r="E5503" t="str">
            <v>LUC-E00-420046-00</v>
          </cell>
          <cell r="F5503">
            <v>4711850656</v>
          </cell>
        </row>
        <row r="5504">
          <cell r="E5504" t="str">
            <v>HLOB-13-0119-00</v>
          </cell>
          <cell r="F5504">
            <v>4711850656</v>
          </cell>
        </row>
        <row r="5505">
          <cell r="E5505" t="str">
            <v>HLOB-13-0119-00</v>
          </cell>
          <cell r="F5505">
            <v>4711850656</v>
          </cell>
        </row>
        <row r="5506">
          <cell r="E5506" t="str">
            <v>HLOB-14-0085-00</v>
          </cell>
          <cell r="F5506">
            <v>4711850656</v>
          </cell>
        </row>
        <row r="5507">
          <cell r="E5507" t="str">
            <v>LUC-E00-420054-06</v>
          </cell>
          <cell r="F5507">
            <v>4711850656</v>
          </cell>
        </row>
        <row r="5508">
          <cell r="E5508" t="str">
            <v>LUC-E00-420054-06</v>
          </cell>
          <cell r="F5508">
            <v>4711850656</v>
          </cell>
        </row>
        <row r="5509">
          <cell r="E5509" t="str">
            <v>LUC-EZZ-420665-00</v>
          </cell>
          <cell r="F5509">
            <v>4711850656</v>
          </cell>
        </row>
        <row r="5510">
          <cell r="E5510" t="str">
            <v>LUC-E00-420046-00</v>
          </cell>
          <cell r="F5510">
            <v>4711850656</v>
          </cell>
        </row>
        <row r="5511">
          <cell r="E5511" t="str">
            <v>LUC-EZZ-420665-00</v>
          </cell>
          <cell r="F5511">
            <v>4711850656</v>
          </cell>
        </row>
        <row r="5512">
          <cell r="E5512" t="str">
            <v>LUC-EZZ-420665-00</v>
          </cell>
          <cell r="F5512">
            <v>4711850656</v>
          </cell>
        </row>
        <row r="5513">
          <cell r="E5513" t="str">
            <v>LUC-EZZ-420665-00</v>
          </cell>
          <cell r="F5513">
            <v>4711850656</v>
          </cell>
        </row>
        <row r="5514">
          <cell r="E5514" t="str">
            <v>LUC-E00-450053-00</v>
          </cell>
          <cell r="F5514">
            <v>4711850656</v>
          </cell>
        </row>
        <row r="5515">
          <cell r="E5515" t="str">
            <v>LUC-E00-460005-00</v>
          </cell>
          <cell r="F5515">
            <v>4711850656</v>
          </cell>
        </row>
        <row r="5516">
          <cell r="E5516" t="str">
            <v>LUC-E00-540005-00</v>
          </cell>
          <cell r="F5516">
            <v>4711850656</v>
          </cell>
        </row>
        <row r="5517">
          <cell r="E5517" t="str">
            <v>LUC-EZZ-420331-00</v>
          </cell>
          <cell r="F5517">
            <v>4711850656</v>
          </cell>
        </row>
        <row r="5518">
          <cell r="E5518" t="str">
            <v>PUR-13-0237-00</v>
          </cell>
          <cell r="F5518">
            <v>4711850656</v>
          </cell>
        </row>
        <row r="5519">
          <cell r="E5519" t="str">
            <v>PUR-21-0026-00</v>
          </cell>
          <cell r="F5519">
            <v>4711850656</v>
          </cell>
        </row>
        <row r="5520">
          <cell r="E5520" t="str">
            <v>PUR-13-0154-00</v>
          </cell>
          <cell r="F5520">
            <v>4711850656</v>
          </cell>
        </row>
        <row r="5521">
          <cell r="E5521" t="str">
            <v>LUC-E00-420052-00</v>
          </cell>
          <cell r="F5521">
            <v>4711850656</v>
          </cell>
        </row>
        <row r="5522">
          <cell r="E5522" t="str">
            <v>LUC-EZZ-420396-00</v>
          </cell>
          <cell r="F5522">
            <v>4711850656</v>
          </cell>
        </row>
        <row r="5523">
          <cell r="E5523" t="str">
            <v>PURET-13-0119-00</v>
          </cell>
          <cell r="F5523">
            <v>4711850656</v>
          </cell>
        </row>
        <row r="5524">
          <cell r="E5524" t="str">
            <v>HLOB-27-0024-00</v>
          </cell>
          <cell r="F5524">
            <v>4711850656</v>
          </cell>
        </row>
        <row r="5525">
          <cell r="E5525" t="str">
            <v>PUR-27-0024-00</v>
          </cell>
          <cell r="F5525">
            <v>4711850656</v>
          </cell>
        </row>
        <row r="5526">
          <cell r="E5526" t="str">
            <v>LUC-EZZ-420665-00</v>
          </cell>
          <cell r="F5526">
            <v>4711850656</v>
          </cell>
        </row>
        <row r="5527">
          <cell r="E5527" t="str">
            <v>EF-45093266.X.X</v>
          </cell>
          <cell r="F5527">
            <v>4711850656</v>
          </cell>
        </row>
        <row r="5528">
          <cell r="E5528" t="str">
            <v>LUC-EZZ-420665-00</v>
          </cell>
          <cell r="F5528">
            <v>4711850656</v>
          </cell>
        </row>
        <row r="5529">
          <cell r="E5529" t="str">
            <v>LUC-EZZ-420695-01</v>
          </cell>
          <cell r="F5529">
            <v>4711850656</v>
          </cell>
        </row>
        <row r="5530">
          <cell r="E5530" t="str">
            <v>HLOB-13-0141-00</v>
          </cell>
          <cell r="F5530">
            <v>4711850656</v>
          </cell>
        </row>
        <row r="5531">
          <cell r="E5531" t="str">
            <v>HLOB-13-0237-00</v>
          </cell>
          <cell r="F5531">
            <v>4711850656</v>
          </cell>
        </row>
        <row r="5532">
          <cell r="E5532" t="str">
            <v>EF-45046354</v>
          </cell>
          <cell r="F5532">
            <v>4711850656</v>
          </cell>
        </row>
        <row r="5533">
          <cell r="E5533" t="str">
            <v>LUC-EZZ-420665-00</v>
          </cell>
          <cell r="F5533">
            <v>4711850656</v>
          </cell>
        </row>
        <row r="5534">
          <cell r="E5534" t="str">
            <v>HLOB-09-0408-00</v>
          </cell>
          <cell r="F5534">
            <v>4711850656</v>
          </cell>
        </row>
        <row r="5535">
          <cell r="E5535" t="str">
            <v>PUR-13-0165-00</v>
          </cell>
          <cell r="F5535">
            <v>4711850656</v>
          </cell>
        </row>
        <row r="5536">
          <cell r="E5536" t="str">
            <v>LUC-EZZ-490315-01</v>
          </cell>
          <cell r="F5536">
            <v>1515416</v>
          </cell>
        </row>
        <row r="5537">
          <cell r="E5537" t="str">
            <v>LUC-EZZ-490315-01</v>
          </cell>
          <cell r="F5537">
            <v>1515416</v>
          </cell>
        </row>
        <row r="5538">
          <cell r="E5538" t="str">
            <v>PUR-24-0028-00</v>
          </cell>
          <cell r="F5538">
            <v>119209596107</v>
          </cell>
        </row>
        <row r="5539">
          <cell r="E5539" t="str">
            <v>PURET-24-0002-00</v>
          </cell>
          <cell r="F5539">
            <v>119209596107</v>
          </cell>
        </row>
        <row r="5540">
          <cell r="E5540" t="str">
            <v>LUC-E00-470432-00</v>
          </cell>
          <cell r="F5540">
            <v>119209596107</v>
          </cell>
        </row>
        <row r="5541">
          <cell r="E5541" t="str">
            <v>PURET-24-0002-00</v>
          </cell>
          <cell r="F5541">
            <v>119209596107</v>
          </cell>
        </row>
        <row r="5542">
          <cell r="E5542" t="str">
            <v>LUC-E00-440048-00</v>
          </cell>
          <cell r="F5542">
            <v>446052779367</v>
          </cell>
        </row>
        <row r="5543">
          <cell r="E5543" t="str">
            <v>LUC-E00-440023-02</v>
          </cell>
          <cell r="F5543">
            <v>446052779367</v>
          </cell>
        </row>
        <row r="5544">
          <cell r="E5544" t="str">
            <v>LUC-E00-400046-00</v>
          </cell>
          <cell r="F5544">
            <v>457619150837</v>
          </cell>
        </row>
        <row r="5545">
          <cell r="E5545" t="str">
            <v>LUC-E00-470318-00</v>
          </cell>
          <cell r="F5545">
            <v>457619150837</v>
          </cell>
        </row>
        <row r="5546">
          <cell r="E5546" t="str">
            <v>LUC-P11-K41E00-01</v>
          </cell>
          <cell r="F5546">
            <v>457619150837</v>
          </cell>
        </row>
        <row r="5547">
          <cell r="E5547" t="str">
            <v>LUC-E00-420241-00</v>
          </cell>
          <cell r="F5547">
            <v>457619150837</v>
          </cell>
        </row>
        <row r="5548">
          <cell r="E5548" t="str">
            <v>LUC-E00-450056-00</v>
          </cell>
          <cell r="F5548">
            <v>457619150837</v>
          </cell>
        </row>
        <row r="5549">
          <cell r="E5549" t="str">
            <v>LUC-EZZ-400078-00</v>
          </cell>
          <cell r="F5549">
            <v>457619150837</v>
          </cell>
        </row>
        <row r="5550">
          <cell r="E5550" t="str">
            <v>LUC-EZZ-400342-00</v>
          </cell>
          <cell r="F5550">
            <v>457619150837</v>
          </cell>
        </row>
        <row r="5551">
          <cell r="E5551" t="str">
            <v>LUC-E00-400334-00</v>
          </cell>
          <cell r="F5551">
            <v>457619150837</v>
          </cell>
        </row>
        <row r="5552">
          <cell r="E5552" t="str">
            <v>PUR-15-0150-00</v>
          </cell>
          <cell r="F5552">
            <v>457619150837</v>
          </cell>
        </row>
        <row r="5553">
          <cell r="E5553" t="str">
            <v>LUC-E00-690010-01</v>
          </cell>
          <cell r="F5553">
            <v>288065570777</v>
          </cell>
        </row>
        <row r="5554">
          <cell r="E5554" t="str">
            <v>PUR-14-0076-00</v>
          </cell>
          <cell r="F5554">
            <v>400536640841</v>
          </cell>
        </row>
        <row r="5555">
          <cell r="E5555" t="str">
            <v>HLOB-14-0077-00</v>
          </cell>
          <cell r="F5555">
            <v>400536640841</v>
          </cell>
        </row>
        <row r="5556">
          <cell r="E5556" t="str">
            <v>HLOB-14-0083-00</v>
          </cell>
          <cell r="F5556">
            <v>400536640841</v>
          </cell>
        </row>
        <row r="5557">
          <cell r="E5557" t="str">
            <v>PUR-03-0095-00</v>
          </cell>
          <cell r="F5557">
            <v>453790054973</v>
          </cell>
        </row>
        <row r="5558">
          <cell r="E5558" t="str">
            <v>PUR-03-0095-00</v>
          </cell>
          <cell r="F5558">
            <v>453790054973</v>
          </cell>
        </row>
        <row r="5559">
          <cell r="E5559" t="str">
            <v>LUC-EZZ-440073-00</v>
          </cell>
          <cell r="F5559">
            <v>288113562064</v>
          </cell>
        </row>
        <row r="5560">
          <cell r="E5560" t="str">
            <v>PUR-05-0031-00</v>
          </cell>
          <cell r="F5560">
            <v>453181470237</v>
          </cell>
        </row>
        <row r="5561">
          <cell r="E5561" t="str">
            <v>PUR-21-0036-00</v>
          </cell>
          <cell r="F5561">
            <v>453181470237</v>
          </cell>
        </row>
        <row r="5562">
          <cell r="E5562" t="str">
            <v>PUR-21-0036-00</v>
          </cell>
          <cell r="F5562">
            <v>453181470237</v>
          </cell>
        </row>
        <row r="5563">
          <cell r="E5563" t="str">
            <v>LUC-E00-420076-00</v>
          </cell>
          <cell r="F5563">
            <v>453181470237</v>
          </cell>
        </row>
        <row r="5564">
          <cell r="E5564" t="str">
            <v>LUC-E00-450041-00</v>
          </cell>
          <cell r="F5564">
            <v>453181470237</v>
          </cell>
        </row>
        <row r="5565">
          <cell r="E5565" t="str">
            <v>EF-45137191</v>
          </cell>
          <cell r="F5565">
            <v>453181470237</v>
          </cell>
        </row>
        <row r="5566">
          <cell r="E5566" t="str">
            <v>PUR-13-0189-00</v>
          </cell>
          <cell r="F5566">
            <v>453181470237</v>
          </cell>
        </row>
        <row r="5567">
          <cell r="E5567" t="str">
            <v>PUR-21-0036-00</v>
          </cell>
          <cell r="F5567">
            <v>453181470237</v>
          </cell>
        </row>
        <row r="5568">
          <cell r="E5568" t="str">
            <v>PUR-09-0267-00</v>
          </cell>
          <cell r="F5568">
            <v>457775930715</v>
          </cell>
        </row>
        <row r="5569">
          <cell r="E5569" t="str">
            <v>PUR-07-0167-00</v>
          </cell>
          <cell r="F5569">
            <v>880963373837</v>
          </cell>
        </row>
        <row r="5570">
          <cell r="E5570" t="str">
            <v>PUR-05-0032-00</v>
          </cell>
          <cell r="F5570">
            <v>5376505433</v>
          </cell>
        </row>
        <row r="5571">
          <cell r="E5571" t="str">
            <v>EF-45103487</v>
          </cell>
          <cell r="F5571">
            <v>288215912526</v>
          </cell>
        </row>
        <row r="5572">
          <cell r="E5572" t="str">
            <v>LUC-E00-690010-01</v>
          </cell>
          <cell r="F5572">
            <v>288116633519</v>
          </cell>
        </row>
        <row r="5573">
          <cell r="E5573" t="str">
            <v>LUC-E00-470145-00</v>
          </cell>
          <cell r="F5573">
            <v>288246054490</v>
          </cell>
        </row>
        <row r="5574">
          <cell r="E5574" t="str">
            <v>LUC-E00-470093-00</v>
          </cell>
          <cell r="F5574">
            <v>288327190352</v>
          </cell>
        </row>
        <row r="5575">
          <cell r="E5575" t="str">
            <v>HLOB-03-0038-00</v>
          </cell>
          <cell r="F5575">
            <v>457775922820</v>
          </cell>
        </row>
        <row r="5576">
          <cell r="E5576" t="str">
            <v>PUR-03-0082-02</v>
          </cell>
          <cell r="F5576">
            <v>457775954355</v>
          </cell>
        </row>
        <row r="5577">
          <cell r="E5577" t="str">
            <v>EF-45135111</v>
          </cell>
          <cell r="F5577">
            <v>288151007013</v>
          </cell>
        </row>
        <row r="5578">
          <cell r="E5578" t="str">
            <v>LUC-E00-440003-02</v>
          </cell>
          <cell r="F5578">
            <v>458171546177</v>
          </cell>
        </row>
        <row r="5579">
          <cell r="E5579" t="str">
            <v>LUC-E00-440046-00</v>
          </cell>
          <cell r="F5579">
            <v>458171546177</v>
          </cell>
        </row>
        <row r="5580">
          <cell r="E5580" t="str">
            <v>LUC-E00-440072-01</v>
          </cell>
          <cell r="F5580">
            <v>458171546177</v>
          </cell>
        </row>
        <row r="5581">
          <cell r="E5581" t="str">
            <v>LUC-EZZ-440028-00</v>
          </cell>
          <cell r="F5581">
            <v>458171546177</v>
          </cell>
        </row>
        <row r="5582">
          <cell r="E5582" t="str">
            <v>LUC-EZZ-440911-00</v>
          </cell>
          <cell r="F5582">
            <v>458171546177</v>
          </cell>
        </row>
        <row r="5583">
          <cell r="E5583" t="str">
            <v>LUC-E00-420069-00</v>
          </cell>
          <cell r="F5583">
            <v>5183448255</v>
          </cell>
        </row>
        <row r="5584">
          <cell r="E5584" t="str">
            <v>LUC-E00-420019-00</v>
          </cell>
          <cell r="F5584">
            <v>5183448255</v>
          </cell>
        </row>
        <row r="5585">
          <cell r="E5585" t="str">
            <v>LUC-E00-450029-00</v>
          </cell>
          <cell r="F5585">
            <v>5183448255</v>
          </cell>
        </row>
        <row r="5586">
          <cell r="E5586" t="str">
            <v>LUC-EZZ-451277-00</v>
          </cell>
          <cell r="F5586">
            <v>5183448255</v>
          </cell>
        </row>
        <row r="5587">
          <cell r="E5587" t="str">
            <v>LUC-E00-470095-00</v>
          </cell>
          <cell r="F5587">
            <v>5183448255</v>
          </cell>
        </row>
        <row r="5588">
          <cell r="E5588" t="str">
            <v>LUC-EZZ-420345-00</v>
          </cell>
          <cell r="F5588">
            <v>5183448255</v>
          </cell>
        </row>
        <row r="5589">
          <cell r="E5589" t="str">
            <v>LUC-E00-400010-021</v>
          </cell>
          <cell r="F5589">
            <v>5183448255</v>
          </cell>
        </row>
        <row r="5590">
          <cell r="E5590" t="str">
            <v>LUC-E00-400010-022</v>
          </cell>
          <cell r="F5590">
            <v>5183448255</v>
          </cell>
        </row>
        <row r="5591">
          <cell r="E5591" t="str">
            <v>LUC-E00-400010-044</v>
          </cell>
          <cell r="F5591">
            <v>5183448255</v>
          </cell>
        </row>
        <row r="5592">
          <cell r="E5592" t="str">
            <v>LUC-EZZ-400542-00</v>
          </cell>
          <cell r="F5592">
            <v>5183448255</v>
          </cell>
        </row>
        <row r="5593">
          <cell r="E5593" t="str">
            <v>LUC-EZZ-471023-00</v>
          </cell>
          <cell r="F5593">
            <v>5183448255</v>
          </cell>
        </row>
        <row r="5594">
          <cell r="E5594" t="str">
            <v>LUC-E00-470062-00</v>
          </cell>
          <cell r="F5594">
            <v>5183448255</v>
          </cell>
        </row>
        <row r="5595">
          <cell r="E5595" t="str">
            <v>LUC-EZZ-420345-00</v>
          </cell>
          <cell r="F5595">
            <v>5183448255</v>
          </cell>
        </row>
        <row r="5596">
          <cell r="E5596" t="str">
            <v>LUC-EZZ-420345-00</v>
          </cell>
          <cell r="F5596">
            <v>5183448255</v>
          </cell>
        </row>
        <row r="5597">
          <cell r="E5597" t="str">
            <v>LUC-EZZ-480029-00</v>
          </cell>
          <cell r="F5597">
            <v>5183448255</v>
          </cell>
        </row>
        <row r="5598">
          <cell r="E5598" t="str">
            <v>LUC-E00-440026-00</v>
          </cell>
          <cell r="F5598">
            <v>5183448255</v>
          </cell>
        </row>
        <row r="5599">
          <cell r="E5599" t="str">
            <v>LUC-EZZ-420178-00</v>
          </cell>
          <cell r="F5599">
            <v>5183448255</v>
          </cell>
        </row>
        <row r="5600">
          <cell r="E5600" t="str">
            <v>LUC-E00-400022-000</v>
          </cell>
          <cell r="F5600">
            <v>5183448255</v>
          </cell>
        </row>
        <row r="5601">
          <cell r="E5601" t="str">
            <v>LUC-E00-400018-000</v>
          </cell>
          <cell r="F5601">
            <v>5183448255</v>
          </cell>
        </row>
        <row r="5602">
          <cell r="E5602" t="str">
            <v>LUC-E00-470131-00</v>
          </cell>
          <cell r="F5602">
            <v>5183448255</v>
          </cell>
        </row>
        <row r="5603">
          <cell r="E5603" t="str">
            <v>LUC-E00-470131-00</v>
          </cell>
          <cell r="F5603">
            <v>5183448255</v>
          </cell>
        </row>
        <row r="5604">
          <cell r="E5604" t="str">
            <v>LUC-E00-470131-00</v>
          </cell>
          <cell r="F5604">
            <v>5183448255</v>
          </cell>
        </row>
        <row r="5605">
          <cell r="E5605" t="str">
            <v>LUC-E00-470131-00</v>
          </cell>
          <cell r="F5605">
            <v>5183448255</v>
          </cell>
        </row>
        <row r="5606">
          <cell r="E5606" t="str">
            <v>LUC-E00-470061-00</v>
          </cell>
          <cell r="F5606">
            <v>5183448255</v>
          </cell>
        </row>
        <row r="5607">
          <cell r="E5607" t="str">
            <v>LUC-E00-470301-00</v>
          </cell>
          <cell r="F5607">
            <v>5183448255</v>
          </cell>
        </row>
        <row r="5608">
          <cell r="E5608" t="str">
            <v>LUC-E00-460038-00</v>
          </cell>
          <cell r="F5608">
            <v>5183448255</v>
          </cell>
        </row>
        <row r="5609">
          <cell r="E5609" t="str">
            <v>LUC-E00-460038-00</v>
          </cell>
          <cell r="F5609">
            <v>5183448255</v>
          </cell>
        </row>
        <row r="5610">
          <cell r="E5610" t="str">
            <v>LUC-E00-400001-010</v>
          </cell>
          <cell r="F5610">
            <v>5183448255</v>
          </cell>
        </row>
        <row r="5611">
          <cell r="E5611" t="str">
            <v>LUC-E00-400010-007</v>
          </cell>
          <cell r="F5611">
            <v>5183448255</v>
          </cell>
        </row>
        <row r="5612">
          <cell r="E5612" t="str">
            <v>LUC-E00-400010-007</v>
          </cell>
          <cell r="F5612">
            <v>5183448255</v>
          </cell>
        </row>
        <row r="5613">
          <cell r="E5613" t="str">
            <v>LUC-E00-400001-013</v>
          </cell>
          <cell r="F5613">
            <v>5183448255</v>
          </cell>
        </row>
        <row r="5614">
          <cell r="E5614" t="str">
            <v>LUC-E00-400010-035</v>
          </cell>
          <cell r="F5614">
            <v>5183448255</v>
          </cell>
        </row>
        <row r="5615">
          <cell r="E5615" t="str">
            <v>LUC-E00-420020-03</v>
          </cell>
          <cell r="F5615">
            <v>5183448255</v>
          </cell>
        </row>
        <row r="5616">
          <cell r="E5616" t="str">
            <v>LUC-E00-400010-047</v>
          </cell>
          <cell r="F5616">
            <v>5183448255</v>
          </cell>
        </row>
        <row r="5617">
          <cell r="E5617" t="str">
            <v>LUC-E00-450056-00</v>
          </cell>
          <cell r="F5617">
            <v>5183448255</v>
          </cell>
        </row>
        <row r="5618">
          <cell r="E5618" t="str">
            <v>LUC-EZZ-450113-00</v>
          </cell>
          <cell r="F5618">
            <v>5183448255</v>
          </cell>
        </row>
        <row r="5619">
          <cell r="E5619" t="str">
            <v>LUC-EZZ-470136-00</v>
          </cell>
          <cell r="F5619">
            <v>5183448255</v>
          </cell>
        </row>
        <row r="5620">
          <cell r="E5620" t="str">
            <v>LUC-EZZ-460737-00</v>
          </cell>
          <cell r="F5620">
            <v>5183448255</v>
          </cell>
        </row>
        <row r="5621">
          <cell r="E5621" t="str">
            <v>LUC-EZZ-420102-00</v>
          </cell>
          <cell r="F5621">
            <v>5183448255</v>
          </cell>
        </row>
        <row r="5622">
          <cell r="E5622" t="str">
            <v>LUC-E00-440097-00</v>
          </cell>
          <cell r="F5622">
            <v>5183448255</v>
          </cell>
        </row>
        <row r="5623">
          <cell r="E5623" t="str">
            <v>LUC-E00-440097-00</v>
          </cell>
          <cell r="F5623">
            <v>5183448255</v>
          </cell>
        </row>
        <row r="5624">
          <cell r="E5624" t="str">
            <v>LUC-E00-440097-00</v>
          </cell>
          <cell r="F5624">
            <v>5183448255</v>
          </cell>
        </row>
        <row r="5625">
          <cell r="E5625" t="str">
            <v>LUC-EZZ-510080-00</v>
          </cell>
          <cell r="F5625">
            <v>5183448255</v>
          </cell>
        </row>
        <row r="5626">
          <cell r="E5626" t="str">
            <v>LUC-EZZ-471023-00</v>
          </cell>
          <cell r="F5626">
            <v>5183448255</v>
          </cell>
        </row>
        <row r="5627">
          <cell r="E5627" t="str">
            <v>LUC-EZZ-420352-00</v>
          </cell>
          <cell r="F5627">
            <v>5183448255</v>
          </cell>
        </row>
        <row r="5628">
          <cell r="E5628" t="str">
            <v>LUC-EZZ-450113-00</v>
          </cell>
          <cell r="F5628">
            <v>5183448255</v>
          </cell>
        </row>
        <row r="5629">
          <cell r="E5629" t="str">
            <v>LUC-EZZ-510639-00</v>
          </cell>
          <cell r="F5629">
            <v>5183448255</v>
          </cell>
        </row>
        <row r="5630">
          <cell r="E5630" t="str">
            <v>LUC-EZZ-510014-00</v>
          </cell>
          <cell r="F5630">
            <v>5183448255</v>
          </cell>
        </row>
        <row r="5631">
          <cell r="E5631" t="str">
            <v>LUC-E00-510001-00</v>
          </cell>
          <cell r="F5631">
            <v>5183448255</v>
          </cell>
        </row>
        <row r="5632">
          <cell r="E5632" t="str">
            <v>LUC-E00-400056-00</v>
          </cell>
          <cell r="F5632">
            <v>5183448255</v>
          </cell>
        </row>
        <row r="5633">
          <cell r="E5633" t="str">
            <v>LUC-E00-470175-00</v>
          </cell>
          <cell r="F5633">
            <v>5183448255</v>
          </cell>
        </row>
        <row r="5634">
          <cell r="E5634" t="str">
            <v>LUC-E00-440097-00</v>
          </cell>
          <cell r="F5634">
            <v>5183448255</v>
          </cell>
        </row>
        <row r="5635">
          <cell r="E5635" t="str">
            <v>LUC-E00-440097-00</v>
          </cell>
          <cell r="F5635">
            <v>5183448255</v>
          </cell>
        </row>
        <row r="5636">
          <cell r="E5636" t="str">
            <v>EF-45110875.X.X</v>
          </cell>
          <cell r="F5636">
            <v>5183448255</v>
          </cell>
        </row>
        <row r="5637">
          <cell r="E5637" t="str">
            <v>HLOB-31-0103-01</v>
          </cell>
          <cell r="F5637" t="str">
            <v>KNQ4</v>
          </cell>
        </row>
        <row r="5638">
          <cell r="E5638" t="str">
            <v>LUC-P21-K61100-02</v>
          </cell>
          <cell r="F5638" t="str">
            <v>LSHHPH2503417</v>
          </cell>
        </row>
        <row r="5639">
          <cell r="E5639" t="str">
            <v>LUC-P21-K61100-02</v>
          </cell>
          <cell r="F5639" t="str">
            <v>LSHHPH2503417</v>
          </cell>
        </row>
        <row r="5640">
          <cell r="E5640" t="str">
            <v>LUC-P21-K61100-02</v>
          </cell>
          <cell r="F5640" t="str">
            <v>LSHHPH2503417</v>
          </cell>
        </row>
        <row r="5641">
          <cell r="E5641" t="str">
            <v>LUC-P21-K61100-02</v>
          </cell>
          <cell r="F5641" t="str">
            <v>LSHHPH2503417</v>
          </cell>
        </row>
        <row r="5642">
          <cell r="E5642" t="str">
            <v>LUC-P21-K61100-02</v>
          </cell>
          <cell r="F5642" t="str">
            <v>LSHHPH2503417</v>
          </cell>
        </row>
        <row r="5643">
          <cell r="E5643" t="str">
            <v>LUC-P11-KA4000-00</v>
          </cell>
          <cell r="F5643">
            <v>881009147107</v>
          </cell>
        </row>
        <row r="5644">
          <cell r="E5644" t="str">
            <v>PUR-09-0343-00</v>
          </cell>
          <cell r="F5644">
            <v>458476512525</v>
          </cell>
        </row>
        <row r="5645">
          <cell r="E5645" t="str">
            <v>PUR-09-0343-00</v>
          </cell>
          <cell r="F5645">
            <v>458476512525</v>
          </cell>
        </row>
        <row r="5646">
          <cell r="E5646" t="str">
            <v>PUR-07-0167-00</v>
          </cell>
          <cell r="F5646">
            <v>881038007699</v>
          </cell>
        </row>
        <row r="5647">
          <cell r="E5647" t="str">
            <v>LUC-EZZ-470242-00</v>
          </cell>
          <cell r="F5647">
            <v>457575592213</v>
          </cell>
        </row>
        <row r="5648">
          <cell r="E5648" t="str">
            <v>PUR-18-0548-00</v>
          </cell>
          <cell r="F5648">
            <v>881006688638</v>
          </cell>
        </row>
        <row r="5649">
          <cell r="E5649" t="str">
            <v>PUR-18-0562-00</v>
          </cell>
          <cell r="F5649">
            <v>881006688638</v>
          </cell>
        </row>
        <row r="5650">
          <cell r="E5650" t="str">
            <v>HLOB-18-0640-00</v>
          </cell>
          <cell r="F5650">
            <v>881006688638</v>
          </cell>
        </row>
        <row r="5651">
          <cell r="E5651" t="str">
            <v>PUR-03-0082-02</v>
          </cell>
          <cell r="F5651">
            <v>457775984943</v>
          </cell>
        </row>
        <row r="5652">
          <cell r="E5652" t="str">
            <v>LUC-BNA-201-329</v>
          </cell>
          <cell r="F5652">
            <v>881038271409</v>
          </cell>
        </row>
        <row r="5653">
          <cell r="E5653" t="str">
            <v>HLOB-13-0125-00</v>
          </cell>
          <cell r="F5653">
            <v>4914861711</v>
          </cell>
        </row>
        <row r="5654">
          <cell r="E5654" t="str">
            <v>AGI-510-40027-01</v>
          </cell>
          <cell r="F5654">
            <v>4914861711</v>
          </cell>
        </row>
        <row r="5655">
          <cell r="E5655" t="str">
            <v>PUR-13-0133-00</v>
          </cell>
          <cell r="F5655">
            <v>4914861711</v>
          </cell>
        </row>
        <row r="5656">
          <cell r="E5656" t="str">
            <v>LUC-EZZ-420257-00</v>
          </cell>
          <cell r="F5656">
            <v>4914861711</v>
          </cell>
        </row>
        <row r="5657">
          <cell r="E5657" t="str">
            <v>121-000585.X.X</v>
          </cell>
          <cell r="F5657">
            <v>4914861711</v>
          </cell>
        </row>
        <row r="5658">
          <cell r="E5658" t="str">
            <v>121-000179.X.X</v>
          </cell>
          <cell r="F5658">
            <v>4914861711</v>
          </cell>
        </row>
        <row r="5659">
          <cell r="E5659" t="str">
            <v>122-001674</v>
          </cell>
          <cell r="F5659">
            <v>4914861711</v>
          </cell>
        </row>
        <row r="5660">
          <cell r="E5660" t="str">
            <v>122-001674</v>
          </cell>
          <cell r="F5660">
            <v>4914861711</v>
          </cell>
        </row>
        <row r="5661">
          <cell r="E5661" t="str">
            <v>122-001674</v>
          </cell>
          <cell r="F5661">
            <v>4914861711</v>
          </cell>
        </row>
        <row r="5662">
          <cell r="E5662" t="str">
            <v>122-001674</v>
          </cell>
          <cell r="F5662">
            <v>4914861711</v>
          </cell>
        </row>
        <row r="5663">
          <cell r="E5663" t="str">
            <v>HLOB-13-0226-00</v>
          </cell>
          <cell r="F5663">
            <v>4914861711</v>
          </cell>
        </row>
        <row r="5664">
          <cell r="E5664" t="str">
            <v>EF-45043851.X.X</v>
          </cell>
          <cell r="F5664">
            <v>4914861711</v>
          </cell>
        </row>
        <row r="5665">
          <cell r="E5665" t="str">
            <v>122-000259.X.X</v>
          </cell>
          <cell r="F5665">
            <v>4914861711</v>
          </cell>
        </row>
        <row r="5666">
          <cell r="E5666" t="str">
            <v>AGI-510-40085-01</v>
          </cell>
          <cell r="F5666">
            <v>4914861711</v>
          </cell>
        </row>
        <row r="5667">
          <cell r="E5667" t="str">
            <v>HLOB-13-0006-00</v>
          </cell>
          <cell r="F5667">
            <v>4914861711</v>
          </cell>
        </row>
        <row r="5668">
          <cell r="E5668" t="str">
            <v>PUR-13-0156-00</v>
          </cell>
          <cell r="F5668">
            <v>4914861711</v>
          </cell>
        </row>
        <row r="5669">
          <cell r="E5669" t="str">
            <v>LUC-E00-400035-04</v>
          </cell>
          <cell r="F5669">
            <v>4914861711</v>
          </cell>
        </row>
        <row r="5670">
          <cell r="E5670" t="str">
            <v>121-000585.X.X</v>
          </cell>
          <cell r="F5670">
            <v>4914861711</v>
          </cell>
        </row>
        <row r="5671">
          <cell r="E5671" t="str">
            <v>HLOB-12-0212-00</v>
          </cell>
          <cell r="F5671">
            <v>4914861711</v>
          </cell>
        </row>
        <row r="5672">
          <cell r="E5672" t="str">
            <v>AGI-500-40065-01</v>
          </cell>
          <cell r="F5672">
            <v>4914861711</v>
          </cell>
        </row>
        <row r="5673">
          <cell r="E5673" t="str">
            <v>AGI-500-40217-01</v>
          </cell>
          <cell r="F5673">
            <v>4914861711</v>
          </cell>
        </row>
        <row r="5674">
          <cell r="E5674" t="str">
            <v>EF-45061965.X.X</v>
          </cell>
          <cell r="F5674">
            <v>4914861711</v>
          </cell>
        </row>
        <row r="5675">
          <cell r="E5675" t="str">
            <v>EF-45036468.X.X</v>
          </cell>
          <cell r="F5675">
            <v>4914861711</v>
          </cell>
        </row>
        <row r="5676">
          <cell r="E5676" t="str">
            <v>HLOB-12-0475-00</v>
          </cell>
          <cell r="F5676">
            <v>4914861711</v>
          </cell>
        </row>
        <row r="5677">
          <cell r="E5677" t="str">
            <v>EF-45043496.X.X</v>
          </cell>
          <cell r="F5677">
            <v>4914861711</v>
          </cell>
        </row>
        <row r="5678">
          <cell r="E5678" t="str">
            <v>HLOB-12-0304-00</v>
          </cell>
          <cell r="F5678">
            <v>4914861711</v>
          </cell>
        </row>
        <row r="5679">
          <cell r="E5679" t="str">
            <v>AGI-500-40136-01</v>
          </cell>
          <cell r="F5679">
            <v>4914861711</v>
          </cell>
        </row>
        <row r="5680">
          <cell r="E5680" t="str">
            <v>AGI-500-40074-01</v>
          </cell>
          <cell r="F5680">
            <v>4914861711</v>
          </cell>
        </row>
        <row r="5681">
          <cell r="E5681" t="str">
            <v>121-000357.X.X</v>
          </cell>
          <cell r="F5681">
            <v>4914861711</v>
          </cell>
        </row>
        <row r="5682">
          <cell r="E5682" t="str">
            <v>AGI-500-40015-01</v>
          </cell>
          <cell r="F5682">
            <v>4914861711</v>
          </cell>
        </row>
        <row r="5683">
          <cell r="E5683" t="str">
            <v>AGI-500-40107-01</v>
          </cell>
          <cell r="F5683">
            <v>4914861711</v>
          </cell>
        </row>
        <row r="5684">
          <cell r="E5684" t="str">
            <v>HLOB-12-0468-00</v>
          </cell>
          <cell r="F5684">
            <v>4914861711</v>
          </cell>
        </row>
        <row r="5685">
          <cell r="E5685" t="str">
            <v>HLOB-12-0472-00</v>
          </cell>
          <cell r="F5685">
            <v>4914861711</v>
          </cell>
        </row>
        <row r="5686">
          <cell r="E5686" t="str">
            <v>HLOB-12-0423-00</v>
          </cell>
          <cell r="F5686">
            <v>4914861711</v>
          </cell>
        </row>
        <row r="5687">
          <cell r="E5687" t="str">
            <v>121-000520.X.X</v>
          </cell>
          <cell r="F5687">
            <v>4914861711</v>
          </cell>
        </row>
        <row r="5688">
          <cell r="E5688" t="str">
            <v>AGI-500-40065-01</v>
          </cell>
          <cell r="F5688">
            <v>4914861711</v>
          </cell>
        </row>
        <row r="5689">
          <cell r="E5689" t="str">
            <v>AGI-500-40136-01</v>
          </cell>
          <cell r="F5689">
            <v>4914861711</v>
          </cell>
        </row>
        <row r="5690">
          <cell r="E5690" t="str">
            <v>HLOB-12-0297-00</v>
          </cell>
          <cell r="F5690">
            <v>4914861711</v>
          </cell>
        </row>
        <row r="5691">
          <cell r="E5691" t="str">
            <v>LUC-E00-420037-01</v>
          </cell>
          <cell r="F5691">
            <v>4914861711</v>
          </cell>
        </row>
        <row r="5692">
          <cell r="E5692" t="str">
            <v>LUC-EZZ-420822-00</v>
          </cell>
          <cell r="F5692">
            <v>4914861711</v>
          </cell>
        </row>
        <row r="5693">
          <cell r="E5693" t="str">
            <v>LUC-EZZ-420257-00</v>
          </cell>
          <cell r="F5693">
            <v>4914861711</v>
          </cell>
        </row>
        <row r="5694">
          <cell r="E5694" t="str">
            <v>LUC-EZZ-421132-00</v>
          </cell>
          <cell r="F5694">
            <v>4914861711</v>
          </cell>
        </row>
        <row r="5695">
          <cell r="E5695" t="str">
            <v>HLOB-13-0001-00</v>
          </cell>
          <cell r="F5695">
            <v>4914861711</v>
          </cell>
        </row>
        <row r="5696">
          <cell r="E5696" t="str">
            <v>HLOB-13-0215-00</v>
          </cell>
          <cell r="F5696">
            <v>4914861711</v>
          </cell>
        </row>
        <row r="5697">
          <cell r="E5697" t="str">
            <v>HLOB-14-0086-00</v>
          </cell>
          <cell r="F5697">
            <v>4914861711</v>
          </cell>
        </row>
        <row r="5698">
          <cell r="E5698" t="str">
            <v>HLOB-14-0086-00</v>
          </cell>
          <cell r="F5698">
            <v>4914861711</v>
          </cell>
        </row>
        <row r="5699">
          <cell r="E5699" t="str">
            <v>LUC-EZZ-490231-04</v>
          </cell>
          <cell r="F5699">
            <v>7026462332</v>
          </cell>
        </row>
        <row r="5700">
          <cell r="E5700" t="str">
            <v>LUC-EZZ-420536-00</v>
          </cell>
          <cell r="F5700">
            <v>2959605095</v>
          </cell>
        </row>
        <row r="5701">
          <cell r="E5701" t="str">
            <v>LUC-E00-400018-000</v>
          </cell>
          <cell r="F5701">
            <v>2959605095</v>
          </cell>
        </row>
        <row r="5702">
          <cell r="E5702" t="str">
            <v>LUC-EZZ-421298-00</v>
          </cell>
          <cell r="F5702">
            <v>2959605095</v>
          </cell>
        </row>
        <row r="5703">
          <cell r="E5703" t="str">
            <v>LUC-EZZ-400629-00</v>
          </cell>
          <cell r="F5703">
            <v>2959605095</v>
          </cell>
        </row>
        <row r="5704">
          <cell r="E5704" t="str">
            <v>LUC-E00-400192-00</v>
          </cell>
          <cell r="F5704">
            <v>2959605095</v>
          </cell>
        </row>
        <row r="5705">
          <cell r="E5705" t="str">
            <v>LUC-EZZ-400192-00</v>
          </cell>
          <cell r="F5705">
            <v>2959605095</v>
          </cell>
        </row>
        <row r="5706">
          <cell r="E5706" t="str">
            <v>LUC-E00-400047-00</v>
          </cell>
          <cell r="F5706">
            <v>2959605095</v>
          </cell>
        </row>
        <row r="5707">
          <cell r="E5707" t="str">
            <v>LUC-EZZ-421298-00</v>
          </cell>
          <cell r="F5707">
            <v>2959605095</v>
          </cell>
        </row>
        <row r="5708">
          <cell r="E5708" t="str">
            <v>LUC-EZZ-400200-00</v>
          </cell>
          <cell r="F5708">
            <v>2959605095</v>
          </cell>
        </row>
        <row r="5709">
          <cell r="E5709" t="str">
            <v>LUC-EZZ-421706-00</v>
          </cell>
          <cell r="F5709">
            <v>2959605095</v>
          </cell>
        </row>
        <row r="5710">
          <cell r="E5710" t="str">
            <v>PUR-14-0087-00</v>
          </cell>
          <cell r="F5710">
            <v>2959605095</v>
          </cell>
        </row>
        <row r="5711">
          <cell r="E5711" t="str">
            <v>LUC-E00-400010-020</v>
          </cell>
          <cell r="F5711">
            <v>2959605095</v>
          </cell>
        </row>
        <row r="5712">
          <cell r="E5712" t="str">
            <v>102-001599</v>
          </cell>
          <cell r="F5712" t="str">
            <v>HDLCA094389</v>
          </cell>
        </row>
        <row r="5713">
          <cell r="E5713" t="str">
            <v>LUC-E00-400035-06</v>
          </cell>
          <cell r="F5713">
            <v>457753076924</v>
          </cell>
        </row>
        <row r="5714">
          <cell r="E5714" t="str">
            <v>LUC-E00-400067-036</v>
          </cell>
          <cell r="F5714">
            <v>457753076924</v>
          </cell>
        </row>
        <row r="5715">
          <cell r="E5715" t="str">
            <v>LUC-EZZ-400554-00</v>
          </cell>
          <cell r="F5715">
            <v>457753076924</v>
          </cell>
        </row>
        <row r="5716">
          <cell r="E5716" t="str">
            <v>LUC-EZZ-690758-00</v>
          </cell>
          <cell r="F5716">
            <v>457753076924</v>
          </cell>
        </row>
        <row r="5717">
          <cell r="E5717" t="str">
            <v>LUC-E00-540019-00</v>
          </cell>
          <cell r="F5717">
            <v>288309151275</v>
          </cell>
        </row>
        <row r="5718">
          <cell r="E5718" t="str">
            <v>EF-45236260</v>
          </cell>
          <cell r="F5718">
            <v>458315989408</v>
          </cell>
        </row>
        <row r="5719">
          <cell r="E5719" t="str">
            <v>HLOB-27-0028-00</v>
          </cell>
          <cell r="F5719">
            <v>433912077024</v>
          </cell>
        </row>
        <row r="5720">
          <cell r="E5720" t="str">
            <v>HLOB-13-0235-00</v>
          </cell>
          <cell r="F5720">
            <v>458307644163</v>
          </cell>
        </row>
        <row r="5721">
          <cell r="E5721" t="str">
            <v>PUR-13-0235-00</v>
          </cell>
          <cell r="F5721">
            <v>458307644163</v>
          </cell>
        </row>
        <row r="5722">
          <cell r="E5722" t="str">
            <v>LUC-E00-400011-000</v>
          </cell>
          <cell r="F5722">
            <v>458307644163</v>
          </cell>
        </row>
        <row r="5723">
          <cell r="E5723" t="str">
            <v>LUC-E00-420037-04</v>
          </cell>
          <cell r="F5723">
            <v>458307644163</v>
          </cell>
        </row>
        <row r="5724">
          <cell r="E5724" t="str">
            <v>LUC-E00-400012-02</v>
          </cell>
          <cell r="F5724">
            <v>458307644163</v>
          </cell>
        </row>
        <row r="5725">
          <cell r="E5725" t="str">
            <v>PUR-09-0262-00</v>
          </cell>
          <cell r="F5725">
            <v>458307644163</v>
          </cell>
        </row>
        <row r="5726">
          <cell r="E5726" t="str">
            <v>PUR-13-0235-00</v>
          </cell>
          <cell r="F5726">
            <v>458307644163</v>
          </cell>
        </row>
        <row r="5727">
          <cell r="E5727" t="str">
            <v>PUR-13-0235-00</v>
          </cell>
          <cell r="F5727">
            <v>458307644163</v>
          </cell>
        </row>
        <row r="5728">
          <cell r="E5728" t="str">
            <v>PUR-13-0235-00</v>
          </cell>
          <cell r="F5728">
            <v>458307644163</v>
          </cell>
        </row>
        <row r="5729">
          <cell r="E5729" t="str">
            <v>PUR-13-0235-00</v>
          </cell>
          <cell r="F5729">
            <v>458307644163</v>
          </cell>
        </row>
        <row r="5730">
          <cell r="E5730" t="str">
            <v>EF-45193108</v>
          </cell>
          <cell r="F5730">
            <v>881101267088</v>
          </cell>
        </row>
        <row r="5731">
          <cell r="E5731" t="str">
            <v>LUC-E00-470024-00</v>
          </cell>
          <cell r="F5731">
            <v>4110324056</v>
          </cell>
        </row>
        <row r="5732">
          <cell r="E5732" t="str">
            <v>LUC-E00-400026-00</v>
          </cell>
          <cell r="F5732">
            <v>2959605445</v>
          </cell>
        </row>
        <row r="5733">
          <cell r="E5733" t="str">
            <v>174-000055.X.X</v>
          </cell>
          <cell r="F5733">
            <v>2959605445</v>
          </cell>
        </row>
        <row r="5734">
          <cell r="E5734" t="str">
            <v>141-001581</v>
          </cell>
          <cell r="F5734">
            <v>426080011543</v>
          </cell>
        </row>
        <row r="5735">
          <cell r="E5735">
            <v>45253067</v>
          </cell>
          <cell r="F5735">
            <v>426080011543</v>
          </cell>
        </row>
        <row r="5736">
          <cell r="E5736">
            <v>45252299</v>
          </cell>
          <cell r="F5736">
            <v>426080011543</v>
          </cell>
        </row>
        <row r="5737">
          <cell r="E5737">
            <v>45126100</v>
          </cell>
          <cell r="F5737">
            <v>426080011543</v>
          </cell>
        </row>
        <row r="5738">
          <cell r="E5738" t="str">
            <v>PUR-09-0294-00</v>
          </cell>
          <cell r="F5738">
            <v>426080011543</v>
          </cell>
        </row>
        <row r="5739">
          <cell r="E5739" t="str">
            <v>PUR-14-0087-00</v>
          </cell>
          <cell r="F5739">
            <v>426080011543</v>
          </cell>
        </row>
        <row r="5740">
          <cell r="E5740" t="str">
            <v>PUR-05-0031-00</v>
          </cell>
          <cell r="F5740">
            <v>426080011543</v>
          </cell>
        </row>
        <row r="5741">
          <cell r="E5741" t="str">
            <v>PUR-16-0049-01</v>
          </cell>
          <cell r="F5741">
            <v>426080011543</v>
          </cell>
        </row>
        <row r="5742">
          <cell r="E5742" t="str">
            <v>PUR-16-0046-01</v>
          </cell>
          <cell r="F5742">
            <v>426080011543</v>
          </cell>
        </row>
        <row r="5743">
          <cell r="E5743" t="str">
            <v>PUR-16-0051-00</v>
          </cell>
          <cell r="F5743">
            <v>426080011543</v>
          </cell>
        </row>
        <row r="5744">
          <cell r="E5744" t="str">
            <v>122-000832.X.X</v>
          </cell>
          <cell r="F5744">
            <v>426080011543</v>
          </cell>
        </row>
        <row r="5745">
          <cell r="E5745" t="str">
            <v>PUR-05-0031-00</v>
          </cell>
          <cell r="F5745">
            <v>426080011543</v>
          </cell>
        </row>
        <row r="5746">
          <cell r="E5746" t="str">
            <v>PUR-09-0213-00</v>
          </cell>
          <cell r="F5746">
            <v>426080011543</v>
          </cell>
        </row>
        <row r="5747">
          <cell r="E5747" t="str">
            <v>PUR-09-0294-00</v>
          </cell>
          <cell r="F5747">
            <v>426080011543</v>
          </cell>
        </row>
        <row r="5748">
          <cell r="E5748" t="str">
            <v>PUR-09-0422-00</v>
          </cell>
          <cell r="F5748">
            <v>426080011543</v>
          </cell>
        </row>
        <row r="5749">
          <cell r="E5749" t="str">
            <v>PUR-17-0314-02</v>
          </cell>
          <cell r="F5749">
            <v>426080011543</v>
          </cell>
        </row>
        <row r="5750">
          <cell r="E5750" t="str">
            <v>LUC-EZZ-490535-00</v>
          </cell>
          <cell r="F5750">
            <v>7026848404</v>
          </cell>
        </row>
        <row r="5751">
          <cell r="E5751" t="str">
            <v>PUR-09-0444-00</v>
          </cell>
          <cell r="F5751">
            <v>5376537401</v>
          </cell>
        </row>
        <row r="5752">
          <cell r="E5752" t="str">
            <v>PUR-12-0509-00</v>
          </cell>
          <cell r="F5752">
            <v>5376537401</v>
          </cell>
        </row>
        <row r="5753">
          <cell r="E5753" t="str">
            <v>EF-45139805</v>
          </cell>
          <cell r="F5753">
            <v>5376537401</v>
          </cell>
        </row>
        <row r="5754">
          <cell r="E5754" t="str">
            <v>PUR-14-0083-00</v>
          </cell>
          <cell r="F5754">
            <v>5376537401</v>
          </cell>
        </row>
        <row r="5755">
          <cell r="E5755" t="str">
            <v>PUR-14-0077-00</v>
          </cell>
          <cell r="F5755">
            <v>5376537401</v>
          </cell>
        </row>
        <row r="5756">
          <cell r="E5756" t="str">
            <v>PUR-12-0288-00</v>
          </cell>
          <cell r="F5756">
            <v>5376537401</v>
          </cell>
        </row>
        <row r="5757">
          <cell r="E5757" t="str">
            <v>PUR-14-0077-00</v>
          </cell>
          <cell r="F5757">
            <v>5376537401</v>
          </cell>
        </row>
        <row r="5758">
          <cell r="E5758" t="str">
            <v>LUC-E00-470074-01</v>
          </cell>
          <cell r="F5758">
            <v>5376537401</v>
          </cell>
        </row>
        <row r="5759">
          <cell r="E5759" t="str">
            <v>LUC-E00-400024-04</v>
          </cell>
          <cell r="F5759">
            <v>5376537401</v>
          </cell>
        </row>
        <row r="5760">
          <cell r="E5760" t="str">
            <v>PURET-24-0002-00</v>
          </cell>
          <cell r="F5760">
            <v>5376537401</v>
          </cell>
        </row>
        <row r="5761">
          <cell r="E5761" t="str">
            <v>HLOB-14-0077-00</v>
          </cell>
          <cell r="F5761">
            <v>5376537401</v>
          </cell>
        </row>
        <row r="5762">
          <cell r="E5762" t="str">
            <v>HLOB-14-0076-00</v>
          </cell>
          <cell r="F5762">
            <v>5376537401</v>
          </cell>
        </row>
        <row r="5763">
          <cell r="E5763" t="str">
            <v>HLOB-14-0083-00</v>
          </cell>
          <cell r="F5763">
            <v>5376537401</v>
          </cell>
        </row>
        <row r="5764">
          <cell r="E5764" t="str">
            <v>LUC-E00-460007-01</v>
          </cell>
          <cell r="F5764">
            <v>5376537401</v>
          </cell>
        </row>
        <row r="5765">
          <cell r="E5765" t="str">
            <v>HLOB-09-0444-00</v>
          </cell>
          <cell r="F5765">
            <v>5376537401</v>
          </cell>
        </row>
        <row r="5766">
          <cell r="E5766" t="str">
            <v>EF-45072100.X.X</v>
          </cell>
          <cell r="F5766">
            <v>5376537401</v>
          </cell>
        </row>
        <row r="5767">
          <cell r="E5767" t="str">
            <v>EF-45072100.X.X</v>
          </cell>
          <cell r="F5767">
            <v>5376537401</v>
          </cell>
        </row>
        <row r="5768">
          <cell r="E5768" t="str">
            <v>EF-45072100.X.X</v>
          </cell>
          <cell r="F5768">
            <v>5376537401</v>
          </cell>
        </row>
        <row r="5769">
          <cell r="E5769" t="str">
            <v>HLOB-14-0077-00</v>
          </cell>
          <cell r="F5769">
            <v>5376537401</v>
          </cell>
        </row>
        <row r="5770">
          <cell r="E5770" t="str">
            <v>LUC-EZZ-400238-00</v>
          </cell>
          <cell r="F5770">
            <v>5376537401</v>
          </cell>
        </row>
        <row r="5771">
          <cell r="E5771" t="str">
            <v>PURET-12-0084-00</v>
          </cell>
          <cell r="F5771">
            <v>5376537401</v>
          </cell>
        </row>
        <row r="5772">
          <cell r="E5772" t="str">
            <v>PUR-24-0024-00</v>
          </cell>
          <cell r="F5772">
            <v>5376537401</v>
          </cell>
        </row>
        <row r="5773">
          <cell r="E5773" t="str">
            <v>LUC-E00-470125-00</v>
          </cell>
          <cell r="F5773">
            <v>5376537401</v>
          </cell>
        </row>
        <row r="5774">
          <cell r="E5774" t="str">
            <v>LUC-E00-400024-04</v>
          </cell>
          <cell r="F5774">
            <v>5376537401</v>
          </cell>
        </row>
        <row r="5775">
          <cell r="E5775" t="str">
            <v>LUC-E00-470074-01</v>
          </cell>
          <cell r="F5775">
            <v>5376537401</v>
          </cell>
        </row>
        <row r="5776">
          <cell r="E5776" t="str">
            <v>LUC-EZZ-690758-00</v>
          </cell>
          <cell r="F5776">
            <v>5376537401</v>
          </cell>
        </row>
        <row r="5777">
          <cell r="E5777" t="str">
            <v>LUC-E00-460006-00</v>
          </cell>
          <cell r="F5777">
            <v>5376537401</v>
          </cell>
        </row>
        <row r="5778">
          <cell r="E5778" t="str">
            <v>LUC-E00-460006-00</v>
          </cell>
          <cell r="F5778">
            <v>5376537401</v>
          </cell>
        </row>
        <row r="5779">
          <cell r="E5779" t="str">
            <v>LUC-E00-460006-00</v>
          </cell>
          <cell r="F5779">
            <v>5376537401</v>
          </cell>
        </row>
        <row r="5780">
          <cell r="E5780" t="str">
            <v>HLOB-12-0288-00</v>
          </cell>
          <cell r="F5780">
            <v>5376537401</v>
          </cell>
        </row>
        <row r="5781">
          <cell r="E5781" t="str">
            <v>LUC-EZZ-400192-00</v>
          </cell>
          <cell r="F5781">
            <v>5376537401</v>
          </cell>
        </row>
        <row r="5782">
          <cell r="E5782" t="str">
            <v>LUC-EZZ-400831-00</v>
          </cell>
          <cell r="F5782">
            <v>5376537401</v>
          </cell>
        </row>
        <row r="5783">
          <cell r="E5783" t="str">
            <v>LUC-E00-400004-01</v>
          </cell>
          <cell r="F5783">
            <v>5376537401</v>
          </cell>
        </row>
        <row r="5784">
          <cell r="E5784" t="str">
            <v>LUC-EZZ-400192-00</v>
          </cell>
          <cell r="F5784">
            <v>5376537401</v>
          </cell>
        </row>
        <row r="5785">
          <cell r="E5785" t="str">
            <v>NOK-10-0731-01</v>
          </cell>
          <cell r="F5785">
            <v>5376537401</v>
          </cell>
        </row>
        <row r="5786">
          <cell r="E5786" t="str">
            <v>LUC-E00-400024-04</v>
          </cell>
          <cell r="F5786">
            <v>5376537401</v>
          </cell>
        </row>
        <row r="5787">
          <cell r="E5787" t="str">
            <v>LUC-E00-510027-00</v>
          </cell>
          <cell r="F5787">
            <v>5376537401</v>
          </cell>
        </row>
        <row r="5788">
          <cell r="E5788" t="str">
            <v>LUC-E00-400028-002</v>
          </cell>
          <cell r="F5788">
            <v>5376537401</v>
          </cell>
        </row>
        <row r="5789">
          <cell r="E5789" t="str">
            <v>PUR-12-0408-00</v>
          </cell>
          <cell r="F5789">
            <v>5376537401</v>
          </cell>
        </row>
        <row r="5790">
          <cell r="E5790" t="str">
            <v>HLOB-12-0408-00</v>
          </cell>
          <cell r="F5790">
            <v>5376537401</v>
          </cell>
        </row>
        <row r="5791">
          <cell r="E5791" t="str">
            <v>PURET-12-0257-00</v>
          </cell>
          <cell r="F5791">
            <v>881128386108</v>
          </cell>
        </row>
        <row r="5792">
          <cell r="E5792" t="str">
            <v>HLOB-12-0412-00</v>
          </cell>
          <cell r="F5792">
            <v>881128386108</v>
          </cell>
        </row>
        <row r="5793">
          <cell r="E5793" t="str">
            <v>PURET-12-0028-00</v>
          </cell>
          <cell r="F5793">
            <v>881128386108</v>
          </cell>
        </row>
        <row r="5794">
          <cell r="E5794" t="str">
            <v>PURET-12-0088-00</v>
          </cell>
          <cell r="F5794">
            <v>881128386108</v>
          </cell>
        </row>
        <row r="5795">
          <cell r="E5795" t="str">
            <v>PURET-12-0056-00</v>
          </cell>
          <cell r="F5795">
            <v>881128386108</v>
          </cell>
        </row>
        <row r="5796">
          <cell r="E5796" t="str">
            <v>PUR-12-0483-00</v>
          </cell>
          <cell r="F5796">
            <v>881128386108</v>
          </cell>
        </row>
        <row r="5797">
          <cell r="E5797" t="str">
            <v>EF-45045057.X.X</v>
          </cell>
          <cell r="F5797">
            <v>881128386108</v>
          </cell>
        </row>
        <row r="5798">
          <cell r="E5798" t="str">
            <v>EF-45036478</v>
          </cell>
          <cell r="F5798">
            <v>881128386108</v>
          </cell>
        </row>
        <row r="5799">
          <cell r="E5799" t="str">
            <v>PURET-12-0017-00</v>
          </cell>
          <cell r="F5799">
            <v>881128386108</v>
          </cell>
        </row>
        <row r="5800">
          <cell r="E5800" t="str">
            <v>PUR-24-0028-00</v>
          </cell>
          <cell r="F5800">
            <v>119209597309</v>
          </cell>
        </row>
        <row r="5801">
          <cell r="E5801" t="str">
            <v>LUC-E00-470432-00</v>
          </cell>
          <cell r="F5801">
            <v>119209597309</v>
          </cell>
        </row>
        <row r="5802">
          <cell r="E5802" t="str">
            <v>LUC-E00-470432-00</v>
          </cell>
          <cell r="F5802">
            <v>119209597309</v>
          </cell>
        </row>
        <row r="5803">
          <cell r="E5803" t="str">
            <v>IOD-F-1109</v>
          </cell>
          <cell r="F5803">
            <v>972682019167</v>
          </cell>
        </row>
        <row r="5804">
          <cell r="E5804" t="str">
            <v>LUC-E00-400067-320</v>
          </cell>
          <cell r="F5804">
            <v>972682019167</v>
          </cell>
        </row>
        <row r="5805">
          <cell r="E5805" t="str">
            <v>LUC-E00-510018-00</v>
          </cell>
          <cell r="F5805">
            <v>972682019167</v>
          </cell>
        </row>
        <row r="5806">
          <cell r="E5806" t="str">
            <v>LUC-E00-510017-00</v>
          </cell>
          <cell r="F5806">
            <v>972682019167</v>
          </cell>
        </row>
        <row r="5807">
          <cell r="E5807" t="str">
            <v>LUC-E00-420055-08</v>
          </cell>
          <cell r="F5807">
            <v>972682019167</v>
          </cell>
        </row>
        <row r="5808">
          <cell r="E5808" t="str">
            <v>LUC-EZZ-400243-00</v>
          </cell>
          <cell r="F5808">
            <v>972682019167</v>
          </cell>
        </row>
        <row r="5809">
          <cell r="E5809" t="str">
            <v>LUC-E00-420056-02</v>
          </cell>
          <cell r="F5809">
            <v>972682019167</v>
          </cell>
        </row>
        <row r="5810">
          <cell r="E5810" t="str">
            <v>LUC-E00-400010-037</v>
          </cell>
          <cell r="F5810">
            <v>972682019167</v>
          </cell>
        </row>
        <row r="5811">
          <cell r="E5811" t="str">
            <v>LUC-E00-510014-00</v>
          </cell>
          <cell r="F5811">
            <v>972682019167</v>
          </cell>
        </row>
        <row r="5812">
          <cell r="E5812" t="str">
            <v>LUC-E00-400010-000</v>
          </cell>
          <cell r="F5812">
            <v>972682019167</v>
          </cell>
        </row>
        <row r="5813">
          <cell r="E5813" t="str">
            <v>NOK-38-0242-01</v>
          </cell>
          <cell r="F5813">
            <v>972682019167</v>
          </cell>
        </row>
        <row r="5814">
          <cell r="E5814" t="str">
            <v>LUC-E00-420072-01</v>
          </cell>
          <cell r="F5814">
            <v>4812809045</v>
          </cell>
        </row>
        <row r="5815">
          <cell r="E5815" t="str">
            <v>LUC-E00-420072-01</v>
          </cell>
          <cell r="F5815">
            <v>4812809045</v>
          </cell>
        </row>
        <row r="5816">
          <cell r="E5816" t="str">
            <v>LUC-E00-420072-01</v>
          </cell>
          <cell r="F5816">
            <v>4812809045</v>
          </cell>
        </row>
        <row r="5817">
          <cell r="E5817" t="str">
            <v>EF-45117206.X.X</v>
          </cell>
          <cell r="F5817">
            <v>4812809045</v>
          </cell>
        </row>
        <row r="5818">
          <cell r="E5818" t="str">
            <v>LUC-EZZ-420118-00</v>
          </cell>
          <cell r="F5818">
            <v>4812809045</v>
          </cell>
        </row>
        <row r="5819">
          <cell r="E5819" t="str">
            <v>LUC-EZZ-420118-00</v>
          </cell>
          <cell r="F5819">
            <v>4812809045</v>
          </cell>
        </row>
        <row r="5820">
          <cell r="E5820" t="str">
            <v>LUC-EZZ-420118-00</v>
          </cell>
          <cell r="F5820">
            <v>4812809045</v>
          </cell>
        </row>
        <row r="5821">
          <cell r="E5821" t="str">
            <v>LUC-E00-420002-00</v>
          </cell>
          <cell r="F5821">
            <v>4812809045</v>
          </cell>
        </row>
        <row r="5822">
          <cell r="E5822" t="str">
            <v>LUC-E00-420002-00</v>
          </cell>
          <cell r="F5822">
            <v>4812809045</v>
          </cell>
        </row>
        <row r="5823">
          <cell r="E5823" t="str">
            <v>LUC-EZZ-420133-00</v>
          </cell>
          <cell r="F5823">
            <v>4812809045</v>
          </cell>
        </row>
        <row r="5824">
          <cell r="E5824" t="str">
            <v>LUC-EZZ-420261-00</v>
          </cell>
          <cell r="F5824">
            <v>4812809045</v>
          </cell>
        </row>
        <row r="5825">
          <cell r="E5825" t="str">
            <v>LUC-EZZ-420261-00</v>
          </cell>
          <cell r="F5825">
            <v>4812809045</v>
          </cell>
        </row>
        <row r="5826">
          <cell r="E5826" t="str">
            <v>LUC-EZZ-420527-00</v>
          </cell>
          <cell r="F5826">
            <v>4812809045</v>
          </cell>
        </row>
        <row r="5827">
          <cell r="E5827" t="str">
            <v>PUR-13-0166-00</v>
          </cell>
          <cell r="F5827">
            <v>4812809045</v>
          </cell>
        </row>
        <row r="5828">
          <cell r="E5828" t="str">
            <v>PURET-13-0002-00</v>
          </cell>
          <cell r="F5828">
            <v>4812809045</v>
          </cell>
        </row>
        <row r="5829">
          <cell r="E5829" t="str">
            <v>PUR-13-0161-00</v>
          </cell>
          <cell r="F5829">
            <v>4812809045</v>
          </cell>
        </row>
        <row r="5830">
          <cell r="E5830" t="str">
            <v>PUR-13-0155-00</v>
          </cell>
          <cell r="F5830">
            <v>4812809045</v>
          </cell>
        </row>
        <row r="5831">
          <cell r="E5831" t="str">
            <v>PUR-13-0155-00</v>
          </cell>
          <cell r="F5831">
            <v>4812809045</v>
          </cell>
        </row>
        <row r="5832">
          <cell r="E5832" t="str">
            <v>PUR-13-0160-00</v>
          </cell>
          <cell r="F5832">
            <v>4812809045</v>
          </cell>
        </row>
        <row r="5833">
          <cell r="E5833" t="str">
            <v>EF-45135293</v>
          </cell>
          <cell r="F5833">
            <v>4812809045</v>
          </cell>
        </row>
        <row r="5834">
          <cell r="E5834" t="str">
            <v>PUR-13-0131-00</v>
          </cell>
          <cell r="F5834">
            <v>4812809045</v>
          </cell>
        </row>
        <row r="5835">
          <cell r="E5835" t="str">
            <v>PUR-13-0229-00</v>
          </cell>
          <cell r="F5835">
            <v>4812809045</v>
          </cell>
        </row>
        <row r="5836">
          <cell r="E5836" t="str">
            <v>122-000926.X.X</v>
          </cell>
          <cell r="F5836">
            <v>4812809045</v>
          </cell>
        </row>
        <row r="5837">
          <cell r="E5837" t="str">
            <v>PUR-13-0147-00</v>
          </cell>
          <cell r="F5837">
            <v>4812809045</v>
          </cell>
        </row>
        <row r="5838">
          <cell r="E5838" t="str">
            <v>PURET-13-0069-00</v>
          </cell>
          <cell r="F5838">
            <v>4812809045</v>
          </cell>
        </row>
        <row r="5839">
          <cell r="E5839" t="str">
            <v>PURET-13-0069-00</v>
          </cell>
          <cell r="F5839">
            <v>4812809045</v>
          </cell>
        </row>
        <row r="5840">
          <cell r="E5840" t="str">
            <v>PURET-13-0069-00</v>
          </cell>
          <cell r="F5840">
            <v>4812809045</v>
          </cell>
        </row>
        <row r="5841">
          <cell r="E5841" t="str">
            <v>PUR-13-0138-00</v>
          </cell>
          <cell r="F5841">
            <v>4812809045</v>
          </cell>
        </row>
        <row r="5842">
          <cell r="E5842" t="str">
            <v>PUR-13-0138-00</v>
          </cell>
          <cell r="F5842">
            <v>4812809045</v>
          </cell>
        </row>
        <row r="5843">
          <cell r="E5843" t="str">
            <v>PURET-13-0009-00</v>
          </cell>
          <cell r="F5843">
            <v>4812809045</v>
          </cell>
        </row>
        <row r="5844">
          <cell r="E5844" t="str">
            <v>PURET-13-0009-00</v>
          </cell>
          <cell r="F5844">
            <v>4812809045</v>
          </cell>
        </row>
        <row r="5845">
          <cell r="E5845" t="str">
            <v>PURET-13-0009-00</v>
          </cell>
          <cell r="F5845">
            <v>4812809045</v>
          </cell>
        </row>
        <row r="5846">
          <cell r="E5846" t="str">
            <v>LUC-E00-420185-00</v>
          </cell>
          <cell r="F5846">
            <v>4812809045</v>
          </cell>
        </row>
        <row r="5847">
          <cell r="E5847" t="str">
            <v>PUR-13-0160-00</v>
          </cell>
          <cell r="F5847">
            <v>4812809045</v>
          </cell>
        </row>
        <row r="5848">
          <cell r="E5848" t="str">
            <v>PUR-13-0160-00</v>
          </cell>
          <cell r="F5848">
            <v>4812809045</v>
          </cell>
        </row>
        <row r="5849">
          <cell r="E5849" t="str">
            <v>PURET-13-0022-00</v>
          </cell>
          <cell r="F5849">
            <v>4812809045</v>
          </cell>
        </row>
        <row r="5850">
          <cell r="E5850" t="str">
            <v>PURET-13-0022-00</v>
          </cell>
          <cell r="F5850">
            <v>4812809045</v>
          </cell>
        </row>
        <row r="5851">
          <cell r="E5851" t="str">
            <v>PURET-13-0022-00</v>
          </cell>
          <cell r="F5851">
            <v>4812809045</v>
          </cell>
        </row>
        <row r="5852">
          <cell r="E5852" t="str">
            <v>PURET-13-0022-00</v>
          </cell>
          <cell r="F5852">
            <v>4812809045</v>
          </cell>
        </row>
        <row r="5853">
          <cell r="E5853" t="str">
            <v>PURET-13-0022-00</v>
          </cell>
          <cell r="F5853">
            <v>4812809045</v>
          </cell>
        </row>
        <row r="5854">
          <cell r="E5854" t="str">
            <v>PUR-13-0138-00</v>
          </cell>
          <cell r="F5854">
            <v>4812809045</v>
          </cell>
        </row>
        <row r="5855">
          <cell r="E5855" t="str">
            <v>PUR-13-0134-00</v>
          </cell>
          <cell r="F5855">
            <v>4812809045</v>
          </cell>
        </row>
        <row r="5856">
          <cell r="E5856" t="str">
            <v>PURET-13-0022-00</v>
          </cell>
          <cell r="F5856">
            <v>4812809045</v>
          </cell>
        </row>
        <row r="5857">
          <cell r="E5857" t="str">
            <v>HLOB-13-0131-00</v>
          </cell>
          <cell r="F5857">
            <v>4812809045</v>
          </cell>
        </row>
        <row r="5858">
          <cell r="E5858" t="str">
            <v>HLOB-13-0069-00</v>
          </cell>
          <cell r="F5858">
            <v>4812809045</v>
          </cell>
        </row>
        <row r="5859">
          <cell r="E5859" t="str">
            <v>HLOB-13-0212-00</v>
          </cell>
          <cell r="F5859">
            <v>4812809045</v>
          </cell>
        </row>
        <row r="5860">
          <cell r="E5860" t="str">
            <v>LUC-E00-400059-098</v>
          </cell>
          <cell r="F5860">
            <v>4812809045</v>
          </cell>
        </row>
        <row r="5861">
          <cell r="E5861" t="str">
            <v>PUR-13-0196-00</v>
          </cell>
          <cell r="F5861">
            <v>4812809045</v>
          </cell>
        </row>
        <row r="5862">
          <cell r="E5862" t="str">
            <v>PUR-13-0196-00</v>
          </cell>
          <cell r="F5862">
            <v>4812809045</v>
          </cell>
        </row>
        <row r="5863">
          <cell r="E5863" t="str">
            <v>PUR-13-0196-00</v>
          </cell>
          <cell r="F5863">
            <v>4812809045</v>
          </cell>
        </row>
        <row r="5864">
          <cell r="E5864" t="str">
            <v>EF-45059919.X.X</v>
          </cell>
          <cell r="F5864">
            <v>4812809045</v>
          </cell>
        </row>
        <row r="5865">
          <cell r="E5865" t="str">
            <v>EF-45059919.X.X</v>
          </cell>
          <cell r="F5865">
            <v>4812809045</v>
          </cell>
        </row>
        <row r="5866">
          <cell r="E5866" t="str">
            <v>EF-45059919.X.X</v>
          </cell>
          <cell r="F5866">
            <v>4812809045</v>
          </cell>
        </row>
        <row r="5867">
          <cell r="E5867" t="str">
            <v>LUC-E00-690033-02</v>
          </cell>
          <cell r="F5867">
            <v>881132298785</v>
          </cell>
        </row>
        <row r="5868">
          <cell r="E5868" t="str">
            <v>LUC-E00-690033-02</v>
          </cell>
          <cell r="F5868">
            <v>881132298785</v>
          </cell>
        </row>
        <row r="5869">
          <cell r="E5869" t="str">
            <v>LUC-E00-690033-03</v>
          </cell>
          <cell r="F5869">
            <v>881132298785</v>
          </cell>
        </row>
        <row r="5870">
          <cell r="E5870" t="str">
            <v>LUC-E00-690033-03</v>
          </cell>
          <cell r="F5870">
            <v>881132298785</v>
          </cell>
        </row>
        <row r="5871">
          <cell r="E5871" t="str">
            <v>LUC-P21-K61200-02</v>
          </cell>
          <cell r="F5871">
            <v>288508859837</v>
          </cell>
        </row>
        <row r="5872">
          <cell r="E5872" t="str">
            <v>LUC-P21-K34600-02</v>
          </cell>
          <cell r="F5872">
            <v>288508859837</v>
          </cell>
        </row>
        <row r="5873">
          <cell r="E5873" t="str">
            <v>LUC-P21-K33600-02</v>
          </cell>
          <cell r="F5873">
            <v>288508859837</v>
          </cell>
        </row>
        <row r="5874">
          <cell r="E5874" t="str">
            <v>LUC-EZZ-690131-00</v>
          </cell>
          <cell r="F5874">
            <v>4110324170</v>
          </cell>
        </row>
        <row r="5875">
          <cell r="E5875" t="str">
            <v>LUC-EZZ-690131-00</v>
          </cell>
          <cell r="F5875">
            <v>4110324170</v>
          </cell>
        </row>
        <row r="5876">
          <cell r="E5876" t="str">
            <v>LUC-EZZ-690131-00</v>
          </cell>
          <cell r="F5876">
            <v>4110324170</v>
          </cell>
        </row>
        <row r="5877">
          <cell r="E5877" t="str">
            <v>LUC-EZZ-690131-00</v>
          </cell>
          <cell r="F5877">
            <v>4110324170</v>
          </cell>
        </row>
        <row r="5878">
          <cell r="E5878" t="str">
            <v>LUC-EZZ-690131-00</v>
          </cell>
          <cell r="F5878">
            <v>4110324169</v>
          </cell>
        </row>
        <row r="5879">
          <cell r="E5879" t="str">
            <v>LUC-EZZ-690131-00</v>
          </cell>
          <cell r="F5879">
            <v>4110324169</v>
          </cell>
        </row>
        <row r="5880">
          <cell r="E5880" t="str">
            <v>LUC-EZZ-690131-00</v>
          </cell>
          <cell r="F5880">
            <v>4110324169</v>
          </cell>
        </row>
        <row r="5881">
          <cell r="E5881" t="str">
            <v>LUC-EZZ-690942-00</v>
          </cell>
          <cell r="F5881">
            <v>4110324153</v>
          </cell>
        </row>
        <row r="5882">
          <cell r="E5882" t="str">
            <v>LUC-EZZ-420352-00</v>
          </cell>
          <cell r="F5882">
            <v>1727979934</v>
          </cell>
        </row>
        <row r="5883">
          <cell r="E5883" t="str">
            <v>PUR-07-0167-00</v>
          </cell>
          <cell r="F5883">
            <v>4914870591</v>
          </cell>
        </row>
        <row r="5884">
          <cell r="E5884" t="str">
            <v>PUR-07-0167-00</v>
          </cell>
          <cell r="F5884">
            <v>4914870591</v>
          </cell>
        </row>
        <row r="5885">
          <cell r="E5885" t="str">
            <v>PUR-07-0167-00</v>
          </cell>
          <cell r="F5885">
            <v>4914870591</v>
          </cell>
        </row>
        <row r="5886">
          <cell r="E5886" t="str">
            <v>PUR-07-0167-00</v>
          </cell>
          <cell r="F5886">
            <v>4914870591</v>
          </cell>
        </row>
        <row r="5887">
          <cell r="E5887" t="str">
            <v>PUR-07-0328-00</v>
          </cell>
          <cell r="F5887">
            <v>4914870591</v>
          </cell>
        </row>
        <row r="5888">
          <cell r="E5888" t="str">
            <v>PUR-07-0328-00</v>
          </cell>
          <cell r="F5888">
            <v>4914870591</v>
          </cell>
        </row>
        <row r="5889">
          <cell r="E5889" t="str">
            <v>PUR-07-0328-00</v>
          </cell>
          <cell r="F5889">
            <v>4914870591</v>
          </cell>
        </row>
        <row r="5890">
          <cell r="E5890" t="str">
            <v>PUR-07-0210-00</v>
          </cell>
          <cell r="F5890">
            <v>4914870591</v>
          </cell>
        </row>
        <row r="5891">
          <cell r="E5891" t="str">
            <v>PUR-07-0167-00</v>
          </cell>
          <cell r="F5891">
            <v>4914870591</v>
          </cell>
        </row>
        <row r="5892">
          <cell r="E5892" t="str">
            <v>PUR-07-0328-00</v>
          </cell>
          <cell r="F5892">
            <v>4914870591</v>
          </cell>
        </row>
        <row r="5893">
          <cell r="E5893" t="str">
            <v>PUR-13-0236-00</v>
          </cell>
          <cell r="F5893">
            <v>4914870595</v>
          </cell>
        </row>
        <row r="5894">
          <cell r="E5894" t="str">
            <v>PUR-13-0195-00</v>
          </cell>
          <cell r="F5894">
            <v>4914870595</v>
          </cell>
        </row>
        <row r="5895">
          <cell r="E5895" t="str">
            <v>PUR-13-0236-00</v>
          </cell>
          <cell r="F5895">
            <v>4914870595</v>
          </cell>
        </row>
        <row r="5896">
          <cell r="E5896" t="str">
            <v>LUC-EZZ-690242-00</v>
          </cell>
          <cell r="F5896">
            <v>288380702160</v>
          </cell>
        </row>
        <row r="5897">
          <cell r="E5897" t="str">
            <v>LUC-E00-690055-00</v>
          </cell>
          <cell r="F5897">
            <v>288380702160</v>
          </cell>
        </row>
        <row r="5898">
          <cell r="E5898" t="str">
            <v>LUC-EZZ-690244-00</v>
          </cell>
          <cell r="F5898">
            <v>288380702160</v>
          </cell>
        </row>
        <row r="5899">
          <cell r="E5899" t="str">
            <v>EF-45130849</v>
          </cell>
          <cell r="F5899">
            <v>288425584200</v>
          </cell>
        </row>
        <row r="5900">
          <cell r="E5900" t="str">
            <v>HLOB-12-0482-00</v>
          </cell>
          <cell r="F5900">
            <v>881130313926</v>
          </cell>
        </row>
        <row r="5901">
          <cell r="E5901" t="str">
            <v>HLOB-12-0065-00</v>
          </cell>
          <cell r="F5901">
            <v>881130313926</v>
          </cell>
        </row>
        <row r="5902">
          <cell r="E5902" t="str">
            <v>PUR-13-0246-00</v>
          </cell>
          <cell r="F5902">
            <v>881130313926</v>
          </cell>
        </row>
        <row r="5903">
          <cell r="E5903" t="str">
            <v>PUR-12-0319-00</v>
          </cell>
          <cell r="F5903">
            <v>881130313926</v>
          </cell>
        </row>
        <row r="5904">
          <cell r="E5904" t="str">
            <v>EF-45057846.X.X</v>
          </cell>
          <cell r="F5904">
            <v>419341550267</v>
          </cell>
        </row>
        <row r="5905">
          <cell r="E5905" t="str">
            <v>EF-45057846.X.X</v>
          </cell>
          <cell r="F5905">
            <v>419341550267</v>
          </cell>
        </row>
        <row r="5906">
          <cell r="E5906" t="str">
            <v>EF-45035930.X.X</v>
          </cell>
          <cell r="F5906">
            <v>419341549388</v>
          </cell>
        </row>
        <row r="5907">
          <cell r="E5907" t="str">
            <v>EF-45046883.X.X</v>
          </cell>
          <cell r="F5907">
            <v>419341549388</v>
          </cell>
        </row>
        <row r="5908">
          <cell r="E5908" t="str">
            <v>EF-45045744.X.X</v>
          </cell>
          <cell r="F5908">
            <v>419341549388</v>
          </cell>
        </row>
        <row r="5909">
          <cell r="E5909" t="str">
            <v>LUC-E00-400028-08</v>
          </cell>
          <cell r="F5909">
            <v>881135004822</v>
          </cell>
        </row>
        <row r="5910">
          <cell r="E5910" t="str">
            <v>PUR-09-0502-00</v>
          </cell>
          <cell r="F5910">
            <v>452730406250</v>
          </cell>
        </row>
        <row r="5911">
          <cell r="E5911" t="str">
            <v>PUR-09-0502-00</v>
          </cell>
          <cell r="F5911">
            <v>452730406250</v>
          </cell>
        </row>
        <row r="5912">
          <cell r="E5912" t="str">
            <v>PUR-09-0502-00</v>
          </cell>
          <cell r="F5912">
            <v>452730406250</v>
          </cell>
        </row>
        <row r="5913">
          <cell r="E5913" t="str">
            <v>PUR-09-0502-00</v>
          </cell>
          <cell r="F5913">
            <v>452730406250</v>
          </cell>
        </row>
        <row r="5914">
          <cell r="E5914" t="str">
            <v>PUR-09-0502-00</v>
          </cell>
          <cell r="F5914">
            <v>452730406250</v>
          </cell>
        </row>
        <row r="5915">
          <cell r="E5915" t="str">
            <v>PUR-09-0502-00</v>
          </cell>
          <cell r="F5915">
            <v>452730406250</v>
          </cell>
        </row>
        <row r="5916">
          <cell r="E5916" t="str">
            <v>EF-45125060</v>
          </cell>
          <cell r="F5916">
            <v>451257540151</v>
          </cell>
        </row>
        <row r="5917">
          <cell r="E5917" t="str">
            <v>LUC-EZZ-440028-00</v>
          </cell>
          <cell r="F5917">
            <v>451257540151</v>
          </cell>
        </row>
        <row r="5918">
          <cell r="E5918" t="str">
            <v>LUC-EZZ-440911-00</v>
          </cell>
          <cell r="F5918">
            <v>451257540151</v>
          </cell>
        </row>
        <row r="5919">
          <cell r="E5919" t="str">
            <v>LUC-EZZ-440030-00</v>
          </cell>
          <cell r="F5919">
            <v>451257540151</v>
          </cell>
        </row>
        <row r="5920">
          <cell r="E5920" t="str">
            <v>LUC-EZZ-440030-00</v>
          </cell>
          <cell r="F5920">
            <v>451257540151</v>
          </cell>
        </row>
        <row r="5921">
          <cell r="E5921" t="str">
            <v>LUC-EZZ-440090-00</v>
          </cell>
          <cell r="F5921">
            <v>451257540151</v>
          </cell>
        </row>
        <row r="5922">
          <cell r="E5922" t="str">
            <v>LUC-EZZ-440090-00</v>
          </cell>
          <cell r="F5922">
            <v>451257540151</v>
          </cell>
        </row>
        <row r="5923">
          <cell r="E5923" t="str">
            <v>HLOB-09-0343-00</v>
          </cell>
          <cell r="F5923">
            <v>458476528400</v>
          </cell>
        </row>
        <row r="5924">
          <cell r="E5924" t="str">
            <v>PUR-14-0087-00</v>
          </cell>
          <cell r="F5924">
            <v>458307710812</v>
          </cell>
        </row>
        <row r="5925">
          <cell r="E5925" t="str">
            <v>EF-45051532.X.X</v>
          </cell>
          <cell r="F5925">
            <v>453181517857</v>
          </cell>
        </row>
        <row r="5926">
          <cell r="E5926" t="str">
            <v>LUC-E00-450039-00</v>
          </cell>
          <cell r="F5926">
            <v>453181517857</v>
          </cell>
        </row>
        <row r="5927">
          <cell r="E5927" t="str">
            <v>EF-45055294</v>
          </cell>
          <cell r="F5927">
            <v>453181517857</v>
          </cell>
        </row>
        <row r="5928">
          <cell r="E5928" t="str">
            <v>EF-45054135.X.X</v>
          </cell>
          <cell r="F5928">
            <v>453181517857</v>
          </cell>
        </row>
        <row r="5929">
          <cell r="E5929" t="str">
            <v>EF-45045387.X.X</v>
          </cell>
          <cell r="F5929">
            <v>453181517857</v>
          </cell>
        </row>
        <row r="5930">
          <cell r="E5930" t="str">
            <v>EF-45044114.X.X</v>
          </cell>
          <cell r="F5930">
            <v>453181517857</v>
          </cell>
        </row>
        <row r="5931">
          <cell r="E5931" t="str">
            <v>LUC-E00-420072-00</v>
          </cell>
          <cell r="F5931">
            <v>453181517857</v>
          </cell>
        </row>
        <row r="5932">
          <cell r="E5932" t="str">
            <v>LUC-E00-420024-00</v>
          </cell>
          <cell r="F5932">
            <v>453181517857</v>
          </cell>
        </row>
        <row r="5933">
          <cell r="E5933" t="str">
            <v>LUC-E00-450030-00</v>
          </cell>
          <cell r="F5933">
            <v>453181517857</v>
          </cell>
        </row>
        <row r="5934">
          <cell r="E5934" t="str">
            <v>LUC-EZZ-400210-00</v>
          </cell>
          <cell r="F5934">
            <v>453181517857</v>
          </cell>
        </row>
        <row r="5935">
          <cell r="E5935" t="str">
            <v>LUC-EZZ-400209-00</v>
          </cell>
          <cell r="F5935">
            <v>453181517857</v>
          </cell>
        </row>
        <row r="5936">
          <cell r="E5936" t="str">
            <v>LUC-E00-450060-00</v>
          </cell>
          <cell r="F5936">
            <v>453181517857</v>
          </cell>
        </row>
        <row r="5937">
          <cell r="E5937" t="str">
            <v>LUC-E00-450060-00</v>
          </cell>
          <cell r="F5937">
            <v>453181517857</v>
          </cell>
        </row>
        <row r="5938">
          <cell r="E5938" t="str">
            <v>LUC-E00-450039-00</v>
          </cell>
          <cell r="F5938">
            <v>453181517857</v>
          </cell>
        </row>
        <row r="5939">
          <cell r="E5939" t="str">
            <v>EF-45036459.X.X</v>
          </cell>
          <cell r="F5939">
            <v>881103179817</v>
          </cell>
        </row>
        <row r="5940">
          <cell r="E5940" t="str">
            <v>PUR-12-0337-00</v>
          </cell>
          <cell r="F5940">
            <v>881103179817</v>
          </cell>
        </row>
        <row r="5941">
          <cell r="E5941" t="str">
            <v>PUR-12-0337-00</v>
          </cell>
          <cell r="F5941">
            <v>881103179817</v>
          </cell>
        </row>
        <row r="5942">
          <cell r="E5942" t="str">
            <v>PUR-13-0159-00</v>
          </cell>
          <cell r="F5942">
            <v>881103179817</v>
          </cell>
        </row>
        <row r="5943">
          <cell r="E5943" t="str">
            <v>EF-45043833.X.X</v>
          </cell>
          <cell r="F5943">
            <v>881103179817</v>
          </cell>
        </row>
        <row r="5944">
          <cell r="E5944" t="str">
            <v>EF-45036461.X.X</v>
          </cell>
          <cell r="F5944">
            <v>881103179817</v>
          </cell>
        </row>
        <row r="5945">
          <cell r="E5945" t="str">
            <v>EF-45036483.X.X</v>
          </cell>
          <cell r="F5945">
            <v>881103179817</v>
          </cell>
        </row>
        <row r="5946">
          <cell r="E5946" t="str">
            <v>EF-45044048.X.X</v>
          </cell>
          <cell r="F5946">
            <v>881103179817</v>
          </cell>
        </row>
        <row r="5947">
          <cell r="E5947" t="str">
            <v>EF-45129267</v>
          </cell>
          <cell r="F5947">
            <v>881103179817</v>
          </cell>
        </row>
        <row r="5948">
          <cell r="E5948" t="str">
            <v>HLOB-12-0431-00</v>
          </cell>
          <cell r="F5948">
            <v>881103179817</v>
          </cell>
        </row>
        <row r="5949">
          <cell r="E5949" t="str">
            <v>HLOB-12-0284-00</v>
          </cell>
          <cell r="F5949">
            <v>881103179817</v>
          </cell>
        </row>
        <row r="5950">
          <cell r="E5950" t="str">
            <v>PUR-12-0337-00</v>
          </cell>
          <cell r="F5950">
            <v>881103179817</v>
          </cell>
        </row>
        <row r="5951">
          <cell r="E5951" t="str">
            <v>PURET-12-0088-00</v>
          </cell>
          <cell r="F5951">
            <v>881103179817</v>
          </cell>
        </row>
        <row r="5952">
          <cell r="E5952" t="str">
            <v>PURET-13-0068-00</v>
          </cell>
          <cell r="F5952">
            <v>881103179817</v>
          </cell>
        </row>
        <row r="5953">
          <cell r="E5953" t="str">
            <v>PUR-13-0159-00</v>
          </cell>
          <cell r="F5953">
            <v>881103179817</v>
          </cell>
        </row>
        <row r="5954">
          <cell r="E5954" t="str">
            <v>HLOB-12-0337-00</v>
          </cell>
          <cell r="F5954">
            <v>881103179817</v>
          </cell>
        </row>
        <row r="5955">
          <cell r="E5955" t="str">
            <v>PUR-12-0483-00</v>
          </cell>
          <cell r="F5955">
            <v>881103179817</v>
          </cell>
        </row>
        <row r="5956">
          <cell r="E5956" t="str">
            <v>PUR-12-0307-00</v>
          </cell>
          <cell r="F5956">
            <v>881103179817</v>
          </cell>
        </row>
        <row r="5957">
          <cell r="E5957" t="str">
            <v>PUR-12-0331-00</v>
          </cell>
          <cell r="F5957">
            <v>881103179817</v>
          </cell>
        </row>
        <row r="5958">
          <cell r="E5958" t="str">
            <v>HLOB-12-0170-00</v>
          </cell>
          <cell r="F5958">
            <v>881103179817</v>
          </cell>
        </row>
        <row r="5959">
          <cell r="E5959" t="str">
            <v>HLOB-12-0284-00</v>
          </cell>
          <cell r="F5959">
            <v>881103179817</v>
          </cell>
        </row>
        <row r="5960">
          <cell r="E5960" t="str">
            <v>121-000206.X.X</v>
          </cell>
          <cell r="F5960">
            <v>881103179817</v>
          </cell>
        </row>
        <row r="5961">
          <cell r="E5961" t="str">
            <v>PUR-12-0318-00</v>
          </cell>
          <cell r="F5961">
            <v>881103179817</v>
          </cell>
        </row>
        <row r="5962">
          <cell r="E5962" t="str">
            <v>PUR-12-0322-00</v>
          </cell>
          <cell r="F5962">
            <v>881103179817</v>
          </cell>
        </row>
        <row r="5963">
          <cell r="E5963" t="str">
            <v>PURET-12-0011-00</v>
          </cell>
          <cell r="F5963">
            <v>881103179817</v>
          </cell>
        </row>
        <row r="5964">
          <cell r="E5964" t="str">
            <v>EF-45083316.X.X</v>
          </cell>
          <cell r="F5964">
            <v>881103179817</v>
          </cell>
        </row>
        <row r="5965">
          <cell r="E5965" t="str">
            <v>EF-45043819.X.X</v>
          </cell>
          <cell r="F5965">
            <v>881103179817</v>
          </cell>
        </row>
        <row r="5966">
          <cell r="E5966" t="str">
            <v>HLOB-13-0245-00</v>
          </cell>
          <cell r="F5966">
            <v>881103179817</v>
          </cell>
        </row>
        <row r="5967">
          <cell r="E5967" t="str">
            <v>HLOB-12-0483-00</v>
          </cell>
          <cell r="F5967">
            <v>881103179817</v>
          </cell>
        </row>
        <row r="5968">
          <cell r="E5968" t="str">
            <v>EF-45044048.X.X</v>
          </cell>
          <cell r="F5968">
            <v>881103179817</v>
          </cell>
        </row>
        <row r="5969">
          <cell r="E5969" t="str">
            <v>EF-45104247</v>
          </cell>
          <cell r="F5969">
            <v>881103179817</v>
          </cell>
        </row>
        <row r="5970">
          <cell r="E5970" t="str">
            <v>PUR-12-0293-00</v>
          </cell>
          <cell r="F5970">
            <v>881103179817</v>
          </cell>
        </row>
        <row r="5971">
          <cell r="E5971" t="str">
            <v>PUR-12-0294-00</v>
          </cell>
          <cell r="F5971">
            <v>881103179817</v>
          </cell>
        </row>
        <row r="5972">
          <cell r="E5972" t="str">
            <v>PUR-12-0310-00</v>
          </cell>
          <cell r="F5972">
            <v>881103179817</v>
          </cell>
        </row>
        <row r="5973">
          <cell r="E5973" t="str">
            <v>PUR-12-0487-00</v>
          </cell>
          <cell r="F5973">
            <v>881103179817</v>
          </cell>
        </row>
        <row r="5974">
          <cell r="E5974" t="str">
            <v>HLOB-13-0068-00</v>
          </cell>
          <cell r="F5974">
            <v>881103179817</v>
          </cell>
        </row>
        <row r="5975">
          <cell r="E5975" t="str">
            <v>PURET-12-0114-00</v>
          </cell>
          <cell r="F5975">
            <v>881103179817</v>
          </cell>
        </row>
        <row r="5976">
          <cell r="E5976" t="str">
            <v>HLOB-13-0159-00</v>
          </cell>
          <cell r="F5976">
            <v>881103179817</v>
          </cell>
        </row>
        <row r="5977">
          <cell r="E5977" t="str">
            <v>122-000453.X.X</v>
          </cell>
          <cell r="F5977">
            <v>881103179817</v>
          </cell>
        </row>
        <row r="5978">
          <cell r="E5978" t="str">
            <v>122-000453.X.X</v>
          </cell>
          <cell r="F5978">
            <v>881103179817</v>
          </cell>
        </row>
        <row r="5979">
          <cell r="E5979" t="str">
            <v>121-000519.X.X</v>
          </cell>
          <cell r="F5979">
            <v>881103179817</v>
          </cell>
        </row>
        <row r="5980">
          <cell r="E5980" t="str">
            <v>122-000453.X.X</v>
          </cell>
          <cell r="F5980">
            <v>881103179817</v>
          </cell>
        </row>
        <row r="5981">
          <cell r="E5981" t="str">
            <v>LUC-EZZ-400196-00</v>
          </cell>
          <cell r="F5981">
            <v>881103179817</v>
          </cell>
        </row>
        <row r="5982">
          <cell r="E5982" t="str">
            <v>122-001191</v>
          </cell>
          <cell r="F5982">
            <v>881103179817</v>
          </cell>
        </row>
        <row r="5983">
          <cell r="E5983" t="str">
            <v>EF-45036461.X.X</v>
          </cell>
          <cell r="F5983">
            <v>881103179817</v>
          </cell>
        </row>
        <row r="5984">
          <cell r="E5984" t="str">
            <v>EF-45036455.X.X</v>
          </cell>
          <cell r="F5984">
            <v>881103179817</v>
          </cell>
        </row>
        <row r="5985">
          <cell r="E5985" t="str">
            <v>EF-45059477.X.X</v>
          </cell>
          <cell r="F5985">
            <v>881103179817</v>
          </cell>
        </row>
        <row r="5986">
          <cell r="E5986" t="str">
            <v>EF-45059477.X.X</v>
          </cell>
          <cell r="F5986">
            <v>881103179817</v>
          </cell>
        </row>
        <row r="5987">
          <cell r="E5987" t="str">
            <v>EF-45043826.X.X</v>
          </cell>
          <cell r="F5987">
            <v>881103179817</v>
          </cell>
        </row>
        <row r="5988">
          <cell r="E5988" t="str">
            <v>EF-45043819.X.X</v>
          </cell>
          <cell r="F5988">
            <v>881103179817</v>
          </cell>
        </row>
        <row r="5989">
          <cell r="E5989" t="str">
            <v>LUC-E00-420002-10</v>
          </cell>
          <cell r="F5989">
            <v>458958482707</v>
          </cell>
        </row>
        <row r="5990">
          <cell r="E5990" t="str">
            <v>LUC-E00-420045-02</v>
          </cell>
          <cell r="F5990">
            <v>458958482707</v>
          </cell>
        </row>
        <row r="5991">
          <cell r="E5991" t="str">
            <v>LUC-E00-420037-09</v>
          </cell>
          <cell r="F5991">
            <v>458958482707</v>
          </cell>
        </row>
        <row r="5992">
          <cell r="E5992" t="str">
            <v>LUC-E00-400025-09</v>
          </cell>
          <cell r="F5992">
            <v>458958482707</v>
          </cell>
        </row>
        <row r="5993">
          <cell r="E5993" t="str">
            <v>LUC-E00-470124-00</v>
          </cell>
          <cell r="F5993">
            <v>458958482707</v>
          </cell>
        </row>
        <row r="5994">
          <cell r="E5994" t="str">
            <v>PUR-14-0107-00</v>
          </cell>
          <cell r="F5994">
            <v>458958482707</v>
          </cell>
        </row>
        <row r="5995">
          <cell r="E5995" t="str">
            <v>EF-45047403.X.X</v>
          </cell>
          <cell r="F5995">
            <v>458958482707</v>
          </cell>
        </row>
        <row r="5996">
          <cell r="E5996" t="str">
            <v>LUC-EZZ-420046-00</v>
          </cell>
          <cell r="F5996">
            <v>458958482707</v>
          </cell>
        </row>
        <row r="5997">
          <cell r="E5997" t="str">
            <v>LUC-E00-460034-00</v>
          </cell>
          <cell r="F5997">
            <v>458958482707</v>
          </cell>
        </row>
        <row r="5998">
          <cell r="E5998" t="str">
            <v>LUC-P11-K41E00-01</v>
          </cell>
          <cell r="F5998">
            <v>458958482707</v>
          </cell>
        </row>
        <row r="5999">
          <cell r="E5999" t="str">
            <v>LUC-E00-690032-00</v>
          </cell>
          <cell r="F5999">
            <v>288446375014</v>
          </cell>
        </row>
        <row r="6000">
          <cell r="E6000" t="str">
            <v>LUC-E00-690032-00</v>
          </cell>
          <cell r="F6000">
            <v>288446375014</v>
          </cell>
        </row>
        <row r="6001">
          <cell r="E6001" t="str">
            <v>EF-45130938</v>
          </cell>
          <cell r="F6001">
            <v>288446375014</v>
          </cell>
        </row>
        <row r="6002">
          <cell r="E6002" t="str">
            <v>EF-45130938</v>
          </cell>
          <cell r="F6002">
            <v>288446375014</v>
          </cell>
        </row>
        <row r="6003">
          <cell r="E6003" t="str">
            <v>LUC-EZZ-440129-00</v>
          </cell>
          <cell r="F6003">
            <v>288446375014</v>
          </cell>
        </row>
        <row r="6004">
          <cell r="E6004" t="str">
            <v>AIC-MP-00006013-000</v>
          </cell>
          <cell r="F6004">
            <v>881067614443</v>
          </cell>
        </row>
        <row r="6005">
          <cell r="E6005" t="str">
            <v>LUC-E00-460018-00</v>
          </cell>
          <cell r="F6005">
            <v>411336054350</v>
          </cell>
        </row>
        <row r="6006">
          <cell r="E6006" t="str">
            <v>EF-45155479</v>
          </cell>
          <cell r="F6006">
            <v>881100147282</v>
          </cell>
        </row>
        <row r="6007">
          <cell r="E6007" t="str">
            <v>130-001590</v>
          </cell>
          <cell r="F6007">
            <v>881131823710</v>
          </cell>
        </row>
        <row r="6008">
          <cell r="E6008" t="str">
            <v>AIC-MP-00005632-000</v>
          </cell>
          <cell r="F6008">
            <v>881103000339</v>
          </cell>
        </row>
        <row r="6009">
          <cell r="E6009" t="str">
            <v>PUR-03-0091-02</v>
          </cell>
          <cell r="F6009">
            <v>457776059668</v>
          </cell>
        </row>
        <row r="6010">
          <cell r="E6010" t="str">
            <v>PUR-03-0091-02</v>
          </cell>
          <cell r="F6010">
            <v>457776059668</v>
          </cell>
        </row>
        <row r="6011">
          <cell r="E6011" t="str">
            <v>141-002786</v>
          </cell>
          <cell r="F6011">
            <v>881132121656</v>
          </cell>
        </row>
        <row r="6012">
          <cell r="E6012" t="str">
            <v>141-002785</v>
          </cell>
          <cell r="F6012">
            <v>881132121656</v>
          </cell>
        </row>
        <row r="6013">
          <cell r="E6013" t="str">
            <v>PUR-09-0267-00</v>
          </cell>
          <cell r="F6013">
            <v>457776071810</v>
          </cell>
        </row>
        <row r="6014">
          <cell r="E6014" t="str">
            <v>LUC-E00-470028-00</v>
          </cell>
          <cell r="F6014">
            <v>288469032584</v>
          </cell>
        </row>
        <row r="6015">
          <cell r="E6015" t="str">
            <v>LUC-E00-470127-00</v>
          </cell>
          <cell r="F6015">
            <v>288469032584</v>
          </cell>
        </row>
        <row r="6016">
          <cell r="E6016" t="str">
            <v>LUC-E00-470030-00</v>
          </cell>
          <cell r="F6016">
            <v>288469032584</v>
          </cell>
        </row>
        <row r="6017">
          <cell r="E6017" t="str">
            <v>LUC-E00-470041-00</v>
          </cell>
          <cell r="F6017">
            <v>288469032584</v>
          </cell>
        </row>
        <row r="6018">
          <cell r="E6018" t="str">
            <v>LUC-E00-470070-00</v>
          </cell>
          <cell r="F6018">
            <v>288469032584</v>
          </cell>
        </row>
        <row r="6019">
          <cell r="E6019" t="str">
            <v>LUC-E00-470071-00</v>
          </cell>
          <cell r="F6019">
            <v>288469032584</v>
          </cell>
        </row>
        <row r="6020">
          <cell r="E6020" t="str">
            <v>LUC-E00-470071-01</v>
          </cell>
          <cell r="F6020">
            <v>288469032584</v>
          </cell>
        </row>
        <row r="6021">
          <cell r="E6021" t="str">
            <v>LUC-E00-470094-00</v>
          </cell>
          <cell r="F6021">
            <v>288469032584</v>
          </cell>
        </row>
        <row r="6022">
          <cell r="E6022" t="str">
            <v>LUC-E00-470472-00</v>
          </cell>
          <cell r="F6022">
            <v>288469032584</v>
          </cell>
        </row>
        <row r="6023">
          <cell r="E6023" t="str">
            <v>LUC-EZZ-470422-00</v>
          </cell>
          <cell r="F6023">
            <v>288469032584</v>
          </cell>
        </row>
        <row r="6024">
          <cell r="E6024" t="str">
            <v>LUC-EZZ-401043-00</v>
          </cell>
          <cell r="F6024">
            <v>881101756224</v>
          </cell>
        </row>
        <row r="6025">
          <cell r="E6025" t="str">
            <v>LUC-EZZ-401043-00</v>
          </cell>
          <cell r="F6025">
            <v>881101756224</v>
          </cell>
        </row>
        <row r="6026">
          <cell r="E6026" t="str">
            <v>LUC-EZZ-401043-00</v>
          </cell>
          <cell r="F6026">
            <v>881101756224</v>
          </cell>
        </row>
        <row r="6027">
          <cell r="E6027" t="str">
            <v>LUC-E00-400012-18</v>
          </cell>
          <cell r="F6027">
            <v>881101756224</v>
          </cell>
        </row>
        <row r="6028">
          <cell r="E6028" t="str">
            <v>LUC-E00-400012-17</v>
          </cell>
          <cell r="F6028">
            <v>881101756224</v>
          </cell>
        </row>
        <row r="6029">
          <cell r="E6029" t="str">
            <v>LUC-E00-400012-17</v>
          </cell>
          <cell r="F6029">
            <v>881101756224</v>
          </cell>
        </row>
        <row r="6030">
          <cell r="E6030" t="str">
            <v>LUC-E00-400012-17</v>
          </cell>
          <cell r="F6030">
            <v>881101756224</v>
          </cell>
        </row>
        <row r="6031">
          <cell r="E6031" t="str">
            <v>LUC-E00-470161-01</v>
          </cell>
          <cell r="F6031">
            <v>881101756224</v>
          </cell>
        </row>
        <row r="6032">
          <cell r="E6032" t="str">
            <v>LUC-E00-470161-01</v>
          </cell>
          <cell r="F6032">
            <v>881101756224</v>
          </cell>
        </row>
        <row r="6033">
          <cell r="E6033" t="str">
            <v>LUC-E00-470161-01</v>
          </cell>
          <cell r="F6033">
            <v>881101756224</v>
          </cell>
        </row>
        <row r="6034">
          <cell r="E6034" t="str">
            <v>LUC-E00-470161-01</v>
          </cell>
          <cell r="F6034">
            <v>881101756224</v>
          </cell>
        </row>
        <row r="6035">
          <cell r="E6035" t="str">
            <v>LUC-E00-470161-01</v>
          </cell>
          <cell r="F6035">
            <v>881101756224</v>
          </cell>
        </row>
        <row r="6036">
          <cell r="E6036" t="str">
            <v>EF-45027595</v>
          </cell>
          <cell r="F6036">
            <v>881101756224</v>
          </cell>
        </row>
        <row r="6037">
          <cell r="E6037" t="str">
            <v>PURET-12-0004-00</v>
          </cell>
          <cell r="F6037">
            <v>881101756224</v>
          </cell>
        </row>
        <row r="6038">
          <cell r="E6038" t="str">
            <v>EF-45058007.X.X</v>
          </cell>
          <cell r="F6038">
            <v>881101756224</v>
          </cell>
        </row>
        <row r="6039">
          <cell r="E6039" t="str">
            <v>PURET-12-0029-00</v>
          </cell>
          <cell r="F6039">
            <v>881101756224</v>
          </cell>
        </row>
        <row r="6040">
          <cell r="E6040" t="str">
            <v>PUR-13-0148-00</v>
          </cell>
          <cell r="F6040">
            <v>881101756224</v>
          </cell>
        </row>
        <row r="6041">
          <cell r="E6041" t="str">
            <v>PURET-12-0029-00</v>
          </cell>
          <cell r="F6041">
            <v>881101756224</v>
          </cell>
        </row>
        <row r="6042">
          <cell r="E6042" t="str">
            <v>PUR-13-0244-00</v>
          </cell>
          <cell r="F6042">
            <v>881101756224</v>
          </cell>
        </row>
        <row r="6043">
          <cell r="E6043" t="str">
            <v>PUR-13-0244-00</v>
          </cell>
          <cell r="F6043">
            <v>881101756224</v>
          </cell>
        </row>
        <row r="6044">
          <cell r="E6044" t="str">
            <v>PUR-13-0152-00</v>
          </cell>
          <cell r="F6044">
            <v>881101756224</v>
          </cell>
        </row>
        <row r="6045">
          <cell r="E6045" t="str">
            <v>PUR-13-0152-00</v>
          </cell>
          <cell r="F6045">
            <v>881101756224</v>
          </cell>
        </row>
        <row r="6046">
          <cell r="E6046" t="str">
            <v>PUR-13-0153-00</v>
          </cell>
          <cell r="F6046">
            <v>881101756224</v>
          </cell>
        </row>
        <row r="6047">
          <cell r="E6047" t="str">
            <v>PUR-13-0153-00</v>
          </cell>
          <cell r="F6047">
            <v>881101756224</v>
          </cell>
        </row>
        <row r="6048">
          <cell r="E6048" t="str">
            <v>PUR-13-0150-00</v>
          </cell>
          <cell r="F6048">
            <v>881101756224</v>
          </cell>
        </row>
        <row r="6049">
          <cell r="E6049" t="str">
            <v>PUR-13-0150-00</v>
          </cell>
          <cell r="F6049">
            <v>881101756224</v>
          </cell>
        </row>
        <row r="6050">
          <cell r="E6050" t="str">
            <v>LUC-E00-690033-02</v>
          </cell>
          <cell r="F6050" t="str">
            <v>LSHHPH2503568</v>
          </cell>
        </row>
        <row r="6051">
          <cell r="E6051" t="str">
            <v>LUC-E00-690033-03</v>
          </cell>
          <cell r="F6051" t="str">
            <v>LSHHPH2503568</v>
          </cell>
        </row>
        <row r="6052">
          <cell r="E6052" t="str">
            <v>PUR-11-0106-05</v>
          </cell>
          <cell r="F6052" t="str">
            <v>PSHPH2550055</v>
          </cell>
        </row>
        <row r="6053">
          <cell r="E6053" t="str">
            <v>PUR-11-0106-05</v>
          </cell>
          <cell r="F6053" t="str">
            <v>PSHPH2550055</v>
          </cell>
        </row>
        <row r="6054">
          <cell r="E6054" t="str">
            <v>PUR-11-0106-05</v>
          </cell>
          <cell r="F6054" t="str">
            <v>PSHPH2550055</v>
          </cell>
        </row>
        <row r="6055">
          <cell r="E6055" t="str">
            <v>PUR-11-0106-05</v>
          </cell>
          <cell r="F6055" t="str">
            <v>PSHPH2550055</v>
          </cell>
        </row>
        <row r="6056">
          <cell r="E6056" t="str">
            <v>PUR-11-0104-05</v>
          </cell>
          <cell r="F6056" t="str">
            <v>PSHPH2550055</v>
          </cell>
        </row>
        <row r="6057">
          <cell r="E6057" t="str">
            <v>PUR-11-0104-05</v>
          </cell>
          <cell r="F6057" t="str">
            <v>PSHPH2550055</v>
          </cell>
        </row>
        <row r="6058">
          <cell r="E6058" t="str">
            <v>PUR-11-0104-05</v>
          </cell>
          <cell r="F6058" t="str">
            <v>PSHPH2550055</v>
          </cell>
        </row>
        <row r="6059">
          <cell r="E6059" t="str">
            <v>PUR-11-0104-05</v>
          </cell>
          <cell r="F6059" t="str">
            <v>PSHPH2550055</v>
          </cell>
        </row>
        <row r="6060">
          <cell r="E6060" t="str">
            <v>PUR-11-0104-05</v>
          </cell>
          <cell r="F6060" t="str">
            <v>PSHPH2550055</v>
          </cell>
        </row>
        <row r="6061">
          <cell r="E6061" t="str">
            <v>PUR-11-0104-05</v>
          </cell>
          <cell r="F6061" t="str">
            <v>PSHPH2550055</v>
          </cell>
        </row>
        <row r="6062">
          <cell r="E6062" t="str">
            <v>PUR-11-0105-04</v>
          </cell>
          <cell r="F6062" t="str">
            <v>PSHPH2550055</v>
          </cell>
        </row>
        <row r="6063">
          <cell r="E6063" t="str">
            <v>PUR-11-0105-04</v>
          </cell>
          <cell r="F6063" t="str">
            <v>PSHPH2550055</v>
          </cell>
        </row>
        <row r="6064">
          <cell r="E6064" t="str">
            <v>PUR-11-0105-04</v>
          </cell>
          <cell r="F6064" t="str">
            <v>PSHPH2550055</v>
          </cell>
        </row>
        <row r="6065">
          <cell r="E6065" t="str">
            <v>PUR-17-0283-02</v>
          </cell>
          <cell r="F6065" t="str">
            <v>PSHPH2550045</v>
          </cell>
        </row>
        <row r="6066">
          <cell r="E6066" t="str">
            <v>PUR-17-0283-02</v>
          </cell>
          <cell r="F6066" t="str">
            <v>PSHPH2550045</v>
          </cell>
        </row>
        <row r="6067">
          <cell r="E6067" t="str">
            <v>PUR-31-0061-02</v>
          </cell>
          <cell r="F6067" t="str">
            <v>PSHPH2550045</v>
          </cell>
        </row>
        <row r="6068">
          <cell r="E6068" t="str">
            <v>PUR-31-0061-02</v>
          </cell>
          <cell r="F6068" t="str">
            <v>PSHPH2550045</v>
          </cell>
        </row>
        <row r="6069">
          <cell r="E6069" t="str">
            <v>PUR-31-0061-02</v>
          </cell>
          <cell r="F6069" t="str">
            <v>PSHPH2550045</v>
          </cell>
        </row>
        <row r="6070">
          <cell r="E6070" t="str">
            <v>PUR-31-0061-02</v>
          </cell>
          <cell r="F6070" t="str">
            <v>PSHPH2550045</v>
          </cell>
        </row>
        <row r="6071">
          <cell r="E6071" t="str">
            <v>PUR-31-0066-02</v>
          </cell>
          <cell r="F6071" t="str">
            <v>PSHPH2550045</v>
          </cell>
        </row>
        <row r="6072">
          <cell r="E6072" t="str">
            <v>PUR-31-0066-02</v>
          </cell>
          <cell r="F6072" t="str">
            <v>PSHPH2550045</v>
          </cell>
        </row>
        <row r="6073">
          <cell r="E6073" t="str">
            <v>PUR-31-0066-02</v>
          </cell>
          <cell r="F6073" t="str">
            <v>PSHPH2550045</v>
          </cell>
        </row>
        <row r="6074">
          <cell r="E6074" t="str">
            <v>PUR-31-0066-02</v>
          </cell>
          <cell r="F6074" t="str">
            <v>PSHPH2550045</v>
          </cell>
        </row>
        <row r="6075">
          <cell r="E6075" t="str">
            <v>PUR-31-0066-02</v>
          </cell>
          <cell r="F6075" t="str">
            <v>PSHPH2550045</v>
          </cell>
        </row>
        <row r="6076">
          <cell r="E6076" t="str">
            <v>PUR-09-0343-00</v>
          </cell>
          <cell r="F6076">
            <v>458476534173</v>
          </cell>
        </row>
        <row r="6077">
          <cell r="E6077" t="str">
            <v>PUR-09-0343-00</v>
          </cell>
          <cell r="F6077">
            <v>458476534173</v>
          </cell>
        </row>
        <row r="6078">
          <cell r="E6078" t="str">
            <v>PUR-07-0332-00</v>
          </cell>
          <cell r="F6078">
            <v>881178574078</v>
          </cell>
        </row>
        <row r="6079">
          <cell r="E6079" t="str">
            <v>PUR-07-0332-00</v>
          </cell>
          <cell r="F6079">
            <v>881178574078</v>
          </cell>
        </row>
        <row r="6080">
          <cell r="E6080" t="str">
            <v>PUR-09-0233-00</v>
          </cell>
          <cell r="F6080">
            <v>452730408930</v>
          </cell>
        </row>
        <row r="6081">
          <cell r="E6081" t="str">
            <v>PUR-09-0233-00</v>
          </cell>
          <cell r="F6081">
            <v>452730408930</v>
          </cell>
        </row>
        <row r="6082">
          <cell r="E6082" t="str">
            <v>LUC-E00-470079-00</v>
          </cell>
          <cell r="F6082">
            <v>288508003795</v>
          </cell>
        </row>
        <row r="6083">
          <cell r="E6083" t="str">
            <v>LUC-EZZ-470138-00</v>
          </cell>
          <cell r="F6083">
            <v>288508003795</v>
          </cell>
        </row>
        <row r="6084">
          <cell r="E6084" t="str">
            <v>LUC-E00-470029-00</v>
          </cell>
          <cell r="F6084">
            <v>288508003795</v>
          </cell>
        </row>
        <row r="6085">
          <cell r="E6085" t="str">
            <v>LUC-E00-470039-00</v>
          </cell>
          <cell r="F6085">
            <v>288508003795</v>
          </cell>
        </row>
        <row r="6086">
          <cell r="E6086" t="str">
            <v>LUC-E00-470042-00</v>
          </cell>
          <cell r="F6086">
            <v>288508003795</v>
          </cell>
        </row>
        <row r="6087">
          <cell r="E6087" t="str">
            <v>LUC-E00-470045-00</v>
          </cell>
          <cell r="F6087">
            <v>288508003795</v>
          </cell>
        </row>
        <row r="6088">
          <cell r="E6088" t="str">
            <v>LUC-E00-470001-00</v>
          </cell>
          <cell r="F6088">
            <v>288508003795</v>
          </cell>
        </row>
        <row r="6089">
          <cell r="E6089" t="str">
            <v>EF-45213270</v>
          </cell>
          <cell r="F6089">
            <v>288508003795</v>
          </cell>
        </row>
        <row r="6090">
          <cell r="E6090" t="str">
            <v>PUR-03-0038-00</v>
          </cell>
          <cell r="F6090">
            <v>4211550571</v>
          </cell>
        </row>
        <row r="6091">
          <cell r="E6091" t="str">
            <v>PUR-03-0096-02</v>
          </cell>
          <cell r="F6091" t="str">
            <v>8TV4078</v>
          </cell>
        </row>
        <row r="6092">
          <cell r="E6092" t="str">
            <v>PUR-03-0074-02</v>
          </cell>
          <cell r="F6092" t="str">
            <v>8TV4076</v>
          </cell>
        </row>
        <row r="6093">
          <cell r="E6093" t="str">
            <v>LUC-E00-420069-00</v>
          </cell>
          <cell r="F6093">
            <v>1545309953</v>
          </cell>
        </row>
        <row r="6094">
          <cell r="E6094" t="str">
            <v>LUC-EZZ-420345-00</v>
          </cell>
          <cell r="F6094">
            <v>1545309953</v>
          </cell>
        </row>
        <row r="6095">
          <cell r="E6095" t="str">
            <v>LUC-E00-420027-03</v>
          </cell>
          <cell r="F6095">
            <v>1545309953</v>
          </cell>
        </row>
        <row r="6096">
          <cell r="E6096" t="str">
            <v>LUC-E00-420027-03</v>
          </cell>
          <cell r="F6096">
            <v>1545309953</v>
          </cell>
        </row>
        <row r="6097">
          <cell r="E6097" t="str">
            <v>LUC-E00-420027-03</v>
          </cell>
          <cell r="F6097">
            <v>1545309953</v>
          </cell>
        </row>
        <row r="6098">
          <cell r="E6098" t="str">
            <v>LUC-E00-450148-01</v>
          </cell>
          <cell r="F6098">
            <v>1545309953</v>
          </cell>
        </row>
        <row r="6099">
          <cell r="E6099" t="str">
            <v>LUC-E00-440097-00</v>
          </cell>
          <cell r="F6099">
            <v>1545309953</v>
          </cell>
        </row>
        <row r="6100">
          <cell r="E6100" t="str">
            <v>LUC-E00-440097-00</v>
          </cell>
          <cell r="F6100">
            <v>1545309953</v>
          </cell>
        </row>
        <row r="6101">
          <cell r="E6101" t="str">
            <v>PUR-14-0087-00</v>
          </cell>
          <cell r="F6101">
            <v>1545309953</v>
          </cell>
        </row>
        <row r="6102">
          <cell r="E6102" t="str">
            <v>LUC-EZZ-420089-00</v>
          </cell>
          <cell r="F6102">
            <v>1545309953</v>
          </cell>
        </row>
        <row r="6103">
          <cell r="E6103" t="str">
            <v>LUC-E00-420027-03</v>
          </cell>
          <cell r="F6103">
            <v>1545309953</v>
          </cell>
        </row>
        <row r="6104">
          <cell r="E6104" t="str">
            <v>LUC-E00-470301-00</v>
          </cell>
          <cell r="F6104">
            <v>1545309953</v>
          </cell>
        </row>
        <row r="6105">
          <cell r="E6105" t="str">
            <v>LUC-E00-470048-00</v>
          </cell>
          <cell r="F6105">
            <v>1545309953</v>
          </cell>
        </row>
        <row r="6106">
          <cell r="E6106" t="str">
            <v>LUC-E00-470032-00</v>
          </cell>
          <cell r="F6106">
            <v>1545309953</v>
          </cell>
        </row>
        <row r="6107">
          <cell r="E6107" t="str">
            <v>LUC-E00-470032-00</v>
          </cell>
          <cell r="F6107">
            <v>1545309953</v>
          </cell>
        </row>
        <row r="6108">
          <cell r="E6108" t="str">
            <v>LUC-E00-510045-00</v>
          </cell>
          <cell r="F6108">
            <v>1545309953</v>
          </cell>
        </row>
        <row r="6109">
          <cell r="E6109" t="str">
            <v>LUC-EZZ-420345-00</v>
          </cell>
          <cell r="F6109">
            <v>1545309953</v>
          </cell>
        </row>
        <row r="6110">
          <cell r="E6110" t="str">
            <v>LUC-EZZ-460737-00</v>
          </cell>
          <cell r="F6110">
            <v>1545309953</v>
          </cell>
        </row>
        <row r="6111">
          <cell r="E6111" t="str">
            <v>LUC-E00-460008-00</v>
          </cell>
          <cell r="F6111">
            <v>1545309953</v>
          </cell>
        </row>
        <row r="6112">
          <cell r="E6112" t="str">
            <v>LUC-E00-420058-00</v>
          </cell>
          <cell r="F6112">
            <v>1545309953</v>
          </cell>
        </row>
        <row r="6113">
          <cell r="E6113" t="str">
            <v>LUC-E00-420027-03</v>
          </cell>
          <cell r="F6113">
            <v>1545309953</v>
          </cell>
        </row>
        <row r="6114">
          <cell r="E6114" t="str">
            <v>LUC-E00-420027-03</v>
          </cell>
          <cell r="F6114">
            <v>1545309953</v>
          </cell>
        </row>
        <row r="6115">
          <cell r="E6115" t="str">
            <v>LUC-E00-470061-00</v>
          </cell>
          <cell r="F6115">
            <v>1545309953</v>
          </cell>
        </row>
        <row r="6116">
          <cell r="E6116" t="str">
            <v>LUC-EZZ-420507-00</v>
          </cell>
          <cell r="F6116">
            <v>1545309953</v>
          </cell>
        </row>
        <row r="6117">
          <cell r="E6117" t="str">
            <v>LUC-E00-400056-01</v>
          </cell>
          <cell r="F6117">
            <v>1545309953</v>
          </cell>
        </row>
        <row r="6118">
          <cell r="E6118" t="str">
            <v>EF-45055154.X.X</v>
          </cell>
          <cell r="F6118">
            <v>1545309953</v>
          </cell>
        </row>
        <row r="6119">
          <cell r="E6119" t="str">
            <v>EF-45055154.X.X</v>
          </cell>
          <cell r="F6119">
            <v>1545309953</v>
          </cell>
        </row>
        <row r="6120">
          <cell r="E6120" t="str">
            <v>LUC-E00-480006-00</v>
          </cell>
          <cell r="F6120">
            <v>1545309953</v>
          </cell>
        </row>
        <row r="6121">
          <cell r="E6121" t="str">
            <v>LUC-EZZ-470136-00</v>
          </cell>
          <cell r="F6121">
            <v>1545309953</v>
          </cell>
        </row>
        <row r="6122">
          <cell r="E6122" t="str">
            <v>LUC-EZZ-471023-00</v>
          </cell>
          <cell r="F6122">
            <v>1545309953</v>
          </cell>
        </row>
        <row r="6123">
          <cell r="E6123" t="str">
            <v>LUC-EZZ-420507-00</v>
          </cell>
          <cell r="F6123">
            <v>1545309953</v>
          </cell>
        </row>
        <row r="6124">
          <cell r="E6124" t="str">
            <v>LUC-E00-470379-00</v>
          </cell>
          <cell r="F6124">
            <v>1545309953</v>
          </cell>
        </row>
        <row r="6125">
          <cell r="E6125" t="str">
            <v>LUC-E00-470379-00</v>
          </cell>
          <cell r="F6125">
            <v>1545309953</v>
          </cell>
        </row>
        <row r="6126">
          <cell r="E6126" t="str">
            <v>LUC-E00-400056-01</v>
          </cell>
          <cell r="F6126">
            <v>1545309953</v>
          </cell>
        </row>
        <row r="6127">
          <cell r="E6127" t="str">
            <v>LUC-EZZ-420281-00</v>
          </cell>
          <cell r="F6127">
            <v>1545309953</v>
          </cell>
        </row>
        <row r="6128">
          <cell r="E6128" t="str">
            <v>LUC-E00-470080-00</v>
          </cell>
          <cell r="F6128">
            <v>1545309953</v>
          </cell>
        </row>
        <row r="6129">
          <cell r="E6129" t="str">
            <v>LUC-E00-470123-00</v>
          </cell>
          <cell r="F6129">
            <v>1545309953</v>
          </cell>
        </row>
        <row r="6130">
          <cell r="E6130" t="str">
            <v>LUC-E00-400067-399</v>
          </cell>
          <cell r="F6130">
            <v>1545309953</v>
          </cell>
        </row>
        <row r="6131">
          <cell r="E6131" t="str">
            <v>LUC-E00-440028-00</v>
          </cell>
          <cell r="F6131">
            <v>1545309953</v>
          </cell>
        </row>
        <row r="6132">
          <cell r="E6132" t="str">
            <v>LUC-E00-400010-048</v>
          </cell>
          <cell r="F6132">
            <v>1545309953</v>
          </cell>
        </row>
        <row r="6133">
          <cell r="E6133" t="str">
            <v>LUC-EZZ-510061-00</v>
          </cell>
          <cell r="F6133">
            <v>1545309953</v>
          </cell>
        </row>
        <row r="6134">
          <cell r="E6134" t="str">
            <v>LUC-E00-470047-00</v>
          </cell>
          <cell r="F6134">
            <v>1545309953</v>
          </cell>
        </row>
        <row r="6135">
          <cell r="E6135" t="str">
            <v>LUC-E00-470379-00</v>
          </cell>
          <cell r="F6135">
            <v>1545309953</v>
          </cell>
        </row>
        <row r="6136">
          <cell r="E6136" t="str">
            <v>LUC-E00-420241-00</v>
          </cell>
          <cell r="F6136">
            <v>1545309953</v>
          </cell>
        </row>
        <row r="6137">
          <cell r="E6137" t="str">
            <v>LUC-EZZ-510061-00</v>
          </cell>
          <cell r="F6137">
            <v>1545309953</v>
          </cell>
        </row>
        <row r="6138">
          <cell r="E6138" t="str">
            <v>LUC-E00-420057-01</v>
          </cell>
          <cell r="F6138">
            <v>1545309953</v>
          </cell>
        </row>
        <row r="6139">
          <cell r="E6139" t="str">
            <v>LUC-EZZ-400297-00</v>
          </cell>
          <cell r="F6139">
            <v>1545309953</v>
          </cell>
        </row>
        <row r="6140">
          <cell r="E6140" t="str">
            <v>LUC-E00-420056-01</v>
          </cell>
          <cell r="F6140">
            <v>459039369850</v>
          </cell>
        </row>
        <row r="6141">
          <cell r="E6141" t="str">
            <v>LUC-E00-420071-00</v>
          </cell>
          <cell r="F6141">
            <v>459039369850</v>
          </cell>
        </row>
        <row r="6142">
          <cell r="E6142" t="str">
            <v>LUC-EZZ-400475-00</v>
          </cell>
          <cell r="F6142">
            <v>459039369850</v>
          </cell>
        </row>
        <row r="6143">
          <cell r="E6143" t="str">
            <v>119-001192</v>
          </cell>
          <cell r="F6143">
            <v>459039369850</v>
          </cell>
        </row>
        <row r="6144">
          <cell r="E6144" t="str">
            <v>LUC-E00-400267-00</v>
          </cell>
          <cell r="F6144">
            <v>459039369850</v>
          </cell>
        </row>
        <row r="6145">
          <cell r="E6145" t="str">
            <v>LUC-E00-690003-00</v>
          </cell>
          <cell r="F6145">
            <v>459039369850</v>
          </cell>
        </row>
        <row r="6146">
          <cell r="E6146" t="str">
            <v>LUC-E00-440147-00</v>
          </cell>
          <cell r="F6146">
            <v>459039369850</v>
          </cell>
        </row>
        <row r="6147">
          <cell r="E6147" t="str">
            <v>LUC-EZZ-400606-00</v>
          </cell>
          <cell r="F6147">
            <v>459039369850</v>
          </cell>
        </row>
        <row r="6148">
          <cell r="E6148" t="str">
            <v>LUC-E00-400067-149</v>
          </cell>
          <cell r="F6148">
            <v>459039369850</v>
          </cell>
        </row>
        <row r="6149">
          <cell r="E6149" t="str">
            <v>LUC-E00-400067-263</v>
          </cell>
          <cell r="F6149">
            <v>459039369850</v>
          </cell>
        </row>
        <row r="6150">
          <cell r="E6150" t="str">
            <v>LUC-E00-400067-344</v>
          </cell>
          <cell r="F6150">
            <v>459039369850</v>
          </cell>
        </row>
        <row r="6151">
          <cell r="E6151" t="str">
            <v>EF-45225755</v>
          </cell>
          <cell r="F6151">
            <v>417969471475</v>
          </cell>
        </row>
        <row r="6152">
          <cell r="E6152" t="str">
            <v>PUR-07-0328-00</v>
          </cell>
          <cell r="F6152">
            <v>454593964979</v>
          </cell>
        </row>
        <row r="6153">
          <cell r="E6153" t="str">
            <v>EF-45165680</v>
          </cell>
          <cell r="F6153">
            <v>459039322201</v>
          </cell>
        </row>
        <row r="6154">
          <cell r="E6154" t="str">
            <v>LUC-EZZ-420188-00</v>
          </cell>
          <cell r="F6154">
            <v>409298783752</v>
          </cell>
        </row>
        <row r="6155">
          <cell r="E6155" t="str">
            <v>LUC-EZZ-420188-00</v>
          </cell>
          <cell r="F6155">
            <v>409298783752</v>
          </cell>
        </row>
        <row r="6156">
          <cell r="E6156" t="str">
            <v>LUC-E00-420011-05</v>
          </cell>
          <cell r="F6156">
            <v>409298783752</v>
          </cell>
        </row>
        <row r="6157">
          <cell r="E6157" t="str">
            <v>LUC-EZZ-420175-00</v>
          </cell>
          <cell r="F6157">
            <v>409298783752</v>
          </cell>
        </row>
        <row r="6158">
          <cell r="E6158" t="str">
            <v>LUC-EZZ-440073-00</v>
          </cell>
          <cell r="F6158">
            <v>409298783752</v>
          </cell>
        </row>
        <row r="6159">
          <cell r="E6159" t="str">
            <v>LUC-EZZ-420330-00</v>
          </cell>
          <cell r="F6159">
            <v>409298783752</v>
          </cell>
        </row>
        <row r="6160">
          <cell r="E6160" t="str">
            <v>LUC-EZZ-450236-00</v>
          </cell>
          <cell r="F6160">
            <v>409298783752</v>
          </cell>
        </row>
        <row r="6161">
          <cell r="E6161" t="str">
            <v>LUC-EZZ-450236-00</v>
          </cell>
          <cell r="F6161">
            <v>409298783752</v>
          </cell>
        </row>
        <row r="6162">
          <cell r="E6162" t="str">
            <v>LUC-E00-440012-00</v>
          </cell>
          <cell r="F6162">
            <v>409298783752</v>
          </cell>
        </row>
        <row r="6163">
          <cell r="E6163" t="str">
            <v>LUC-E00-440012-00</v>
          </cell>
          <cell r="F6163">
            <v>409298783752</v>
          </cell>
        </row>
        <row r="6164">
          <cell r="E6164" t="str">
            <v>LUC-E00-440012-00</v>
          </cell>
          <cell r="F6164">
            <v>409298783752</v>
          </cell>
        </row>
        <row r="6165">
          <cell r="E6165" t="str">
            <v>LUC-E00-420047-02</v>
          </cell>
          <cell r="F6165">
            <v>409298783752</v>
          </cell>
        </row>
        <row r="6166">
          <cell r="E6166" t="str">
            <v>LUC-E00-420047-02</v>
          </cell>
          <cell r="F6166">
            <v>409298783752</v>
          </cell>
        </row>
        <row r="6167">
          <cell r="E6167" t="str">
            <v>LUC-E00-420034-01</v>
          </cell>
          <cell r="F6167">
            <v>409298783752</v>
          </cell>
        </row>
        <row r="6168">
          <cell r="E6168" t="str">
            <v>LUC-E00-420049-00</v>
          </cell>
          <cell r="F6168">
            <v>409298783752</v>
          </cell>
        </row>
        <row r="6169">
          <cell r="E6169" t="str">
            <v>PUR-12-0420-00</v>
          </cell>
          <cell r="F6169">
            <v>409298783752</v>
          </cell>
        </row>
        <row r="6170">
          <cell r="E6170" t="str">
            <v>PUR-12-0470-00</v>
          </cell>
          <cell r="F6170">
            <v>409298783752</v>
          </cell>
        </row>
        <row r="6171">
          <cell r="E6171" t="str">
            <v>LUC-EZZ-420493-00</v>
          </cell>
          <cell r="F6171">
            <v>409298783752</v>
          </cell>
        </row>
        <row r="6172">
          <cell r="E6172" t="str">
            <v>LUC-EZZ-420493-00</v>
          </cell>
          <cell r="F6172">
            <v>409298783752</v>
          </cell>
        </row>
        <row r="6173">
          <cell r="E6173" t="str">
            <v>LUC-EZZ-441599-00</v>
          </cell>
          <cell r="F6173">
            <v>409298783752</v>
          </cell>
        </row>
        <row r="6174">
          <cell r="E6174" t="str">
            <v>LUC-EZZ-450236-00</v>
          </cell>
          <cell r="F6174">
            <v>409298783752</v>
          </cell>
        </row>
        <row r="6175">
          <cell r="E6175" t="str">
            <v>LUC-EZZ-420095-00</v>
          </cell>
          <cell r="F6175">
            <v>409298783752</v>
          </cell>
        </row>
        <row r="6176">
          <cell r="E6176" t="str">
            <v>LUC-EZZ-420091-00</v>
          </cell>
          <cell r="F6176">
            <v>409298783752</v>
          </cell>
        </row>
        <row r="6177">
          <cell r="E6177" t="str">
            <v>LUC-EZZ-420099-00</v>
          </cell>
          <cell r="F6177">
            <v>409298783752</v>
          </cell>
        </row>
        <row r="6178">
          <cell r="E6178" t="str">
            <v>LUC-EZZ-420099-00</v>
          </cell>
          <cell r="F6178">
            <v>409298783752</v>
          </cell>
        </row>
        <row r="6179">
          <cell r="E6179" t="str">
            <v>LUC-EZZ-400609-00</v>
          </cell>
          <cell r="F6179">
            <v>409298783752</v>
          </cell>
        </row>
        <row r="6180">
          <cell r="E6180" t="str">
            <v>LUC-EZZ-400609-00</v>
          </cell>
          <cell r="F6180">
            <v>409298783752</v>
          </cell>
        </row>
        <row r="6181">
          <cell r="E6181" t="str">
            <v>LUC-E00-440032-01</v>
          </cell>
          <cell r="F6181">
            <v>409298783752</v>
          </cell>
        </row>
        <row r="6182">
          <cell r="E6182" t="str">
            <v>LUC-E00-440144-00</v>
          </cell>
          <cell r="F6182">
            <v>409298783752</v>
          </cell>
        </row>
        <row r="6183">
          <cell r="E6183" t="str">
            <v>LUC-E00-420016-00</v>
          </cell>
          <cell r="F6183">
            <v>409298783752</v>
          </cell>
        </row>
        <row r="6184">
          <cell r="E6184" t="str">
            <v>LUC-EZZ-420084-00</v>
          </cell>
          <cell r="F6184">
            <v>409298783752</v>
          </cell>
        </row>
        <row r="6185">
          <cell r="E6185" t="str">
            <v>LUC-E00-420047-00</v>
          </cell>
          <cell r="F6185">
            <v>409298783752</v>
          </cell>
        </row>
        <row r="6186">
          <cell r="E6186" t="str">
            <v>LUC-E00-420047-00</v>
          </cell>
          <cell r="F6186">
            <v>409298783752</v>
          </cell>
        </row>
        <row r="6187">
          <cell r="E6187" t="str">
            <v>LUC-E00-420047-00</v>
          </cell>
          <cell r="F6187">
            <v>409298783752</v>
          </cell>
        </row>
        <row r="6188">
          <cell r="E6188" t="str">
            <v>LUC-E00-420033-00</v>
          </cell>
          <cell r="F6188">
            <v>409298783752</v>
          </cell>
        </row>
        <row r="6189">
          <cell r="E6189" t="str">
            <v>LUC-E00-420033-00</v>
          </cell>
          <cell r="F6189">
            <v>409298783752</v>
          </cell>
        </row>
        <row r="6190">
          <cell r="E6190" t="str">
            <v>LUC-E00-420033-00</v>
          </cell>
          <cell r="F6190">
            <v>409298783752</v>
          </cell>
        </row>
        <row r="6191">
          <cell r="E6191" t="str">
            <v>LUC-E00-420049-00</v>
          </cell>
          <cell r="F6191">
            <v>409298783752</v>
          </cell>
        </row>
        <row r="6192">
          <cell r="E6192" t="str">
            <v>LUC-E00-420049-00</v>
          </cell>
          <cell r="F6192">
            <v>409298783752</v>
          </cell>
        </row>
        <row r="6193">
          <cell r="E6193" t="str">
            <v>LUC-E00-420049-00</v>
          </cell>
          <cell r="F6193">
            <v>409298783752</v>
          </cell>
        </row>
        <row r="6194">
          <cell r="E6194" t="str">
            <v>LUC-E00-440011-00</v>
          </cell>
          <cell r="F6194">
            <v>409298783752</v>
          </cell>
        </row>
        <row r="6195">
          <cell r="E6195" t="str">
            <v>LUC-E00-420014-03</v>
          </cell>
          <cell r="F6195">
            <v>409298783752</v>
          </cell>
        </row>
        <row r="6196">
          <cell r="E6196" t="str">
            <v>LUC-E00-420002-03</v>
          </cell>
          <cell r="F6196">
            <v>409298783752</v>
          </cell>
        </row>
        <row r="6197">
          <cell r="E6197" t="str">
            <v>LUC-E00-420011-00</v>
          </cell>
          <cell r="F6197">
            <v>409298783752</v>
          </cell>
        </row>
        <row r="6198">
          <cell r="E6198" t="str">
            <v>LUC-E00-460042-00</v>
          </cell>
          <cell r="F6198">
            <v>409298783752</v>
          </cell>
        </row>
        <row r="6199">
          <cell r="E6199" t="str">
            <v>LUC-E00-420002-09</v>
          </cell>
          <cell r="F6199">
            <v>409298783752</v>
          </cell>
        </row>
        <row r="6200">
          <cell r="E6200" t="str">
            <v>LUC-E00-420002-09</v>
          </cell>
          <cell r="F6200">
            <v>409298783752</v>
          </cell>
        </row>
        <row r="6201">
          <cell r="E6201" t="str">
            <v>LUC-E00-420047-02</v>
          </cell>
          <cell r="F6201">
            <v>409298783752</v>
          </cell>
        </row>
        <row r="6202">
          <cell r="E6202" t="str">
            <v>LUC-E00-420034-01</v>
          </cell>
          <cell r="F6202">
            <v>409298783752</v>
          </cell>
        </row>
        <row r="6203">
          <cell r="E6203" t="str">
            <v>LUC-EZZ-420098-00</v>
          </cell>
          <cell r="F6203">
            <v>409298783752</v>
          </cell>
        </row>
        <row r="6204">
          <cell r="E6204" t="str">
            <v>LUC-EZZ-420179-00</v>
          </cell>
          <cell r="F6204">
            <v>409298783752</v>
          </cell>
        </row>
        <row r="6205">
          <cell r="E6205" t="str">
            <v>LUC-E00-420049-01</v>
          </cell>
          <cell r="F6205">
            <v>409298783752</v>
          </cell>
        </row>
        <row r="6206">
          <cell r="E6206" t="str">
            <v>LUC-E00-420055-00</v>
          </cell>
          <cell r="F6206">
            <v>409298783752</v>
          </cell>
        </row>
        <row r="6207">
          <cell r="E6207" t="str">
            <v>LUC-E00-420055-00</v>
          </cell>
          <cell r="F6207">
            <v>409298783752</v>
          </cell>
        </row>
        <row r="6208">
          <cell r="E6208" t="str">
            <v>PUR-09-0279-00</v>
          </cell>
          <cell r="F6208">
            <v>458307728376</v>
          </cell>
        </row>
        <row r="6209">
          <cell r="E6209" t="str">
            <v>PUR-09-0279-00</v>
          </cell>
          <cell r="F6209">
            <v>458307728376</v>
          </cell>
        </row>
        <row r="6210">
          <cell r="E6210" t="str">
            <v>PUR-09-0279-00</v>
          </cell>
          <cell r="F6210">
            <v>458307728376</v>
          </cell>
        </row>
        <row r="6211">
          <cell r="E6211" t="str">
            <v>PUR-13-0158-00</v>
          </cell>
          <cell r="F6211">
            <v>4711854511</v>
          </cell>
        </row>
        <row r="6212">
          <cell r="E6212" t="str">
            <v>LUC-E00-420055-06</v>
          </cell>
          <cell r="F6212">
            <v>4711854511</v>
          </cell>
        </row>
        <row r="6213">
          <cell r="E6213" t="str">
            <v>EF-45135159</v>
          </cell>
          <cell r="F6213">
            <v>4711854511</v>
          </cell>
        </row>
        <row r="6214">
          <cell r="E6214" t="str">
            <v>LUC-E00-420055-06</v>
          </cell>
          <cell r="F6214">
            <v>4711854511</v>
          </cell>
        </row>
        <row r="6215">
          <cell r="E6215" t="str">
            <v>LUC-E00-420055-06</v>
          </cell>
          <cell r="F6215">
            <v>4711854511</v>
          </cell>
        </row>
        <row r="6216">
          <cell r="E6216" t="str">
            <v>LUC-E00-420055-06</v>
          </cell>
          <cell r="F6216">
            <v>4711854511</v>
          </cell>
        </row>
        <row r="6217">
          <cell r="E6217" t="str">
            <v>LUC-E00-420054-06</v>
          </cell>
          <cell r="F6217">
            <v>4711854511</v>
          </cell>
        </row>
        <row r="6218">
          <cell r="E6218" t="str">
            <v>LUC-E00-420054-06</v>
          </cell>
          <cell r="F6218">
            <v>4711854511</v>
          </cell>
        </row>
        <row r="6219">
          <cell r="E6219" t="str">
            <v>LUC-EZZ-420695-01</v>
          </cell>
          <cell r="F6219">
            <v>4711854511</v>
          </cell>
        </row>
        <row r="6220">
          <cell r="E6220" t="str">
            <v>LUC-EZZ-420331-00</v>
          </cell>
          <cell r="F6220">
            <v>4711854511</v>
          </cell>
        </row>
        <row r="6221">
          <cell r="E6221" t="str">
            <v>LUC-E00-420054-06</v>
          </cell>
          <cell r="F6221">
            <v>4711854511</v>
          </cell>
        </row>
        <row r="6222">
          <cell r="E6222" t="str">
            <v>EF-45206048</v>
          </cell>
          <cell r="F6222">
            <v>4711854511</v>
          </cell>
        </row>
        <row r="6223">
          <cell r="E6223" t="str">
            <v>LUC-EZZ-420195-00</v>
          </cell>
          <cell r="F6223">
            <v>4711854511</v>
          </cell>
        </row>
        <row r="6224">
          <cell r="E6224" t="str">
            <v>LUC-E00-420068-00</v>
          </cell>
          <cell r="F6224">
            <v>4711854511</v>
          </cell>
        </row>
        <row r="6225">
          <cell r="E6225" t="str">
            <v>LUC-E00-420068-00</v>
          </cell>
          <cell r="F6225">
            <v>4711854511</v>
          </cell>
        </row>
        <row r="6226">
          <cell r="E6226" t="str">
            <v>LUC-E00-420068-00</v>
          </cell>
          <cell r="F6226">
            <v>4711854511</v>
          </cell>
        </row>
        <row r="6227">
          <cell r="E6227" t="str">
            <v>LUC-EZZ-420695-01</v>
          </cell>
          <cell r="F6227">
            <v>4711854511</v>
          </cell>
        </row>
        <row r="6228">
          <cell r="E6228" t="str">
            <v>LUC-E00-420068-00</v>
          </cell>
          <cell r="F6228">
            <v>4711854511</v>
          </cell>
        </row>
        <row r="6229">
          <cell r="E6229" t="str">
            <v>PURET-13-0119-00</v>
          </cell>
          <cell r="F6229">
            <v>4711854511</v>
          </cell>
        </row>
        <row r="6230">
          <cell r="E6230" t="str">
            <v>EF-45047557.X.X</v>
          </cell>
          <cell r="F6230">
            <v>4711854511</v>
          </cell>
        </row>
        <row r="6231">
          <cell r="E6231" t="str">
            <v>LUC-E00-400050-01</v>
          </cell>
          <cell r="F6231">
            <v>4711854511</v>
          </cell>
        </row>
        <row r="6232">
          <cell r="E6232" t="str">
            <v>LUC-E00-400011-000</v>
          </cell>
          <cell r="F6232">
            <v>4711854511</v>
          </cell>
        </row>
        <row r="6233">
          <cell r="E6233" t="str">
            <v>LUC-E00-420073-00</v>
          </cell>
          <cell r="F6233">
            <v>4711854511</v>
          </cell>
        </row>
        <row r="6234">
          <cell r="E6234" t="str">
            <v>LUC-E00-540005-00</v>
          </cell>
          <cell r="F6234">
            <v>4711854511</v>
          </cell>
        </row>
        <row r="6235">
          <cell r="E6235" t="str">
            <v>LUC-E00-470331-00</v>
          </cell>
          <cell r="F6235">
            <v>4711854511</v>
          </cell>
        </row>
        <row r="6236">
          <cell r="E6236" t="str">
            <v>LUC-EZZ-420396-00</v>
          </cell>
          <cell r="F6236">
            <v>4711854511</v>
          </cell>
        </row>
        <row r="6237">
          <cell r="E6237" t="str">
            <v>LUC-E00-460005-00</v>
          </cell>
          <cell r="F6237">
            <v>4711854511</v>
          </cell>
        </row>
        <row r="6238">
          <cell r="E6238" t="str">
            <v>PUR-13-0158-00</v>
          </cell>
          <cell r="F6238">
            <v>4711854511</v>
          </cell>
        </row>
        <row r="6239">
          <cell r="E6239" t="str">
            <v>PUR-25-0009-00</v>
          </cell>
          <cell r="F6239">
            <v>4711854511</v>
          </cell>
        </row>
        <row r="6240">
          <cell r="E6240" t="str">
            <v>LUC-EZZ-420331-00</v>
          </cell>
          <cell r="F6240">
            <v>4711854511</v>
          </cell>
        </row>
        <row r="6241">
          <cell r="E6241" t="str">
            <v>LUC-P21-K87100-00</v>
          </cell>
          <cell r="F6241">
            <v>4812810296</v>
          </cell>
        </row>
        <row r="6242">
          <cell r="E6242" t="str">
            <v>LUC-P21-K87100-00</v>
          </cell>
          <cell r="F6242">
            <v>4812810296</v>
          </cell>
        </row>
        <row r="6243">
          <cell r="E6243" t="str">
            <v>LUC-P00-F189AG-00</v>
          </cell>
          <cell r="F6243">
            <v>881271627213</v>
          </cell>
        </row>
        <row r="6244">
          <cell r="E6244" t="str">
            <v>LUC-P00-F856AY-01</v>
          </cell>
          <cell r="F6244">
            <v>881271627213</v>
          </cell>
        </row>
        <row r="6245">
          <cell r="E6245" t="str">
            <v>LUC-P00-F193DG-00</v>
          </cell>
          <cell r="F6245">
            <v>881271627213</v>
          </cell>
        </row>
        <row r="6246">
          <cell r="E6246" t="str">
            <v>LUC-P00-F193DG-00</v>
          </cell>
          <cell r="F6246">
            <v>881271627213</v>
          </cell>
        </row>
        <row r="6247">
          <cell r="E6247" t="str">
            <v>LUC-P00-F134CG-00</v>
          </cell>
          <cell r="F6247">
            <v>881271627213</v>
          </cell>
        </row>
        <row r="6248">
          <cell r="E6248" t="str">
            <v>LUC-E00-450029-00</v>
          </cell>
          <cell r="F6248">
            <v>421194763775</v>
          </cell>
        </row>
        <row r="6249">
          <cell r="E6249" t="str">
            <v>EF-45043246.X.X</v>
          </cell>
          <cell r="F6249">
            <v>741988787768</v>
          </cell>
        </row>
        <row r="6250">
          <cell r="E6250" t="str">
            <v>120-010212.X.X</v>
          </cell>
          <cell r="F6250">
            <v>741988787816</v>
          </cell>
        </row>
        <row r="6251">
          <cell r="E6251" t="str">
            <v>LUC-E00-690030-03</v>
          </cell>
          <cell r="F6251">
            <v>458307766930</v>
          </cell>
        </row>
        <row r="6252">
          <cell r="E6252" t="str">
            <v>LUC-E00-690030-03</v>
          </cell>
          <cell r="F6252">
            <v>458307766930</v>
          </cell>
        </row>
        <row r="6253">
          <cell r="E6253" t="str">
            <v>LUC-E00-690030-03</v>
          </cell>
          <cell r="F6253">
            <v>458307766930</v>
          </cell>
        </row>
        <row r="6254">
          <cell r="E6254" t="str">
            <v>LUC-EZZ-470211-00</v>
          </cell>
          <cell r="F6254">
            <v>288630827950</v>
          </cell>
        </row>
        <row r="6255">
          <cell r="E6255" t="str">
            <v>LUC-EZZ-470421-00</v>
          </cell>
          <cell r="F6255">
            <v>288630827950</v>
          </cell>
        </row>
        <row r="6256">
          <cell r="E6256" t="str">
            <v>EF-45130849</v>
          </cell>
          <cell r="F6256">
            <v>288630827950</v>
          </cell>
        </row>
        <row r="6257">
          <cell r="E6257" t="str">
            <v>PUR-09-0422-00</v>
          </cell>
          <cell r="F6257">
            <v>458476538319</v>
          </cell>
        </row>
        <row r="6258">
          <cell r="E6258" t="str">
            <v>PUR-09-0422-00</v>
          </cell>
          <cell r="F6258">
            <v>458476538319</v>
          </cell>
        </row>
        <row r="6259">
          <cell r="E6259" t="str">
            <v>PUR-09-0422-00</v>
          </cell>
          <cell r="F6259">
            <v>458476538319</v>
          </cell>
        </row>
        <row r="6260">
          <cell r="E6260" t="str">
            <v>HLOB-09-0422-00</v>
          </cell>
          <cell r="F6260">
            <v>458476538319</v>
          </cell>
        </row>
        <row r="6261">
          <cell r="E6261" t="str">
            <v>LUC-E00-420235-00</v>
          </cell>
          <cell r="F6261">
            <v>881244266959</v>
          </cell>
        </row>
        <row r="6262">
          <cell r="E6262" t="str">
            <v>EF-45093036</v>
          </cell>
          <cell r="F6262">
            <v>881244266959</v>
          </cell>
        </row>
        <row r="6263">
          <cell r="E6263" t="str">
            <v>LUC-EZZ-510061-00</v>
          </cell>
          <cell r="F6263">
            <v>881244266959</v>
          </cell>
        </row>
        <row r="6264">
          <cell r="E6264" t="str">
            <v>EF-45036455.X.X</v>
          </cell>
          <cell r="F6264">
            <v>881270164550</v>
          </cell>
        </row>
        <row r="6265">
          <cell r="E6265" t="str">
            <v>EF-45037930.X.X</v>
          </cell>
          <cell r="F6265">
            <v>881270164550</v>
          </cell>
        </row>
        <row r="6266">
          <cell r="E6266" t="str">
            <v>EF-45105280</v>
          </cell>
          <cell r="F6266">
            <v>881270164550</v>
          </cell>
        </row>
        <row r="6267">
          <cell r="E6267" t="str">
            <v>EF-45036468.X.X</v>
          </cell>
          <cell r="F6267">
            <v>881270164550</v>
          </cell>
        </row>
        <row r="6268">
          <cell r="E6268" t="str">
            <v>EF-45036461.X.X</v>
          </cell>
          <cell r="F6268">
            <v>881270164550</v>
          </cell>
        </row>
        <row r="6269">
          <cell r="E6269" t="str">
            <v>EF-45043833.X.X</v>
          </cell>
          <cell r="F6269">
            <v>881270164550</v>
          </cell>
        </row>
        <row r="6270">
          <cell r="E6270" t="str">
            <v>EF-45045057.X.X</v>
          </cell>
          <cell r="F6270">
            <v>881270164550</v>
          </cell>
        </row>
        <row r="6271">
          <cell r="E6271" t="str">
            <v>EF-45043833.X.X</v>
          </cell>
          <cell r="F6271">
            <v>881270164550</v>
          </cell>
        </row>
        <row r="6272">
          <cell r="E6272" t="str">
            <v>LUC-EZZ-470181-00</v>
          </cell>
          <cell r="F6272">
            <v>458307726763</v>
          </cell>
        </row>
        <row r="6273">
          <cell r="E6273" t="str">
            <v>LUC-LABEL-60X40-G</v>
          </cell>
          <cell r="F6273">
            <v>881239182335</v>
          </cell>
        </row>
        <row r="6274">
          <cell r="E6274" t="str">
            <v>EF-45093131.X.X</v>
          </cell>
          <cell r="F6274">
            <v>419341551344</v>
          </cell>
        </row>
        <row r="6275">
          <cell r="E6275" t="str">
            <v>EF-45046883.X.X</v>
          </cell>
          <cell r="F6275">
            <v>419341551344</v>
          </cell>
        </row>
        <row r="6276">
          <cell r="E6276" t="str">
            <v>EF-45035930.X.X</v>
          </cell>
          <cell r="F6276">
            <v>419341551344</v>
          </cell>
        </row>
        <row r="6277">
          <cell r="E6277" t="str">
            <v>EF-45057846.X.X</v>
          </cell>
          <cell r="F6277">
            <v>419341551344</v>
          </cell>
        </row>
        <row r="6278">
          <cell r="E6278" t="str">
            <v>EF-45059490.X.X</v>
          </cell>
          <cell r="F6278">
            <v>419341551344</v>
          </cell>
        </row>
        <row r="6279">
          <cell r="E6279" t="str">
            <v>EF-45041902.X.X</v>
          </cell>
          <cell r="F6279">
            <v>419341551344</v>
          </cell>
        </row>
        <row r="6280">
          <cell r="E6280" t="str">
            <v>EF-45055154.X.X</v>
          </cell>
          <cell r="F6280">
            <v>419341551344</v>
          </cell>
        </row>
        <row r="6281">
          <cell r="E6281" t="str">
            <v>EF-45061967.X.X</v>
          </cell>
          <cell r="F6281">
            <v>419341551344</v>
          </cell>
        </row>
        <row r="6282">
          <cell r="E6282" t="str">
            <v>EF-45059490.X.X</v>
          </cell>
          <cell r="F6282">
            <v>419341551344</v>
          </cell>
        </row>
        <row r="6283">
          <cell r="E6283" t="str">
            <v>EF-45059490.X.X</v>
          </cell>
          <cell r="F6283">
            <v>419341551344</v>
          </cell>
        </row>
        <row r="6284">
          <cell r="E6284" t="str">
            <v>EF-45036912.X.X</v>
          </cell>
          <cell r="F6284">
            <v>419341551344</v>
          </cell>
        </row>
        <row r="6285">
          <cell r="E6285" t="str">
            <v>EF-45055154.X.X</v>
          </cell>
          <cell r="F6285">
            <v>419341551344</v>
          </cell>
        </row>
        <row r="6286">
          <cell r="E6286" t="str">
            <v>EF-45049984.X.X</v>
          </cell>
          <cell r="F6286">
            <v>419341551344</v>
          </cell>
        </row>
        <row r="6287">
          <cell r="E6287" t="str">
            <v>EF-45093131.X.X</v>
          </cell>
          <cell r="F6287">
            <v>419341551344</v>
          </cell>
        </row>
        <row r="6288">
          <cell r="E6288" t="str">
            <v>EF-45093131.X.X</v>
          </cell>
          <cell r="F6288">
            <v>419341551344</v>
          </cell>
        </row>
        <row r="6289">
          <cell r="E6289" t="str">
            <v>EF-45036912.X.X</v>
          </cell>
          <cell r="F6289">
            <v>419341551344</v>
          </cell>
        </row>
        <row r="6290">
          <cell r="E6290" t="str">
            <v>EF-45054385.X.X</v>
          </cell>
          <cell r="F6290">
            <v>419341551344</v>
          </cell>
        </row>
        <row r="6291">
          <cell r="E6291" t="str">
            <v>EF-45055154.X.X</v>
          </cell>
          <cell r="F6291">
            <v>419341551344</v>
          </cell>
        </row>
        <row r="6292">
          <cell r="E6292" t="str">
            <v>EF-45044519.X.X</v>
          </cell>
          <cell r="F6292">
            <v>419341551344</v>
          </cell>
        </row>
        <row r="6293">
          <cell r="E6293" t="str">
            <v>EF-45093131.X.X</v>
          </cell>
          <cell r="F6293">
            <v>419341551344</v>
          </cell>
        </row>
        <row r="6294">
          <cell r="E6294" t="str">
            <v>EF-45057845.X.X</v>
          </cell>
          <cell r="F6294">
            <v>419341551344</v>
          </cell>
        </row>
        <row r="6295">
          <cell r="E6295" t="str">
            <v>EF-45057845.X.X</v>
          </cell>
          <cell r="F6295">
            <v>419341551344</v>
          </cell>
        </row>
        <row r="6296">
          <cell r="E6296" t="str">
            <v>EF-45045744.X.X</v>
          </cell>
          <cell r="F6296">
            <v>419341551344</v>
          </cell>
        </row>
        <row r="6297">
          <cell r="E6297" t="str">
            <v>LUC-E00-450047-00</v>
          </cell>
          <cell r="F6297">
            <v>419341551344</v>
          </cell>
        </row>
        <row r="6298">
          <cell r="E6298" t="str">
            <v>PUR-13-0235-00</v>
          </cell>
          <cell r="F6298">
            <v>458307768016</v>
          </cell>
        </row>
        <row r="6299">
          <cell r="E6299" t="str">
            <v>PUR-14-0087-00</v>
          </cell>
          <cell r="F6299">
            <v>458307767730</v>
          </cell>
        </row>
        <row r="6300">
          <cell r="E6300" t="str">
            <v>EF-45232580</v>
          </cell>
          <cell r="F6300">
            <v>458307753436</v>
          </cell>
        </row>
        <row r="6301">
          <cell r="E6301" t="str">
            <v>EF-45192685</v>
          </cell>
          <cell r="F6301">
            <v>881244016536</v>
          </cell>
        </row>
        <row r="6302">
          <cell r="E6302" t="str">
            <v>LUC-E00-400025-09</v>
          </cell>
          <cell r="F6302">
            <v>458307776974</v>
          </cell>
        </row>
        <row r="6303">
          <cell r="E6303" t="str">
            <v>PUR-15-0220-00</v>
          </cell>
          <cell r="F6303">
            <v>902348926093</v>
          </cell>
        </row>
        <row r="6304">
          <cell r="E6304" t="str">
            <v>LUC-E00-690030-03</v>
          </cell>
          <cell r="F6304">
            <v>458307775062</v>
          </cell>
        </row>
        <row r="6305">
          <cell r="E6305" t="str">
            <v>LUC-E00-690030-03</v>
          </cell>
          <cell r="F6305">
            <v>458307775062</v>
          </cell>
        </row>
        <row r="6306">
          <cell r="E6306" t="str">
            <v>LUC-E00-690030-03</v>
          </cell>
          <cell r="F6306">
            <v>458307775062</v>
          </cell>
        </row>
        <row r="6307">
          <cell r="E6307" t="str">
            <v>LUC-E00-690030-03</v>
          </cell>
          <cell r="F6307">
            <v>458307775062</v>
          </cell>
        </row>
        <row r="6308">
          <cell r="E6308" t="str">
            <v>LUC-E00-690030-03</v>
          </cell>
          <cell r="F6308">
            <v>458307775062</v>
          </cell>
        </row>
        <row r="6309">
          <cell r="E6309" t="str">
            <v>LUC-E00-690030-03</v>
          </cell>
          <cell r="F6309">
            <v>458307775062</v>
          </cell>
        </row>
        <row r="6310">
          <cell r="E6310" t="str">
            <v>LUC-E00-690030-03</v>
          </cell>
          <cell r="F6310">
            <v>458307775062</v>
          </cell>
        </row>
        <row r="6311">
          <cell r="E6311" t="str">
            <v>PUR-18-0518-00</v>
          </cell>
          <cell r="F6311">
            <v>881207486539</v>
          </cell>
        </row>
        <row r="6312">
          <cell r="E6312" t="str">
            <v>PUR-18-0579-00</v>
          </cell>
          <cell r="F6312">
            <v>881207486539</v>
          </cell>
        </row>
        <row r="6313">
          <cell r="E6313" t="str">
            <v>PUR-18-0580-00</v>
          </cell>
          <cell r="F6313">
            <v>881207486539</v>
          </cell>
        </row>
        <row r="6314">
          <cell r="E6314" t="str">
            <v>LUC-E00-470013-00</v>
          </cell>
          <cell r="F6314">
            <v>411336061216</v>
          </cell>
        </row>
        <row r="6315">
          <cell r="E6315" t="str">
            <v>PUR-24-0031-00</v>
          </cell>
          <cell r="F6315">
            <v>411336061216</v>
          </cell>
        </row>
        <row r="6316">
          <cell r="E6316" t="str">
            <v>PUR-24-0031-00</v>
          </cell>
          <cell r="F6316">
            <v>411336061216</v>
          </cell>
        </row>
        <row r="6317">
          <cell r="E6317" t="str">
            <v>141-001538</v>
          </cell>
          <cell r="F6317">
            <v>881214311850</v>
          </cell>
        </row>
        <row r="6318">
          <cell r="E6318" t="str">
            <v>PUR-11-0104-05</v>
          </cell>
          <cell r="F6318">
            <v>4812810680</v>
          </cell>
        </row>
        <row r="6319">
          <cell r="E6319" t="str">
            <v>PUR-11-0104-05</v>
          </cell>
          <cell r="F6319">
            <v>4812810680</v>
          </cell>
        </row>
        <row r="6320">
          <cell r="E6320" t="str">
            <v>PUR-11-0104-05</v>
          </cell>
          <cell r="F6320">
            <v>4812810680</v>
          </cell>
        </row>
        <row r="6321">
          <cell r="E6321" t="str">
            <v>PUR-11-0104-05</v>
          </cell>
          <cell r="F6321">
            <v>4812810680</v>
          </cell>
        </row>
        <row r="6322">
          <cell r="E6322" t="str">
            <v>LUC-EZZ-690131-00</v>
          </cell>
          <cell r="F6322">
            <v>4110324324</v>
          </cell>
        </row>
        <row r="6323">
          <cell r="E6323" t="str">
            <v>LUC-EZZ-690708-00</v>
          </cell>
          <cell r="F6323">
            <v>4110324325</v>
          </cell>
        </row>
        <row r="6324">
          <cell r="E6324" t="str">
            <v>PUR-16-0037-00</v>
          </cell>
          <cell r="F6324" t="str">
            <v>LSZHPH2504812</v>
          </cell>
        </row>
        <row r="6325">
          <cell r="E6325" t="str">
            <v>PUR-16-0049-01</v>
          </cell>
          <cell r="F6325" t="str">
            <v>LSZHPH2504812</v>
          </cell>
        </row>
        <row r="6326">
          <cell r="E6326" t="str">
            <v>LUC-EZZ-421298-00</v>
          </cell>
          <cell r="F6326">
            <v>1197585513</v>
          </cell>
        </row>
        <row r="6327">
          <cell r="E6327" t="str">
            <v>EF-45130942</v>
          </cell>
          <cell r="F6327">
            <v>1197585513</v>
          </cell>
        </row>
        <row r="6328">
          <cell r="E6328" t="str">
            <v>LUC-E00-400001-003</v>
          </cell>
          <cell r="F6328">
            <v>1197585513</v>
          </cell>
        </row>
        <row r="6329">
          <cell r="E6329" t="str">
            <v>LUC-E00-400067-211</v>
          </cell>
          <cell r="F6329">
            <v>1197585513</v>
          </cell>
        </row>
        <row r="6330">
          <cell r="E6330" t="str">
            <v>PUR-27-0028-00</v>
          </cell>
          <cell r="F6330">
            <v>1197585513</v>
          </cell>
        </row>
        <row r="6331">
          <cell r="E6331" t="str">
            <v>LUC-EZZ-441374-00</v>
          </cell>
          <cell r="F6331">
            <v>1197585513</v>
          </cell>
        </row>
        <row r="6332">
          <cell r="E6332" t="str">
            <v>LUC-EZZ-441374-00</v>
          </cell>
          <cell r="F6332">
            <v>1197585513</v>
          </cell>
        </row>
        <row r="6333">
          <cell r="E6333" t="str">
            <v>LUC-EZZ-401060-00</v>
          </cell>
          <cell r="F6333">
            <v>1197585513</v>
          </cell>
        </row>
        <row r="6334">
          <cell r="E6334" t="str">
            <v>LUC-EZZ-420364-00</v>
          </cell>
          <cell r="F6334">
            <v>1197585513</v>
          </cell>
        </row>
        <row r="6335">
          <cell r="E6335" t="str">
            <v>PUR-13-0164-00</v>
          </cell>
          <cell r="F6335">
            <v>1197585513</v>
          </cell>
        </row>
        <row r="6336">
          <cell r="E6336" t="str">
            <v>PUR-27-0020-00</v>
          </cell>
          <cell r="F6336">
            <v>1197585513</v>
          </cell>
        </row>
        <row r="6337">
          <cell r="E6337" t="str">
            <v>LUC-E00-400017-000</v>
          </cell>
          <cell r="F6337">
            <v>1197585513</v>
          </cell>
        </row>
        <row r="6338">
          <cell r="E6338" t="str">
            <v>LUC-E00-400001-012</v>
          </cell>
          <cell r="F6338">
            <v>1197585723</v>
          </cell>
        </row>
        <row r="6339">
          <cell r="E6339" t="str">
            <v>HLOB-03-0113-00</v>
          </cell>
          <cell r="F6339" t="str">
            <v>8TV4118</v>
          </cell>
        </row>
        <row r="6340">
          <cell r="E6340" t="str">
            <v>HLOB-03-0113-00</v>
          </cell>
          <cell r="F6340" t="str">
            <v>8TV4119</v>
          </cell>
        </row>
        <row r="6341">
          <cell r="E6341" t="str">
            <v>HLOB-03-0113-00</v>
          </cell>
          <cell r="F6341" t="str">
            <v>8TV4120</v>
          </cell>
        </row>
        <row r="6342">
          <cell r="E6342" t="str">
            <v>HLOB-03-0113-00</v>
          </cell>
          <cell r="F6342" t="str">
            <v>8TV4121</v>
          </cell>
        </row>
        <row r="6343">
          <cell r="E6343" t="str">
            <v>HLOB-03-0113-00</v>
          </cell>
          <cell r="F6343" t="str">
            <v>8TV4122</v>
          </cell>
        </row>
        <row r="6344">
          <cell r="E6344" t="str">
            <v>HLOB-03-0113-00</v>
          </cell>
          <cell r="F6344" t="str">
            <v>8TV4123</v>
          </cell>
        </row>
        <row r="6345">
          <cell r="E6345" t="str">
            <v>HLOB-03-0113-00</v>
          </cell>
          <cell r="F6345" t="str">
            <v>8TV4124</v>
          </cell>
        </row>
        <row r="6346">
          <cell r="E6346" t="str">
            <v>PUR-03-0099-03</v>
          </cell>
          <cell r="F6346" t="str">
            <v>8TV4089</v>
          </cell>
        </row>
        <row r="6347">
          <cell r="E6347" t="str">
            <v>PUR-03-0092-03</v>
          </cell>
          <cell r="F6347" t="str">
            <v>8TV4097</v>
          </cell>
        </row>
        <row r="6348">
          <cell r="E6348" t="str">
            <v>PUR-03-0092-03</v>
          </cell>
          <cell r="F6348" t="str">
            <v>8TV4096</v>
          </cell>
        </row>
        <row r="6349">
          <cell r="E6349" t="str">
            <v>EF-45134693</v>
          </cell>
          <cell r="F6349">
            <v>881275697421</v>
          </cell>
        </row>
        <row r="6350">
          <cell r="E6350" t="str">
            <v>EF-45043819.X.X</v>
          </cell>
          <cell r="F6350">
            <v>881246026161</v>
          </cell>
        </row>
        <row r="6351">
          <cell r="E6351" t="str">
            <v>EF-45083316.X.X</v>
          </cell>
          <cell r="F6351">
            <v>881246026161</v>
          </cell>
        </row>
        <row r="6352">
          <cell r="E6352" t="str">
            <v>EF-45083316.X.X</v>
          </cell>
          <cell r="F6352">
            <v>881246026161</v>
          </cell>
        </row>
        <row r="6353">
          <cell r="E6353" t="str">
            <v>EF-45043826.X.X</v>
          </cell>
          <cell r="F6353">
            <v>881246026161</v>
          </cell>
        </row>
        <row r="6354">
          <cell r="E6354" t="str">
            <v>LUC-E00-420184-00</v>
          </cell>
          <cell r="F6354">
            <v>881246026161</v>
          </cell>
        </row>
        <row r="6355">
          <cell r="E6355" t="str">
            <v>EF-45043819.X.X</v>
          </cell>
          <cell r="F6355">
            <v>881246026161</v>
          </cell>
        </row>
        <row r="6356">
          <cell r="E6356" t="str">
            <v>PUR-12-0065-00</v>
          </cell>
          <cell r="F6356">
            <v>881246026161</v>
          </cell>
        </row>
        <row r="6357">
          <cell r="E6357" t="str">
            <v>LUC-E00-440003-01</v>
          </cell>
          <cell r="F6357">
            <v>458171546784</v>
          </cell>
        </row>
        <row r="6358">
          <cell r="E6358" t="str">
            <v>LUC-E00-440072-01</v>
          </cell>
          <cell r="F6358">
            <v>458171546784</v>
          </cell>
        </row>
        <row r="6359">
          <cell r="E6359" t="str">
            <v>LUC-E00-440124-00</v>
          </cell>
          <cell r="F6359">
            <v>458171546784</v>
          </cell>
        </row>
        <row r="6360">
          <cell r="E6360" t="str">
            <v>LUC-EZZ-440028-00</v>
          </cell>
          <cell r="F6360">
            <v>458171546784</v>
          </cell>
        </row>
        <row r="6361">
          <cell r="E6361" t="str">
            <v>LUC-E00-440077-02</v>
          </cell>
          <cell r="F6361">
            <v>458171546784</v>
          </cell>
        </row>
        <row r="6362">
          <cell r="E6362" t="str">
            <v>LUC-E00-440051-01</v>
          </cell>
          <cell r="F6362">
            <v>458171546784</v>
          </cell>
        </row>
        <row r="6363">
          <cell r="E6363" t="str">
            <v>LUC-EZZ-440099-00</v>
          </cell>
          <cell r="F6363">
            <v>458171546784</v>
          </cell>
        </row>
        <row r="6364">
          <cell r="E6364" t="str">
            <v>PUR-09-0434-00</v>
          </cell>
          <cell r="F6364">
            <v>458307753068</v>
          </cell>
        </row>
        <row r="6365">
          <cell r="E6365" t="str">
            <v>PUR-09-0434-00</v>
          </cell>
          <cell r="F6365">
            <v>458307753068</v>
          </cell>
        </row>
        <row r="6366">
          <cell r="E6366" t="str">
            <v>EF-45091073.X.X</v>
          </cell>
          <cell r="F6366">
            <v>458307753068</v>
          </cell>
        </row>
        <row r="6367">
          <cell r="E6367" t="str">
            <v>PUR-09-0434-00</v>
          </cell>
          <cell r="F6367">
            <v>458307753068</v>
          </cell>
        </row>
        <row r="6368">
          <cell r="E6368" t="str">
            <v>PUR-15-0228-00</v>
          </cell>
          <cell r="F6368">
            <v>458307753068</v>
          </cell>
        </row>
        <row r="6369">
          <cell r="E6369" t="str">
            <v>EF-45074500.X.X</v>
          </cell>
          <cell r="F6369">
            <v>458307753068</v>
          </cell>
        </row>
        <row r="6370">
          <cell r="E6370" t="str">
            <v>LUC-E00-400001-005</v>
          </cell>
          <cell r="F6370">
            <v>458307781079</v>
          </cell>
        </row>
        <row r="6371">
          <cell r="E6371" t="str">
            <v>PUR-09-0256-00</v>
          </cell>
          <cell r="F6371">
            <v>458307780337</v>
          </cell>
        </row>
        <row r="6372">
          <cell r="E6372" t="str">
            <v>EF-45103518</v>
          </cell>
          <cell r="F6372">
            <v>458307780337</v>
          </cell>
        </row>
        <row r="6373">
          <cell r="E6373" t="str">
            <v>EF-45130014</v>
          </cell>
          <cell r="F6373">
            <v>458307780337</v>
          </cell>
        </row>
        <row r="6374">
          <cell r="E6374" t="str">
            <v>EF-45071390.X.X</v>
          </cell>
          <cell r="F6374">
            <v>458307780337</v>
          </cell>
        </row>
        <row r="6375">
          <cell r="E6375" t="str">
            <v>HLOB-09-0256-00</v>
          </cell>
          <cell r="F6375">
            <v>458307780337</v>
          </cell>
        </row>
        <row r="6376">
          <cell r="E6376" t="str">
            <v>LUC-EZZ-400201-00</v>
          </cell>
          <cell r="F6376">
            <v>458307780337</v>
          </cell>
        </row>
        <row r="6377">
          <cell r="E6377" t="str">
            <v>PUR-12-0411-00</v>
          </cell>
          <cell r="F6377">
            <v>458307780337</v>
          </cell>
        </row>
        <row r="6378">
          <cell r="E6378" t="str">
            <v>LUC-E00-450176-00</v>
          </cell>
          <cell r="F6378">
            <v>458307780337</v>
          </cell>
        </row>
        <row r="6379">
          <cell r="E6379" t="str">
            <v>EF-45130014</v>
          </cell>
          <cell r="F6379">
            <v>458307780337</v>
          </cell>
        </row>
        <row r="6380">
          <cell r="E6380" t="str">
            <v>LUC-EZZ-400231-00</v>
          </cell>
          <cell r="F6380">
            <v>458307780337</v>
          </cell>
        </row>
        <row r="6381">
          <cell r="E6381" t="str">
            <v>EF-45130014</v>
          </cell>
          <cell r="F6381">
            <v>458307780337</v>
          </cell>
        </row>
        <row r="6382">
          <cell r="E6382" t="str">
            <v>HLOB-09-0346-00</v>
          </cell>
          <cell r="F6382">
            <v>458307780337</v>
          </cell>
        </row>
        <row r="6383">
          <cell r="E6383" t="str">
            <v>PUR-09-0256-00</v>
          </cell>
          <cell r="F6383">
            <v>458307780337</v>
          </cell>
        </row>
        <row r="6384">
          <cell r="E6384" t="str">
            <v>LUC-EZZ-400231-00</v>
          </cell>
          <cell r="F6384">
            <v>458307780337</v>
          </cell>
        </row>
        <row r="6385">
          <cell r="E6385" t="str">
            <v>EF-45110600.X.X</v>
          </cell>
          <cell r="F6385">
            <v>458307780337</v>
          </cell>
        </row>
        <row r="6386">
          <cell r="E6386" t="str">
            <v>LUC-E00-400010-005</v>
          </cell>
          <cell r="F6386">
            <v>458307780337</v>
          </cell>
        </row>
        <row r="6387">
          <cell r="E6387" t="str">
            <v>LUC-E00-400010-005</v>
          </cell>
          <cell r="F6387">
            <v>458307780337</v>
          </cell>
        </row>
        <row r="6388">
          <cell r="E6388" t="str">
            <v>EF-45130484</v>
          </cell>
          <cell r="F6388">
            <v>458307785122</v>
          </cell>
        </row>
        <row r="6389">
          <cell r="E6389" t="str">
            <v>AIC-MP-00005825-000</v>
          </cell>
          <cell r="F6389">
            <v>881239852000</v>
          </cell>
        </row>
        <row r="6390">
          <cell r="E6390" t="str">
            <v>LUC-E00-420084-00</v>
          </cell>
          <cell r="F6390">
            <v>972682021086</v>
          </cell>
        </row>
        <row r="6391">
          <cell r="E6391" t="str">
            <v>PUR-12-0430-00</v>
          </cell>
          <cell r="F6391">
            <v>972682021086</v>
          </cell>
        </row>
        <row r="6392">
          <cell r="E6392" t="str">
            <v>PURET-24-0008-00</v>
          </cell>
          <cell r="F6392">
            <v>972682021086</v>
          </cell>
        </row>
        <row r="6393">
          <cell r="E6393" t="str">
            <v>LUC-E00-420054-03</v>
          </cell>
          <cell r="F6393">
            <v>972682021086</v>
          </cell>
        </row>
        <row r="6394">
          <cell r="E6394" t="str">
            <v>EF-45046246.X.X</v>
          </cell>
          <cell r="F6394">
            <v>972682021086</v>
          </cell>
        </row>
        <row r="6395">
          <cell r="E6395" t="str">
            <v>LUC-E00-470072-00</v>
          </cell>
          <cell r="F6395">
            <v>6321698320</v>
          </cell>
        </row>
        <row r="6396">
          <cell r="E6396" t="str">
            <v>LUC-E00-470085-00</v>
          </cell>
          <cell r="F6396">
            <v>6321698320</v>
          </cell>
        </row>
        <row r="6397">
          <cell r="E6397" t="str">
            <v>EF-45120874.X.X</v>
          </cell>
          <cell r="F6397">
            <v>6321698320</v>
          </cell>
        </row>
        <row r="6398">
          <cell r="E6398" t="str">
            <v>PUR-03-0096-02</v>
          </cell>
          <cell r="F6398" t="str">
            <v>8TV4102</v>
          </cell>
        </row>
        <row r="6399">
          <cell r="E6399" t="str">
            <v>PUR-03-0096-02</v>
          </cell>
          <cell r="F6399" t="str">
            <v>8TV4106</v>
          </cell>
        </row>
        <row r="6400">
          <cell r="E6400" t="str">
            <v>PUR-03-0099-03</v>
          </cell>
          <cell r="F6400" t="str">
            <v>8TV4113</v>
          </cell>
        </row>
        <row r="6401">
          <cell r="E6401" t="str">
            <v>PUR-03-0096-02</v>
          </cell>
          <cell r="F6401" t="str">
            <v>8TV4113</v>
          </cell>
        </row>
        <row r="6402">
          <cell r="E6402" t="str">
            <v>PUR-12-0297-00</v>
          </cell>
          <cell r="F6402">
            <v>4914870612</v>
          </cell>
        </row>
        <row r="6403">
          <cell r="E6403" t="str">
            <v>PUR-12-0297-00</v>
          </cell>
          <cell r="F6403">
            <v>4914870612</v>
          </cell>
        </row>
        <row r="6404">
          <cell r="E6404" t="str">
            <v>PURET-12-0212-00</v>
          </cell>
          <cell r="F6404">
            <v>4914870612</v>
          </cell>
        </row>
        <row r="6405">
          <cell r="E6405" t="str">
            <v>EF-45125129</v>
          </cell>
          <cell r="F6405">
            <v>4914870612</v>
          </cell>
        </row>
        <row r="6406">
          <cell r="E6406" t="str">
            <v>PUR-12-0304-00</v>
          </cell>
          <cell r="F6406">
            <v>4914870612</v>
          </cell>
        </row>
        <row r="6407">
          <cell r="E6407" t="str">
            <v>PUR-12-0304-00</v>
          </cell>
          <cell r="F6407">
            <v>4914870612</v>
          </cell>
        </row>
        <row r="6408">
          <cell r="E6408" t="str">
            <v>PUR-12-0304-00</v>
          </cell>
          <cell r="F6408">
            <v>4914870612</v>
          </cell>
        </row>
        <row r="6409">
          <cell r="E6409" t="str">
            <v>EF-45044094.X.X</v>
          </cell>
          <cell r="F6409">
            <v>4914870612</v>
          </cell>
        </row>
        <row r="6410">
          <cell r="E6410" t="str">
            <v>PUR-12-0482-00</v>
          </cell>
          <cell r="F6410">
            <v>4914870612</v>
          </cell>
        </row>
        <row r="6411">
          <cell r="E6411" t="str">
            <v>PUR-12-0482-00</v>
          </cell>
          <cell r="F6411">
            <v>4914870612</v>
          </cell>
        </row>
        <row r="6412">
          <cell r="E6412" t="str">
            <v>PUR-12-0423-00</v>
          </cell>
          <cell r="F6412">
            <v>4914870612</v>
          </cell>
        </row>
        <row r="6413">
          <cell r="E6413" t="str">
            <v>PUR-12-0430-00</v>
          </cell>
          <cell r="F6413">
            <v>4914870612</v>
          </cell>
        </row>
        <row r="6414">
          <cell r="E6414" t="str">
            <v>PUR-13-0156-00</v>
          </cell>
          <cell r="F6414">
            <v>4914870612</v>
          </cell>
        </row>
        <row r="6415">
          <cell r="E6415" t="str">
            <v>PUR-13-0241-00</v>
          </cell>
          <cell r="F6415">
            <v>4914870612</v>
          </cell>
        </row>
        <row r="6416">
          <cell r="E6416" t="str">
            <v>PUR-13-0241-00</v>
          </cell>
          <cell r="F6416">
            <v>4914870612</v>
          </cell>
        </row>
        <row r="6417">
          <cell r="E6417" t="str">
            <v>PUR-13-0226-00</v>
          </cell>
          <cell r="F6417">
            <v>4914870612</v>
          </cell>
        </row>
        <row r="6418">
          <cell r="E6418" t="str">
            <v>122-000673.X.X</v>
          </cell>
          <cell r="F6418">
            <v>4914870612</v>
          </cell>
        </row>
        <row r="6419">
          <cell r="E6419" t="str">
            <v>EF-45043352.X.X</v>
          </cell>
          <cell r="F6419">
            <v>4914870612</v>
          </cell>
        </row>
        <row r="6420">
          <cell r="E6420" t="str">
            <v>PURET-13-0119-00</v>
          </cell>
          <cell r="F6420">
            <v>4914870612</v>
          </cell>
        </row>
        <row r="6421">
          <cell r="E6421" t="str">
            <v>PUR-14-0051-00</v>
          </cell>
          <cell r="F6421">
            <v>4914870612</v>
          </cell>
        </row>
        <row r="6422">
          <cell r="E6422" t="str">
            <v>PURET-13-0001-00</v>
          </cell>
          <cell r="F6422">
            <v>4914870612</v>
          </cell>
        </row>
        <row r="6423">
          <cell r="E6423" t="str">
            <v>LUC-EZZ-420501-00</v>
          </cell>
          <cell r="F6423">
            <v>4914870612</v>
          </cell>
        </row>
        <row r="6424">
          <cell r="E6424" t="str">
            <v>LUC-E00-420025-03</v>
          </cell>
          <cell r="F6424">
            <v>4914870612</v>
          </cell>
        </row>
        <row r="6425">
          <cell r="E6425" t="str">
            <v>LUC-E00-420025-04</v>
          </cell>
          <cell r="F6425">
            <v>4914870612</v>
          </cell>
        </row>
        <row r="6426">
          <cell r="E6426" t="str">
            <v>LUC-EZZ-421132-00</v>
          </cell>
          <cell r="F6426">
            <v>4914870612</v>
          </cell>
        </row>
        <row r="6427">
          <cell r="E6427" t="str">
            <v>LUC-EZZ-420148-00</v>
          </cell>
          <cell r="F6427">
            <v>4914870612</v>
          </cell>
        </row>
        <row r="6428">
          <cell r="E6428" t="str">
            <v>LUC-EZZ-420148-00</v>
          </cell>
          <cell r="F6428">
            <v>4914870612</v>
          </cell>
        </row>
        <row r="6429">
          <cell r="E6429" t="str">
            <v>LUC-E00-420025-03</v>
          </cell>
          <cell r="F6429">
            <v>4914870612</v>
          </cell>
        </row>
        <row r="6430">
          <cell r="E6430" t="str">
            <v>LUC-E00-420025-03</v>
          </cell>
          <cell r="F6430">
            <v>4914870612</v>
          </cell>
        </row>
        <row r="6431">
          <cell r="E6431" t="str">
            <v>PUR-12-0423-00</v>
          </cell>
          <cell r="F6431">
            <v>4914870612</v>
          </cell>
        </row>
        <row r="6432">
          <cell r="E6432" t="str">
            <v>121-001823</v>
          </cell>
          <cell r="F6432">
            <v>4914870612</v>
          </cell>
        </row>
        <row r="6433">
          <cell r="E6433" t="str">
            <v>PUR-12-0423-00</v>
          </cell>
          <cell r="F6433">
            <v>4914870612</v>
          </cell>
        </row>
        <row r="6434">
          <cell r="E6434" t="str">
            <v>PUR-12-0423-00</v>
          </cell>
          <cell r="F6434">
            <v>4914870612</v>
          </cell>
        </row>
        <row r="6435">
          <cell r="E6435" t="str">
            <v>121-001823</v>
          </cell>
          <cell r="F6435">
            <v>4914870612</v>
          </cell>
        </row>
        <row r="6436">
          <cell r="E6436" t="str">
            <v>122-000919.X.X</v>
          </cell>
          <cell r="F6436">
            <v>4914870612</v>
          </cell>
        </row>
        <row r="6437">
          <cell r="E6437" t="str">
            <v>LUC-EZZ-400042-00</v>
          </cell>
          <cell r="F6437">
            <v>4914870612</v>
          </cell>
        </row>
        <row r="6438">
          <cell r="E6438" t="str">
            <v>121-000588.X.X</v>
          </cell>
          <cell r="F6438">
            <v>4914870612</v>
          </cell>
        </row>
        <row r="6439">
          <cell r="E6439" t="str">
            <v>PURET-12-0212-00</v>
          </cell>
          <cell r="F6439">
            <v>4914870612</v>
          </cell>
        </row>
        <row r="6440">
          <cell r="E6440" t="str">
            <v>PURET-12-0017-00</v>
          </cell>
          <cell r="F6440">
            <v>4914870612</v>
          </cell>
        </row>
        <row r="6441">
          <cell r="E6441" t="str">
            <v>121-001823</v>
          </cell>
          <cell r="F6441">
            <v>4914870612</v>
          </cell>
        </row>
        <row r="6442">
          <cell r="E6442" t="str">
            <v>PUR-12-0297-00</v>
          </cell>
          <cell r="F6442">
            <v>4914870612</v>
          </cell>
        </row>
        <row r="6443">
          <cell r="E6443" t="str">
            <v>EF-45043352.X.X</v>
          </cell>
          <cell r="F6443">
            <v>4914870612</v>
          </cell>
        </row>
        <row r="6444">
          <cell r="E6444" t="str">
            <v>EF-45108860</v>
          </cell>
          <cell r="F6444">
            <v>4914870612</v>
          </cell>
        </row>
        <row r="6445">
          <cell r="E6445" t="str">
            <v>PUR-14-0051-00</v>
          </cell>
          <cell r="F6445">
            <v>4914870612</v>
          </cell>
        </row>
        <row r="6446">
          <cell r="E6446" t="str">
            <v>PUR-13-0215-00</v>
          </cell>
          <cell r="F6446">
            <v>4914870612</v>
          </cell>
        </row>
        <row r="6447">
          <cell r="E6447" t="str">
            <v>EF-45054376.X.X</v>
          </cell>
          <cell r="F6447">
            <v>4914870612</v>
          </cell>
        </row>
        <row r="6448">
          <cell r="E6448" t="str">
            <v>LUC-EZZ-420822-00</v>
          </cell>
          <cell r="F6448">
            <v>4914870612</v>
          </cell>
        </row>
        <row r="6449">
          <cell r="E6449" t="str">
            <v>PURET-12-0212-00</v>
          </cell>
          <cell r="F6449">
            <v>4914870612</v>
          </cell>
        </row>
        <row r="6450">
          <cell r="E6450" t="str">
            <v>PURET-12-0212-00</v>
          </cell>
          <cell r="F6450">
            <v>4914870612</v>
          </cell>
        </row>
        <row r="6451">
          <cell r="E6451" t="str">
            <v>PURET-13-0006-00</v>
          </cell>
          <cell r="F6451">
            <v>4914870612</v>
          </cell>
        </row>
        <row r="6452">
          <cell r="E6452" t="str">
            <v>PUR-14-0086-00</v>
          </cell>
          <cell r="F6452">
            <v>4914870612</v>
          </cell>
        </row>
        <row r="6453">
          <cell r="E6453" t="str">
            <v>PUR-14-0086-00</v>
          </cell>
          <cell r="F6453">
            <v>4914870612</v>
          </cell>
        </row>
        <row r="6454">
          <cell r="E6454" t="str">
            <v>PUR-14-0086-00</v>
          </cell>
          <cell r="F6454">
            <v>4914870612</v>
          </cell>
        </row>
        <row r="6455">
          <cell r="E6455" t="str">
            <v>LUC-P21-K33600-02</v>
          </cell>
          <cell r="F6455" t="str">
            <v>LSHHPH2503774</v>
          </cell>
        </row>
        <row r="6456">
          <cell r="E6456" t="str">
            <v>LUC-P21-K61200-02</v>
          </cell>
          <cell r="F6456" t="str">
            <v>LSHHPH2503774</v>
          </cell>
        </row>
        <row r="6457">
          <cell r="E6457" t="str">
            <v>LUC-P21-K33200-02</v>
          </cell>
          <cell r="F6457" t="str">
            <v>LSHHPH2503774</v>
          </cell>
        </row>
        <row r="6458">
          <cell r="E6458" t="str">
            <v>LUC-P11-L1AU00-02</v>
          </cell>
          <cell r="F6458" t="str">
            <v>JHW25050144</v>
          </cell>
        </row>
        <row r="6459">
          <cell r="E6459" t="str">
            <v>PUR-11-0065-06</v>
          </cell>
          <cell r="F6459" t="str">
            <v>LSZHPH2504760</v>
          </cell>
        </row>
        <row r="6460">
          <cell r="E6460" t="str">
            <v>PUR-11-0066-05</v>
          </cell>
          <cell r="F6460" t="str">
            <v>LSZHPH2504760</v>
          </cell>
        </row>
        <row r="6461">
          <cell r="E6461" t="str">
            <v>PUR-11-0106-05</v>
          </cell>
          <cell r="F6461" t="str">
            <v>LSZHPH2504760</v>
          </cell>
        </row>
        <row r="6462">
          <cell r="E6462" t="str">
            <v>PUR-11-0106-05</v>
          </cell>
          <cell r="F6462" t="str">
            <v>LSZHPH2504760</v>
          </cell>
        </row>
        <row r="6463">
          <cell r="E6463" t="str">
            <v>PUR-11-0106-05</v>
          </cell>
          <cell r="F6463" t="str">
            <v>LSZHPH2504760</v>
          </cell>
        </row>
        <row r="6464">
          <cell r="E6464" t="str">
            <v>PUR-11-0106-05</v>
          </cell>
          <cell r="F6464" t="str">
            <v>LSZHPH2504760</v>
          </cell>
        </row>
        <row r="6465">
          <cell r="E6465" t="str">
            <v>LUC-EZZ-690131-00</v>
          </cell>
          <cell r="F6465" t="str">
            <v>LSZHPH2504760</v>
          </cell>
        </row>
        <row r="6466">
          <cell r="E6466" t="str">
            <v>LUC-EZZ-690131-00</v>
          </cell>
          <cell r="F6466" t="str">
            <v>LSZHPH2504760</v>
          </cell>
        </row>
        <row r="6467">
          <cell r="E6467" t="str">
            <v>LUC-EZZ-690131-00</v>
          </cell>
          <cell r="F6467">
            <v>4110324541</v>
          </cell>
        </row>
        <row r="6468">
          <cell r="E6468" t="str">
            <v>LUC-EZZ-690131-00</v>
          </cell>
          <cell r="F6468">
            <v>4110324541</v>
          </cell>
        </row>
        <row r="6469">
          <cell r="E6469" t="str">
            <v>EF-45051531.X.X</v>
          </cell>
          <cell r="F6469">
            <v>5376572972</v>
          </cell>
        </row>
        <row r="6470">
          <cell r="E6470" t="str">
            <v>LUC-E00-400049-00</v>
          </cell>
          <cell r="F6470">
            <v>5376572972</v>
          </cell>
        </row>
        <row r="6471">
          <cell r="E6471" t="str">
            <v>LUC-E00-400049-00</v>
          </cell>
          <cell r="F6471">
            <v>5376572972</v>
          </cell>
        </row>
        <row r="6472">
          <cell r="E6472" t="str">
            <v>EF-45046558.X.X</v>
          </cell>
          <cell r="F6472">
            <v>5376567184</v>
          </cell>
        </row>
        <row r="6473">
          <cell r="E6473" t="str">
            <v>LUC-EZZ-400239-00</v>
          </cell>
          <cell r="F6473">
            <v>5376567184</v>
          </cell>
        </row>
        <row r="6474">
          <cell r="E6474" t="str">
            <v>EF-45058032</v>
          </cell>
          <cell r="F6474">
            <v>5376567184</v>
          </cell>
        </row>
        <row r="6475">
          <cell r="E6475" t="str">
            <v>LUC-E00-420135-00</v>
          </cell>
          <cell r="F6475">
            <v>5376567184</v>
          </cell>
        </row>
        <row r="6476">
          <cell r="E6476" t="str">
            <v>LUC-E00-420135-00</v>
          </cell>
          <cell r="F6476">
            <v>5376567184</v>
          </cell>
        </row>
        <row r="6477">
          <cell r="E6477" t="str">
            <v>LUC-E00-420135-00</v>
          </cell>
          <cell r="F6477">
            <v>5376567184</v>
          </cell>
        </row>
        <row r="6478">
          <cell r="E6478" t="str">
            <v>LUC-E00-420135-00</v>
          </cell>
          <cell r="F6478">
            <v>5376567184</v>
          </cell>
        </row>
        <row r="6479">
          <cell r="E6479" t="str">
            <v>LUC-E00-420135-00</v>
          </cell>
          <cell r="F6479">
            <v>5376567184</v>
          </cell>
        </row>
        <row r="6480">
          <cell r="E6480" t="str">
            <v>EF-45044050.X.X</v>
          </cell>
          <cell r="F6480">
            <v>5376567184</v>
          </cell>
        </row>
        <row r="6481">
          <cell r="E6481" t="str">
            <v>PUR-14-0105-00</v>
          </cell>
          <cell r="F6481">
            <v>5376567184</v>
          </cell>
        </row>
        <row r="6482">
          <cell r="E6482" t="str">
            <v>PUR-14-0105-00</v>
          </cell>
          <cell r="F6482">
            <v>5376567184</v>
          </cell>
        </row>
        <row r="6483">
          <cell r="E6483" t="str">
            <v>EF-45042451</v>
          </cell>
          <cell r="F6483">
            <v>5376567184</v>
          </cell>
        </row>
        <row r="6484">
          <cell r="E6484" t="str">
            <v>122-000293.X.X</v>
          </cell>
          <cell r="F6484">
            <v>5376567184</v>
          </cell>
        </row>
        <row r="6485">
          <cell r="E6485" t="str">
            <v>EF-45130563</v>
          </cell>
          <cell r="F6485">
            <v>5376567184</v>
          </cell>
        </row>
        <row r="6486">
          <cell r="E6486" t="str">
            <v>EF-45076928.X.X</v>
          </cell>
          <cell r="F6486">
            <v>5376567184</v>
          </cell>
        </row>
        <row r="6487">
          <cell r="E6487" t="str">
            <v>LUC-E00-420135-00</v>
          </cell>
          <cell r="F6487">
            <v>5376567184</v>
          </cell>
        </row>
        <row r="6488">
          <cell r="E6488" t="str">
            <v>PUR-13-0157-00</v>
          </cell>
          <cell r="F6488">
            <v>5376567184</v>
          </cell>
        </row>
        <row r="6489">
          <cell r="E6489" t="str">
            <v>PUR-13-0161-00</v>
          </cell>
          <cell r="F6489">
            <v>5376567184</v>
          </cell>
        </row>
        <row r="6490">
          <cell r="E6490" t="str">
            <v>PURET-12-0084-00</v>
          </cell>
          <cell r="F6490">
            <v>5376567184</v>
          </cell>
        </row>
        <row r="6491">
          <cell r="E6491" t="str">
            <v>PUR-24-0024-00</v>
          </cell>
          <cell r="F6491">
            <v>5376567184</v>
          </cell>
        </row>
        <row r="6492">
          <cell r="E6492" t="str">
            <v>LUC-E00-400004-01</v>
          </cell>
          <cell r="F6492">
            <v>5376567184</v>
          </cell>
        </row>
        <row r="6493">
          <cell r="E6493" t="str">
            <v>EF-45072100.X.X</v>
          </cell>
          <cell r="F6493">
            <v>5376567184</v>
          </cell>
        </row>
        <row r="6494">
          <cell r="E6494" t="str">
            <v>EF-45139805</v>
          </cell>
          <cell r="F6494">
            <v>5376567184</v>
          </cell>
        </row>
        <row r="6495">
          <cell r="E6495" t="str">
            <v>EF-45090224.X.X</v>
          </cell>
          <cell r="F6495">
            <v>5376567184</v>
          </cell>
        </row>
        <row r="6496">
          <cell r="E6496" t="str">
            <v>EF-45044050.X.X</v>
          </cell>
          <cell r="F6496">
            <v>5376567184</v>
          </cell>
        </row>
        <row r="6497">
          <cell r="E6497" t="str">
            <v>EF-45072100.X.X</v>
          </cell>
          <cell r="F6497">
            <v>5376567184</v>
          </cell>
        </row>
        <row r="6498">
          <cell r="E6498" t="str">
            <v>EF-45126672</v>
          </cell>
          <cell r="F6498">
            <v>5376567184</v>
          </cell>
        </row>
        <row r="6499">
          <cell r="E6499" t="str">
            <v>PUR-14-0102-00</v>
          </cell>
          <cell r="F6499">
            <v>5376567184</v>
          </cell>
        </row>
        <row r="6500">
          <cell r="E6500" t="str">
            <v>PUR-09-0422-00</v>
          </cell>
          <cell r="F6500">
            <v>5376567184</v>
          </cell>
        </row>
        <row r="6501">
          <cell r="E6501" t="str">
            <v>EF-45072119</v>
          </cell>
          <cell r="F6501">
            <v>5376567184</v>
          </cell>
        </row>
        <row r="6502">
          <cell r="E6502" t="str">
            <v>PUR-12-0288-00</v>
          </cell>
          <cell r="F6502">
            <v>5376567184</v>
          </cell>
        </row>
        <row r="6503">
          <cell r="E6503" t="str">
            <v>EF-45126672</v>
          </cell>
          <cell r="F6503">
            <v>5376567184</v>
          </cell>
        </row>
        <row r="6504">
          <cell r="E6504" t="str">
            <v>EF-45113575</v>
          </cell>
          <cell r="F6504">
            <v>5376567184</v>
          </cell>
        </row>
        <row r="6505">
          <cell r="E6505" t="str">
            <v>PUR-14-0049-00</v>
          </cell>
          <cell r="F6505">
            <v>5376567184</v>
          </cell>
        </row>
        <row r="6506">
          <cell r="E6506" t="str">
            <v>PUR-13-0215-00</v>
          </cell>
          <cell r="F6506">
            <v>5376567184</v>
          </cell>
        </row>
        <row r="6507">
          <cell r="E6507" t="str">
            <v>EF-45033295</v>
          </cell>
          <cell r="F6507">
            <v>5376567184</v>
          </cell>
        </row>
        <row r="6508">
          <cell r="E6508" t="str">
            <v>PUR-14-0049-00</v>
          </cell>
          <cell r="F6508">
            <v>5376567184</v>
          </cell>
        </row>
        <row r="6509">
          <cell r="E6509" t="str">
            <v>PUR-14-0049-00</v>
          </cell>
          <cell r="F6509">
            <v>5376567184</v>
          </cell>
        </row>
        <row r="6510">
          <cell r="E6510" t="str">
            <v>EF-45044050.X.X</v>
          </cell>
          <cell r="F6510">
            <v>5376567184</v>
          </cell>
        </row>
        <row r="6511">
          <cell r="E6511" t="str">
            <v>PUR-12-0432-00</v>
          </cell>
          <cell r="F6511">
            <v>5376567184</v>
          </cell>
        </row>
        <row r="6512">
          <cell r="E6512" t="str">
            <v>PUR-14-0083-00</v>
          </cell>
          <cell r="F6512">
            <v>5376567184</v>
          </cell>
        </row>
        <row r="6513">
          <cell r="E6513" t="str">
            <v>LUC-E00-470093-00</v>
          </cell>
          <cell r="F6513">
            <v>288781136191</v>
          </cell>
        </row>
        <row r="6514">
          <cell r="E6514" t="str">
            <v>EF-45127245.X.X</v>
          </cell>
          <cell r="F6514">
            <v>410797033153</v>
          </cell>
        </row>
        <row r="6515">
          <cell r="E6515" t="str">
            <v>EF-45130563</v>
          </cell>
          <cell r="F6515">
            <v>410797033153</v>
          </cell>
        </row>
        <row r="6516">
          <cell r="E6516" t="str">
            <v>EF-45043231</v>
          </cell>
          <cell r="F6516">
            <v>410797033175</v>
          </cell>
        </row>
        <row r="6517">
          <cell r="E6517" t="str">
            <v>HLOB-09-0213-00</v>
          </cell>
          <cell r="F6517">
            <v>119209598496</v>
          </cell>
        </row>
        <row r="6518">
          <cell r="E6518" t="str">
            <v>LUC-E00-470432-00</v>
          </cell>
          <cell r="F6518">
            <v>119209598496</v>
          </cell>
        </row>
        <row r="6519">
          <cell r="E6519" t="str">
            <v>LUC-E00-470432-00</v>
          </cell>
          <cell r="F6519">
            <v>119209598496</v>
          </cell>
        </row>
        <row r="6520">
          <cell r="E6520" t="str">
            <v>HLOB-24-0002-00</v>
          </cell>
          <cell r="F6520">
            <v>119209598496</v>
          </cell>
        </row>
        <row r="6521">
          <cell r="E6521" t="str">
            <v>PURET-24-0002-00</v>
          </cell>
          <cell r="F6521">
            <v>119209598496</v>
          </cell>
        </row>
        <row r="6522">
          <cell r="E6522" t="str">
            <v>PURET-13-0022-00</v>
          </cell>
          <cell r="F6522">
            <v>119209598496</v>
          </cell>
        </row>
        <row r="6523">
          <cell r="E6523" t="str">
            <v>PURET-24-0002-00</v>
          </cell>
          <cell r="F6523">
            <v>119209598496</v>
          </cell>
        </row>
        <row r="6524">
          <cell r="E6524" t="str">
            <v>PURET-24-0002-00</v>
          </cell>
          <cell r="F6524">
            <v>119209598496</v>
          </cell>
        </row>
        <row r="6525">
          <cell r="E6525" t="str">
            <v>EF-45137191</v>
          </cell>
          <cell r="F6525">
            <v>119209598496</v>
          </cell>
        </row>
        <row r="6526">
          <cell r="E6526" t="str">
            <v>LUC-EZZ-440162-00</v>
          </cell>
          <cell r="F6526">
            <v>446052800403</v>
          </cell>
        </row>
        <row r="6527">
          <cell r="E6527" t="str">
            <v>LUC-EZZ-440018-00</v>
          </cell>
          <cell r="F6527">
            <v>446052800403</v>
          </cell>
        </row>
        <row r="6528">
          <cell r="E6528" t="str">
            <v>EF-45081678</v>
          </cell>
          <cell r="F6528">
            <v>455383431631</v>
          </cell>
        </row>
        <row r="6529">
          <cell r="E6529" t="str">
            <v>LUC-E00-470036-00</v>
          </cell>
          <cell r="F6529">
            <v>455383431631</v>
          </cell>
        </row>
        <row r="6530">
          <cell r="E6530" t="str">
            <v>EF-45111698</v>
          </cell>
          <cell r="F6530">
            <v>455383431631</v>
          </cell>
        </row>
        <row r="6531">
          <cell r="E6531" t="str">
            <v>LUC-E00-470042-00</v>
          </cell>
          <cell r="F6531">
            <v>455383431631</v>
          </cell>
        </row>
        <row r="6532">
          <cell r="E6532" t="str">
            <v>PUR-05-0031-00</v>
          </cell>
          <cell r="F6532">
            <v>458307775533</v>
          </cell>
        </row>
        <row r="6533">
          <cell r="E6533" t="str">
            <v>PUR-07-0210-00</v>
          </cell>
          <cell r="F6533">
            <v>454593966824</v>
          </cell>
        </row>
        <row r="6534">
          <cell r="E6534" t="str">
            <v>PUR-07-0315-00</v>
          </cell>
          <cell r="F6534">
            <v>454593966824</v>
          </cell>
        </row>
        <row r="6535">
          <cell r="E6535" t="str">
            <v>LUC-EZZ-400226-00</v>
          </cell>
          <cell r="F6535">
            <v>458307802416</v>
          </cell>
        </row>
        <row r="6536">
          <cell r="E6536" t="str">
            <v>EF-45187673</v>
          </cell>
          <cell r="F6536">
            <v>881293906090</v>
          </cell>
        </row>
        <row r="6537">
          <cell r="E6537" t="str">
            <v>EF-45130022</v>
          </cell>
          <cell r="F6537">
            <v>881293906090</v>
          </cell>
        </row>
        <row r="6538">
          <cell r="E6538" t="str">
            <v>LUC-E00-420071-00</v>
          </cell>
          <cell r="F6538">
            <v>458959310344</v>
          </cell>
        </row>
        <row r="6539">
          <cell r="E6539" t="str">
            <v>PUR-14-0050-00</v>
          </cell>
          <cell r="F6539">
            <v>458959310344</v>
          </cell>
        </row>
        <row r="6540">
          <cell r="E6540" t="str">
            <v>LUC-EZZ-470464-00</v>
          </cell>
          <cell r="F6540">
            <v>458959310344</v>
          </cell>
        </row>
        <row r="6541">
          <cell r="E6541" t="str">
            <v>LUC-EZZ-400054-00</v>
          </cell>
          <cell r="F6541">
            <v>458959310344</v>
          </cell>
        </row>
        <row r="6542">
          <cell r="E6542" t="str">
            <v>HLOB-13-0245-00</v>
          </cell>
          <cell r="F6542">
            <v>881302476480</v>
          </cell>
        </row>
        <row r="6543">
          <cell r="E6543" t="str">
            <v>EF-45129267</v>
          </cell>
          <cell r="F6543">
            <v>881302476480</v>
          </cell>
        </row>
        <row r="6544">
          <cell r="E6544" t="str">
            <v>PUR-07-0167-00</v>
          </cell>
          <cell r="F6544">
            <v>881269731962</v>
          </cell>
        </row>
        <row r="6545">
          <cell r="E6545" t="str">
            <v>EF-45155479</v>
          </cell>
          <cell r="F6545">
            <v>881269731962</v>
          </cell>
        </row>
        <row r="6546">
          <cell r="E6546" t="str">
            <v>EF-45103487</v>
          </cell>
          <cell r="F6546">
            <v>288707282047</v>
          </cell>
        </row>
        <row r="6547">
          <cell r="E6547" t="str">
            <v>LUC-E00-440043-00</v>
          </cell>
          <cell r="F6547">
            <v>288707282047</v>
          </cell>
        </row>
        <row r="6548">
          <cell r="E6548" t="str">
            <v>LUC-E00-440043-00</v>
          </cell>
          <cell r="F6548">
            <v>288707282047</v>
          </cell>
        </row>
        <row r="6549">
          <cell r="E6549" t="str">
            <v>EF-45092456</v>
          </cell>
          <cell r="F6549">
            <v>288707282047</v>
          </cell>
        </row>
        <row r="6550">
          <cell r="E6550" t="str">
            <v>EF-45092456</v>
          </cell>
          <cell r="F6550">
            <v>288707282047</v>
          </cell>
        </row>
        <row r="6551">
          <cell r="E6551" t="str">
            <v>AIC-MP-00006013-000</v>
          </cell>
          <cell r="F6551">
            <v>881298324407</v>
          </cell>
        </row>
        <row r="6552">
          <cell r="E6552" t="str">
            <v>LUC-P21-KA3200-00</v>
          </cell>
          <cell r="F6552">
            <v>433912095160</v>
          </cell>
        </row>
        <row r="6553">
          <cell r="E6553" t="str">
            <v>EF-45169197</v>
          </cell>
          <cell r="F6553">
            <v>433912096659</v>
          </cell>
        </row>
        <row r="6554">
          <cell r="E6554" t="str">
            <v>PUR-14-0083-00</v>
          </cell>
          <cell r="F6554">
            <v>400536644045</v>
          </cell>
        </row>
        <row r="6555">
          <cell r="E6555" t="str">
            <v>EF-45058007.X.X</v>
          </cell>
          <cell r="F6555">
            <v>881272371300</v>
          </cell>
        </row>
        <row r="6556">
          <cell r="E6556" t="str">
            <v>EF-45076937</v>
          </cell>
          <cell r="F6556">
            <v>881272371300</v>
          </cell>
        </row>
        <row r="6557">
          <cell r="E6557" t="str">
            <v>EF-45188276</v>
          </cell>
          <cell r="F6557">
            <v>881272371300</v>
          </cell>
        </row>
        <row r="6558">
          <cell r="E6558" t="str">
            <v>EF-45057846.X.X</v>
          </cell>
          <cell r="F6558">
            <v>881272371300</v>
          </cell>
        </row>
        <row r="6559">
          <cell r="E6559" t="str">
            <v>EF-45043536.X.X</v>
          </cell>
          <cell r="F6559">
            <v>881272371300</v>
          </cell>
        </row>
        <row r="6560">
          <cell r="E6560" t="str">
            <v>EF-45090819</v>
          </cell>
          <cell r="F6560">
            <v>881272371300</v>
          </cell>
        </row>
        <row r="6561">
          <cell r="E6561" t="str">
            <v>LUC-E00-470175-00</v>
          </cell>
          <cell r="F6561">
            <v>881272371300</v>
          </cell>
        </row>
        <row r="6562">
          <cell r="E6562" t="str">
            <v>LUC-E00-470175-00</v>
          </cell>
          <cell r="F6562">
            <v>881272371300</v>
          </cell>
        </row>
        <row r="6563">
          <cell r="E6563" t="str">
            <v>LUC-E00-470074-00</v>
          </cell>
          <cell r="F6563">
            <v>881272371300</v>
          </cell>
        </row>
        <row r="6564">
          <cell r="E6564" t="str">
            <v>LUC-E00-510020-00</v>
          </cell>
          <cell r="F6564">
            <v>881272371300</v>
          </cell>
        </row>
        <row r="6565">
          <cell r="E6565" t="str">
            <v>LUC-E00-400012-001</v>
          </cell>
          <cell r="F6565">
            <v>881272371300</v>
          </cell>
        </row>
        <row r="6566">
          <cell r="E6566" t="str">
            <v>PUR-09-0427-00</v>
          </cell>
          <cell r="F6566">
            <v>881272371300</v>
          </cell>
        </row>
        <row r="6567">
          <cell r="E6567" t="str">
            <v>EF-45122009</v>
          </cell>
          <cell r="F6567">
            <v>881272371300</v>
          </cell>
        </row>
        <row r="6568">
          <cell r="E6568" t="str">
            <v>LUC-E00-420037-14</v>
          </cell>
          <cell r="F6568">
            <v>881272371300</v>
          </cell>
        </row>
        <row r="6569">
          <cell r="E6569" t="str">
            <v>EF-45027595</v>
          </cell>
          <cell r="F6569">
            <v>881272371300</v>
          </cell>
        </row>
        <row r="6570">
          <cell r="E6570" t="str">
            <v>LUC-E00-420045-00</v>
          </cell>
          <cell r="F6570">
            <v>881272371300</v>
          </cell>
        </row>
        <row r="6571">
          <cell r="E6571" t="str">
            <v>LUC-E00-420045-00</v>
          </cell>
          <cell r="F6571">
            <v>881272371300</v>
          </cell>
        </row>
        <row r="6572">
          <cell r="E6572" t="str">
            <v>PUR-13-0152-00</v>
          </cell>
          <cell r="F6572">
            <v>881272371300</v>
          </cell>
        </row>
        <row r="6573">
          <cell r="E6573" t="str">
            <v>PUR-03-0082-02</v>
          </cell>
          <cell r="F6573">
            <v>457776123810</v>
          </cell>
        </row>
        <row r="6574">
          <cell r="E6574" t="str">
            <v>LUC-E00-690011-00</v>
          </cell>
          <cell r="F6574">
            <v>288665099437</v>
          </cell>
        </row>
        <row r="6575">
          <cell r="E6575" t="str">
            <v>LUC-E00-690011-00</v>
          </cell>
          <cell r="F6575">
            <v>288665099437</v>
          </cell>
        </row>
        <row r="6576">
          <cell r="E6576" t="str">
            <v>PUR-15-0207-00</v>
          </cell>
          <cell r="F6576">
            <v>4711855139</v>
          </cell>
        </row>
        <row r="6577">
          <cell r="E6577" t="str">
            <v>PUR-15-0207-00</v>
          </cell>
          <cell r="F6577">
            <v>4711855139</v>
          </cell>
        </row>
        <row r="6578">
          <cell r="E6578" t="str">
            <v>LUC-E00-690201-00</v>
          </cell>
          <cell r="F6578">
            <v>4711855139</v>
          </cell>
        </row>
        <row r="6579">
          <cell r="E6579" t="str">
            <v>LUC-E00-690201-00</v>
          </cell>
          <cell r="F6579">
            <v>4711855139</v>
          </cell>
        </row>
        <row r="6580">
          <cell r="E6580" t="str">
            <v>LUC-E00-690201-00</v>
          </cell>
          <cell r="F6580">
            <v>4711855139</v>
          </cell>
        </row>
        <row r="6581">
          <cell r="E6581" t="str">
            <v>LUC-E00-690055-00</v>
          </cell>
          <cell r="F6581">
            <v>5142026411</v>
          </cell>
        </row>
        <row r="6582">
          <cell r="E6582" t="str">
            <v>LUC-EZZ-690244-00</v>
          </cell>
          <cell r="F6582">
            <v>5142026525</v>
          </cell>
        </row>
        <row r="6583">
          <cell r="E6583" t="str">
            <v>EF-45179595</v>
          </cell>
          <cell r="F6583">
            <v>421194777716</v>
          </cell>
        </row>
        <row r="6584">
          <cell r="E6584" t="str">
            <v>EF-45179595</v>
          </cell>
          <cell r="F6584">
            <v>421194777716</v>
          </cell>
        </row>
        <row r="6585">
          <cell r="E6585" t="str">
            <v>LUC-GF1500-00-60-50CC</v>
          </cell>
          <cell r="F6585">
            <v>421194777716</v>
          </cell>
        </row>
        <row r="6586">
          <cell r="E6586" t="str">
            <v>LUC-EZZ-400211-00</v>
          </cell>
          <cell r="F6586">
            <v>421194777716</v>
          </cell>
        </row>
        <row r="6587">
          <cell r="E6587" t="str">
            <v>110-000101</v>
          </cell>
          <cell r="F6587">
            <v>421194777716</v>
          </cell>
        </row>
        <row r="6588">
          <cell r="E6588" t="str">
            <v>LUC-E00-450010-00</v>
          </cell>
          <cell r="F6588">
            <v>421194777716</v>
          </cell>
        </row>
        <row r="6589">
          <cell r="E6589" t="str">
            <v>174-001250</v>
          </cell>
          <cell r="F6589">
            <v>421194777716</v>
          </cell>
        </row>
        <row r="6590">
          <cell r="E6590" t="str">
            <v>EF-45074500.X.X</v>
          </cell>
          <cell r="F6590">
            <v>421194777716</v>
          </cell>
        </row>
        <row r="6591">
          <cell r="E6591" t="str">
            <v>126-000282</v>
          </cell>
          <cell r="F6591">
            <v>421194777716</v>
          </cell>
        </row>
        <row r="6592">
          <cell r="E6592" t="str">
            <v>133-000039</v>
          </cell>
          <cell r="F6592">
            <v>421194777716</v>
          </cell>
        </row>
        <row r="6593">
          <cell r="E6593" t="str">
            <v>PUR-37-0050-00</v>
          </cell>
          <cell r="F6593">
            <v>421194777716</v>
          </cell>
        </row>
        <row r="6594">
          <cell r="E6594" t="str">
            <v>LUC-E00-400067-162</v>
          </cell>
          <cell r="F6594">
            <v>421194777716</v>
          </cell>
        </row>
        <row r="6595">
          <cell r="E6595" t="str">
            <v>PUR-14-0101-00</v>
          </cell>
          <cell r="F6595">
            <v>421194777716</v>
          </cell>
        </row>
        <row r="6596">
          <cell r="E6596" t="str">
            <v>EF-45120156</v>
          </cell>
          <cell r="F6596">
            <v>421194777716</v>
          </cell>
        </row>
        <row r="6597">
          <cell r="E6597" t="str">
            <v>LUC-E00-510037-00</v>
          </cell>
          <cell r="F6597">
            <v>421194777716</v>
          </cell>
        </row>
        <row r="6598">
          <cell r="E6598" t="str">
            <v>EF-45234399</v>
          </cell>
          <cell r="F6598">
            <v>421194777716</v>
          </cell>
        </row>
        <row r="6599">
          <cell r="E6599" t="str">
            <v>EF-45051531.X.X</v>
          </cell>
          <cell r="F6599">
            <v>421194777716</v>
          </cell>
        </row>
        <row r="6600">
          <cell r="E6600" t="str">
            <v>LUC-E00-420071-00</v>
          </cell>
          <cell r="F6600">
            <v>421194777716</v>
          </cell>
        </row>
        <row r="6601">
          <cell r="E6601" t="str">
            <v>AIC-MP-IC001301-S01</v>
          </cell>
          <cell r="F6601">
            <v>421194777716</v>
          </cell>
        </row>
        <row r="6602">
          <cell r="E6602" t="str">
            <v>LUC-E00-510064-00</v>
          </cell>
          <cell r="F6602">
            <v>421194777716</v>
          </cell>
        </row>
        <row r="6603">
          <cell r="E6603" t="str">
            <v>LUC-EZZ-690242-00</v>
          </cell>
          <cell r="F6603">
            <v>5142026363</v>
          </cell>
        </row>
        <row r="6604">
          <cell r="E6604" t="str">
            <v>LUC-E00-420069-00</v>
          </cell>
          <cell r="F6604">
            <v>4818641306</v>
          </cell>
        </row>
        <row r="6605">
          <cell r="E6605" t="str">
            <v>LUC-E00-400067-227</v>
          </cell>
          <cell r="F6605">
            <v>4818641306</v>
          </cell>
        </row>
        <row r="6606">
          <cell r="E6606" t="str">
            <v>LUC-EZZ-400580-00</v>
          </cell>
          <cell r="F6606">
            <v>4818641306</v>
          </cell>
        </row>
        <row r="6607">
          <cell r="E6607" t="str">
            <v>LUC-EZZ-400580-00</v>
          </cell>
          <cell r="F6607">
            <v>4818641306</v>
          </cell>
        </row>
        <row r="6608">
          <cell r="E6608" t="str">
            <v>LUC-E00-400035-00</v>
          </cell>
          <cell r="F6608">
            <v>4818641306</v>
          </cell>
        </row>
        <row r="6609">
          <cell r="E6609" t="str">
            <v>LUC-E00-420025-02</v>
          </cell>
          <cell r="F6609">
            <v>4818641306</v>
          </cell>
        </row>
        <row r="6610">
          <cell r="E6610" t="str">
            <v>LUC-E00-400244-00</v>
          </cell>
          <cell r="F6610">
            <v>4818641306</v>
          </cell>
        </row>
        <row r="6611">
          <cell r="E6611" t="str">
            <v>LUC-EZZ-400624-00</v>
          </cell>
          <cell r="F6611">
            <v>4818641306</v>
          </cell>
        </row>
        <row r="6612">
          <cell r="E6612" t="str">
            <v>PUR-12-0433-00</v>
          </cell>
          <cell r="F6612">
            <v>4818641306</v>
          </cell>
        </row>
        <row r="6613">
          <cell r="E6613" t="str">
            <v>LUC-EZZ-510061-00</v>
          </cell>
          <cell r="F6613">
            <v>4818641306</v>
          </cell>
        </row>
        <row r="6614">
          <cell r="E6614" t="str">
            <v>LUC-EZZ-420189-00</v>
          </cell>
          <cell r="F6614">
            <v>4818641306</v>
          </cell>
        </row>
        <row r="6615">
          <cell r="E6615" t="str">
            <v>LUC-EZZ-420189-00</v>
          </cell>
          <cell r="F6615">
            <v>4818641306</v>
          </cell>
        </row>
        <row r="6616">
          <cell r="E6616" t="str">
            <v>LUC-E00-510030-00</v>
          </cell>
          <cell r="F6616">
            <v>4818641306</v>
          </cell>
        </row>
        <row r="6617">
          <cell r="E6617" t="str">
            <v>LUC-E00-450036-00</v>
          </cell>
          <cell r="F6617">
            <v>4818641306</v>
          </cell>
        </row>
        <row r="6618">
          <cell r="E6618" t="str">
            <v>LUC-E00-470080-00</v>
          </cell>
          <cell r="F6618">
            <v>4818641306</v>
          </cell>
        </row>
        <row r="6619">
          <cell r="E6619" t="str">
            <v>EF-45110875.X.X</v>
          </cell>
          <cell r="F6619">
            <v>4818641306</v>
          </cell>
        </row>
        <row r="6620">
          <cell r="E6620" t="str">
            <v>LUC-E00-470047-00</v>
          </cell>
          <cell r="F6620">
            <v>4818641306</v>
          </cell>
        </row>
        <row r="6621">
          <cell r="E6621" t="str">
            <v>LUC-E00-470047-00</v>
          </cell>
          <cell r="F6621">
            <v>4818641306</v>
          </cell>
        </row>
        <row r="6622">
          <cell r="E6622" t="str">
            <v>LUC-EZZ-420097-00</v>
          </cell>
          <cell r="F6622">
            <v>4818641306</v>
          </cell>
        </row>
        <row r="6623">
          <cell r="E6623" t="str">
            <v>EF-45041693</v>
          </cell>
          <cell r="F6623">
            <v>4818641306</v>
          </cell>
        </row>
        <row r="6624">
          <cell r="E6624" t="str">
            <v>LUC-E00-450043-00</v>
          </cell>
          <cell r="F6624">
            <v>4818641306</v>
          </cell>
        </row>
        <row r="6625">
          <cell r="E6625" t="str">
            <v>LUC-E00-450043-00</v>
          </cell>
          <cell r="F6625">
            <v>4818641306</v>
          </cell>
        </row>
        <row r="6626">
          <cell r="E6626" t="str">
            <v>LUC-E00-450043-00</v>
          </cell>
          <cell r="F6626">
            <v>4818641306</v>
          </cell>
        </row>
        <row r="6627">
          <cell r="E6627" t="str">
            <v>LUC-E00-510019-00</v>
          </cell>
          <cell r="F6627">
            <v>4818641306</v>
          </cell>
        </row>
        <row r="6628">
          <cell r="E6628" t="str">
            <v>LUC-E00-480014-00</v>
          </cell>
          <cell r="F6628">
            <v>4818641306</v>
          </cell>
        </row>
        <row r="6629">
          <cell r="E6629" t="str">
            <v>LUC-E00-480014-00</v>
          </cell>
          <cell r="F6629">
            <v>4818641306</v>
          </cell>
        </row>
        <row r="6630">
          <cell r="E6630" t="str">
            <v>LUC-EZZ-420090-00</v>
          </cell>
          <cell r="F6630">
            <v>4818641306</v>
          </cell>
        </row>
        <row r="6631">
          <cell r="E6631" t="str">
            <v>LUC-EZZ-470192-00</v>
          </cell>
          <cell r="F6631">
            <v>4818641306</v>
          </cell>
        </row>
        <row r="6632">
          <cell r="E6632" t="str">
            <v>LUC-EZZ-450249-00</v>
          </cell>
          <cell r="F6632">
            <v>4818641306</v>
          </cell>
        </row>
        <row r="6633">
          <cell r="E6633" t="str">
            <v>LUC-EZZ-420151-00</v>
          </cell>
          <cell r="F6633">
            <v>4818641306</v>
          </cell>
        </row>
        <row r="6634">
          <cell r="E6634" t="str">
            <v>LUC-EZZ-450246-00</v>
          </cell>
          <cell r="F6634">
            <v>4818641306</v>
          </cell>
        </row>
        <row r="6635">
          <cell r="E6635" t="str">
            <v>LUC-E00-470061-00</v>
          </cell>
          <cell r="F6635">
            <v>4818641306</v>
          </cell>
        </row>
        <row r="6636">
          <cell r="E6636" t="str">
            <v>LUC-E00-510045-00</v>
          </cell>
          <cell r="F6636">
            <v>4818641306</v>
          </cell>
        </row>
        <row r="6637">
          <cell r="E6637" t="str">
            <v>LUC-E00-470447-00</v>
          </cell>
          <cell r="F6637">
            <v>4818641306</v>
          </cell>
        </row>
        <row r="6638">
          <cell r="E6638" t="str">
            <v>LUC-E00-400010-047</v>
          </cell>
          <cell r="F6638">
            <v>4818641306</v>
          </cell>
        </row>
        <row r="6639">
          <cell r="E6639" t="str">
            <v>LUC-E00-400010-049</v>
          </cell>
          <cell r="F6639">
            <v>4818641306</v>
          </cell>
        </row>
        <row r="6640">
          <cell r="E6640" t="str">
            <v>LUC-E00-450056-00</v>
          </cell>
          <cell r="F6640">
            <v>4818641306</v>
          </cell>
        </row>
        <row r="6641">
          <cell r="E6641" t="str">
            <v>LUC-E00-420020-03</v>
          </cell>
          <cell r="F6641">
            <v>4818641306</v>
          </cell>
        </row>
        <row r="6642">
          <cell r="E6642" t="str">
            <v>LUC-E00-470032-00</v>
          </cell>
          <cell r="F6642">
            <v>4818641306</v>
          </cell>
        </row>
        <row r="6643">
          <cell r="E6643" t="str">
            <v>LUC-E00-460001-01</v>
          </cell>
          <cell r="F6643">
            <v>4818641306</v>
          </cell>
        </row>
        <row r="6644">
          <cell r="E6644" t="str">
            <v>LUC-EZZ-470961-00</v>
          </cell>
          <cell r="F6644">
            <v>4818641306</v>
          </cell>
        </row>
        <row r="6645">
          <cell r="E6645" t="str">
            <v>LUC-EZZ-400235-00</v>
          </cell>
          <cell r="F6645">
            <v>4818641306</v>
          </cell>
        </row>
        <row r="6646">
          <cell r="E6646" t="str">
            <v>LUC-EZZ-420345-00</v>
          </cell>
          <cell r="F6646">
            <v>4818641306</v>
          </cell>
        </row>
        <row r="6647">
          <cell r="E6647" t="str">
            <v>LUC-EZZ-471023-00</v>
          </cell>
          <cell r="F6647">
            <v>4818641306</v>
          </cell>
        </row>
        <row r="6648">
          <cell r="E6648" t="str">
            <v>LUC-EZZ-420352-00</v>
          </cell>
          <cell r="F6648">
            <v>4818641306</v>
          </cell>
        </row>
        <row r="6649">
          <cell r="E6649" t="str">
            <v>LUC-EZZ-420094-00</v>
          </cell>
          <cell r="F6649">
            <v>4818641306</v>
          </cell>
        </row>
        <row r="6650">
          <cell r="E6650" t="str">
            <v>LUC-EZZ-510640-00</v>
          </cell>
          <cell r="F6650">
            <v>4818641306</v>
          </cell>
        </row>
        <row r="6651">
          <cell r="E6651" t="str">
            <v>LUC-EZZ-471623-00</v>
          </cell>
          <cell r="F6651">
            <v>4818641306</v>
          </cell>
        </row>
        <row r="6652">
          <cell r="E6652" t="str">
            <v>LUC-EZZ-510638-00</v>
          </cell>
          <cell r="F6652">
            <v>4818641306</v>
          </cell>
        </row>
        <row r="6653">
          <cell r="E6653" t="str">
            <v>LUC-E00-440029-00</v>
          </cell>
          <cell r="F6653">
            <v>4818641306</v>
          </cell>
        </row>
        <row r="6654">
          <cell r="E6654" t="str">
            <v>LUC-EZZ-420189-00</v>
          </cell>
          <cell r="F6654">
            <v>4818641306</v>
          </cell>
        </row>
        <row r="6655">
          <cell r="E6655" t="str">
            <v>LUC-EZZ-510014-00</v>
          </cell>
          <cell r="F6655">
            <v>4818641306</v>
          </cell>
        </row>
        <row r="6656">
          <cell r="E6656" t="str">
            <v>LUC-E00-460008-00</v>
          </cell>
          <cell r="F6656">
            <v>4818641306</v>
          </cell>
        </row>
        <row r="6657">
          <cell r="E6657" t="str">
            <v>LUC-E00-460008-00</v>
          </cell>
          <cell r="F6657">
            <v>4818641306</v>
          </cell>
        </row>
        <row r="6658">
          <cell r="E6658" t="str">
            <v>LUC-E00-440028-00</v>
          </cell>
          <cell r="F6658">
            <v>4818641306</v>
          </cell>
        </row>
        <row r="6659">
          <cell r="E6659" t="str">
            <v>LUC-E00-470032-00</v>
          </cell>
          <cell r="F6659">
            <v>4818641306</v>
          </cell>
        </row>
        <row r="6660">
          <cell r="E6660" t="str">
            <v>LUC-E00-510064-00</v>
          </cell>
          <cell r="F6660">
            <v>4818641306</v>
          </cell>
        </row>
        <row r="6661">
          <cell r="E6661" t="str">
            <v>LUC-E00-510064-00</v>
          </cell>
          <cell r="F6661">
            <v>4818641306</v>
          </cell>
        </row>
        <row r="6662">
          <cell r="E6662" t="str">
            <v>LUC-E00-510112-00</v>
          </cell>
          <cell r="F6662">
            <v>4818641306</v>
          </cell>
        </row>
        <row r="6663">
          <cell r="E6663" t="str">
            <v>LUC-E00-510001-00</v>
          </cell>
          <cell r="F6663">
            <v>4818641306</v>
          </cell>
        </row>
        <row r="6664">
          <cell r="E6664" t="str">
            <v>LUC-E00-510045-00</v>
          </cell>
          <cell r="F6664">
            <v>4818641306</v>
          </cell>
        </row>
        <row r="6665">
          <cell r="E6665" t="str">
            <v>LUC-E00-440057-00</v>
          </cell>
          <cell r="F6665">
            <v>4818641306</v>
          </cell>
        </row>
        <row r="6666">
          <cell r="E6666" t="str">
            <v>LUC-E00-510082-00</v>
          </cell>
          <cell r="F6666">
            <v>4818641306</v>
          </cell>
        </row>
        <row r="6667">
          <cell r="E6667" t="str">
            <v>LUC-E00-470301-00</v>
          </cell>
          <cell r="F6667">
            <v>4818641306</v>
          </cell>
        </row>
        <row r="6668">
          <cell r="E6668" t="str">
            <v>LUC-EZZ-440176-00</v>
          </cell>
          <cell r="F6668">
            <v>4818641306</v>
          </cell>
        </row>
        <row r="6669">
          <cell r="E6669" t="str">
            <v>LUC-EZZ-420352-00</v>
          </cell>
          <cell r="F6669">
            <v>4818641306</v>
          </cell>
        </row>
        <row r="6670">
          <cell r="E6670" t="str">
            <v>LUC-EZZ-460737-00</v>
          </cell>
          <cell r="F6670">
            <v>4818641306</v>
          </cell>
        </row>
        <row r="6671">
          <cell r="E6671" t="str">
            <v>LUC-E00-470047-00</v>
          </cell>
          <cell r="F6671">
            <v>4818641306</v>
          </cell>
        </row>
        <row r="6672">
          <cell r="E6672" t="str">
            <v>LUC-EZZ-420344-00</v>
          </cell>
          <cell r="F6672">
            <v>4818641306</v>
          </cell>
        </row>
        <row r="6673">
          <cell r="E6673" t="str">
            <v>LUC-E00-480006-00</v>
          </cell>
          <cell r="F6673">
            <v>4818641306</v>
          </cell>
        </row>
        <row r="6674">
          <cell r="E6674" t="str">
            <v>LUC-E00-480006-00</v>
          </cell>
          <cell r="F6674">
            <v>4818641306</v>
          </cell>
        </row>
        <row r="6675">
          <cell r="E6675" t="str">
            <v>LUC-E00-480006-00</v>
          </cell>
          <cell r="F6675">
            <v>4818641306</v>
          </cell>
        </row>
        <row r="6676">
          <cell r="E6676" t="str">
            <v>LUC-EZZ-450246-00</v>
          </cell>
          <cell r="F6676">
            <v>4818641306</v>
          </cell>
        </row>
        <row r="6677">
          <cell r="E6677" t="str">
            <v>LUC-E00-440026-00</v>
          </cell>
          <cell r="F6677">
            <v>4818641306</v>
          </cell>
        </row>
        <row r="6678">
          <cell r="E6678" t="str">
            <v>LUC-E00-400023-04</v>
          </cell>
          <cell r="F6678">
            <v>4818641306</v>
          </cell>
        </row>
        <row r="6679">
          <cell r="E6679" t="str">
            <v>LUC-E00-510016-00</v>
          </cell>
          <cell r="F6679">
            <v>4818641306</v>
          </cell>
        </row>
        <row r="6680">
          <cell r="E6680" t="str">
            <v>LUC-E00-470173-00</v>
          </cell>
          <cell r="F6680">
            <v>4818641306</v>
          </cell>
        </row>
        <row r="6681">
          <cell r="E6681" t="str">
            <v>LUC-E00-420050-00</v>
          </cell>
          <cell r="F6681">
            <v>4818641306</v>
          </cell>
        </row>
        <row r="6682">
          <cell r="E6682" t="str">
            <v>LUC-E00-420050-00</v>
          </cell>
          <cell r="F6682">
            <v>4818641306</v>
          </cell>
        </row>
        <row r="6683">
          <cell r="E6683" t="str">
            <v>LUC-E00-420050-00</v>
          </cell>
          <cell r="F6683">
            <v>4818641306</v>
          </cell>
        </row>
        <row r="6684">
          <cell r="E6684" t="str">
            <v>LUC-E00-420050-00</v>
          </cell>
          <cell r="F6684">
            <v>4818641306</v>
          </cell>
        </row>
        <row r="6685">
          <cell r="E6685" t="str">
            <v>EF-45171679</v>
          </cell>
          <cell r="F6685">
            <v>4818641306</v>
          </cell>
        </row>
        <row r="6686">
          <cell r="E6686" t="str">
            <v>EF-45047739</v>
          </cell>
          <cell r="F6686">
            <v>4818641306</v>
          </cell>
        </row>
        <row r="6687">
          <cell r="E6687" t="str">
            <v>EF-45156335</v>
          </cell>
          <cell r="F6687">
            <v>4818641306</v>
          </cell>
        </row>
        <row r="6688">
          <cell r="E6688" t="str">
            <v>HLOB-13-0237-00</v>
          </cell>
          <cell r="F6688">
            <v>4711856041</v>
          </cell>
        </row>
        <row r="6689">
          <cell r="E6689" t="str">
            <v>PUR-13-0165-00</v>
          </cell>
          <cell r="F6689">
            <v>4711856041</v>
          </cell>
        </row>
        <row r="6690">
          <cell r="E6690" t="str">
            <v>PUR-13-0237-00</v>
          </cell>
          <cell r="F6690">
            <v>4711856041</v>
          </cell>
        </row>
        <row r="6691">
          <cell r="E6691" t="str">
            <v>PUR-13-0162-00</v>
          </cell>
          <cell r="F6691">
            <v>4711856041</v>
          </cell>
        </row>
        <row r="6692">
          <cell r="E6692" t="str">
            <v>HLOB-13-0237-00</v>
          </cell>
          <cell r="F6692">
            <v>4711856041</v>
          </cell>
        </row>
        <row r="6693">
          <cell r="E6693" t="str">
            <v>LUC-E00-420074-00</v>
          </cell>
          <cell r="F6693">
            <v>4711856041</v>
          </cell>
        </row>
        <row r="6694">
          <cell r="E6694" t="str">
            <v>LUC-E00-510029-00</v>
          </cell>
          <cell r="F6694">
            <v>4711856041</v>
          </cell>
        </row>
        <row r="6695">
          <cell r="E6695" t="str">
            <v>LUC-E00-400034-023</v>
          </cell>
          <cell r="F6695">
            <v>4711856041</v>
          </cell>
        </row>
        <row r="6696">
          <cell r="E6696" t="str">
            <v>LUC-E00-400034-023</v>
          </cell>
          <cell r="F6696">
            <v>4711856041</v>
          </cell>
        </row>
        <row r="6697">
          <cell r="E6697" t="str">
            <v>LUC-E00-400034-069</v>
          </cell>
          <cell r="F6697">
            <v>4711856041</v>
          </cell>
        </row>
        <row r="6698">
          <cell r="E6698" t="str">
            <v>LUC-E00-400034-090</v>
          </cell>
          <cell r="F6698">
            <v>4711856041</v>
          </cell>
        </row>
        <row r="6699">
          <cell r="E6699" t="str">
            <v>LUC-EZZ-400608-00</v>
          </cell>
          <cell r="F6699">
            <v>4711856041</v>
          </cell>
        </row>
        <row r="6700">
          <cell r="E6700" t="str">
            <v>LUC-E00-400034-118</v>
          </cell>
          <cell r="F6700">
            <v>4711856041</v>
          </cell>
        </row>
        <row r="6701">
          <cell r="E6701" t="str">
            <v>LUC-E00-400034-090</v>
          </cell>
          <cell r="F6701">
            <v>4711856041</v>
          </cell>
        </row>
        <row r="6702">
          <cell r="E6702" t="str">
            <v>EF-45046354</v>
          </cell>
          <cell r="F6702">
            <v>4711856041</v>
          </cell>
        </row>
        <row r="6703">
          <cell r="E6703" t="str">
            <v>LUC-E00-400050-01</v>
          </cell>
          <cell r="F6703">
            <v>4711856041</v>
          </cell>
        </row>
        <row r="6704">
          <cell r="E6704" t="str">
            <v>LUC-E00-540005-00</v>
          </cell>
          <cell r="F6704">
            <v>4711856041</v>
          </cell>
        </row>
        <row r="6705">
          <cell r="E6705" t="str">
            <v>LUC-E00-400034-118</v>
          </cell>
          <cell r="F6705">
            <v>4711856041</v>
          </cell>
        </row>
        <row r="6706">
          <cell r="E6706" t="str">
            <v>LUC-E00-400043-00</v>
          </cell>
          <cell r="F6706">
            <v>4711856041</v>
          </cell>
        </row>
        <row r="6707">
          <cell r="E6707" t="str">
            <v>LUC-E00-420046-00</v>
          </cell>
          <cell r="F6707">
            <v>4711856041</v>
          </cell>
        </row>
        <row r="6708">
          <cell r="E6708" t="str">
            <v>EF-45041902.X.X</v>
          </cell>
          <cell r="F6708">
            <v>4711856041</v>
          </cell>
        </row>
        <row r="6709">
          <cell r="E6709" t="str">
            <v>LUC-E00-420046-00</v>
          </cell>
          <cell r="F6709">
            <v>4711856041</v>
          </cell>
        </row>
        <row r="6710">
          <cell r="E6710" t="str">
            <v>EF-45126913</v>
          </cell>
          <cell r="F6710">
            <v>4711856041</v>
          </cell>
        </row>
        <row r="6711">
          <cell r="E6711" t="str">
            <v>LUC-E00-420046-00</v>
          </cell>
          <cell r="F6711">
            <v>4711856041</v>
          </cell>
        </row>
        <row r="6712">
          <cell r="E6712" t="str">
            <v>LUC-E00-420046-00</v>
          </cell>
          <cell r="F6712">
            <v>4711856041</v>
          </cell>
        </row>
        <row r="6713">
          <cell r="E6713" t="str">
            <v>LUC-E00-420036-00</v>
          </cell>
          <cell r="F6713">
            <v>4711856041</v>
          </cell>
        </row>
        <row r="6714">
          <cell r="E6714" t="str">
            <v>LUC-E00-420036-00</v>
          </cell>
          <cell r="F6714">
            <v>4711856041</v>
          </cell>
        </row>
        <row r="6715">
          <cell r="E6715" t="str">
            <v>LUC-E00-420172-00</v>
          </cell>
          <cell r="F6715">
            <v>4711856041</v>
          </cell>
        </row>
        <row r="6716">
          <cell r="E6716" t="str">
            <v>LUC-E00-400043-00</v>
          </cell>
          <cell r="F6716">
            <v>4711856041</v>
          </cell>
        </row>
        <row r="6717">
          <cell r="E6717" t="str">
            <v>LUC-E00-400034-090</v>
          </cell>
          <cell r="F6717">
            <v>4711856041</v>
          </cell>
        </row>
        <row r="6718">
          <cell r="E6718" t="str">
            <v>LUC-E00-400034-118</v>
          </cell>
          <cell r="F6718">
            <v>4711856041</v>
          </cell>
        </row>
        <row r="6719">
          <cell r="E6719" t="str">
            <v>PUR-25-0009-00</v>
          </cell>
          <cell r="F6719">
            <v>4711856041</v>
          </cell>
        </row>
        <row r="6720">
          <cell r="E6720" t="str">
            <v>AGI-510-40118-01</v>
          </cell>
          <cell r="F6720">
            <v>4711856041</v>
          </cell>
        </row>
        <row r="6721">
          <cell r="E6721" t="str">
            <v>LUC-EZZ-440206-00</v>
          </cell>
          <cell r="F6721">
            <v>4711856041</v>
          </cell>
        </row>
        <row r="6722">
          <cell r="E6722" t="str">
            <v>HLOB-09-0408-00</v>
          </cell>
          <cell r="F6722">
            <v>4711856041</v>
          </cell>
        </row>
        <row r="6723">
          <cell r="E6723" t="str">
            <v>PUR-09-0408-00</v>
          </cell>
          <cell r="F6723">
            <v>4711856041</v>
          </cell>
        </row>
        <row r="6724">
          <cell r="E6724" t="str">
            <v>LUC-E00-400074-00</v>
          </cell>
          <cell r="F6724">
            <v>4711856041</v>
          </cell>
        </row>
        <row r="6725">
          <cell r="E6725" t="str">
            <v>LUC-E00-420074-00</v>
          </cell>
          <cell r="F6725">
            <v>4711856041</v>
          </cell>
        </row>
        <row r="6726">
          <cell r="E6726" t="str">
            <v>LUC-E00-400074-00</v>
          </cell>
          <cell r="F6726">
            <v>4711856041</v>
          </cell>
        </row>
        <row r="6727">
          <cell r="E6727" t="str">
            <v>LUC-E00-400074-00</v>
          </cell>
          <cell r="F6727">
            <v>4711856041</v>
          </cell>
        </row>
        <row r="6728">
          <cell r="E6728" t="str">
            <v>PUR-25-0009-00</v>
          </cell>
          <cell r="F6728">
            <v>4711856041</v>
          </cell>
        </row>
        <row r="6729">
          <cell r="E6729" t="str">
            <v>LUC-E00-400034-023</v>
          </cell>
          <cell r="F6729">
            <v>4711856041</v>
          </cell>
        </row>
        <row r="6730">
          <cell r="E6730" t="str">
            <v>LUC-E00-420055-15</v>
          </cell>
          <cell r="F6730">
            <v>4711856041</v>
          </cell>
        </row>
        <row r="6731">
          <cell r="E6731" t="str">
            <v>LUC-E00-420055-15</v>
          </cell>
          <cell r="F6731">
            <v>4711856041</v>
          </cell>
        </row>
        <row r="6732">
          <cell r="E6732" t="str">
            <v>LUC-E00-420055-08</v>
          </cell>
          <cell r="F6732">
            <v>4711856041</v>
          </cell>
        </row>
        <row r="6733">
          <cell r="E6733" t="str">
            <v>LUC-E00-400074-00</v>
          </cell>
          <cell r="F6733">
            <v>4711856041</v>
          </cell>
        </row>
        <row r="6734">
          <cell r="E6734" t="str">
            <v>LUC-E00-470161-01</v>
          </cell>
          <cell r="F6734">
            <v>1185231154</v>
          </cell>
        </row>
        <row r="6735">
          <cell r="E6735" t="str">
            <v>LUC-E00-470062-00</v>
          </cell>
          <cell r="F6735">
            <v>1185231154</v>
          </cell>
        </row>
        <row r="6736">
          <cell r="E6736" t="str">
            <v>EF-45224584</v>
          </cell>
          <cell r="F6736">
            <v>714497072730</v>
          </cell>
        </row>
        <row r="6737">
          <cell r="E6737" t="str">
            <v>LUC-E00-400010-018</v>
          </cell>
          <cell r="F6737">
            <v>458307834764</v>
          </cell>
        </row>
        <row r="6738">
          <cell r="E6738" t="str">
            <v>LUC-E00-450029-00</v>
          </cell>
          <cell r="F6738">
            <v>881354313090</v>
          </cell>
        </row>
        <row r="6739">
          <cell r="E6739" t="str">
            <v>LUC-EZZ-470153-00</v>
          </cell>
          <cell r="F6739">
            <v>881354313090</v>
          </cell>
        </row>
        <row r="6740">
          <cell r="E6740" t="str">
            <v>LUC-EZZ-400409-00</v>
          </cell>
          <cell r="F6740">
            <v>881354313090</v>
          </cell>
        </row>
        <row r="6741">
          <cell r="E6741" t="str">
            <v>120-010522</v>
          </cell>
          <cell r="F6741">
            <v>881354313090</v>
          </cell>
        </row>
        <row r="6742">
          <cell r="E6742" t="str">
            <v>LUC-E00-510031-00</v>
          </cell>
          <cell r="F6742">
            <v>458307825656</v>
          </cell>
        </row>
        <row r="6743">
          <cell r="E6743" t="str">
            <v>PUR-09-0260-00</v>
          </cell>
          <cell r="F6743">
            <v>458307825656</v>
          </cell>
        </row>
        <row r="6744">
          <cell r="E6744" t="str">
            <v>EF-45079903.X.X</v>
          </cell>
          <cell r="F6744">
            <v>420225799463</v>
          </cell>
        </row>
        <row r="6745">
          <cell r="E6745" t="str">
            <v>EF-45079903.X.X</v>
          </cell>
          <cell r="F6745">
            <v>420225799463</v>
          </cell>
        </row>
        <row r="6746">
          <cell r="E6746" t="str">
            <v>EF-45079903.X.X</v>
          </cell>
          <cell r="F6746">
            <v>420225799463</v>
          </cell>
        </row>
        <row r="6747">
          <cell r="E6747" t="str">
            <v>LUC-EZZ-421362-00</v>
          </cell>
          <cell r="F6747">
            <v>458836578239</v>
          </cell>
        </row>
        <row r="6748">
          <cell r="E6748" t="str">
            <v>EF-45051534</v>
          </cell>
          <cell r="F6748">
            <v>458836578239</v>
          </cell>
        </row>
        <row r="6749">
          <cell r="E6749" t="str">
            <v>PUR-14-0087-00</v>
          </cell>
          <cell r="F6749">
            <v>458836578239</v>
          </cell>
        </row>
        <row r="6750">
          <cell r="E6750" t="str">
            <v>EF-45137191</v>
          </cell>
          <cell r="F6750">
            <v>458836578239</v>
          </cell>
        </row>
        <row r="6751">
          <cell r="E6751" t="str">
            <v>EF-45100289</v>
          </cell>
          <cell r="F6751">
            <v>458836578239</v>
          </cell>
        </row>
        <row r="6752">
          <cell r="E6752" t="str">
            <v>PURET-13-0007-00</v>
          </cell>
          <cell r="F6752">
            <v>458836578239</v>
          </cell>
        </row>
        <row r="6753">
          <cell r="E6753" t="str">
            <v>LUC-E00-420072-00</v>
          </cell>
          <cell r="F6753">
            <v>458836578239</v>
          </cell>
        </row>
        <row r="6754">
          <cell r="E6754" t="str">
            <v>LUC-E00-420072-00</v>
          </cell>
          <cell r="F6754">
            <v>458836578239</v>
          </cell>
        </row>
        <row r="6755">
          <cell r="E6755" t="str">
            <v>LUC-E00-420072-00</v>
          </cell>
          <cell r="F6755">
            <v>458836578239</v>
          </cell>
        </row>
        <row r="6756">
          <cell r="E6756" t="str">
            <v>PURET-13-0040-00</v>
          </cell>
          <cell r="F6756">
            <v>458836578239</v>
          </cell>
        </row>
        <row r="6757">
          <cell r="E6757" t="str">
            <v>EF-45156145</v>
          </cell>
          <cell r="F6757">
            <v>458836578239</v>
          </cell>
        </row>
        <row r="6758">
          <cell r="E6758" t="str">
            <v>EF-45055016</v>
          </cell>
          <cell r="F6758">
            <v>458836578239</v>
          </cell>
        </row>
        <row r="6759">
          <cell r="E6759" t="str">
            <v>LUC-EZZ-400036-00</v>
          </cell>
          <cell r="F6759">
            <v>458836578239</v>
          </cell>
        </row>
        <row r="6760">
          <cell r="E6760" t="str">
            <v>LUC-E00-400010-002</v>
          </cell>
          <cell r="F6760">
            <v>458836578239</v>
          </cell>
        </row>
        <row r="6761">
          <cell r="E6761" t="str">
            <v>HLOB-05-0031-00</v>
          </cell>
          <cell r="F6761">
            <v>458836578239</v>
          </cell>
        </row>
        <row r="6762">
          <cell r="E6762" t="str">
            <v>LUC-EZZ-470480-00</v>
          </cell>
          <cell r="F6762">
            <v>458307838196</v>
          </cell>
        </row>
        <row r="6763">
          <cell r="E6763" t="str">
            <v>PUR-24-0028-00</v>
          </cell>
          <cell r="F6763">
            <v>458307838196</v>
          </cell>
        </row>
        <row r="6764">
          <cell r="E6764" t="str">
            <v>PUR-24-0028-00</v>
          </cell>
          <cell r="F6764">
            <v>458307838196</v>
          </cell>
        </row>
        <row r="6765">
          <cell r="E6765" t="str">
            <v>LUC-E00-400010-045</v>
          </cell>
          <cell r="F6765">
            <v>458307838196</v>
          </cell>
        </row>
        <row r="6766">
          <cell r="E6766" t="str">
            <v>LUC-E00-440172-00</v>
          </cell>
          <cell r="F6766">
            <v>458307838196</v>
          </cell>
        </row>
        <row r="6767">
          <cell r="E6767" t="str">
            <v>PUR-09-0434-00</v>
          </cell>
          <cell r="F6767">
            <v>458307838196</v>
          </cell>
        </row>
        <row r="6768">
          <cell r="E6768" t="str">
            <v>PUR-12-0338-00</v>
          </cell>
          <cell r="F6768">
            <v>458307838196</v>
          </cell>
        </row>
        <row r="6769">
          <cell r="E6769" t="str">
            <v>PUR-24-0028-00</v>
          </cell>
          <cell r="F6769">
            <v>458307838196</v>
          </cell>
        </row>
        <row r="6770">
          <cell r="E6770" t="str">
            <v>LUC-EZZ-470181-00</v>
          </cell>
          <cell r="F6770">
            <v>458307838196</v>
          </cell>
        </row>
        <row r="6771">
          <cell r="E6771" t="str">
            <v>LUC-E00-420027-05</v>
          </cell>
          <cell r="F6771">
            <v>458307838196</v>
          </cell>
        </row>
        <row r="6772">
          <cell r="E6772" t="str">
            <v>HLOB-24-0028-00</v>
          </cell>
          <cell r="F6772">
            <v>458307838196</v>
          </cell>
        </row>
        <row r="6773">
          <cell r="E6773" t="str">
            <v>EF-45104926</v>
          </cell>
          <cell r="F6773">
            <v>458307838196</v>
          </cell>
        </row>
        <row r="6774">
          <cell r="E6774" t="str">
            <v>PUR-09-0279-00</v>
          </cell>
          <cell r="F6774">
            <v>458307838196</v>
          </cell>
        </row>
        <row r="6775">
          <cell r="E6775" t="str">
            <v>EF-45090995</v>
          </cell>
          <cell r="F6775">
            <v>458307838196</v>
          </cell>
        </row>
        <row r="6776">
          <cell r="E6776" t="str">
            <v>LUC-E00-470086-00</v>
          </cell>
          <cell r="F6776">
            <v>458307838196</v>
          </cell>
        </row>
        <row r="6777">
          <cell r="E6777" t="str">
            <v>LUC-EZZ-450070-00</v>
          </cell>
          <cell r="F6777">
            <v>458307838196</v>
          </cell>
        </row>
        <row r="6778">
          <cell r="E6778" t="str">
            <v>LUC-E00-470125-00</v>
          </cell>
          <cell r="F6778">
            <v>458307838196</v>
          </cell>
        </row>
        <row r="6779">
          <cell r="E6779" t="str">
            <v>EF-45139770</v>
          </cell>
          <cell r="F6779">
            <v>409298784542</v>
          </cell>
        </row>
        <row r="6780">
          <cell r="E6780" t="str">
            <v>LUC-E00-400046-00</v>
          </cell>
          <cell r="F6780">
            <v>409298784542</v>
          </cell>
        </row>
        <row r="6781">
          <cell r="E6781" t="str">
            <v>LUC-E00-420002-07</v>
          </cell>
          <cell r="F6781">
            <v>409298784542</v>
          </cell>
        </row>
        <row r="6782">
          <cell r="E6782" t="str">
            <v>LUC-EZZ-420330-00</v>
          </cell>
          <cell r="F6782">
            <v>409298784542</v>
          </cell>
        </row>
        <row r="6783">
          <cell r="E6783" t="str">
            <v>LUC-EZZ-420330-00</v>
          </cell>
          <cell r="F6783">
            <v>409298784542</v>
          </cell>
        </row>
        <row r="6784">
          <cell r="E6784" t="str">
            <v>LUC-EZZ-420330-00</v>
          </cell>
          <cell r="F6784">
            <v>409298784542</v>
          </cell>
        </row>
        <row r="6785">
          <cell r="E6785" t="str">
            <v>LUC-EZZ-420173-00</v>
          </cell>
          <cell r="F6785">
            <v>409298784542</v>
          </cell>
        </row>
        <row r="6786">
          <cell r="E6786" t="str">
            <v>LUC-EZZ-420084-00</v>
          </cell>
          <cell r="F6786">
            <v>409298784542</v>
          </cell>
        </row>
        <row r="6787">
          <cell r="E6787" t="str">
            <v>LUC-EZZ-420084-00</v>
          </cell>
          <cell r="F6787">
            <v>409298784542</v>
          </cell>
        </row>
        <row r="6788">
          <cell r="E6788" t="str">
            <v>LUC-EZZ-420084-00</v>
          </cell>
          <cell r="F6788">
            <v>409298784542</v>
          </cell>
        </row>
        <row r="6789">
          <cell r="E6789" t="str">
            <v>LUC-E00-420016-00</v>
          </cell>
          <cell r="F6789">
            <v>409298784542</v>
          </cell>
        </row>
        <row r="6790">
          <cell r="E6790" t="str">
            <v>LUC-E00-420016-00</v>
          </cell>
          <cell r="F6790">
            <v>409298784542</v>
          </cell>
        </row>
        <row r="6791">
          <cell r="E6791" t="str">
            <v>LUC-E00-420016-00</v>
          </cell>
          <cell r="F6791">
            <v>409298784542</v>
          </cell>
        </row>
        <row r="6792">
          <cell r="E6792" t="str">
            <v>LUC-E00-420070-00</v>
          </cell>
          <cell r="F6792">
            <v>409298784542</v>
          </cell>
        </row>
        <row r="6793">
          <cell r="E6793" t="str">
            <v>LUC-E00-420011-12</v>
          </cell>
          <cell r="F6793">
            <v>409298784542</v>
          </cell>
        </row>
        <row r="6794">
          <cell r="E6794" t="str">
            <v>LUC-E00-420002-07</v>
          </cell>
          <cell r="F6794">
            <v>409298784542</v>
          </cell>
        </row>
        <row r="6795">
          <cell r="E6795" t="str">
            <v>LUC-E00-420011-02</v>
          </cell>
          <cell r="F6795">
            <v>409298784542</v>
          </cell>
        </row>
        <row r="6796">
          <cell r="E6796" t="str">
            <v>LUC-E00-420002-03</v>
          </cell>
          <cell r="F6796">
            <v>409298784542</v>
          </cell>
        </row>
        <row r="6797">
          <cell r="E6797" t="str">
            <v>PUR-12-0421-00</v>
          </cell>
          <cell r="F6797">
            <v>409298784542</v>
          </cell>
        </row>
        <row r="6798">
          <cell r="E6798" t="str">
            <v>PUR-12-0420-00</v>
          </cell>
          <cell r="F6798">
            <v>409298784542</v>
          </cell>
        </row>
        <row r="6799">
          <cell r="E6799" t="str">
            <v>LUC-E00-420060-03</v>
          </cell>
          <cell r="F6799">
            <v>409298784542</v>
          </cell>
        </row>
        <row r="6800">
          <cell r="E6800" t="str">
            <v>LUC-E00-440031-00</v>
          </cell>
          <cell r="F6800">
            <v>409298784542</v>
          </cell>
        </row>
        <row r="6801">
          <cell r="E6801" t="str">
            <v>LUC-E00-440031-00</v>
          </cell>
          <cell r="F6801">
            <v>409298784542</v>
          </cell>
        </row>
        <row r="6802">
          <cell r="E6802" t="str">
            <v>LUC-E00-440024-00</v>
          </cell>
          <cell r="F6802">
            <v>409298784542</v>
          </cell>
        </row>
        <row r="6803">
          <cell r="E6803" t="str">
            <v>LUC-E00-440024-00</v>
          </cell>
          <cell r="F6803">
            <v>409298784542</v>
          </cell>
        </row>
        <row r="6804">
          <cell r="E6804" t="str">
            <v>PURET-13-0027-00</v>
          </cell>
          <cell r="F6804">
            <v>409298784542</v>
          </cell>
        </row>
        <row r="6805">
          <cell r="E6805" t="str">
            <v>LUC-EZZ-420098-00</v>
          </cell>
          <cell r="F6805">
            <v>409298784542</v>
          </cell>
        </row>
        <row r="6806">
          <cell r="E6806" t="str">
            <v>LUC-E00-420049-01</v>
          </cell>
          <cell r="F6806">
            <v>409298784542</v>
          </cell>
        </row>
        <row r="6807">
          <cell r="E6807" t="str">
            <v>LUC-EZZ-420343-00</v>
          </cell>
          <cell r="F6807">
            <v>409298784542</v>
          </cell>
        </row>
        <row r="6808">
          <cell r="E6808" t="str">
            <v>LUC-E00-420002-03</v>
          </cell>
          <cell r="F6808">
            <v>409298784542</v>
          </cell>
        </row>
        <row r="6809">
          <cell r="E6809" t="str">
            <v>EF-45036465</v>
          </cell>
          <cell r="F6809">
            <v>409298784542</v>
          </cell>
        </row>
        <row r="6810">
          <cell r="E6810" t="str">
            <v>LUC-E00-420055-05</v>
          </cell>
          <cell r="F6810">
            <v>409298784542</v>
          </cell>
        </row>
        <row r="6811">
          <cell r="E6811" t="str">
            <v>PUR-03-0092-03</v>
          </cell>
          <cell r="F6811" t="str">
            <v>8TV4128</v>
          </cell>
        </row>
        <row r="6812">
          <cell r="E6812" t="str">
            <v>PUR-03-0092-03</v>
          </cell>
          <cell r="F6812" t="str">
            <v>8TV4130</v>
          </cell>
        </row>
        <row r="6813">
          <cell r="E6813" t="str">
            <v>PUR-03-0092-03</v>
          </cell>
          <cell r="F6813" t="str">
            <v>8TV4126</v>
          </cell>
        </row>
        <row r="6814">
          <cell r="E6814" t="str">
            <v>PUR-03-0092-03</v>
          </cell>
          <cell r="F6814" t="str">
            <v>8TV4129</v>
          </cell>
        </row>
        <row r="6815">
          <cell r="E6815" t="str">
            <v>PUR-03-0092-03</v>
          </cell>
          <cell r="F6815" t="str">
            <v>8TV4127</v>
          </cell>
        </row>
        <row r="6816">
          <cell r="E6816" t="str">
            <v>EF-45120026</v>
          </cell>
          <cell r="F6816">
            <v>4711854713</v>
          </cell>
        </row>
        <row r="6817">
          <cell r="E6817" t="str">
            <v>LUC-EZZ-420211-00</v>
          </cell>
          <cell r="F6817">
            <v>4711854713</v>
          </cell>
        </row>
        <row r="6818">
          <cell r="E6818" t="str">
            <v>LUC-E00-690001-00</v>
          </cell>
          <cell r="F6818">
            <v>4711854713</v>
          </cell>
        </row>
        <row r="6819">
          <cell r="E6819" t="str">
            <v>LUC-E00-690001-00</v>
          </cell>
          <cell r="F6819">
            <v>4711854713</v>
          </cell>
        </row>
        <row r="6820">
          <cell r="E6820" t="str">
            <v>LUC-EZZ-511370-00</v>
          </cell>
          <cell r="F6820">
            <v>4711854713</v>
          </cell>
        </row>
        <row r="6821">
          <cell r="E6821" t="str">
            <v>LUC-EZZ-400011-00</v>
          </cell>
          <cell r="F6821">
            <v>4711854713</v>
          </cell>
        </row>
        <row r="6822">
          <cell r="E6822" t="str">
            <v>LUC-E00-690001-00</v>
          </cell>
          <cell r="F6822">
            <v>4711854713</v>
          </cell>
        </row>
        <row r="6823">
          <cell r="E6823" t="str">
            <v>LUC-E00-420011-04</v>
          </cell>
          <cell r="F6823">
            <v>4711854713</v>
          </cell>
        </row>
        <row r="6824">
          <cell r="E6824" t="str">
            <v>LUC-E00-510034-00</v>
          </cell>
          <cell r="F6824">
            <v>4711854713</v>
          </cell>
        </row>
        <row r="6825">
          <cell r="E6825" t="str">
            <v>LUC-E00-470085-00</v>
          </cell>
          <cell r="F6825">
            <v>4711854713</v>
          </cell>
        </row>
        <row r="6826">
          <cell r="E6826" t="str">
            <v>LUC-E00-470073-00</v>
          </cell>
          <cell r="F6826">
            <v>4711854713</v>
          </cell>
        </row>
        <row r="6827">
          <cell r="E6827" t="str">
            <v>EF-45111698</v>
          </cell>
          <cell r="F6827">
            <v>4711854713</v>
          </cell>
        </row>
        <row r="6828">
          <cell r="E6828" t="str">
            <v>LUC-E00-470073-00</v>
          </cell>
          <cell r="F6828">
            <v>4711854713</v>
          </cell>
        </row>
        <row r="6829">
          <cell r="E6829" t="str">
            <v>LUC-E00-470116-00</v>
          </cell>
          <cell r="F6829">
            <v>4711854713</v>
          </cell>
        </row>
        <row r="6830">
          <cell r="E6830" t="str">
            <v>LUC-E00-470001-00</v>
          </cell>
          <cell r="F6830">
            <v>4711854713</v>
          </cell>
        </row>
        <row r="6831">
          <cell r="E6831" t="str">
            <v>LUC-E00-470036-00</v>
          </cell>
          <cell r="F6831">
            <v>4711854713</v>
          </cell>
        </row>
        <row r="6832">
          <cell r="E6832" t="str">
            <v>LUC-EZZ-690244-00</v>
          </cell>
          <cell r="F6832">
            <v>5142026960</v>
          </cell>
        </row>
        <row r="6833">
          <cell r="E6833" t="str">
            <v>EF-45130942</v>
          </cell>
          <cell r="F6833">
            <v>1616252256</v>
          </cell>
        </row>
        <row r="6834">
          <cell r="E6834" t="str">
            <v>103-001603</v>
          </cell>
          <cell r="F6834">
            <v>881418861723</v>
          </cell>
        </row>
        <row r="6835">
          <cell r="E6835" t="str">
            <v>PURET-13-0066-00</v>
          </cell>
          <cell r="F6835">
            <v>4812811279</v>
          </cell>
        </row>
        <row r="6836">
          <cell r="E6836" t="str">
            <v>PUR-13-0167-00</v>
          </cell>
          <cell r="F6836">
            <v>4812811279</v>
          </cell>
        </row>
        <row r="6837">
          <cell r="E6837" t="str">
            <v>PUR-13-0238-00</v>
          </cell>
          <cell r="F6837">
            <v>4812811279</v>
          </cell>
        </row>
        <row r="6838">
          <cell r="E6838" t="str">
            <v>PUR-13-0160-00</v>
          </cell>
          <cell r="F6838">
            <v>4812811279</v>
          </cell>
        </row>
        <row r="6839">
          <cell r="E6839" t="str">
            <v>PUR-13-0157-00</v>
          </cell>
          <cell r="F6839">
            <v>4812811279</v>
          </cell>
        </row>
        <row r="6840">
          <cell r="E6840" t="str">
            <v>EF-45076937</v>
          </cell>
          <cell r="F6840">
            <v>4812811279</v>
          </cell>
        </row>
        <row r="6841">
          <cell r="E6841" t="str">
            <v>PUR-13-0212-00</v>
          </cell>
          <cell r="F6841">
            <v>4812811279</v>
          </cell>
        </row>
        <row r="6842">
          <cell r="E6842" t="str">
            <v>PUR-13-0212-00</v>
          </cell>
          <cell r="F6842">
            <v>4812811279</v>
          </cell>
        </row>
        <row r="6843">
          <cell r="E6843" t="str">
            <v>PUR-13-0138-00</v>
          </cell>
          <cell r="F6843">
            <v>4812811279</v>
          </cell>
        </row>
        <row r="6844">
          <cell r="E6844" t="str">
            <v>PURET-13-0009-00</v>
          </cell>
          <cell r="F6844">
            <v>4812811279</v>
          </cell>
        </row>
        <row r="6845">
          <cell r="E6845" t="str">
            <v>PUR-13-0229-00</v>
          </cell>
          <cell r="F6845">
            <v>4812811279</v>
          </cell>
        </row>
        <row r="6846">
          <cell r="E6846" t="str">
            <v>EF-45117206.X.X</v>
          </cell>
          <cell r="F6846">
            <v>4812811279</v>
          </cell>
        </row>
        <row r="6847">
          <cell r="E6847" t="str">
            <v>HLOB-13-0138-00</v>
          </cell>
          <cell r="F6847">
            <v>4812811279</v>
          </cell>
        </row>
        <row r="6848">
          <cell r="E6848" t="str">
            <v>EF-45060487.X.X</v>
          </cell>
          <cell r="F6848">
            <v>4812811279</v>
          </cell>
        </row>
        <row r="6849">
          <cell r="E6849" t="str">
            <v>LUC-E00-420002-00</v>
          </cell>
          <cell r="F6849">
            <v>4812811279</v>
          </cell>
        </row>
        <row r="6850">
          <cell r="E6850" t="str">
            <v>LUC-E00-420002-00</v>
          </cell>
          <cell r="F6850">
            <v>4812811279</v>
          </cell>
        </row>
        <row r="6851">
          <cell r="E6851" t="str">
            <v>LUC-E00-400059-098</v>
          </cell>
          <cell r="F6851">
            <v>4812811279</v>
          </cell>
        </row>
        <row r="6852">
          <cell r="E6852" t="str">
            <v>LUC-E00-400059-098</v>
          </cell>
          <cell r="F6852">
            <v>4812811279</v>
          </cell>
        </row>
        <row r="6853">
          <cell r="E6853" t="str">
            <v>LUC-EZZ-420097-00</v>
          </cell>
          <cell r="F6853">
            <v>4812811279</v>
          </cell>
        </row>
        <row r="6854">
          <cell r="E6854" t="str">
            <v>LUC-EZZ-420097-00</v>
          </cell>
          <cell r="F6854">
            <v>4812811279</v>
          </cell>
        </row>
        <row r="6855">
          <cell r="E6855" t="str">
            <v>LUC-EZZ-420097-00</v>
          </cell>
          <cell r="F6855">
            <v>4812811279</v>
          </cell>
        </row>
        <row r="6856">
          <cell r="E6856" t="str">
            <v>LUC-EZZ-420097-00</v>
          </cell>
          <cell r="F6856">
            <v>4812811279</v>
          </cell>
        </row>
        <row r="6857">
          <cell r="E6857" t="str">
            <v>LUC-E00-420048-00</v>
          </cell>
          <cell r="F6857">
            <v>4812811279</v>
          </cell>
        </row>
        <row r="6858">
          <cell r="E6858" t="str">
            <v>LUC-E00-420002-00</v>
          </cell>
          <cell r="F6858">
            <v>4812811279</v>
          </cell>
        </row>
        <row r="6859">
          <cell r="E6859" t="str">
            <v>EF-45060487.X.X</v>
          </cell>
          <cell r="F6859">
            <v>4812811279</v>
          </cell>
        </row>
        <row r="6860">
          <cell r="E6860" t="str">
            <v>LUC-EZZ-420527-00</v>
          </cell>
          <cell r="F6860">
            <v>4812811279</v>
          </cell>
        </row>
        <row r="6861">
          <cell r="E6861" t="str">
            <v>LUC-E00-420002-00</v>
          </cell>
          <cell r="F6861">
            <v>4812811279</v>
          </cell>
        </row>
        <row r="6862">
          <cell r="E6862" t="str">
            <v>LUC-E00-420002-00</v>
          </cell>
          <cell r="F6862">
            <v>4812811279</v>
          </cell>
        </row>
        <row r="6863">
          <cell r="E6863" t="str">
            <v>LUC-E00-420002-00</v>
          </cell>
          <cell r="F6863">
            <v>4812811279</v>
          </cell>
        </row>
        <row r="6864">
          <cell r="E6864" t="str">
            <v>LUC-EZZ-420118-00</v>
          </cell>
          <cell r="F6864">
            <v>4812811279</v>
          </cell>
        </row>
        <row r="6865">
          <cell r="E6865" t="str">
            <v>LUC-EZZ-420118-00</v>
          </cell>
          <cell r="F6865">
            <v>4812811279</v>
          </cell>
        </row>
        <row r="6866">
          <cell r="E6866" t="str">
            <v>PUR-13-0212-00</v>
          </cell>
          <cell r="F6866">
            <v>4812811279</v>
          </cell>
        </row>
        <row r="6867">
          <cell r="E6867" t="str">
            <v>PUR-13-0138-00</v>
          </cell>
          <cell r="F6867">
            <v>4812811279</v>
          </cell>
        </row>
        <row r="6868">
          <cell r="E6868" t="str">
            <v>EF-45059919.X.X</v>
          </cell>
          <cell r="F6868">
            <v>4812811279</v>
          </cell>
        </row>
        <row r="6869">
          <cell r="E6869" t="str">
            <v>PUR-13-0157-00</v>
          </cell>
          <cell r="F6869">
            <v>4812811279</v>
          </cell>
        </row>
        <row r="6870">
          <cell r="E6870" t="str">
            <v>PURET-13-0009-00</v>
          </cell>
          <cell r="F6870">
            <v>4812811279</v>
          </cell>
        </row>
        <row r="6871">
          <cell r="E6871" t="str">
            <v>PUR-13-0138-00</v>
          </cell>
          <cell r="F6871">
            <v>4812811279</v>
          </cell>
        </row>
        <row r="6872">
          <cell r="E6872" t="str">
            <v>PURET-13-0069-00</v>
          </cell>
          <cell r="F6872">
            <v>4812811279</v>
          </cell>
        </row>
        <row r="6873">
          <cell r="E6873" t="str">
            <v>PUR-13-0238-00</v>
          </cell>
          <cell r="F6873">
            <v>4812811279</v>
          </cell>
        </row>
        <row r="6874">
          <cell r="E6874" t="str">
            <v>PUR-13-0238-00</v>
          </cell>
          <cell r="F6874">
            <v>4812811279</v>
          </cell>
        </row>
        <row r="6875">
          <cell r="E6875" t="str">
            <v>HLOB-13-0134-00</v>
          </cell>
          <cell r="F6875">
            <v>4812811279</v>
          </cell>
        </row>
        <row r="6876">
          <cell r="E6876" t="str">
            <v>PUR-13-0134-00</v>
          </cell>
          <cell r="F6876">
            <v>4812811279</v>
          </cell>
        </row>
        <row r="6877">
          <cell r="E6877" t="str">
            <v>PUR-13-0196-00</v>
          </cell>
          <cell r="F6877">
            <v>4812811279</v>
          </cell>
        </row>
        <row r="6878">
          <cell r="E6878" t="str">
            <v>LUC-E00-470062-00</v>
          </cell>
          <cell r="F6878">
            <v>3464802445</v>
          </cell>
        </row>
        <row r="6879">
          <cell r="E6879" t="str">
            <v>PUR-09-0294-00</v>
          </cell>
          <cell r="F6879">
            <v>288885673669</v>
          </cell>
        </row>
        <row r="6880">
          <cell r="E6880" t="str">
            <v>PUR-09-0343-00</v>
          </cell>
          <cell r="F6880">
            <v>458476561394</v>
          </cell>
        </row>
        <row r="6881">
          <cell r="E6881" t="str">
            <v>PUR-09-0343-00</v>
          </cell>
          <cell r="F6881">
            <v>458476561394</v>
          </cell>
        </row>
        <row r="6882">
          <cell r="E6882" t="str">
            <v>PUR-09-0343-00</v>
          </cell>
          <cell r="F6882">
            <v>458476561394</v>
          </cell>
        </row>
        <row r="6883">
          <cell r="E6883" t="str">
            <v>PUR-09-0343-00</v>
          </cell>
          <cell r="F6883">
            <v>458476561394</v>
          </cell>
        </row>
        <row r="6884">
          <cell r="E6884" t="str">
            <v>121-000538.X.X</v>
          </cell>
          <cell r="F6884">
            <v>460980020890</v>
          </cell>
        </row>
        <row r="6885">
          <cell r="E6885" t="str">
            <v>PUR-03-0082-02</v>
          </cell>
          <cell r="F6885">
            <v>461109549339</v>
          </cell>
        </row>
        <row r="6886">
          <cell r="E6886" t="str">
            <v>PUR-03-0091-02</v>
          </cell>
          <cell r="F6886">
            <v>461109586860</v>
          </cell>
        </row>
        <row r="6887">
          <cell r="E6887" t="str">
            <v>PUR-03-0091-02</v>
          </cell>
          <cell r="F6887">
            <v>461109586860</v>
          </cell>
        </row>
        <row r="6888">
          <cell r="E6888" t="str">
            <v>EF-45090995</v>
          </cell>
          <cell r="F6888">
            <v>461217320015</v>
          </cell>
        </row>
        <row r="6889">
          <cell r="E6889" t="str">
            <v>PUR-09-0434-00</v>
          </cell>
          <cell r="F6889">
            <v>461217320015</v>
          </cell>
        </row>
        <row r="6890">
          <cell r="E6890" t="str">
            <v>EF-45090995</v>
          </cell>
          <cell r="F6890">
            <v>461217320015</v>
          </cell>
        </row>
        <row r="6891">
          <cell r="E6891" t="str">
            <v>PUR-09-0434-00</v>
          </cell>
          <cell r="F6891">
            <v>461217320015</v>
          </cell>
        </row>
        <row r="6892">
          <cell r="E6892" t="str">
            <v>PUR-09-0294-00</v>
          </cell>
          <cell r="F6892">
            <v>461217320015</v>
          </cell>
        </row>
        <row r="6893">
          <cell r="E6893" t="str">
            <v>EF-45050219</v>
          </cell>
          <cell r="F6893">
            <v>461217320015</v>
          </cell>
        </row>
        <row r="6894">
          <cell r="E6894" t="str">
            <v>LUC-E00-450068-00</v>
          </cell>
          <cell r="F6894">
            <v>461217320015</v>
          </cell>
        </row>
        <row r="6895">
          <cell r="E6895" t="str">
            <v>PUR-25-0012-00</v>
          </cell>
          <cell r="F6895">
            <v>461217320015</v>
          </cell>
        </row>
        <row r="6896">
          <cell r="E6896" t="str">
            <v>HLOB-09-0329-00</v>
          </cell>
          <cell r="F6896">
            <v>461217320015</v>
          </cell>
        </row>
        <row r="6897">
          <cell r="E6897" t="str">
            <v>EF-45052488.X.X</v>
          </cell>
          <cell r="F6897">
            <v>461217320015</v>
          </cell>
        </row>
        <row r="6898">
          <cell r="E6898" t="str">
            <v>EF-45050219</v>
          </cell>
          <cell r="F6898">
            <v>461217320015</v>
          </cell>
        </row>
        <row r="6899">
          <cell r="E6899" t="str">
            <v>PUR-09-0424-00</v>
          </cell>
          <cell r="F6899">
            <v>461217320015</v>
          </cell>
        </row>
        <row r="6900">
          <cell r="E6900" t="str">
            <v>PUR-09-0220-00</v>
          </cell>
          <cell r="F6900">
            <v>461217320015</v>
          </cell>
        </row>
        <row r="6901">
          <cell r="E6901" t="str">
            <v>LUC-E00-400028-002</v>
          </cell>
          <cell r="F6901">
            <v>461217320015</v>
          </cell>
        </row>
        <row r="6902">
          <cell r="E6902" t="str">
            <v>PUR-09-0434-00</v>
          </cell>
          <cell r="F6902">
            <v>461217320015</v>
          </cell>
        </row>
        <row r="6903">
          <cell r="E6903" t="str">
            <v>PURET-21-0009-00</v>
          </cell>
          <cell r="F6903">
            <v>461217320015</v>
          </cell>
        </row>
        <row r="6904">
          <cell r="E6904" t="str">
            <v>LUC-E00-450084-00</v>
          </cell>
          <cell r="F6904">
            <v>461217320015</v>
          </cell>
        </row>
        <row r="6905">
          <cell r="E6905" t="str">
            <v>PUR-27-0017-00</v>
          </cell>
          <cell r="F6905">
            <v>461217320015</v>
          </cell>
        </row>
        <row r="6906">
          <cell r="E6906" t="str">
            <v>130-000513</v>
          </cell>
          <cell r="F6906">
            <v>446851298950</v>
          </cell>
        </row>
        <row r="6907">
          <cell r="E6907" t="str">
            <v>LUC-P21-K33900-00</v>
          </cell>
          <cell r="F6907">
            <v>898442189153</v>
          </cell>
        </row>
        <row r="6908">
          <cell r="E6908" t="str">
            <v>PUR-14-0086-00</v>
          </cell>
          <cell r="F6908">
            <v>1616253656</v>
          </cell>
        </row>
        <row r="6909">
          <cell r="E6909" t="str">
            <v>LUC-EZZ-420536-00</v>
          </cell>
          <cell r="F6909">
            <v>1616253656</v>
          </cell>
        </row>
        <row r="6910">
          <cell r="E6910" t="str">
            <v>LUC-E00-400047-00</v>
          </cell>
          <cell r="F6910">
            <v>1616253656</v>
          </cell>
        </row>
        <row r="6911">
          <cell r="E6911" t="str">
            <v>LUC-EZZ-400629-00</v>
          </cell>
          <cell r="F6911">
            <v>1616253656</v>
          </cell>
        </row>
        <row r="6912">
          <cell r="E6912" t="str">
            <v>LUC-EZZ-400629-00</v>
          </cell>
          <cell r="F6912">
            <v>1616253656</v>
          </cell>
        </row>
        <row r="6913">
          <cell r="E6913" t="str">
            <v>PUR-27-0028-00</v>
          </cell>
          <cell r="F6913">
            <v>1616253656</v>
          </cell>
        </row>
        <row r="6914">
          <cell r="E6914" t="str">
            <v>LUC-EZZ-400629-00</v>
          </cell>
          <cell r="F6914">
            <v>1616253656</v>
          </cell>
        </row>
        <row r="6915">
          <cell r="E6915" t="str">
            <v>PUR-27-0028-00</v>
          </cell>
          <cell r="F6915">
            <v>1616253656</v>
          </cell>
        </row>
        <row r="6916">
          <cell r="E6916" t="str">
            <v>LUC-E00-400047-00</v>
          </cell>
          <cell r="F6916">
            <v>1616253656</v>
          </cell>
        </row>
        <row r="6917">
          <cell r="E6917" t="str">
            <v>LUC-EZZ-420020-00</v>
          </cell>
          <cell r="F6917">
            <v>1616253656</v>
          </cell>
        </row>
        <row r="6918">
          <cell r="E6918" t="str">
            <v>PUR-13-0165-00</v>
          </cell>
          <cell r="F6918">
            <v>1616253656</v>
          </cell>
        </row>
        <row r="6919">
          <cell r="E6919" t="str">
            <v>LUC-E00-400025-01</v>
          </cell>
          <cell r="F6919">
            <v>1616253656</v>
          </cell>
        </row>
        <row r="6920">
          <cell r="E6920" t="str">
            <v>EF-45058032</v>
          </cell>
          <cell r="F6920">
            <v>5376588663</v>
          </cell>
        </row>
        <row r="6921">
          <cell r="E6921" t="str">
            <v>121-000519.X.X</v>
          </cell>
          <cell r="F6921">
            <v>5376588663</v>
          </cell>
        </row>
        <row r="6922">
          <cell r="E6922" t="str">
            <v>EF-45052527</v>
          </cell>
          <cell r="F6922">
            <v>5376588663</v>
          </cell>
        </row>
        <row r="6923">
          <cell r="E6923" t="str">
            <v>LUC-E00-450075-00</v>
          </cell>
          <cell r="F6923">
            <v>5376588663</v>
          </cell>
        </row>
        <row r="6924">
          <cell r="E6924" t="str">
            <v>LUC-EZZ-400801-00</v>
          </cell>
          <cell r="F6924">
            <v>5376588663</v>
          </cell>
        </row>
        <row r="6925">
          <cell r="E6925" t="str">
            <v>LUC-EZZ-690758-00</v>
          </cell>
          <cell r="F6925">
            <v>5376588663</v>
          </cell>
        </row>
        <row r="6926">
          <cell r="E6926" t="str">
            <v>LUC-EZZ-690758-00</v>
          </cell>
          <cell r="F6926">
            <v>5376588663</v>
          </cell>
        </row>
        <row r="6927">
          <cell r="E6927" t="str">
            <v>EF-45057846.X.X</v>
          </cell>
          <cell r="F6927">
            <v>5376588663</v>
          </cell>
        </row>
        <row r="6928">
          <cell r="E6928" t="str">
            <v>LUC-EZZ-400237-00</v>
          </cell>
          <cell r="F6928">
            <v>5376588663</v>
          </cell>
        </row>
        <row r="6929">
          <cell r="E6929" t="str">
            <v>PUR-12-0408-00</v>
          </cell>
          <cell r="F6929">
            <v>5376588663</v>
          </cell>
        </row>
        <row r="6930">
          <cell r="E6930" t="str">
            <v>HLOB-12-0412-00</v>
          </cell>
          <cell r="F6930">
            <v>5376588663</v>
          </cell>
        </row>
        <row r="6931">
          <cell r="E6931" t="str">
            <v>HLOB-12-0432-00</v>
          </cell>
          <cell r="F6931">
            <v>5376588663</v>
          </cell>
        </row>
        <row r="6932">
          <cell r="E6932" t="str">
            <v>HLOB-12-0408-00</v>
          </cell>
          <cell r="F6932">
            <v>5376588663</v>
          </cell>
        </row>
        <row r="6933">
          <cell r="E6933" t="str">
            <v>LUC-E00-400024-04</v>
          </cell>
          <cell r="F6933">
            <v>5376588663</v>
          </cell>
        </row>
        <row r="6934">
          <cell r="E6934" t="str">
            <v>LUC-E00-470074-01</v>
          </cell>
          <cell r="F6934">
            <v>5376588663</v>
          </cell>
        </row>
        <row r="6935">
          <cell r="E6935" t="str">
            <v>LUC-EZZ-420151-00</v>
          </cell>
          <cell r="F6935">
            <v>5376588663</v>
          </cell>
        </row>
        <row r="6936">
          <cell r="E6936" t="str">
            <v>LUC-EZZ-420151-00</v>
          </cell>
          <cell r="F6936">
            <v>5376588663</v>
          </cell>
        </row>
        <row r="6937">
          <cell r="E6937" t="str">
            <v>PUR-14-0103-00</v>
          </cell>
          <cell r="F6937">
            <v>5376588663</v>
          </cell>
        </row>
        <row r="6938">
          <cell r="E6938" t="str">
            <v>122-000362.X.X</v>
          </cell>
          <cell r="F6938">
            <v>5376588663</v>
          </cell>
        </row>
        <row r="6939">
          <cell r="E6939" t="str">
            <v>EF-45149057</v>
          </cell>
          <cell r="F6939">
            <v>5376588663</v>
          </cell>
        </row>
        <row r="6940">
          <cell r="E6940" t="str">
            <v>PUR-09-0329-00</v>
          </cell>
          <cell r="F6940">
            <v>5376588663</v>
          </cell>
        </row>
        <row r="6941">
          <cell r="E6941" t="str">
            <v>LUC-E00-450039-01</v>
          </cell>
          <cell r="F6941">
            <v>5376588663</v>
          </cell>
        </row>
        <row r="6942">
          <cell r="E6942" t="str">
            <v>PUR-09-0444-00</v>
          </cell>
          <cell r="F6942">
            <v>5376588663</v>
          </cell>
        </row>
        <row r="6943">
          <cell r="E6943" t="str">
            <v>EF-45072119</v>
          </cell>
          <cell r="F6943">
            <v>5376588663</v>
          </cell>
        </row>
        <row r="6944">
          <cell r="E6944" t="str">
            <v>LUC-E00-470093-00</v>
          </cell>
          <cell r="F6944">
            <v>288928252600</v>
          </cell>
        </row>
        <row r="6945">
          <cell r="E6945" t="str">
            <v>LUC-E00-470093-00</v>
          </cell>
          <cell r="F6945">
            <v>288928252600</v>
          </cell>
        </row>
        <row r="6946">
          <cell r="E6946" t="str">
            <v>LUC-E00-470093-00</v>
          </cell>
          <cell r="F6946">
            <v>288928252600</v>
          </cell>
        </row>
        <row r="6947">
          <cell r="E6947" t="str">
            <v>LUC-E00-470093-00</v>
          </cell>
          <cell r="F6947">
            <v>288928252600</v>
          </cell>
        </row>
        <row r="6948">
          <cell r="E6948" t="str">
            <v>EF-45093131.X.X</v>
          </cell>
          <cell r="F6948">
            <v>419341553005</v>
          </cell>
        </row>
        <row r="6949">
          <cell r="E6949" t="str">
            <v>EF-45093131.X.X</v>
          </cell>
          <cell r="F6949">
            <v>419341553005</v>
          </cell>
        </row>
        <row r="6950">
          <cell r="E6950" t="str">
            <v>AGI-500-40179-01</v>
          </cell>
          <cell r="F6950">
            <v>419341553005</v>
          </cell>
        </row>
        <row r="6951">
          <cell r="E6951" t="str">
            <v>EF-45093131.X.X</v>
          </cell>
          <cell r="F6951">
            <v>419341553005</v>
          </cell>
        </row>
        <row r="6952">
          <cell r="E6952" t="str">
            <v>EF-45093131.X.X</v>
          </cell>
          <cell r="F6952">
            <v>419341553005</v>
          </cell>
        </row>
        <row r="6953">
          <cell r="E6953" t="str">
            <v>EF-45054385.X.X</v>
          </cell>
          <cell r="F6953">
            <v>419341553005</v>
          </cell>
        </row>
        <row r="6954">
          <cell r="E6954" t="str">
            <v>EF-45044048.X.X</v>
          </cell>
          <cell r="F6954">
            <v>419341553005</v>
          </cell>
        </row>
        <row r="6955">
          <cell r="E6955" t="str">
            <v>PURET-12-0257-00</v>
          </cell>
          <cell r="F6955">
            <v>881442839050</v>
          </cell>
        </row>
        <row r="6956">
          <cell r="E6956" t="str">
            <v>PUR-12-0431-00</v>
          </cell>
          <cell r="F6956">
            <v>881442839050</v>
          </cell>
        </row>
        <row r="6957">
          <cell r="E6957" t="str">
            <v>PUR-12-0474-00</v>
          </cell>
          <cell r="F6957">
            <v>881442839050</v>
          </cell>
        </row>
        <row r="6958">
          <cell r="E6958" t="str">
            <v>PUR-12-0475-00</v>
          </cell>
          <cell r="F6958">
            <v>881442839050</v>
          </cell>
        </row>
        <row r="6959">
          <cell r="E6959" t="str">
            <v>PUR-12-0271-00</v>
          </cell>
          <cell r="F6959">
            <v>881442839050</v>
          </cell>
        </row>
        <row r="6960">
          <cell r="E6960" t="str">
            <v>PUR-12-0310-00</v>
          </cell>
          <cell r="F6960">
            <v>881442839050</v>
          </cell>
        </row>
        <row r="6961">
          <cell r="E6961" t="str">
            <v>EF-45061965.X.X</v>
          </cell>
          <cell r="F6961">
            <v>881442839050</v>
          </cell>
        </row>
        <row r="6962">
          <cell r="E6962" t="str">
            <v>EF-45036455.X.X</v>
          </cell>
          <cell r="F6962">
            <v>881442839050</v>
          </cell>
        </row>
        <row r="6963">
          <cell r="E6963" t="str">
            <v>LUC-E00-400243-00</v>
          </cell>
          <cell r="F6963">
            <v>461217336264</v>
          </cell>
        </row>
        <row r="6964">
          <cell r="E6964" t="str">
            <v>PUR-09-0417-00</v>
          </cell>
          <cell r="F6964">
            <v>452730416077</v>
          </cell>
        </row>
        <row r="6965">
          <cell r="E6965" t="str">
            <v>PUR-12-0412-00</v>
          </cell>
          <cell r="F6965">
            <v>455383434446</v>
          </cell>
        </row>
        <row r="6966">
          <cell r="E6966" t="str">
            <v>LUC-E00-420086-00</v>
          </cell>
          <cell r="F6966">
            <v>436622417282</v>
          </cell>
        </row>
        <row r="6967">
          <cell r="E6967" t="str">
            <v>PUR-09-0424-00</v>
          </cell>
          <cell r="F6967">
            <v>461217314650</v>
          </cell>
        </row>
        <row r="6968">
          <cell r="E6968" t="str">
            <v>PUR-09-0424-00</v>
          </cell>
          <cell r="F6968">
            <v>461217314650</v>
          </cell>
        </row>
        <row r="6969">
          <cell r="E6969" t="str">
            <v>EF-45129873</v>
          </cell>
          <cell r="F6969">
            <v>420225799577</v>
          </cell>
        </row>
        <row r="6970">
          <cell r="E6970" t="str">
            <v>EF-45129873</v>
          </cell>
          <cell r="F6970">
            <v>420225799577</v>
          </cell>
        </row>
        <row r="6971">
          <cell r="E6971" t="str">
            <v>EF-45129873</v>
          </cell>
          <cell r="F6971">
            <v>420225799577</v>
          </cell>
        </row>
        <row r="6972">
          <cell r="E6972" t="str">
            <v>EF-45224843</v>
          </cell>
          <cell r="F6972">
            <v>420225799566</v>
          </cell>
        </row>
        <row r="6973">
          <cell r="E6973" t="str">
            <v>EF-45224843</v>
          </cell>
          <cell r="F6973">
            <v>420225799566</v>
          </cell>
        </row>
        <row r="6974">
          <cell r="E6974" t="str">
            <v>EF-45224843</v>
          </cell>
          <cell r="F6974">
            <v>420225799566</v>
          </cell>
        </row>
        <row r="6975">
          <cell r="E6975" t="str">
            <v>AIC-MP-CP006272-S03</v>
          </cell>
          <cell r="F6975">
            <v>9730417686</v>
          </cell>
        </row>
        <row r="6976">
          <cell r="E6976" t="str">
            <v>LUC-E00-400010-003</v>
          </cell>
          <cell r="F6976">
            <v>972682022027</v>
          </cell>
        </row>
        <row r="6977">
          <cell r="E6977" t="str">
            <v>141-001581</v>
          </cell>
          <cell r="F6977">
            <v>881416153723</v>
          </cell>
        </row>
        <row r="6978">
          <cell r="E6978" t="str">
            <v>LUC-P11-K2B300-03</v>
          </cell>
          <cell r="F6978" t="str">
            <v>PSHPH2550066</v>
          </cell>
        </row>
        <row r="6979">
          <cell r="E6979" t="str">
            <v>PUR-11-0104-05</v>
          </cell>
          <cell r="F6979" t="str">
            <v>PSHPH2550068</v>
          </cell>
        </row>
        <row r="6980">
          <cell r="E6980" t="str">
            <v>PUR-11-0104-05</v>
          </cell>
          <cell r="F6980" t="str">
            <v>PSHPH2550068</v>
          </cell>
        </row>
        <row r="6981">
          <cell r="E6981" t="str">
            <v>EF-45156843</v>
          </cell>
          <cell r="F6981">
            <v>461596439942</v>
          </cell>
        </row>
        <row r="6982">
          <cell r="E6982" t="str">
            <v>LUC-EZZ-450189-00</v>
          </cell>
          <cell r="F6982" t="str">
            <v>TXGHPHK25506</v>
          </cell>
        </row>
        <row r="6983">
          <cell r="E6983" t="str">
            <v>LUC-EZZ-470362-00</v>
          </cell>
          <cell r="F6983" t="str">
            <v>TXGHPHK25506</v>
          </cell>
        </row>
        <row r="6984">
          <cell r="E6984" t="str">
            <v>LUC-EZZ-510031-01</v>
          </cell>
          <cell r="F6984" t="str">
            <v>TXGHPHK25506</v>
          </cell>
        </row>
        <row r="6985">
          <cell r="E6985" t="str">
            <v>LUC-EZZ-520021-00</v>
          </cell>
          <cell r="F6985" t="str">
            <v>TXGHPHK25506</v>
          </cell>
        </row>
        <row r="6986">
          <cell r="E6986" t="str">
            <v>LUC-P00-F143AG-00</v>
          </cell>
          <cell r="F6986" t="str">
            <v>TXGHPHK25506</v>
          </cell>
        </row>
        <row r="6987">
          <cell r="E6987" t="str">
            <v>LUC-P00-F320CB-00</v>
          </cell>
          <cell r="F6987" t="str">
            <v>TXGHPHK25506</v>
          </cell>
        </row>
        <row r="6988">
          <cell r="E6988" t="str">
            <v>LUC-P00-F320DB-00</v>
          </cell>
          <cell r="F6988" t="str">
            <v>TXGHPHK25506</v>
          </cell>
        </row>
        <row r="6989">
          <cell r="E6989" t="str">
            <v>LUC-P21-K2C400-01</v>
          </cell>
          <cell r="F6989" t="str">
            <v>LSHHPH2503997</v>
          </cell>
        </row>
        <row r="6990">
          <cell r="E6990" t="str">
            <v>LUC-P21-K2C400-01</v>
          </cell>
          <cell r="F6990" t="str">
            <v>LSHHPH2503997</v>
          </cell>
        </row>
        <row r="6991">
          <cell r="E6991" t="str">
            <v>LUC-P21-K61100-02</v>
          </cell>
          <cell r="F6991" t="str">
            <v>LSHHPH2503997</v>
          </cell>
        </row>
        <row r="6992">
          <cell r="E6992" t="str">
            <v>PUR-03-0096-02</v>
          </cell>
          <cell r="F6992" t="str">
            <v>8TV4147</v>
          </cell>
        </row>
        <row r="6993">
          <cell r="E6993" t="str">
            <v>EF-45151001</v>
          </cell>
          <cell r="F6993">
            <v>7122987653</v>
          </cell>
        </row>
        <row r="6994">
          <cell r="E6994" t="str">
            <v>EF-45129595</v>
          </cell>
          <cell r="F6994">
            <v>7122987653</v>
          </cell>
        </row>
        <row r="6995">
          <cell r="E6995" t="str">
            <v>EF-45111698</v>
          </cell>
          <cell r="F6995">
            <v>7122987653</v>
          </cell>
        </row>
        <row r="6996">
          <cell r="E6996" t="str">
            <v>EF-45120874.X.X</v>
          </cell>
          <cell r="F6996">
            <v>7122987653</v>
          </cell>
        </row>
        <row r="6997">
          <cell r="E6997" t="str">
            <v>LUC-E00-470432-00</v>
          </cell>
          <cell r="F6997">
            <v>119209600412</v>
          </cell>
        </row>
        <row r="6998">
          <cell r="E6998" t="str">
            <v>LUC-E00-420024-00</v>
          </cell>
          <cell r="F6998">
            <v>119209600412</v>
          </cell>
        </row>
        <row r="6999">
          <cell r="E6999" t="str">
            <v>LUC-EZZ-450047-00</v>
          </cell>
          <cell r="F6999">
            <v>119209600412</v>
          </cell>
        </row>
        <row r="7000">
          <cell r="E7000" t="str">
            <v>PUR-24-0028-00</v>
          </cell>
          <cell r="F7000">
            <v>119209600412</v>
          </cell>
        </row>
        <row r="7001">
          <cell r="E7001" t="str">
            <v>PURET-24-0002-00</v>
          </cell>
          <cell r="F7001">
            <v>119209600412</v>
          </cell>
        </row>
        <row r="7002">
          <cell r="E7002" t="str">
            <v>PUR-24-0028-00</v>
          </cell>
          <cell r="F7002">
            <v>119209600412</v>
          </cell>
        </row>
        <row r="7003">
          <cell r="E7003" t="str">
            <v>LUC-E00-450060-00</v>
          </cell>
          <cell r="F7003">
            <v>119209600412</v>
          </cell>
        </row>
        <row r="7004">
          <cell r="E7004" t="str">
            <v>PUR-09-0213-00</v>
          </cell>
          <cell r="F7004">
            <v>119209600412</v>
          </cell>
        </row>
        <row r="7005">
          <cell r="E7005" t="str">
            <v>PUR-09-0213-00</v>
          </cell>
          <cell r="F7005">
            <v>119209600412</v>
          </cell>
        </row>
        <row r="7006">
          <cell r="E7006" t="str">
            <v>PURET-24-0002-00</v>
          </cell>
          <cell r="F7006">
            <v>119209600412</v>
          </cell>
        </row>
        <row r="7007">
          <cell r="E7007" t="str">
            <v>PUR-09-0427-00</v>
          </cell>
          <cell r="F7007">
            <v>119209600412</v>
          </cell>
        </row>
        <row r="7008">
          <cell r="E7008" t="str">
            <v>PUR-09-0213-00</v>
          </cell>
          <cell r="F7008">
            <v>119209600412</v>
          </cell>
        </row>
        <row r="7009">
          <cell r="E7009" t="str">
            <v>PUR-09-0213-00</v>
          </cell>
          <cell r="F7009">
            <v>119209600412</v>
          </cell>
        </row>
        <row r="7010">
          <cell r="E7010" t="str">
            <v>EF-45174167</v>
          </cell>
          <cell r="F7010">
            <v>119209600412</v>
          </cell>
        </row>
        <row r="7011">
          <cell r="E7011" t="str">
            <v>HLOB-09-0427-00</v>
          </cell>
          <cell r="F7011">
            <v>119209600412</v>
          </cell>
        </row>
        <row r="7012">
          <cell r="E7012" t="str">
            <v>PUR-09-0213-00</v>
          </cell>
          <cell r="F7012">
            <v>119209600412</v>
          </cell>
        </row>
        <row r="7013">
          <cell r="E7013" t="str">
            <v>EF-45043833.X.X</v>
          </cell>
          <cell r="F7013">
            <v>119209600412</v>
          </cell>
        </row>
        <row r="7014">
          <cell r="E7014" t="str">
            <v>LUC-E00-690157-01</v>
          </cell>
          <cell r="F7014">
            <v>421194793377</v>
          </cell>
        </row>
        <row r="7015">
          <cell r="E7015" t="str">
            <v>HLOB-27-0017-00</v>
          </cell>
          <cell r="F7015">
            <v>461217415122</v>
          </cell>
        </row>
        <row r="7016">
          <cell r="E7016" t="str">
            <v>EF-45091073.X.X</v>
          </cell>
          <cell r="F7016">
            <v>461217415122</v>
          </cell>
        </row>
        <row r="7017">
          <cell r="E7017" t="str">
            <v>LUC-E00-400010-005</v>
          </cell>
          <cell r="F7017">
            <v>461217415122</v>
          </cell>
        </row>
        <row r="7018">
          <cell r="E7018" t="str">
            <v>EF-45103518</v>
          </cell>
          <cell r="F7018">
            <v>461217415122</v>
          </cell>
        </row>
        <row r="7019">
          <cell r="E7019" t="str">
            <v>PUR-09-0324-00</v>
          </cell>
          <cell r="F7019">
            <v>461217415122</v>
          </cell>
        </row>
        <row r="7020">
          <cell r="E7020" t="str">
            <v>HLOB-09-0422-00</v>
          </cell>
          <cell r="F7020">
            <v>461217415122</v>
          </cell>
        </row>
        <row r="7021">
          <cell r="E7021" t="str">
            <v>PUR-09-0329-00</v>
          </cell>
          <cell r="F7021">
            <v>461217415122</v>
          </cell>
        </row>
        <row r="7022">
          <cell r="E7022" t="str">
            <v>LUC-E00-470037-00</v>
          </cell>
          <cell r="F7022">
            <v>461217415122</v>
          </cell>
        </row>
        <row r="7023">
          <cell r="E7023" t="str">
            <v>LUC-EZZ-400206-00</v>
          </cell>
          <cell r="F7023">
            <v>461217415122</v>
          </cell>
        </row>
        <row r="7024">
          <cell r="E7024" t="str">
            <v>LUC-EZZ-400248-00</v>
          </cell>
          <cell r="F7024">
            <v>461217415122</v>
          </cell>
        </row>
        <row r="7025">
          <cell r="E7025" t="str">
            <v>PUR-09-0279-00</v>
          </cell>
          <cell r="F7025">
            <v>461217415122</v>
          </cell>
        </row>
        <row r="7026">
          <cell r="E7026" t="str">
            <v>PUR-09-0322-00</v>
          </cell>
          <cell r="F7026">
            <v>461217415122</v>
          </cell>
        </row>
        <row r="7027">
          <cell r="E7027" t="str">
            <v>EF-45071390.X.X</v>
          </cell>
          <cell r="F7027">
            <v>461217415122</v>
          </cell>
        </row>
        <row r="7028">
          <cell r="E7028" t="str">
            <v>LUC-EZZ-400206-00</v>
          </cell>
          <cell r="F7028">
            <v>461217415122</v>
          </cell>
        </row>
        <row r="7029">
          <cell r="E7029" t="str">
            <v>LUC-EZZ-400248-00</v>
          </cell>
          <cell r="F7029">
            <v>461217415122</v>
          </cell>
        </row>
        <row r="7030">
          <cell r="E7030" t="str">
            <v>LUC-E00-460007-00</v>
          </cell>
          <cell r="F7030">
            <v>461217415122</v>
          </cell>
        </row>
        <row r="7031">
          <cell r="E7031" t="str">
            <v>HLOB-09-0422-00</v>
          </cell>
          <cell r="F7031">
            <v>461217415122</v>
          </cell>
        </row>
        <row r="7032">
          <cell r="E7032" t="str">
            <v>LUC-E00-470041-00</v>
          </cell>
          <cell r="F7032">
            <v>461217415122</v>
          </cell>
        </row>
        <row r="7033">
          <cell r="E7033" t="str">
            <v>LUC-E00-400010-005</v>
          </cell>
          <cell r="F7033">
            <v>461217415122</v>
          </cell>
        </row>
        <row r="7034">
          <cell r="E7034" t="str">
            <v>PUR-09-0279-00</v>
          </cell>
          <cell r="F7034">
            <v>461217415122</v>
          </cell>
        </row>
        <row r="7035">
          <cell r="E7035" t="str">
            <v>LUC-E00-470083-00</v>
          </cell>
          <cell r="F7035">
            <v>461217415122</v>
          </cell>
        </row>
        <row r="7036">
          <cell r="E7036" t="str">
            <v>EF-45241780</v>
          </cell>
          <cell r="F7036">
            <v>461217415122</v>
          </cell>
        </row>
        <row r="7037">
          <cell r="E7037" t="str">
            <v>PUR-09-0255-00</v>
          </cell>
          <cell r="F7037">
            <v>461217415122</v>
          </cell>
        </row>
        <row r="7038">
          <cell r="E7038" t="str">
            <v>PUR-09-0422-00</v>
          </cell>
          <cell r="F7038">
            <v>461217415122</v>
          </cell>
        </row>
        <row r="7039">
          <cell r="E7039" t="str">
            <v>PUR-09-0434-00</v>
          </cell>
          <cell r="F7039">
            <v>461217415122</v>
          </cell>
        </row>
        <row r="7040">
          <cell r="E7040" t="str">
            <v>EF-45129595</v>
          </cell>
          <cell r="F7040">
            <v>461217415122</v>
          </cell>
        </row>
        <row r="7041">
          <cell r="E7041" t="str">
            <v>PURET-21-0009-00</v>
          </cell>
          <cell r="F7041">
            <v>461217415122</v>
          </cell>
        </row>
        <row r="7042">
          <cell r="E7042" t="str">
            <v>LUC-E00-470071-01</v>
          </cell>
          <cell r="F7042">
            <v>461217415122</v>
          </cell>
        </row>
        <row r="7043">
          <cell r="E7043" t="str">
            <v>LUC-EZZ-400206-00</v>
          </cell>
          <cell r="F7043">
            <v>461217415122</v>
          </cell>
        </row>
        <row r="7044">
          <cell r="E7044" t="str">
            <v>PUR-09-0422-00</v>
          </cell>
          <cell r="F7044">
            <v>461217415122</v>
          </cell>
        </row>
        <row r="7045">
          <cell r="E7045" t="str">
            <v>PUR-09-0422-00</v>
          </cell>
          <cell r="F7045">
            <v>461217415122</v>
          </cell>
        </row>
        <row r="7046">
          <cell r="E7046" t="str">
            <v>EF-45092831</v>
          </cell>
          <cell r="F7046">
            <v>461217415122</v>
          </cell>
        </row>
        <row r="7047">
          <cell r="E7047" t="str">
            <v>EF-45129686</v>
          </cell>
          <cell r="F7047">
            <v>881426284987</v>
          </cell>
        </row>
        <row r="7048">
          <cell r="E7048" t="str">
            <v>PUR-09-0279-00</v>
          </cell>
          <cell r="F7048">
            <v>461217415773</v>
          </cell>
        </row>
        <row r="7049">
          <cell r="E7049" t="str">
            <v>PUR-09-0279-00</v>
          </cell>
          <cell r="F7049">
            <v>461217415854</v>
          </cell>
        </row>
        <row r="7050">
          <cell r="E7050" t="str">
            <v>EF-45135145</v>
          </cell>
          <cell r="F7050">
            <v>288973400038</v>
          </cell>
        </row>
        <row r="7051">
          <cell r="E7051" t="str">
            <v>EF-45094074</v>
          </cell>
          <cell r="F7051">
            <v>288973400038</v>
          </cell>
        </row>
        <row r="7052">
          <cell r="E7052" t="str">
            <v>PUR-09-0424-00</v>
          </cell>
          <cell r="F7052">
            <v>7181080841</v>
          </cell>
        </row>
        <row r="7053">
          <cell r="E7053" t="str">
            <v>PUR-09-0424-00</v>
          </cell>
          <cell r="F7053">
            <v>7181080841</v>
          </cell>
        </row>
        <row r="7054">
          <cell r="E7054" t="str">
            <v>141-001532</v>
          </cell>
          <cell r="F7054">
            <v>881477702525</v>
          </cell>
        </row>
        <row r="7055">
          <cell r="E7055" t="str">
            <v>141-001532</v>
          </cell>
          <cell r="F7055">
            <v>881477702525</v>
          </cell>
        </row>
        <row r="7056">
          <cell r="E7056" t="str">
            <v>132-000270</v>
          </cell>
          <cell r="F7056">
            <v>415080627210</v>
          </cell>
        </row>
        <row r="7057">
          <cell r="E7057" t="str">
            <v>LUC-E00-440148-00</v>
          </cell>
          <cell r="F7057">
            <v>650969632560</v>
          </cell>
        </row>
        <row r="7058">
          <cell r="E7058" t="str">
            <v>LUC-E00-440148-00</v>
          </cell>
          <cell r="F7058">
            <v>650969632560</v>
          </cell>
        </row>
        <row r="7059">
          <cell r="E7059" t="str">
            <v>PUR-09-0422-00</v>
          </cell>
          <cell r="F7059">
            <v>458476570480</v>
          </cell>
        </row>
        <row r="7060">
          <cell r="E7060" t="str">
            <v>PUR-09-0343-00</v>
          </cell>
          <cell r="F7060">
            <v>458476570480</v>
          </cell>
        </row>
        <row r="7061">
          <cell r="E7061" t="str">
            <v>PUR-09-0343-00</v>
          </cell>
          <cell r="F7061">
            <v>458476570480</v>
          </cell>
        </row>
        <row r="7062">
          <cell r="E7062" t="str">
            <v>PUR-09-0343-00</v>
          </cell>
          <cell r="F7062">
            <v>458476570480</v>
          </cell>
        </row>
        <row r="7063">
          <cell r="E7063" t="str">
            <v>PUR-12-0482-00</v>
          </cell>
          <cell r="F7063">
            <v>881452445548</v>
          </cell>
        </row>
        <row r="7064">
          <cell r="E7064" t="str">
            <v>PUR-12-0306-00</v>
          </cell>
          <cell r="F7064">
            <v>881452445548</v>
          </cell>
        </row>
        <row r="7065">
          <cell r="E7065" t="str">
            <v>EF-45043819.X.X</v>
          </cell>
          <cell r="F7065">
            <v>881452445548</v>
          </cell>
        </row>
        <row r="7066">
          <cell r="E7066" t="str">
            <v>EF-45125060</v>
          </cell>
          <cell r="F7066">
            <v>446052815196</v>
          </cell>
        </row>
        <row r="7067">
          <cell r="E7067" t="str">
            <v>LUC-EZZ-690242-00</v>
          </cell>
          <cell r="F7067">
            <v>288837960301</v>
          </cell>
        </row>
        <row r="7068">
          <cell r="E7068" t="str">
            <v>LUC-E00-690055-00</v>
          </cell>
          <cell r="F7068">
            <v>288837960301</v>
          </cell>
        </row>
        <row r="7069">
          <cell r="E7069" t="str">
            <v>LUC-E00-690055-00</v>
          </cell>
          <cell r="F7069">
            <v>288837960301</v>
          </cell>
        </row>
        <row r="7070">
          <cell r="E7070" t="str">
            <v>LUC-E00-690055-00</v>
          </cell>
          <cell r="F7070">
            <v>288837960301</v>
          </cell>
        </row>
        <row r="7071">
          <cell r="E7071" t="str">
            <v>LUC-E00-690055-00</v>
          </cell>
          <cell r="F7071">
            <v>288837960301</v>
          </cell>
        </row>
        <row r="7072">
          <cell r="E7072" t="str">
            <v>PUR-09-0513-00</v>
          </cell>
          <cell r="F7072">
            <v>460980564264</v>
          </cell>
        </row>
        <row r="7073">
          <cell r="E7073" t="str">
            <v>PUR-14-0101-00</v>
          </cell>
          <cell r="F7073">
            <v>460980564264</v>
          </cell>
        </row>
        <row r="7074">
          <cell r="E7074" t="str">
            <v>LUC-P11-K41E00-01</v>
          </cell>
          <cell r="F7074">
            <v>460980564264</v>
          </cell>
        </row>
        <row r="7075">
          <cell r="E7075" t="str">
            <v>LUC-E00-420071-00</v>
          </cell>
          <cell r="F7075">
            <v>460980564264</v>
          </cell>
        </row>
        <row r="7076">
          <cell r="E7076" t="str">
            <v>EF-45074500.X.X</v>
          </cell>
          <cell r="F7076">
            <v>460980564264</v>
          </cell>
        </row>
        <row r="7077">
          <cell r="E7077" t="str">
            <v>LUC-E00-510037-00</v>
          </cell>
          <cell r="F7077">
            <v>460980564264</v>
          </cell>
        </row>
        <row r="7078">
          <cell r="E7078" t="str">
            <v>LUC-E00-510064-00</v>
          </cell>
          <cell r="F7078">
            <v>460980564264</v>
          </cell>
        </row>
        <row r="7079">
          <cell r="E7079" t="str">
            <v>LUC-E00-420072-00</v>
          </cell>
          <cell r="F7079">
            <v>458836623886</v>
          </cell>
        </row>
        <row r="7080">
          <cell r="E7080" t="str">
            <v>PUR-13-0154-00</v>
          </cell>
          <cell r="F7080">
            <v>458836623886</v>
          </cell>
        </row>
        <row r="7081">
          <cell r="E7081" t="str">
            <v>PURET-12-0024-00</v>
          </cell>
          <cell r="F7081">
            <v>458836623886</v>
          </cell>
        </row>
        <row r="7082">
          <cell r="E7082" t="str">
            <v>EF-45125060</v>
          </cell>
          <cell r="F7082">
            <v>458171547769</v>
          </cell>
        </row>
        <row r="7083">
          <cell r="E7083" t="str">
            <v>LUC-E00-440014-01</v>
          </cell>
          <cell r="F7083">
            <v>458171547769</v>
          </cell>
        </row>
        <row r="7084">
          <cell r="E7084" t="str">
            <v>LUC-E00-440014-01</v>
          </cell>
          <cell r="F7084">
            <v>458171547769</v>
          </cell>
        </row>
        <row r="7085">
          <cell r="E7085" t="str">
            <v>LUC-EZZ-440018-00</v>
          </cell>
          <cell r="F7085">
            <v>458171547769</v>
          </cell>
        </row>
        <row r="7086">
          <cell r="E7086" t="str">
            <v>LUC-EZZ-440028-00</v>
          </cell>
          <cell r="F7086">
            <v>458171547769</v>
          </cell>
        </row>
        <row r="7087">
          <cell r="E7087" t="str">
            <v>LUC-EZZ-440031-00</v>
          </cell>
          <cell r="F7087">
            <v>458171547769</v>
          </cell>
        </row>
        <row r="7088">
          <cell r="E7088" t="str">
            <v>LUC-EZZ-440162-00</v>
          </cell>
          <cell r="F7088">
            <v>458171547769</v>
          </cell>
        </row>
        <row r="7089">
          <cell r="E7089" t="str">
            <v>LUC-EZZ-440911-00</v>
          </cell>
          <cell r="F7089">
            <v>458171547769</v>
          </cell>
        </row>
        <row r="7090">
          <cell r="E7090" t="str">
            <v>LUC-EZZ-440911-00</v>
          </cell>
          <cell r="F7090">
            <v>458171547769</v>
          </cell>
        </row>
        <row r="7091">
          <cell r="E7091" t="str">
            <v>LUC-EZZ-440911-00</v>
          </cell>
          <cell r="F7091">
            <v>458171547769</v>
          </cell>
        </row>
        <row r="7092">
          <cell r="E7092" t="str">
            <v>LUC-EZZ-440030-00</v>
          </cell>
          <cell r="F7092">
            <v>458171547769</v>
          </cell>
        </row>
        <row r="7093">
          <cell r="E7093" t="str">
            <v>LUC-EZZ-440030-00</v>
          </cell>
          <cell r="F7093">
            <v>458171547769</v>
          </cell>
        </row>
        <row r="7094">
          <cell r="E7094" t="str">
            <v>LUC-EZZ-440032-00</v>
          </cell>
          <cell r="F7094">
            <v>458171547769</v>
          </cell>
        </row>
        <row r="7095">
          <cell r="E7095" t="str">
            <v>LUC-EZZ-440090-00</v>
          </cell>
          <cell r="F7095">
            <v>458171547769</v>
          </cell>
        </row>
        <row r="7096">
          <cell r="E7096" t="str">
            <v>LUC-E00-440077-02</v>
          </cell>
          <cell r="F7096">
            <v>458171547769</v>
          </cell>
        </row>
        <row r="7097">
          <cell r="E7097" t="str">
            <v>LUC-EZZ-440099-00</v>
          </cell>
          <cell r="F7097">
            <v>458171547769</v>
          </cell>
        </row>
        <row r="7098">
          <cell r="E7098" t="str">
            <v>EF-45108861.X.X</v>
          </cell>
          <cell r="F7098">
            <v>461217400564</v>
          </cell>
        </row>
        <row r="7099">
          <cell r="E7099" t="str">
            <v>PUR-09-0279-00</v>
          </cell>
          <cell r="F7099">
            <v>461217420544</v>
          </cell>
        </row>
        <row r="7100">
          <cell r="E7100" t="str">
            <v>EF-45052488.X.X</v>
          </cell>
          <cell r="F7100">
            <v>461217420544</v>
          </cell>
        </row>
        <row r="7101">
          <cell r="E7101" t="str">
            <v>LUC-E00-470069-00</v>
          </cell>
          <cell r="F7101">
            <v>461217424790</v>
          </cell>
        </row>
        <row r="7102">
          <cell r="E7102" t="str">
            <v>103-000216.X.X</v>
          </cell>
          <cell r="F7102">
            <v>730610853060</v>
          </cell>
        </row>
        <row r="7103">
          <cell r="E7103" t="str">
            <v>103-000216.X.X</v>
          </cell>
          <cell r="F7103">
            <v>730610853060</v>
          </cell>
        </row>
        <row r="7104">
          <cell r="E7104" t="str">
            <v>103-000229.X.X</v>
          </cell>
          <cell r="F7104">
            <v>730610853060</v>
          </cell>
        </row>
        <row r="7105">
          <cell r="E7105" t="str">
            <v>103-001603</v>
          </cell>
          <cell r="F7105">
            <v>730610853060</v>
          </cell>
        </row>
        <row r="7106">
          <cell r="E7106" t="str">
            <v>PUR-09-0279-00</v>
          </cell>
          <cell r="F7106">
            <v>461217425237</v>
          </cell>
        </row>
        <row r="7107">
          <cell r="E7107" t="str">
            <v>EF-45184274</v>
          </cell>
          <cell r="F7107">
            <v>881405431969</v>
          </cell>
        </row>
        <row r="7108">
          <cell r="E7108" t="str">
            <v>EF-45184274</v>
          </cell>
          <cell r="F7108">
            <v>881405431969</v>
          </cell>
        </row>
        <row r="7109">
          <cell r="E7109" t="str">
            <v>EF-45184274</v>
          </cell>
          <cell r="F7109">
            <v>881405431969</v>
          </cell>
        </row>
        <row r="7110">
          <cell r="E7110" t="str">
            <v>EF-45184274</v>
          </cell>
          <cell r="F7110">
            <v>881405431969</v>
          </cell>
        </row>
        <row r="7111">
          <cell r="E7111" t="str">
            <v>EF-45184274</v>
          </cell>
          <cell r="F7111">
            <v>881405431969</v>
          </cell>
        </row>
        <row r="7112">
          <cell r="E7112" t="str">
            <v>EF-45184274</v>
          </cell>
          <cell r="F7112">
            <v>881405431969</v>
          </cell>
        </row>
        <row r="7113">
          <cell r="E7113" t="str">
            <v>LUC-P21-K33R00-01</v>
          </cell>
          <cell r="F7113">
            <v>881444278524</v>
          </cell>
        </row>
        <row r="7114">
          <cell r="E7114" t="str">
            <v>EF-45037786</v>
          </cell>
          <cell r="F7114">
            <v>881447667479</v>
          </cell>
        </row>
        <row r="7115">
          <cell r="E7115" t="str">
            <v>HLOB-12-0284-00</v>
          </cell>
          <cell r="F7115">
            <v>881447667479</v>
          </cell>
        </row>
        <row r="7116">
          <cell r="E7116" t="str">
            <v>HLOB-12-0284-00</v>
          </cell>
          <cell r="F7116">
            <v>881447667479</v>
          </cell>
        </row>
        <row r="7117">
          <cell r="E7117" t="str">
            <v>EF-45129267</v>
          </cell>
          <cell r="F7117">
            <v>881447667479</v>
          </cell>
        </row>
        <row r="7118">
          <cell r="E7118" t="str">
            <v>PUR-12-0343-00</v>
          </cell>
          <cell r="F7118">
            <v>881447667479</v>
          </cell>
        </row>
        <row r="7119">
          <cell r="E7119" t="str">
            <v>PUR-12-0343-00</v>
          </cell>
          <cell r="F7119">
            <v>881447667479</v>
          </cell>
        </row>
        <row r="7120">
          <cell r="E7120" t="str">
            <v>HLOB-13-0159-00</v>
          </cell>
          <cell r="F7120">
            <v>881447667479</v>
          </cell>
        </row>
        <row r="7121">
          <cell r="E7121" t="str">
            <v>EF-45036466.X.X</v>
          </cell>
          <cell r="F7121">
            <v>881447667479</v>
          </cell>
        </row>
        <row r="7122">
          <cell r="E7122" t="str">
            <v>121-000519.X.X</v>
          </cell>
          <cell r="F7122">
            <v>881447667479</v>
          </cell>
        </row>
        <row r="7123">
          <cell r="E7123" t="str">
            <v>122-000453.X.X</v>
          </cell>
          <cell r="F7123">
            <v>881447667479</v>
          </cell>
        </row>
        <row r="7124">
          <cell r="E7124" t="str">
            <v>121-000519.X.X</v>
          </cell>
          <cell r="F7124">
            <v>881447667479</v>
          </cell>
        </row>
        <row r="7125">
          <cell r="E7125" t="str">
            <v>122-000453.X.X</v>
          </cell>
          <cell r="F7125">
            <v>881447667479</v>
          </cell>
        </row>
        <row r="7126">
          <cell r="E7126" t="str">
            <v>121-000519.X.X</v>
          </cell>
          <cell r="F7126">
            <v>881447667479</v>
          </cell>
        </row>
        <row r="7127">
          <cell r="E7127" t="str">
            <v>122-000453.X.X</v>
          </cell>
          <cell r="F7127">
            <v>881447667479</v>
          </cell>
        </row>
        <row r="7128">
          <cell r="E7128" t="str">
            <v>122-001191</v>
          </cell>
          <cell r="F7128">
            <v>881447667479</v>
          </cell>
        </row>
        <row r="7129">
          <cell r="E7129" t="str">
            <v>EF-45129595</v>
          </cell>
          <cell r="F7129">
            <v>461217429953</v>
          </cell>
        </row>
        <row r="7130">
          <cell r="E7130" t="str">
            <v>PUR-09-0422-00</v>
          </cell>
          <cell r="F7130">
            <v>461217429953</v>
          </cell>
        </row>
        <row r="7131">
          <cell r="E7131" t="str">
            <v>PUR-09-0422-00</v>
          </cell>
          <cell r="F7131">
            <v>461217429953</v>
          </cell>
        </row>
        <row r="7132">
          <cell r="E7132" t="str">
            <v>PUR-09-0324-00</v>
          </cell>
          <cell r="F7132">
            <v>461217429953</v>
          </cell>
        </row>
        <row r="7133">
          <cell r="E7133" t="str">
            <v>HLOB-09-0324-00</v>
          </cell>
          <cell r="F7133">
            <v>461217429953</v>
          </cell>
        </row>
        <row r="7134">
          <cell r="E7134" t="str">
            <v>PUR-09-0324-00</v>
          </cell>
          <cell r="F7134">
            <v>461217429953</v>
          </cell>
        </row>
        <row r="7135">
          <cell r="E7135" t="str">
            <v>EF-45072100.X.X</v>
          </cell>
          <cell r="F7135">
            <v>679486499209</v>
          </cell>
        </row>
        <row r="7136">
          <cell r="E7136" t="str">
            <v>PUR-15-0220-00</v>
          </cell>
          <cell r="F7136">
            <v>902348926715</v>
          </cell>
        </row>
        <row r="7137">
          <cell r="E7137" t="str">
            <v>PUR-15-0220-00</v>
          </cell>
          <cell r="F7137">
            <v>902348926715</v>
          </cell>
        </row>
        <row r="7138">
          <cell r="E7138" t="str">
            <v>LUC-EZZ-400609-00</v>
          </cell>
          <cell r="F7138">
            <v>409298786410</v>
          </cell>
        </row>
        <row r="7139">
          <cell r="E7139" t="str">
            <v>LUC-EZZ-420095-00</v>
          </cell>
          <cell r="F7139">
            <v>409298786410</v>
          </cell>
        </row>
        <row r="7140">
          <cell r="E7140" t="str">
            <v>LUC-EZZ-400609-00</v>
          </cell>
          <cell r="F7140">
            <v>409298786410</v>
          </cell>
        </row>
        <row r="7141">
          <cell r="E7141" t="str">
            <v>LUC-E00-440144-00</v>
          </cell>
          <cell r="F7141">
            <v>409298786410</v>
          </cell>
        </row>
        <row r="7142">
          <cell r="E7142" t="str">
            <v>LUC-E00-420002-09</v>
          </cell>
          <cell r="F7142">
            <v>409298786410</v>
          </cell>
        </row>
        <row r="7143">
          <cell r="E7143" t="str">
            <v>PUR-12-0467-00</v>
          </cell>
          <cell r="F7143">
            <v>409298786410</v>
          </cell>
        </row>
        <row r="7144">
          <cell r="E7144" t="str">
            <v>LUC-E00-440144-00</v>
          </cell>
          <cell r="F7144">
            <v>409298786410</v>
          </cell>
        </row>
        <row r="7145">
          <cell r="E7145" t="str">
            <v>EF-45046948.X.X</v>
          </cell>
          <cell r="F7145">
            <v>409298786410</v>
          </cell>
        </row>
        <row r="7146">
          <cell r="E7146" t="str">
            <v>EF-45046948.X.X</v>
          </cell>
          <cell r="F7146">
            <v>409298786410</v>
          </cell>
        </row>
        <row r="7147">
          <cell r="E7147" t="str">
            <v>EF-45046948.X.X</v>
          </cell>
          <cell r="F7147">
            <v>409298786410</v>
          </cell>
        </row>
        <row r="7148">
          <cell r="E7148" t="str">
            <v>EF-45046948.X.X</v>
          </cell>
          <cell r="F7148">
            <v>409298786410</v>
          </cell>
        </row>
        <row r="7149">
          <cell r="E7149" t="str">
            <v>EF-45046948.X.X</v>
          </cell>
          <cell r="F7149">
            <v>409298786410</v>
          </cell>
        </row>
        <row r="7150">
          <cell r="E7150" t="str">
            <v>EF-45097272</v>
          </cell>
          <cell r="F7150">
            <v>288946220946</v>
          </cell>
        </row>
        <row r="7151">
          <cell r="E7151" t="str">
            <v>LUC-E00-440114-00</v>
          </cell>
          <cell r="F7151">
            <v>288946220946</v>
          </cell>
        </row>
        <row r="7152">
          <cell r="E7152" t="str">
            <v>LUC-EZZ-440129-00</v>
          </cell>
          <cell r="F7152">
            <v>288946220946</v>
          </cell>
        </row>
        <row r="7153">
          <cell r="E7153" t="str">
            <v>LUC-EZZ-440129-00</v>
          </cell>
          <cell r="F7153">
            <v>288946220946</v>
          </cell>
        </row>
        <row r="7154">
          <cell r="E7154" t="str">
            <v>LUC-EZZ-440129-00</v>
          </cell>
          <cell r="F7154">
            <v>288946220946</v>
          </cell>
        </row>
        <row r="7155">
          <cell r="E7155" t="str">
            <v>HLOB-09-0256-00</v>
          </cell>
          <cell r="F7155">
            <v>461446490358</v>
          </cell>
        </row>
        <row r="7156">
          <cell r="E7156" t="str">
            <v>PUR-09-0256-00</v>
          </cell>
          <cell r="F7156">
            <v>461446490358</v>
          </cell>
        </row>
        <row r="7157">
          <cell r="E7157" t="str">
            <v>PUR-09-0256-00</v>
          </cell>
          <cell r="F7157">
            <v>461446490358</v>
          </cell>
        </row>
        <row r="7158">
          <cell r="E7158" t="str">
            <v>PUR-09-0256-00</v>
          </cell>
          <cell r="F7158">
            <v>461446490358</v>
          </cell>
        </row>
        <row r="7159">
          <cell r="E7159" t="str">
            <v>PUR-09-0346-00</v>
          </cell>
          <cell r="F7159">
            <v>461446490358</v>
          </cell>
        </row>
        <row r="7160">
          <cell r="E7160" t="str">
            <v>AGI-510-40082-01</v>
          </cell>
          <cell r="F7160">
            <v>434611761920</v>
          </cell>
        </row>
        <row r="7161">
          <cell r="E7161" t="str">
            <v>LUC-EZZ-420261-00</v>
          </cell>
          <cell r="F7161">
            <v>434611761920</v>
          </cell>
        </row>
        <row r="7162">
          <cell r="E7162" t="str">
            <v>LUC-EZZ-420261-00</v>
          </cell>
          <cell r="F7162">
            <v>434611761920</v>
          </cell>
        </row>
        <row r="7163">
          <cell r="E7163" t="str">
            <v>PUR-13-0229-00</v>
          </cell>
          <cell r="F7163">
            <v>434611761920</v>
          </cell>
        </row>
        <row r="7164">
          <cell r="E7164" t="str">
            <v>PURET-13-0009-00</v>
          </cell>
          <cell r="F7164">
            <v>434611761920</v>
          </cell>
        </row>
        <row r="7165">
          <cell r="E7165" t="str">
            <v>PURET-13-0022-00</v>
          </cell>
          <cell r="F7165">
            <v>434611761920</v>
          </cell>
        </row>
        <row r="7166">
          <cell r="E7166" t="str">
            <v>PURET-13-0022-00</v>
          </cell>
          <cell r="F7166">
            <v>434611761920</v>
          </cell>
        </row>
        <row r="7167">
          <cell r="E7167" t="str">
            <v>PUR-13-0147-00</v>
          </cell>
          <cell r="F7167">
            <v>434611761920</v>
          </cell>
        </row>
        <row r="7168">
          <cell r="E7168" t="str">
            <v>PUR-13-0155-00</v>
          </cell>
          <cell r="F7168">
            <v>434611761920</v>
          </cell>
        </row>
        <row r="7169">
          <cell r="E7169" t="str">
            <v>PUR-13-0160-00</v>
          </cell>
          <cell r="F7169">
            <v>434611761920</v>
          </cell>
        </row>
        <row r="7170">
          <cell r="E7170" t="str">
            <v>PURET-13-0009-00</v>
          </cell>
          <cell r="F7170">
            <v>434611761920</v>
          </cell>
        </row>
        <row r="7171">
          <cell r="E7171" t="str">
            <v>EF-45135293</v>
          </cell>
          <cell r="F7171">
            <v>434611761920</v>
          </cell>
        </row>
        <row r="7172">
          <cell r="E7172" t="str">
            <v>PUR-13-0212-00</v>
          </cell>
          <cell r="F7172">
            <v>434611761920</v>
          </cell>
        </row>
        <row r="7173">
          <cell r="E7173" t="str">
            <v>PURET-13-0066-00</v>
          </cell>
          <cell r="F7173">
            <v>434611761920</v>
          </cell>
        </row>
        <row r="7174">
          <cell r="E7174" t="str">
            <v>PURET-13-0002-00</v>
          </cell>
          <cell r="F7174">
            <v>434611761920</v>
          </cell>
        </row>
        <row r="7175">
          <cell r="E7175" t="str">
            <v>PUR-13-0161-00</v>
          </cell>
          <cell r="F7175">
            <v>434611761920</v>
          </cell>
        </row>
        <row r="7176">
          <cell r="E7176" t="str">
            <v>EF-45059919.X.X</v>
          </cell>
          <cell r="F7176">
            <v>434611761920</v>
          </cell>
        </row>
        <row r="7177">
          <cell r="E7177" t="str">
            <v>PUR-13-0138-00</v>
          </cell>
          <cell r="F7177">
            <v>434611761920</v>
          </cell>
        </row>
        <row r="7178">
          <cell r="E7178" t="str">
            <v>AGI-510-40123-01</v>
          </cell>
          <cell r="F7178">
            <v>881479027809</v>
          </cell>
        </row>
        <row r="7179">
          <cell r="E7179" t="str">
            <v>AGI-510-40123-01</v>
          </cell>
          <cell r="F7179">
            <v>881479027809</v>
          </cell>
        </row>
        <row r="7180">
          <cell r="E7180" t="str">
            <v>AGI-510-40123-01</v>
          </cell>
          <cell r="F7180">
            <v>881479027809</v>
          </cell>
        </row>
        <row r="7181">
          <cell r="E7181" t="str">
            <v>141-002785</v>
          </cell>
          <cell r="F7181">
            <v>881479034855</v>
          </cell>
        </row>
        <row r="7182">
          <cell r="E7182" t="str">
            <v>AIC-MP-00000219-000</v>
          </cell>
          <cell r="F7182">
            <v>881448644728</v>
          </cell>
        </row>
        <row r="7183">
          <cell r="E7183" t="str">
            <v>AIC-MP-00000220-000</v>
          </cell>
          <cell r="F7183">
            <v>881448644728</v>
          </cell>
        </row>
        <row r="7184">
          <cell r="E7184" t="str">
            <v>AIC-MP-00001508-000</v>
          </cell>
          <cell r="F7184">
            <v>881448644728</v>
          </cell>
        </row>
        <row r="7185">
          <cell r="E7185" t="str">
            <v>AIC-120-012784</v>
          </cell>
          <cell r="F7185">
            <v>881448644728</v>
          </cell>
        </row>
        <row r="7186">
          <cell r="E7186" t="str">
            <v>AIC-MP-00004184-000</v>
          </cell>
          <cell r="F7186">
            <v>881448644728</v>
          </cell>
        </row>
        <row r="7187">
          <cell r="E7187" t="str">
            <v>AIC-MP-00004185-000</v>
          </cell>
          <cell r="F7187">
            <v>881448644728</v>
          </cell>
        </row>
        <row r="7188">
          <cell r="E7188" t="str">
            <v>AIC-MP-00005080-000</v>
          </cell>
          <cell r="F7188">
            <v>881448644728</v>
          </cell>
        </row>
        <row r="7189">
          <cell r="E7189" t="str">
            <v>AIC-MP-00000703-000</v>
          </cell>
          <cell r="F7189">
            <v>881448644728</v>
          </cell>
        </row>
        <row r="7190">
          <cell r="E7190" t="str">
            <v>LUC-E00-470109-00</v>
          </cell>
          <cell r="F7190">
            <v>453074921065</v>
          </cell>
        </row>
        <row r="7191">
          <cell r="E7191" t="str">
            <v>LUC-E00-470109-00</v>
          </cell>
          <cell r="F7191">
            <v>453074921065</v>
          </cell>
        </row>
        <row r="7192">
          <cell r="E7192" t="str">
            <v>AIC-MP-CN007078-S03</v>
          </cell>
          <cell r="F7192">
            <v>881480977970</v>
          </cell>
        </row>
        <row r="7193">
          <cell r="E7193" t="str">
            <v>LUC-E00-690157-01</v>
          </cell>
          <cell r="F7193">
            <v>715729483821</v>
          </cell>
        </row>
        <row r="7194">
          <cell r="E7194" t="str">
            <v>LUC-P21-K81001-01</v>
          </cell>
          <cell r="F7194" t="str">
            <v>LSHHPH2504147</v>
          </cell>
        </row>
        <row r="7195">
          <cell r="E7195" t="str">
            <v>LUC-P21-K81100-01</v>
          </cell>
          <cell r="F7195" t="str">
            <v>LSHHPH2504147</v>
          </cell>
        </row>
        <row r="7196">
          <cell r="E7196" t="str">
            <v>LUC-P21-K81101-01</v>
          </cell>
          <cell r="F7196" t="str">
            <v>LSHHPH2504147</v>
          </cell>
        </row>
        <row r="7197">
          <cell r="E7197" t="str">
            <v>LUC-P21-K81201-01</v>
          </cell>
          <cell r="F7197" t="str">
            <v>LSHHPH2504147</v>
          </cell>
        </row>
        <row r="7198">
          <cell r="E7198" t="str">
            <v>LUC-P21-K81202-00</v>
          </cell>
          <cell r="F7198" t="str">
            <v>LSHHPH2504147</v>
          </cell>
        </row>
        <row r="7199">
          <cell r="E7199" t="str">
            <v>LUC-P21-K81001-01</v>
          </cell>
          <cell r="F7199" t="str">
            <v>LSHHPH2504147</v>
          </cell>
        </row>
        <row r="7200">
          <cell r="E7200" t="str">
            <v>LUC-E00-420036-00</v>
          </cell>
          <cell r="F7200">
            <v>4711857162</v>
          </cell>
        </row>
        <row r="7201">
          <cell r="E7201" t="str">
            <v>LUC-EZZ-420331-00</v>
          </cell>
          <cell r="F7201">
            <v>4711857162</v>
          </cell>
        </row>
        <row r="7202">
          <cell r="E7202" t="str">
            <v>LUC-EZZ-420331-00</v>
          </cell>
          <cell r="F7202">
            <v>4711857162</v>
          </cell>
        </row>
        <row r="7203">
          <cell r="E7203" t="str">
            <v>LUC-EZZ-420331-00</v>
          </cell>
          <cell r="F7203">
            <v>4711857162</v>
          </cell>
        </row>
        <row r="7204">
          <cell r="E7204" t="str">
            <v>LUC-E00-440147-00</v>
          </cell>
          <cell r="F7204">
            <v>4711857162</v>
          </cell>
        </row>
        <row r="7205">
          <cell r="E7205" t="str">
            <v>LUC-E00-420068-00</v>
          </cell>
          <cell r="F7205">
            <v>4711857162</v>
          </cell>
        </row>
        <row r="7206">
          <cell r="E7206" t="str">
            <v>PUR-09-0417-00</v>
          </cell>
          <cell r="F7206">
            <v>4711857162</v>
          </cell>
        </row>
        <row r="7207">
          <cell r="E7207" t="str">
            <v>EF-45155440</v>
          </cell>
          <cell r="F7207">
            <v>4711857162</v>
          </cell>
        </row>
        <row r="7208">
          <cell r="E7208" t="str">
            <v>PUR-09-0417-00</v>
          </cell>
          <cell r="F7208">
            <v>4711857162</v>
          </cell>
        </row>
        <row r="7209">
          <cell r="E7209" t="str">
            <v>EF-45155438</v>
          </cell>
          <cell r="F7209">
            <v>4711857162</v>
          </cell>
        </row>
        <row r="7210">
          <cell r="E7210" t="str">
            <v>EF-45206161</v>
          </cell>
          <cell r="F7210">
            <v>4711857162</v>
          </cell>
        </row>
        <row r="7211">
          <cell r="E7211" t="str">
            <v>EF-45122014</v>
          </cell>
          <cell r="F7211">
            <v>4711857162</v>
          </cell>
        </row>
        <row r="7212">
          <cell r="E7212" t="str">
            <v>PUR-12-0430-00</v>
          </cell>
          <cell r="F7212">
            <v>4711857162</v>
          </cell>
        </row>
        <row r="7213">
          <cell r="E7213" t="str">
            <v>EF-45134776</v>
          </cell>
          <cell r="F7213">
            <v>4711857162</v>
          </cell>
        </row>
        <row r="7214">
          <cell r="E7214" t="str">
            <v>EF-45127982</v>
          </cell>
          <cell r="F7214">
            <v>4711857162</v>
          </cell>
        </row>
        <row r="7215">
          <cell r="E7215" t="str">
            <v>HLOB-12-0430-00</v>
          </cell>
          <cell r="F7215">
            <v>4711857162</v>
          </cell>
        </row>
        <row r="7216">
          <cell r="E7216" t="str">
            <v>PUR-12-0482-00</v>
          </cell>
          <cell r="F7216">
            <v>4711857162</v>
          </cell>
        </row>
        <row r="7217">
          <cell r="E7217" t="str">
            <v>HLOB-12-0430-00</v>
          </cell>
          <cell r="F7217">
            <v>4711857162</v>
          </cell>
        </row>
        <row r="7218">
          <cell r="E7218" t="str">
            <v>HLOB-12-0482-00</v>
          </cell>
          <cell r="F7218">
            <v>4711857162</v>
          </cell>
        </row>
        <row r="7219">
          <cell r="E7219" t="str">
            <v>PUR-12-0482-00</v>
          </cell>
          <cell r="F7219">
            <v>4711857162</v>
          </cell>
        </row>
        <row r="7220">
          <cell r="E7220" t="str">
            <v>LUC-E00-420068-00</v>
          </cell>
          <cell r="F7220">
            <v>4711857162</v>
          </cell>
        </row>
        <row r="7221">
          <cell r="E7221" t="str">
            <v>LUC-EZZ-420665-00</v>
          </cell>
          <cell r="F7221">
            <v>4711857162</v>
          </cell>
        </row>
        <row r="7222">
          <cell r="E7222" t="str">
            <v>LUC-EZZ-420695-01</v>
          </cell>
          <cell r="F7222">
            <v>4711857162</v>
          </cell>
        </row>
        <row r="7223">
          <cell r="E7223" t="str">
            <v>LUC-EZZ-420695-01</v>
          </cell>
          <cell r="F7223">
            <v>4711857162</v>
          </cell>
        </row>
        <row r="7224">
          <cell r="E7224" t="str">
            <v>EF-45041902.X.X</v>
          </cell>
          <cell r="F7224">
            <v>4711857162</v>
          </cell>
        </row>
        <row r="7225">
          <cell r="E7225" t="str">
            <v>EF-45114287</v>
          </cell>
          <cell r="F7225">
            <v>4711857162</v>
          </cell>
        </row>
        <row r="7226">
          <cell r="E7226" t="str">
            <v>EF-45127982</v>
          </cell>
          <cell r="F7226">
            <v>4711857162</v>
          </cell>
        </row>
        <row r="7227">
          <cell r="E7227" t="str">
            <v>PUR-09-0422-00</v>
          </cell>
          <cell r="F7227">
            <v>458476586230</v>
          </cell>
        </row>
        <row r="7228">
          <cell r="E7228" t="str">
            <v>EF-45074500.X.X</v>
          </cell>
          <cell r="F7228">
            <v>881529183707</v>
          </cell>
        </row>
        <row r="7229">
          <cell r="E7229" t="str">
            <v>LUC-E00-420037-02</v>
          </cell>
          <cell r="F7229">
            <v>881519842554</v>
          </cell>
        </row>
        <row r="7230">
          <cell r="E7230" t="str">
            <v>LUC-EZZ-421242-00</v>
          </cell>
          <cell r="F7230">
            <v>881519842554</v>
          </cell>
        </row>
        <row r="7231">
          <cell r="E7231" t="str">
            <v>LUC-E00-400012-18</v>
          </cell>
          <cell r="F7231">
            <v>881519842554</v>
          </cell>
        </row>
        <row r="7232">
          <cell r="E7232" t="str">
            <v>LUC-E00-400075-00</v>
          </cell>
          <cell r="F7232">
            <v>881519842554</v>
          </cell>
        </row>
        <row r="7233">
          <cell r="E7233" t="str">
            <v>EF-45122009</v>
          </cell>
          <cell r="F7233">
            <v>881519842554</v>
          </cell>
        </row>
        <row r="7234">
          <cell r="E7234" t="str">
            <v>EF-45122009</v>
          </cell>
          <cell r="F7234">
            <v>881519842554</v>
          </cell>
        </row>
        <row r="7235">
          <cell r="E7235" t="str">
            <v>LUC-E00-420037-14</v>
          </cell>
          <cell r="F7235">
            <v>881519842554</v>
          </cell>
        </row>
        <row r="7236">
          <cell r="E7236" t="str">
            <v>103-000216.X.X</v>
          </cell>
          <cell r="F7236">
            <v>730610853108</v>
          </cell>
        </row>
        <row r="7237">
          <cell r="E7237" t="str">
            <v>103-000230.X.X</v>
          </cell>
          <cell r="F7237">
            <v>730610853108</v>
          </cell>
        </row>
        <row r="7238">
          <cell r="E7238" t="str">
            <v>AIC-120-012803</v>
          </cell>
          <cell r="F7238">
            <v>881524618288</v>
          </cell>
        </row>
        <row r="7239">
          <cell r="E7239" t="str">
            <v>LUC-P00-F18AAG-00</v>
          </cell>
          <cell r="F7239">
            <v>881521889780</v>
          </cell>
        </row>
        <row r="7240">
          <cell r="E7240" t="str">
            <v>LUC-P00-F185AG-00</v>
          </cell>
          <cell r="F7240">
            <v>881521889780</v>
          </cell>
        </row>
        <row r="7241">
          <cell r="E7241" t="str">
            <v>LUC-P00-F185AG-00</v>
          </cell>
          <cell r="F7241">
            <v>881521889780</v>
          </cell>
        </row>
        <row r="7242">
          <cell r="E7242" t="str">
            <v>PUR-09-0424-00</v>
          </cell>
          <cell r="F7242">
            <v>289024768367</v>
          </cell>
        </row>
        <row r="7243">
          <cell r="E7243" t="str">
            <v>PUR-09-0424-00</v>
          </cell>
          <cell r="F7243">
            <v>289024768367</v>
          </cell>
        </row>
        <row r="7244">
          <cell r="E7244" t="str">
            <v>PUR-14-0086-00</v>
          </cell>
          <cell r="F7244">
            <v>4914878665</v>
          </cell>
        </row>
        <row r="7245">
          <cell r="E7245" t="str">
            <v>EF-45083316.X.X</v>
          </cell>
          <cell r="F7245">
            <v>4914878665</v>
          </cell>
        </row>
        <row r="7246">
          <cell r="E7246" t="str">
            <v>EF-45083316.X.X</v>
          </cell>
          <cell r="F7246">
            <v>4914878665</v>
          </cell>
        </row>
        <row r="7247">
          <cell r="E7247" t="str">
            <v>EF-45041262</v>
          </cell>
          <cell r="F7247">
            <v>4914878665</v>
          </cell>
        </row>
        <row r="7248">
          <cell r="E7248" t="str">
            <v>EF-45043491.X.X</v>
          </cell>
          <cell r="F7248">
            <v>4914878665</v>
          </cell>
        </row>
        <row r="7249">
          <cell r="E7249" t="str">
            <v>EF-45043827.X.X</v>
          </cell>
          <cell r="F7249">
            <v>4914878665</v>
          </cell>
        </row>
        <row r="7250">
          <cell r="E7250" t="str">
            <v>PURET-12-0035-00</v>
          </cell>
          <cell r="F7250">
            <v>4914878665</v>
          </cell>
        </row>
        <row r="7251">
          <cell r="E7251" t="str">
            <v>PUR-12-0474-00</v>
          </cell>
          <cell r="F7251">
            <v>4914878665</v>
          </cell>
        </row>
        <row r="7252">
          <cell r="E7252" t="str">
            <v>PUR-12-0431-00</v>
          </cell>
          <cell r="F7252">
            <v>4914878665</v>
          </cell>
        </row>
        <row r="7253">
          <cell r="E7253" t="str">
            <v>PUR-12-0460-00</v>
          </cell>
          <cell r="F7253">
            <v>4914878665</v>
          </cell>
        </row>
        <row r="7254">
          <cell r="E7254" t="str">
            <v>PUR-12-0482-00</v>
          </cell>
          <cell r="F7254">
            <v>4914878665</v>
          </cell>
        </row>
        <row r="7255">
          <cell r="E7255" t="str">
            <v>PUR-12-0468-00</v>
          </cell>
          <cell r="F7255">
            <v>4914878665</v>
          </cell>
        </row>
        <row r="7256">
          <cell r="E7256" t="str">
            <v>PUR-12-0472-00</v>
          </cell>
          <cell r="F7256">
            <v>4914878665</v>
          </cell>
        </row>
        <row r="7257">
          <cell r="E7257" t="str">
            <v>PUR-12-0432-00</v>
          </cell>
          <cell r="F7257">
            <v>4914878665</v>
          </cell>
        </row>
        <row r="7258">
          <cell r="E7258" t="str">
            <v>PUR-12-0470-00</v>
          </cell>
          <cell r="F7258">
            <v>4914878665</v>
          </cell>
        </row>
        <row r="7259">
          <cell r="E7259" t="str">
            <v>PUR-12-0467-00</v>
          </cell>
          <cell r="F7259">
            <v>4914878665</v>
          </cell>
        </row>
        <row r="7260">
          <cell r="E7260" t="str">
            <v>122-000673.X.X</v>
          </cell>
          <cell r="F7260">
            <v>4914878665</v>
          </cell>
        </row>
        <row r="7261">
          <cell r="E7261" t="str">
            <v>122-000673.X.X</v>
          </cell>
          <cell r="F7261">
            <v>4914878665</v>
          </cell>
        </row>
        <row r="7262">
          <cell r="E7262" t="str">
            <v>122-000673.X.X</v>
          </cell>
          <cell r="F7262">
            <v>4914878665</v>
          </cell>
        </row>
        <row r="7263">
          <cell r="E7263" t="str">
            <v>121-001823</v>
          </cell>
          <cell r="F7263">
            <v>4914878665</v>
          </cell>
        </row>
        <row r="7264">
          <cell r="E7264" t="str">
            <v>EF-45103719</v>
          </cell>
          <cell r="F7264">
            <v>4914878665</v>
          </cell>
        </row>
        <row r="7265">
          <cell r="E7265" t="str">
            <v>EF-45043496.X.X</v>
          </cell>
          <cell r="F7265">
            <v>4914878665</v>
          </cell>
        </row>
        <row r="7266">
          <cell r="E7266" t="str">
            <v>PUR-13-0212-00</v>
          </cell>
          <cell r="F7266">
            <v>4914878665</v>
          </cell>
        </row>
        <row r="7267">
          <cell r="E7267" t="str">
            <v>PUR-13-0212-00</v>
          </cell>
          <cell r="F7267">
            <v>4914878665</v>
          </cell>
        </row>
        <row r="7268">
          <cell r="E7268" t="str">
            <v>PUR-13-0138-00</v>
          </cell>
          <cell r="F7268">
            <v>4914878665</v>
          </cell>
        </row>
        <row r="7269">
          <cell r="E7269" t="str">
            <v>PUR-13-0155-00</v>
          </cell>
          <cell r="F7269">
            <v>4914878665</v>
          </cell>
        </row>
        <row r="7270">
          <cell r="E7270" t="str">
            <v>PUR-12-0407-00</v>
          </cell>
          <cell r="F7270">
            <v>4914878665</v>
          </cell>
        </row>
        <row r="7271">
          <cell r="E7271" t="str">
            <v>PUR-12-0408-00</v>
          </cell>
          <cell r="F7271">
            <v>4914878665</v>
          </cell>
        </row>
        <row r="7272">
          <cell r="E7272" t="str">
            <v>PUR-13-0227-00</v>
          </cell>
          <cell r="F7272">
            <v>4914878665</v>
          </cell>
        </row>
        <row r="7273">
          <cell r="E7273" t="str">
            <v>EF-45092460.X.X</v>
          </cell>
          <cell r="F7273">
            <v>4914878665</v>
          </cell>
        </row>
        <row r="7274">
          <cell r="E7274" t="str">
            <v>PUR-13-0156-00</v>
          </cell>
          <cell r="F7274">
            <v>4914878665</v>
          </cell>
        </row>
        <row r="7275">
          <cell r="E7275" t="str">
            <v>PURET-13-0006-00</v>
          </cell>
          <cell r="F7275">
            <v>4914878665</v>
          </cell>
        </row>
        <row r="7276">
          <cell r="E7276" t="str">
            <v>EF-45043368</v>
          </cell>
          <cell r="F7276">
            <v>4914878665</v>
          </cell>
        </row>
        <row r="7277">
          <cell r="E7277" t="str">
            <v>EF-45057845.X.X</v>
          </cell>
          <cell r="F7277">
            <v>4914878665</v>
          </cell>
        </row>
        <row r="7278">
          <cell r="E7278" t="str">
            <v>PUR-13-0150-00</v>
          </cell>
          <cell r="F7278">
            <v>4914878665</v>
          </cell>
        </row>
        <row r="7279">
          <cell r="E7279" t="str">
            <v>122-001674</v>
          </cell>
          <cell r="F7279">
            <v>4914878665</v>
          </cell>
        </row>
        <row r="7280">
          <cell r="E7280" t="str">
            <v>LUC-EZZ-420029-00</v>
          </cell>
          <cell r="F7280">
            <v>4914878665</v>
          </cell>
        </row>
        <row r="7281">
          <cell r="E7281" t="str">
            <v>PUR-12-0332-00</v>
          </cell>
          <cell r="F7281">
            <v>4914878665</v>
          </cell>
        </row>
        <row r="7282">
          <cell r="E7282" t="str">
            <v>PURET-12-0212-00</v>
          </cell>
          <cell r="F7282">
            <v>4914878665</v>
          </cell>
        </row>
        <row r="7283">
          <cell r="E7283" t="str">
            <v>PURET-12-0127-00</v>
          </cell>
          <cell r="F7283">
            <v>4914878665</v>
          </cell>
        </row>
        <row r="7284">
          <cell r="E7284" t="str">
            <v>PURET-12-0132-00</v>
          </cell>
          <cell r="F7284">
            <v>4914878665</v>
          </cell>
        </row>
        <row r="7285">
          <cell r="E7285" t="str">
            <v>PUR-12-0304-00</v>
          </cell>
          <cell r="F7285">
            <v>4914878665</v>
          </cell>
        </row>
        <row r="7286">
          <cell r="E7286" t="str">
            <v>EF-45043496.X.X</v>
          </cell>
          <cell r="F7286">
            <v>4914878665</v>
          </cell>
        </row>
        <row r="7287">
          <cell r="E7287" t="str">
            <v>EF-45043496.X.X</v>
          </cell>
          <cell r="F7287">
            <v>4914878665</v>
          </cell>
        </row>
        <row r="7288">
          <cell r="E7288" t="str">
            <v>121-000357.X.X</v>
          </cell>
          <cell r="F7288">
            <v>4914878665</v>
          </cell>
        </row>
        <row r="7289">
          <cell r="E7289" t="str">
            <v>EF-45036484.X.X</v>
          </cell>
          <cell r="F7289">
            <v>4914878665</v>
          </cell>
        </row>
        <row r="7290">
          <cell r="E7290" t="str">
            <v>EF-45045621</v>
          </cell>
          <cell r="F7290">
            <v>4914878665</v>
          </cell>
        </row>
        <row r="7291">
          <cell r="E7291" t="str">
            <v>PUR-12-0434-00</v>
          </cell>
          <cell r="F7291">
            <v>4914878665</v>
          </cell>
        </row>
        <row r="7292">
          <cell r="E7292" t="str">
            <v>PUR-12-0423-00</v>
          </cell>
          <cell r="F7292">
            <v>4914878665</v>
          </cell>
        </row>
        <row r="7293">
          <cell r="E7293" t="str">
            <v>121-000520.X.X</v>
          </cell>
          <cell r="F7293">
            <v>4914878665</v>
          </cell>
        </row>
        <row r="7294">
          <cell r="E7294" t="str">
            <v>121-000198.X.X</v>
          </cell>
          <cell r="F7294">
            <v>4914878665</v>
          </cell>
        </row>
        <row r="7295">
          <cell r="E7295" t="str">
            <v>EF-45060499.X.X</v>
          </cell>
          <cell r="F7295">
            <v>4914878665</v>
          </cell>
        </row>
        <row r="7296">
          <cell r="E7296" t="str">
            <v>EF-45125129</v>
          </cell>
          <cell r="F7296">
            <v>4914878665</v>
          </cell>
        </row>
        <row r="7297">
          <cell r="E7297" t="str">
            <v>EF-45093049.X.X</v>
          </cell>
          <cell r="F7297">
            <v>4914878665</v>
          </cell>
        </row>
        <row r="7298">
          <cell r="E7298" t="str">
            <v>EF-45036498.X.X</v>
          </cell>
          <cell r="F7298">
            <v>4914878665</v>
          </cell>
        </row>
        <row r="7299">
          <cell r="E7299" t="str">
            <v>EF-45043491.X.X</v>
          </cell>
          <cell r="F7299">
            <v>4914878665</v>
          </cell>
        </row>
        <row r="7300">
          <cell r="E7300" t="str">
            <v>EF-45044094.X.X</v>
          </cell>
          <cell r="F7300">
            <v>4914878665</v>
          </cell>
        </row>
        <row r="7301">
          <cell r="E7301" t="str">
            <v>EF-45140221</v>
          </cell>
          <cell r="F7301">
            <v>4914878665</v>
          </cell>
        </row>
        <row r="7302">
          <cell r="E7302" t="str">
            <v>PUR-14-0051-00</v>
          </cell>
          <cell r="F7302">
            <v>4914878665</v>
          </cell>
        </row>
        <row r="7303">
          <cell r="E7303" t="str">
            <v>LUC-EZZ-421653-00</v>
          </cell>
          <cell r="F7303">
            <v>4914878665</v>
          </cell>
        </row>
        <row r="7304">
          <cell r="E7304" t="str">
            <v>LUC-E00-420025-03</v>
          </cell>
          <cell r="F7304">
            <v>4914878665</v>
          </cell>
        </row>
        <row r="7305">
          <cell r="E7305" t="str">
            <v>LUC-E00-420025-03</v>
          </cell>
          <cell r="F7305">
            <v>4914878665</v>
          </cell>
        </row>
        <row r="7306">
          <cell r="E7306" t="str">
            <v>LUC-E00-420025-03</v>
          </cell>
          <cell r="F7306">
            <v>4914878665</v>
          </cell>
        </row>
        <row r="7307">
          <cell r="E7307" t="str">
            <v>LUC-E00-420025-03</v>
          </cell>
          <cell r="F7307">
            <v>4914878665</v>
          </cell>
        </row>
        <row r="7308">
          <cell r="E7308" t="str">
            <v>LUC-EZZ-420822-00</v>
          </cell>
          <cell r="F7308">
            <v>4914878665</v>
          </cell>
        </row>
        <row r="7309">
          <cell r="E7309" t="str">
            <v>LUC-EZZ-420822-00</v>
          </cell>
          <cell r="F7309">
            <v>4914878665</v>
          </cell>
        </row>
        <row r="7310">
          <cell r="E7310" t="str">
            <v>LUC-EZZ-420257-00</v>
          </cell>
          <cell r="F7310">
            <v>4914878665</v>
          </cell>
        </row>
        <row r="7311">
          <cell r="E7311" t="str">
            <v>LUC-EZZ-420257-00</v>
          </cell>
          <cell r="F7311">
            <v>4914878665</v>
          </cell>
        </row>
        <row r="7312">
          <cell r="E7312" t="str">
            <v>LUC-EZZ-421132-00</v>
          </cell>
          <cell r="F7312">
            <v>4914878665</v>
          </cell>
        </row>
        <row r="7313">
          <cell r="E7313" t="str">
            <v>LUC-E00-420027-02</v>
          </cell>
          <cell r="F7313">
            <v>4914878665</v>
          </cell>
        </row>
        <row r="7314">
          <cell r="E7314" t="str">
            <v>LUC-EZZ-420148-00</v>
          </cell>
          <cell r="F7314">
            <v>4914878665</v>
          </cell>
        </row>
        <row r="7315">
          <cell r="E7315" t="str">
            <v>LUC-EZZ-420148-00</v>
          </cell>
          <cell r="F7315">
            <v>4914878665</v>
          </cell>
        </row>
        <row r="7316">
          <cell r="E7316" t="str">
            <v>LUC-EZZ-420822-00</v>
          </cell>
          <cell r="F7316">
            <v>4914878665</v>
          </cell>
        </row>
        <row r="7317">
          <cell r="E7317" t="str">
            <v>PURET-13-0001-00</v>
          </cell>
          <cell r="F7317">
            <v>4914878665</v>
          </cell>
        </row>
        <row r="7318">
          <cell r="E7318" t="str">
            <v>121-001824</v>
          </cell>
          <cell r="F7318">
            <v>4914878665</v>
          </cell>
        </row>
        <row r="7319">
          <cell r="E7319" t="str">
            <v>LUC-EZZ-400035-00</v>
          </cell>
          <cell r="F7319">
            <v>4914878665</v>
          </cell>
        </row>
        <row r="7320">
          <cell r="E7320" t="str">
            <v>PUR-13-0226-00</v>
          </cell>
          <cell r="F7320">
            <v>4914878665</v>
          </cell>
        </row>
        <row r="7321">
          <cell r="E7321" t="str">
            <v>PUR-17-0283-02</v>
          </cell>
          <cell r="F7321" t="str">
            <v>KNQ5</v>
          </cell>
        </row>
        <row r="7322">
          <cell r="E7322" t="str">
            <v>PUR-17-0344-00</v>
          </cell>
          <cell r="F7322" t="str">
            <v>KNQ5</v>
          </cell>
        </row>
        <row r="7323">
          <cell r="E7323" t="str">
            <v>102-001632</v>
          </cell>
          <cell r="F7323" t="str">
            <v>EKLF2505196</v>
          </cell>
        </row>
        <row r="7324">
          <cell r="E7324" t="str">
            <v>102-001636</v>
          </cell>
          <cell r="F7324" t="str">
            <v>HDLCA095877</v>
          </cell>
        </row>
        <row r="7325">
          <cell r="E7325" t="str">
            <v>LUC-EZZ-490231-04</v>
          </cell>
          <cell r="F7325" t="str">
            <v>SEBL25050074</v>
          </cell>
        </row>
        <row r="7326">
          <cell r="E7326" t="str">
            <v>LUC-EZZ-490310-04</v>
          </cell>
          <cell r="F7326" t="str">
            <v>SEBL25050074</v>
          </cell>
        </row>
        <row r="7327">
          <cell r="E7327" t="str">
            <v>LUC-EZZ-490535-00</v>
          </cell>
          <cell r="F7327" t="str">
            <v>SEBL25050074</v>
          </cell>
        </row>
        <row r="7328">
          <cell r="E7328" t="str">
            <v>LUC-EZZ-490310-04</v>
          </cell>
          <cell r="F7328" t="str">
            <v>SEBL25050074</v>
          </cell>
        </row>
        <row r="7329">
          <cell r="E7329" t="str">
            <v>LUC-EZZ-490305-05</v>
          </cell>
          <cell r="F7329" t="str">
            <v>SEBL25050074</v>
          </cell>
        </row>
        <row r="7330">
          <cell r="E7330" t="str">
            <v>LUC-EZZ-490306-00</v>
          </cell>
          <cell r="F7330" t="str">
            <v>SEBL25050074</v>
          </cell>
        </row>
        <row r="7331">
          <cell r="E7331" t="str">
            <v>LUC-EZZ-490535-00</v>
          </cell>
          <cell r="F7331" t="str">
            <v>SEBL25050074</v>
          </cell>
        </row>
        <row r="7332">
          <cell r="E7332" t="str">
            <v>AIC-MP-00006429-000</v>
          </cell>
          <cell r="F7332">
            <v>881523621255</v>
          </cell>
        </row>
        <row r="7333">
          <cell r="E7333" t="str">
            <v>LUC-EZZ-470421-00</v>
          </cell>
          <cell r="F7333">
            <v>289060299967</v>
          </cell>
        </row>
        <row r="7334">
          <cell r="E7334" t="str">
            <v>PUR-09-0233-00</v>
          </cell>
          <cell r="F7334">
            <v>452730420139</v>
          </cell>
        </row>
        <row r="7335">
          <cell r="E7335" t="str">
            <v>PUR-09-0233-00</v>
          </cell>
          <cell r="F7335">
            <v>452730420139</v>
          </cell>
        </row>
        <row r="7336">
          <cell r="E7336" t="str">
            <v>121-000359.X.X</v>
          </cell>
          <cell r="F7336">
            <v>423264372473</v>
          </cell>
        </row>
        <row r="7337">
          <cell r="E7337" t="str">
            <v>PUR-12-0430-00</v>
          </cell>
          <cell r="F7337">
            <v>423264372473</v>
          </cell>
        </row>
        <row r="7338">
          <cell r="E7338" t="str">
            <v>PUR-12-0407-00</v>
          </cell>
          <cell r="F7338">
            <v>423264372473</v>
          </cell>
        </row>
        <row r="7339">
          <cell r="E7339" t="str">
            <v>LUC-EZZ-400042-00</v>
          </cell>
          <cell r="F7339">
            <v>423264372473</v>
          </cell>
        </row>
        <row r="7340">
          <cell r="E7340" t="str">
            <v>EF-45105280</v>
          </cell>
          <cell r="F7340">
            <v>423264372473</v>
          </cell>
        </row>
        <row r="7341">
          <cell r="E7341" t="str">
            <v>121-000520.X.X</v>
          </cell>
          <cell r="F7341">
            <v>423264372473</v>
          </cell>
        </row>
        <row r="7342">
          <cell r="E7342" t="str">
            <v>121-000196.X.X</v>
          </cell>
          <cell r="F7342">
            <v>423264372473</v>
          </cell>
        </row>
        <row r="7343">
          <cell r="E7343" t="str">
            <v>121-000254.X.X</v>
          </cell>
          <cell r="F7343">
            <v>423264372473</v>
          </cell>
        </row>
        <row r="7344">
          <cell r="E7344" t="str">
            <v>122-000673.X.X</v>
          </cell>
          <cell r="F7344">
            <v>423264372473</v>
          </cell>
        </row>
        <row r="7345">
          <cell r="E7345" t="str">
            <v>EF-45103947.X.X</v>
          </cell>
          <cell r="F7345">
            <v>423264372473</v>
          </cell>
        </row>
        <row r="7346">
          <cell r="E7346" t="str">
            <v>LUC-EZZ-421132-00</v>
          </cell>
          <cell r="F7346">
            <v>423264372473</v>
          </cell>
        </row>
        <row r="7347">
          <cell r="E7347" t="str">
            <v>PUR-12-0412-00</v>
          </cell>
          <cell r="F7347">
            <v>423264372473</v>
          </cell>
        </row>
        <row r="7348">
          <cell r="E7348" t="str">
            <v>122-000701.X.X</v>
          </cell>
          <cell r="F7348">
            <v>423264372473</v>
          </cell>
        </row>
        <row r="7349">
          <cell r="E7349" t="str">
            <v>122-000293.X.X</v>
          </cell>
          <cell r="F7349">
            <v>423264372473</v>
          </cell>
        </row>
        <row r="7350">
          <cell r="E7350" t="str">
            <v>PURET-13-0001-00</v>
          </cell>
          <cell r="F7350">
            <v>423264372473</v>
          </cell>
        </row>
        <row r="7351">
          <cell r="E7351" t="str">
            <v>PUR-09-0343-00</v>
          </cell>
          <cell r="F7351">
            <v>458476590519</v>
          </cell>
        </row>
        <row r="7352">
          <cell r="E7352" t="str">
            <v>LUC-E00-690010-01</v>
          </cell>
          <cell r="F7352">
            <v>288930682692</v>
          </cell>
        </row>
        <row r="7353">
          <cell r="E7353" t="str">
            <v>LUC-E00-690010-01</v>
          </cell>
          <cell r="F7353">
            <v>288930682692</v>
          </cell>
        </row>
        <row r="7354">
          <cell r="E7354" t="str">
            <v>AIC-MP-00005093-000</v>
          </cell>
          <cell r="F7354">
            <v>881528452515</v>
          </cell>
        </row>
        <row r="7355">
          <cell r="E7355" t="str">
            <v>LUC-E00-470383-00</v>
          </cell>
          <cell r="F7355">
            <v>881521003934</v>
          </cell>
        </row>
        <row r="7356">
          <cell r="E7356" t="str">
            <v>LUC-E00-470383-00</v>
          </cell>
          <cell r="F7356">
            <v>881521003934</v>
          </cell>
        </row>
        <row r="7357">
          <cell r="E7357" t="str">
            <v>AIC-MP-00005911-000</v>
          </cell>
          <cell r="F7357">
            <v>881521145278</v>
          </cell>
        </row>
        <row r="7358">
          <cell r="E7358" t="str">
            <v>AIC-MP-00006751-000</v>
          </cell>
          <cell r="F7358">
            <v>881521145278</v>
          </cell>
        </row>
        <row r="7359">
          <cell r="E7359" t="str">
            <v>AIC-MP-00007022-000</v>
          </cell>
          <cell r="F7359">
            <v>881521145278</v>
          </cell>
        </row>
        <row r="7360">
          <cell r="E7360" t="str">
            <v>AIC-MP-CN007042-S02</v>
          </cell>
          <cell r="F7360">
            <v>881521145278</v>
          </cell>
        </row>
        <row r="7361">
          <cell r="E7361" t="str">
            <v>AIC-MP-00006992-000</v>
          </cell>
          <cell r="F7361">
            <v>881521145278</v>
          </cell>
        </row>
        <row r="7362">
          <cell r="E7362" t="str">
            <v>AIC-MP-00006993-000</v>
          </cell>
          <cell r="F7362">
            <v>881521145278</v>
          </cell>
        </row>
        <row r="7363">
          <cell r="E7363" t="str">
            <v>AIC-MP-00006996-000</v>
          </cell>
          <cell r="F7363">
            <v>881521145278</v>
          </cell>
        </row>
        <row r="7364">
          <cell r="E7364" t="str">
            <v>AIC-MP-CN006846-S01</v>
          </cell>
          <cell r="F7364">
            <v>881521145278</v>
          </cell>
        </row>
        <row r="7365">
          <cell r="E7365" t="str">
            <v>AIC-120-012789</v>
          </cell>
          <cell r="F7365">
            <v>881521145278</v>
          </cell>
        </row>
        <row r="7366">
          <cell r="E7366" t="str">
            <v>LUC-E00-420069-00</v>
          </cell>
          <cell r="F7366">
            <v>1639491162</v>
          </cell>
        </row>
        <row r="7367">
          <cell r="E7367" t="str">
            <v>LUC-E00-420069-00</v>
          </cell>
          <cell r="F7367">
            <v>1639491162</v>
          </cell>
        </row>
        <row r="7368">
          <cell r="E7368" t="str">
            <v>LUC-E00-420069-00</v>
          </cell>
          <cell r="F7368">
            <v>1639491162</v>
          </cell>
        </row>
        <row r="7369">
          <cell r="E7369" t="str">
            <v>LUC-EZZ-420172-00</v>
          </cell>
          <cell r="F7369">
            <v>1639491162</v>
          </cell>
        </row>
        <row r="7370">
          <cell r="E7370" t="str">
            <v>LUC-EZZ-420174-00</v>
          </cell>
          <cell r="F7370">
            <v>1639491162</v>
          </cell>
        </row>
        <row r="7371">
          <cell r="E7371" t="str">
            <v>LUC-EZZ-450108-00</v>
          </cell>
          <cell r="F7371">
            <v>1639491162</v>
          </cell>
        </row>
        <row r="7372">
          <cell r="E7372" t="str">
            <v>LUC-EZZ-400110-00</v>
          </cell>
          <cell r="F7372">
            <v>1639491162</v>
          </cell>
        </row>
        <row r="7373">
          <cell r="E7373" t="str">
            <v>LUC-EZZ-400221-00</v>
          </cell>
          <cell r="F7373">
            <v>1639491162</v>
          </cell>
        </row>
        <row r="7374">
          <cell r="E7374" t="str">
            <v>LUC-EZZ-420101-00</v>
          </cell>
          <cell r="F7374">
            <v>1639491162</v>
          </cell>
        </row>
        <row r="7375">
          <cell r="E7375" t="str">
            <v>LUC-EZZ-420089-00</v>
          </cell>
          <cell r="F7375">
            <v>1639491162</v>
          </cell>
        </row>
        <row r="7376">
          <cell r="E7376" t="str">
            <v>EF-45110875.X.X</v>
          </cell>
          <cell r="F7376">
            <v>1639491162</v>
          </cell>
        </row>
        <row r="7377">
          <cell r="E7377" t="str">
            <v>LUC-EZZ-440176-00</v>
          </cell>
          <cell r="F7377">
            <v>1639491162</v>
          </cell>
        </row>
        <row r="7378">
          <cell r="E7378" t="str">
            <v>EF-45137191</v>
          </cell>
          <cell r="F7378">
            <v>1639491162</v>
          </cell>
        </row>
        <row r="7379">
          <cell r="E7379" t="str">
            <v>LUC-E00-420027-03</v>
          </cell>
          <cell r="F7379">
            <v>1639491162</v>
          </cell>
        </row>
        <row r="7380">
          <cell r="E7380" t="str">
            <v>EF-45103947.X.X</v>
          </cell>
          <cell r="F7380">
            <v>1639491162</v>
          </cell>
        </row>
        <row r="7381">
          <cell r="E7381" t="str">
            <v>PUR-12-0407-00</v>
          </cell>
          <cell r="F7381">
            <v>1639491162</v>
          </cell>
        </row>
        <row r="7382">
          <cell r="E7382" t="str">
            <v>LUC-E00-400010-034</v>
          </cell>
          <cell r="F7382">
            <v>1639491162</v>
          </cell>
        </row>
        <row r="7383">
          <cell r="E7383" t="str">
            <v>LUC-E00-400010-034</v>
          </cell>
          <cell r="F7383">
            <v>1639491162</v>
          </cell>
        </row>
        <row r="7384">
          <cell r="E7384" t="str">
            <v>LUC-E00-510084-00</v>
          </cell>
          <cell r="F7384">
            <v>1639491162</v>
          </cell>
        </row>
        <row r="7385">
          <cell r="E7385" t="str">
            <v>EF-45077523.X.X</v>
          </cell>
          <cell r="F7385">
            <v>1639491162</v>
          </cell>
        </row>
        <row r="7386">
          <cell r="E7386" t="str">
            <v>LUC-E00-470173-00</v>
          </cell>
          <cell r="F7386">
            <v>1639491162</v>
          </cell>
        </row>
        <row r="7387">
          <cell r="E7387" t="str">
            <v>LUC-EZZ-450177-00</v>
          </cell>
          <cell r="F7387">
            <v>1639491162</v>
          </cell>
        </row>
        <row r="7388">
          <cell r="E7388" t="str">
            <v>EF-45076928.X.X</v>
          </cell>
          <cell r="F7388">
            <v>4711857428</v>
          </cell>
        </row>
        <row r="7389">
          <cell r="E7389" t="str">
            <v>LUC-E00-420011-04</v>
          </cell>
          <cell r="F7389">
            <v>4711857428</v>
          </cell>
        </row>
        <row r="7390">
          <cell r="E7390" t="str">
            <v>LUC-E00-510034-00</v>
          </cell>
          <cell r="F7390">
            <v>4711857428</v>
          </cell>
        </row>
        <row r="7391">
          <cell r="E7391" t="str">
            <v>HLOB-09-0346-00</v>
          </cell>
          <cell r="F7391">
            <v>4711857428</v>
          </cell>
        </row>
        <row r="7392">
          <cell r="E7392" t="str">
            <v>LUC-E00-420011-04</v>
          </cell>
          <cell r="F7392">
            <v>4711857428</v>
          </cell>
        </row>
        <row r="7393">
          <cell r="E7393" t="str">
            <v>EF-45076928.X.X</v>
          </cell>
          <cell r="F7393">
            <v>4711857428</v>
          </cell>
        </row>
        <row r="7394">
          <cell r="E7394" t="str">
            <v>LUC-E00-420238-00</v>
          </cell>
          <cell r="F7394">
            <v>4711857428</v>
          </cell>
        </row>
        <row r="7395">
          <cell r="E7395" t="str">
            <v>LUC-E00-690001-00</v>
          </cell>
          <cell r="F7395">
            <v>4711857428</v>
          </cell>
        </row>
        <row r="7396">
          <cell r="E7396" t="str">
            <v>LUC-E00-690001-00</v>
          </cell>
          <cell r="F7396">
            <v>4711857428</v>
          </cell>
        </row>
        <row r="7397">
          <cell r="E7397" t="str">
            <v>LUC-E00-690001-00</v>
          </cell>
          <cell r="F7397">
            <v>4711857428</v>
          </cell>
        </row>
        <row r="7398">
          <cell r="E7398" t="str">
            <v>LUC-EZZ-400011-00</v>
          </cell>
          <cell r="F7398">
            <v>4711857428</v>
          </cell>
        </row>
        <row r="7399">
          <cell r="E7399" t="str">
            <v>LUC-EZZ-400011-00</v>
          </cell>
          <cell r="F7399">
            <v>4711857428</v>
          </cell>
        </row>
        <row r="7400">
          <cell r="E7400" t="str">
            <v>LUC-EZZ-511370-00</v>
          </cell>
          <cell r="F7400">
            <v>4711857428</v>
          </cell>
        </row>
        <row r="7401">
          <cell r="E7401" t="str">
            <v>LUC-E00-420011-04</v>
          </cell>
          <cell r="F7401">
            <v>4711857428</v>
          </cell>
        </row>
        <row r="7402">
          <cell r="E7402" t="str">
            <v>AGI-532-40016-01</v>
          </cell>
          <cell r="F7402">
            <v>4711857428</v>
          </cell>
        </row>
        <row r="7403">
          <cell r="E7403" t="str">
            <v>AGI-532-40016-01</v>
          </cell>
          <cell r="F7403">
            <v>4711857428</v>
          </cell>
        </row>
        <row r="7404">
          <cell r="E7404" t="str">
            <v>LUC-EZZ-470297-00</v>
          </cell>
          <cell r="F7404">
            <v>4711857428</v>
          </cell>
        </row>
        <row r="7405">
          <cell r="E7405" t="str">
            <v>LUC-E00-470001-00</v>
          </cell>
          <cell r="F7405">
            <v>4711857428</v>
          </cell>
        </row>
        <row r="7406">
          <cell r="E7406" t="str">
            <v>LUC-EZZ-470138-00</v>
          </cell>
          <cell r="F7406">
            <v>4711857428</v>
          </cell>
        </row>
        <row r="7407">
          <cell r="E7407" t="str">
            <v>LUC-E00-470001-00</v>
          </cell>
          <cell r="F7407">
            <v>4711857428</v>
          </cell>
        </row>
        <row r="7408">
          <cell r="E7408" t="str">
            <v>LUC-E00-470073-00</v>
          </cell>
          <cell r="F7408">
            <v>4711857428</v>
          </cell>
        </row>
        <row r="7409">
          <cell r="E7409" t="str">
            <v>LUC-EZZ-470138-00</v>
          </cell>
          <cell r="F7409">
            <v>4711857428</v>
          </cell>
        </row>
        <row r="7410">
          <cell r="E7410" t="str">
            <v>LUC-EZZ-470297-00</v>
          </cell>
          <cell r="F7410">
            <v>4711857428</v>
          </cell>
        </row>
        <row r="7411">
          <cell r="E7411" t="str">
            <v>LUC-E00-470124-00</v>
          </cell>
          <cell r="F7411">
            <v>4711857428</v>
          </cell>
        </row>
        <row r="7412">
          <cell r="E7412" t="str">
            <v>PUR-09-0433-00</v>
          </cell>
          <cell r="F7412">
            <v>4711857428</v>
          </cell>
        </row>
        <row r="7413">
          <cell r="E7413" t="str">
            <v>EF-45092460.X.X</v>
          </cell>
          <cell r="F7413">
            <v>3238928696</v>
          </cell>
        </row>
        <row r="7414">
          <cell r="E7414" t="str">
            <v>AIC-122-004388</v>
          </cell>
          <cell r="F7414">
            <v>3238928696</v>
          </cell>
        </row>
        <row r="7415">
          <cell r="E7415" t="str">
            <v>HLOB-21-0036-00</v>
          </cell>
          <cell r="F7415">
            <v>3238928696</v>
          </cell>
        </row>
        <row r="7416">
          <cell r="E7416" t="str">
            <v>LUC-E00-400049-00</v>
          </cell>
          <cell r="F7416">
            <v>5376620712</v>
          </cell>
        </row>
        <row r="7417">
          <cell r="E7417" t="str">
            <v>EF-45055219.X.X</v>
          </cell>
          <cell r="F7417">
            <v>5376620712</v>
          </cell>
        </row>
        <row r="7418">
          <cell r="E7418" t="str">
            <v>EF-45043246.X.X</v>
          </cell>
          <cell r="F7418">
            <v>741988808792</v>
          </cell>
        </row>
        <row r="7419">
          <cell r="E7419" t="str">
            <v>LUC-E00-690010-00</v>
          </cell>
          <cell r="F7419">
            <v>288972238305</v>
          </cell>
        </row>
        <row r="7420">
          <cell r="E7420" t="str">
            <v>LUC-E00-690010-01</v>
          </cell>
          <cell r="F7420">
            <v>288972238305</v>
          </cell>
        </row>
        <row r="7421">
          <cell r="E7421" t="str">
            <v>LUC-E00-690010-03</v>
          </cell>
          <cell r="F7421">
            <v>288972238305</v>
          </cell>
        </row>
        <row r="7422">
          <cell r="E7422" t="str">
            <v>AIC-120-012783</v>
          </cell>
          <cell r="F7422">
            <v>881524444165</v>
          </cell>
        </row>
        <row r="7423">
          <cell r="E7423" t="str">
            <v>PUR-03-0096-02</v>
          </cell>
          <cell r="F7423" t="str">
            <v>8TV4161</v>
          </cell>
        </row>
        <row r="7424">
          <cell r="E7424" t="str">
            <v>PUR-03-0096-02</v>
          </cell>
          <cell r="F7424" t="str">
            <v>8TV4161</v>
          </cell>
        </row>
        <row r="7425">
          <cell r="E7425" t="str">
            <v>LUC-E00-690217-01</v>
          </cell>
          <cell r="F7425">
            <v>4110324933</v>
          </cell>
        </row>
        <row r="7426">
          <cell r="E7426" t="str">
            <v>LUC-EZZ-690131-00</v>
          </cell>
          <cell r="F7426">
            <v>4110324932</v>
          </cell>
        </row>
        <row r="7427">
          <cell r="E7427" t="str">
            <v>PUR-05-0027-00</v>
          </cell>
          <cell r="F7427">
            <v>972682023870</v>
          </cell>
        </row>
        <row r="7428">
          <cell r="E7428" t="str">
            <v>HLOB-07-0167-00</v>
          </cell>
          <cell r="F7428">
            <v>454593971293</v>
          </cell>
        </row>
        <row r="7429">
          <cell r="E7429" t="str">
            <v>PUR-15-0220-00</v>
          </cell>
          <cell r="F7429">
            <v>902348926851</v>
          </cell>
        </row>
        <row r="7430">
          <cell r="E7430" t="str">
            <v>132-000212.X.X</v>
          </cell>
          <cell r="F7430">
            <v>421194794936</v>
          </cell>
        </row>
        <row r="7431">
          <cell r="E7431" t="str">
            <v>AIC-MP-00000061-000</v>
          </cell>
          <cell r="F7431">
            <v>421194794936</v>
          </cell>
        </row>
        <row r="7432">
          <cell r="E7432" t="str">
            <v>AIC-MP-00000276-000</v>
          </cell>
          <cell r="F7432">
            <v>421194794936</v>
          </cell>
        </row>
        <row r="7433">
          <cell r="E7433" t="str">
            <v>AIC-MP-00000277-000</v>
          </cell>
          <cell r="F7433">
            <v>421194794936</v>
          </cell>
        </row>
        <row r="7434">
          <cell r="E7434" t="str">
            <v>AIC-MP-00000310-000</v>
          </cell>
          <cell r="F7434">
            <v>421194794936</v>
          </cell>
        </row>
        <row r="7435">
          <cell r="E7435" t="str">
            <v>AIC-MP-00000747-000</v>
          </cell>
          <cell r="F7435">
            <v>421194794936</v>
          </cell>
        </row>
        <row r="7436">
          <cell r="E7436" t="str">
            <v>AIC-MP-00000779-000</v>
          </cell>
          <cell r="F7436">
            <v>421194794936</v>
          </cell>
        </row>
        <row r="7437">
          <cell r="E7437" t="str">
            <v>AIC-MP-00002307-000</v>
          </cell>
          <cell r="F7437">
            <v>421194794936</v>
          </cell>
        </row>
        <row r="7438">
          <cell r="E7438" t="str">
            <v>AIC-MP-00002327-000</v>
          </cell>
          <cell r="F7438">
            <v>421194794936</v>
          </cell>
        </row>
        <row r="7439">
          <cell r="E7439" t="str">
            <v>AIC-121-005951</v>
          </cell>
          <cell r="F7439">
            <v>421194794936</v>
          </cell>
        </row>
        <row r="7440">
          <cell r="E7440" t="str">
            <v>AIC-MP-00002560-000</v>
          </cell>
          <cell r="F7440">
            <v>421194794936</v>
          </cell>
        </row>
        <row r="7441">
          <cell r="E7441" t="str">
            <v>AIC-MP-00003230-000</v>
          </cell>
          <cell r="F7441">
            <v>421194794936</v>
          </cell>
        </row>
        <row r="7442">
          <cell r="E7442" t="str">
            <v>AIC-MP-00003782-000</v>
          </cell>
          <cell r="F7442">
            <v>421194794936</v>
          </cell>
        </row>
        <row r="7443">
          <cell r="E7443" t="str">
            <v>AIC-MP-00002151-000</v>
          </cell>
          <cell r="F7443">
            <v>421194794936</v>
          </cell>
        </row>
        <row r="7444">
          <cell r="E7444" t="str">
            <v>AIC-120-012782</v>
          </cell>
          <cell r="F7444">
            <v>421194794936</v>
          </cell>
        </row>
        <row r="7445">
          <cell r="E7445" t="str">
            <v>AIC-MP-00000247-000</v>
          </cell>
          <cell r="F7445">
            <v>421194794936</v>
          </cell>
        </row>
        <row r="7446">
          <cell r="E7446" t="str">
            <v>AIC-MP-00000856-000</v>
          </cell>
          <cell r="F7446">
            <v>421194794936</v>
          </cell>
        </row>
        <row r="7447">
          <cell r="E7447" t="str">
            <v>AIC-MP-00004069-000</v>
          </cell>
          <cell r="F7447">
            <v>421194794936</v>
          </cell>
        </row>
        <row r="7448">
          <cell r="E7448" t="str">
            <v>AIC-111-001497</v>
          </cell>
          <cell r="F7448">
            <v>421194794936</v>
          </cell>
        </row>
        <row r="7449">
          <cell r="E7449" t="str">
            <v>AIC-MP-00004930-000</v>
          </cell>
          <cell r="F7449">
            <v>421194794936</v>
          </cell>
        </row>
        <row r="7450">
          <cell r="E7450" t="str">
            <v>AIC-MP-00004954-000</v>
          </cell>
          <cell r="F7450">
            <v>421194794936</v>
          </cell>
        </row>
        <row r="7451">
          <cell r="E7451" t="str">
            <v>AIC-MP-00005182-000</v>
          </cell>
          <cell r="F7451">
            <v>421194794936</v>
          </cell>
        </row>
        <row r="7452">
          <cell r="E7452" t="str">
            <v>AIC-MP-00005554-000</v>
          </cell>
          <cell r="F7452">
            <v>421194794936</v>
          </cell>
        </row>
        <row r="7453">
          <cell r="E7453" t="str">
            <v>AIC-MP-IC006053-S01</v>
          </cell>
          <cell r="F7453">
            <v>421194794936</v>
          </cell>
        </row>
        <row r="7454">
          <cell r="E7454" t="str">
            <v>AIC-132-001520</v>
          </cell>
          <cell r="F7454">
            <v>421194794936</v>
          </cell>
        </row>
        <row r="7455">
          <cell r="E7455" t="str">
            <v>AIC-MP-00006506-000</v>
          </cell>
          <cell r="F7455">
            <v>421194794936</v>
          </cell>
        </row>
        <row r="7456">
          <cell r="E7456" t="str">
            <v>AIC-MP-00006545-000</v>
          </cell>
          <cell r="F7456">
            <v>421194794936</v>
          </cell>
        </row>
        <row r="7457">
          <cell r="E7457" t="str">
            <v>AIC-MP-00006987-000</v>
          </cell>
          <cell r="F7457">
            <v>421194794936</v>
          </cell>
        </row>
        <row r="7458">
          <cell r="E7458" t="str">
            <v>AIC-MP-00007025-000</v>
          </cell>
          <cell r="F7458">
            <v>421194794936</v>
          </cell>
        </row>
        <row r="7459">
          <cell r="E7459" t="str">
            <v>AIC-MP-00007043-000</v>
          </cell>
          <cell r="F7459">
            <v>421194794936</v>
          </cell>
        </row>
        <row r="7460">
          <cell r="E7460" t="str">
            <v>AIC-MP-00007071-000</v>
          </cell>
          <cell r="F7460">
            <v>421194794936</v>
          </cell>
        </row>
        <row r="7461">
          <cell r="E7461" t="str">
            <v>AIC-MP-00007322-000</v>
          </cell>
          <cell r="F7461">
            <v>421194794936</v>
          </cell>
        </row>
        <row r="7462">
          <cell r="E7462" t="str">
            <v>AIC-MP-00000935-000</v>
          </cell>
          <cell r="F7462">
            <v>421194794936</v>
          </cell>
        </row>
        <row r="7463">
          <cell r="E7463" t="str">
            <v>AIC-MP-00006919-000</v>
          </cell>
          <cell r="F7463">
            <v>421194794936</v>
          </cell>
        </row>
        <row r="7464">
          <cell r="E7464" t="str">
            <v>AIC-MP-00005032-000</v>
          </cell>
          <cell r="F7464">
            <v>421194794936</v>
          </cell>
        </row>
        <row r="7465">
          <cell r="E7465" t="str">
            <v>AIC-109-001572</v>
          </cell>
          <cell r="F7465">
            <v>421194794936</v>
          </cell>
        </row>
        <row r="7466">
          <cell r="E7466" t="str">
            <v>AIC-MP-00004104-000</v>
          </cell>
          <cell r="F7466">
            <v>421194794936</v>
          </cell>
        </row>
        <row r="7467">
          <cell r="E7467" t="str">
            <v>AIC-MP-XT006266-S02</v>
          </cell>
          <cell r="F7467">
            <v>421194794936</v>
          </cell>
        </row>
        <row r="7468">
          <cell r="E7468" t="str">
            <v>AIC-132-001527</v>
          </cell>
          <cell r="F7468">
            <v>421194794936</v>
          </cell>
        </row>
        <row r="7469">
          <cell r="E7469" t="str">
            <v>AIC-MP-00006304-000</v>
          </cell>
          <cell r="F7469">
            <v>421194794936</v>
          </cell>
        </row>
        <row r="7470">
          <cell r="E7470" t="str">
            <v>LUC-E00-400010-003</v>
          </cell>
          <cell r="F7470">
            <v>421194794936</v>
          </cell>
        </row>
        <row r="7471">
          <cell r="E7471" t="str">
            <v>EF-45135159</v>
          </cell>
          <cell r="F7471">
            <v>421194794936</v>
          </cell>
        </row>
        <row r="7472">
          <cell r="E7472" t="str">
            <v>AIC-MP-00005346-000</v>
          </cell>
          <cell r="F7472">
            <v>421194794936</v>
          </cell>
        </row>
        <row r="7473">
          <cell r="E7473" t="str">
            <v>PUR-12-0507-00</v>
          </cell>
          <cell r="F7473">
            <v>881613059460</v>
          </cell>
        </row>
        <row r="7474">
          <cell r="E7474" t="str">
            <v>PUR-12-0294-00</v>
          </cell>
          <cell r="F7474">
            <v>881613059460</v>
          </cell>
        </row>
        <row r="7475">
          <cell r="E7475" t="str">
            <v>EF-45036826</v>
          </cell>
          <cell r="F7475">
            <v>881613059460</v>
          </cell>
        </row>
        <row r="7476">
          <cell r="E7476" t="str">
            <v>PURET-12-0056-00</v>
          </cell>
          <cell r="F7476">
            <v>881613059460</v>
          </cell>
        </row>
        <row r="7477">
          <cell r="E7477" t="str">
            <v>EF-45048212.X.X</v>
          </cell>
          <cell r="F7477">
            <v>881613059460</v>
          </cell>
        </row>
        <row r="7478">
          <cell r="E7478" t="str">
            <v>EF-45037930.X.X</v>
          </cell>
          <cell r="F7478">
            <v>881613059460</v>
          </cell>
        </row>
        <row r="7479">
          <cell r="E7479" t="str">
            <v>EF-45037930.X.X</v>
          </cell>
          <cell r="F7479">
            <v>881613059460</v>
          </cell>
        </row>
        <row r="7480">
          <cell r="E7480" t="str">
            <v>EF-45036461.X.X</v>
          </cell>
          <cell r="F7480">
            <v>881613059460</v>
          </cell>
        </row>
        <row r="7481">
          <cell r="E7481" t="str">
            <v>PURET-12-0017-00</v>
          </cell>
          <cell r="F7481">
            <v>881613059460</v>
          </cell>
        </row>
        <row r="7482">
          <cell r="E7482" t="str">
            <v>PUR-16-0044-01</v>
          </cell>
          <cell r="F7482" t="str">
            <v>42I0226943</v>
          </cell>
        </row>
        <row r="7483">
          <cell r="E7483" t="str">
            <v>PUR-16-0044-01</v>
          </cell>
          <cell r="F7483" t="str">
            <v>42I0226943</v>
          </cell>
        </row>
        <row r="7484">
          <cell r="E7484" t="str">
            <v>PUR-16-0046-01</v>
          </cell>
          <cell r="F7484" t="str">
            <v>42I0226943</v>
          </cell>
        </row>
        <row r="7485">
          <cell r="E7485" t="str">
            <v>PUR-16-0046-01</v>
          </cell>
          <cell r="F7485" t="str">
            <v>42I0226943</v>
          </cell>
        </row>
        <row r="7486">
          <cell r="E7486" t="str">
            <v>PUR-16-0046-01</v>
          </cell>
          <cell r="F7486" t="str">
            <v>42I0226943</v>
          </cell>
        </row>
        <row r="7487">
          <cell r="E7487" t="str">
            <v>PUR-16-0049-01</v>
          </cell>
          <cell r="F7487" t="str">
            <v>42I0226943</v>
          </cell>
        </row>
        <row r="7488">
          <cell r="E7488" t="str">
            <v>PUR-16-0049-01</v>
          </cell>
          <cell r="F7488" t="str">
            <v>42I0226943</v>
          </cell>
        </row>
        <row r="7489">
          <cell r="E7489" t="str">
            <v>PUR-16-0049-01</v>
          </cell>
          <cell r="F7489" t="str">
            <v>42I0226943</v>
          </cell>
        </row>
        <row r="7490">
          <cell r="E7490" t="str">
            <v>PUR-16-0051-00</v>
          </cell>
          <cell r="F7490" t="str">
            <v>42I0226943</v>
          </cell>
        </row>
        <row r="7491">
          <cell r="E7491" t="str">
            <v>PUR-16-0051-00</v>
          </cell>
          <cell r="F7491" t="str">
            <v>42I0226943</v>
          </cell>
        </row>
        <row r="7492">
          <cell r="E7492" t="str">
            <v>PUR-09-0329-00</v>
          </cell>
          <cell r="F7492">
            <v>5376629893</v>
          </cell>
        </row>
        <row r="7493">
          <cell r="E7493" t="str">
            <v>PUR-27-0020-00</v>
          </cell>
          <cell r="F7493">
            <v>5376629893</v>
          </cell>
        </row>
        <row r="7494">
          <cell r="E7494" t="str">
            <v>LUC-EZZ-400192-00</v>
          </cell>
          <cell r="F7494">
            <v>5376629893</v>
          </cell>
        </row>
        <row r="7495">
          <cell r="E7495" t="str">
            <v>LUC-EZZ-400192-00</v>
          </cell>
          <cell r="F7495">
            <v>5376629893</v>
          </cell>
        </row>
        <row r="7496">
          <cell r="E7496" t="str">
            <v>LUC-EZZ-400831-00</v>
          </cell>
          <cell r="F7496">
            <v>5376629893</v>
          </cell>
        </row>
        <row r="7497">
          <cell r="E7497" t="str">
            <v>LUC-EZZ-400192-00</v>
          </cell>
          <cell r="F7497">
            <v>5376629893</v>
          </cell>
        </row>
        <row r="7498">
          <cell r="E7498" t="str">
            <v>LUC-E00-460009-00</v>
          </cell>
          <cell r="F7498">
            <v>5376629893</v>
          </cell>
        </row>
        <row r="7499">
          <cell r="E7499" t="str">
            <v>LUC-E00-460009-00</v>
          </cell>
          <cell r="F7499">
            <v>5376629893</v>
          </cell>
        </row>
        <row r="7500">
          <cell r="E7500" t="str">
            <v>PURET-24-0008-00</v>
          </cell>
          <cell r="F7500">
            <v>5376629893</v>
          </cell>
        </row>
        <row r="7501">
          <cell r="E7501" t="str">
            <v>PURET-24-0008-00</v>
          </cell>
          <cell r="F7501">
            <v>5376629893</v>
          </cell>
        </row>
        <row r="7502">
          <cell r="E7502" t="str">
            <v>PURET-24-0002-00</v>
          </cell>
          <cell r="F7502">
            <v>5376629893</v>
          </cell>
        </row>
        <row r="7503">
          <cell r="E7503" t="str">
            <v>PUR-12-0432-00</v>
          </cell>
          <cell r="F7503">
            <v>5376629893</v>
          </cell>
        </row>
        <row r="7504">
          <cell r="E7504" t="str">
            <v>PUR-14-0083-00</v>
          </cell>
          <cell r="F7504">
            <v>5376629893</v>
          </cell>
        </row>
        <row r="7505">
          <cell r="E7505" t="str">
            <v>PUR-12-0412-00</v>
          </cell>
          <cell r="F7505">
            <v>5376629893</v>
          </cell>
        </row>
        <row r="7506">
          <cell r="E7506" t="str">
            <v>PUR-09-0444-00</v>
          </cell>
          <cell r="F7506">
            <v>5376629893</v>
          </cell>
        </row>
        <row r="7507">
          <cell r="E7507" t="str">
            <v>HLOB-14-0083-00</v>
          </cell>
          <cell r="F7507">
            <v>5376629893</v>
          </cell>
        </row>
        <row r="7508">
          <cell r="E7508" t="str">
            <v>HLOB-14-0083-00</v>
          </cell>
          <cell r="F7508">
            <v>5376629893</v>
          </cell>
        </row>
        <row r="7509">
          <cell r="E7509" t="str">
            <v>EF-45042451</v>
          </cell>
          <cell r="F7509">
            <v>5376629893</v>
          </cell>
        </row>
        <row r="7510">
          <cell r="E7510" t="str">
            <v>PUR-13-0125-00</v>
          </cell>
          <cell r="F7510">
            <v>5376629893</v>
          </cell>
        </row>
        <row r="7511">
          <cell r="E7511" t="str">
            <v>EF-45046920</v>
          </cell>
          <cell r="F7511">
            <v>5376629893</v>
          </cell>
        </row>
        <row r="7512">
          <cell r="E7512" t="str">
            <v>EF-45046920</v>
          </cell>
          <cell r="F7512">
            <v>5376629893</v>
          </cell>
        </row>
        <row r="7513">
          <cell r="E7513" t="str">
            <v>HLOB-14-0083-00</v>
          </cell>
          <cell r="F7513">
            <v>5376629893</v>
          </cell>
        </row>
        <row r="7514">
          <cell r="E7514" t="str">
            <v>HLOB-09-0050-00</v>
          </cell>
          <cell r="F7514">
            <v>5376629893</v>
          </cell>
        </row>
        <row r="7515">
          <cell r="E7515" t="str">
            <v>PURET-12-0257-00</v>
          </cell>
          <cell r="F7515">
            <v>5376629893</v>
          </cell>
        </row>
        <row r="7516">
          <cell r="E7516" t="str">
            <v>LUC-EZZ-450249-00</v>
          </cell>
          <cell r="F7516">
            <v>5376629893</v>
          </cell>
        </row>
        <row r="7517">
          <cell r="E7517" t="str">
            <v>PURET-14-0022-00</v>
          </cell>
          <cell r="F7517">
            <v>5376629893</v>
          </cell>
        </row>
        <row r="7518">
          <cell r="E7518" t="str">
            <v>LUC-EZZ-420151-00</v>
          </cell>
          <cell r="F7518">
            <v>5376629893</v>
          </cell>
        </row>
        <row r="7519">
          <cell r="E7519" t="str">
            <v>PUR-09-0329-00</v>
          </cell>
          <cell r="F7519">
            <v>5376629893</v>
          </cell>
        </row>
        <row r="7520">
          <cell r="E7520" t="str">
            <v>LUC-E00-450075-00</v>
          </cell>
          <cell r="F7520">
            <v>5376629893</v>
          </cell>
        </row>
        <row r="7521">
          <cell r="E7521" t="str">
            <v>LUC-E00-400024-04</v>
          </cell>
          <cell r="F7521">
            <v>5376629893</v>
          </cell>
        </row>
        <row r="7522">
          <cell r="E7522" t="str">
            <v>PURET-24-0002-00</v>
          </cell>
          <cell r="F7522">
            <v>5376629893</v>
          </cell>
        </row>
        <row r="7523">
          <cell r="E7523" t="str">
            <v>AGI-137-001371</v>
          </cell>
          <cell r="F7523" t="str">
            <v>AS254396</v>
          </cell>
        </row>
        <row r="7524">
          <cell r="E7524" t="str">
            <v>AGI-137-001370</v>
          </cell>
          <cell r="F7524" t="str">
            <v>AS254396</v>
          </cell>
        </row>
        <row r="7525">
          <cell r="E7525" t="str">
            <v>AGI-137-001369</v>
          </cell>
          <cell r="F7525" t="str">
            <v>AS254396</v>
          </cell>
        </row>
        <row r="7526">
          <cell r="E7526" t="str">
            <v>AGI-188-011449</v>
          </cell>
          <cell r="F7526" t="str">
            <v>AS254396</v>
          </cell>
        </row>
        <row r="7527">
          <cell r="E7527" t="str">
            <v>AGI-188-011448</v>
          </cell>
          <cell r="F7527" t="str">
            <v>AS254396</v>
          </cell>
        </row>
        <row r="7528">
          <cell r="E7528" t="str">
            <v>AGI-188-011448</v>
          </cell>
          <cell r="F7528" t="str">
            <v>AS254396</v>
          </cell>
        </row>
        <row r="7529">
          <cell r="E7529" t="str">
            <v>AGI-188-011449</v>
          </cell>
          <cell r="F7529" t="str">
            <v>AS254396</v>
          </cell>
        </row>
        <row r="7530">
          <cell r="E7530" t="str">
            <v>LUC-P21-K33600-02</v>
          </cell>
          <cell r="F7530" t="str">
            <v>LSHHPH2504345</v>
          </cell>
        </row>
        <row r="7531">
          <cell r="E7531" t="str">
            <v>LUC-P21-K33600-02</v>
          </cell>
          <cell r="F7531" t="str">
            <v>LSHHPH2504345</v>
          </cell>
        </row>
        <row r="7532">
          <cell r="E7532" t="str">
            <v>LUC-E00-400090-01</v>
          </cell>
          <cell r="F7532">
            <v>456705025340</v>
          </cell>
        </row>
        <row r="7533">
          <cell r="E7533" t="str">
            <v>EF-45114287</v>
          </cell>
          <cell r="F7533">
            <v>456705025340</v>
          </cell>
        </row>
        <row r="7534">
          <cell r="E7534" t="str">
            <v>PUR-21-0026-00</v>
          </cell>
          <cell r="F7534">
            <v>456705025340</v>
          </cell>
        </row>
        <row r="7535">
          <cell r="E7535" t="str">
            <v>LUC-E00-510029-00</v>
          </cell>
          <cell r="F7535">
            <v>456705025340</v>
          </cell>
        </row>
        <row r="7536">
          <cell r="E7536" t="str">
            <v>LUC-E00-450154-00</v>
          </cell>
          <cell r="F7536">
            <v>456705025340</v>
          </cell>
        </row>
        <row r="7537">
          <cell r="E7537" t="str">
            <v>PUR-21-0026-00</v>
          </cell>
          <cell r="F7537">
            <v>456705025340</v>
          </cell>
        </row>
        <row r="7538">
          <cell r="E7538" t="str">
            <v>EF-45061084</v>
          </cell>
          <cell r="F7538">
            <v>456705025340</v>
          </cell>
        </row>
        <row r="7539">
          <cell r="E7539" t="str">
            <v>LUC-E00-450154-00</v>
          </cell>
          <cell r="F7539">
            <v>456705025340</v>
          </cell>
        </row>
        <row r="7540">
          <cell r="E7540" t="str">
            <v>LUC-EZZ-420695-01</v>
          </cell>
          <cell r="F7540">
            <v>456705025340</v>
          </cell>
        </row>
        <row r="7541">
          <cell r="E7541" t="str">
            <v>LUC-E00-400025-01</v>
          </cell>
          <cell r="F7541">
            <v>456705025340</v>
          </cell>
        </row>
        <row r="7542">
          <cell r="E7542" t="str">
            <v>LUC-EZZ-420344-00</v>
          </cell>
          <cell r="F7542">
            <v>456705025340</v>
          </cell>
        </row>
        <row r="7543">
          <cell r="E7543" t="str">
            <v>EF-45140757</v>
          </cell>
          <cell r="F7543">
            <v>456705025340</v>
          </cell>
        </row>
        <row r="7544">
          <cell r="E7544" t="str">
            <v>LUC-EZZ-420331-00</v>
          </cell>
          <cell r="F7544">
            <v>456705025340</v>
          </cell>
        </row>
        <row r="7545">
          <cell r="E7545" t="str">
            <v>LUC-EZZ-420695-01</v>
          </cell>
          <cell r="F7545">
            <v>456705025340</v>
          </cell>
        </row>
        <row r="7546">
          <cell r="E7546" t="str">
            <v>LUC-EZZ-420396-00</v>
          </cell>
          <cell r="F7546">
            <v>456705025340</v>
          </cell>
        </row>
        <row r="7547">
          <cell r="E7547" t="str">
            <v>PUR-21-0026-00</v>
          </cell>
          <cell r="F7547">
            <v>456705025340</v>
          </cell>
        </row>
        <row r="7548">
          <cell r="E7548" t="str">
            <v>LUC-E00-400050-01</v>
          </cell>
          <cell r="F7548">
            <v>456705025340</v>
          </cell>
        </row>
        <row r="7549">
          <cell r="E7549" t="str">
            <v>PUR-09-0346-00</v>
          </cell>
          <cell r="F7549">
            <v>456705025340</v>
          </cell>
        </row>
        <row r="7550">
          <cell r="E7550" t="str">
            <v>HLOB-25-0009-00</v>
          </cell>
          <cell r="F7550">
            <v>456705025340</v>
          </cell>
        </row>
        <row r="7551">
          <cell r="E7551" t="str">
            <v>HLOB-25-0009-00</v>
          </cell>
          <cell r="F7551">
            <v>456705025340</v>
          </cell>
        </row>
        <row r="7552">
          <cell r="E7552" t="str">
            <v>HLOB-25-0009-00</v>
          </cell>
          <cell r="F7552">
            <v>456705025340</v>
          </cell>
        </row>
        <row r="7553">
          <cell r="E7553" t="str">
            <v>LUC-E00-400034-019</v>
          </cell>
          <cell r="F7553">
            <v>456705025340</v>
          </cell>
        </row>
        <row r="7554">
          <cell r="E7554" t="str">
            <v>PUR-05-0027-00</v>
          </cell>
          <cell r="F7554">
            <v>456705025340</v>
          </cell>
        </row>
        <row r="7555">
          <cell r="E7555" t="str">
            <v>PUR-25-0009-00</v>
          </cell>
          <cell r="F7555">
            <v>456705025340</v>
          </cell>
        </row>
        <row r="7556">
          <cell r="E7556" t="str">
            <v>PUR-25-0009-00</v>
          </cell>
          <cell r="F7556">
            <v>456705025340</v>
          </cell>
        </row>
        <row r="7557">
          <cell r="E7557" t="str">
            <v>LUC-E00-470389-00</v>
          </cell>
          <cell r="F7557">
            <v>456705025340</v>
          </cell>
        </row>
        <row r="7558">
          <cell r="E7558" t="str">
            <v>LUC-E00-470389-00</v>
          </cell>
          <cell r="F7558">
            <v>456705025340</v>
          </cell>
        </row>
        <row r="7559">
          <cell r="E7559" t="str">
            <v>PUR-25-0009-00</v>
          </cell>
          <cell r="F7559">
            <v>456705025340</v>
          </cell>
        </row>
        <row r="7560">
          <cell r="E7560" t="str">
            <v>PUR-25-0009-00</v>
          </cell>
          <cell r="F7560">
            <v>456705025340</v>
          </cell>
        </row>
        <row r="7561">
          <cell r="E7561" t="str">
            <v>EF-45205752</v>
          </cell>
          <cell r="F7561">
            <v>456705025340</v>
          </cell>
        </row>
        <row r="7562">
          <cell r="E7562" t="str">
            <v>EF-45093036</v>
          </cell>
          <cell r="F7562">
            <v>456705025340</v>
          </cell>
        </row>
        <row r="7563">
          <cell r="E7563" t="str">
            <v>LUC-EZZ-400621-00</v>
          </cell>
          <cell r="F7563">
            <v>456705025340</v>
          </cell>
        </row>
        <row r="7564">
          <cell r="E7564" t="str">
            <v>LUC-EZZ-400621-00</v>
          </cell>
          <cell r="F7564">
            <v>456705025340</v>
          </cell>
        </row>
        <row r="7565">
          <cell r="E7565" t="str">
            <v>LUC-EZZ-400621-00</v>
          </cell>
          <cell r="F7565">
            <v>456705025340</v>
          </cell>
        </row>
        <row r="7566">
          <cell r="E7566" t="str">
            <v>LUC-EZZ-400621-00</v>
          </cell>
          <cell r="F7566">
            <v>456705025340</v>
          </cell>
        </row>
        <row r="7567">
          <cell r="E7567" t="str">
            <v>LUC-EZZ-400621-00</v>
          </cell>
          <cell r="F7567">
            <v>456705025340</v>
          </cell>
        </row>
        <row r="7568">
          <cell r="E7568" t="str">
            <v>LUC-EZZ-400621-00</v>
          </cell>
          <cell r="F7568">
            <v>456705025340</v>
          </cell>
        </row>
        <row r="7569">
          <cell r="E7569" t="str">
            <v>LUC-EZZ-400621-00</v>
          </cell>
          <cell r="F7569">
            <v>456705025340</v>
          </cell>
        </row>
        <row r="7570">
          <cell r="E7570" t="str">
            <v>LUC-EZZ-400621-00</v>
          </cell>
          <cell r="F7570">
            <v>456705025340</v>
          </cell>
        </row>
        <row r="7571">
          <cell r="E7571" t="str">
            <v>LUC-EZZ-400621-00</v>
          </cell>
          <cell r="F7571">
            <v>456705025340</v>
          </cell>
        </row>
        <row r="7572">
          <cell r="E7572" t="str">
            <v>LUC-EZZ-400621-00</v>
          </cell>
          <cell r="F7572">
            <v>456705025340</v>
          </cell>
        </row>
        <row r="7573">
          <cell r="E7573" t="str">
            <v>LUC-E00-470086-00</v>
          </cell>
          <cell r="F7573">
            <v>459669708550</v>
          </cell>
        </row>
        <row r="7574">
          <cell r="E7574" t="str">
            <v>LUC-E00-470086-00</v>
          </cell>
          <cell r="F7574">
            <v>459669708550</v>
          </cell>
        </row>
        <row r="7575">
          <cell r="E7575" t="str">
            <v>LUC-E00-470086-00</v>
          </cell>
          <cell r="F7575">
            <v>459669708550</v>
          </cell>
        </row>
        <row r="7576">
          <cell r="E7576" t="str">
            <v>LUC-E00-470045-00</v>
          </cell>
          <cell r="F7576">
            <v>459669708550</v>
          </cell>
        </row>
        <row r="7577">
          <cell r="E7577" t="str">
            <v>LUC-E00-470042-00</v>
          </cell>
          <cell r="F7577">
            <v>459669708550</v>
          </cell>
        </row>
        <row r="7578">
          <cell r="E7578" t="str">
            <v>LUC-E00-470039-00</v>
          </cell>
          <cell r="F7578">
            <v>459669708550</v>
          </cell>
        </row>
        <row r="7579">
          <cell r="E7579" t="str">
            <v>LUC-E00-470042-00</v>
          </cell>
          <cell r="F7579">
            <v>459669708550</v>
          </cell>
        </row>
        <row r="7580">
          <cell r="E7580" t="str">
            <v>EF-45130435</v>
          </cell>
          <cell r="F7580">
            <v>459669708550</v>
          </cell>
        </row>
        <row r="7581">
          <cell r="E7581" t="str">
            <v>LUC-E00-470042-00</v>
          </cell>
          <cell r="F7581">
            <v>459669708550</v>
          </cell>
        </row>
        <row r="7582">
          <cell r="E7582" t="str">
            <v>LUC-E00-470042-00</v>
          </cell>
          <cell r="F7582">
            <v>459669708550</v>
          </cell>
        </row>
        <row r="7583">
          <cell r="E7583" t="str">
            <v>EF-45174166</v>
          </cell>
          <cell r="F7583">
            <v>459669708550</v>
          </cell>
        </row>
        <row r="7584">
          <cell r="E7584" t="str">
            <v>EF-45118972</v>
          </cell>
          <cell r="F7584">
            <v>459669708550</v>
          </cell>
        </row>
        <row r="7585">
          <cell r="E7585" t="str">
            <v>LUC-EZZ-510023-00</v>
          </cell>
          <cell r="F7585">
            <v>459669708550</v>
          </cell>
        </row>
        <row r="7586">
          <cell r="E7586" t="str">
            <v>LUC-EZZ-440200-00</v>
          </cell>
          <cell r="F7586">
            <v>459669708550</v>
          </cell>
        </row>
        <row r="7587">
          <cell r="E7587" t="str">
            <v>LUC-E00-470039-00</v>
          </cell>
          <cell r="F7587">
            <v>459669708550</v>
          </cell>
        </row>
        <row r="7588">
          <cell r="E7588" t="str">
            <v>PUR-11-0105-04</v>
          </cell>
          <cell r="F7588" t="str">
            <v>AS254424</v>
          </cell>
        </row>
        <row r="7589">
          <cell r="E7589" t="str">
            <v>PUR-11-0105-04</v>
          </cell>
          <cell r="F7589" t="str">
            <v>AS254424</v>
          </cell>
        </row>
        <row r="7590">
          <cell r="E7590" t="str">
            <v>PUR-11-0105-04</v>
          </cell>
          <cell r="F7590" t="str">
            <v>AS254424</v>
          </cell>
        </row>
        <row r="7591">
          <cell r="E7591" t="str">
            <v>PUR-11-0105-04</v>
          </cell>
          <cell r="F7591" t="str">
            <v>AS254424</v>
          </cell>
        </row>
        <row r="7592">
          <cell r="E7592" t="str">
            <v>EF-45126672</v>
          </cell>
          <cell r="F7592">
            <v>412069739717</v>
          </cell>
        </row>
        <row r="7593">
          <cell r="E7593" t="str">
            <v>EF-45111902</v>
          </cell>
          <cell r="F7593">
            <v>412069739717</v>
          </cell>
        </row>
        <row r="7594">
          <cell r="E7594" t="str">
            <v>EF-45042452</v>
          </cell>
          <cell r="F7594">
            <v>412069739717</v>
          </cell>
        </row>
        <row r="7595">
          <cell r="E7595" t="str">
            <v>PUR-09-0294-00</v>
          </cell>
          <cell r="F7595">
            <v>289259763755</v>
          </cell>
        </row>
        <row r="7596">
          <cell r="E7596" t="str">
            <v>PUR-09-0294-00</v>
          </cell>
          <cell r="F7596">
            <v>289259763755</v>
          </cell>
        </row>
        <row r="7597">
          <cell r="E7597" t="str">
            <v>PUR-09-0294-00</v>
          </cell>
          <cell r="F7597">
            <v>289259763755</v>
          </cell>
        </row>
        <row r="7598">
          <cell r="E7598" t="str">
            <v>EF-45134746</v>
          </cell>
          <cell r="F7598">
            <v>456450629277</v>
          </cell>
        </row>
        <row r="7599">
          <cell r="E7599" t="str">
            <v>EF-45130606</v>
          </cell>
          <cell r="F7599">
            <v>289217547139</v>
          </cell>
        </row>
        <row r="7600">
          <cell r="E7600" t="str">
            <v>PUR-24-0028-00</v>
          </cell>
          <cell r="F7600">
            <v>461217518617</v>
          </cell>
        </row>
        <row r="7601">
          <cell r="E7601" t="str">
            <v>PUR-09-0346-00</v>
          </cell>
          <cell r="F7601">
            <v>461217518617</v>
          </cell>
        </row>
        <row r="7602">
          <cell r="E7602" t="str">
            <v>EF-45120874.X.X</v>
          </cell>
          <cell r="F7602">
            <v>461217518617</v>
          </cell>
        </row>
        <row r="7603">
          <cell r="E7603" t="str">
            <v>PUR-09-0424-00</v>
          </cell>
          <cell r="F7603">
            <v>461217518617</v>
          </cell>
        </row>
        <row r="7604">
          <cell r="E7604" t="str">
            <v>PUR-09-0346-00</v>
          </cell>
          <cell r="F7604">
            <v>461217518617</v>
          </cell>
        </row>
        <row r="7605">
          <cell r="E7605" t="str">
            <v>PUR-09-0267-00</v>
          </cell>
          <cell r="F7605">
            <v>461217518617</v>
          </cell>
        </row>
        <row r="7606">
          <cell r="E7606" t="str">
            <v>LUC-E00-420071-00</v>
          </cell>
          <cell r="F7606">
            <v>461217518617</v>
          </cell>
        </row>
        <row r="7607">
          <cell r="E7607" t="str">
            <v>PUR-09-0424-00</v>
          </cell>
          <cell r="F7607">
            <v>461217518617</v>
          </cell>
        </row>
        <row r="7608">
          <cell r="E7608" t="str">
            <v>PUR-03-0082-02</v>
          </cell>
          <cell r="F7608">
            <v>461109674505</v>
          </cell>
        </row>
        <row r="7609">
          <cell r="E7609" t="str">
            <v>EF-45130963</v>
          </cell>
          <cell r="F7609">
            <v>289350838400</v>
          </cell>
        </row>
        <row r="7610">
          <cell r="E7610" t="str">
            <v>EF-45050183</v>
          </cell>
          <cell r="F7610">
            <v>419341554538</v>
          </cell>
        </row>
        <row r="7611">
          <cell r="E7611" t="str">
            <v>EF-45047914.X.X</v>
          </cell>
          <cell r="F7611">
            <v>419341554538</v>
          </cell>
        </row>
        <row r="7612">
          <cell r="E7612" t="str">
            <v>EF-45016922</v>
          </cell>
          <cell r="F7612">
            <v>419341554538</v>
          </cell>
        </row>
        <row r="7613">
          <cell r="E7613" t="str">
            <v>EF-45037442.X.X</v>
          </cell>
          <cell r="F7613">
            <v>419341554538</v>
          </cell>
        </row>
        <row r="7614">
          <cell r="E7614" t="str">
            <v>EF-45060929</v>
          </cell>
          <cell r="F7614">
            <v>419341554538</v>
          </cell>
        </row>
        <row r="7615">
          <cell r="E7615" t="str">
            <v>LUC-EZZ-400234-00</v>
          </cell>
          <cell r="F7615">
            <v>409298787151</v>
          </cell>
        </row>
        <row r="7616">
          <cell r="E7616" t="str">
            <v>LUC-EZZ-400609-00</v>
          </cell>
          <cell r="F7616">
            <v>409298787151</v>
          </cell>
        </row>
        <row r="7617">
          <cell r="E7617" t="str">
            <v>EF-45046948.X.X</v>
          </cell>
          <cell r="F7617">
            <v>409298787151</v>
          </cell>
        </row>
        <row r="7618">
          <cell r="E7618" t="str">
            <v>EF-45046948.X.X</v>
          </cell>
          <cell r="F7618">
            <v>409298787151</v>
          </cell>
        </row>
        <row r="7619">
          <cell r="E7619" t="str">
            <v>EF-45046948.X.X</v>
          </cell>
          <cell r="F7619">
            <v>409298787151</v>
          </cell>
        </row>
        <row r="7620">
          <cell r="E7620" t="str">
            <v>EF-45033211</v>
          </cell>
          <cell r="F7620">
            <v>409298787151</v>
          </cell>
        </row>
        <row r="7621">
          <cell r="E7621" t="str">
            <v>PUR-12-0470-00</v>
          </cell>
          <cell r="F7621">
            <v>409298787151</v>
          </cell>
        </row>
        <row r="7622">
          <cell r="E7622" t="str">
            <v>HLOB-12-0472-00</v>
          </cell>
          <cell r="F7622">
            <v>409298787151</v>
          </cell>
        </row>
        <row r="7623">
          <cell r="E7623" t="str">
            <v>HLOB-12-0467-00</v>
          </cell>
          <cell r="F7623">
            <v>409298787151</v>
          </cell>
        </row>
        <row r="7624">
          <cell r="E7624" t="str">
            <v>LUC-EZZ-420175-00</v>
          </cell>
          <cell r="F7624">
            <v>409298787151</v>
          </cell>
        </row>
        <row r="7625">
          <cell r="E7625" t="str">
            <v>LUC-EZZ-420175-00</v>
          </cell>
          <cell r="F7625">
            <v>409298787151</v>
          </cell>
        </row>
        <row r="7626">
          <cell r="E7626" t="str">
            <v>LUC-EZZ-420188-00</v>
          </cell>
          <cell r="F7626">
            <v>409298787151</v>
          </cell>
        </row>
        <row r="7627">
          <cell r="E7627" t="str">
            <v>LUC-EZZ-420188-00</v>
          </cell>
          <cell r="F7627">
            <v>409298787151</v>
          </cell>
        </row>
        <row r="7628">
          <cell r="E7628" t="str">
            <v>PUR-12-0472-00</v>
          </cell>
          <cell r="F7628">
            <v>409298787151</v>
          </cell>
        </row>
        <row r="7629">
          <cell r="E7629" t="str">
            <v>LUC-E00-400010-004</v>
          </cell>
          <cell r="F7629">
            <v>409298787151</v>
          </cell>
        </row>
        <row r="7630">
          <cell r="E7630" t="str">
            <v>LUC-E00-420002-09</v>
          </cell>
          <cell r="F7630">
            <v>409298787151</v>
          </cell>
        </row>
        <row r="7631">
          <cell r="E7631" t="str">
            <v>LUC-EZZ-420179-00</v>
          </cell>
          <cell r="F7631">
            <v>409298787151</v>
          </cell>
        </row>
        <row r="7632">
          <cell r="E7632" t="str">
            <v>LUC-EZZ-420179-00</v>
          </cell>
          <cell r="F7632">
            <v>409298787151</v>
          </cell>
        </row>
        <row r="7633">
          <cell r="E7633" t="str">
            <v>EF-45149057</v>
          </cell>
          <cell r="F7633">
            <v>119209602492</v>
          </cell>
        </row>
        <row r="7634">
          <cell r="E7634" t="str">
            <v>PURET-24-0002-00</v>
          </cell>
          <cell r="F7634">
            <v>119209602492</v>
          </cell>
        </row>
        <row r="7635">
          <cell r="E7635" t="str">
            <v>PUR-24-0028-00</v>
          </cell>
          <cell r="F7635">
            <v>119209602492</v>
          </cell>
        </row>
        <row r="7636">
          <cell r="E7636" t="str">
            <v>AGI-410-50002-01</v>
          </cell>
          <cell r="F7636">
            <v>119209602492</v>
          </cell>
        </row>
        <row r="7637">
          <cell r="E7637" t="str">
            <v>AGI-410-50002-01</v>
          </cell>
          <cell r="F7637">
            <v>119209602492</v>
          </cell>
        </row>
        <row r="7638">
          <cell r="E7638" t="str">
            <v>EF-45108860</v>
          </cell>
          <cell r="F7638">
            <v>119209602492</v>
          </cell>
        </row>
        <row r="7639">
          <cell r="E7639" t="str">
            <v>LUC-E00-470432-00</v>
          </cell>
          <cell r="F7639">
            <v>119209602492</v>
          </cell>
        </row>
        <row r="7640">
          <cell r="E7640" t="str">
            <v>PUR-14-0087-00</v>
          </cell>
          <cell r="F7640">
            <v>119209602492</v>
          </cell>
        </row>
        <row r="7641">
          <cell r="E7641" t="str">
            <v>122-000035.X.X</v>
          </cell>
          <cell r="F7641">
            <v>119209602492</v>
          </cell>
        </row>
        <row r="7642">
          <cell r="E7642" t="str">
            <v>LUC-E00-400010-009</v>
          </cell>
          <cell r="F7642">
            <v>119209602492</v>
          </cell>
        </row>
        <row r="7643">
          <cell r="E7643" t="str">
            <v>EF-45059481.X.X</v>
          </cell>
          <cell r="F7643">
            <v>119209602492</v>
          </cell>
        </row>
        <row r="7644">
          <cell r="E7644" t="str">
            <v>PUR-09-0427-00</v>
          </cell>
          <cell r="F7644">
            <v>119209602492</v>
          </cell>
        </row>
        <row r="7645">
          <cell r="E7645" t="str">
            <v>EF-45130942</v>
          </cell>
          <cell r="F7645">
            <v>7512562002</v>
          </cell>
        </row>
        <row r="7646">
          <cell r="E7646" t="str">
            <v>LUC-EZZ-690131-00</v>
          </cell>
          <cell r="F7646">
            <v>4110325149</v>
          </cell>
        </row>
        <row r="7647">
          <cell r="E7647" t="str">
            <v>EF-45112739</v>
          </cell>
          <cell r="F7647">
            <v>289285010278</v>
          </cell>
        </row>
        <row r="7648">
          <cell r="E7648" t="str">
            <v>PUR-09-0294-00</v>
          </cell>
          <cell r="F7648">
            <v>289285010278</v>
          </cell>
        </row>
        <row r="7649">
          <cell r="E7649" t="str">
            <v>PUR-09-0294-00</v>
          </cell>
          <cell r="F7649">
            <v>289285010278</v>
          </cell>
        </row>
        <row r="7650">
          <cell r="E7650" t="str">
            <v>EF-45040767.X.X</v>
          </cell>
          <cell r="F7650">
            <v>289285010278</v>
          </cell>
        </row>
        <row r="7651">
          <cell r="E7651" t="str">
            <v>LUC-E00-470121-01</v>
          </cell>
          <cell r="F7651">
            <v>289285010278</v>
          </cell>
        </row>
        <row r="7652">
          <cell r="E7652" t="str">
            <v>EF-45134746</v>
          </cell>
          <cell r="F7652">
            <v>456450635971</v>
          </cell>
        </row>
        <row r="7653">
          <cell r="E7653" t="str">
            <v>EF-45214741</v>
          </cell>
          <cell r="F7653">
            <v>421194814232</v>
          </cell>
        </row>
        <row r="7654">
          <cell r="E7654" t="str">
            <v>PUR-09-0260-00</v>
          </cell>
          <cell r="F7654">
            <v>421194814232</v>
          </cell>
        </row>
        <row r="7655">
          <cell r="E7655" t="str">
            <v>LUC-E00-400010-008</v>
          </cell>
          <cell r="F7655">
            <v>421194814232</v>
          </cell>
        </row>
        <row r="7656">
          <cell r="E7656" t="str">
            <v>LUC-E00-400010-010</v>
          </cell>
          <cell r="F7656">
            <v>421194814232</v>
          </cell>
        </row>
        <row r="7657">
          <cell r="E7657" t="str">
            <v>LUC-E00-420235-00</v>
          </cell>
          <cell r="F7657">
            <v>421194814232</v>
          </cell>
        </row>
        <row r="7658">
          <cell r="E7658" t="str">
            <v>AIC-MP-00005772-000</v>
          </cell>
          <cell r="F7658">
            <v>421194814232</v>
          </cell>
        </row>
        <row r="7659">
          <cell r="E7659" t="str">
            <v>AIC-MP-00000247-000</v>
          </cell>
          <cell r="F7659">
            <v>421194814232</v>
          </cell>
        </row>
        <row r="7660">
          <cell r="E7660" t="str">
            <v>EF-45037085.X.X</v>
          </cell>
          <cell r="F7660">
            <v>421194814232</v>
          </cell>
        </row>
        <row r="7661">
          <cell r="E7661" t="str">
            <v>AIC-MP-IC000856-S01</v>
          </cell>
          <cell r="F7661">
            <v>421194814232</v>
          </cell>
        </row>
        <row r="7662">
          <cell r="E7662" t="str">
            <v>AIC-MP-IC006506-S01</v>
          </cell>
          <cell r="F7662">
            <v>421194814232</v>
          </cell>
        </row>
        <row r="7663">
          <cell r="E7663" t="str">
            <v>AIC-MP-CP005744-S01</v>
          </cell>
          <cell r="F7663">
            <v>421194814232</v>
          </cell>
        </row>
        <row r="7664">
          <cell r="E7664" t="str">
            <v>EF-45051531.X.X</v>
          </cell>
          <cell r="F7664">
            <v>421194814232</v>
          </cell>
        </row>
        <row r="7665">
          <cell r="E7665" t="str">
            <v>AIC-122-004367</v>
          </cell>
          <cell r="F7665">
            <v>421194814232</v>
          </cell>
        </row>
        <row r="7666">
          <cell r="E7666" t="str">
            <v>121-000854.X.X</v>
          </cell>
          <cell r="F7666">
            <v>421194814232</v>
          </cell>
        </row>
        <row r="7667">
          <cell r="E7667" t="str">
            <v>LUC-EZZ-450113-00</v>
          </cell>
          <cell r="F7667">
            <v>1016447891</v>
          </cell>
        </row>
        <row r="7668">
          <cell r="E7668" t="str">
            <v>LUC-EZZ-450113-00</v>
          </cell>
          <cell r="F7668">
            <v>1016447891</v>
          </cell>
        </row>
        <row r="7669">
          <cell r="E7669" t="str">
            <v>LUC-EZZ-450113-00</v>
          </cell>
          <cell r="F7669">
            <v>1016447891</v>
          </cell>
        </row>
        <row r="7670">
          <cell r="E7670" t="str">
            <v>LUC-EZZ-400594-00</v>
          </cell>
          <cell r="F7670">
            <v>1016447891</v>
          </cell>
        </row>
        <row r="7671">
          <cell r="E7671" t="str">
            <v>LUC-EZZ-450112-00</v>
          </cell>
          <cell r="F7671">
            <v>1016447891</v>
          </cell>
        </row>
        <row r="7672">
          <cell r="E7672" t="str">
            <v>LUC-EZZ-450112-00</v>
          </cell>
          <cell r="F7672">
            <v>1016447891</v>
          </cell>
        </row>
        <row r="7673">
          <cell r="E7673" t="str">
            <v>LUC-EZZ-450112-00</v>
          </cell>
          <cell r="F7673">
            <v>1016447891</v>
          </cell>
        </row>
        <row r="7674">
          <cell r="E7674" t="str">
            <v>EF-45124870</v>
          </cell>
          <cell r="F7674">
            <v>1016447891</v>
          </cell>
        </row>
        <row r="7675">
          <cell r="E7675" t="str">
            <v>LUC-EZZ-420110-00</v>
          </cell>
          <cell r="F7675">
            <v>1016447891</v>
          </cell>
        </row>
        <row r="7676">
          <cell r="E7676" t="str">
            <v>LUC-E00-420116-01</v>
          </cell>
          <cell r="F7676">
            <v>1016447891</v>
          </cell>
        </row>
        <row r="7677">
          <cell r="E7677" t="str">
            <v>LUC-EZZ-510014-00</v>
          </cell>
          <cell r="F7677">
            <v>1016447891</v>
          </cell>
        </row>
        <row r="7678">
          <cell r="E7678" t="str">
            <v>LUC-E00-470047-00</v>
          </cell>
          <cell r="F7678">
            <v>1016447891</v>
          </cell>
        </row>
        <row r="7679">
          <cell r="E7679" t="str">
            <v>LUC-E00-470047-00</v>
          </cell>
          <cell r="F7679">
            <v>1016447891</v>
          </cell>
        </row>
        <row r="7680">
          <cell r="E7680" t="str">
            <v>LUC-E00-470047-00</v>
          </cell>
          <cell r="F7680">
            <v>1016447891</v>
          </cell>
        </row>
        <row r="7681">
          <cell r="E7681" t="str">
            <v>LUC-E00-420050-00</v>
          </cell>
          <cell r="F7681">
            <v>1016447891</v>
          </cell>
        </row>
        <row r="7682">
          <cell r="E7682" t="str">
            <v>LUC-E00-510031-00</v>
          </cell>
          <cell r="F7682">
            <v>1016447891</v>
          </cell>
        </row>
        <row r="7683">
          <cell r="E7683" t="str">
            <v>LUC-EZZ-420014-00</v>
          </cell>
          <cell r="F7683">
            <v>1016447891</v>
          </cell>
        </row>
        <row r="7684">
          <cell r="E7684" t="str">
            <v>LUC-E00-450043-00</v>
          </cell>
          <cell r="F7684">
            <v>1016447891</v>
          </cell>
        </row>
        <row r="7685">
          <cell r="E7685" t="str">
            <v>LUC-E00-450043-00</v>
          </cell>
          <cell r="F7685">
            <v>1016447891</v>
          </cell>
        </row>
        <row r="7686">
          <cell r="E7686" t="str">
            <v>LUC-E00-450043-00</v>
          </cell>
          <cell r="F7686">
            <v>1016447891</v>
          </cell>
        </row>
        <row r="7687">
          <cell r="E7687" t="str">
            <v>LUC-E00-470090-00</v>
          </cell>
          <cell r="F7687">
            <v>1016447891</v>
          </cell>
        </row>
        <row r="7688">
          <cell r="E7688" t="str">
            <v>LUC-E00-510045-00</v>
          </cell>
          <cell r="F7688">
            <v>1016447891</v>
          </cell>
        </row>
        <row r="7689">
          <cell r="E7689" t="str">
            <v>LUC-EZZ-420281-00</v>
          </cell>
          <cell r="F7689">
            <v>1016447891</v>
          </cell>
        </row>
        <row r="7690">
          <cell r="E7690" t="str">
            <v>LUC-E00-420056-00</v>
          </cell>
          <cell r="F7690">
            <v>1016447891</v>
          </cell>
        </row>
        <row r="7691">
          <cell r="E7691" t="str">
            <v>LUC-EZZ-480029-00</v>
          </cell>
          <cell r="F7691">
            <v>1016447891</v>
          </cell>
        </row>
        <row r="7692">
          <cell r="E7692" t="str">
            <v>LUC-EZZ-420172-00</v>
          </cell>
          <cell r="F7692">
            <v>1016447891</v>
          </cell>
        </row>
        <row r="7693">
          <cell r="E7693" t="str">
            <v>LUC-EZZ-450835-00</v>
          </cell>
          <cell r="F7693">
            <v>1016447891</v>
          </cell>
        </row>
        <row r="7694">
          <cell r="E7694" t="str">
            <v>LUC-EZZ-450112-00</v>
          </cell>
          <cell r="F7694">
            <v>1016447891</v>
          </cell>
        </row>
        <row r="7695">
          <cell r="E7695" t="str">
            <v>LUC-EZZ-510014-00</v>
          </cell>
          <cell r="F7695">
            <v>1016447891</v>
          </cell>
        </row>
        <row r="7696">
          <cell r="E7696" t="str">
            <v>LUC-E00-470080-00</v>
          </cell>
          <cell r="F7696">
            <v>1016447891</v>
          </cell>
        </row>
        <row r="7697">
          <cell r="E7697" t="str">
            <v>LUC-EZZ-420136-00</v>
          </cell>
          <cell r="F7697">
            <v>1016447891</v>
          </cell>
        </row>
        <row r="7698">
          <cell r="E7698" t="str">
            <v>LUC-EZZ-450246-00</v>
          </cell>
          <cell r="F7698">
            <v>1016447891</v>
          </cell>
        </row>
        <row r="7699">
          <cell r="E7699" t="str">
            <v>LUC-EZZ-420136-00</v>
          </cell>
          <cell r="F7699">
            <v>1016447891</v>
          </cell>
        </row>
        <row r="7700">
          <cell r="E7700" t="str">
            <v>LUC-EZZ-450246-00</v>
          </cell>
          <cell r="F7700">
            <v>1016447891</v>
          </cell>
        </row>
        <row r="7701">
          <cell r="E7701" t="str">
            <v>LUC-E00-420054-00</v>
          </cell>
          <cell r="F7701">
            <v>1016447891</v>
          </cell>
        </row>
        <row r="7702">
          <cell r="E7702" t="str">
            <v>LUC-E00-420054-00</v>
          </cell>
          <cell r="F7702">
            <v>1016447891</v>
          </cell>
        </row>
        <row r="7703">
          <cell r="E7703" t="str">
            <v>LUC-E00-420054-00</v>
          </cell>
          <cell r="F7703">
            <v>1016447891</v>
          </cell>
        </row>
        <row r="7704">
          <cell r="E7704" t="str">
            <v>LUC-E00-470020-01</v>
          </cell>
          <cell r="F7704">
            <v>1016447891</v>
          </cell>
        </row>
        <row r="7705">
          <cell r="E7705" t="str">
            <v>LUC-E00-470173-00</v>
          </cell>
          <cell r="F7705">
            <v>1016447891</v>
          </cell>
        </row>
        <row r="7706">
          <cell r="E7706" t="str">
            <v>LUC-E00-470318-00</v>
          </cell>
          <cell r="F7706">
            <v>1016447891</v>
          </cell>
        </row>
        <row r="7707">
          <cell r="E7707" t="str">
            <v>LUC-E00-470033-00</v>
          </cell>
          <cell r="F7707">
            <v>1016447891</v>
          </cell>
        </row>
        <row r="7708">
          <cell r="E7708" t="str">
            <v>LUC-E00-470447-00</v>
          </cell>
          <cell r="F7708">
            <v>1016447891</v>
          </cell>
        </row>
        <row r="7709">
          <cell r="E7709" t="str">
            <v>LUC-E00-420054-04</v>
          </cell>
          <cell r="F7709">
            <v>1016447891</v>
          </cell>
        </row>
        <row r="7710">
          <cell r="E7710" t="str">
            <v>LUC-E00-470123-00</v>
          </cell>
          <cell r="F7710">
            <v>1016447891</v>
          </cell>
        </row>
        <row r="7711">
          <cell r="E7711" t="str">
            <v>LUC-E00-420025-05</v>
          </cell>
          <cell r="F7711">
            <v>1016447891</v>
          </cell>
        </row>
        <row r="7712">
          <cell r="E7712" t="str">
            <v>LUC-EZZ-420090-00</v>
          </cell>
          <cell r="F7712">
            <v>1016447891</v>
          </cell>
        </row>
        <row r="7713">
          <cell r="E7713" t="str">
            <v>LUC-E00-460008-00</v>
          </cell>
          <cell r="F7713">
            <v>1016447891</v>
          </cell>
        </row>
        <row r="7714">
          <cell r="E7714" t="str">
            <v>LUC-E00-470361-00</v>
          </cell>
          <cell r="F7714">
            <v>1016447891</v>
          </cell>
        </row>
        <row r="7715">
          <cell r="E7715" t="str">
            <v>LUC-E00-440028-00</v>
          </cell>
          <cell r="F7715">
            <v>1016447891</v>
          </cell>
        </row>
        <row r="7716">
          <cell r="E7716" t="str">
            <v>LUC-E00-450028-00</v>
          </cell>
          <cell r="F7716">
            <v>1016447891</v>
          </cell>
        </row>
        <row r="7717">
          <cell r="E7717" t="str">
            <v>LUC-E00-450028-00</v>
          </cell>
          <cell r="F7717">
            <v>1016447891</v>
          </cell>
        </row>
        <row r="7718">
          <cell r="E7718" t="str">
            <v>LUC-E00-450028-00</v>
          </cell>
          <cell r="F7718">
            <v>1016447891</v>
          </cell>
        </row>
        <row r="7719">
          <cell r="E7719" t="str">
            <v>LUC-E00-450028-00</v>
          </cell>
          <cell r="F7719">
            <v>1016447891</v>
          </cell>
        </row>
        <row r="7720">
          <cell r="E7720" t="str">
            <v>LUC-E00-510064-00</v>
          </cell>
          <cell r="F7720">
            <v>1016447891</v>
          </cell>
        </row>
        <row r="7721">
          <cell r="E7721" t="str">
            <v>LUC-E00-510064-00</v>
          </cell>
          <cell r="F7721">
            <v>1016447891</v>
          </cell>
        </row>
        <row r="7722">
          <cell r="E7722" t="str">
            <v>LUC-E00-510112-00</v>
          </cell>
          <cell r="F7722">
            <v>1016447891</v>
          </cell>
        </row>
        <row r="7723">
          <cell r="E7723" t="str">
            <v>LUC-EZZ-470431-00</v>
          </cell>
          <cell r="F7723">
            <v>1016447891</v>
          </cell>
        </row>
        <row r="7724">
          <cell r="E7724" t="str">
            <v>LUC-EZZ-420172-00</v>
          </cell>
          <cell r="F7724">
            <v>1016447891</v>
          </cell>
        </row>
        <row r="7725">
          <cell r="E7725" t="str">
            <v>LUC-E00-510001-00</v>
          </cell>
          <cell r="F7725">
            <v>1016447891</v>
          </cell>
        </row>
        <row r="7726">
          <cell r="E7726" t="str">
            <v>LUC-E00-510045-00</v>
          </cell>
          <cell r="F7726">
            <v>1016447891</v>
          </cell>
        </row>
        <row r="7727">
          <cell r="E7727" t="str">
            <v>LUC-EZZ-510638-00</v>
          </cell>
          <cell r="F7727">
            <v>1016447891</v>
          </cell>
        </row>
        <row r="7728">
          <cell r="E7728" t="str">
            <v>LUC-EZZ-450112-00</v>
          </cell>
          <cell r="F7728">
            <v>1016447891</v>
          </cell>
        </row>
        <row r="7729">
          <cell r="E7729" t="str">
            <v>LUC-E00-450066-00</v>
          </cell>
          <cell r="F7729">
            <v>1016447891</v>
          </cell>
        </row>
        <row r="7730">
          <cell r="E7730" t="str">
            <v>LUC-E00-510014-00</v>
          </cell>
          <cell r="F7730">
            <v>1016447891</v>
          </cell>
        </row>
        <row r="7731">
          <cell r="E7731" t="str">
            <v>LUC-E00-420056-00</v>
          </cell>
          <cell r="F7731">
            <v>1016447891</v>
          </cell>
        </row>
        <row r="7732">
          <cell r="E7732" t="str">
            <v>LUC-E00-420057-00</v>
          </cell>
          <cell r="F7732">
            <v>1016447891</v>
          </cell>
        </row>
        <row r="7733">
          <cell r="E7733" t="str">
            <v>LUC-E00-420056-00</v>
          </cell>
          <cell r="F7733">
            <v>1016447891</v>
          </cell>
        </row>
        <row r="7734">
          <cell r="E7734" t="str">
            <v>LUC-E00-420057-00</v>
          </cell>
          <cell r="F7734">
            <v>1016447891</v>
          </cell>
        </row>
        <row r="7735">
          <cell r="E7735" t="str">
            <v>LUC-E00-420057-00</v>
          </cell>
          <cell r="F7735">
            <v>1016447891</v>
          </cell>
        </row>
        <row r="7736">
          <cell r="E7736" t="str">
            <v>LUC-E00-400010-035</v>
          </cell>
          <cell r="F7736">
            <v>1016447891</v>
          </cell>
        </row>
        <row r="7737">
          <cell r="E7737" t="str">
            <v>LUC-EZZ-511370-00</v>
          </cell>
          <cell r="F7737">
            <v>1016447891</v>
          </cell>
        </row>
        <row r="7738">
          <cell r="E7738" t="str">
            <v>LUC-EZZ-420174-00</v>
          </cell>
          <cell r="F7738">
            <v>1016447891</v>
          </cell>
        </row>
        <row r="7739">
          <cell r="E7739" t="str">
            <v>LUC-EZZ-400194-00</v>
          </cell>
          <cell r="F7739">
            <v>1016447891</v>
          </cell>
        </row>
        <row r="7740">
          <cell r="E7740" t="str">
            <v>LUC-E00-400010-048</v>
          </cell>
          <cell r="F7740">
            <v>1016447891</v>
          </cell>
        </row>
        <row r="7741">
          <cell r="E7741" t="str">
            <v>LUC-E00-400010-048</v>
          </cell>
          <cell r="F7741">
            <v>1016447891</v>
          </cell>
        </row>
        <row r="7742">
          <cell r="E7742" t="str">
            <v>LUC-E00-480015-01</v>
          </cell>
          <cell r="F7742">
            <v>1016447891</v>
          </cell>
        </row>
        <row r="7743">
          <cell r="E7743" t="str">
            <v>LUC-E00-400044-00</v>
          </cell>
          <cell r="F7743">
            <v>1016447891</v>
          </cell>
        </row>
        <row r="7744">
          <cell r="E7744" t="str">
            <v>LUC-E00-470061-00</v>
          </cell>
          <cell r="F7744">
            <v>1016447891</v>
          </cell>
        </row>
        <row r="7745">
          <cell r="E7745" t="str">
            <v>LUC-E00-470061-00</v>
          </cell>
          <cell r="F7745">
            <v>1016447891</v>
          </cell>
        </row>
        <row r="7746">
          <cell r="E7746" t="str">
            <v>LUC-E00-470301-00</v>
          </cell>
          <cell r="F7746">
            <v>1016447891</v>
          </cell>
        </row>
        <row r="7747">
          <cell r="E7747" t="str">
            <v>LUC-E00-510041-00</v>
          </cell>
          <cell r="F7747">
            <v>1016447891</v>
          </cell>
        </row>
        <row r="7748">
          <cell r="E7748" t="str">
            <v>LUC-E00-510001-00</v>
          </cell>
          <cell r="F7748">
            <v>1016447891</v>
          </cell>
        </row>
        <row r="7749">
          <cell r="E7749" t="str">
            <v>LUC-E00-470379-00</v>
          </cell>
          <cell r="F7749">
            <v>1016447891</v>
          </cell>
        </row>
        <row r="7750">
          <cell r="E7750" t="str">
            <v>LUC-E00-470122-01</v>
          </cell>
          <cell r="F7750">
            <v>1016447891</v>
          </cell>
        </row>
        <row r="7751">
          <cell r="E7751" t="str">
            <v>LUC-E00-470122-01</v>
          </cell>
          <cell r="F7751">
            <v>1016447891</v>
          </cell>
        </row>
        <row r="7752">
          <cell r="E7752" t="str">
            <v>LUC-EZZ-450476-00</v>
          </cell>
          <cell r="F7752">
            <v>1016447891</v>
          </cell>
        </row>
        <row r="7753">
          <cell r="E7753" t="str">
            <v>LUC-EZZ-450476-00</v>
          </cell>
          <cell r="F7753">
            <v>1016447891</v>
          </cell>
        </row>
        <row r="7754">
          <cell r="E7754" t="str">
            <v>LUC-E00-470379-00</v>
          </cell>
          <cell r="F7754">
            <v>1016447891</v>
          </cell>
        </row>
        <row r="7755">
          <cell r="E7755" t="str">
            <v>LUC-E00-450052-00</v>
          </cell>
          <cell r="F7755">
            <v>1016447891</v>
          </cell>
        </row>
        <row r="7756">
          <cell r="E7756" t="str">
            <v>LUC-E00-480006-00</v>
          </cell>
          <cell r="F7756">
            <v>1016447891</v>
          </cell>
        </row>
        <row r="7757">
          <cell r="E7757" t="str">
            <v>LUC-E00-510016-00</v>
          </cell>
          <cell r="F7757">
            <v>1016447891</v>
          </cell>
        </row>
        <row r="7758">
          <cell r="E7758" t="str">
            <v>LUC-E00-510016-00</v>
          </cell>
          <cell r="F7758">
            <v>1016447891</v>
          </cell>
        </row>
        <row r="7759">
          <cell r="E7759" t="str">
            <v>LUC-E00-420019-00</v>
          </cell>
          <cell r="F7759">
            <v>1016447891</v>
          </cell>
        </row>
        <row r="7760">
          <cell r="E7760" t="str">
            <v>LUC-E00-420019-00</v>
          </cell>
          <cell r="F7760">
            <v>1016447891</v>
          </cell>
        </row>
        <row r="7761">
          <cell r="E7761" t="str">
            <v>LUC-E00-420173-00</v>
          </cell>
          <cell r="F7761">
            <v>1016447891</v>
          </cell>
        </row>
        <row r="7762">
          <cell r="E7762" t="str">
            <v>LUC-E00-420054-01</v>
          </cell>
          <cell r="F7762">
            <v>1016447891</v>
          </cell>
        </row>
        <row r="7763">
          <cell r="E7763" t="str">
            <v>LUC-E00-420054-01</v>
          </cell>
          <cell r="F7763">
            <v>1016447891</v>
          </cell>
        </row>
        <row r="7764">
          <cell r="E7764" t="str">
            <v>LUC-E00-420027-03</v>
          </cell>
          <cell r="F7764">
            <v>1016447891</v>
          </cell>
        </row>
        <row r="7765">
          <cell r="E7765" t="str">
            <v>LUC-E00-4700104-00</v>
          </cell>
          <cell r="F7765">
            <v>1016447891</v>
          </cell>
        </row>
        <row r="7766">
          <cell r="E7766" t="str">
            <v>LUC-E00-480006-00</v>
          </cell>
          <cell r="F7766">
            <v>1016447891</v>
          </cell>
        </row>
        <row r="7767">
          <cell r="E7767" t="str">
            <v>LUC-E00-420171-00</v>
          </cell>
          <cell r="F7767">
            <v>1016447891</v>
          </cell>
        </row>
        <row r="7768">
          <cell r="E7768" t="str">
            <v>LUC-E00-450026-00</v>
          </cell>
          <cell r="F7768">
            <v>1016447891</v>
          </cell>
        </row>
        <row r="7769">
          <cell r="E7769" t="str">
            <v>LUC-E00-450026-00</v>
          </cell>
          <cell r="F7769">
            <v>1016447891</v>
          </cell>
        </row>
        <row r="7770">
          <cell r="E7770" t="str">
            <v>LUC-E00-450026-00</v>
          </cell>
          <cell r="F7770">
            <v>1016447891</v>
          </cell>
        </row>
        <row r="7771">
          <cell r="E7771" t="str">
            <v>LUC-E00-450026-00</v>
          </cell>
          <cell r="F7771">
            <v>1016447891</v>
          </cell>
        </row>
        <row r="7772">
          <cell r="E7772" t="str">
            <v>LUC-EZZ-450053-00</v>
          </cell>
          <cell r="F7772">
            <v>1016447891</v>
          </cell>
        </row>
        <row r="7773">
          <cell r="E7773" t="str">
            <v>LUC-EZZ-471023-00</v>
          </cell>
          <cell r="F7773">
            <v>1016447891</v>
          </cell>
        </row>
        <row r="7774">
          <cell r="E7774" t="str">
            <v>LUC-E00-450036-00</v>
          </cell>
          <cell r="F7774">
            <v>1016447891</v>
          </cell>
        </row>
        <row r="7775">
          <cell r="E7775" t="str">
            <v>LUC-EZZ-451368-00</v>
          </cell>
          <cell r="F7775">
            <v>1016447891</v>
          </cell>
        </row>
        <row r="7776">
          <cell r="E7776" t="str">
            <v>LUC-E00-450036-00</v>
          </cell>
          <cell r="F7776">
            <v>1016447891</v>
          </cell>
        </row>
        <row r="7777">
          <cell r="E7777" t="str">
            <v>LUC-E00-440026-00</v>
          </cell>
          <cell r="F7777">
            <v>1016447891</v>
          </cell>
        </row>
        <row r="7778">
          <cell r="E7778" t="str">
            <v>LUC-EZZ-450053-00</v>
          </cell>
          <cell r="F7778">
            <v>1016447891</v>
          </cell>
        </row>
        <row r="7779">
          <cell r="E7779" t="str">
            <v>LUC-E00-450026-00</v>
          </cell>
          <cell r="F7779">
            <v>1016447891</v>
          </cell>
        </row>
        <row r="7780">
          <cell r="E7780" t="str">
            <v>LUC-E00-450026-00</v>
          </cell>
          <cell r="F7780">
            <v>1016447891</v>
          </cell>
        </row>
        <row r="7781">
          <cell r="E7781" t="str">
            <v>LUC-E00-450026-00</v>
          </cell>
          <cell r="F7781">
            <v>1016447891</v>
          </cell>
        </row>
        <row r="7782">
          <cell r="E7782" t="str">
            <v>LUC-EZZ-450053-00</v>
          </cell>
          <cell r="F7782">
            <v>1016447891</v>
          </cell>
        </row>
        <row r="7783">
          <cell r="E7783" t="str">
            <v>PUR-14-0083-00</v>
          </cell>
          <cell r="F7783">
            <v>1016447891</v>
          </cell>
        </row>
        <row r="7784">
          <cell r="E7784" t="str">
            <v>LUC-EZZ-420101-00</v>
          </cell>
          <cell r="F7784">
            <v>1016447891</v>
          </cell>
        </row>
        <row r="7785">
          <cell r="E7785" t="str">
            <v>LUC-E00-510084-00</v>
          </cell>
          <cell r="F7785">
            <v>1016447891</v>
          </cell>
        </row>
        <row r="7786">
          <cell r="E7786" t="str">
            <v>LUC-E00-540004-00</v>
          </cell>
          <cell r="F7786">
            <v>1016447891</v>
          </cell>
        </row>
        <row r="7787">
          <cell r="E7787" t="str">
            <v>LUC-EZZ-480029-00</v>
          </cell>
          <cell r="F7787">
            <v>1016447891</v>
          </cell>
        </row>
        <row r="7788">
          <cell r="E7788" t="str">
            <v>LUC-EZZ-460737-00</v>
          </cell>
          <cell r="F7788">
            <v>1016447891</v>
          </cell>
        </row>
        <row r="7789">
          <cell r="E7789" t="str">
            <v>LUC-EZZ-420102-00</v>
          </cell>
          <cell r="F7789">
            <v>1016447891</v>
          </cell>
        </row>
        <row r="7790">
          <cell r="E7790" t="str">
            <v>LUC-EZZ-420352-00</v>
          </cell>
          <cell r="F7790">
            <v>1016447891</v>
          </cell>
        </row>
        <row r="7791">
          <cell r="E7791" t="str">
            <v>LUC-E00-420037-00</v>
          </cell>
          <cell r="F7791">
            <v>1016447891</v>
          </cell>
        </row>
        <row r="7792">
          <cell r="E7792" t="str">
            <v>LUC-E00-420037-00</v>
          </cell>
          <cell r="F7792">
            <v>1016447891</v>
          </cell>
        </row>
        <row r="7793">
          <cell r="E7793" t="str">
            <v>LUC-E00-420037-00</v>
          </cell>
          <cell r="F7793">
            <v>1016447891</v>
          </cell>
        </row>
        <row r="7794">
          <cell r="E7794" t="str">
            <v>LUC-E00-420037-00</v>
          </cell>
          <cell r="F7794">
            <v>1016447891</v>
          </cell>
        </row>
        <row r="7795">
          <cell r="E7795" t="str">
            <v>LUC-E00-460038-00</v>
          </cell>
          <cell r="F7795">
            <v>1016447891</v>
          </cell>
        </row>
        <row r="7796">
          <cell r="E7796" t="str">
            <v>LUC-E00-510093-00</v>
          </cell>
          <cell r="F7796">
            <v>1016447891</v>
          </cell>
        </row>
        <row r="7797">
          <cell r="E7797" t="str">
            <v>LUC-E00-440097-00</v>
          </cell>
          <cell r="F7797">
            <v>1016447891</v>
          </cell>
        </row>
        <row r="7798">
          <cell r="E7798" t="str">
            <v>LUC-E00-440097-00</v>
          </cell>
          <cell r="F7798">
            <v>1016447891</v>
          </cell>
        </row>
        <row r="7799">
          <cell r="E7799" t="str">
            <v>LUC-EZZ-450113-00</v>
          </cell>
          <cell r="F7799">
            <v>1016447891</v>
          </cell>
        </row>
        <row r="7800">
          <cell r="E7800" t="str">
            <v>LUC-EZZ-450113-00</v>
          </cell>
          <cell r="F7800">
            <v>1016447891</v>
          </cell>
        </row>
        <row r="7801">
          <cell r="E7801" t="str">
            <v>LUC-E00-470059-00</v>
          </cell>
          <cell r="F7801">
            <v>1016447891</v>
          </cell>
        </row>
        <row r="7802">
          <cell r="E7802" t="str">
            <v>LUC-E00-420037-10</v>
          </cell>
          <cell r="F7802">
            <v>1016447891</v>
          </cell>
        </row>
        <row r="7803">
          <cell r="E7803" t="str">
            <v>LUC-E00-480008-00</v>
          </cell>
          <cell r="F7803">
            <v>1016447891</v>
          </cell>
        </row>
        <row r="7804">
          <cell r="E7804" t="str">
            <v>LUC-E00-510066-00</v>
          </cell>
          <cell r="F7804">
            <v>1016447891</v>
          </cell>
        </row>
        <row r="7805">
          <cell r="E7805" t="str">
            <v>LUC-E00-470423-00</v>
          </cell>
          <cell r="F7805">
            <v>1016447891</v>
          </cell>
        </row>
        <row r="7806">
          <cell r="E7806" t="str">
            <v>LUC-EZZ-470696-00</v>
          </cell>
          <cell r="F7806">
            <v>1016447891</v>
          </cell>
        </row>
        <row r="7807">
          <cell r="E7807" t="str">
            <v>LUC-E00-400010-036</v>
          </cell>
          <cell r="F7807">
            <v>1016447891</v>
          </cell>
        </row>
        <row r="7808">
          <cell r="E7808" t="str">
            <v>LUC-E00-420057-01</v>
          </cell>
          <cell r="F7808">
            <v>1016447891</v>
          </cell>
        </row>
        <row r="7809">
          <cell r="E7809" t="str">
            <v>LUC-EZZ-420089-00</v>
          </cell>
          <cell r="F7809">
            <v>1016447891</v>
          </cell>
        </row>
        <row r="7810">
          <cell r="E7810" t="str">
            <v>LUC-EZZ-421706-00</v>
          </cell>
          <cell r="F7810">
            <v>1016447891</v>
          </cell>
        </row>
        <row r="7811">
          <cell r="E7811" t="str">
            <v>LUC-E00-470343-00</v>
          </cell>
          <cell r="F7811">
            <v>1016447891</v>
          </cell>
        </row>
        <row r="7812">
          <cell r="E7812" t="str">
            <v>LUC-EZZ-440169-00</v>
          </cell>
          <cell r="F7812">
            <v>1016447891</v>
          </cell>
        </row>
        <row r="7813">
          <cell r="E7813" t="str">
            <v>LUC-E00-470343-00</v>
          </cell>
          <cell r="F7813">
            <v>1016447891</v>
          </cell>
        </row>
        <row r="7814">
          <cell r="E7814" t="str">
            <v>LUC-E00-510082-00</v>
          </cell>
          <cell r="F7814">
            <v>1016447891</v>
          </cell>
        </row>
        <row r="7815">
          <cell r="E7815" t="str">
            <v>LUC-E00-440028-00</v>
          </cell>
          <cell r="F7815">
            <v>1016447891</v>
          </cell>
        </row>
        <row r="7816">
          <cell r="E7816" t="str">
            <v>LUC-E00-470379-00</v>
          </cell>
          <cell r="F7816">
            <v>1016447891</v>
          </cell>
        </row>
        <row r="7817">
          <cell r="E7817" t="str">
            <v>LUC-E00-420076-00</v>
          </cell>
          <cell r="F7817">
            <v>1016447891</v>
          </cell>
        </row>
        <row r="7818">
          <cell r="E7818" t="str">
            <v>LUC-E00-420076-00</v>
          </cell>
          <cell r="F7818">
            <v>1016447891</v>
          </cell>
        </row>
        <row r="7819">
          <cell r="E7819" t="str">
            <v>LUC-E00-420076-00</v>
          </cell>
          <cell r="F7819">
            <v>1016447891</v>
          </cell>
        </row>
        <row r="7820">
          <cell r="E7820" t="str">
            <v>LUC-E00-510037-00</v>
          </cell>
          <cell r="F7820">
            <v>1016447891</v>
          </cell>
        </row>
        <row r="7821">
          <cell r="E7821" t="str">
            <v>LUC-E00-510037-00</v>
          </cell>
          <cell r="F7821">
            <v>1016447891</v>
          </cell>
        </row>
        <row r="7822">
          <cell r="E7822" t="str">
            <v>HLOB-12-0407-00</v>
          </cell>
          <cell r="F7822">
            <v>1016447891</v>
          </cell>
        </row>
        <row r="7823">
          <cell r="E7823" t="str">
            <v>LUC-E00-420002-10</v>
          </cell>
          <cell r="F7823">
            <v>1016447891</v>
          </cell>
        </row>
        <row r="7824">
          <cell r="E7824" t="str">
            <v>LUC-E00-420002-10</v>
          </cell>
          <cell r="F7824">
            <v>1016447891</v>
          </cell>
        </row>
        <row r="7825">
          <cell r="E7825" t="str">
            <v>LUC-E00-420002-10</v>
          </cell>
          <cell r="F7825">
            <v>1016447891</v>
          </cell>
        </row>
        <row r="7826">
          <cell r="E7826" t="str">
            <v>EF-45166123-9</v>
          </cell>
          <cell r="F7826">
            <v>461596441482</v>
          </cell>
        </row>
        <row r="7827">
          <cell r="E7827" t="str">
            <v>EF-45184614</v>
          </cell>
          <cell r="F7827">
            <v>461596441482</v>
          </cell>
        </row>
        <row r="7828">
          <cell r="E7828" t="str">
            <v>EF-45224584</v>
          </cell>
          <cell r="F7828">
            <v>461596441482</v>
          </cell>
        </row>
        <row r="7829">
          <cell r="E7829" t="str">
            <v>EF-45156843</v>
          </cell>
          <cell r="F7829">
            <v>461596441482</v>
          </cell>
        </row>
        <row r="7830">
          <cell r="E7830" t="str">
            <v>LUC-E00-420050-00</v>
          </cell>
          <cell r="F7830">
            <v>462260219519</v>
          </cell>
        </row>
        <row r="7831">
          <cell r="E7831" t="str">
            <v>LUC-E00-450029-00</v>
          </cell>
          <cell r="F7831">
            <v>462260219519</v>
          </cell>
        </row>
        <row r="7832">
          <cell r="E7832" t="str">
            <v>LUC-EZZ-420399-00</v>
          </cell>
          <cell r="F7832">
            <v>462260219519</v>
          </cell>
        </row>
        <row r="7833">
          <cell r="E7833" t="str">
            <v>AIC-MP-RS007397-S01</v>
          </cell>
          <cell r="F7833">
            <v>462260219519</v>
          </cell>
        </row>
        <row r="7834">
          <cell r="E7834" t="str">
            <v>LUC-E00-510084-00</v>
          </cell>
          <cell r="F7834">
            <v>462260219519</v>
          </cell>
        </row>
        <row r="7835">
          <cell r="E7835" t="str">
            <v>122-000378.X.X</v>
          </cell>
          <cell r="F7835">
            <v>462260219519</v>
          </cell>
        </row>
        <row r="7836">
          <cell r="E7836" t="str">
            <v>LUC-EZZ-400553-00</v>
          </cell>
          <cell r="F7836">
            <v>462260219519</v>
          </cell>
        </row>
        <row r="7837">
          <cell r="E7837" t="str">
            <v>EF-45135159</v>
          </cell>
          <cell r="F7837">
            <v>462260219519</v>
          </cell>
        </row>
        <row r="7838">
          <cell r="E7838" t="str">
            <v>EF-45033295</v>
          </cell>
          <cell r="F7838">
            <v>462260219519</v>
          </cell>
        </row>
        <row r="7839">
          <cell r="E7839" t="str">
            <v>AIC-MP-ID004086-S01</v>
          </cell>
          <cell r="F7839">
            <v>462260219519</v>
          </cell>
        </row>
        <row r="7840">
          <cell r="E7840" t="str">
            <v>LUC-E00-440097-00</v>
          </cell>
          <cell r="F7840">
            <v>429710827822</v>
          </cell>
        </row>
        <row r="7841">
          <cell r="E7841" t="str">
            <v>LUC-E00-420074-00</v>
          </cell>
          <cell r="F7841">
            <v>429710827822</v>
          </cell>
        </row>
        <row r="7842">
          <cell r="E7842" t="str">
            <v>LUC-EZZ-490230-05</v>
          </cell>
          <cell r="F7842">
            <v>1515674</v>
          </cell>
        </row>
        <row r="7843">
          <cell r="E7843" t="str">
            <v>LUC-EZZ-490535-00</v>
          </cell>
          <cell r="F7843">
            <v>1515674</v>
          </cell>
        </row>
        <row r="7844">
          <cell r="E7844" t="str">
            <v>LUC-EZZ-490230-04</v>
          </cell>
          <cell r="F7844">
            <v>1515674</v>
          </cell>
        </row>
        <row r="7845">
          <cell r="E7845" t="str">
            <v>LUC-EZZ-490230-04</v>
          </cell>
          <cell r="F7845">
            <v>1515674</v>
          </cell>
        </row>
        <row r="7846">
          <cell r="E7846" t="str">
            <v>LUC-EZZ-490315-01</v>
          </cell>
          <cell r="F7846">
            <v>1515674</v>
          </cell>
        </row>
        <row r="7847">
          <cell r="E7847" t="str">
            <v>LUC-E00-470024-00</v>
          </cell>
          <cell r="F7847">
            <v>1128717741</v>
          </cell>
        </row>
        <row r="7848">
          <cell r="E7848" t="str">
            <v>HLOB-31-0103-01</v>
          </cell>
          <cell r="F7848" t="str">
            <v>KNQ6</v>
          </cell>
        </row>
        <row r="7849">
          <cell r="E7849" t="str">
            <v>LUC-E00-470028-00</v>
          </cell>
          <cell r="F7849">
            <v>461217534841</v>
          </cell>
        </row>
        <row r="7850">
          <cell r="E7850" t="str">
            <v>PUR-09-0324-00</v>
          </cell>
          <cell r="F7850">
            <v>461217534841</v>
          </cell>
        </row>
        <row r="7851">
          <cell r="E7851" t="str">
            <v>LUC-EZZ-471621-00</v>
          </cell>
          <cell r="F7851">
            <v>461217534841</v>
          </cell>
        </row>
        <row r="7852">
          <cell r="E7852" t="str">
            <v>LUC-E00-460015-00</v>
          </cell>
          <cell r="F7852">
            <v>461217534841</v>
          </cell>
        </row>
        <row r="7853">
          <cell r="E7853" t="str">
            <v>PUR-24-0028-00</v>
          </cell>
          <cell r="F7853">
            <v>461217534841</v>
          </cell>
        </row>
        <row r="7854">
          <cell r="E7854" t="str">
            <v>LUC-E00-470083-00</v>
          </cell>
          <cell r="F7854">
            <v>461217534841</v>
          </cell>
        </row>
        <row r="7855">
          <cell r="E7855" t="str">
            <v>PUR-24-0028-00</v>
          </cell>
          <cell r="F7855">
            <v>461217534841</v>
          </cell>
        </row>
        <row r="7856">
          <cell r="E7856" t="str">
            <v>LUC-E00-470083-00</v>
          </cell>
          <cell r="F7856">
            <v>461217534841</v>
          </cell>
        </row>
        <row r="7857">
          <cell r="E7857" t="str">
            <v>PUR-09-0424-00</v>
          </cell>
          <cell r="F7857">
            <v>461217534841</v>
          </cell>
        </row>
        <row r="7858">
          <cell r="E7858" t="str">
            <v>EF-45091073.X.X</v>
          </cell>
          <cell r="F7858">
            <v>461217534841</v>
          </cell>
        </row>
        <row r="7859">
          <cell r="E7859" t="str">
            <v>LUC-E00-420275-00</v>
          </cell>
          <cell r="F7859">
            <v>434611762272</v>
          </cell>
        </row>
        <row r="7860">
          <cell r="E7860" t="str">
            <v>EF-45094378</v>
          </cell>
          <cell r="F7860">
            <v>434611762272</v>
          </cell>
        </row>
        <row r="7861">
          <cell r="E7861" t="str">
            <v>PUR-13-0147-00</v>
          </cell>
          <cell r="F7861">
            <v>434611762272</v>
          </cell>
        </row>
        <row r="7862">
          <cell r="E7862" t="str">
            <v>PURET-13-0022-00</v>
          </cell>
          <cell r="F7862">
            <v>434611762272</v>
          </cell>
        </row>
        <row r="7863">
          <cell r="E7863" t="str">
            <v>PURET-13-0022-00</v>
          </cell>
          <cell r="F7863">
            <v>434611762272</v>
          </cell>
        </row>
        <row r="7864">
          <cell r="E7864" t="str">
            <v>PURET-13-0022-00</v>
          </cell>
          <cell r="F7864">
            <v>434611762272</v>
          </cell>
        </row>
        <row r="7865">
          <cell r="E7865" t="str">
            <v>PUR-13-0134-00</v>
          </cell>
          <cell r="F7865">
            <v>434611762272</v>
          </cell>
        </row>
        <row r="7866">
          <cell r="E7866" t="str">
            <v>LUC-P00-F193DG-00</v>
          </cell>
          <cell r="F7866">
            <v>881642386610</v>
          </cell>
        </row>
        <row r="7867">
          <cell r="E7867" t="str">
            <v>LUC-P00-F85MDY-00</v>
          </cell>
          <cell r="F7867">
            <v>881642386610</v>
          </cell>
        </row>
        <row r="7868">
          <cell r="E7868" t="str">
            <v>LUC-P00-F85MDY-00</v>
          </cell>
          <cell r="F7868">
            <v>881642386610</v>
          </cell>
        </row>
        <row r="7869">
          <cell r="E7869" t="str">
            <v>LUC-P00-F143AG-00</v>
          </cell>
          <cell r="F7869">
            <v>881642386610</v>
          </cell>
        </row>
        <row r="7870">
          <cell r="E7870" t="str">
            <v>LUC-P00-F143AG-00</v>
          </cell>
          <cell r="F7870">
            <v>881642386610</v>
          </cell>
        </row>
        <row r="7871">
          <cell r="E7871" t="str">
            <v>LUC-P00-F85MDY-00</v>
          </cell>
          <cell r="F7871">
            <v>881642386610</v>
          </cell>
        </row>
        <row r="7872">
          <cell r="E7872" t="str">
            <v>PUR-12-0284-00</v>
          </cell>
          <cell r="F7872">
            <v>881611279410</v>
          </cell>
        </row>
        <row r="7873">
          <cell r="E7873" t="str">
            <v>PUR-12-0284-00</v>
          </cell>
          <cell r="F7873">
            <v>881611279410</v>
          </cell>
        </row>
        <row r="7874">
          <cell r="E7874" t="str">
            <v>PUR-12-0284-00</v>
          </cell>
          <cell r="F7874">
            <v>881611279410</v>
          </cell>
        </row>
        <row r="7875">
          <cell r="E7875" t="str">
            <v>PUR-12-0284-00</v>
          </cell>
          <cell r="F7875">
            <v>881611279410</v>
          </cell>
        </row>
        <row r="7876">
          <cell r="E7876" t="str">
            <v>PUR-12-0284-00</v>
          </cell>
          <cell r="F7876">
            <v>881611279410</v>
          </cell>
        </row>
        <row r="7877">
          <cell r="E7877" t="str">
            <v>AGI-510-40077-01</v>
          </cell>
          <cell r="F7877">
            <v>881611279410</v>
          </cell>
        </row>
        <row r="7878">
          <cell r="E7878" t="str">
            <v>AIC-MP-00004185-000</v>
          </cell>
          <cell r="F7878">
            <v>881613478548</v>
          </cell>
        </row>
        <row r="7879">
          <cell r="E7879" t="str">
            <v>AIC-MP-00004184-000</v>
          </cell>
          <cell r="F7879">
            <v>881613478548</v>
          </cell>
        </row>
        <row r="7880">
          <cell r="E7880" t="str">
            <v>AIC-MP-00000219-000</v>
          </cell>
          <cell r="F7880">
            <v>881613478548</v>
          </cell>
        </row>
        <row r="7881">
          <cell r="E7881" t="str">
            <v>AIC-MP-00000703-000</v>
          </cell>
          <cell r="F7881">
            <v>881613478548</v>
          </cell>
        </row>
        <row r="7882">
          <cell r="E7882" t="str">
            <v>LUC-P11-K2B400-02</v>
          </cell>
          <cell r="F7882">
            <v>881547624928</v>
          </cell>
        </row>
        <row r="7883">
          <cell r="E7883" t="str">
            <v>PUR-14-0086-00</v>
          </cell>
          <cell r="F7883">
            <v>412069739897</v>
          </cell>
        </row>
        <row r="7884">
          <cell r="E7884" t="str">
            <v>PURET-13-0040-00</v>
          </cell>
          <cell r="F7884">
            <v>643036760038</v>
          </cell>
        </row>
        <row r="7885">
          <cell r="E7885" t="str">
            <v>LUC-EZZ-510052-00</v>
          </cell>
          <cell r="F7885">
            <v>458836666260</v>
          </cell>
        </row>
        <row r="7886">
          <cell r="E7886" t="str">
            <v>HLOB-13-0237-00</v>
          </cell>
          <cell r="F7886">
            <v>458836666260</v>
          </cell>
        </row>
        <row r="7887">
          <cell r="E7887" t="str">
            <v>EF-45129267</v>
          </cell>
          <cell r="F7887">
            <v>458836666260</v>
          </cell>
        </row>
        <row r="7888">
          <cell r="E7888" t="str">
            <v>HLOB-27-0028-00</v>
          </cell>
          <cell r="F7888">
            <v>7512561781</v>
          </cell>
        </row>
        <row r="7889">
          <cell r="E7889" t="str">
            <v>LUC-EZZ-420536-00</v>
          </cell>
          <cell r="F7889">
            <v>7512561781</v>
          </cell>
        </row>
        <row r="7890">
          <cell r="E7890" t="str">
            <v>LUC-E00-400047-00</v>
          </cell>
          <cell r="F7890">
            <v>7512561781</v>
          </cell>
        </row>
        <row r="7891">
          <cell r="E7891" t="str">
            <v>LUC-EZZ-400629-00</v>
          </cell>
          <cell r="F7891">
            <v>7512561781</v>
          </cell>
        </row>
        <row r="7892">
          <cell r="E7892" t="str">
            <v>LUC-EZZ-400629-00</v>
          </cell>
          <cell r="F7892">
            <v>7512561781</v>
          </cell>
        </row>
        <row r="7893">
          <cell r="E7893" t="str">
            <v>LUC-E00-400192-00</v>
          </cell>
          <cell r="F7893">
            <v>7512561781</v>
          </cell>
        </row>
        <row r="7894">
          <cell r="E7894" t="str">
            <v>LUC-EZZ-421298-00</v>
          </cell>
          <cell r="F7894">
            <v>7512561781</v>
          </cell>
        </row>
        <row r="7895">
          <cell r="E7895" t="str">
            <v>LUC-EZZ-421298-00</v>
          </cell>
          <cell r="F7895">
            <v>7512561781</v>
          </cell>
        </row>
        <row r="7896">
          <cell r="E7896" t="str">
            <v>LUC-EZZ-420536-00</v>
          </cell>
          <cell r="F7896">
            <v>7512561781</v>
          </cell>
        </row>
        <row r="7897">
          <cell r="E7897" t="str">
            <v>PUR-21-0021-00</v>
          </cell>
          <cell r="F7897">
            <v>7512561781</v>
          </cell>
        </row>
        <row r="7898">
          <cell r="E7898" t="str">
            <v>LUC-E00-400011-004</v>
          </cell>
          <cell r="F7898">
            <v>463107188769</v>
          </cell>
        </row>
        <row r="7899">
          <cell r="E7899" t="str">
            <v>EF-45236388</v>
          </cell>
          <cell r="F7899">
            <v>455383458524</v>
          </cell>
        </row>
        <row r="7900">
          <cell r="E7900" t="str">
            <v>EF-45097272</v>
          </cell>
          <cell r="F7900">
            <v>289225435288</v>
          </cell>
        </row>
        <row r="7901">
          <cell r="E7901" t="str">
            <v>LUC-E00-440043-00</v>
          </cell>
          <cell r="F7901">
            <v>289225435288</v>
          </cell>
        </row>
        <row r="7902">
          <cell r="E7902" t="str">
            <v>EF-45050182.X.X</v>
          </cell>
          <cell r="F7902">
            <v>881612864708</v>
          </cell>
        </row>
        <row r="7903">
          <cell r="E7903" t="str">
            <v>EF-45043446.X.X</v>
          </cell>
          <cell r="F7903">
            <v>881612864708</v>
          </cell>
        </row>
        <row r="7904">
          <cell r="E7904" t="str">
            <v>EF-45041260</v>
          </cell>
          <cell r="F7904">
            <v>881612864708</v>
          </cell>
        </row>
        <row r="7905">
          <cell r="E7905" t="str">
            <v>EF-45109071</v>
          </cell>
          <cell r="F7905">
            <v>881612864708</v>
          </cell>
        </row>
        <row r="7906">
          <cell r="E7906" t="str">
            <v>121-000022.X.X</v>
          </cell>
          <cell r="F7906">
            <v>881612864708</v>
          </cell>
        </row>
        <row r="7907">
          <cell r="E7907" t="str">
            <v>PUR-13-0245-00</v>
          </cell>
          <cell r="F7907">
            <v>881612864708</v>
          </cell>
        </row>
        <row r="7908">
          <cell r="E7908" t="str">
            <v>EF-45083316.X.X</v>
          </cell>
          <cell r="F7908">
            <v>881612864708</v>
          </cell>
        </row>
        <row r="7909">
          <cell r="E7909" t="str">
            <v>PUR-13-0245-00</v>
          </cell>
          <cell r="F7909">
            <v>881612864708</v>
          </cell>
        </row>
        <row r="7910">
          <cell r="E7910" t="str">
            <v>EF-45044048.X.X</v>
          </cell>
          <cell r="F7910">
            <v>881612864708</v>
          </cell>
        </row>
        <row r="7911">
          <cell r="E7911" t="str">
            <v>121-000324.X.X</v>
          </cell>
          <cell r="F7911">
            <v>881612864708</v>
          </cell>
        </row>
        <row r="7912">
          <cell r="E7912" t="str">
            <v>PURET-12-0011-00</v>
          </cell>
          <cell r="F7912">
            <v>881612864708</v>
          </cell>
        </row>
        <row r="7913">
          <cell r="E7913" t="str">
            <v>EF-45127244.X.X</v>
          </cell>
          <cell r="F7913">
            <v>445131399263</v>
          </cell>
        </row>
        <row r="7914">
          <cell r="E7914" t="str">
            <v>EF-45127244.X.X</v>
          </cell>
          <cell r="F7914">
            <v>445131399263</v>
          </cell>
        </row>
        <row r="7915">
          <cell r="E7915" t="str">
            <v>EF-45058084</v>
          </cell>
          <cell r="F7915">
            <v>424005822842</v>
          </cell>
        </row>
        <row r="7916">
          <cell r="E7916" t="str">
            <v>LUC-E00-690157-01</v>
          </cell>
          <cell r="F7916">
            <v>456450633203</v>
          </cell>
        </row>
        <row r="7917">
          <cell r="E7917" t="str">
            <v>LUC-E00-440012-00</v>
          </cell>
          <cell r="F7917">
            <v>742783520706</v>
          </cell>
        </row>
        <row r="7918">
          <cell r="E7918" t="str">
            <v>HLOB-09-0294-00</v>
          </cell>
          <cell r="F7918">
            <v>289341265766</v>
          </cell>
        </row>
        <row r="7919">
          <cell r="E7919" t="str">
            <v>PUR-09-0294-00</v>
          </cell>
          <cell r="F7919">
            <v>289341265766</v>
          </cell>
        </row>
        <row r="7920">
          <cell r="E7920" t="str">
            <v>LUC-EZZ-470421-00</v>
          </cell>
          <cell r="F7920">
            <v>289341265766</v>
          </cell>
        </row>
        <row r="7921">
          <cell r="E7921" t="str">
            <v>EF-45241780</v>
          </cell>
          <cell r="F7921">
            <v>461217511690</v>
          </cell>
        </row>
        <row r="7922">
          <cell r="E7922" t="str">
            <v>HLOB-03-0038-00</v>
          </cell>
          <cell r="F7922">
            <v>461109674310</v>
          </cell>
        </row>
        <row r="7923">
          <cell r="E7923" t="str">
            <v>PUR-03-0082-02</v>
          </cell>
          <cell r="F7923">
            <v>461109714318</v>
          </cell>
        </row>
        <row r="7924">
          <cell r="E7924" t="str">
            <v>PUR-03-0082-02</v>
          </cell>
          <cell r="F7924">
            <v>461109714318</v>
          </cell>
        </row>
        <row r="7925">
          <cell r="E7925" t="str">
            <v>PUR-03-0082-02</v>
          </cell>
          <cell r="F7925">
            <v>461109714318</v>
          </cell>
        </row>
        <row r="7926">
          <cell r="E7926" t="str">
            <v>LUC-E00-690217-01</v>
          </cell>
          <cell r="F7926">
            <v>1016448742</v>
          </cell>
        </row>
        <row r="7927">
          <cell r="E7927" t="str">
            <v>PUR-11-0104-05</v>
          </cell>
          <cell r="F7927" t="str">
            <v>PSHPH2550148</v>
          </cell>
        </row>
        <row r="7928">
          <cell r="E7928" t="str">
            <v>PUR-11-0104-05</v>
          </cell>
          <cell r="F7928" t="str">
            <v>PSHPH2550148</v>
          </cell>
        </row>
        <row r="7929">
          <cell r="E7929" t="str">
            <v>PUR-11-0104-05</v>
          </cell>
          <cell r="F7929" t="str">
            <v>PSHPH2550148</v>
          </cell>
        </row>
        <row r="7930">
          <cell r="E7930" t="str">
            <v>PUR-11-0104-05</v>
          </cell>
          <cell r="F7930" t="str">
            <v>PSHPH2550148</v>
          </cell>
        </row>
        <row r="7931">
          <cell r="E7931" t="str">
            <v>PUR-11-0104-05</v>
          </cell>
          <cell r="F7931" t="str">
            <v>PSHPH2550163</v>
          </cell>
        </row>
        <row r="7932">
          <cell r="E7932" t="str">
            <v>PUR-11-0104-05</v>
          </cell>
          <cell r="F7932" t="str">
            <v>PSHPH2550163</v>
          </cell>
        </row>
        <row r="7933">
          <cell r="E7933" t="str">
            <v>PUR-11-0104-05</v>
          </cell>
          <cell r="F7933" t="str">
            <v>PSHPH2550163</v>
          </cell>
        </row>
        <row r="7934">
          <cell r="E7934" t="str">
            <v>PUR-11-0104-05</v>
          </cell>
          <cell r="F7934" t="str">
            <v>PSHPH2550163</v>
          </cell>
        </row>
        <row r="7935">
          <cell r="E7935" t="str">
            <v>PUR-11-0128-04</v>
          </cell>
          <cell r="F7935" t="str">
            <v>PSHPH2550163</v>
          </cell>
        </row>
        <row r="7936">
          <cell r="E7936" t="str">
            <v>PUR-11-0128-04</v>
          </cell>
          <cell r="F7936" t="str">
            <v>PSHPH2550163</v>
          </cell>
        </row>
        <row r="7937">
          <cell r="E7937" t="str">
            <v>PUR-11-0128-04</v>
          </cell>
          <cell r="F7937" t="str">
            <v>PSHPH2550163</v>
          </cell>
        </row>
        <row r="7938">
          <cell r="E7938" t="str">
            <v>PUR-12-0408-00</v>
          </cell>
          <cell r="F7938">
            <v>423264373583</v>
          </cell>
        </row>
        <row r="7939">
          <cell r="E7939" t="str">
            <v>PUR-12-0475-00</v>
          </cell>
          <cell r="F7939">
            <v>423264373583</v>
          </cell>
        </row>
        <row r="7940">
          <cell r="E7940" t="str">
            <v>PUR-12-0460-00</v>
          </cell>
          <cell r="F7940">
            <v>423264373583</v>
          </cell>
        </row>
        <row r="7941">
          <cell r="E7941" t="str">
            <v>PUR-13-0212-00</v>
          </cell>
          <cell r="F7941">
            <v>423264373583</v>
          </cell>
        </row>
        <row r="7942">
          <cell r="E7942" t="str">
            <v>HLOB-12-0304-00</v>
          </cell>
          <cell r="F7942">
            <v>423264373583</v>
          </cell>
        </row>
        <row r="7943">
          <cell r="E7943" t="str">
            <v>PUR-13-0215-00</v>
          </cell>
          <cell r="F7943">
            <v>423264373583</v>
          </cell>
        </row>
        <row r="7944">
          <cell r="E7944" t="str">
            <v>HLOB-13-0001-00</v>
          </cell>
          <cell r="F7944">
            <v>423264373583</v>
          </cell>
        </row>
        <row r="7945">
          <cell r="E7945" t="str">
            <v>HLOB-13-0001-00</v>
          </cell>
          <cell r="F7945">
            <v>423264373583</v>
          </cell>
        </row>
        <row r="7946">
          <cell r="E7946" t="str">
            <v>PUR-12-0314-00</v>
          </cell>
          <cell r="F7946">
            <v>423264373583</v>
          </cell>
        </row>
        <row r="7947">
          <cell r="E7947" t="str">
            <v>HLOB-09-0408-00</v>
          </cell>
          <cell r="F7947">
            <v>421908665970</v>
          </cell>
        </row>
        <row r="7948">
          <cell r="E7948" t="str">
            <v>AIC-MP-00000271-000</v>
          </cell>
          <cell r="F7948">
            <v>881729405051</v>
          </cell>
        </row>
        <row r="7949">
          <cell r="E7949" t="str">
            <v>LUC-E00-470116-00</v>
          </cell>
          <cell r="F7949">
            <v>455383459211</v>
          </cell>
        </row>
        <row r="7950">
          <cell r="E7950" t="str">
            <v>LUC-E00-470079-00</v>
          </cell>
          <cell r="F7950">
            <v>455383459211</v>
          </cell>
        </row>
        <row r="7951">
          <cell r="E7951" t="str">
            <v>EF-45225061</v>
          </cell>
          <cell r="F7951">
            <v>455383459211</v>
          </cell>
        </row>
        <row r="7952">
          <cell r="E7952" t="str">
            <v>PUR-07-0328-00</v>
          </cell>
          <cell r="F7952">
            <v>454593977074</v>
          </cell>
        </row>
        <row r="7953">
          <cell r="E7953" t="str">
            <v>EF-45130938</v>
          </cell>
          <cell r="F7953">
            <v>289317855436</v>
          </cell>
        </row>
        <row r="7954">
          <cell r="E7954" t="str">
            <v>LUC-EZZ-470242-00</v>
          </cell>
          <cell r="F7954">
            <v>457575600546</v>
          </cell>
        </row>
        <row r="7955">
          <cell r="E7955" t="str">
            <v>PURC-11-0136-01</v>
          </cell>
          <cell r="F7955">
            <v>881687861800</v>
          </cell>
        </row>
        <row r="7956">
          <cell r="E7956" t="str">
            <v>AIC-MP-00006485-000</v>
          </cell>
          <cell r="F7956">
            <v>881644787046</v>
          </cell>
        </row>
        <row r="7957">
          <cell r="E7957" t="str">
            <v>LUC-E00-4700103-00</v>
          </cell>
          <cell r="F7957">
            <v>289259158510</v>
          </cell>
        </row>
        <row r="7958">
          <cell r="E7958" t="str">
            <v>PUR-13-0141-00</v>
          </cell>
          <cell r="F7958">
            <v>881641894442</v>
          </cell>
        </row>
        <row r="7959">
          <cell r="E7959" t="str">
            <v>PUR-13-0141-00</v>
          </cell>
          <cell r="F7959">
            <v>881641894442</v>
          </cell>
        </row>
        <row r="7960">
          <cell r="E7960" t="str">
            <v>AIC-134-001630</v>
          </cell>
          <cell r="F7960">
            <v>881576684448</v>
          </cell>
        </row>
        <row r="7961">
          <cell r="E7961" t="str">
            <v>LUC-EZZ-401043-00</v>
          </cell>
          <cell r="F7961">
            <v>881644576135</v>
          </cell>
        </row>
        <row r="7962">
          <cell r="E7962" t="str">
            <v>LUC-EZZ-401043-00</v>
          </cell>
          <cell r="F7962">
            <v>881644576135</v>
          </cell>
        </row>
        <row r="7963">
          <cell r="E7963" t="str">
            <v>LUC-E00-400012-19</v>
          </cell>
          <cell r="F7963">
            <v>881644576135</v>
          </cell>
        </row>
        <row r="7964">
          <cell r="E7964" t="str">
            <v>LUC-EZZ-401043-00</v>
          </cell>
          <cell r="F7964">
            <v>881644576135</v>
          </cell>
        </row>
        <row r="7965">
          <cell r="E7965" t="str">
            <v>HLOB-09-0427-00</v>
          </cell>
          <cell r="F7965">
            <v>881644576135</v>
          </cell>
        </row>
        <row r="7966">
          <cell r="E7966" t="str">
            <v>PUR-09-0427-00</v>
          </cell>
          <cell r="F7966">
            <v>881644576135</v>
          </cell>
        </row>
        <row r="7967">
          <cell r="E7967" t="str">
            <v>HLOB-09-0427-00</v>
          </cell>
          <cell r="F7967">
            <v>881644576135</v>
          </cell>
        </row>
        <row r="7968">
          <cell r="E7968" t="str">
            <v>HLOB-09-0427-00</v>
          </cell>
          <cell r="F7968">
            <v>881644576135</v>
          </cell>
        </row>
        <row r="7969">
          <cell r="E7969" t="str">
            <v>HLOB-09-0427-00</v>
          </cell>
          <cell r="F7969">
            <v>881644576135</v>
          </cell>
        </row>
        <row r="7970">
          <cell r="E7970" t="str">
            <v>HLOB-09-0427-00</v>
          </cell>
          <cell r="F7970">
            <v>881644576135</v>
          </cell>
        </row>
        <row r="7971">
          <cell r="E7971" t="str">
            <v>HLOB-09-0427-00</v>
          </cell>
          <cell r="F7971">
            <v>881644576135</v>
          </cell>
        </row>
        <row r="7972">
          <cell r="E7972" t="str">
            <v>HLOB-09-0427-00</v>
          </cell>
          <cell r="F7972">
            <v>881644576135</v>
          </cell>
        </row>
        <row r="7973">
          <cell r="E7973" t="str">
            <v>PUR-09-0427-00</v>
          </cell>
          <cell r="F7973">
            <v>881644576135</v>
          </cell>
        </row>
        <row r="7974">
          <cell r="E7974" t="str">
            <v>PUR-09-0427-00</v>
          </cell>
          <cell r="F7974">
            <v>881644576135</v>
          </cell>
        </row>
        <row r="7975">
          <cell r="E7975" t="str">
            <v>102-001558</v>
          </cell>
          <cell r="F7975">
            <v>461109680783</v>
          </cell>
        </row>
        <row r="7976">
          <cell r="E7976" t="str">
            <v>102-001558</v>
          </cell>
          <cell r="F7976">
            <v>461109680783</v>
          </cell>
        </row>
        <row r="7977">
          <cell r="E7977" t="str">
            <v>LUC-E00-470109-00</v>
          </cell>
          <cell r="F7977">
            <v>453074935370</v>
          </cell>
        </row>
        <row r="7978">
          <cell r="E7978" t="str">
            <v>LUC-E00-470109-00</v>
          </cell>
          <cell r="F7978">
            <v>453074935370</v>
          </cell>
        </row>
        <row r="7979">
          <cell r="E7979" t="str">
            <v>LUC-E00-690032-00</v>
          </cell>
          <cell r="F7979">
            <v>289198219083</v>
          </cell>
        </row>
        <row r="7980">
          <cell r="E7980" t="str">
            <v xml:space="preserve">	123-001931</v>
          </cell>
          <cell r="F7980">
            <v>817304299561</v>
          </cell>
        </row>
        <row r="7981">
          <cell r="E7981" t="str">
            <v>EF-45130849</v>
          </cell>
          <cell r="F7981">
            <v>289391713870</v>
          </cell>
        </row>
        <row r="7982">
          <cell r="E7982" t="str">
            <v>EF-45130849</v>
          </cell>
          <cell r="F7982">
            <v>289391713870</v>
          </cell>
        </row>
        <row r="7983">
          <cell r="E7983" t="str">
            <v>LUC-E00-470121-01</v>
          </cell>
          <cell r="F7983">
            <v>289391713870</v>
          </cell>
        </row>
        <row r="7984">
          <cell r="E7984" t="str">
            <v>LUC-E00-470121-01</v>
          </cell>
          <cell r="F7984">
            <v>289391713870</v>
          </cell>
        </row>
        <row r="7985">
          <cell r="E7985" t="str">
            <v>PUR-09-0343-00</v>
          </cell>
          <cell r="F7985">
            <v>452730442590</v>
          </cell>
        </row>
        <row r="7986">
          <cell r="E7986" t="str">
            <v>AIC-MP-00000331-000</v>
          </cell>
          <cell r="F7986">
            <v>881723085862</v>
          </cell>
        </row>
        <row r="7987">
          <cell r="E7987" t="str">
            <v>AIC-MP-00004595-000</v>
          </cell>
          <cell r="F7987">
            <v>881723085862</v>
          </cell>
        </row>
        <row r="7988">
          <cell r="E7988" t="str">
            <v>AIC-MP-00004287-000</v>
          </cell>
          <cell r="F7988">
            <v>881723085862</v>
          </cell>
        </row>
        <row r="7989">
          <cell r="E7989" t="str">
            <v>LUC-E00-690010-01</v>
          </cell>
          <cell r="F7989">
            <v>289288367296</v>
          </cell>
        </row>
        <row r="7990">
          <cell r="E7990" t="str">
            <v>LUC-P21-KA3100-00</v>
          </cell>
          <cell r="F7990">
            <v>881756719564</v>
          </cell>
        </row>
        <row r="7991">
          <cell r="E7991" t="str">
            <v>LUC-P21-KA3100-00</v>
          </cell>
          <cell r="F7991">
            <v>881756719564</v>
          </cell>
        </row>
        <row r="7992">
          <cell r="E7992" t="str">
            <v>PUR-14-0087-00</v>
          </cell>
          <cell r="F7992">
            <v>463107243240</v>
          </cell>
        </row>
        <row r="7993">
          <cell r="E7993" t="str">
            <v>PUR-14-0087-00</v>
          </cell>
          <cell r="F7993">
            <v>463107245405</v>
          </cell>
        </row>
        <row r="7994">
          <cell r="E7994" t="str">
            <v>EF-45156109</v>
          </cell>
          <cell r="F7994">
            <v>289342770802</v>
          </cell>
        </row>
        <row r="7995">
          <cell r="E7995" t="str">
            <v>PUR-09-0279-00</v>
          </cell>
          <cell r="F7995">
            <v>463107242553</v>
          </cell>
        </row>
        <row r="7996">
          <cell r="E7996" t="str">
            <v>PUR-09-0279-00</v>
          </cell>
          <cell r="F7996">
            <v>463107242553</v>
          </cell>
        </row>
        <row r="7997">
          <cell r="E7997" t="str">
            <v>PUR-09-0279-00</v>
          </cell>
          <cell r="F7997">
            <v>463107242553</v>
          </cell>
        </row>
        <row r="7998">
          <cell r="E7998" t="str">
            <v>HLOB-24-0031-00</v>
          </cell>
          <cell r="F7998">
            <v>425698932607</v>
          </cell>
        </row>
        <row r="7999">
          <cell r="E7999" t="str">
            <v>LUC-E00-510032-00</v>
          </cell>
          <cell r="F7999">
            <v>425698932607</v>
          </cell>
        </row>
        <row r="8000">
          <cell r="E8000" t="str">
            <v>LUC-E00-690030-03</v>
          </cell>
          <cell r="F8000">
            <v>463107253664</v>
          </cell>
        </row>
        <row r="8001">
          <cell r="E8001" t="str">
            <v>EF-45044114.X.X</v>
          </cell>
          <cell r="F8001">
            <v>3455520935</v>
          </cell>
        </row>
        <row r="8002">
          <cell r="E8002" t="str">
            <v>LUC-EZZ-420151-00</v>
          </cell>
          <cell r="F8002">
            <v>3455520935</v>
          </cell>
        </row>
        <row r="8003">
          <cell r="E8003" t="str">
            <v>EF-45113161</v>
          </cell>
          <cell r="F8003">
            <v>3455520935</v>
          </cell>
        </row>
        <row r="8004">
          <cell r="E8004" t="str">
            <v>LUC-EZZ-460781-00</v>
          </cell>
          <cell r="F8004">
            <v>3455520935</v>
          </cell>
        </row>
        <row r="8005">
          <cell r="E8005" t="str">
            <v>PURET-24-0008-00</v>
          </cell>
          <cell r="F8005">
            <v>3455520935</v>
          </cell>
        </row>
        <row r="8006">
          <cell r="E8006" t="str">
            <v>PURET-12-0257-00</v>
          </cell>
          <cell r="F8006">
            <v>3455520935</v>
          </cell>
        </row>
        <row r="8007">
          <cell r="E8007" t="str">
            <v>PURET-12-0257-00</v>
          </cell>
          <cell r="F8007">
            <v>3455520935</v>
          </cell>
        </row>
        <row r="8008">
          <cell r="E8008" t="str">
            <v>LUC-E00-400049-00</v>
          </cell>
          <cell r="F8008">
            <v>3455520935</v>
          </cell>
        </row>
        <row r="8009">
          <cell r="E8009" t="str">
            <v>EF-45124074</v>
          </cell>
          <cell r="F8009">
            <v>3455520935</v>
          </cell>
        </row>
        <row r="8010">
          <cell r="E8010" t="str">
            <v>LUC-E00-420135-00</v>
          </cell>
          <cell r="F8010">
            <v>3455520935</v>
          </cell>
        </row>
        <row r="8011">
          <cell r="E8011" t="str">
            <v>LUC-E00-420135-00</v>
          </cell>
          <cell r="F8011">
            <v>3455520935</v>
          </cell>
        </row>
        <row r="8012">
          <cell r="E8012" t="str">
            <v>LUC-E00-420135-00</v>
          </cell>
          <cell r="F8012">
            <v>3455520935</v>
          </cell>
        </row>
        <row r="8013">
          <cell r="E8013" t="str">
            <v>LUC-E00-420135-00</v>
          </cell>
          <cell r="F8013">
            <v>3455520935</v>
          </cell>
        </row>
        <row r="8014">
          <cell r="E8014" t="str">
            <v>HLOB-14-0077-00</v>
          </cell>
          <cell r="F8014">
            <v>3455520935</v>
          </cell>
        </row>
        <row r="8015">
          <cell r="E8015" t="str">
            <v>HLOB-14-0077-00</v>
          </cell>
          <cell r="F8015">
            <v>3455520935</v>
          </cell>
        </row>
        <row r="8016">
          <cell r="E8016" t="str">
            <v>PUR-14-0083-00</v>
          </cell>
          <cell r="F8016">
            <v>3455520935</v>
          </cell>
        </row>
        <row r="8017">
          <cell r="E8017" t="str">
            <v>PUR-14-0077-00</v>
          </cell>
          <cell r="F8017">
            <v>3455520935</v>
          </cell>
        </row>
        <row r="8018">
          <cell r="E8018" t="str">
            <v>PUR-14-0083-00</v>
          </cell>
          <cell r="F8018">
            <v>3455520935</v>
          </cell>
        </row>
        <row r="8019">
          <cell r="E8019" t="str">
            <v>PUR-14-0077-00</v>
          </cell>
          <cell r="F8019">
            <v>3455520935</v>
          </cell>
        </row>
        <row r="8020">
          <cell r="E8020" t="str">
            <v>EF-45036465</v>
          </cell>
          <cell r="F8020">
            <v>3455520935</v>
          </cell>
        </row>
        <row r="8021">
          <cell r="E8021" t="str">
            <v>LUC-E00-400069-00</v>
          </cell>
          <cell r="F8021">
            <v>3455520935</v>
          </cell>
        </row>
        <row r="8022">
          <cell r="E8022" t="str">
            <v>LUC-E00-420135-00</v>
          </cell>
          <cell r="F8022">
            <v>3455520935</v>
          </cell>
        </row>
        <row r="8023">
          <cell r="E8023" t="str">
            <v>LUC-E00-420135-00</v>
          </cell>
          <cell r="F8023">
            <v>3455520935</v>
          </cell>
        </row>
        <row r="8024">
          <cell r="E8024" t="str">
            <v>HLOB-14-0077-00</v>
          </cell>
          <cell r="F8024">
            <v>3455520935</v>
          </cell>
        </row>
        <row r="8025">
          <cell r="E8025" t="str">
            <v>LUC-E00-400069-00</v>
          </cell>
          <cell r="F8025">
            <v>3455520935</v>
          </cell>
        </row>
        <row r="8026">
          <cell r="E8026" t="str">
            <v>LUC-E00-400069-00</v>
          </cell>
          <cell r="F8026">
            <v>3455520935</v>
          </cell>
        </row>
        <row r="8027">
          <cell r="E8027" t="str">
            <v>HLOB-14-0077-00</v>
          </cell>
          <cell r="F8027">
            <v>3455520935</v>
          </cell>
        </row>
        <row r="8028">
          <cell r="E8028" t="str">
            <v>PUR-14-0102-00</v>
          </cell>
          <cell r="F8028">
            <v>3455520935</v>
          </cell>
        </row>
        <row r="8029">
          <cell r="E8029" t="str">
            <v>LUC-EZZ-691595-00</v>
          </cell>
          <cell r="F8029">
            <v>4110325291</v>
          </cell>
        </row>
        <row r="8030">
          <cell r="E8030" t="str">
            <v>LUC-E00-690011-00</v>
          </cell>
          <cell r="F8030">
            <v>289370620301</v>
          </cell>
        </row>
        <row r="8031">
          <cell r="E8031" t="str">
            <v>EF-45112739</v>
          </cell>
          <cell r="F8031">
            <v>289478488718</v>
          </cell>
        </row>
        <row r="8032">
          <cell r="E8032" t="str">
            <v>LUC-EZZ-470421-00</v>
          </cell>
          <cell r="F8032">
            <v>289478488718</v>
          </cell>
        </row>
        <row r="8033">
          <cell r="E8033" t="str">
            <v>LUC-EZZ-400231-00</v>
          </cell>
          <cell r="F8033">
            <v>445170429635</v>
          </cell>
        </row>
        <row r="8034">
          <cell r="E8034" t="str">
            <v>EF-45058031</v>
          </cell>
          <cell r="F8034">
            <v>445170426901</v>
          </cell>
        </row>
        <row r="8035">
          <cell r="E8035" t="str">
            <v>PUR-09-0256-00</v>
          </cell>
          <cell r="F8035">
            <v>463107269799</v>
          </cell>
        </row>
        <row r="8036">
          <cell r="E8036" t="str">
            <v>PUR-09-0256-00</v>
          </cell>
          <cell r="F8036">
            <v>463107269799</v>
          </cell>
        </row>
        <row r="8037">
          <cell r="E8037" t="str">
            <v>130-001590</v>
          </cell>
          <cell r="F8037">
            <v>881787482626</v>
          </cell>
        </row>
        <row r="8038">
          <cell r="E8038" t="str">
            <v>LUC-E00-400010-045</v>
          </cell>
          <cell r="F8038">
            <v>463107274857</v>
          </cell>
        </row>
        <row r="8039">
          <cell r="E8039" t="str">
            <v>LUC-EZZ-440204-00</v>
          </cell>
          <cell r="F8039">
            <v>463107274857</v>
          </cell>
        </row>
        <row r="8040">
          <cell r="E8040" t="str">
            <v>PUR-14-0087-00</v>
          </cell>
          <cell r="F8040">
            <v>463107274857</v>
          </cell>
        </row>
        <row r="8041">
          <cell r="E8041" t="str">
            <v>PUR-14-0087-00</v>
          </cell>
          <cell r="F8041">
            <v>463107274857</v>
          </cell>
        </row>
        <row r="8042">
          <cell r="E8042" t="str">
            <v>LUC-E00-470263-00</v>
          </cell>
          <cell r="F8042">
            <v>441659522578</v>
          </cell>
        </row>
        <row r="8043">
          <cell r="E8043" t="str">
            <v>LUC-E00-470263-00</v>
          </cell>
          <cell r="F8043">
            <v>441659522578</v>
          </cell>
        </row>
        <row r="8044">
          <cell r="E8044" t="str">
            <v>LUC-P11-J5R000-05</v>
          </cell>
          <cell r="F8044">
            <v>881816151169</v>
          </cell>
        </row>
        <row r="8045">
          <cell r="E8045" t="str">
            <v>AIC-119-001265</v>
          </cell>
          <cell r="F8045">
            <v>881790473102</v>
          </cell>
        </row>
        <row r="8046">
          <cell r="E8046" t="str">
            <v>EF-45046354</v>
          </cell>
          <cell r="F8046">
            <v>972682025677</v>
          </cell>
        </row>
        <row r="8047">
          <cell r="E8047" t="str">
            <v>AIC-MP-00001790-000</v>
          </cell>
          <cell r="F8047">
            <v>810349344683</v>
          </cell>
        </row>
        <row r="8048">
          <cell r="E8048" t="str">
            <v>AIC-MP-LD006197-S01</v>
          </cell>
          <cell r="F8048">
            <v>810349344683</v>
          </cell>
        </row>
        <row r="8049">
          <cell r="E8049" t="str">
            <v>AIC-120-012786</v>
          </cell>
          <cell r="F8049">
            <v>881787655271</v>
          </cell>
        </row>
        <row r="8050">
          <cell r="E8050" t="str">
            <v>LUC-E00-400010-044</v>
          </cell>
          <cell r="F8050">
            <v>463107262268</v>
          </cell>
        </row>
        <row r="8051">
          <cell r="E8051" t="str">
            <v>LUC-EZZ-400201-00</v>
          </cell>
          <cell r="F8051">
            <v>463107262268</v>
          </cell>
        </row>
        <row r="8052">
          <cell r="E8052" t="str">
            <v>EF-45135145</v>
          </cell>
          <cell r="F8052">
            <v>463107262268</v>
          </cell>
        </row>
        <row r="8053">
          <cell r="E8053" t="str">
            <v>PUR-09-0253-00</v>
          </cell>
          <cell r="F8053">
            <v>463107262268</v>
          </cell>
        </row>
        <row r="8054">
          <cell r="E8054" t="str">
            <v>PUR-25-0012-00</v>
          </cell>
          <cell r="F8054">
            <v>463107262268</v>
          </cell>
        </row>
        <row r="8055">
          <cell r="E8055" t="str">
            <v>LUC-EZZ-450070-00</v>
          </cell>
          <cell r="F8055">
            <v>463107262268</v>
          </cell>
        </row>
        <row r="8056">
          <cell r="E8056" t="str">
            <v>LUC-EZZ-470139-00</v>
          </cell>
          <cell r="F8056">
            <v>463107262268</v>
          </cell>
        </row>
        <row r="8057">
          <cell r="E8057" t="str">
            <v>LUC-EZZ-470433-00</v>
          </cell>
          <cell r="F8057">
            <v>463107262268</v>
          </cell>
        </row>
        <row r="8058">
          <cell r="E8058" t="str">
            <v>LUC-E00-470070-00</v>
          </cell>
          <cell r="F8058">
            <v>463107262268</v>
          </cell>
        </row>
        <row r="8059">
          <cell r="E8059" t="str">
            <v>LUC-EZZ-470181-00</v>
          </cell>
          <cell r="F8059">
            <v>463107262268</v>
          </cell>
        </row>
        <row r="8060">
          <cell r="E8060" t="str">
            <v>LUC-EZZ-400206-00</v>
          </cell>
          <cell r="F8060">
            <v>463107262268</v>
          </cell>
        </row>
        <row r="8061">
          <cell r="E8061" t="str">
            <v>EF-45127606</v>
          </cell>
          <cell r="F8061">
            <v>463107262268</v>
          </cell>
        </row>
        <row r="8062">
          <cell r="E8062" t="str">
            <v>LUC-EZZ-470069-00</v>
          </cell>
          <cell r="F8062">
            <v>463107262268</v>
          </cell>
        </row>
        <row r="8063">
          <cell r="E8063" t="str">
            <v>LUC-EZZ-450070-00</v>
          </cell>
          <cell r="F8063">
            <v>463107262268</v>
          </cell>
        </row>
        <row r="8064">
          <cell r="E8064" t="str">
            <v>LUC-EZZ-450070-00</v>
          </cell>
          <cell r="F8064">
            <v>463107262268</v>
          </cell>
        </row>
        <row r="8065">
          <cell r="E8065" t="str">
            <v>LUC-EZZ-470480-00</v>
          </cell>
          <cell r="F8065">
            <v>463107262268</v>
          </cell>
        </row>
        <row r="8066">
          <cell r="E8066" t="str">
            <v>LUC-E00-460007-00</v>
          </cell>
          <cell r="F8066">
            <v>463107262268</v>
          </cell>
        </row>
        <row r="8067">
          <cell r="E8067" t="str">
            <v>PURET-21-0009-00</v>
          </cell>
          <cell r="F8067">
            <v>463107262268</v>
          </cell>
        </row>
        <row r="8068">
          <cell r="E8068" t="str">
            <v>LUC-E00-470083-00</v>
          </cell>
          <cell r="F8068">
            <v>463107262268</v>
          </cell>
        </row>
        <row r="8069">
          <cell r="E8069" t="str">
            <v>PUR-09-0434-00</v>
          </cell>
          <cell r="F8069">
            <v>463107262268</v>
          </cell>
        </row>
        <row r="8070">
          <cell r="E8070" t="str">
            <v>LUC-E00-470472-00</v>
          </cell>
          <cell r="F8070">
            <v>463107262268</v>
          </cell>
        </row>
        <row r="8071">
          <cell r="E8071" t="str">
            <v>LUC-E00-400010-001</v>
          </cell>
          <cell r="F8071">
            <v>463107262268</v>
          </cell>
        </row>
        <row r="8072">
          <cell r="E8072" t="str">
            <v>HLOB-14-0087-00</v>
          </cell>
          <cell r="F8072">
            <v>463107262268</v>
          </cell>
        </row>
        <row r="8073">
          <cell r="E8073" t="str">
            <v>LUC-EZZ-400331-00</v>
          </cell>
          <cell r="F8073">
            <v>463107262268</v>
          </cell>
        </row>
        <row r="8074">
          <cell r="E8074" t="str">
            <v>EF-45051535</v>
          </cell>
          <cell r="F8074">
            <v>463107262268</v>
          </cell>
        </row>
        <row r="8075">
          <cell r="E8075" t="str">
            <v>HLOB-09-0422-00</v>
          </cell>
          <cell r="F8075">
            <v>463107262268</v>
          </cell>
        </row>
        <row r="8076">
          <cell r="E8076" t="str">
            <v>PUR-09-0213-00</v>
          </cell>
          <cell r="F8076">
            <v>463107262268</v>
          </cell>
        </row>
        <row r="8077">
          <cell r="E8077" t="str">
            <v>LUC-EZZ-400242-00</v>
          </cell>
          <cell r="F8077">
            <v>463107262268</v>
          </cell>
        </row>
        <row r="8078">
          <cell r="E8078" t="str">
            <v>PUR-09-0424-00</v>
          </cell>
          <cell r="F8078">
            <v>463107262268</v>
          </cell>
        </row>
        <row r="8079">
          <cell r="E8079" t="str">
            <v>LUC-EZZ-400264-00</v>
          </cell>
          <cell r="F8079">
            <v>463107262268</v>
          </cell>
        </row>
        <row r="8080">
          <cell r="E8080" t="str">
            <v>LUC-E00-420274-00</v>
          </cell>
          <cell r="F8080">
            <v>463107262268</v>
          </cell>
        </row>
        <row r="8081">
          <cell r="E8081" t="str">
            <v>LUC-EZZ-440127-00</v>
          </cell>
          <cell r="F8081">
            <v>463107262268</v>
          </cell>
        </row>
        <row r="8082">
          <cell r="E8082" t="str">
            <v>LUC-EZZ-470181-00</v>
          </cell>
          <cell r="F8082">
            <v>463107262268</v>
          </cell>
        </row>
        <row r="8083">
          <cell r="E8083" t="str">
            <v>EF-45127606</v>
          </cell>
          <cell r="F8083">
            <v>463107262268</v>
          </cell>
        </row>
        <row r="8084">
          <cell r="E8084" t="str">
            <v>LUC-EZZ-400201-00</v>
          </cell>
          <cell r="F8084">
            <v>463107262268</v>
          </cell>
        </row>
        <row r="8085">
          <cell r="E8085" t="str">
            <v>LUC-EZZ-400201-00</v>
          </cell>
          <cell r="F8085">
            <v>463107262268</v>
          </cell>
        </row>
        <row r="8086">
          <cell r="E8086" t="str">
            <v>EF-45040458</v>
          </cell>
          <cell r="F8086">
            <v>463107262268</v>
          </cell>
        </row>
        <row r="8087">
          <cell r="E8087" t="str">
            <v>LUC-EZZ-470811-00</v>
          </cell>
          <cell r="F8087">
            <v>463107262268</v>
          </cell>
        </row>
        <row r="8088">
          <cell r="E8088" t="str">
            <v>LUC-E00-470043-00</v>
          </cell>
          <cell r="F8088">
            <v>463107262268</v>
          </cell>
        </row>
        <row r="8089">
          <cell r="E8089" t="str">
            <v>EF-45091073.X.X</v>
          </cell>
          <cell r="F8089">
            <v>463107262268</v>
          </cell>
        </row>
        <row r="8090">
          <cell r="E8090" t="str">
            <v>LUC-E00-470043-00</v>
          </cell>
          <cell r="F8090">
            <v>463107262268</v>
          </cell>
        </row>
        <row r="8091">
          <cell r="E8091" t="str">
            <v>LUC-E00-400010-008</v>
          </cell>
          <cell r="F8091">
            <v>463107262268</v>
          </cell>
        </row>
        <row r="8092">
          <cell r="E8092" t="str">
            <v>HLOB-09-0477-00</v>
          </cell>
          <cell r="F8092">
            <v>463107262268</v>
          </cell>
        </row>
        <row r="8093">
          <cell r="E8093" t="str">
            <v>LUC-E00-470071-01</v>
          </cell>
          <cell r="F8093">
            <v>463107262268</v>
          </cell>
        </row>
        <row r="8094">
          <cell r="E8094" t="str">
            <v>PUR-09-0324-00</v>
          </cell>
          <cell r="F8094">
            <v>463107262268</v>
          </cell>
        </row>
        <row r="8095">
          <cell r="E8095" t="str">
            <v>LUC-E00-460007-00</v>
          </cell>
          <cell r="F8095">
            <v>463107262268</v>
          </cell>
        </row>
        <row r="8096">
          <cell r="E8096" t="str">
            <v>PUR-09-0213-00</v>
          </cell>
          <cell r="F8096">
            <v>463107262268</v>
          </cell>
        </row>
        <row r="8097">
          <cell r="E8097" t="str">
            <v>PUR-09-0425-00</v>
          </cell>
          <cell r="F8097">
            <v>463107262268</v>
          </cell>
        </row>
        <row r="8098">
          <cell r="E8098" t="str">
            <v>PUR-09-0213-00</v>
          </cell>
          <cell r="F8098">
            <v>463107262268</v>
          </cell>
        </row>
        <row r="8099">
          <cell r="E8099" t="str">
            <v>PUR-09-0324-00</v>
          </cell>
          <cell r="F8099">
            <v>463107262268</v>
          </cell>
        </row>
        <row r="8100">
          <cell r="E8100" t="str">
            <v>LUC-E00-470030-00</v>
          </cell>
          <cell r="F8100">
            <v>463107262268</v>
          </cell>
        </row>
        <row r="8101">
          <cell r="E8101" t="str">
            <v>LUC-E00-470094-00</v>
          </cell>
          <cell r="F8101">
            <v>463107262268</v>
          </cell>
        </row>
        <row r="8102">
          <cell r="E8102" t="str">
            <v>LUC-EZZ-400223-00</v>
          </cell>
          <cell r="F8102">
            <v>463107262268</v>
          </cell>
        </row>
        <row r="8103">
          <cell r="E8103" t="str">
            <v>EF-45129595</v>
          </cell>
          <cell r="F8103">
            <v>463107262268</v>
          </cell>
        </row>
        <row r="8104">
          <cell r="E8104" t="str">
            <v>LUC-E00-460007-00</v>
          </cell>
          <cell r="F8104">
            <v>463107262268</v>
          </cell>
        </row>
        <row r="8105">
          <cell r="E8105" t="str">
            <v>LUC-E00-470083-00</v>
          </cell>
          <cell r="F8105">
            <v>463107262268</v>
          </cell>
        </row>
        <row r="8106">
          <cell r="E8106" t="str">
            <v>LUC-EZZ-470096-00</v>
          </cell>
          <cell r="F8106">
            <v>463107262268</v>
          </cell>
        </row>
        <row r="8107">
          <cell r="E8107" t="str">
            <v>LUC-EZZ-440166-00</v>
          </cell>
          <cell r="F8107">
            <v>463107262268</v>
          </cell>
        </row>
        <row r="8108">
          <cell r="E8108" t="str">
            <v>EF-45074500.X.X</v>
          </cell>
          <cell r="F8108">
            <v>463107262268</v>
          </cell>
        </row>
        <row r="8109">
          <cell r="E8109" t="str">
            <v>PUR-13-0235-00</v>
          </cell>
          <cell r="F8109">
            <v>463107262268</v>
          </cell>
        </row>
        <row r="8110">
          <cell r="E8110" t="str">
            <v>PUR-09-0213-00</v>
          </cell>
          <cell r="F8110">
            <v>463107262268</v>
          </cell>
        </row>
        <row r="8111">
          <cell r="E8111" t="str">
            <v>LUC-E00-400028-002</v>
          </cell>
          <cell r="F8111">
            <v>463107262268</v>
          </cell>
        </row>
        <row r="8112">
          <cell r="E8112" t="str">
            <v>EF-45061095</v>
          </cell>
          <cell r="F8112">
            <v>463107262268</v>
          </cell>
        </row>
        <row r="8113">
          <cell r="E8113" t="str">
            <v>LUC-E00-470021-00</v>
          </cell>
          <cell r="F8113">
            <v>463107262268</v>
          </cell>
        </row>
        <row r="8114">
          <cell r="E8114" t="str">
            <v>LUC-EZZ-471621-00</v>
          </cell>
          <cell r="F8114">
            <v>463107262268</v>
          </cell>
        </row>
        <row r="8115">
          <cell r="E8115" t="str">
            <v>LUC-E00-400003-43</v>
          </cell>
          <cell r="F8115">
            <v>463107262268</v>
          </cell>
        </row>
        <row r="8116">
          <cell r="E8116" t="str">
            <v>PUR-09-0434-00</v>
          </cell>
          <cell r="F8116">
            <v>463107262268</v>
          </cell>
        </row>
        <row r="8117">
          <cell r="E8117" t="str">
            <v>LUC-EZZ-690131-00</v>
          </cell>
          <cell r="F8117" t="str">
            <v>1Z99Y01Y6771137574</v>
          </cell>
        </row>
        <row r="8118">
          <cell r="E8118" t="str">
            <v>PUR-16-0044-01</v>
          </cell>
          <cell r="F8118" t="str">
            <v>LSZHPH2505866</v>
          </cell>
        </row>
        <row r="8119">
          <cell r="E8119" t="str">
            <v>HLOB-16-0049-01</v>
          </cell>
          <cell r="F8119" t="str">
            <v>LSZHPH2505866</v>
          </cell>
        </row>
        <row r="8120">
          <cell r="E8120" t="str">
            <v>EF-45236387</v>
          </cell>
          <cell r="F8120">
            <v>410797033484</v>
          </cell>
        </row>
        <row r="8121">
          <cell r="E8121" t="str">
            <v>LUC-E00-470110-00</v>
          </cell>
          <cell r="F8121">
            <v>289435303253</v>
          </cell>
        </row>
        <row r="8122">
          <cell r="E8122" t="str">
            <v>LUC-EZZ-470128-00</v>
          </cell>
          <cell r="F8122">
            <v>289517051754</v>
          </cell>
        </row>
        <row r="8123">
          <cell r="E8123" t="str">
            <v>PUR-12-0482-00</v>
          </cell>
          <cell r="F8123">
            <v>881820037154</v>
          </cell>
        </row>
        <row r="8124">
          <cell r="E8124" t="str">
            <v>PUR-09-0422-00</v>
          </cell>
          <cell r="F8124">
            <v>458476639590</v>
          </cell>
        </row>
        <row r="8125">
          <cell r="E8125" t="str">
            <v>EF-45225755</v>
          </cell>
          <cell r="F8125">
            <v>417969472298</v>
          </cell>
        </row>
        <row r="8126">
          <cell r="E8126" t="str">
            <v>EF-45225755</v>
          </cell>
          <cell r="F8126">
            <v>417969472298</v>
          </cell>
        </row>
        <row r="8127">
          <cell r="E8127" t="str">
            <v>EF-45225755</v>
          </cell>
          <cell r="F8127">
            <v>417969472298</v>
          </cell>
        </row>
        <row r="8128">
          <cell r="E8128" t="str">
            <v>AIC-MP-00004287-000</v>
          </cell>
          <cell r="F8128">
            <v>881756773366</v>
          </cell>
        </row>
        <row r="8129">
          <cell r="E8129" t="str">
            <v>AIC-MP-CN007078-S02</v>
          </cell>
          <cell r="F8129">
            <v>881756773366</v>
          </cell>
        </row>
        <row r="8130">
          <cell r="E8130" t="str">
            <v>AIC-MP-CN007082-S01</v>
          </cell>
          <cell r="F8130">
            <v>881756773366</v>
          </cell>
        </row>
        <row r="8131">
          <cell r="E8131" t="str">
            <v>AIC-MP-00007172-000</v>
          </cell>
          <cell r="F8131">
            <v>881756773366</v>
          </cell>
        </row>
        <row r="8132">
          <cell r="E8132" t="str">
            <v>LUC-EZZ-400205-00</v>
          </cell>
          <cell r="F8132">
            <v>412069740240</v>
          </cell>
        </row>
        <row r="8133">
          <cell r="E8133" t="str">
            <v>LUC-EZZ-470241-00</v>
          </cell>
          <cell r="F8133">
            <v>445170429565</v>
          </cell>
        </row>
        <row r="8134">
          <cell r="E8134" t="str">
            <v>PUR-21-0036-00</v>
          </cell>
          <cell r="F8134">
            <v>458836714689</v>
          </cell>
        </row>
        <row r="8135">
          <cell r="E8135" t="str">
            <v>LUC-E00-420072-00</v>
          </cell>
          <cell r="F8135">
            <v>458836714689</v>
          </cell>
        </row>
        <row r="8136">
          <cell r="E8136" t="str">
            <v>LUC-E00-420072-00</v>
          </cell>
          <cell r="F8136">
            <v>458836714689</v>
          </cell>
        </row>
        <row r="8137">
          <cell r="E8137" t="str">
            <v>AIC-122-004367</v>
          </cell>
          <cell r="F8137">
            <v>458836714689</v>
          </cell>
        </row>
        <row r="8138">
          <cell r="E8138" t="str">
            <v>LUC-EZZ-400433-00</v>
          </cell>
          <cell r="F8138">
            <v>445170429771</v>
          </cell>
        </row>
        <row r="8139">
          <cell r="E8139" t="str">
            <v>LUC-EZZ-420091-00</v>
          </cell>
          <cell r="F8139">
            <v>618108343183</v>
          </cell>
        </row>
        <row r="8140">
          <cell r="E8140" t="str">
            <v>LUC-EZZ-421267-00</v>
          </cell>
          <cell r="F8140">
            <v>618108343183</v>
          </cell>
        </row>
        <row r="8141">
          <cell r="E8141" t="str">
            <v>LUC-EZZ-421267-00</v>
          </cell>
          <cell r="F8141">
            <v>618108343183</v>
          </cell>
        </row>
        <row r="8142">
          <cell r="E8142" t="str">
            <v>PUR-09-0434-00</v>
          </cell>
          <cell r="F8142">
            <v>463107295741</v>
          </cell>
        </row>
        <row r="8143">
          <cell r="E8143" t="str">
            <v>PUR-09-0434-00</v>
          </cell>
          <cell r="F8143">
            <v>463107295741</v>
          </cell>
        </row>
        <row r="8144">
          <cell r="E8144" t="str">
            <v>LUC-EZZ-470181-00</v>
          </cell>
          <cell r="F8144">
            <v>463107261695</v>
          </cell>
        </row>
        <row r="8145">
          <cell r="E8145" t="str">
            <v>PUR-09-0434-00</v>
          </cell>
          <cell r="F8145">
            <v>463107300777</v>
          </cell>
        </row>
        <row r="8146">
          <cell r="E8146" t="str">
            <v>AIC-122-004364</v>
          </cell>
          <cell r="F8146">
            <v>643036760597</v>
          </cell>
        </row>
        <row r="8147">
          <cell r="E8147" t="str">
            <v>EF-45205870</v>
          </cell>
          <cell r="F8147">
            <v>881758965311</v>
          </cell>
        </row>
        <row r="8148">
          <cell r="E8148" t="str">
            <v>AIC-MP-00000047-000</v>
          </cell>
          <cell r="F8148">
            <v>463315260453</v>
          </cell>
        </row>
        <row r="8149">
          <cell r="E8149" t="str">
            <v>AIC-MP-00000750-000</v>
          </cell>
          <cell r="F8149">
            <v>463315260453</v>
          </cell>
        </row>
        <row r="8150">
          <cell r="E8150" t="str">
            <v>AIC-MP-00001403-000</v>
          </cell>
          <cell r="F8150">
            <v>463315260453</v>
          </cell>
        </row>
        <row r="8151">
          <cell r="E8151" t="str">
            <v>AIC-MP-00002331-000</v>
          </cell>
          <cell r="F8151">
            <v>463315260453</v>
          </cell>
        </row>
        <row r="8152">
          <cell r="E8152" t="str">
            <v>AIC-MP-00002333-000</v>
          </cell>
          <cell r="F8152">
            <v>463315260453</v>
          </cell>
        </row>
        <row r="8153">
          <cell r="E8153" t="str">
            <v>AIC-MP-00002335-000</v>
          </cell>
          <cell r="F8153">
            <v>463315260453</v>
          </cell>
        </row>
        <row r="8154">
          <cell r="E8154" t="str">
            <v>AIC-MP-00002338-000</v>
          </cell>
          <cell r="F8154">
            <v>463315260453</v>
          </cell>
        </row>
        <row r="8155">
          <cell r="E8155" t="str">
            <v>AIC-MP-00002413-000</v>
          </cell>
          <cell r="F8155">
            <v>463315260453</v>
          </cell>
        </row>
        <row r="8156">
          <cell r="E8156" t="str">
            <v>AIC-MP-00002417-000</v>
          </cell>
          <cell r="F8156">
            <v>463315260453</v>
          </cell>
        </row>
        <row r="8157">
          <cell r="E8157" t="str">
            <v>AIC-MP-00002436-000</v>
          </cell>
          <cell r="F8157">
            <v>463315260453</v>
          </cell>
        </row>
        <row r="8158">
          <cell r="E8158" t="str">
            <v>AIC-MP-00002463-000</v>
          </cell>
          <cell r="F8158">
            <v>463315260453</v>
          </cell>
        </row>
        <row r="8159">
          <cell r="E8159" t="str">
            <v>AIC-MP-00002475-000</v>
          </cell>
          <cell r="F8159">
            <v>463315260453</v>
          </cell>
        </row>
        <row r="8160">
          <cell r="E8160" t="str">
            <v>AIC-MP-00002513-000</v>
          </cell>
          <cell r="F8160">
            <v>463315260453</v>
          </cell>
        </row>
        <row r="8161">
          <cell r="E8161" t="str">
            <v>AIC-MP-00002517-000</v>
          </cell>
          <cell r="F8161">
            <v>463315260453</v>
          </cell>
        </row>
        <row r="8162">
          <cell r="E8162" t="str">
            <v>AIC-MP-00002529-000</v>
          </cell>
          <cell r="F8162">
            <v>463315260453</v>
          </cell>
        </row>
        <row r="8163">
          <cell r="E8163" t="str">
            <v>AIC-MP-00002531-000</v>
          </cell>
          <cell r="F8163">
            <v>463315260453</v>
          </cell>
        </row>
        <row r="8164">
          <cell r="E8164" t="str">
            <v>AIC-MP-00002618-000</v>
          </cell>
          <cell r="F8164">
            <v>463315260453</v>
          </cell>
        </row>
        <row r="8165">
          <cell r="E8165" t="str">
            <v>AIC-MP-00003276-000</v>
          </cell>
          <cell r="F8165">
            <v>463315260453</v>
          </cell>
        </row>
        <row r="8166">
          <cell r="E8166" t="str">
            <v>AIC-MP-00003319-000</v>
          </cell>
          <cell r="F8166">
            <v>463315260453</v>
          </cell>
        </row>
        <row r="8167">
          <cell r="E8167" t="str">
            <v>AIC-MP-00003333-000</v>
          </cell>
          <cell r="F8167">
            <v>463315260453</v>
          </cell>
        </row>
        <row r="8168">
          <cell r="E8168" t="str">
            <v>AIC-MP-00003342-000</v>
          </cell>
          <cell r="F8168">
            <v>463315260453</v>
          </cell>
        </row>
        <row r="8169">
          <cell r="E8169" t="str">
            <v>AIC-MP-00004246-000</v>
          </cell>
          <cell r="F8169">
            <v>463315260453</v>
          </cell>
        </row>
        <row r="8170">
          <cell r="E8170" t="str">
            <v>AIC-MP-00005018-000</v>
          </cell>
          <cell r="F8170">
            <v>463315260453</v>
          </cell>
        </row>
        <row r="8171">
          <cell r="E8171" t="str">
            <v>AIC-MP-00005447-000</v>
          </cell>
          <cell r="F8171">
            <v>463315260453</v>
          </cell>
        </row>
        <row r="8172">
          <cell r="E8172" t="str">
            <v>AIC-MP-00000240-000</v>
          </cell>
          <cell r="F8172">
            <v>463315260453</v>
          </cell>
        </row>
        <row r="8173">
          <cell r="E8173" t="str">
            <v>AIC-MP-IC005391-S01</v>
          </cell>
          <cell r="F8173">
            <v>463315260453</v>
          </cell>
        </row>
        <row r="8174">
          <cell r="E8174" t="str">
            <v>AIC-122-004332</v>
          </cell>
          <cell r="F8174">
            <v>463315260453</v>
          </cell>
        </row>
        <row r="8175">
          <cell r="E8175" t="str">
            <v>121-002262</v>
          </cell>
          <cell r="F8175">
            <v>463315260453</v>
          </cell>
        </row>
        <row r="8176">
          <cell r="E8176" t="str">
            <v>AIC-122-004396</v>
          </cell>
          <cell r="F8176">
            <v>463315260453</v>
          </cell>
        </row>
        <row r="8177">
          <cell r="E8177" t="str">
            <v>AIC-MP-00006746-000</v>
          </cell>
          <cell r="F8177">
            <v>463315260453</v>
          </cell>
        </row>
        <row r="8178">
          <cell r="E8178" t="str">
            <v>AIC-MP-00007005-000</v>
          </cell>
          <cell r="F8178">
            <v>463315260453</v>
          </cell>
        </row>
        <row r="8179">
          <cell r="E8179" t="str">
            <v>122-004370</v>
          </cell>
          <cell r="F8179">
            <v>463315260453</v>
          </cell>
        </row>
        <row r="8180">
          <cell r="E8180" t="str">
            <v>AIC-MP-DE000171-S01</v>
          </cell>
          <cell r="F8180">
            <v>463315260453</v>
          </cell>
        </row>
        <row r="8181">
          <cell r="E8181" t="str">
            <v>PUR-28-0009-00</v>
          </cell>
          <cell r="F8181">
            <v>463315260453</v>
          </cell>
        </row>
        <row r="8182">
          <cell r="E8182" t="str">
            <v>EF-45236356</v>
          </cell>
          <cell r="F8182">
            <v>463315260453</v>
          </cell>
        </row>
        <row r="8183">
          <cell r="E8183" t="str">
            <v>AIC-121-005950</v>
          </cell>
          <cell r="F8183">
            <v>463315260453</v>
          </cell>
        </row>
        <row r="8184">
          <cell r="E8184" t="str">
            <v>AIC-MP-00000240-000</v>
          </cell>
          <cell r="F8184">
            <v>463315260453</v>
          </cell>
        </row>
        <row r="8185">
          <cell r="E8185" t="str">
            <v>AIC-MP-00001112-000</v>
          </cell>
          <cell r="F8185">
            <v>463315260453</v>
          </cell>
        </row>
        <row r="8186">
          <cell r="E8186" t="str">
            <v>AIC-MP-00002365-000</v>
          </cell>
          <cell r="F8186">
            <v>463315260453</v>
          </cell>
        </row>
        <row r="8187">
          <cell r="E8187" t="str">
            <v>AIC-MP-00002513-000</v>
          </cell>
          <cell r="F8187">
            <v>463315260453</v>
          </cell>
        </row>
        <row r="8188">
          <cell r="E8188" t="str">
            <v>AIC-MP-00002519-000</v>
          </cell>
          <cell r="F8188">
            <v>463315260453</v>
          </cell>
        </row>
        <row r="8189">
          <cell r="E8189" t="str">
            <v>126-000282</v>
          </cell>
          <cell r="F8189">
            <v>463315260453</v>
          </cell>
        </row>
        <row r="8190">
          <cell r="E8190" t="str">
            <v>AIC-MP-00005853-000</v>
          </cell>
          <cell r="F8190">
            <v>463315260453</v>
          </cell>
        </row>
        <row r="8191">
          <cell r="E8191" t="str">
            <v>AIC-132-001526</v>
          </cell>
          <cell r="F8191">
            <v>463315260453</v>
          </cell>
        </row>
        <row r="8192">
          <cell r="E8192" t="str">
            <v>AIC-MP-00006881-000</v>
          </cell>
          <cell r="F8192">
            <v>463315260453</v>
          </cell>
        </row>
        <row r="8193">
          <cell r="E8193" t="str">
            <v>LUC-E00-440012-00</v>
          </cell>
          <cell r="F8193">
            <v>409298787806</v>
          </cell>
        </row>
        <row r="8194">
          <cell r="E8194" t="str">
            <v>PUR-12-0472-00</v>
          </cell>
          <cell r="F8194">
            <v>409298787806</v>
          </cell>
        </row>
        <row r="8195">
          <cell r="E8195" t="str">
            <v>LUC-E00-400267-00</v>
          </cell>
          <cell r="F8195">
            <v>409298787806</v>
          </cell>
        </row>
        <row r="8196">
          <cell r="E8196" t="str">
            <v>HLOB-12-0460-00</v>
          </cell>
          <cell r="F8196">
            <v>881792613116</v>
          </cell>
        </row>
        <row r="8197">
          <cell r="E8197" t="str">
            <v>HLOB-12-0460-00</v>
          </cell>
          <cell r="F8197">
            <v>881792613116</v>
          </cell>
        </row>
        <row r="8198">
          <cell r="E8198" t="str">
            <v>HLOB-12-0343-00</v>
          </cell>
          <cell r="F8198">
            <v>881792613116</v>
          </cell>
        </row>
        <row r="8199">
          <cell r="E8199" t="str">
            <v>HLOB-12-0343-00</v>
          </cell>
          <cell r="F8199">
            <v>881792613116</v>
          </cell>
        </row>
        <row r="8200">
          <cell r="E8200" t="str">
            <v>PUR-13-0159-00</v>
          </cell>
          <cell r="F8200">
            <v>881792613116</v>
          </cell>
        </row>
        <row r="8201">
          <cell r="E8201" t="str">
            <v>HLOB-12-0460-00</v>
          </cell>
          <cell r="F8201">
            <v>881792613116</v>
          </cell>
        </row>
        <row r="8202">
          <cell r="E8202" t="str">
            <v>HLOB-12-0460-00</v>
          </cell>
          <cell r="F8202">
            <v>881792613116</v>
          </cell>
        </row>
        <row r="8203">
          <cell r="E8203" t="str">
            <v>PUR-12-0474-00</v>
          </cell>
          <cell r="F8203">
            <v>881792613116</v>
          </cell>
        </row>
        <row r="8204">
          <cell r="E8204" t="str">
            <v>PUR-12-0474-00</v>
          </cell>
          <cell r="F8204">
            <v>881792613116</v>
          </cell>
        </row>
        <row r="8205">
          <cell r="E8205" t="str">
            <v>PURET-12-0011-00</v>
          </cell>
          <cell r="F8205">
            <v>881792613116</v>
          </cell>
        </row>
        <row r="8206">
          <cell r="E8206" t="str">
            <v>HLOB-33-0027-00</v>
          </cell>
          <cell r="F8206">
            <v>881755726239</v>
          </cell>
        </row>
        <row r="8207">
          <cell r="E8207" t="str">
            <v>HLOB-18-0640-00</v>
          </cell>
          <cell r="F8207">
            <v>881755726239</v>
          </cell>
        </row>
        <row r="8208">
          <cell r="E8208" t="str">
            <v>PUR-18-0518-00</v>
          </cell>
          <cell r="F8208">
            <v>881755726239</v>
          </cell>
        </row>
        <row r="8209">
          <cell r="E8209" t="str">
            <v>PUR-18-0581-00</v>
          </cell>
          <cell r="F8209">
            <v>881755726239</v>
          </cell>
        </row>
        <row r="8210">
          <cell r="E8210" t="str">
            <v>EF-45141572</v>
          </cell>
          <cell r="F8210">
            <v>881736853700</v>
          </cell>
        </row>
        <row r="8211">
          <cell r="E8211" t="str">
            <v>LUC-E00-440045-00</v>
          </cell>
          <cell r="F8211">
            <v>289449116026</v>
          </cell>
        </row>
        <row r="8212">
          <cell r="E8212" t="str">
            <v>LUC-E00-440140-01</v>
          </cell>
          <cell r="F8212">
            <v>289449116026</v>
          </cell>
        </row>
        <row r="8213">
          <cell r="E8213" t="str">
            <v>LUC-EZZ-440129-00</v>
          </cell>
          <cell r="F8213">
            <v>289449116026</v>
          </cell>
        </row>
        <row r="8214">
          <cell r="E8214" t="str">
            <v>LUC-E00-440045-00</v>
          </cell>
          <cell r="F8214">
            <v>289449116026</v>
          </cell>
        </row>
        <row r="8215">
          <cell r="E8215" t="str">
            <v>LUC-E00-440045-00</v>
          </cell>
          <cell r="F8215">
            <v>289449116026</v>
          </cell>
        </row>
        <row r="8216">
          <cell r="E8216" t="str">
            <v>AIC-MP-ID007219-S01</v>
          </cell>
          <cell r="F8216">
            <v>881792624000</v>
          </cell>
        </row>
        <row r="8217">
          <cell r="E8217" t="str">
            <v>PUR-13-0244-00</v>
          </cell>
          <cell r="F8217">
            <v>881825794677</v>
          </cell>
        </row>
        <row r="8218">
          <cell r="E8218" t="str">
            <v>HLOB-13-0028-00</v>
          </cell>
          <cell r="F8218">
            <v>881825794677</v>
          </cell>
        </row>
        <row r="8219">
          <cell r="E8219" t="str">
            <v>LUC-EZZ-400297-00</v>
          </cell>
          <cell r="F8219">
            <v>881825794677</v>
          </cell>
        </row>
        <row r="8220">
          <cell r="E8220" t="str">
            <v>PUR-13-0153-00</v>
          </cell>
          <cell r="F8220">
            <v>881825794677</v>
          </cell>
        </row>
        <row r="8221">
          <cell r="E8221" t="str">
            <v>HLOB-03-0038-00</v>
          </cell>
          <cell r="F8221">
            <v>463636760810</v>
          </cell>
        </row>
        <row r="8222">
          <cell r="E8222" t="str">
            <v>124-002780</v>
          </cell>
          <cell r="F8222">
            <v>881824747057</v>
          </cell>
        </row>
        <row r="8223">
          <cell r="E8223" t="str">
            <v>124-002781</v>
          </cell>
          <cell r="F8223">
            <v>881824747057</v>
          </cell>
        </row>
        <row r="8224">
          <cell r="E8224" t="str">
            <v>EF-45116564.X.X</v>
          </cell>
          <cell r="F8224">
            <v>437723118643</v>
          </cell>
        </row>
        <row r="8225">
          <cell r="E8225" t="str">
            <v>HLOB-11-0106-05</v>
          </cell>
          <cell r="F8225" t="str">
            <v>PSHPH2560015</v>
          </cell>
        </row>
        <row r="8226">
          <cell r="E8226" t="str">
            <v>HLOB-11-0104-06</v>
          </cell>
          <cell r="F8226" t="str">
            <v>PSHPH2560015</v>
          </cell>
        </row>
        <row r="8227">
          <cell r="E8227" t="str">
            <v>HLOB-11-0104-06</v>
          </cell>
          <cell r="F8227" t="str">
            <v>PSHPH2560015</v>
          </cell>
        </row>
        <row r="8228">
          <cell r="E8228" t="str">
            <v>HLOB-11-0104-06</v>
          </cell>
          <cell r="F8228" t="str">
            <v>PSHPH2560015</v>
          </cell>
        </row>
        <row r="8229">
          <cell r="E8229" t="str">
            <v>PUR-11-0104-05</v>
          </cell>
          <cell r="F8229" t="str">
            <v>PSHPH2560012</v>
          </cell>
        </row>
        <row r="8230">
          <cell r="E8230" t="str">
            <v>HLOB-11-0104-06</v>
          </cell>
          <cell r="F8230" t="str">
            <v>PSHPH2560012</v>
          </cell>
        </row>
        <row r="8231">
          <cell r="E8231" t="str">
            <v>HLOB-11-0104-06</v>
          </cell>
          <cell r="F8231" t="str">
            <v>PSHPH2560012</v>
          </cell>
        </row>
        <row r="8232">
          <cell r="E8232" t="str">
            <v>PUR-09-0422-00</v>
          </cell>
          <cell r="F8232">
            <v>458476643505</v>
          </cell>
        </row>
        <row r="8233">
          <cell r="E8233" t="str">
            <v>EF-45232795</v>
          </cell>
          <cell r="F8233">
            <v>881875008257</v>
          </cell>
        </row>
        <row r="8234">
          <cell r="E8234" t="str">
            <v>AIC-MP-XS004280-S01</v>
          </cell>
          <cell r="F8234">
            <v>881875008257</v>
          </cell>
        </row>
        <row r="8235">
          <cell r="E8235" t="str">
            <v>AIC-MP-00006923-000</v>
          </cell>
          <cell r="F8235">
            <v>881875008257</v>
          </cell>
        </row>
        <row r="8236">
          <cell r="E8236" t="str">
            <v>AIC-MP-00006924-000</v>
          </cell>
          <cell r="F8236">
            <v>881875008257</v>
          </cell>
        </row>
        <row r="8237">
          <cell r="E8237" t="str">
            <v>LUC-E00-400010-002</v>
          </cell>
          <cell r="F8237">
            <v>881875008257</v>
          </cell>
        </row>
        <row r="8238">
          <cell r="E8238" t="str">
            <v>LUC-E00-400010-002</v>
          </cell>
          <cell r="F8238">
            <v>881875008257</v>
          </cell>
        </row>
        <row r="8239">
          <cell r="E8239" t="str">
            <v>PUR-09-0261-00</v>
          </cell>
          <cell r="F8239">
            <v>445170429120</v>
          </cell>
        </row>
        <row r="8240">
          <cell r="E8240" t="str">
            <v>LUC-E00-400010-000</v>
          </cell>
          <cell r="F8240">
            <v>445170427850</v>
          </cell>
        </row>
        <row r="8241">
          <cell r="E8241" t="str">
            <v>LUC-EZZ-440073-00</v>
          </cell>
          <cell r="F8241">
            <v>742783523186</v>
          </cell>
        </row>
        <row r="8242">
          <cell r="E8242" t="str">
            <v>PUR-37-0039-00</v>
          </cell>
          <cell r="F8242">
            <v>456450640834</v>
          </cell>
        </row>
        <row r="8243">
          <cell r="E8243" t="str">
            <v>LUC-P21-K33900-00</v>
          </cell>
          <cell r="F8243">
            <v>881903493236</v>
          </cell>
        </row>
        <row r="8244">
          <cell r="E8244" t="str">
            <v>LUC-E00-690157-01</v>
          </cell>
          <cell r="F8244">
            <v>456450648033</v>
          </cell>
        </row>
        <row r="8245">
          <cell r="E8245" t="str">
            <v>PUR-03-0082-02</v>
          </cell>
          <cell r="F8245">
            <v>463636806816</v>
          </cell>
        </row>
        <row r="8246">
          <cell r="E8246" t="str">
            <v>PUR-03-0096-02</v>
          </cell>
          <cell r="F8246" t="str">
            <v>8TV6501</v>
          </cell>
        </row>
        <row r="8247">
          <cell r="E8247" t="str">
            <v>PUR-03-0096-02</v>
          </cell>
          <cell r="F8247" t="str">
            <v>8TV6501</v>
          </cell>
        </row>
        <row r="8248">
          <cell r="E8248" t="str">
            <v>PUR-03-0099-03</v>
          </cell>
          <cell r="F8248" t="str">
            <v>8TV6501</v>
          </cell>
        </row>
        <row r="8249">
          <cell r="E8249" t="str">
            <v>PUR-03-0074-02</v>
          </cell>
          <cell r="F8249" t="str">
            <v>8TV6500</v>
          </cell>
        </row>
        <row r="8250">
          <cell r="E8250" t="str">
            <v>LUC-P21-K3AB00-00</v>
          </cell>
          <cell r="F8250" t="str">
            <v>LSHHPH2504638</v>
          </cell>
        </row>
        <row r="8251">
          <cell r="E8251" t="str">
            <v>LUC-P21-K3AT00-00</v>
          </cell>
          <cell r="F8251" t="str">
            <v>LSHHPH2504638</v>
          </cell>
        </row>
        <row r="8252">
          <cell r="E8252" t="str">
            <v>LUC-E00-400003-43</v>
          </cell>
          <cell r="F8252">
            <v>445170429500</v>
          </cell>
        </row>
        <row r="8253">
          <cell r="E8253" t="str">
            <v>PUR-09-0253-00</v>
          </cell>
          <cell r="F8253">
            <v>445170427231</v>
          </cell>
        </row>
        <row r="8254">
          <cell r="E8254" t="str">
            <v>LUC-EZZ-400218-00</v>
          </cell>
          <cell r="F8254">
            <v>9509235341</v>
          </cell>
        </row>
        <row r="8255">
          <cell r="E8255" t="str">
            <v>LUC-EZZ-400465-00</v>
          </cell>
          <cell r="F8255">
            <v>9509235341</v>
          </cell>
        </row>
        <row r="8256">
          <cell r="E8256" t="str">
            <v>LUC-EZZ-420002-00</v>
          </cell>
          <cell r="F8256">
            <v>9509235341</v>
          </cell>
        </row>
        <row r="8257">
          <cell r="E8257" t="str">
            <v>LUC-EZZ-420089-00</v>
          </cell>
          <cell r="F8257">
            <v>9509235341</v>
          </cell>
        </row>
        <row r="8258">
          <cell r="E8258" t="str">
            <v>LUC-EZZ-420094-00</v>
          </cell>
          <cell r="F8258">
            <v>9509235341</v>
          </cell>
        </row>
        <row r="8259">
          <cell r="E8259" t="str">
            <v>LUC-E00-470032-00</v>
          </cell>
          <cell r="F8259">
            <v>9509235341</v>
          </cell>
        </row>
        <row r="8260">
          <cell r="E8260" t="str">
            <v>LUC-E00-510019-00</v>
          </cell>
          <cell r="F8260">
            <v>9509235341</v>
          </cell>
        </row>
        <row r="8261">
          <cell r="E8261" t="str">
            <v>LUC-E00-510019-00</v>
          </cell>
          <cell r="F8261">
            <v>9509235341</v>
          </cell>
        </row>
        <row r="8262">
          <cell r="E8262" t="str">
            <v>LUC-E00-510019-00</v>
          </cell>
          <cell r="F8262">
            <v>9509235341</v>
          </cell>
        </row>
        <row r="8263">
          <cell r="E8263" t="str">
            <v>LUC-E00-510019-00</v>
          </cell>
          <cell r="F8263">
            <v>9509235341</v>
          </cell>
        </row>
        <row r="8264">
          <cell r="E8264" t="str">
            <v>LUC-E00-420060-00</v>
          </cell>
          <cell r="F8264">
            <v>9509235341</v>
          </cell>
        </row>
        <row r="8265">
          <cell r="E8265" t="str">
            <v>LUC-E00-420069-00</v>
          </cell>
          <cell r="F8265">
            <v>9509235341</v>
          </cell>
        </row>
        <row r="8266">
          <cell r="E8266" t="str">
            <v>LUC-E00-400244-00</v>
          </cell>
          <cell r="F8266">
            <v>9509235341</v>
          </cell>
        </row>
        <row r="8267">
          <cell r="E8267" t="str">
            <v>LUC-EZZ-420120-00</v>
          </cell>
          <cell r="F8267">
            <v>9509235341</v>
          </cell>
        </row>
        <row r="8268">
          <cell r="E8268" t="str">
            <v>LUC-E00-440026-00</v>
          </cell>
          <cell r="F8268">
            <v>9509235341</v>
          </cell>
        </row>
        <row r="8269">
          <cell r="E8269" t="str">
            <v>LUC-EZZ-470155-00</v>
          </cell>
          <cell r="F8269">
            <v>9509235341</v>
          </cell>
        </row>
        <row r="8270">
          <cell r="E8270" t="str">
            <v>LUC-E00-400010-048</v>
          </cell>
          <cell r="F8270">
            <v>9509235341</v>
          </cell>
        </row>
        <row r="8271">
          <cell r="E8271" t="str">
            <v>LUC-E00-510031-00</v>
          </cell>
          <cell r="F8271">
            <v>9509235341</v>
          </cell>
        </row>
        <row r="8272">
          <cell r="E8272" t="str">
            <v>LUC-E00-510066-00</v>
          </cell>
          <cell r="F8272">
            <v>9509235341</v>
          </cell>
        </row>
        <row r="8273">
          <cell r="E8273" t="str">
            <v>LUC-EZZ-400243-00</v>
          </cell>
          <cell r="F8273">
            <v>9509235341</v>
          </cell>
        </row>
        <row r="8274">
          <cell r="E8274" t="str">
            <v>LUC-EZZ-440176-00</v>
          </cell>
          <cell r="F8274">
            <v>9509235341</v>
          </cell>
        </row>
        <row r="8275">
          <cell r="E8275" t="str">
            <v>LUC-EZZ-440176-00</v>
          </cell>
          <cell r="F8275">
            <v>9509235341</v>
          </cell>
        </row>
        <row r="8276">
          <cell r="E8276" t="str">
            <v>LUC-E00-510015-00</v>
          </cell>
          <cell r="F8276">
            <v>9509235341</v>
          </cell>
        </row>
        <row r="8277">
          <cell r="E8277" t="str">
            <v>LUC-E00-510015-00</v>
          </cell>
          <cell r="F8277">
            <v>9509235341</v>
          </cell>
        </row>
        <row r="8278">
          <cell r="E8278" t="str">
            <v>LUC-E00-400048-00</v>
          </cell>
          <cell r="F8278">
            <v>9509235341</v>
          </cell>
        </row>
        <row r="8279">
          <cell r="E8279" t="str">
            <v>LUC-E00-400067-111</v>
          </cell>
          <cell r="F8279">
            <v>9509235341</v>
          </cell>
        </row>
        <row r="8280">
          <cell r="E8280" t="str">
            <v>LUC-E00-400048-00</v>
          </cell>
          <cell r="F8280">
            <v>9509235341</v>
          </cell>
        </row>
        <row r="8281">
          <cell r="E8281" t="str">
            <v>LUC-E00-400048-00</v>
          </cell>
          <cell r="F8281">
            <v>9509235341</v>
          </cell>
        </row>
        <row r="8282">
          <cell r="E8282" t="str">
            <v>LUC-E00-420037-00</v>
          </cell>
          <cell r="F8282">
            <v>9509235341</v>
          </cell>
        </row>
        <row r="8283">
          <cell r="E8283" t="str">
            <v>LUC-E00-450043-00</v>
          </cell>
          <cell r="F8283">
            <v>9509235341</v>
          </cell>
        </row>
        <row r="8284">
          <cell r="E8284" t="str">
            <v>LUC-E00-450043-00</v>
          </cell>
          <cell r="F8284">
            <v>9509235341</v>
          </cell>
        </row>
        <row r="8285">
          <cell r="E8285" t="str">
            <v>LUC-EZZ-470431-00</v>
          </cell>
          <cell r="F8285">
            <v>9509235341</v>
          </cell>
        </row>
        <row r="8286">
          <cell r="E8286" t="str">
            <v>LUC-E00-420037-09</v>
          </cell>
          <cell r="F8286">
            <v>9509235341</v>
          </cell>
        </row>
        <row r="8287">
          <cell r="E8287" t="str">
            <v>LUC-EZZ-420002-00</v>
          </cell>
          <cell r="F8287">
            <v>9509235341</v>
          </cell>
        </row>
        <row r="8288">
          <cell r="E8288" t="str">
            <v>LUC-E00-510019-00</v>
          </cell>
          <cell r="F8288">
            <v>9509235341</v>
          </cell>
        </row>
        <row r="8289">
          <cell r="E8289" t="str">
            <v>LUC-E00-510019-00</v>
          </cell>
          <cell r="F8289">
            <v>9509235341</v>
          </cell>
        </row>
        <row r="8290">
          <cell r="E8290" t="str">
            <v>LUC-E00-510019-00</v>
          </cell>
          <cell r="F8290">
            <v>9509235341</v>
          </cell>
        </row>
        <row r="8291">
          <cell r="E8291" t="str">
            <v>LUC-E00-510019-00</v>
          </cell>
          <cell r="F8291">
            <v>9509235341</v>
          </cell>
        </row>
        <row r="8292">
          <cell r="E8292" t="str">
            <v>LUC-E00-510093-00</v>
          </cell>
          <cell r="F8292">
            <v>9509235341</v>
          </cell>
        </row>
        <row r="8293">
          <cell r="E8293" t="str">
            <v>LUC-E00-400010-018</v>
          </cell>
          <cell r="F8293">
            <v>9509235341</v>
          </cell>
        </row>
        <row r="8294">
          <cell r="E8294" t="str">
            <v>LUC-EZZ-450246-00</v>
          </cell>
          <cell r="F8294">
            <v>9509235341</v>
          </cell>
        </row>
        <row r="8295">
          <cell r="E8295" t="str">
            <v>LUC-E00-510016-00</v>
          </cell>
          <cell r="F8295">
            <v>9509235341</v>
          </cell>
        </row>
        <row r="8296">
          <cell r="E8296" t="str">
            <v>LUC-E00-510061-01</v>
          </cell>
          <cell r="F8296">
            <v>9509235341</v>
          </cell>
        </row>
        <row r="8297">
          <cell r="E8297" t="str">
            <v>LUC-E00-510061-01</v>
          </cell>
          <cell r="F8297">
            <v>9509235341</v>
          </cell>
        </row>
        <row r="8298">
          <cell r="E8298" t="str">
            <v>LUC-E00-470004-00</v>
          </cell>
          <cell r="F8298">
            <v>9509235341</v>
          </cell>
        </row>
        <row r="8299">
          <cell r="E8299" t="str">
            <v>LUC-E00-470047-00</v>
          </cell>
          <cell r="F8299">
            <v>9509235341</v>
          </cell>
        </row>
        <row r="8300">
          <cell r="E8300" t="str">
            <v>LUC-E00-460034-00</v>
          </cell>
          <cell r="F8300">
            <v>9509235341</v>
          </cell>
        </row>
        <row r="8301">
          <cell r="E8301" t="str">
            <v>LUC-E00-400001-010</v>
          </cell>
          <cell r="F8301">
            <v>9509235341</v>
          </cell>
        </row>
        <row r="8302">
          <cell r="E8302" t="str">
            <v>LUC-EZZ-440169-00</v>
          </cell>
          <cell r="F8302">
            <v>9509235341</v>
          </cell>
        </row>
        <row r="8303">
          <cell r="E8303" t="str">
            <v>LUC-E00-470343-00</v>
          </cell>
          <cell r="F8303">
            <v>9509235341</v>
          </cell>
        </row>
        <row r="8304">
          <cell r="E8304" t="str">
            <v>LUC-E00-450056-00</v>
          </cell>
          <cell r="F8304">
            <v>9509235341</v>
          </cell>
        </row>
        <row r="8305">
          <cell r="E8305" t="str">
            <v>LUC-E00-450056-00</v>
          </cell>
          <cell r="F8305">
            <v>9509235341</v>
          </cell>
        </row>
        <row r="8306">
          <cell r="E8306" t="str">
            <v>LUC-E00-420056-00</v>
          </cell>
          <cell r="F8306">
            <v>9509235341</v>
          </cell>
        </row>
        <row r="8307">
          <cell r="E8307" t="str">
            <v>LUC-E00-420056-00</v>
          </cell>
          <cell r="F8307">
            <v>9509235341</v>
          </cell>
        </row>
        <row r="8308">
          <cell r="E8308" t="str">
            <v>LUC-E00-420027-04</v>
          </cell>
          <cell r="F8308">
            <v>9509235341</v>
          </cell>
        </row>
        <row r="8309">
          <cell r="E8309" t="str">
            <v>LUC-E00-470059-00</v>
          </cell>
          <cell r="F8309">
            <v>9509235341</v>
          </cell>
        </row>
        <row r="8310">
          <cell r="E8310" t="str">
            <v>LUC-EZZ-420136-00</v>
          </cell>
          <cell r="F8310">
            <v>9509235341</v>
          </cell>
        </row>
        <row r="8311">
          <cell r="E8311" t="str">
            <v>LUC-EZZ-420136-00</v>
          </cell>
          <cell r="F8311">
            <v>9509235341</v>
          </cell>
        </row>
        <row r="8312">
          <cell r="E8312" t="str">
            <v>LUC-EZZ-420089-00</v>
          </cell>
          <cell r="F8312">
            <v>9509235341</v>
          </cell>
        </row>
        <row r="8313">
          <cell r="E8313" t="str">
            <v>LUC-E00-470033-00</v>
          </cell>
          <cell r="F8313">
            <v>9509235341</v>
          </cell>
        </row>
        <row r="8314">
          <cell r="E8314" t="str">
            <v>LUC-E00-400010-043</v>
          </cell>
          <cell r="F8314">
            <v>9509235341</v>
          </cell>
        </row>
        <row r="8315">
          <cell r="E8315" t="str">
            <v>LUC-E00-470082-00</v>
          </cell>
          <cell r="F8315">
            <v>9509235341</v>
          </cell>
        </row>
        <row r="8316">
          <cell r="E8316" t="str">
            <v>LUC-E00-510041-00</v>
          </cell>
          <cell r="F8316">
            <v>9509235341</v>
          </cell>
        </row>
        <row r="8317">
          <cell r="E8317" t="str">
            <v>LUC-E00-420054-04</v>
          </cell>
          <cell r="F8317">
            <v>9509235341</v>
          </cell>
        </row>
        <row r="8318">
          <cell r="E8318" t="str">
            <v>LUC-E00-470123-00</v>
          </cell>
          <cell r="F8318">
            <v>9509235341</v>
          </cell>
        </row>
        <row r="8319">
          <cell r="E8319" t="str">
            <v>LUC-E00-450043-00</v>
          </cell>
          <cell r="F8319">
            <v>9509235341</v>
          </cell>
        </row>
        <row r="8320">
          <cell r="E8320" t="str">
            <v>LUC-E00-470080-00</v>
          </cell>
          <cell r="F8320">
            <v>9509235341</v>
          </cell>
        </row>
        <row r="8321">
          <cell r="E8321" t="str">
            <v>LUC-E00-450056-00</v>
          </cell>
          <cell r="F8321">
            <v>9509235341</v>
          </cell>
        </row>
        <row r="8322">
          <cell r="E8322" t="str">
            <v>LUC-E00-400048-00</v>
          </cell>
          <cell r="F8322">
            <v>9509235341</v>
          </cell>
        </row>
        <row r="8323">
          <cell r="E8323" t="str">
            <v>LUC-E00-400048-00</v>
          </cell>
          <cell r="F8323">
            <v>9509235341</v>
          </cell>
        </row>
        <row r="8324">
          <cell r="E8324" t="str">
            <v>LUC-E00-470032-00</v>
          </cell>
          <cell r="F8324">
            <v>9509235341</v>
          </cell>
        </row>
        <row r="8325">
          <cell r="E8325" t="str">
            <v>LUC-E00-480008-00</v>
          </cell>
          <cell r="F8325">
            <v>9509235341</v>
          </cell>
        </row>
        <row r="8326">
          <cell r="E8326" t="str">
            <v>LUC-E00-480008-00</v>
          </cell>
          <cell r="F8326">
            <v>9509235341</v>
          </cell>
        </row>
        <row r="8327">
          <cell r="E8327" t="str">
            <v>LUC-E00-420060-00</v>
          </cell>
          <cell r="F8327">
            <v>9509235341</v>
          </cell>
        </row>
        <row r="8328">
          <cell r="E8328" t="str">
            <v>LUC-E00-470175-00</v>
          </cell>
          <cell r="F8328">
            <v>9509235341</v>
          </cell>
        </row>
        <row r="8329">
          <cell r="E8329" t="str">
            <v>LUC-E00-510041-00</v>
          </cell>
          <cell r="F8329">
            <v>9509235341</v>
          </cell>
        </row>
        <row r="8330">
          <cell r="E8330" t="str">
            <v>LUC-E00-510014-00</v>
          </cell>
          <cell r="F8330">
            <v>9509235341</v>
          </cell>
        </row>
        <row r="8331">
          <cell r="E8331" t="str">
            <v>LUC-E00-510064-00</v>
          </cell>
          <cell r="F8331">
            <v>9509235341</v>
          </cell>
        </row>
        <row r="8332">
          <cell r="E8332" t="str">
            <v>LUC-E00-510017-00</v>
          </cell>
          <cell r="F8332">
            <v>9509235341</v>
          </cell>
        </row>
        <row r="8333">
          <cell r="E8333" t="str">
            <v>LUC-E00-420057-01</v>
          </cell>
          <cell r="F8333">
            <v>9509235341</v>
          </cell>
        </row>
        <row r="8334">
          <cell r="E8334" t="str">
            <v>LUC-E00-510084-00</v>
          </cell>
          <cell r="F8334">
            <v>9509235341</v>
          </cell>
        </row>
        <row r="8335">
          <cell r="E8335" t="str">
            <v>LUC-E00-510084-00</v>
          </cell>
          <cell r="F8335">
            <v>9509235341</v>
          </cell>
        </row>
        <row r="8336">
          <cell r="E8336" t="str">
            <v>LUC-E00-420171-00</v>
          </cell>
          <cell r="F8336">
            <v>9509235341</v>
          </cell>
        </row>
        <row r="8337">
          <cell r="E8337" t="str">
            <v>LUC-E00-510037-00</v>
          </cell>
          <cell r="F8337">
            <v>9509235341</v>
          </cell>
        </row>
        <row r="8338">
          <cell r="E8338" t="str">
            <v>LUC-E00-450052-00</v>
          </cell>
          <cell r="F8338">
            <v>9509235341</v>
          </cell>
        </row>
        <row r="8339">
          <cell r="E8339" t="str">
            <v>LUC-E00-420027-03</v>
          </cell>
          <cell r="F8339">
            <v>9509235341</v>
          </cell>
        </row>
        <row r="8340">
          <cell r="E8340" t="str">
            <v>LUC-E00-420076-00</v>
          </cell>
          <cell r="F8340">
            <v>9509235341</v>
          </cell>
        </row>
        <row r="8341">
          <cell r="E8341" t="str">
            <v>LUC-E00-420076-00</v>
          </cell>
          <cell r="F8341">
            <v>9509235341</v>
          </cell>
        </row>
        <row r="8342">
          <cell r="E8342" t="str">
            <v>LUC-E00-480006-00</v>
          </cell>
          <cell r="F8342">
            <v>9509235341</v>
          </cell>
        </row>
        <row r="8343">
          <cell r="E8343" t="str">
            <v>LUC-E00-460015-01</v>
          </cell>
          <cell r="F8343">
            <v>9509235341</v>
          </cell>
        </row>
        <row r="8344">
          <cell r="E8344" t="str">
            <v>LUC-E00-460015-01</v>
          </cell>
          <cell r="F8344">
            <v>9509235341</v>
          </cell>
        </row>
        <row r="8345">
          <cell r="E8345" t="str">
            <v>LUC-EZZ-420324-00</v>
          </cell>
          <cell r="F8345">
            <v>9509235341</v>
          </cell>
        </row>
        <row r="8346">
          <cell r="E8346" t="str">
            <v>LUC-E00-440029-00</v>
          </cell>
          <cell r="F8346">
            <v>9509235341</v>
          </cell>
        </row>
        <row r="8347">
          <cell r="E8347" t="str">
            <v>LUC-E00-510027-00</v>
          </cell>
          <cell r="F8347">
            <v>9509235341</v>
          </cell>
        </row>
        <row r="8348">
          <cell r="E8348" t="str">
            <v>LUC-EZZ-470464-00</v>
          </cell>
          <cell r="F8348">
            <v>9509235341</v>
          </cell>
        </row>
        <row r="8349">
          <cell r="E8349" t="str">
            <v>LUC-EZZ-420261-00</v>
          </cell>
          <cell r="F8349">
            <v>4812817237</v>
          </cell>
        </row>
        <row r="8350">
          <cell r="E8350" t="str">
            <v>LUC-EZZ-420133-00</v>
          </cell>
          <cell r="F8350">
            <v>4812817237</v>
          </cell>
        </row>
        <row r="8351">
          <cell r="E8351" t="str">
            <v>LUC-EZZ-420133-00</v>
          </cell>
          <cell r="F8351">
            <v>4812817237</v>
          </cell>
        </row>
        <row r="8352">
          <cell r="E8352" t="str">
            <v>HLOB-13-0238-00</v>
          </cell>
          <cell r="F8352">
            <v>4812817237</v>
          </cell>
        </row>
        <row r="8353">
          <cell r="E8353" t="str">
            <v>HLOB-13-0009-00</v>
          </cell>
          <cell r="F8353">
            <v>4812817237</v>
          </cell>
        </row>
        <row r="8354">
          <cell r="E8354" t="str">
            <v>HLOB-13-0138-00</v>
          </cell>
          <cell r="F8354">
            <v>4812817237</v>
          </cell>
        </row>
        <row r="8355">
          <cell r="E8355" t="str">
            <v>PUR-13-0138-00</v>
          </cell>
          <cell r="F8355">
            <v>4812817237</v>
          </cell>
        </row>
        <row r="8356">
          <cell r="E8356" t="str">
            <v>PUR-13-0138-00</v>
          </cell>
          <cell r="F8356">
            <v>4812817237</v>
          </cell>
        </row>
        <row r="8357">
          <cell r="E8357" t="str">
            <v>PUR-13-0138-00</v>
          </cell>
          <cell r="F8357">
            <v>4812817237</v>
          </cell>
        </row>
        <row r="8358">
          <cell r="E8358" t="str">
            <v>EF-45076937</v>
          </cell>
          <cell r="F8358">
            <v>4812817237</v>
          </cell>
        </row>
        <row r="8359">
          <cell r="E8359" t="str">
            <v>PUR-14-0069-00</v>
          </cell>
          <cell r="F8359">
            <v>4812817237</v>
          </cell>
        </row>
        <row r="8360">
          <cell r="E8360" t="str">
            <v>PUR-14-0069-00</v>
          </cell>
          <cell r="F8360">
            <v>4812817237</v>
          </cell>
        </row>
        <row r="8361">
          <cell r="E8361" t="str">
            <v>PUR-14-0070-00</v>
          </cell>
          <cell r="F8361">
            <v>4812817237</v>
          </cell>
        </row>
        <row r="8362">
          <cell r="E8362" t="str">
            <v>AIC-MP-00003561-000</v>
          </cell>
          <cell r="F8362">
            <v>4812817237</v>
          </cell>
        </row>
        <row r="8363">
          <cell r="E8363" t="str">
            <v>EF-45125060</v>
          </cell>
          <cell r="F8363">
            <v>4711861171</v>
          </cell>
        </row>
        <row r="8364">
          <cell r="E8364" t="str">
            <v>EF-45206256</v>
          </cell>
          <cell r="F8364">
            <v>4711861171</v>
          </cell>
        </row>
        <row r="8365">
          <cell r="E8365" t="str">
            <v>LUC-E00-440014-00</v>
          </cell>
          <cell r="F8365">
            <v>4711861171</v>
          </cell>
        </row>
        <row r="8366">
          <cell r="E8366" t="str">
            <v>LUC-E00-440046-00</v>
          </cell>
          <cell r="F8366">
            <v>4711861171</v>
          </cell>
        </row>
        <row r="8367">
          <cell r="E8367" t="str">
            <v>LUC-EZZ-440031-00</v>
          </cell>
          <cell r="F8367">
            <v>4711861171</v>
          </cell>
        </row>
        <row r="8368">
          <cell r="E8368" t="str">
            <v>LUC-EZZ-440162-00</v>
          </cell>
          <cell r="F8368">
            <v>4711861171</v>
          </cell>
        </row>
        <row r="8369">
          <cell r="E8369" t="str">
            <v>LUC-EZZ-440911-00</v>
          </cell>
          <cell r="F8369">
            <v>4711861171</v>
          </cell>
        </row>
        <row r="8370">
          <cell r="E8370" t="str">
            <v>LUC-EZZ-440030-00</v>
          </cell>
          <cell r="F8370">
            <v>4711861171</v>
          </cell>
        </row>
        <row r="8371">
          <cell r="E8371" t="str">
            <v>LUC-EZZ-440032-00</v>
          </cell>
          <cell r="F8371">
            <v>4711861171</v>
          </cell>
        </row>
        <row r="8372">
          <cell r="E8372" t="str">
            <v>LUC-EZZ-440032-00</v>
          </cell>
          <cell r="F8372">
            <v>4711861171</v>
          </cell>
        </row>
        <row r="8373">
          <cell r="E8373" t="str">
            <v>LUC-EZZ-440090-00</v>
          </cell>
          <cell r="F8373">
            <v>4711861171</v>
          </cell>
        </row>
        <row r="8374">
          <cell r="E8374" t="str">
            <v>LUC-EZZ-440090-00</v>
          </cell>
          <cell r="F8374">
            <v>4711861171</v>
          </cell>
        </row>
        <row r="8375">
          <cell r="E8375" t="str">
            <v>LUC-E00-440051-01</v>
          </cell>
          <cell r="F8375">
            <v>4711861171</v>
          </cell>
        </row>
        <row r="8376">
          <cell r="E8376" t="str">
            <v>LUC-E00-440051-01</v>
          </cell>
          <cell r="F8376">
            <v>4711861171</v>
          </cell>
        </row>
        <row r="8377">
          <cell r="E8377" t="str">
            <v>HLOB-03-0113-00</v>
          </cell>
          <cell r="F8377" t="str">
            <v>8TV6504</v>
          </cell>
        </row>
        <row r="8378">
          <cell r="E8378" t="str">
            <v>HLOB-03-0113-00</v>
          </cell>
          <cell r="F8378" t="str">
            <v>8TV6505</v>
          </cell>
        </row>
        <row r="8379">
          <cell r="E8379" t="str">
            <v>HLOB-03-0113-00</v>
          </cell>
          <cell r="F8379" t="str">
            <v>8TV6506</v>
          </cell>
        </row>
        <row r="8380">
          <cell r="E8380" t="str">
            <v>HLOB-03-0113-00</v>
          </cell>
          <cell r="F8380" t="str">
            <v>8TV6507</v>
          </cell>
        </row>
        <row r="8381">
          <cell r="E8381" t="str">
            <v>HLOB-03-0113-00</v>
          </cell>
          <cell r="F8381" t="str">
            <v>8TV6508</v>
          </cell>
        </row>
        <row r="8382">
          <cell r="E8382" t="str">
            <v>HLOB-03-0113-00</v>
          </cell>
          <cell r="F8382" t="str">
            <v>8TV6509</v>
          </cell>
        </row>
        <row r="8383">
          <cell r="E8383" t="str">
            <v>121-001639</v>
          </cell>
          <cell r="F8383">
            <v>421194830044</v>
          </cell>
        </row>
        <row r="8384">
          <cell r="E8384" t="str">
            <v>122-004369</v>
          </cell>
          <cell r="F8384">
            <v>421194830044</v>
          </cell>
        </row>
        <row r="8385">
          <cell r="E8385" t="str">
            <v>168-001166</v>
          </cell>
          <cell r="F8385">
            <v>421194830044</v>
          </cell>
        </row>
        <row r="8386">
          <cell r="E8386" t="str">
            <v>AIC-121-005951</v>
          </cell>
          <cell r="F8386">
            <v>421194830044</v>
          </cell>
        </row>
        <row r="8387">
          <cell r="E8387" t="str">
            <v>AIC-121-005952</v>
          </cell>
          <cell r="F8387">
            <v>421194830044</v>
          </cell>
        </row>
        <row r="8388">
          <cell r="E8388" t="str">
            <v>AIC-MP-00002307-000</v>
          </cell>
          <cell r="F8388">
            <v>421194830044</v>
          </cell>
        </row>
        <row r="8389">
          <cell r="E8389" t="str">
            <v>AIC-MP-00002331-000</v>
          </cell>
          <cell r="F8389">
            <v>421194830044</v>
          </cell>
        </row>
        <row r="8390">
          <cell r="E8390" t="str">
            <v>AIC-MP-00003230-000</v>
          </cell>
          <cell r="F8390">
            <v>421194830044</v>
          </cell>
        </row>
        <row r="8391">
          <cell r="E8391" t="str">
            <v>AIC-MP-00002249-000</v>
          </cell>
          <cell r="F8391">
            <v>421194830044</v>
          </cell>
        </row>
        <row r="8392">
          <cell r="E8392" t="str">
            <v>LUC-E00-420071-00</v>
          </cell>
          <cell r="F8392">
            <v>421194830044</v>
          </cell>
        </row>
        <row r="8393">
          <cell r="E8393" t="str">
            <v>AIC-132-001528</v>
          </cell>
          <cell r="F8393">
            <v>421194830044</v>
          </cell>
        </row>
        <row r="8394">
          <cell r="E8394" t="str">
            <v>AIC-MP-00006338-000</v>
          </cell>
          <cell r="F8394">
            <v>421194830044</v>
          </cell>
        </row>
        <row r="8395">
          <cell r="E8395" t="str">
            <v>122-000175.X.X</v>
          </cell>
          <cell r="F8395">
            <v>421194830044</v>
          </cell>
        </row>
        <row r="8396">
          <cell r="E8396" t="str">
            <v>123-000306.X.X</v>
          </cell>
          <cell r="F8396">
            <v>421194830044</v>
          </cell>
        </row>
        <row r="8397">
          <cell r="E8397" t="str">
            <v>134-001540</v>
          </cell>
          <cell r="F8397">
            <v>421194830044</v>
          </cell>
        </row>
        <row r="8398">
          <cell r="E8398" t="str">
            <v>119-001192</v>
          </cell>
          <cell r="F8398">
            <v>421194830044</v>
          </cell>
        </row>
        <row r="8399">
          <cell r="E8399" t="str">
            <v>174-001250</v>
          </cell>
          <cell r="F8399">
            <v>421194830044</v>
          </cell>
        </row>
        <row r="8400">
          <cell r="E8400" t="str">
            <v>AIC-MP-00003327-000</v>
          </cell>
          <cell r="F8400">
            <v>421194830044</v>
          </cell>
        </row>
        <row r="8401">
          <cell r="E8401" t="str">
            <v>AIC-MP-00005105-000</v>
          </cell>
          <cell r="F8401">
            <v>421194830044</v>
          </cell>
        </row>
        <row r="8402">
          <cell r="E8402" t="str">
            <v>AIC-122-004326</v>
          </cell>
          <cell r="F8402">
            <v>421194830044</v>
          </cell>
        </row>
        <row r="8403">
          <cell r="E8403" t="str">
            <v>AIC-MP-00002539-000</v>
          </cell>
          <cell r="F8403">
            <v>421194830044</v>
          </cell>
        </row>
        <row r="8404">
          <cell r="E8404" t="str">
            <v>LUC-E00-470063-00</v>
          </cell>
          <cell r="F8404">
            <v>421194830044</v>
          </cell>
        </row>
        <row r="8405">
          <cell r="E8405" t="str">
            <v>LUC-EZZ-400606-00</v>
          </cell>
          <cell r="F8405">
            <v>421194830044</v>
          </cell>
        </row>
        <row r="8406">
          <cell r="E8406" t="str">
            <v>AIC-122-004367</v>
          </cell>
          <cell r="F8406">
            <v>421194830044</v>
          </cell>
        </row>
        <row r="8407">
          <cell r="E8407" t="str">
            <v>122-004374</v>
          </cell>
          <cell r="F8407">
            <v>421194830044</v>
          </cell>
        </row>
        <row r="8408">
          <cell r="E8408" t="str">
            <v>126-000282</v>
          </cell>
          <cell r="F8408">
            <v>421194830044</v>
          </cell>
        </row>
        <row r="8409">
          <cell r="E8409" t="str">
            <v>AIC-MP-00004954-000</v>
          </cell>
          <cell r="F8409">
            <v>421194830044</v>
          </cell>
        </row>
        <row r="8410">
          <cell r="E8410" t="str">
            <v>EF-45093131.X.X</v>
          </cell>
          <cell r="F8410">
            <v>419341557927</v>
          </cell>
        </row>
        <row r="8411">
          <cell r="E8411" t="str">
            <v>EF-45093131.X.X</v>
          </cell>
          <cell r="F8411">
            <v>419341557927</v>
          </cell>
        </row>
        <row r="8412">
          <cell r="E8412" t="str">
            <v>EF-45020465</v>
          </cell>
          <cell r="F8412">
            <v>419341557927</v>
          </cell>
        </row>
        <row r="8413">
          <cell r="E8413" t="str">
            <v>EF-45043569</v>
          </cell>
          <cell r="F8413">
            <v>419341557927</v>
          </cell>
        </row>
        <row r="8414">
          <cell r="E8414" t="str">
            <v>EF-45044048.X.X</v>
          </cell>
          <cell r="F8414">
            <v>419341557927</v>
          </cell>
        </row>
        <row r="8415">
          <cell r="E8415" t="str">
            <v>PUR-13-0235-00</v>
          </cell>
          <cell r="F8415">
            <v>423264376034</v>
          </cell>
        </row>
        <row r="8416">
          <cell r="E8416" t="str">
            <v>PUR-12-0407-00</v>
          </cell>
          <cell r="F8416">
            <v>423264376034</v>
          </cell>
        </row>
        <row r="8417">
          <cell r="E8417" t="str">
            <v>AIC-MP-00005013-000</v>
          </cell>
          <cell r="F8417">
            <v>423264376034</v>
          </cell>
        </row>
        <row r="8418">
          <cell r="E8418" t="str">
            <v>AIC-MP-00004880-000</v>
          </cell>
          <cell r="F8418">
            <v>423264376034</v>
          </cell>
        </row>
        <row r="8419">
          <cell r="E8419" t="str">
            <v>AIC-MP-00002602-000</v>
          </cell>
          <cell r="F8419">
            <v>423264376034</v>
          </cell>
        </row>
        <row r="8420">
          <cell r="E8420" t="str">
            <v>AIC-MP-00002940-000</v>
          </cell>
          <cell r="F8420">
            <v>423264376034</v>
          </cell>
        </row>
        <row r="8421">
          <cell r="E8421" t="str">
            <v>AIC-122-004337</v>
          </cell>
          <cell r="F8421">
            <v>423264376034</v>
          </cell>
        </row>
        <row r="8422">
          <cell r="E8422" t="str">
            <v>AIC-MP-00002222-000</v>
          </cell>
          <cell r="F8422">
            <v>423264376034</v>
          </cell>
        </row>
        <row r="8423">
          <cell r="E8423" t="str">
            <v>AIC-MP-00002327-000</v>
          </cell>
          <cell r="F8423">
            <v>423264376034</v>
          </cell>
        </row>
        <row r="8424">
          <cell r="E8424" t="str">
            <v>AIC-MP-00002365-000</v>
          </cell>
          <cell r="F8424">
            <v>423264376034</v>
          </cell>
        </row>
        <row r="8425">
          <cell r="E8425" t="str">
            <v>AIC-MP-00002362-000</v>
          </cell>
          <cell r="F8425">
            <v>423264376034</v>
          </cell>
        </row>
        <row r="8426">
          <cell r="E8426" t="str">
            <v>AIC-121-005903</v>
          </cell>
          <cell r="F8426">
            <v>423264376034</v>
          </cell>
        </row>
        <row r="8427">
          <cell r="E8427" t="str">
            <v>AIC-MP-00002386-000</v>
          </cell>
          <cell r="F8427">
            <v>423264376034</v>
          </cell>
        </row>
        <row r="8428">
          <cell r="E8428" t="str">
            <v>AIC-121-005911</v>
          </cell>
          <cell r="F8428">
            <v>423264376034</v>
          </cell>
        </row>
        <row r="8429">
          <cell r="E8429" t="str">
            <v>AIC-121-005922</v>
          </cell>
          <cell r="F8429">
            <v>423264376034</v>
          </cell>
        </row>
        <row r="8430">
          <cell r="E8430" t="str">
            <v>AIC-121-005914</v>
          </cell>
          <cell r="F8430">
            <v>423264376034</v>
          </cell>
        </row>
        <row r="8431">
          <cell r="E8431" t="str">
            <v>AIC-121-005917</v>
          </cell>
          <cell r="F8431">
            <v>423264376034</v>
          </cell>
        </row>
        <row r="8432">
          <cell r="E8432" t="str">
            <v>AIC-121-005905</v>
          </cell>
          <cell r="F8432">
            <v>423264376034</v>
          </cell>
        </row>
        <row r="8433">
          <cell r="E8433" t="str">
            <v>AIC-MP-00007315-000</v>
          </cell>
          <cell r="F8433">
            <v>423264376034</v>
          </cell>
        </row>
        <row r="8434">
          <cell r="E8434" t="str">
            <v>AIC-MP-00005987-000</v>
          </cell>
          <cell r="F8434">
            <v>423264376034</v>
          </cell>
        </row>
        <row r="8435">
          <cell r="E8435" t="str">
            <v>AIC-MP-00002446-000</v>
          </cell>
          <cell r="F8435">
            <v>423264376034</v>
          </cell>
        </row>
        <row r="8436">
          <cell r="E8436" t="str">
            <v>AIC-MP-00002519-000</v>
          </cell>
          <cell r="F8436">
            <v>423264376034</v>
          </cell>
        </row>
        <row r="8437">
          <cell r="E8437" t="str">
            <v>AIC-MP-00002553-000</v>
          </cell>
          <cell r="F8437">
            <v>423264376034</v>
          </cell>
        </row>
        <row r="8438">
          <cell r="E8438" t="str">
            <v>AIC-MP-00002560-000</v>
          </cell>
          <cell r="F8438">
            <v>423264376034</v>
          </cell>
        </row>
        <row r="8439">
          <cell r="E8439" t="str">
            <v>AIC-MP-00000284-000</v>
          </cell>
          <cell r="F8439">
            <v>423264376034</v>
          </cell>
        </row>
        <row r="8440">
          <cell r="E8440" t="str">
            <v>AIC-121-005925</v>
          </cell>
          <cell r="F8440">
            <v>423264376034</v>
          </cell>
        </row>
        <row r="8441">
          <cell r="E8441" t="str">
            <v>AIC-MP-00004300-000</v>
          </cell>
          <cell r="F8441">
            <v>423264376034</v>
          </cell>
        </row>
        <row r="8442">
          <cell r="E8442" t="str">
            <v>AIC-122-004330</v>
          </cell>
          <cell r="F8442">
            <v>423264376034</v>
          </cell>
        </row>
        <row r="8443">
          <cell r="E8443" t="str">
            <v>AIC-122-004336</v>
          </cell>
          <cell r="F8443">
            <v>423264376034</v>
          </cell>
        </row>
        <row r="8444">
          <cell r="E8444" t="str">
            <v>PUR-14-0086-00</v>
          </cell>
          <cell r="F8444">
            <v>423264376034</v>
          </cell>
        </row>
        <row r="8445">
          <cell r="E8445" t="str">
            <v>AIC-122-004331</v>
          </cell>
          <cell r="F8445">
            <v>423264376034</v>
          </cell>
        </row>
        <row r="8446">
          <cell r="E8446" t="str">
            <v>HLOB-12-0271-00</v>
          </cell>
          <cell r="F8446">
            <v>423264376034</v>
          </cell>
        </row>
        <row r="8447">
          <cell r="E8447" t="str">
            <v>AIC-MP-00003304-000</v>
          </cell>
          <cell r="F8447">
            <v>423264376034</v>
          </cell>
        </row>
        <row r="8448">
          <cell r="E8448" t="str">
            <v>AIC-MP-00003290-000</v>
          </cell>
          <cell r="F8448">
            <v>423264376034</v>
          </cell>
        </row>
        <row r="8449">
          <cell r="E8449" t="str">
            <v>122-000756.X.X</v>
          </cell>
          <cell r="F8449">
            <v>423264376034</v>
          </cell>
        </row>
        <row r="8450">
          <cell r="E8450" t="str">
            <v>HLOB-13-0006-00</v>
          </cell>
          <cell r="F8450">
            <v>423264376034</v>
          </cell>
        </row>
        <row r="8451">
          <cell r="E8451" t="str">
            <v>AIC-MP-00003342-000</v>
          </cell>
          <cell r="F8451">
            <v>423264376034</v>
          </cell>
        </row>
        <row r="8452">
          <cell r="E8452" t="str">
            <v>AIC-MP-00003486-000</v>
          </cell>
          <cell r="F8452">
            <v>423264376034</v>
          </cell>
        </row>
        <row r="8453">
          <cell r="E8453" t="str">
            <v>HLOB-13-0006-00</v>
          </cell>
          <cell r="F8453">
            <v>423264376034</v>
          </cell>
        </row>
        <row r="8454">
          <cell r="E8454" t="str">
            <v>LUC-E00-400035-04</v>
          </cell>
          <cell r="F8454">
            <v>423264376034</v>
          </cell>
        </row>
        <row r="8455">
          <cell r="E8455" t="str">
            <v>LUC-E00-400035-04</v>
          </cell>
          <cell r="F8455">
            <v>423264376034</v>
          </cell>
        </row>
        <row r="8456">
          <cell r="E8456" t="str">
            <v>LUC-EZZ-400035-00</v>
          </cell>
          <cell r="F8456">
            <v>423264376034</v>
          </cell>
        </row>
        <row r="8457">
          <cell r="E8457" t="str">
            <v>HLOB-12-0212-00</v>
          </cell>
          <cell r="F8457">
            <v>423264376034</v>
          </cell>
        </row>
        <row r="8458">
          <cell r="E8458" t="str">
            <v>AIC-MP-00005806-000</v>
          </cell>
          <cell r="F8458">
            <v>423264376034</v>
          </cell>
        </row>
        <row r="8459">
          <cell r="E8459" t="str">
            <v>AIC-MP-00002338-000</v>
          </cell>
          <cell r="F8459">
            <v>423264376034</v>
          </cell>
        </row>
        <row r="8460">
          <cell r="E8460" t="str">
            <v>AIC-MP-00002320-000</v>
          </cell>
          <cell r="F8460">
            <v>423264376034</v>
          </cell>
        </row>
        <row r="8461">
          <cell r="E8461" t="str">
            <v>AIC-MP-00002375-000</v>
          </cell>
          <cell r="F8461">
            <v>423264376034</v>
          </cell>
        </row>
        <row r="8462">
          <cell r="E8462" t="str">
            <v>AIC-MP-00006938-000</v>
          </cell>
          <cell r="F8462">
            <v>423264376034</v>
          </cell>
        </row>
        <row r="8463">
          <cell r="E8463" t="str">
            <v>AIC-MP-00002401-000</v>
          </cell>
          <cell r="F8463">
            <v>423264376034</v>
          </cell>
        </row>
        <row r="8464">
          <cell r="E8464" t="str">
            <v>AIC-MP-00002436-000</v>
          </cell>
          <cell r="F8464">
            <v>423264376034</v>
          </cell>
        </row>
        <row r="8465">
          <cell r="E8465" t="str">
            <v>AIC-121-005902</v>
          </cell>
          <cell r="F8465">
            <v>423264376034</v>
          </cell>
        </row>
        <row r="8466">
          <cell r="E8466" t="str">
            <v>AIC-MP-00002463-000</v>
          </cell>
          <cell r="F8466">
            <v>423264376034</v>
          </cell>
        </row>
        <row r="8467">
          <cell r="E8467" t="str">
            <v>AIC-MP-00002476-000</v>
          </cell>
          <cell r="F8467">
            <v>423264376034</v>
          </cell>
        </row>
        <row r="8468">
          <cell r="E8468" t="str">
            <v>AIC-MP-00002517-000</v>
          </cell>
          <cell r="F8468">
            <v>423264376034</v>
          </cell>
        </row>
        <row r="8469">
          <cell r="E8469" t="str">
            <v>AIC-MP-00002527-000</v>
          </cell>
          <cell r="F8469">
            <v>423264376034</v>
          </cell>
        </row>
        <row r="8470">
          <cell r="E8470" t="str">
            <v>AIC-MP-00002529-000</v>
          </cell>
          <cell r="F8470">
            <v>423264376034</v>
          </cell>
        </row>
        <row r="8471">
          <cell r="E8471" t="str">
            <v>AIC-MP-00002499-000</v>
          </cell>
          <cell r="F8471">
            <v>423264376034</v>
          </cell>
        </row>
        <row r="8472">
          <cell r="E8472" t="str">
            <v>AIC-MP-00002513-000</v>
          </cell>
          <cell r="F8472">
            <v>423264376034</v>
          </cell>
        </row>
        <row r="8473">
          <cell r="E8473" t="str">
            <v>AIC-MP-00002528-000</v>
          </cell>
          <cell r="F8473">
            <v>423264376034</v>
          </cell>
        </row>
        <row r="8474">
          <cell r="E8474" t="str">
            <v>AIC-MP-00002531-000</v>
          </cell>
          <cell r="F8474">
            <v>423264376034</v>
          </cell>
        </row>
        <row r="8475">
          <cell r="E8475" t="str">
            <v>AIC-MP-00002558-000</v>
          </cell>
          <cell r="F8475">
            <v>423264376034</v>
          </cell>
        </row>
        <row r="8476">
          <cell r="E8476" t="str">
            <v>AIC-MP-00002577-000</v>
          </cell>
          <cell r="F8476">
            <v>423264376034</v>
          </cell>
        </row>
        <row r="8477">
          <cell r="E8477" t="str">
            <v>AIC-MP-00002604-000</v>
          </cell>
          <cell r="F8477">
            <v>423264376034</v>
          </cell>
        </row>
        <row r="8478">
          <cell r="E8478" t="str">
            <v>AIC-MP-00002599-000</v>
          </cell>
          <cell r="F8478">
            <v>423264376034</v>
          </cell>
        </row>
        <row r="8479">
          <cell r="E8479" t="str">
            <v>EF-45036465</v>
          </cell>
          <cell r="F8479">
            <v>423264376034</v>
          </cell>
        </row>
        <row r="8480">
          <cell r="E8480" t="str">
            <v>AIC-121-005906</v>
          </cell>
          <cell r="F8480">
            <v>423264376034</v>
          </cell>
        </row>
        <row r="8481">
          <cell r="E8481" t="str">
            <v>121-000521.X.X</v>
          </cell>
          <cell r="F8481">
            <v>423264376034</v>
          </cell>
        </row>
        <row r="8482">
          <cell r="E8482" t="str">
            <v>LUC-EZZ-420822-00</v>
          </cell>
          <cell r="F8482">
            <v>423264376034</v>
          </cell>
        </row>
        <row r="8483">
          <cell r="E8483" t="str">
            <v>LUC-EZZ-420822-00</v>
          </cell>
          <cell r="F8483">
            <v>423264376034</v>
          </cell>
        </row>
        <row r="8484">
          <cell r="E8484" t="str">
            <v>LUC-E00-420025-03</v>
          </cell>
          <cell r="F8484">
            <v>423264376034</v>
          </cell>
        </row>
        <row r="8485">
          <cell r="E8485" t="str">
            <v>LUC-E00-420025-03</v>
          </cell>
          <cell r="F8485">
            <v>423264376034</v>
          </cell>
        </row>
        <row r="8486">
          <cell r="E8486" t="str">
            <v>LUC-E00-420025-02</v>
          </cell>
          <cell r="F8486">
            <v>423264376034</v>
          </cell>
        </row>
        <row r="8487">
          <cell r="E8487" t="str">
            <v>HLOB-13-0215-00</v>
          </cell>
          <cell r="F8487">
            <v>423264376034</v>
          </cell>
        </row>
        <row r="8488">
          <cell r="E8488" t="str">
            <v>HLOB-13-0001-00</v>
          </cell>
          <cell r="F8488">
            <v>423264376034</v>
          </cell>
        </row>
        <row r="8489">
          <cell r="E8489" t="str">
            <v>AIC-122-004447</v>
          </cell>
          <cell r="F8489">
            <v>423264376034</v>
          </cell>
        </row>
        <row r="8490">
          <cell r="E8490" t="str">
            <v>PUR-13-0237-00</v>
          </cell>
          <cell r="F8490">
            <v>423264376034</v>
          </cell>
        </row>
        <row r="8491">
          <cell r="E8491" t="str">
            <v>PURET-13-0028-00</v>
          </cell>
          <cell r="F8491">
            <v>423264376034</v>
          </cell>
        </row>
        <row r="8492">
          <cell r="E8492" t="str">
            <v>AIC-122-004339</v>
          </cell>
          <cell r="F8492">
            <v>423264376034</v>
          </cell>
        </row>
        <row r="8493">
          <cell r="E8493" t="str">
            <v>LUC-E00-450149-01</v>
          </cell>
          <cell r="F8493">
            <v>119209604418</v>
          </cell>
        </row>
        <row r="8494">
          <cell r="E8494" t="str">
            <v>LUC-EZZ-400209-00</v>
          </cell>
          <cell r="F8494">
            <v>119209604418</v>
          </cell>
        </row>
        <row r="8495">
          <cell r="E8495" t="str">
            <v>LUC-EZZ-400210-00</v>
          </cell>
          <cell r="F8495">
            <v>119209604418</v>
          </cell>
        </row>
        <row r="8496">
          <cell r="E8496" t="str">
            <v>PUR-13-0250-00</v>
          </cell>
          <cell r="F8496">
            <v>119209604418</v>
          </cell>
        </row>
        <row r="8497">
          <cell r="E8497" t="str">
            <v>PUR-09-0213-00</v>
          </cell>
          <cell r="F8497">
            <v>119209604418</v>
          </cell>
        </row>
        <row r="8498">
          <cell r="E8498" t="str">
            <v>PUR-09-0213-00</v>
          </cell>
          <cell r="F8498">
            <v>119209604418</v>
          </cell>
        </row>
        <row r="8499">
          <cell r="E8499" t="str">
            <v>HLOB-09-0213-00</v>
          </cell>
          <cell r="F8499">
            <v>119209604418</v>
          </cell>
        </row>
        <row r="8500">
          <cell r="E8500" t="str">
            <v>PUR-12-0505-00</v>
          </cell>
          <cell r="F8500">
            <v>119209604418</v>
          </cell>
        </row>
        <row r="8501">
          <cell r="E8501" t="str">
            <v>EF-45109584</v>
          </cell>
          <cell r="F8501">
            <v>119209604418</v>
          </cell>
        </row>
        <row r="8502">
          <cell r="E8502" t="str">
            <v>AIC-MP-00000207-000</v>
          </cell>
          <cell r="F8502">
            <v>119209604418</v>
          </cell>
        </row>
        <row r="8503">
          <cell r="E8503" t="str">
            <v>LUC-E00-440045-00</v>
          </cell>
          <cell r="F8503">
            <v>289571660855</v>
          </cell>
        </row>
        <row r="8504">
          <cell r="E8504" t="str">
            <v>LUC-E00-690010-00</v>
          </cell>
          <cell r="F8504">
            <v>289393488829</v>
          </cell>
        </row>
        <row r="8505">
          <cell r="E8505" t="str">
            <v>LUC-E00-690010-00</v>
          </cell>
          <cell r="F8505">
            <v>289393488829</v>
          </cell>
        </row>
        <row r="8506">
          <cell r="E8506" t="str">
            <v>122-004376</v>
          </cell>
          <cell r="F8506">
            <v>643036760954</v>
          </cell>
        </row>
        <row r="8507">
          <cell r="E8507" t="str">
            <v>122-004373</v>
          </cell>
          <cell r="F8507">
            <v>643036760954</v>
          </cell>
        </row>
        <row r="8508">
          <cell r="E8508" t="str">
            <v>AIC-MP-00002151-000</v>
          </cell>
          <cell r="F8508">
            <v>881872360651</v>
          </cell>
        </row>
        <row r="8509">
          <cell r="E8509" t="str">
            <v>AIC-123-001934</v>
          </cell>
          <cell r="F8509">
            <v>881904856342</v>
          </cell>
        </row>
        <row r="8510">
          <cell r="E8510" t="str">
            <v>AIC-123-001954</v>
          </cell>
          <cell r="F8510">
            <v>881904856342</v>
          </cell>
        </row>
        <row r="8511">
          <cell r="E8511" t="str">
            <v>LUC-EZZ-490306-00</v>
          </cell>
          <cell r="F8511">
            <v>1515721</v>
          </cell>
        </row>
        <row r="8512">
          <cell r="E8512" t="str">
            <v>LUC-EZZ-490310-04</v>
          </cell>
          <cell r="F8512">
            <v>1515721</v>
          </cell>
        </row>
        <row r="8513">
          <cell r="E8513" t="str">
            <v>LUC-EZZ-490304-04</v>
          </cell>
          <cell r="F8513">
            <v>1515721</v>
          </cell>
        </row>
        <row r="8514">
          <cell r="E8514" t="str">
            <v>LUC-EZZ-490307-01</v>
          </cell>
          <cell r="F8514">
            <v>1515721</v>
          </cell>
        </row>
        <row r="8515">
          <cell r="E8515" t="str">
            <v>LUC-EZZ-490304-04</v>
          </cell>
          <cell r="F8515">
            <v>1515721</v>
          </cell>
        </row>
        <row r="8516">
          <cell r="E8516" t="str">
            <v>PUR-13-0236-00</v>
          </cell>
          <cell r="F8516">
            <v>4914894613</v>
          </cell>
        </row>
        <row r="8517">
          <cell r="E8517" t="str">
            <v>PUR-13-0236-00</v>
          </cell>
          <cell r="F8517">
            <v>4914894613</v>
          </cell>
        </row>
        <row r="8518">
          <cell r="E8518" t="str">
            <v>HLOB-13-0236-00</v>
          </cell>
          <cell r="F8518">
            <v>4914894613</v>
          </cell>
        </row>
        <row r="8519">
          <cell r="E8519" t="str">
            <v>PUR-13-0236-00</v>
          </cell>
          <cell r="F8519">
            <v>4914894613</v>
          </cell>
        </row>
        <row r="8520">
          <cell r="E8520" t="str">
            <v>LUC-EZZ-440189-00</v>
          </cell>
          <cell r="F8520">
            <v>1599035255</v>
          </cell>
        </row>
        <row r="8521">
          <cell r="E8521" t="str">
            <v>LUC-E00-420059-00</v>
          </cell>
          <cell r="F8521">
            <v>1599035255</v>
          </cell>
        </row>
        <row r="8522">
          <cell r="E8522" t="str">
            <v>EF-45103947.X.X</v>
          </cell>
          <cell r="F8522">
            <v>1599035255</v>
          </cell>
        </row>
        <row r="8523">
          <cell r="E8523" t="str">
            <v>LUC-EZZ-400542-00</v>
          </cell>
          <cell r="F8523">
            <v>1599035255</v>
          </cell>
        </row>
        <row r="8524">
          <cell r="E8524" t="str">
            <v>LUC-E00-420015-00</v>
          </cell>
          <cell r="F8524">
            <v>1599035292</v>
          </cell>
        </row>
        <row r="8525">
          <cell r="E8525" t="str">
            <v>LUC-EZZ-421706-00</v>
          </cell>
          <cell r="F8525">
            <v>9509236284</v>
          </cell>
        </row>
        <row r="8526">
          <cell r="E8526" t="str">
            <v>AIC-BPM-UPG0000-D01</v>
          </cell>
          <cell r="F8526">
            <v>1516504334</v>
          </cell>
        </row>
        <row r="8527">
          <cell r="E8527" t="str">
            <v>AIC-BPM-UPS0001AC01</v>
          </cell>
          <cell r="F8527">
            <v>1516504334</v>
          </cell>
        </row>
        <row r="8528">
          <cell r="E8528" t="str">
            <v>PURET-24-0001-00</v>
          </cell>
          <cell r="F8528">
            <v>4711861437</v>
          </cell>
        </row>
        <row r="8529">
          <cell r="E8529" t="str">
            <v>HLOB-09-0408-00</v>
          </cell>
          <cell r="F8529">
            <v>4711861437</v>
          </cell>
        </row>
        <row r="8530">
          <cell r="E8530" t="str">
            <v>PUR-09-0408-00</v>
          </cell>
          <cell r="F8530">
            <v>4711861437</v>
          </cell>
        </row>
        <row r="8531">
          <cell r="E8531" t="str">
            <v>LUC-E00-420036-00</v>
          </cell>
          <cell r="F8531">
            <v>4711861437</v>
          </cell>
        </row>
        <row r="8532">
          <cell r="E8532" t="str">
            <v>LUC-E00-440022-00</v>
          </cell>
          <cell r="F8532">
            <v>4711861437</v>
          </cell>
        </row>
        <row r="8533">
          <cell r="E8533" t="str">
            <v>LUC-E00-400011-003</v>
          </cell>
          <cell r="F8533">
            <v>4711861437</v>
          </cell>
        </row>
        <row r="8534">
          <cell r="E8534" t="str">
            <v>LUC-EZZ-400608-00</v>
          </cell>
          <cell r="F8534">
            <v>4711861437</v>
          </cell>
        </row>
        <row r="8535">
          <cell r="E8535" t="str">
            <v>LUC-EZZ-400608-00</v>
          </cell>
          <cell r="F8535">
            <v>4711861437</v>
          </cell>
        </row>
        <row r="8536">
          <cell r="E8536" t="str">
            <v>LUC-E00-400034-090</v>
          </cell>
          <cell r="F8536">
            <v>4711861437</v>
          </cell>
        </row>
        <row r="8537">
          <cell r="E8537" t="str">
            <v>LUC-EZZ-420124-00</v>
          </cell>
          <cell r="F8537">
            <v>4711861437</v>
          </cell>
        </row>
        <row r="8538">
          <cell r="E8538" t="str">
            <v>LUC-E00-400034-069</v>
          </cell>
          <cell r="F8538">
            <v>4711861437</v>
          </cell>
        </row>
        <row r="8539">
          <cell r="E8539" t="str">
            <v>LUC-EZZ-420396-00</v>
          </cell>
          <cell r="F8539">
            <v>4711861437</v>
          </cell>
        </row>
        <row r="8540">
          <cell r="E8540" t="str">
            <v>PUR-13-0162-00</v>
          </cell>
          <cell r="F8540">
            <v>4711861437</v>
          </cell>
        </row>
        <row r="8541">
          <cell r="E8541" t="str">
            <v>PUR-25-0003-00</v>
          </cell>
          <cell r="F8541">
            <v>4711861437</v>
          </cell>
        </row>
        <row r="8542">
          <cell r="E8542" t="str">
            <v>LUC-E00-470252-00</v>
          </cell>
          <cell r="F8542">
            <v>4711861437</v>
          </cell>
        </row>
        <row r="8543">
          <cell r="E8543" t="str">
            <v>LUC-E00-420036-00</v>
          </cell>
          <cell r="F8543">
            <v>4711861437</v>
          </cell>
        </row>
        <row r="8544">
          <cell r="E8544" t="str">
            <v>LUC-E00-420036-00</v>
          </cell>
          <cell r="F8544">
            <v>4711861437</v>
          </cell>
        </row>
        <row r="8545">
          <cell r="E8545" t="str">
            <v>LUC-E00-420036-00</v>
          </cell>
          <cell r="F8545">
            <v>4711861437</v>
          </cell>
        </row>
        <row r="8546">
          <cell r="E8546" t="str">
            <v>PUR-27-0024-00</v>
          </cell>
          <cell r="F8546">
            <v>4711861437</v>
          </cell>
        </row>
        <row r="8547">
          <cell r="E8547" t="str">
            <v>PUR-27-0024-00</v>
          </cell>
          <cell r="F8547">
            <v>4711861437</v>
          </cell>
        </row>
        <row r="8548">
          <cell r="E8548" t="str">
            <v>PUR-12-0430-00</v>
          </cell>
          <cell r="F8548">
            <v>4711861437</v>
          </cell>
        </row>
        <row r="8549">
          <cell r="E8549" t="str">
            <v>PUR-12-0430-00</v>
          </cell>
          <cell r="F8549">
            <v>4711861437</v>
          </cell>
        </row>
        <row r="8550">
          <cell r="E8550" t="str">
            <v>PUR-13-0154-00</v>
          </cell>
          <cell r="F8550">
            <v>4711861437</v>
          </cell>
        </row>
        <row r="8551">
          <cell r="E8551" t="str">
            <v>HLOB-21-0026-00</v>
          </cell>
          <cell r="F8551">
            <v>4711861437</v>
          </cell>
        </row>
        <row r="8552">
          <cell r="E8552" t="str">
            <v>PUR-27-0024-00</v>
          </cell>
          <cell r="F8552">
            <v>4711861437</v>
          </cell>
        </row>
        <row r="8553">
          <cell r="E8553" t="str">
            <v>PUR-27-0024-00</v>
          </cell>
          <cell r="F8553">
            <v>4711861437</v>
          </cell>
        </row>
        <row r="8554">
          <cell r="E8554" t="str">
            <v>HLOB-21-0026-00</v>
          </cell>
          <cell r="F8554">
            <v>4711861437</v>
          </cell>
        </row>
        <row r="8555">
          <cell r="E8555" t="str">
            <v>LUC-E00-420068-00</v>
          </cell>
          <cell r="F8555">
            <v>4711861437</v>
          </cell>
        </row>
        <row r="8556">
          <cell r="E8556" t="str">
            <v>PUR-13-0131-00</v>
          </cell>
          <cell r="F8556">
            <v>4711861437</v>
          </cell>
        </row>
        <row r="8557">
          <cell r="E8557" t="str">
            <v>HLOB-12-0430-00</v>
          </cell>
          <cell r="F8557">
            <v>4711861437</v>
          </cell>
        </row>
        <row r="8558">
          <cell r="E8558" t="str">
            <v>LUC-E00-470331-00</v>
          </cell>
          <cell r="F8558">
            <v>4711861437</v>
          </cell>
        </row>
        <row r="8559">
          <cell r="E8559" t="str">
            <v>HLOB-21-0026-00</v>
          </cell>
          <cell r="F8559">
            <v>4711861437</v>
          </cell>
        </row>
        <row r="8560">
          <cell r="E8560" t="str">
            <v>PURET-13-0001-00</v>
          </cell>
          <cell r="F8560">
            <v>4711861437</v>
          </cell>
        </row>
        <row r="8561">
          <cell r="E8561" t="str">
            <v>PUR-14-0085-00</v>
          </cell>
          <cell r="F8561">
            <v>4711861437</v>
          </cell>
        </row>
        <row r="8562">
          <cell r="E8562" t="str">
            <v>HLOB-14-0085-00</v>
          </cell>
          <cell r="F8562">
            <v>4711861437</v>
          </cell>
        </row>
        <row r="8563">
          <cell r="E8563" t="str">
            <v>PUR-14-0085-00</v>
          </cell>
          <cell r="F8563">
            <v>4711861437</v>
          </cell>
        </row>
        <row r="8564">
          <cell r="E8564" t="str">
            <v>EF-45092354.X.X</v>
          </cell>
          <cell r="F8564">
            <v>4711861437</v>
          </cell>
        </row>
        <row r="8565">
          <cell r="E8565" t="str">
            <v>HLOB-09-0294-00</v>
          </cell>
          <cell r="F8565">
            <v>289689964338</v>
          </cell>
        </row>
        <row r="8566">
          <cell r="E8566" t="str">
            <v>HLOB-09-0294-00</v>
          </cell>
          <cell r="F8566">
            <v>289689964338</v>
          </cell>
        </row>
        <row r="8567">
          <cell r="E8567" t="str">
            <v>PUR-09-0502-00</v>
          </cell>
          <cell r="F8567">
            <v>452730450430</v>
          </cell>
        </row>
        <row r="8568">
          <cell r="E8568" t="str">
            <v>PUR-09-0233-00</v>
          </cell>
          <cell r="F8568">
            <v>452730450430</v>
          </cell>
        </row>
        <row r="8569">
          <cell r="E8569" t="str">
            <v>PUR-09-0233-00</v>
          </cell>
          <cell r="F8569">
            <v>452730450430</v>
          </cell>
        </row>
        <row r="8570">
          <cell r="E8570" t="str">
            <v>PUR-09-0233-00</v>
          </cell>
          <cell r="F8570">
            <v>452730450430</v>
          </cell>
        </row>
        <row r="8571">
          <cell r="E8571" t="str">
            <v>PUR-03-0095-00</v>
          </cell>
          <cell r="F8571">
            <v>444641853469</v>
          </cell>
        </row>
        <row r="8572">
          <cell r="E8572" t="str">
            <v>PUR-12-0475-00</v>
          </cell>
          <cell r="F8572">
            <v>881968015889</v>
          </cell>
        </row>
        <row r="8573">
          <cell r="E8573" t="str">
            <v>EF-45036483.X.X</v>
          </cell>
          <cell r="F8573">
            <v>881968015889</v>
          </cell>
        </row>
        <row r="8574">
          <cell r="E8574" t="str">
            <v>PURET-12-0170-00</v>
          </cell>
          <cell r="F8574">
            <v>881968015889</v>
          </cell>
        </row>
        <row r="8575">
          <cell r="E8575" t="str">
            <v>PUR-12-0317-00</v>
          </cell>
          <cell r="F8575">
            <v>881968015889</v>
          </cell>
        </row>
        <row r="8576">
          <cell r="E8576" t="str">
            <v>HLOB-12-0017-00</v>
          </cell>
          <cell r="F8576">
            <v>881968015889</v>
          </cell>
        </row>
        <row r="8577">
          <cell r="E8577" t="str">
            <v>HLOB-12-0017-00</v>
          </cell>
          <cell r="F8577">
            <v>881968015889</v>
          </cell>
        </row>
        <row r="8578">
          <cell r="E8578" t="str">
            <v>HLOB-12-0017-00</v>
          </cell>
          <cell r="F8578">
            <v>881968015889</v>
          </cell>
        </row>
        <row r="8579">
          <cell r="E8579" t="str">
            <v>HLOB-12-0294-00</v>
          </cell>
          <cell r="F8579">
            <v>881968015889</v>
          </cell>
        </row>
        <row r="8580">
          <cell r="E8580" t="str">
            <v>HLOB-12-0294-00</v>
          </cell>
          <cell r="F8580">
            <v>881968015889</v>
          </cell>
        </row>
        <row r="8581">
          <cell r="E8581" t="str">
            <v>HLOB-12-0294-00</v>
          </cell>
          <cell r="F8581">
            <v>881968015889</v>
          </cell>
        </row>
        <row r="8582">
          <cell r="E8582" t="str">
            <v>AIC-MP-00002804-000</v>
          </cell>
          <cell r="F8582">
            <v>643036761192</v>
          </cell>
        </row>
        <row r="8583">
          <cell r="E8583" t="str">
            <v>PUR-13-0235-00</v>
          </cell>
          <cell r="F8583">
            <v>463107393899</v>
          </cell>
        </row>
        <row r="8584">
          <cell r="E8584" t="str">
            <v>LUC-E00-470137-00</v>
          </cell>
          <cell r="F8584">
            <v>881822572222</v>
          </cell>
        </row>
        <row r="8585">
          <cell r="E8585" t="str">
            <v>HLOB-12-0170-00</v>
          </cell>
          <cell r="F8585">
            <v>881936986516</v>
          </cell>
        </row>
        <row r="8586">
          <cell r="E8586" t="str">
            <v>PUR-12-0431-00</v>
          </cell>
          <cell r="F8586">
            <v>881936986516</v>
          </cell>
        </row>
        <row r="8587">
          <cell r="E8587" t="str">
            <v>LUC-E00-450009-00</v>
          </cell>
          <cell r="F8587">
            <v>881936986516</v>
          </cell>
        </row>
        <row r="8588">
          <cell r="E8588" t="str">
            <v>LUC-E00-450009-00</v>
          </cell>
          <cell r="F8588">
            <v>881936986516</v>
          </cell>
        </row>
        <row r="8589">
          <cell r="E8589" t="str">
            <v>EF-45205757</v>
          </cell>
          <cell r="F8589">
            <v>289652445927</v>
          </cell>
        </row>
        <row r="8590">
          <cell r="E8590" t="str">
            <v>LUC-E00-690033-00</v>
          </cell>
          <cell r="F8590" t="str">
            <v>PHPH25058606</v>
          </cell>
        </row>
        <row r="8591">
          <cell r="E8591" t="str">
            <v>LUC-E00-690033-00</v>
          </cell>
          <cell r="F8591" t="str">
            <v>PHPH25058606</v>
          </cell>
        </row>
        <row r="8592">
          <cell r="E8592" t="str">
            <v>LUC-E00-690033-01</v>
          </cell>
          <cell r="F8592" t="str">
            <v>PHPH25058606</v>
          </cell>
        </row>
        <row r="8593">
          <cell r="E8593" t="str">
            <v>LUC-E00-690033-01</v>
          </cell>
          <cell r="F8593" t="str">
            <v>PHPH25058606</v>
          </cell>
        </row>
        <row r="8594">
          <cell r="E8594" t="str">
            <v>LUC-E00-690033-02</v>
          </cell>
          <cell r="F8594" t="str">
            <v>PHPH25058606</v>
          </cell>
        </row>
        <row r="8595">
          <cell r="E8595" t="str">
            <v>LUC-E00-690033-03</v>
          </cell>
          <cell r="F8595" t="str">
            <v>PHPH25058606</v>
          </cell>
        </row>
        <row r="8596">
          <cell r="E8596" t="str">
            <v>LUC-E00-690106-00</v>
          </cell>
          <cell r="F8596" t="str">
            <v>PHPH25058606</v>
          </cell>
        </row>
        <row r="8597">
          <cell r="E8597" t="str">
            <v>LUC-E00-690106-00</v>
          </cell>
          <cell r="F8597" t="str">
            <v>PHPH25058606</v>
          </cell>
        </row>
        <row r="8598">
          <cell r="E8598" t="str">
            <v>LUC-E00-690106-01</v>
          </cell>
          <cell r="F8598" t="str">
            <v>PHPH25058606</v>
          </cell>
        </row>
        <row r="8599">
          <cell r="E8599" t="str">
            <v>LUC-E00-690106-01</v>
          </cell>
          <cell r="F8599" t="str">
            <v>PHPH25058606</v>
          </cell>
        </row>
        <row r="8600">
          <cell r="E8600" t="str">
            <v>LUC-E00-440028-00</v>
          </cell>
          <cell r="F8600">
            <v>2899974162</v>
          </cell>
        </row>
        <row r="8601">
          <cell r="E8601" t="str">
            <v>LUC-E00-460008-00</v>
          </cell>
          <cell r="F8601">
            <v>2899974162</v>
          </cell>
        </row>
        <row r="8602">
          <cell r="E8602" t="str">
            <v>PUR-11-0065-06</v>
          </cell>
          <cell r="F8602" t="str">
            <v>LSZHPH2506139</v>
          </cell>
        </row>
        <row r="8603">
          <cell r="E8603" t="str">
            <v>PUR-11-0066-05</v>
          </cell>
          <cell r="F8603" t="str">
            <v>LSZHPH2506139</v>
          </cell>
        </row>
        <row r="8604">
          <cell r="E8604" t="str">
            <v>PUR-11-0065-06</v>
          </cell>
          <cell r="F8604" t="str">
            <v>LSZHPH2506139</v>
          </cell>
        </row>
        <row r="8605">
          <cell r="E8605" t="str">
            <v>LUC-P21-K61100-02</v>
          </cell>
          <cell r="F8605">
            <v>881970382211</v>
          </cell>
        </row>
        <row r="8606">
          <cell r="E8606" t="str">
            <v>LUC-P21-K61100-02</v>
          </cell>
          <cell r="F8606">
            <v>881970382211</v>
          </cell>
        </row>
        <row r="8607">
          <cell r="E8607" t="str">
            <v>LUC-P21-K61100-02</v>
          </cell>
          <cell r="F8607">
            <v>881970382211</v>
          </cell>
        </row>
        <row r="8608">
          <cell r="E8608" t="str">
            <v>LUC-P21-K61100-02</v>
          </cell>
          <cell r="F8608">
            <v>881970382211</v>
          </cell>
        </row>
        <row r="8609">
          <cell r="E8609" t="str">
            <v>PUR-03-0074-02</v>
          </cell>
          <cell r="F8609" t="str">
            <v>8TV6514</v>
          </cell>
        </row>
        <row r="8610">
          <cell r="E8610" t="str">
            <v>PUR-03-0074-02</v>
          </cell>
          <cell r="F8610" t="str">
            <v>8TV6513</v>
          </cell>
        </row>
        <row r="8611">
          <cell r="E8611" t="str">
            <v>LUC-P21-K61100-02</v>
          </cell>
          <cell r="F8611">
            <v>881998215442</v>
          </cell>
        </row>
        <row r="8612">
          <cell r="E8612" t="str">
            <v>LUC-P21-K61100-02</v>
          </cell>
          <cell r="F8612">
            <v>881998215442</v>
          </cell>
        </row>
        <row r="8613">
          <cell r="E8613" t="str">
            <v>LUC-E00-420072-01</v>
          </cell>
          <cell r="F8613">
            <v>4812818962</v>
          </cell>
        </row>
        <row r="8614">
          <cell r="E8614" t="str">
            <v>PUR-13-0238-00</v>
          </cell>
          <cell r="F8614">
            <v>4812818962</v>
          </cell>
        </row>
        <row r="8615">
          <cell r="E8615" t="str">
            <v>HLOB-13-0229-00</v>
          </cell>
          <cell r="F8615">
            <v>4812818962</v>
          </cell>
        </row>
        <row r="8616">
          <cell r="E8616" t="str">
            <v>PURET-13-0002-00</v>
          </cell>
          <cell r="F8616">
            <v>4812818962</v>
          </cell>
        </row>
        <row r="8617">
          <cell r="E8617" t="str">
            <v>PURET-13-0002-00</v>
          </cell>
          <cell r="F8617">
            <v>4812818962</v>
          </cell>
        </row>
        <row r="8618">
          <cell r="E8618" t="str">
            <v>PURET-13-0066-00</v>
          </cell>
          <cell r="F8618">
            <v>4812818962</v>
          </cell>
        </row>
        <row r="8619">
          <cell r="E8619" t="str">
            <v>HLOB-13-0138-00</v>
          </cell>
          <cell r="F8619">
            <v>4812818962</v>
          </cell>
        </row>
        <row r="8620">
          <cell r="E8620" t="str">
            <v>PUR-13-0155-00</v>
          </cell>
          <cell r="F8620">
            <v>4812818962</v>
          </cell>
        </row>
        <row r="8621">
          <cell r="E8621" t="str">
            <v>HLOB-13-0022-00</v>
          </cell>
          <cell r="F8621">
            <v>4812818962</v>
          </cell>
        </row>
        <row r="8622">
          <cell r="E8622" t="str">
            <v>HLOB-13-0009-00</v>
          </cell>
          <cell r="F8622">
            <v>4812818962</v>
          </cell>
        </row>
        <row r="8623">
          <cell r="E8623" t="str">
            <v>LUC-E00-420002-00</v>
          </cell>
          <cell r="F8623">
            <v>4812818962</v>
          </cell>
        </row>
        <row r="8624">
          <cell r="E8624" t="str">
            <v>LUC-E00-400059-098</v>
          </cell>
          <cell r="F8624">
            <v>4812818962</v>
          </cell>
        </row>
        <row r="8625">
          <cell r="E8625" t="str">
            <v>HLOB-13-0134-00</v>
          </cell>
          <cell r="F8625">
            <v>4812818962</v>
          </cell>
        </row>
        <row r="8626">
          <cell r="E8626" t="str">
            <v>PUR-12-0497-00</v>
          </cell>
          <cell r="F8626">
            <v>119209605995</v>
          </cell>
        </row>
        <row r="8627">
          <cell r="E8627" t="str">
            <v>LUC-E00-400010-008</v>
          </cell>
          <cell r="F8627">
            <v>119209605995</v>
          </cell>
        </row>
        <row r="8628">
          <cell r="E8628" t="str">
            <v>LUC-E00-450060-00</v>
          </cell>
          <cell r="F8628">
            <v>119209605995</v>
          </cell>
        </row>
        <row r="8629">
          <cell r="E8629" t="str">
            <v>EF-45056862.X.X</v>
          </cell>
          <cell r="F8629">
            <v>289689615846</v>
          </cell>
        </row>
        <row r="8630">
          <cell r="E8630" t="str">
            <v>PUR-09-0253-00</v>
          </cell>
          <cell r="F8630">
            <v>289689615846</v>
          </cell>
        </row>
        <row r="8631">
          <cell r="E8631" t="str">
            <v>AIC-MP-00007187-000</v>
          </cell>
          <cell r="F8631">
            <v>289689615846</v>
          </cell>
        </row>
        <row r="8632">
          <cell r="E8632" t="str">
            <v>PUR-09-0263-00</v>
          </cell>
          <cell r="F8632">
            <v>289689615846</v>
          </cell>
        </row>
        <row r="8633">
          <cell r="E8633" t="str">
            <v>PUR-13-0162-00</v>
          </cell>
          <cell r="F8633">
            <v>463107396122</v>
          </cell>
        </row>
        <row r="8634">
          <cell r="E8634" t="str">
            <v>HLOB-09-0279-00</v>
          </cell>
          <cell r="F8634">
            <v>463107396122</v>
          </cell>
        </row>
        <row r="8635">
          <cell r="E8635" t="str">
            <v>LUC-E00-400010-026</v>
          </cell>
          <cell r="F8635">
            <v>463107396122</v>
          </cell>
        </row>
        <row r="8636">
          <cell r="E8636" t="str">
            <v>LUC-E00-400028-001</v>
          </cell>
          <cell r="F8636">
            <v>463107396122</v>
          </cell>
        </row>
        <row r="8637">
          <cell r="E8637" t="str">
            <v>PUR-09-0434-00</v>
          </cell>
          <cell r="F8637">
            <v>463107396122</v>
          </cell>
        </row>
        <row r="8638">
          <cell r="E8638" t="str">
            <v>PUR-09-0434-00</v>
          </cell>
          <cell r="F8638">
            <v>463107396122</v>
          </cell>
        </row>
        <row r="8639">
          <cell r="E8639" t="str">
            <v>LUC-E00-470196-00</v>
          </cell>
          <cell r="F8639">
            <v>463107396122</v>
          </cell>
        </row>
        <row r="8640">
          <cell r="E8640" t="str">
            <v>LUC-E00-450070-00</v>
          </cell>
          <cell r="F8640">
            <v>463107396122</v>
          </cell>
        </row>
        <row r="8641">
          <cell r="E8641" t="str">
            <v>LUC-E00-470071-01</v>
          </cell>
          <cell r="F8641">
            <v>463107396122</v>
          </cell>
        </row>
        <row r="8642">
          <cell r="E8642" t="str">
            <v>EF-45055154.X.X</v>
          </cell>
          <cell r="F8642">
            <v>463107396122</v>
          </cell>
        </row>
        <row r="8643">
          <cell r="E8643" t="str">
            <v>LUC-EZZ-470811-00</v>
          </cell>
          <cell r="F8643">
            <v>463107396122</v>
          </cell>
        </row>
        <row r="8644">
          <cell r="E8644" t="str">
            <v>HLOB-09-0050-00</v>
          </cell>
          <cell r="F8644">
            <v>463107396122</v>
          </cell>
        </row>
        <row r="8645">
          <cell r="E8645" t="str">
            <v>EF-45055154.X.X</v>
          </cell>
          <cell r="F8645">
            <v>463107396122</v>
          </cell>
        </row>
        <row r="8646">
          <cell r="E8646" t="str">
            <v>HLOB-13-0235-00</v>
          </cell>
          <cell r="F8646">
            <v>463107396122</v>
          </cell>
        </row>
        <row r="8647">
          <cell r="E8647" t="str">
            <v>PUR-09-0324-00</v>
          </cell>
          <cell r="F8647">
            <v>463107396122</v>
          </cell>
        </row>
        <row r="8648">
          <cell r="E8648" t="str">
            <v>PUR-09-0324-00</v>
          </cell>
          <cell r="F8648">
            <v>463107396122</v>
          </cell>
        </row>
        <row r="8649">
          <cell r="E8649" t="str">
            <v>PUR-13-0235-00</v>
          </cell>
          <cell r="F8649">
            <v>463107396122</v>
          </cell>
        </row>
        <row r="8650">
          <cell r="E8650" t="str">
            <v>LUC-E00-470353-00</v>
          </cell>
          <cell r="F8650">
            <v>463107396122</v>
          </cell>
        </row>
        <row r="8651">
          <cell r="E8651" t="str">
            <v>LUC-E00-400025-09</v>
          </cell>
          <cell r="F8651">
            <v>463107396122</v>
          </cell>
        </row>
        <row r="8652">
          <cell r="E8652" t="str">
            <v>PUR-09-0422-00</v>
          </cell>
          <cell r="F8652">
            <v>463107396122</v>
          </cell>
        </row>
        <row r="8653">
          <cell r="E8653" t="str">
            <v>PUR-09-0324-00</v>
          </cell>
          <cell r="F8653">
            <v>463107396122</v>
          </cell>
        </row>
        <row r="8654">
          <cell r="E8654" t="str">
            <v>LUC-EZZ-440166-00</v>
          </cell>
          <cell r="F8654">
            <v>463107396122</v>
          </cell>
        </row>
        <row r="8655">
          <cell r="E8655" t="str">
            <v>LUC-E00-400025-01</v>
          </cell>
          <cell r="F8655">
            <v>463107396122</v>
          </cell>
        </row>
        <row r="8656">
          <cell r="E8656" t="str">
            <v>LUC-EZZ-470433-00</v>
          </cell>
          <cell r="F8656">
            <v>463107396122</v>
          </cell>
        </row>
        <row r="8657">
          <cell r="E8657" t="str">
            <v>PUR-09-0324-00</v>
          </cell>
          <cell r="F8657">
            <v>463107396122</v>
          </cell>
        </row>
        <row r="8658">
          <cell r="E8658" t="str">
            <v>PUR-09-0324-00</v>
          </cell>
          <cell r="F8658">
            <v>463107396122</v>
          </cell>
        </row>
        <row r="8659">
          <cell r="E8659" t="str">
            <v>PUR-09-0329-00</v>
          </cell>
          <cell r="F8659">
            <v>463107396122</v>
          </cell>
        </row>
        <row r="8660">
          <cell r="E8660" t="str">
            <v>LUC-E00-400010-002</v>
          </cell>
          <cell r="F8660">
            <v>463107396122</v>
          </cell>
        </row>
        <row r="8661">
          <cell r="E8661" t="str">
            <v>LUC-E00-440172-00</v>
          </cell>
          <cell r="F8661">
            <v>463107396122</v>
          </cell>
        </row>
        <row r="8662">
          <cell r="E8662" t="str">
            <v>PUR-09-0324-00</v>
          </cell>
          <cell r="F8662">
            <v>463107396122</v>
          </cell>
        </row>
        <row r="8663">
          <cell r="E8663" t="str">
            <v>LUC-EZZ-470181-00</v>
          </cell>
          <cell r="F8663">
            <v>463107396122</v>
          </cell>
        </row>
        <row r="8664">
          <cell r="E8664" t="str">
            <v>PUR-09-0329-00</v>
          </cell>
          <cell r="F8664">
            <v>463107396122</v>
          </cell>
        </row>
        <row r="8665">
          <cell r="E8665" t="str">
            <v>LUC-E00-420027-05</v>
          </cell>
          <cell r="F8665">
            <v>463107396122</v>
          </cell>
        </row>
        <row r="8666">
          <cell r="E8666" t="str">
            <v>PUR-09-0434-00</v>
          </cell>
          <cell r="F8666">
            <v>463107396122</v>
          </cell>
        </row>
        <row r="8667">
          <cell r="E8667" t="str">
            <v>LUC-E00-400003-21</v>
          </cell>
          <cell r="F8667">
            <v>463107396122</v>
          </cell>
        </row>
        <row r="8668">
          <cell r="E8668" t="str">
            <v>LUC-EZZ-400264-00</v>
          </cell>
          <cell r="F8668">
            <v>463107396122</v>
          </cell>
        </row>
        <row r="8669">
          <cell r="E8669" t="str">
            <v>PUR-13-0235-00</v>
          </cell>
          <cell r="F8669">
            <v>463107396122</v>
          </cell>
        </row>
        <row r="8670">
          <cell r="E8670" t="str">
            <v>LUC-E00-450070-00</v>
          </cell>
          <cell r="F8670">
            <v>463107396122</v>
          </cell>
        </row>
        <row r="8671">
          <cell r="E8671" t="str">
            <v>LUC-E00-400028-002</v>
          </cell>
          <cell r="F8671">
            <v>463107396122</v>
          </cell>
        </row>
        <row r="8672">
          <cell r="E8672" t="str">
            <v>LUC-EZZ-400434-00</v>
          </cell>
          <cell r="F8672">
            <v>463107396122</v>
          </cell>
        </row>
        <row r="8673">
          <cell r="E8673" t="str">
            <v>LUC-EZZ-400201-00</v>
          </cell>
          <cell r="F8673">
            <v>463107396122</v>
          </cell>
        </row>
        <row r="8674">
          <cell r="E8674" t="str">
            <v>EF-45156109</v>
          </cell>
          <cell r="F8674">
            <v>463107396122</v>
          </cell>
        </row>
        <row r="8675">
          <cell r="E8675" t="str">
            <v>HLOB-09-0434-00</v>
          </cell>
          <cell r="F8675">
            <v>463107396122</v>
          </cell>
        </row>
        <row r="8676">
          <cell r="E8676" t="str">
            <v>LUC-E00-460007-00</v>
          </cell>
          <cell r="F8676">
            <v>463107396122</v>
          </cell>
        </row>
        <row r="8677">
          <cell r="E8677" t="str">
            <v>PUR-09-0256-00</v>
          </cell>
          <cell r="F8677">
            <v>463107396122</v>
          </cell>
        </row>
        <row r="8678">
          <cell r="E8678" t="str">
            <v>HLOB-09-0050-00</v>
          </cell>
          <cell r="F8678">
            <v>3455560102</v>
          </cell>
        </row>
        <row r="8679">
          <cell r="E8679" t="str">
            <v>PURET-12-0084-00</v>
          </cell>
          <cell r="F8679">
            <v>3455560102</v>
          </cell>
        </row>
        <row r="8680">
          <cell r="E8680" t="str">
            <v>HLOB-13-0125-00</v>
          </cell>
          <cell r="F8680">
            <v>3455560102</v>
          </cell>
        </row>
        <row r="8681">
          <cell r="E8681" t="str">
            <v>LUC-E00-460007-01</v>
          </cell>
          <cell r="F8681">
            <v>3455560102</v>
          </cell>
        </row>
        <row r="8682">
          <cell r="E8682" t="str">
            <v>LUC-E00-460006-00</v>
          </cell>
          <cell r="F8682">
            <v>3455560102</v>
          </cell>
        </row>
        <row r="8683">
          <cell r="E8683" t="str">
            <v>LUC-EZZ-450231-00</v>
          </cell>
          <cell r="F8683">
            <v>3455560102</v>
          </cell>
        </row>
        <row r="8684">
          <cell r="E8684" t="str">
            <v>PUR-14-0077-00</v>
          </cell>
          <cell r="F8684">
            <v>3455560102</v>
          </cell>
        </row>
        <row r="8685">
          <cell r="E8685" t="str">
            <v>PUR-14-0077-00</v>
          </cell>
          <cell r="F8685">
            <v>3455560102</v>
          </cell>
        </row>
        <row r="8686">
          <cell r="E8686" t="str">
            <v>PUR-13-0125-00</v>
          </cell>
          <cell r="F8686">
            <v>3455560102</v>
          </cell>
        </row>
        <row r="8687">
          <cell r="E8687" t="str">
            <v>PUR-13-0125-00</v>
          </cell>
          <cell r="F8687">
            <v>3455560102</v>
          </cell>
        </row>
        <row r="8688">
          <cell r="E8688" t="str">
            <v>HLOB-14-0077-00</v>
          </cell>
          <cell r="F8688">
            <v>3455560102</v>
          </cell>
        </row>
        <row r="8689">
          <cell r="E8689" t="str">
            <v>LUC-E00-460006-00</v>
          </cell>
          <cell r="F8689">
            <v>3455560102</v>
          </cell>
        </row>
        <row r="8690">
          <cell r="E8690" t="str">
            <v>LUC-E00-460007-01</v>
          </cell>
          <cell r="F8690">
            <v>3455560102</v>
          </cell>
        </row>
        <row r="8691">
          <cell r="E8691" t="str">
            <v>LUC-EZZ-420151-00</v>
          </cell>
          <cell r="F8691">
            <v>3455560102</v>
          </cell>
        </row>
        <row r="8692">
          <cell r="E8692" t="str">
            <v>LUC-E00-400028-06</v>
          </cell>
          <cell r="F8692">
            <v>3455560102</v>
          </cell>
        </row>
        <row r="8693">
          <cell r="E8693" t="str">
            <v>LUC-E00-450100-00</v>
          </cell>
          <cell r="F8693">
            <v>3455560102</v>
          </cell>
        </row>
        <row r="8694">
          <cell r="E8694" t="str">
            <v>LUC-E00-460006-00</v>
          </cell>
          <cell r="F8694">
            <v>3455560102</v>
          </cell>
        </row>
        <row r="8695">
          <cell r="E8695" t="str">
            <v>LUC-EZZ-400801-00</v>
          </cell>
          <cell r="F8695">
            <v>3455560102</v>
          </cell>
        </row>
        <row r="8696">
          <cell r="E8696" t="str">
            <v>LUC-EZZ-690758-00</v>
          </cell>
          <cell r="F8696">
            <v>3455560102</v>
          </cell>
        </row>
        <row r="8697">
          <cell r="E8697" t="str">
            <v>LUC-EZZ-400036-00</v>
          </cell>
          <cell r="F8697">
            <v>3455560102</v>
          </cell>
        </row>
        <row r="8698">
          <cell r="E8698" t="str">
            <v>LUC-E00-400001-003</v>
          </cell>
          <cell r="F8698">
            <v>3455560102</v>
          </cell>
        </row>
        <row r="8699">
          <cell r="E8699" t="str">
            <v>EF-45042452</v>
          </cell>
          <cell r="F8699">
            <v>3455560102</v>
          </cell>
        </row>
        <row r="8700">
          <cell r="E8700" t="str">
            <v>EF-45139805</v>
          </cell>
          <cell r="F8700">
            <v>3455560102</v>
          </cell>
        </row>
        <row r="8701">
          <cell r="E8701" t="str">
            <v>PUR-27-0020-00</v>
          </cell>
          <cell r="F8701">
            <v>3455560102</v>
          </cell>
        </row>
        <row r="8702">
          <cell r="E8702" t="str">
            <v>EF-45108861.X.X</v>
          </cell>
          <cell r="F8702">
            <v>3455560102</v>
          </cell>
        </row>
        <row r="8703">
          <cell r="E8703" t="str">
            <v>EF-45108861.X.X</v>
          </cell>
          <cell r="F8703">
            <v>3455560102</v>
          </cell>
        </row>
        <row r="8704">
          <cell r="E8704" t="str">
            <v>EF-45135159</v>
          </cell>
          <cell r="F8704">
            <v>3455560102</v>
          </cell>
        </row>
        <row r="8705">
          <cell r="E8705" t="str">
            <v>HLOB-12-0084-00</v>
          </cell>
          <cell r="F8705">
            <v>3455560102</v>
          </cell>
        </row>
        <row r="8706">
          <cell r="E8706" t="str">
            <v>EF-45092354.X.X</v>
          </cell>
          <cell r="F8706">
            <v>3455560102</v>
          </cell>
        </row>
        <row r="8707">
          <cell r="E8707" t="str">
            <v>PURET-14-0022-00</v>
          </cell>
          <cell r="F8707">
            <v>3455560102</v>
          </cell>
        </row>
        <row r="8708">
          <cell r="E8708" t="str">
            <v>PUR-14-0049-00</v>
          </cell>
          <cell r="F8708">
            <v>3455560102</v>
          </cell>
        </row>
        <row r="8709">
          <cell r="E8709" t="str">
            <v>LUC-EZZ-490230-04</v>
          </cell>
          <cell r="F8709">
            <v>1515749</v>
          </cell>
        </row>
        <row r="8710">
          <cell r="E8710" t="str">
            <v>LUC-EZZ-490230-05</v>
          </cell>
          <cell r="F8710">
            <v>1515749</v>
          </cell>
        </row>
        <row r="8711">
          <cell r="E8711" t="str">
            <v>LUC-EZZ-490231-05</v>
          </cell>
          <cell r="F8711">
            <v>1515749</v>
          </cell>
        </row>
        <row r="8712">
          <cell r="E8712" t="str">
            <v>LUC-EZZ-490315-02</v>
          </cell>
          <cell r="F8712">
            <v>1515749</v>
          </cell>
        </row>
        <row r="8713">
          <cell r="E8713" t="str">
            <v>HLOB-03-0113-00</v>
          </cell>
          <cell r="F8713" t="str">
            <v>8TV6519</v>
          </cell>
        </row>
        <row r="8714">
          <cell r="E8714" t="str">
            <v>HLOB-03-0113-00</v>
          </cell>
          <cell r="F8714" t="str">
            <v>8TV6520</v>
          </cell>
        </row>
        <row r="8715">
          <cell r="E8715" t="str">
            <v>HLOB-03-0113-00</v>
          </cell>
          <cell r="F8715" t="str">
            <v>8TV6521</v>
          </cell>
        </row>
        <row r="8716">
          <cell r="E8716" t="str">
            <v>HLOB-03-0113-00</v>
          </cell>
          <cell r="F8716" t="str">
            <v>8TV6522</v>
          </cell>
        </row>
        <row r="8717">
          <cell r="E8717" t="str">
            <v>HLOB-03-0113-00</v>
          </cell>
          <cell r="F8717" t="str">
            <v>8TV6523</v>
          </cell>
        </row>
        <row r="8718">
          <cell r="E8718" t="str">
            <v>HLOB-03-0114-00</v>
          </cell>
          <cell r="F8718" t="str">
            <v>8TV6536</v>
          </cell>
        </row>
        <row r="8719">
          <cell r="E8719" t="str">
            <v>PUR-03-0095-00</v>
          </cell>
          <cell r="F8719">
            <v>444641854590</v>
          </cell>
        </row>
        <row r="8720">
          <cell r="E8720" t="str">
            <v>PUR-03-0095-00</v>
          </cell>
          <cell r="F8720">
            <v>444641854590</v>
          </cell>
        </row>
        <row r="8721">
          <cell r="E8721" t="str">
            <v>PUR-03-0095-00</v>
          </cell>
          <cell r="F8721">
            <v>444641854590</v>
          </cell>
        </row>
        <row r="8722">
          <cell r="E8722" t="str">
            <v>LUC-E00-470111-00</v>
          </cell>
          <cell r="F8722">
            <v>4110325555</v>
          </cell>
        </row>
        <row r="8723">
          <cell r="E8723" t="str">
            <v>LUC-EZZ-470097-01</v>
          </cell>
          <cell r="F8723">
            <v>4110325556</v>
          </cell>
        </row>
        <row r="8724">
          <cell r="E8724" t="str">
            <v>LUC-EZZ-690241-00</v>
          </cell>
          <cell r="F8724">
            <v>4110325586</v>
          </cell>
        </row>
        <row r="8725">
          <cell r="E8725" t="str">
            <v>LUC-EZZ-690241-00</v>
          </cell>
          <cell r="F8725">
            <v>4110325586</v>
          </cell>
        </row>
        <row r="8726">
          <cell r="E8726" t="str">
            <v>LUC-EZZ-691595-00</v>
          </cell>
          <cell r="F8726">
            <v>4110325604</v>
          </cell>
        </row>
        <row r="8727">
          <cell r="E8727" t="str">
            <v>HLOB-05-0032-00</v>
          </cell>
          <cell r="F8727">
            <v>3455561325</v>
          </cell>
        </row>
        <row r="8728">
          <cell r="E8728" t="str">
            <v>PUR-05-0032-00</v>
          </cell>
          <cell r="F8728">
            <v>3455561325</v>
          </cell>
        </row>
        <row r="8729">
          <cell r="E8729" t="str">
            <v>PUR-05-0032-00</v>
          </cell>
          <cell r="F8729">
            <v>3455561325</v>
          </cell>
        </row>
        <row r="8730">
          <cell r="E8730" t="str">
            <v>PUR-05-0031-00</v>
          </cell>
          <cell r="F8730">
            <v>3455561325</v>
          </cell>
        </row>
        <row r="8731">
          <cell r="E8731" t="str">
            <v>PUR-05-0031-00</v>
          </cell>
          <cell r="F8731">
            <v>3455561325</v>
          </cell>
        </row>
        <row r="8732">
          <cell r="E8732" t="str">
            <v>PURET-12-0029-00</v>
          </cell>
          <cell r="F8732">
            <v>882043442907</v>
          </cell>
        </row>
        <row r="8733">
          <cell r="E8733" t="str">
            <v>PURET-12-0029-00</v>
          </cell>
          <cell r="F8733">
            <v>882043442907</v>
          </cell>
        </row>
        <row r="8734">
          <cell r="E8734" t="str">
            <v>HLOB-12-0029-00</v>
          </cell>
          <cell r="F8734">
            <v>882043442907</v>
          </cell>
        </row>
        <row r="8735">
          <cell r="E8735" t="str">
            <v>PURET-12-0029-00</v>
          </cell>
          <cell r="F8735">
            <v>882043442907</v>
          </cell>
        </row>
        <row r="8736">
          <cell r="E8736" t="str">
            <v>PURET-12-0029-00</v>
          </cell>
          <cell r="F8736">
            <v>882043442907</v>
          </cell>
        </row>
        <row r="8737">
          <cell r="E8737" t="str">
            <v>LUC-E00-400012-17</v>
          </cell>
          <cell r="F8737">
            <v>882043442907</v>
          </cell>
        </row>
        <row r="8738">
          <cell r="E8738" t="str">
            <v>LUC-E00-510020-00</v>
          </cell>
          <cell r="F8738">
            <v>882043442907</v>
          </cell>
        </row>
        <row r="8739">
          <cell r="E8739" t="str">
            <v>LUC-E00-470093-00</v>
          </cell>
          <cell r="F8739">
            <v>289647996808</v>
          </cell>
        </row>
        <row r="8740">
          <cell r="E8740" t="str">
            <v>EF-45130606</v>
          </cell>
          <cell r="F8740">
            <v>289647996808</v>
          </cell>
        </row>
        <row r="8741">
          <cell r="E8741" t="str">
            <v>EF-45130606</v>
          </cell>
          <cell r="F8741">
            <v>289647996808</v>
          </cell>
        </row>
        <row r="8742">
          <cell r="E8742" t="str">
            <v>EF-45205872</v>
          </cell>
          <cell r="F8742">
            <v>461596475984</v>
          </cell>
        </row>
        <row r="8743">
          <cell r="E8743" t="str">
            <v>HLOB-12-0482-00</v>
          </cell>
          <cell r="F8743">
            <v>881964490169</v>
          </cell>
        </row>
        <row r="8744">
          <cell r="E8744" t="str">
            <v>PUR-12-0482-00</v>
          </cell>
          <cell r="F8744">
            <v>881964490169</v>
          </cell>
        </row>
        <row r="8745">
          <cell r="E8745" t="str">
            <v>LUC-E00-450046-00</v>
          </cell>
          <cell r="F8745">
            <v>881964490169</v>
          </cell>
        </row>
        <row r="8746">
          <cell r="E8746" t="str">
            <v>LUC-E00-450046-00</v>
          </cell>
          <cell r="F8746">
            <v>881964490169</v>
          </cell>
        </row>
        <row r="8747">
          <cell r="E8747" t="str">
            <v>LUC-E00-450046-00</v>
          </cell>
          <cell r="F8747">
            <v>881964490169</v>
          </cell>
        </row>
        <row r="8748">
          <cell r="E8748" t="str">
            <v>LUC-E00-470045-00</v>
          </cell>
          <cell r="F8748">
            <v>459669710506</v>
          </cell>
        </row>
        <row r="8749">
          <cell r="E8749" t="str">
            <v>LUC-E00-470079-00</v>
          </cell>
          <cell r="F8749">
            <v>459669710506</v>
          </cell>
        </row>
        <row r="8750">
          <cell r="E8750" t="str">
            <v>EF-45076928.X.X</v>
          </cell>
          <cell r="F8750">
            <v>459669710506</v>
          </cell>
        </row>
        <row r="8751">
          <cell r="E8751" t="str">
            <v>LUC-E00-400010-000</v>
          </cell>
          <cell r="F8751">
            <v>445170436670</v>
          </cell>
        </row>
        <row r="8752">
          <cell r="E8752" t="str">
            <v>LUC-EZZ-470114-00</v>
          </cell>
          <cell r="F8752">
            <v>445170436854</v>
          </cell>
        </row>
        <row r="8753">
          <cell r="E8753" t="str">
            <v>LUC-E00-420072-00</v>
          </cell>
          <cell r="F8753">
            <v>458836759261</v>
          </cell>
        </row>
        <row r="8754">
          <cell r="E8754" t="str">
            <v>LUC-EZZ-440192-00</v>
          </cell>
          <cell r="F8754">
            <v>458836759261</v>
          </cell>
        </row>
        <row r="8755">
          <cell r="E8755" t="str">
            <v>LUC-E00-420072-00</v>
          </cell>
          <cell r="F8755">
            <v>458836759261</v>
          </cell>
        </row>
        <row r="8756">
          <cell r="E8756" t="str">
            <v>LUC-E00-470112-00</v>
          </cell>
          <cell r="F8756">
            <v>445170437493</v>
          </cell>
        </row>
        <row r="8757">
          <cell r="E8757" t="str">
            <v>LUC-E00-400003-43</v>
          </cell>
          <cell r="F8757">
            <v>445170436545</v>
          </cell>
        </row>
        <row r="8758">
          <cell r="E8758" t="str">
            <v>LUC-E00-440013-00</v>
          </cell>
          <cell r="F8758">
            <v>458171549327</v>
          </cell>
        </row>
        <row r="8759">
          <cell r="E8759" t="str">
            <v>LUC-E00-440014-00</v>
          </cell>
          <cell r="F8759">
            <v>458171549327</v>
          </cell>
        </row>
        <row r="8760">
          <cell r="E8760" t="str">
            <v>LUC-E00-440044-00</v>
          </cell>
          <cell r="F8760">
            <v>458171549327</v>
          </cell>
        </row>
        <row r="8761">
          <cell r="E8761" t="str">
            <v>LUC-E00-440048-00</v>
          </cell>
          <cell r="F8761">
            <v>458171549327</v>
          </cell>
        </row>
        <row r="8762">
          <cell r="E8762" t="str">
            <v>LUC-E00-440124-00</v>
          </cell>
          <cell r="F8762">
            <v>458171549327</v>
          </cell>
        </row>
        <row r="8763">
          <cell r="E8763" t="str">
            <v>LUC-EZZ-440018-00</v>
          </cell>
          <cell r="F8763">
            <v>458171549327</v>
          </cell>
        </row>
        <row r="8764">
          <cell r="E8764" t="str">
            <v>LUC-EZZ-440028-00</v>
          </cell>
          <cell r="F8764">
            <v>458171549327</v>
          </cell>
        </row>
        <row r="8765">
          <cell r="E8765" t="str">
            <v>LUC-EZZ-440031-00</v>
          </cell>
          <cell r="F8765">
            <v>458171549327</v>
          </cell>
        </row>
        <row r="8766">
          <cell r="E8766" t="str">
            <v>LUC-EZZ-440031-00</v>
          </cell>
          <cell r="F8766">
            <v>458171549327</v>
          </cell>
        </row>
        <row r="8767">
          <cell r="E8767" t="str">
            <v>LUC-EZZ-440162-00</v>
          </cell>
          <cell r="F8767">
            <v>458171549327</v>
          </cell>
        </row>
        <row r="8768">
          <cell r="E8768" t="str">
            <v>EF-45130938</v>
          </cell>
          <cell r="F8768">
            <v>458171549327</v>
          </cell>
        </row>
        <row r="8769">
          <cell r="E8769" t="str">
            <v>LUC-E00-440077-02</v>
          </cell>
          <cell r="F8769">
            <v>458171549327</v>
          </cell>
        </row>
        <row r="8770">
          <cell r="E8770" t="str">
            <v>LUC-E00-440051-01</v>
          </cell>
          <cell r="F8770">
            <v>458171549327</v>
          </cell>
        </row>
        <row r="8771">
          <cell r="E8771" t="str">
            <v>LUC-EZZ-470139-00</v>
          </cell>
          <cell r="F8771">
            <v>445170437758</v>
          </cell>
        </row>
        <row r="8772">
          <cell r="E8772" t="str">
            <v>EF-45056968.X.X</v>
          </cell>
          <cell r="F8772">
            <v>463107385927</v>
          </cell>
        </row>
        <row r="8773">
          <cell r="E8773" t="str">
            <v>LUC-EZZ-470248-02</v>
          </cell>
          <cell r="F8773">
            <v>463107386030</v>
          </cell>
        </row>
        <row r="8774">
          <cell r="E8774" t="str">
            <v>LUC-EZZ-470248-02</v>
          </cell>
          <cell r="F8774">
            <v>463107386030</v>
          </cell>
        </row>
        <row r="8775">
          <cell r="E8775" t="str">
            <v>LUC-EZZ-400554-00</v>
          </cell>
          <cell r="F8775">
            <v>466219542112</v>
          </cell>
        </row>
        <row r="8776">
          <cell r="E8776" t="str">
            <v>103-000216.X.X</v>
          </cell>
          <cell r="F8776">
            <v>730610853120</v>
          </cell>
        </row>
        <row r="8777">
          <cell r="E8777" t="str">
            <v>103-000216.X.X</v>
          </cell>
          <cell r="F8777">
            <v>730610853120</v>
          </cell>
        </row>
        <row r="8778">
          <cell r="E8778" t="str">
            <v>PUR-14-0087-00</v>
          </cell>
          <cell r="F8778">
            <v>466219586913</v>
          </cell>
        </row>
        <row r="8779">
          <cell r="E8779" t="str">
            <v>AIC-MP-00003255-000</v>
          </cell>
          <cell r="F8779">
            <v>464456075313</v>
          </cell>
        </row>
        <row r="8780">
          <cell r="E8780" t="str">
            <v>AIC-MP-00004727-000</v>
          </cell>
          <cell r="F8780">
            <v>464456075313</v>
          </cell>
        </row>
        <row r="8781">
          <cell r="E8781" t="str">
            <v>LUC-E00-400067-152</v>
          </cell>
          <cell r="F8781">
            <v>464456075313</v>
          </cell>
        </row>
        <row r="8782">
          <cell r="E8782" t="str">
            <v>AIC-MP-00002375-000</v>
          </cell>
          <cell r="F8782">
            <v>464456075313</v>
          </cell>
        </row>
        <row r="8783">
          <cell r="E8783" t="str">
            <v>AIC-MP-00003346-000</v>
          </cell>
          <cell r="F8783">
            <v>464456075313</v>
          </cell>
        </row>
        <row r="8784">
          <cell r="E8784" t="str">
            <v>AIC-MP-00007060-000</v>
          </cell>
          <cell r="F8784">
            <v>464456075313</v>
          </cell>
        </row>
        <row r="8785">
          <cell r="E8785" t="str">
            <v>AIC-121-005903</v>
          </cell>
          <cell r="F8785">
            <v>464456075313</v>
          </cell>
        </row>
        <row r="8786">
          <cell r="E8786" t="str">
            <v>PUR-14-0086-00</v>
          </cell>
          <cell r="F8786">
            <v>466219585950</v>
          </cell>
        </row>
        <row r="8787">
          <cell r="E8787" t="str">
            <v>PUR-14-0086-00</v>
          </cell>
          <cell r="F8787">
            <v>466219585950</v>
          </cell>
        </row>
        <row r="8788">
          <cell r="E8788" t="str">
            <v>PUR-14-0086-00</v>
          </cell>
          <cell r="F8788">
            <v>466219585950</v>
          </cell>
        </row>
        <row r="8789">
          <cell r="E8789" t="str">
            <v>LUC-E00-420027-05</v>
          </cell>
          <cell r="F8789">
            <v>466219585950</v>
          </cell>
        </row>
        <row r="8790">
          <cell r="E8790" t="str">
            <v>LUC-E00-400054-01</v>
          </cell>
          <cell r="F8790">
            <v>466219585950</v>
          </cell>
        </row>
        <row r="8791">
          <cell r="E8791" t="str">
            <v>PUR-14-0086-00</v>
          </cell>
          <cell r="F8791">
            <v>466219585950</v>
          </cell>
        </row>
        <row r="8792">
          <cell r="E8792" t="str">
            <v>PUR-14-0086-00</v>
          </cell>
          <cell r="F8792">
            <v>466219585950</v>
          </cell>
        </row>
        <row r="8793">
          <cell r="E8793" t="str">
            <v>LUC-E00-470029-00</v>
          </cell>
          <cell r="F8793">
            <v>466219585950</v>
          </cell>
        </row>
        <row r="8794">
          <cell r="E8794" t="str">
            <v>LUC-EZZ-470096-00</v>
          </cell>
          <cell r="F8794">
            <v>466219585950</v>
          </cell>
        </row>
        <row r="8795">
          <cell r="E8795" t="str">
            <v>PUR-14-0086-00</v>
          </cell>
          <cell r="F8795">
            <v>466219585950</v>
          </cell>
        </row>
        <row r="8796">
          <cell r="E8796" t="str">
            <v>LUC-E00-400025-09</v>
          </cell>
          <cell r="F8796">
            <v>466219585950</v>
          </cell>
        </row>
        <row r="8797">
          <cell r="E8797" t="str">
            <v>LUC-E00-470031-00</v>
          </cell>
          <cell r="F8797">
            <v>466219585950</v>
          </cell>
        </row>
        <row r="8798">
          <cell r="E8798" t="str">
            <v>LUC-E00-470472-00</v>
          </cell>
          <cell r="F8798">
            <v>466219585950</v>
          </cell>
        </row>
        <row r="8799">
          <cell r="E8799" t="str">
            <v>PUR-09-0324-00</v>
          </cell>
          <cell r="F8799">
            <v>466219585950</v>
          </cell>
        </row>
        <row r="8800">
          <cell r="E8800" t="str">
            <v>LUC-E00-440030-00</v>
          </cell>
          <cell r="F8800">
            <v>409298788570</v>
          </cell>
        </row>
        <row r="8801">
          <cell r="E8801" t="str">
            <v>LUC-EZZ-400609-00</v>
          </cell>
          <cell r="F8801">
            <v>409298788570</v>
          </cell>
        </row>
        <row r="8802">
          <cell r="E8802" t="str">
            <v>LUC-EZZ-420403-00</v>
          </cell>
          <cell r="F8802">
            <v>409298788570</v>
          </cell>
        </row>
        <row r="8803">
          <cell r="E8803" t="str">
            <v>EF-45236387</v>
          </cell>
          <cell r="F8803">
            <v>881904755480</v>
          </cell>
        </row>
        <row r="8804">
          <cell r="E8804" t="str">
            <v>EF-45046347.X.X</v>
          </cell>
          <cell r="F8804">
            <v>881904755480</v>
          </cell>
        </row>
        <row r="8805">
          <cell r="E8805" t="str">
            <v>LUC-E00-450241-00</v>
          </cell>
          <cell r="F8805">
            <v>882021831067</v>
          </cell>
        </row>
        <row r="8806">
          <cell r="E8806" t="str">
            <v>LUC-126-002390-RB</v>
          </cell>
          <cell r="F8806">
            <v>882021831067</v>
          </cell>
        </row>
        <row r="8807">
          <cell r="E8807" t="str">
            <v>LUC-EZZ-400213-00</v>
          </cell>
          <cell r="F8807">
            <v>882021831067</v>
          </cell>
        </row>
        <row r="8808">
          <cell r="E8808" t="str">
            <v>PURET-13-0091-00</v>
          </cell>
          <cell r="F8808">
            <v>434611763463</v>
          </cell>
        </row>
        <row r="8809">
          <cell r="E8809" t="str">
            <v>PUR-18-0518-00</v>
          </cell>
          <cell r="F8809">
            <v>881933655314</v>
          </cell>
        </row>
        <row r="8810">
          <cell r="E8810" t="str">
            <v>EF-45079903.X.X</v>
          </cell>
          <cell r="F8810">
            <v>420225800666</v>
          </cell>
        </row>
        <row r="8811">
          <cell r="E8811" t="str">
            <v>EF-45142345</v>
          </cell>
          <cell r="F8811">
            <v>881964713217</v>
          </cell>
        </row>
        <row r="8812">
          <cell r="E8812" t="str">
            <v>LUC-E00-440045-00</v>
          </cell>
          <cell r="F8812">
            <v>289614319591</v>
          </cell>
        </row>
        <row r="8813">
          <cell r="E8813" t="str">
            <v>LUC-E00-690032-00</v>
          </cell>
          <cell r="F8813">
            <v>289679004646</v>
          </cell>
        </row>
        <row r="8814">
          <cell r="E8814" t="str">
            <v>LUC-E00-690011-00</v>
          </cell>
          <cell r="F8814">
            <v>289679004646</v>
          </cell>
        </row>
        <row r="8815">
          <cell r="E8815" t="str">
            <v>LUC-EZZ-440129-00</v>
          </cell>
          <cell r="F8815">
            <v>289679004646</v>
          </cell>
        </row>
        <row r="8816">
          <cell r="E8816" t="str">
            <v>PUR-16-0035-00</v>
          </cell>
          <cell r="F8816">
            <v>881998825520</v>
          </cell>
        </row>
        <row r="8817">
          <cell r="E8817" t="str">
            <v>PUR-07-0167-00</v>
          </cell>
          <cell r="F8817">
            <v>881999220768</v>
          </cell>
        </row>
        <row r="8818">
          <cell r="E8818" t="str">
            <v>AIC-MP-00007068-000</v>
          </cell>
          <cell r="F8818">
            <v>881995465410</v>
          </cell>
        </row>
        <row r="8819">
          <cell r="E8819" t="str">
            <v>PURET-13-0028-00</v>
          </cell>
          <cell r="F8819">
            <v>881970465759</v>
          </cell>
        </row>
        <row r="8820">
          <cell r="E8820" t="str">
            <v>LUC-E00-470109-00</v>
          </cell>
          <cell r="F8820">
            <v>453074943953</v>
          </cell>
        </row>
        <row r="8821">
          <cell r="E8821" t="str">
            <v>LUC-E00-690029-00</v>
          </cell>
          <cell r="F8821">
            <v>881970387614</v>
          </cell>
        </row>
        <row r="8822">
          <cell r="E8822" t="str">
            <v>LUC-E00-400010-000</v>
          </cell>
          <cell r="F8822">
            <v>412069741670</v>
          </cell>
        </row>
        <row r="8823">
          <cell r="E8823" t="str">
            <v>PUR-03-0082-02</v>
          </cell>
          <cell r="F8823">
            <v>463636894557</v>
          </cell>
        </row>
        <row r="8824">
          <cell r="E8824" t="str">
            <v>HLOB-17-0283-02</v>
          </cell>
          <cell r="F8824" t="str">
            <v>KNQ7</v>
          </cell>
        </row>
        <row r="8825">
          <cell r="E8825" t="str">
            <v>HLOB-17-0283-02</v>
          </cell>
          <cell r="F8825" t="str">
            <v>KNQ7</v>
          </cell>
        </row>
        <row r="8826">
          <cell r="E8826" t="str">
            <v>EF-45102320</v>
          </cell>
          <cell r="F8826" t="str">
            <v>BSJSZ0085316</v>
          </cell>
        </row>
        <row r="8827">
          <cell r="E8827" t="str">
            <v>EF-45146847</v>
          </cell>
          <cell r="F8827" t="str">
            <v>BSJSZ0085316</v>
          </cell>
        </row>
        <row r="8828">
          <cell r="E8828" t="str">
            <v>EF-45146851</v>
          </cell>
          <cell r="F8828" t="str">
            <v>BSJSZ0085316</v>
          </cell>
        </row>
        <row r="8829">
          <cell r="E8829" t="str">
            <v>EF-45146844</v>
          </cell>
          <cell r="F8829" t="str">
            <v>BSJSZ0085316</v>
          </cell>
        </row>
        <row r="8830">
          <cell r="E8830" t="str">
            <v>PUR-03-0096-02</v>
          </cell>
          <cell r="F8830" t="str">
            <v>8TV6537</v>
          </cell>
        </row>
        <row r="8831">
          <cell r="E8831" t="str">
            <v>EF-45165680</v>
          </cell>
          <cell r="F8831">
            <v>466332647920</v>
          </cell>
        </row>
        <row r="8832">
          <cell r="E8832" t="str">
            <v>LUC-E00-470081-00</v>
          </cell>
          <cell r="F8832">
            <v>445170436876</v>
          </cell>
        </row>
        <row r="8833">
          <cell r="E8833" t="str">
            <v>LUC-E00-400010-016</v>
          </cell>
          <cell r="F8833">
            <v>445170436626</v>
          </cell>
        </row>
        <row r="8834">
          <cell r="E8834" t="str">
            <v>LUC-EZZ-400242-00</v>
          </cell>
          <cell r="F8834">
            <v>445170436740</v>
          </cell>
        </row>
        <row r="8835">
          <cell r="E8835" t="str">
            <v>LUC-E00-450084-00</v>
          </cell>
          <cell r="F8835">
            <v>445170437975</v>
          </cell>
        </row>
        <row r="8836">
          <cell r="E8836" t="str">
            <v>LUC-E00-400010-050</v>
          </cell>
          <cell r="F8836">
            <v>445170438170</v>
          </cell>
        </row>
        <row r="8837">
          <cell r="E8837" t="str">
            <v>AIC-MP-IC007306-S01</v>
          </cell>
          <cell r="F8837">
            <v>289744165340</v>
          </cell>
        </row>
        <row r="8838">
          <cell r="E8838" t="str">
            <v>LUC-126-002390-RB</v>
          </cell>
          <cell r="F8838">
            <v>289744165340</v>
          </cell>
        </row>
        <row r="8839">
          <cell r="E8839" t="str">
            <v>LUC-E00-400003-43</v>
          </cell>
          <cell r="F8839">
            <v>445170438158</v>
          </cell>
        </row>
        <row r="8840">
          <cell r="E8840" t="str">
            <v>EF-45130022</v>
          </cell>
          <cell r="F8840">
            <v>881989903568</v>
          </cell>
        </row>
        <row r="8841">
          <cell r="E8841" t="str">
            <v>141-002725</v>
          </cell>
          <cell r="F8841">
            <v>882046971608</v>
          </cell>
        </row>
        <row r="8842">
          <cell r="E8842" t="str">
            <v>141-002725</v>
          </cell>
          <cell r="F8842">
            <v>882046971608</v>
          </cell>
        </row>
        <row r="8843">
          <cell r="E8843" t="str">
            <v>PUR-03-0082-02</v>
          </cell>
          <cell r="F8843">
            <v>463636883663</v>
          </cell>
        </row>
        <row r="8844">
          <cell r="E8844" t="str">
            <v>AIC-MP-IC006563-S01</v>
          </cell>
          <cell r="F8844">
            <v>882044089874</v>
          </cell>
        </row>
        <row r="8845">
          <cell r="E8845" t="str">
            <v>LUC-E00-450036-00</v>
          </cell>
          <cell r="F8845">
            <v>3161265015</v>
          </cell>
        </row>
        <row r="8846">
          <cell r="E8846" t="str">
            <v>LUC-E00-450148-01</v>
          </cell>
          <cell r="F8846">
            <v>3161265015</v>
          </cell>
        </row>
        <row r="8847">
          <cell r="E8847" t="str">
            <v>LUC-E00-460001-01</v>
          </cell>
          <cell r="F8847">
            <v>3161265015</v>
          </cell>
        </row>
        <row r="8848">
          <cell r="E8848" t="str">
            <v>LUC-E00-460023-00</v>
          </cell>
          <cell r="F8848">
            <v>3161265015</v>
          </cell>
        </row>
        <row r="8849">
          <cell r="E8849" t="str">
            <v>LUC-E00-450029-00</v>
          </cell>
          <cell r="F8849">
            <v>3161265015</v>
          </cell>
        </row>
        <row r="8850">
          <cell r="E8850" t="str">
            <v>LUC-E00-450148-01</v>
          </cell>
          <cell r="F8850">
            <v>3161265015</v>
          </cell>
        </row>
        <row r="8851">
          <cell r="E8851" t="str">
            <v>LUC-E00-510015-00</v>
          </cell>
          <cell r="F8851">
            <v>3161265015</v>
          </cell>
        </row>
        <row r="8852">
          <cell r="E8852" t="str">
            <v>LUC-EZZ-451277-00</v>
          </cell>
          <cell r="F8852">
            <v>3161265015</v>
          </cell>
        </row>
        <row r="8853">
          <cell r="E8853" t="str">
            <v>LUC-E00-450044-00</v>
          </cell>
          <cell r="F8853">
            <v>3161265015</v>
          </cell>
        </row>
        <row r="8854">
          <cell r="E8854" t="str">
            <v>LUC-E00-450044-00</v>
          </cell>
          <cell r="F8854">
            <v>3161265015</v>
          </cell>
        </row>
        <row r="8855">
          <cell r="E8855" t="str">
            <v>LUC-E00-450044-00</v>
          </cell>
          <cell r="F8855">
            <v>3161265015</v>
          </cell>
        </row>
        <row r="8856">
          <cell r="E8856" t="str">
            <v>LUC-EZZ-510640-00</v>
          </cell>
          <cell r="F8856">
            <v>3161265015</v>
          </cell>
        </row>
        <row r="8857">
          <cell r="E8857" t="str">
            <v>LUC-EZZ-470424-00</v>
          </cell>
          <cell r="F8857">
            <v>3161265015</v>
          </cell>
        </row>
        <row r="8858">
          <cell r="E8858" t="str">
            <v>LUC-E00-510112-00</v>
          </cell>
          <cell r="F8858">
            <v>3161265015</v>
          </cell>
        </row>
        <row r="8859">
          <cell r="E8859" t="str">
            <v>LUC-E00-420056-01</v>
          </cell>
          <cell r="F8859">
            <v>3161265015</v>
          </cell>
        </row>
        <row r="8860">
          <cell r="E8860" t="str">
            <v>LUC-E00-420056-01</v>
          </cell>
          <cell r="F8860">
            <v>3161265015</v>
          </cell>
        </row>
        <row r="8861">
          <cell r="E8861" t="str">
            <v>LUC-E00-420056-01</v>
          </cell>
          <cell r="F8861">
            <v>3161265015</v>
          </cell>
        </row>
        <row r="8862">
          <cell r="E8862" t="str">
            <v>LUC-EZZ-421047-00</v>
          </cell>
          <cell r="F8862">
            <v>3161265015</v>
          </cell>
        </row>
        <row r="8863">
          <cell r="E8863" t="str">
            <v>LUC-EZZ-420013-00</v>
          </cell>
          <cell r="F8863">
            <v>3161265015</v>
          </cell>
        </row>
        <row r="8864">
          <cell r="E8864" t="str">
            <v>LUC-E00-450044-00</v>
          </cell>
          <cell r="F8864">
            <v>3161265015</v>
          </cell>
        </row>
        <row r="8865">
          <cell r="E8865" t="str">
            <v>LUC-EZZ-470424-00</v>
          </cell>
          <cell r="F8865">
            <v>3161265015</v>
          </cell>
        </row>
        <row r="8866">
          <cell r="E8866" t="str">
            <v>LUC-EZZ-450108-00</v>
          </cell>
          <cell r="F8866">
            <v>3161265015</v>
          </cell>
        </row>
        <row r="8867">
          <cell r="E8867" t="str">
            <v>LUC-EZZ-421047-00</v>
          </cell>
          <cell r="F8867">
            <v>3161265015</v>
          </cell>
        </row>
        <row r="8868">
          <cell r="E8868" t="str">
            <v>LUC-E00-470048-00</v>
          </cell>
          <cell r="F8868">
            <v>3161265015</v>
          </cell>
        </row>
        <row r="8869">
          <cell r="E8869" t="str">
            <v>LUC-E00-470063-00</v>
          </cell>
          <cell r="F8869">
            <v>3161265015</v>
          </cell>
        </row>
        <row r="8870">
          <cell r="E8870" t="str">
            <v>LUC-EZZ-420046-00</v>
          </cell>
          <cell r="F8870">
            <v>3161265015</v>
          </cell>
        </row>
        <row r="8871">
          <cell r="E8871" t="str">
            <v>LUC-E00-420027-03</v>
          </cell>
          <cell r="F8871">
            <v>3161265015</v>
          </cell>
        </row>
        <row r="8872">
          <cell r="E8872" t="str">
            <v>LUC-E00-510021-00</v>
          </cell>
          <cell r="F8872">
            <v>3161265015</v>
          </cell>
        </row>
        <row r="8873">
          <cell r="E8873" t="str">
            <v>LUC-E00-440026-00</v>
          </cell>
          <cell r="F8873">
            <v>3161265015</v>
          </cell>
        </row>
        <row r="8874">
          <cell r="E8874" t="str">
            <v>LUC-E00-440026-00</v>
          </cell>
          <cell r="F8874">
            <v>3161265015</v>
          </cell>
        </row>
        <row r="8875">
          <cell r="E8875" t="str">
            <v>LUC-E00-440026-00</v>
          </cell>
          <cell r="F8875">
            <v>3161265015</v>
          </cell>
        </row>
        <row r="8876">
          <cell r="E8876" t="str">
            <v>LUC-E00-440026-00</v>
          </cell>
          <cell r="F8876">
            <v>3161265015</v>
          </cell>
        </row>
        <row r="8877">
          <cell r="E8877" t="str">
            <v>LUC-E00-440026-00</v>
          </cell>
          <cell r="F8877">
            <v>3161265015</v>
          </cell>
        </row>
        <row r="8878">
          <cell r="E8878" t="str">
            <v>LUC-E00-440026-00</v>
          </cell>
          <cell r="F8878">
            <v>3161265015</v>
          </cell>
        </row>
        <row r="8879">
          <cell r="E8879" t="str">
            <v>LUC-E00-470020-01</v>
          </cell>
          <cell r="F8879">
            <v>3161265015</v>
          </cell>
        </row>
        <row r="8880">
          <cell r="E8880" t="str">
            <v>LUC-E00-420027-03</v>
          </cell>
          <cell r="F8880">
            <v>3161265015</v>
          </cell>
        </row>
        <row r="8881">
          <cell r="E8881" t="str">
            <v>LUC-E00-480014-00</v>
          </cell>
          <cell r="F8881">
            <v>3161265015</v>
          </cell>
        </row>
        <row r="8882">
          <cell r="E8882" t="str">
            <v>LUC-E00-420027-03</v>
          </cell>
          <cell r="F8882">
            <v>3161265015</v>
          </cell>
        </row>
        <row r="8883">
          <cell r="E8883" t="str">
            <v>LUC-EZZ-510640-00</v>
          </cell>
          <cell r="F8883">
            <v>3161265015</v>
          </cell>
        </row>
        <row r="8884">
          <cell r="E8884" t="str">
            <v>LUC-E00-510017-00</v>
          </cell>
          <cell r="F8884">
            <v>3161265015</v>
          </cell>
        </row>
        <row r="8885">
          <cell r="E8885" t="str">
            <v>LUC-E00-480014-00</v>
          </cell>
          <cell r="F8885">
            <v>3161265015</v>
          </cell>
        </row>
        <row r="8886">
          <cell r="E8886" t="str">
            <v>LUC-EZZ-420507-00</v>
          </cell>
          <cell r="F8886">
            <v>3161265015</v>
          </cell>
        </row>
        <row r="8887">
          <cell r="E8887" t="str">
            <v>LUC-E00-450043-00</v>
          </cell>
          <cell r="F8887">
            <v>3161265015</v>
          </cell>
        </row>
        <row r="8888">
          <cell r="E8888" t="str">
            <v>LUC-E00-450043-00</v>
          </cell>
          <cell r="F8888">
            <v>3161265015</v>
          </cell>
        </row>
        <row r="8889">
          <cell r="E8889" t="str">
            <v>LUC-E00-450043-00</v>
          </cell>
          <cell r="F8889">
            <v>3161265015</v>
          </cell>
        </row>
        <row r="8890">
          <cell r="E8890" t="str">
            <v>LUC-E00-450043-00</v>
          </cell>
          <cell r="F8890">
            <v>3161265015</v>
          </cell>
        </row>
        <row r="8891">
          <cell r="E8891" t="str">
            <v>LUC-E00-450043-00</v>
          </cell>
          <cell r="F8891">
            <v>3161265015</v>
          </cell>
        </row>
        <row r="8892">
          <cell r="E8892" t="str">
            <v>LUC-E00-510045-00</v>
          </cell>
          <cell r="F8892">
            <v>3161265015</v>
          </cell>
        </row>
        <row r="8893">
          <cell r="E8893" t="str">
            <v>LUC-E00-470301-00</v>
          </cell>
          <cell r="F8893">
            <v>3161265015</v>
          </cell>
        </row>
        <row r="8894">
          <cell r="E8894" t="str">
            <v>LUC-EZZ-420398-00</v>
          </cell>
          <cell r="F8894">
            <v>3161265015</v>
          </cell>
        </row>
        <row r="8895">
          <cell r="E8895" t="str">
            <v>LUC-EZZ-420490-00</v>
          </cell>
          <cell r="F8895">
            <v>3161265015</v>
          </cell>
        </row>
        <row r="8896">
          <cell r="E8896" t="str">
            <v>LUC-EZZ-420174-00</v>
          </cell>
          <cell r="F8896">
            <v>3161265015</v>
          </cell>
        </row>
        <row r="8897">
          <cell r="E8897" t="str">
            <v>LUC-EZZ-400194-00</v>
          </cell>
          <cell r="F8897">
            <v>3161265015</v>
          </cell>
        </row>
        <row r="8898">
          <cell r="E8898" t="str">
            <v>LUC-EZZ-460737-00</v>
          </cell>
          <cell r="F8898">
            <v>3161265015</v>
          </cell>
        </row>
        <row r="8899">
          <cell r="E8899" t="str">
            <v>LUC-EZZ-420102-00</v>
          </cell>
          <cell r="F8899">
            <v>3161265015</v>
          </cell>
        </row>
        <row r="8900">
          <cell r="E8900" t="str">
            <v>LUC-EZZ-420189-00</v>
          </cell>
          <cell r="F8900">
            <v>3161265015</v>
          </cell>
        </row>
        <row r="8901">
          <cell r="E8901" t="str">
            <v>LUC-EZZ-420189-00</v>
          </cell>
          <cell r="F8901">
            <v>3161265015</v>
          </cell>
        </row>
        <row r="8902">
          <cell r="E8902" t="str">
            <v>LUC-EZZ-420189-00</v>
          </cell>
          <cell r="F8902">
            <v>3161265015</v>
          </cell>
        </row>
        <row r="8903">
          <cell r="E8903" t="str">
            <v>LUC-EZZ-450112-00</v>
          </cell>
          <cell r="F8903">
            <v>3161265015</v>
          </cell>
        </row>
        <row r="8904">
          <cell r="E8904" t="str">
            <v>LUC-EZZ-450112-00</v>
          </cell>
          <cell r="F8904">
            <v>3161265015</v>
          </cell>
        </row>
        <row r="8905">
          <cell r="E8905" t="str">
            <v>LUC-EZZ-450112-00</v>
          </cell>
          <cell r="F8905">
            <v>3161265015</v>
          </cell>
        </row>
        <row r="8906">
          <cell r="E8906" t="str">
            <v>LUC-EZZ-510639-00</v>
          </cell>
          <cell r="F8906">
            <v>3161265015</v>
          </cell>
        </row>
        <row r="8907">
          <cell r="E8907" t="str">
            <v>LUC-E00-400010-047</v>
          </cell>
          <cell r="F8907">
            <v>3161265015</v>
          </cell>
        </row>
        <row r="8908">
          <cell r="E8908" t="str">
            <v>LUC-EZZ-420136-00</v>
          </cell>
          <cell r="F8908">
            <v>3161265015</v>
          </cell>
        </row>
        <row r="8909">
          <cell r="E8909" t="str">
            <v>LUC-E00-420050-00</v>
          </cell>
          <cell r="F8909">
            <v>3161265015</v>
          </cell>
        </row>
        <row r="8910">
          <cell r="E8910" t="str">
            <v>LUC-E00-420050-00</v>
          </cell>
          <cell r="F8910">
            <v>3161265015</v>
          </cell>
        </row>
        <row r="8911">
          <cell r="E8911" t="str">
            <v>LUC-E00-470020-01</v>
          </cell>
          <cell r="F8911">
            <v>3161265015</v>
          </cell>
        </row>
        <row r="8912">
          <cell r="E8912" t="str">
            <v>LUC-E00-470122-01</v>
          </cell>
          <cell r="F8912">
            <v>3161265015</v>
          </cell>
        </row>
        <row r="8913">
          <cell r="E8913" t="str">
            <v>LUC-E00-470033-00</v>
          </cell>
          <cell r="F8913">
            <v>3161265015</v>
          </cell>
        </row>
        <row r="8914">
          <cell r="E8914" t="str">
            <v>LUC-E00-470123-00</v>
          </cell>
          <cell r="F8914">
            <v>3161265015</v>
          </cell>
        </row>
        <row r="8915">
          <cell r="E8915" t="str">
            <v>LUC-E00-470123-00</v>
          </cell>
          <cell r="F8915">
            <v>3161265015</v>
          </cell>
        </row>
        <row r="8916">
          <cell r="E8916" t="str">
            <v>LUC-E00-460001-01</v>
          </cell>
          <cell r="F8916">
            <v>3161265015</v>
          </cell>
        </row>
        <row r="8917">
          <cell r="E8917" t="str">
            <v>LUC-E00-440028-00</v>
          </cell>
          <cell r="F8917">
            <v>3161265015</v>
          </cell>
        </row>
        <row r="8918">
          <cell r="E8918" t="str">
            <v>LUC-E00-470059-00</v>
          </cell>
          <cell r="F8918">
            <v>3161265015</v>
          </cell>
        </row>
        <row r="8919">
          <cell r="E8919" t="str">
            <v>LUC-E00-470059-00</v>
          </cell>
          <cell r="F8919">
            <v>3161265015</v>
          </cell>
        </row>
        <row r="8920">
          <cell r="E8920" t="str">
            <v>LUC-E00-510066-00</v>
          </cell>
          <cell r="F8920">
            <v>3161265015</v>
          </cell>
        </row>
        <row r="8921">
          <cell r="E8921" t="str">
            <v>LUC-EZZ-440042-00</v>
          </cell>
          <cell r="F8921">
            <v>3161265015</v>
          </cell>
        </row>
        <row r="8922">
          <cell r="E8922" t="str">
            <v>LUC-EZZ-420121-00</v>
          </cell>
          <cell r="F8922">
            <v>3161265015</v>
          </cell>
        </row>
        <row r="8923">
          <cell r="E8923" t="str">
            <v>LUC-EZZ-420089-00</v>
          </cell>
          <cell r="F8923">
            <v>3161265015</v>
          </cell>
        </row>
        <row r="8924">
          <cell r="E8924" t="str">
            <v>LUC-EZZ-421706-00</v>
          </cell>
          <cell r="F8924">
            <v>3161265015</v>
          </cell>
        </row>
        <row r="8925">
          <cell r="E8925" t="str">
            <v>LUC-EZZ-421706-00</v>
          </cell>
          <cell r="F8925">
            <v>3161265015</v>
          </cell>
        </row>
        <row r="8926">
          <cell r="E8926" t="str">
            <v>LUC-E00-510014-00</v>
          </cell>
          <cell r="F8926">
            <v>3161265015</v>
          </cell>
        </row>
        <row r="8927">
          <cell r="E8927" t="str">
            <v>LUC-E00-510014-00</v>
          </cell>
          <cell r="F8927">
            <v>3161265015</v>
          </cell>
        </row>
        <row r="8928">
          <cell r="E8928" t="str">
            <v>LUC-E00-470089-00</v>
          </cell>
          <cell r="F8928">
            <v>3161265015</v>
          </cell>
        </row>
        <row r="8929">
          <cell r="E8929" t="str">
            <v>LUC-E00-470343-00</v>
          </cell>
          <cell r="F8929">
            <v>3161265015</v>
          </cell>
        </row>
        <row r="8930">
          <cell r="E8930" t="str">
            <v>LUC-E00-470004-00</v>
          </cell>
          <cell r="F8930">
            <v>3161265015</v>
          </cell>
        </row>
        <row r="8931">
          <cell r="E8931" t="str">
            <v>LUC-E00-510082-00</v>
          </cell>
          <cell r="F8931">
            <v>3161265015</v>
          </cell>
        </row>
        <row r="8932">
          <cell r="E8932" t="str">
            <v>LUC-E00-470301-00</v>
          </cell>
          <cell r="F8932">
            <v>3161265015</v>
          </cell>
        </row>
        <row r="8933">
          <cell r="E8933" t="str">
            <v>LUC-E00-470301-00</v>
          </cell>
          <cell r="F8933">
            <v>3161265015</v>
          </cell>
        </row>
        <row r="8934">
          <cell r="E8934" t="str">
            <v>LUC-E00-420054-04</v>
          </cell>
          <cell r="F8934">
            <v>3161265015</v>
          </cell>
        </row>
        <row r="8935">
          <cell r="E8935" t="str">
            <v>LUC-E00-470123-00</v>
          </cell>
          <cell r="F8935">
            <v>3161265015</v>
          </cell>
        </row>
        <row r="8936">
          <cell r="E8936" t="str">
            <v>LUC-E00-440028-00</v>
          </cell>
          <cell r="F8936">
            <v>3161265015</v>
          </cell>
        </row>
        <row r="8937">
          <cell r="E8937" t="str">
            <v>LUC-E00-510030-00</v>
          </cell>
          <cell r="F8937">
            <v>3161265015</v>
          </cell>
        </row>
        <row r="8938">
          <cell r="E8938" t="str">
            <v>LUC-E00-420055-09</v>
          </cell>
          <cell r="F8938">
            <v>3161265015</v>
          </cell>
        </row>
        <row r="8939">
          <cell r="E8939" t="str">
            <v>LUC-E00-460015-01</v>
          </cell>
          <cell r="F8939">
            <v>3161265015</v>
          </cell>
        </row>
        <row r="8940">
          <cell r="E8940" t="str">
            <v>LUC-E00-450148-01</v>
          </cell>
          <cell r="F8940">
            <v>3161265015</v>
          </cell>
        </row>
        <row r="8941">
          <cell r="E8941" t="str">
            <v>LUC-E00-420057-00</v>
          </cell>
          <cell r="F8941">
            <v>3161265015</v>
          </cell>
        </row>
        <row r="8942">
          <cell r="E8942" t="str">
            <v>LUC-E00-510001-00</v>
          </cell>
          <cell r="F8942">
            <v>3161265015</v>
          </cell>
        </row>
        <row r="8943">
          <cell r="E8943" t="str">
            <v>LUC-E00-510112-00</v>
          </cell>
          <cell r="F8943">
            <v>3161265015</v>
          </cell>
        </row>
        <row r="8944">
          <cell r="E8944" t="str">
            <v>LUC-EZZ-420507-00</v>
          </cell>
          <cell r="F8944">
            <v>3161265015</v>
          </cell>
        </row>
        <row r="8945">
          <cell r="E8945" t="str">
            <v>LUC-EZZ-420507-00</v>
          </cell>
          <cell r="F8945">
            <v>3161265015</v>
          </cell>
        </row>
        <row r="8946">
          <cell r="E8946" t="str">
            <v>LUC-E00-470175-00</v>
          </cell>
          <cell r="F8946">
            <v>3161265015</v>
          </cell>
        </row>
        <row r="8947">
          <cell r="E8947" t="str">
            <v>LUC-E00-450132-00</v>
          </cell>
          <cell r="F8947">
            <v>3161265015</v>
          </cell>
        </row>
        <row r="8948">
          <cell r="E8948" t="str">
            <v>PUR-09-0329-00</v>
          </cell>
          <cell r="F8948">
            <v>3161265015</v>
          </cell>
        </row>
        <row r="8949">
          <cell r="E8949" t="str">
            <v>LUC-EZZ-420002-00</v>
          </cell>
          <cell r="F8949">
            <v>3161265015</v>
          </cell>
        </row>
        <row r="8950">
          <cell r="E8950" t="str">
            <v>LUC-EZZ-420046-00</v>
          </cell>
          <cell r="F8950">
            <v>3161265015</v>
          </cell>
        </row>
        <row r="8951">
          <cell r="E8951" t="str">
            <v>LUC-EZZ-420046-00</v>
          </cell>
          <cell r="F8951">
            <v>3161265015</v>
          </cell>
        </row>
        <row r="8952">
          <cell r="E8952" t="str">
            <v>LUC-EZZ-420002-00</v>
          </cell>
          <cell r="F8952">
            <v>3161265015</v>
          </cell>
        </row>
        <row r="8953">
          <cell r="E8953" t="str">
            <v>LUC-E00-510084-00</v>
          </cell>
          <cell r="F8953">
            <v>3161265015</v>
          </cell>
        </row>
        <row r="8954">
          <cell r="E8954" t="str">
            <v>LUC-E00-450052-00</v>
          </cell>
          <cell r="F8954">
            <v>3161265015</v>
          </cell>
        </row>
        <row r="8955">
          <cell r="E8955" t="str">
            <v>LUC-E00-480006-00</v>
          </cell>
          <cell r="F8955">
            <v>3161265015</v>
          </cell>
        </row>
        <row r="8956">
          <cell r="E8956" t="str">
            <v>LUC-E00-420171-00</v>
          </cell>
          <cell r="F8956">
            <v>3161265015</v>
          </cell>
        </row>
        <row r="8957">
          <cell r="E8957" t="str">
            <v>LUC-E00-470047-00</v>
          </cell>
          <cell r="F8957">
            <v>3161265015</v>
          </cell>
        </row>
        <row r="8958">
          <cell r="E8958" t="str">
            <v>LUC-E00-470047-00</v>
          </cell>
          <cell r="F8958">
            <v>3161265015</v>
          </cell>
        </row>
        <row r="8959">
          <cell r="E8959" t="str">
            <v>LUC-E00-510028-00</v>
          </cell>
          <cell r="F8959">
            <v>3161265015</v>
          </cell>
        </row>
        <row r="8960">
          <cell r="E8960" t="str">
            <v>LUC-EZZ-420098-00</v>
          </cell>
          <cell r="F8960">
            <v>3161265041</v>
          </cell>
        </row>
        <row r="8961">
          <cell r="E8961" t="str">
            <v>LUC-EZZ-420320-00</v>
          </cell>
          <cell r="F8961">
            <v>3161265041</v>
          </cell>
        </row>
        <row r="8962">
          <cell r="E8962" t="str">
            <v>LUC-EZZ-451368-00</v>
          </cell>
          <cell r="F8962">
            <v>3161265041</v>
          </cell>
        </row>
        <row r="8963">
          <cell r="E8963" t="str">
            <v>LUC-EZZ-420490-00</v>
          </cell>
          <cell r="F8963">
            <v>3161265041</v>
          </cell>
        </row>
        <row r="8964">
          <cell r="E8964" t="str">
            <v>LUC-E00-420116-01</v>
          </cell>
          <cell r="F8964">
            <v>3161265041</v>
          </cell>
        </row>
        <row r="8965">
          <cell r="E8965" t="str">
            <v>LUC-EZZ-510014-00</v>
          </cell>
          <cell r="F8965">
            <v>3161265041</v>
          </cell>
        </row>
        <row r="8966">
          <cell r="E8966" t="str">
            <v>LUC-EZZ-420046-00</v>
          </cell>
          <cell r="F8966">
            <v>3161265041</v>
          </cell>
        </row>
        <row r="8967">
          <cell r="E8967" t="str">
            <v>LUC-EZZ-420046-00</v>
          </cell>
          <cell r="F8967">
            <v>3161265041</v>
          </cell>
        </row>
        <row r="8968">
          <cell r="E8968" t="str">
            <v>LUC-E00-510064-00</v>
          </cell>
          <cell r="F8968">
            <v>3161265041</v>
          </cell>
        </row>
        <row r="8969">
          <cell r="E8969" t="str">
            <v>LUC-EZZ-400213-00</v>
          </cell>
          <cell r="F8969">
            <v>3161265041</v>
          </cell>
        </row>
        <row r="8970">
          <cell r="E8970" t="str">
            <v>LUC-E00-420186-00</v>
          </cell>
          <cell r="F8970">
            <v>3161265041</v>
          </cell>
        </row>
        <row r="8971">
          <cell r="E8971" t="str">
            <v>LUC-E00-450036-00</v>
          </cell>
          <cell r="F8971">
            <v>3161265041</v>
          </cell>
        </row>
        <row r="8972">
          <cell r="E8972" t="str">
            <v>LUC-EZZ-420281-00</v>
          </cell>
          <cell r="F8972">
            <v>3161265041</v>
          </cell>
        </row>
        <row r="8973">
          <cell r="E8973" t="str">
            <v>LUC-E00-400048-00</v>
          </cell>
          <cell r="F8973">
            <v>3161265041</v>
          </cell>
        </row>
        <row r="8974">
          <cell r="E8974" t="str">
            <v>LUC-E00-510017-00</v>
          </cell>
          <cell r="F8974">
            <v>3161265041</v>
          </cell>
        </row>
        <row r="8975">
          <cell r="E8975" t="str">
            <v>LUC-EZZ-510080-00</v>
          </cell>
          <cell r="F8975">
            <v>3161265041</v>
          </cell>
        </row>
        <row r="8976">
          <cell r="E8976" t="str">
            <v>LUC-EZZ-471023-00</v>
          </cell>
          <cell r="F8976">
            <v>3161265041</v>
          </cell>
        </row>
        <row r="8977">
          <cell r="E8977" t="str">
            <v>LUC-EZZ-420352-00</v>
          </cell>
          <cell r="F8977">
            <v>3161265041</v>
          </cell>
        </row>
        <row r="8978">
          <cell r="E8978" t="str">
            <v>LUC-E00-420020-03</v>
          </cell>
          <cell r="F8978">
            <v>3161265041</v>
          </cell>
        </row>
        <row r="8979">
          <cell r="E8979" t="str">
            <v>LUC-E00-400015-07</v>
          </cell>
          <cell r="F8979">
            <v>3161265041</v>
          </cell>
        </row>
        <row r="8980">
          <cell r="E8980" t="str">
            <v>LUC-E00-510064-00</v>
          </cell>
          <cell r="F8980">
            <v>3161265041</v>
          </cell>
        </row>
        <row r="8981">
          <cell r="E8981" t="str">
            <v>LUC-E00-470090-00</v>
          </cell>
          <cell r="F8981">
            <v>3161265041</v>
          </cell>
        </row>
        <row r="8982">
          <cell r="E8982" t="str">
            <v>LUC-E00-510064-00</v>
          </cell>
          <cell r="F8982">
            <v>3161265041</v>
          </cell>
        </row>
        <row r="8983">
          <cell r="E8983" t="str">
            <v>LUC-E00-540004-00</v>
          </cell>
          <cell r="F8983">
            <v>3161265041</v>
          </cell>
        </row>
        <row r="8984">
          <cell r="E8984" t="str">
            <v>LUC-E00-470095-00</v>
          </cell>
          <cell r="F8984">
            <v>3161265041</v>
          </cell>
        </row>
        <row r="8985">
          <cell r="E8985" t="str">
            <v>LUC-E00-480008-00</v>
          </cell>
          <cell r="F8985">
            <v>3161265041</v>
          </cell>
        </row>
        <row r="8986">
          <cell r="E8986" t="str">
            <v>LUC-EZZ-440176-00</v>
          </cell>
          <cell r="F8986">
            <v>3161265041</v>
          </cell>
        </row>
        <row r="8987">
          <cell r="E8987" t="str">
            <v>LUC-E00-470082-00</v>
          </cell>
          <cell r="F8987">
            <v>3161265041</v>
          </cell>
        </row>
        <row r="8988">
          <cell r="E8988" t="str">
            <v>LUC-E00-470178-00</v>
          </cell>
          <cell r="F8988">
            <v>3161265041</v>
          </cell>
        </row>
        <row r="8989">
          <cell r="E8989" t="str">
            <v>LUC-E00-440029-00</v>
          </cell>
          <cell r="F8989">
            <v>3161265041</v>
          </cell>
        </row>
        <row r="8990">
          <cell r="E8990" t="str">
            <v>LUC-EZZ-450087-00</v>
          </cell>
          <cell r="F8990">
            <v>3161265041</v>
          </cell>
        </row>
        <row r="8991">
          <cell r="E8991" t="str">
            <v>LUC-E00-510017-00</v>
          </cell>
          <cell r="F8991">
            <v>3161265041</v>
          </cell>
        </row>
        <row r="8992">
          <cell r="E8992" t="str">
            <v>LUC-E00-420037-09</v>
          </cell>
          <cell r="F8992">
            <v>3161265041</v>
          </cell>
        </row>
        <row r="8993">
          <cell r="E8993" t="str">
            <v>LUC-E00-470032-00</v>
          </cell>
          <cell r="F8993">
            <v>3161265041</v>
          </cell>
        </row>
        <row r="8994">
          <cell r="E8994" t="str">
            <v>LUC-E00-470119-00</v>
          </cell>
          <cell r="F8994">
            <v>3161265041</v>
          </cell>
        </row>
        <row r="8995">
          <cell r="E8995" t="str">
            <v>LUC-E00-510031-00</v>
          </cell>
          <cell r="F8995">
            <v>3161265041</v>
          </cell>
        </row>
        <row r="8996">
          <cell r="E8996" t="str">
            <v>EF-45052488.X.X</v>
          </cell>
          <cell r="F8996">
            <v>3161265041</v>
          </cell>
        </row>
        <row r="8997">
          <cell r="E8997" t="str">
            <v>LUC-E00-420054-05</v>
          </cell>
          <cell r="F8997">
            <v>3161265041</v>
          </cell>
        </row>
        <row r="8998">
          <cell r="E8998" t="str">
            <v>LUC-E00-510037-00</v>
          </cell>
          <cell r="F8998">
            <v>3161265041</v>
          </cell>
        </row>
        <row r="8999">
          <cell r="E8999" t="str">
            <v>LUC-EZZ-450149-00</v>
          </cell>
          <cell r="F8999">
            <v>3161265041</v>
          </cell>
        </row>
        <row r="9000">
          <cell r="E9000" t="str">
            <v>LUC-EZZ-420342-00</v>
          </cell>
          <cell r="F9000">
            <v>4711862813</v>
          </cell>
        </row>
        <row r="9001">
          <cell r="E9001" t="str">
            <v>PURET-13-0001-00</v>
          </cell>
          <cell r="F9001">
            <v>4711862813</v>
          </cell>
        </row>
        <row r="9002">
          <cell r="E9002" t="str">
            <v>LUC-E00-400034-023</v>
          </cell>
          <cell r="F9002">
            <v>4711862813</v>
          </cell>
        </row>
        <row r="9003">
          <cell r="E9003" t="str">
            <v>PUR-13-0158-00</v>
          </cell>
          <cell r="F9003">
            <v>4711862813</v>
          </cell>
        </row>
        <row r="9004">
          <cell r="E9004" t="str">
            <v>LUC-EZZ-420200-00</v>
          </cell>
          <cell r="F9004">
            <v>4711862813</v>
          </cell>
        </row>
        <row r="9005">
          <cell r="E9005" t="str">
            <v>LUC-E00-420068-00</v>
          </cell>
          <cell r="F9005">
            <v>4711862813</v>
          </cell>
        </row>
        <row r="9006">
          <cell r="E9006" t="str">
            <v>HLOB-13-0141-00</v>
          </cell>
          <cell r="F9006">
            <v>4711862813</v>
          </cell>
        </row>
        <row r="9007">
          <cell r="E9007" t="str">
            <v>LUC-E00-420068-00</v>
          </cell>
          <cell r="F9007">
            <v>4711862813</v>
          </cell>
        </row>
        <row r="9008">
          <cell r="E9008" t="str">
            <v>LUC-E00-420068-00</v>
          </cell>
          <cell r="F9008">
            <v>4711862813</v>
          </cell>
        </row>
        <row r="9009">
          <cell r="E9009" t="str">
            <v>LUC-E00-420068-00</v>
          </cell>
          <cell r="F9009">
            <v>4711862813</v>
          </cell>
        </row>
        <row r="9010">
          <cell r="E9010" t="str">
            <v>LUC-E00-420068-00</v>
          </cell>
          <cell r="F9010">
            <v>4711862813</v>
          </cell>
        </row>
        <row r="9011">
          <cell r="E9011" t="str">
            <v>HLOB-13-0141-00</v>
          </cell>
          <cell r="F9011">
            <v>4711862813</v>
          </cell>
        </row>
        <row r="9012">
          <cell r="E9012" t="str">
            <v>HLOB-21-0026-00</v>
          </cell>
          <cell r="F9012">
            <v>4711862813</v>
          </cell>
        </row>
        <row r="9013">
          <cell r="E9013" t="str">
            <v>HLOB-21-0026-00</v>
          </cell>
          <cell r="F9013">
            <v>4711862813</v>
          </cell>
        </row>
        <row r="9014">
          <cell r="E9014" t="str">
            <v>LUC-EZZ-420124-00</v>
          </cell>
          <cell r="F9014">
            <v>4711862813</v>
          </cell>
        </row>
        <row r="9015">
          <cell r="E9015" t="str">
            <v>LUC-E00-400025-01</v>
          </cell>
          <cell r="F9015">
            <v>4711862813</v>
          </cell>
        </row>
        <row r="9016">
          <cell r="E9016" t="str">
            <v>LUC-E00-400025-01</v>
          </cell>
          <cell r="F9016">
            <v>4711862813</v>
          </cell>
        </row>
        <row r="9017">
          <cell r="E9017" t="str">
            <v>PUR-25-0009-00</v>
          </cell>
          <cell r="F9017">
            <v>4711862813</v>
          </cell>
        </row>
        <row r="9018">
          <cell r="E9018" t="str">
            <v>LUC-E00-420074-00</v>
          </cell>
          <cell r="F9018">
            <v>4711862813</v>
          </cell>
        </row>
        <row r="9019">
          <cell r="E9019" t="str">
            <v>LUC-E00-420074-00</v>
          </cell>
          <cell r="F9019">
            <v>4711862813</v>
          </cell>
        </row>
        <row r="9020">
          <cell r="E9020" t="str">
            <v>LUC-E00-440022-00</v>
          </cell>
          <cell r="F9020">
            <v>4711862813</v>
          </cell>
        </row>
        <row r="9021">
          <cell r="E9021" t="str">
            <v>LUC-E00-470331-00</v>
          </cell>
          <cell r="F9021">
            <v>4711862813</v>
          </cell>
        </row>
        <row r="9022">
          <cell r="E9022" t="str">
            <v>LUC-E00-510018-00</v>
          </cell>
          <cell r="F9022">
            <v>4711862813</v>
          </cell>
        </row>
        <row r="9023">
          <cell r="E9023" t="str">
            <v>LUC-E00-420073-00</v>
          </cell>
          <cell r="F9023">
            <v>4711862813</v>
          </cell>
        </row>
        <row r="9024">
          <cell r="E9024" t="str">
            <v>LUC-EZZ-511304-00</v>
          </cell>
          <cell r="F9024">
            <v>4711862813</v>
          </cell>
        </row>
        <row r="9025">
          <cell r="E9025" t="str">
            <v>LUC-EZZ-420482-00</v>
          </cell>
          <cell r="F9025">
            <v>4711862813</v>
          </cell>
        </row>
        <row r="9026">
          <cell r="E9026" t="str">
            <v>LUC-E00-420046-00</v>
          </cell>
          <cell r="F9026">
            <v>4711862813</v>
          </cell>
        </row>
        <row r="9027">
          <cell r="E9027" t="str">
            <v>LUC-E00-420054-06</v>
          </cell>
          <cell r="F9027">
            <v>4711862813</v>
          </cell>
        </row>
        <row r="9028">
          <cell r="E9028" t="str">
            <v>LUC-E00-420052-00</v>
          </cell>
          <cell r="F9028">
            <v>4711862813</v>
          </cell>
        </row>
        <row r="9029">
          <cell r="E9029" t="str">
            <v>LUC-EZZ-420251-00</v>
          </cell>
          <cell r="F9029">
            <v>4711862813</v>
          </cell>
        </row>
        <row r="9030">
          <cell r="E9030" t="str">
            <v>LUC-E00-400043-00</v>
          </cell>
          <cell r="F9030">
            <v>4711862813</v>
          </cell>
        </row>
        <row r="9031">
          <cell r="E9031" t="str">
            <v>LUC-EZZ-420396-00</v>
          </cell>
          <cell r="F9031">
            <v>4711862813</v>
          </cell>
        </row>
        <row r="9032">
          <cell r="E9032" t="str">
            <v>LUC-E00-400034-118</v>
          </cell>
          <cell r="F9032">
            <v>4711862813</v>
          </cell>
        </row>
        <row r="9033">
          <cell r="E9033" t="str">
            <v>LUC-E00-420172-00</v>
          </cell>
          <cell r="F9033">
            <v>4711862813</v>
          </cell>
        </row>
        <row r="9034">
          <cell r="E9034" t="str">
            <v>LUC-EZZ-420482-00</v>
          </cell>
          <cell r="F9034">
            <v>4711862813</v>
          </cell>
        </row>
        <row r="9035">
          <cell r="E9035" t="str">
            <v>HLOB-13-0131-00</v>
          </cell>
          <cell r="F9035">
            <v>4711862813</v>
          </cell>
        </row>
        <row r="9036">
          <cell r="E9036" t="str">
            <v>LUC-E00-460005-00</v>
          </cell>
          <cell r="F9036">
            <v>4711862813</v>
          </cell>
        </row>
        <row r="9037">
          <cell r="E9037" t="str">
            <v>LUC-E00-420172-00</v>
          </cell>
          <cell r="F9037">
            <v>4711862813</v>
          </cell>
        </row>
        <row r="9038">
          <cell r="E9038" t="str">
            <v>LUC-E00-400034-090</v>
          </cell>
          <cell r="F9038">
            <v>4711862813</v>
          </cell>
        </row>
        <row r="9039">
          <cell r="E9039" t="str">
            <v>LUC-E00-400011-000</v>
          </cell>
          <cell r="F9039">
            <v>4711862813</v>
          </cell>
        </row>
        <row r="9040">
          <cell r="E9040" t="str">
            <v>LUC-E00-420036-00</v>
          </cell>
          <cell r="F9040">
            <v>4711862813</v>
          </cell>
        </row>
        <row r="9041">
          <cell r="E9041" t="str">
            <v>LUC-E00-470252-00</v>
          </cell>
          <cell r="F9041">
            <v>4711862813</v>
          </cell>
        </row>
        <row r="9042">
          <cell r="E9042" t="str">
            <v>LUC-E00-400011-003</v>
          </cell>
          <cell r="F9042">
            <v>4711862813</v>
          </cell>
        </row>
        <row r="9043">
          <cell r="E9043" t="str">
            <v>LUC-EZZ-420501-00</v>
          </cell>
          <cell r="F9043">
            <v>423264378736</v>
          </cell>
        </row>
        <row r="9044">
          <cell r="E9044" t="str">
            <v>LUC-EZZ-421132-00</v>
          </cell>
          <cell r="F9044">
            <v>423264378736</v>
          </cell>
        </row>
        <row r="9045">
          <cell r="E9045" t="str">
            <v>LUC-EZZ-421132-00</v>
          </cell>
          <cell r="F9045">
            <v>423264378736</v>
          </cell>
        </row>
        <row r="9046">
          <cell r="E9046" t="str">
            <v>AIC-MP-00005018-000</v>
          </cell>
          <cell r="F9046">
            <v>423264378736</v>
          </cell>
        </row>
        <row r="9047">
          <cell r="E9047" t="str">
            <v>HLOB-12-0304-00</v>
          </cell>
          <cell r="F9047">
            <v>423264378736</v>
          </cell>
        </row>
        <row r="9048">
          <cell r="E9048" t="str">
            <v>121-001611</v>
          </cell>
          <cell r="F9048">
            <v>423264378736</v>
          </cell>
        </row>
        <row r="9049">
          <cell r="E9049" t="str">
            <v>121-000520.X.X</v>
          </cell>
          <cell r="F9049">
            <v>423264378736</v>
          </cell>
        </row>
        <row r="9050">
          <cell r="E9050" t="str">
            <v>HLOB-12-0297-00</v>
          </cell>
          <cell r="F9050">
            <v>423264378736</v>
          </cell>
        </row>
        <row r="9051">
          <cell r="E9051" t="str">
            <v>122-000821.X.X</v>
          </cell>
          <cell r="F9051">
            <v>423264378736</v>
          </cell>
        </row>
        <row r="9052">
          <cell r="E9052" t="str">
            <v>HLOB-12-0297-00</v>
          </cell>
          <cell r="F9052">
            <v>423264378736</v>
          </cell>
        </row>
        <row r="9053">
          <cell r="E9053" t="str">
            <v>AIC-MP-00000276-000</v>
          </cell>
          <cell r="F9053">
            <v>423264378736</v>
          </cell>
        </row>
        <row r="9054">
          <cell r="E9054" t="str">
            <v>AIC-MP-00000278-000</v>
          </cell>
          <cell r="F9054">
            <v>423264378736</v>
          </cell>
        </row>
        <row r="9055">
          <cell r="E9055" t="str">
            <v>HLOB-13-0001-00</v>
          </cell>
          <cell r="F9055">
            <v>423264378736</v>
          </cell>
        </row>
        <row r="9056">
          <cell r="E9056" t="str">
            <v>HLOB-13-0001-00</v>
          </cell>
          <cell r="F9056">
            <v>423264378736</v>
          </cell>
        </row>
        <row r="9057">
          <cell r="E9057" t="str">
            <v>HLOB-13-0001-00</v>
          </cell>
          <cell r="F9057">
            <v>423264378736</v>
          </cell>
        </row>
        <row r="9058">
          <cell r="E9058" t="str">
            <v>HLOB-13-0001-00</v>
          </cell>
          <cell r="F9058">
            <v>423264378736</v>
          </cell>
        </row>
        <row r="9059">
          <cell r="E9059" t="str">
            <v>HLOB-13-0001-00</v>
          </cell>
          <cell r="F9059">
            <v>423264378736</v>
          </cell>
        </row>
        <row r="9060">
          <cell r="E9060" t="str">
            <v>PUR-13-0241-00</v>
          </cell>
          <cell r="F9060">
            <v>423264378736</v>
          </cell>
        </row>
        <row r="9061">
          <cell r="E9061" t="str">
            <v>AIC-MP-00003737-000</v>
          </cell>
          <cell r="F9061">
            <v>423264378736</v>
          </cell>
        </row>
        <row r="9062">
          <cell r="E9062" t="str">
            <v>AIC-MP-00002610-000</v>
          </cell>
          <cell r="F9062">
            <v>423264378736</v>
          </cell>
        </row>
        <row r="9063">
          <cell r="E9063" t="str">
            <v>HLOB-12-0304-00</v>
          </cell>
          <cell r="F9063">
            <v>423264378736</v>
          </cell>
        </row>
        <row r="9064">
          <cell r="E9064" t="str">
            <v>EF-45045744.X.X</v>
          </cell>
          <cell r="F9064">
            <v>419341559378</v>
          </cell>
        </row>
        <row r="9065">
          <cell r="E9065" t="str">
            <v>LUC-EZZ-490225-05</v>
          </cell>
          <cell r="F9065">
            <v>619345515428</v>
          </cell>
        </row>
        <row r="9066">
          <cell r="E9066" t="str">
            <v>AIC-MP-00005052-000</v>
          </cell>
          <cell r="F9066">
            <v>445131404737</v>
          </cell>
        </row>
        <row r="9067">
          <cell r="E9067" t="str">
            <v>LUC-EZZ-400475-00</v>
          </cell>
          <cell r="F9067">
            <v>466332720385</v>
          </cell>
        </row>
        <row r="9068">
          <cell r="E9068" t="str">
            <v>AIC-MP-XT006355-S06</v>
          </cell>
          <cell r="F9068">
            <v>466332720385</v>
          </cell>
        </row>
        <row r="9069">
          <cell r="E9069" t="str">
            <v>PUR-09-0471-00</v>
          </cell>
          <cell r="F9069">
            <v>466332720385</v>
          </cell>
        </row>
        <row r="9070">
          <cell r="E9070" t="str">
            <v>LUC-E00-510084-00</v>
          </cell>
          <cell r="F9070">
            <v>466332720385</v>
          </cell>
        </row>
        <row r="9071">
          <cell r="E9071" t="str">
            <v>130-000513</v>
          </cell>
          <cell r="F9071">
            <v>462827285296</v>
          </cell>
        </row>
        <row r="9072">
          <cell r="E9072" t="str">
            <v>130-000513</v>
          </cell>
          <cell r="F9072">
            <v>462827285296</v>
          </cell>
        </row>
        <row r="9073">
          <cell r="E9073" t="str">
            <v>AIC-MP-00006101-000</v>
          </cell>
          <cell r="F9073">
            <v>882081216125</v>
          </cell>
        </row>
        <row r="9074">
          <cell r="E9074" t="str">
            <v>AIC-MP-00005142-000</v>
          </cell>
          <cell r="F9074">
            <v>882081216125</v>
          </cell>
        </row>
        <row r="9075">
          <cell r="E9075" t="str">
            <v>AIC-MP-00006101-000</v>
          </cell>
          <cell r="F9075">
            <v>882081216125</v>
          </cell>
        </row>
        <row r="9076">
          <cell r="E9076" t="str">
            <v>AIC-MP-00006293-000</v>
          </cell>
          <cell r="F9076">
            <v>882081216125</v>
          </cell>
        </row>
        <row r="9077">
          <cell r="E9077" t="str">
            <v>AIC-MP-00002120-000</v>
          </cell>
          <cell r="F9077">
            <v>881998656112</v>
          </cell>
        </row>
        <row r="9078">
          <cell r="E9078" t="str">
            <v>AIC-120-012791</v>
          </cell>
          <cell r="F9078">
            <v>881998656112</v>
          </cell>
        </row>
        <row r="9079">
          <cell r="E9079" t="str">
            <v>AIC-120-012793</v>
          </cell>
          <cell r="F9079">
            <v>881998656112</v>
          </cell>
        </row>
        <row r="9080">
          <cell r="E9080" t="str">
            <v>AIC-MP-00007031-000</v>
          </cell>
          <cell r="F9080">
            <v>450789675184</v>
          </cell>
        </row>
        <row r="9081">
          <cell r="E9081" t="str">
            <v>AIC-MP-00007034-000</v>
          </cell>
          <cell r="F9081">
            <v>450789675184</v>
          </cell>
        </row>
        <row r="9082">
          <cell r="E9082" t="str">
            <v>LUC-P00-F189AG-00</v>
          </cell>
          <cell r="F9082">
            <v>882078642219</v>
          </cell>
        </row>
        <row r="9083">
          <cell r="E9083" t="str">
            <v>LUC-P00-F853AY-00</v>
          </cell>
          <cell r="F9083">
            <v>882078642219</v>
          </cell>
        </row>
        <row r="9084">
          <cell r="E9084" t="str">
            <v>LUC-P00-F856AY-01</v>
          </cell>
          <cell r="F9084">
            <v>882078642219</v>
          </cell>
        </row>
        <row r="9085">
          <cell r="E9085" t="str">
            <v>LUC-P00-F856AY-01</v>
          </cell>
          <cell r="F9085">
            <v>882078642219</v>
          </cell>
        </row>
        <row r="9086">
          <cell r="E9086" t="str">
            <v>LUC-P00-F193DG-00</v>
          </cell>
          <cell r="F9086">
            <v>882078642219</v>
          </cell>
        </row>
        <row r="9087">
          <cell r="E9087" t="str">
            <v>LUC-P00-F193DG-00</v>
          </cell>
          <cell r="F9087">
            <v>882078642219</v>
          </cell>
        </row>
        <row r="9088">
          <cell r="E9088" t="str">
            <v>LUC-P00-F143AG-00</v>
          </cell>
          <cell r="F9088">
            <v>882078642219</v>
          </cell>
        </row>
        <row r="9089">
          <cell r="E9089" t="str">
            <v>PUR-14-0077-00</v>
          </cell>
          <cell r="F9089">
            <v>4812819502</v>
          </cell>
        </row>
        <row r="9090">
          <cell r="E9090" t="str">
            <v>PUR-15-0220-00</v>
          </cell>
          <cell r="F9090">
            <v>4812819502</v>
          </cell>
        </row>
        <row r="9091">
          <cell r="E9091" t="str">
            <v>PUR-15-0207-00</v>
          </cell>
          <cell r="F9091">
            <v>4812819502</v>
          </cell>
        </row>
        <row r="9092">
          <cell r="E9092" t="str">
            <v>PUR-14-0087-00</v>
          </cell>
          <cell r="F9092">
            <v>4812819502</v>
          </cell>
        </row>
        <row r="9093">
          <cell r="E9093" t="str">
            <v>PUR-12-0412-00</v>
          </cell>
          <cell r="F9093">
            <v>4812819502</v>
          </cell>
        </row>
        <row r="9094">
          <cell r="E9094" t="str">
            <v>PUR-12-0482-00</v>
          </cell>
          <cell r="F9094">
            <v>4812819502</v>
          </cell>
        </row>
        <row r="9095">
          <cell r="E9095" t="str">
            <v>PUR-14-0076-00</v>
          </cell>
          <cell r="F9095">
            <v>4812819502</v>
          </cell>
        </row>
        <row r="9096">
          <cell r="E9096" t="str">
            <v>PUR-12-0297-00</v>
          </cell>
          <cell r="F9096">
            <v>4812819502</v>
          </cell>
        </row>
        <row r="9097">
          <cell r="E9097" t="str">
            <v>PUR-11-0104-06</v>
          </cell>
          <cell r="F9097">
            <v>4812819502</v>
          </cell>
        </row>
        <row r="9098">
          <cell r="E9098" t="str">
            <v>PUR-09-0417-00</v>
          </cell>
          <cell r="F9098">
            <v>4812819502</v>
          </cell>
        </row>
        <row r="9099">
          <cell r="E9099" t="str">
            <v>PUR-11-0106-05</v>
          </cell>
          <cell r="F9099">
            <v>4812819502</v>
          </cell>
        </row>
        <row r="9100">
          <cell r="E9100" t="str">
            <v>PUR-11-0106-05</v>
          </cell>
          <cell r="F9100">
            <v>4812819502</v>
          </cell>
        </row>
        <row r="9101">
          <cell r="E9101" t="str">
            <v>LUC-E00-400020-000</v>
          </cell>
          <cell r="F9101" t="str">
            <v>HAND CARRY</v>
          </cell>
        </row>
        <row r="9102">
          <cell r="E9102" t="str">
            <v>LUC-E00-400067-458</v>
          </cell>
          <cell r="F9102" t="str">
            <v>HAND CARRY</v>
          </cell>
        </row>
        <row r="9103">
          <cell r="E9103" t="str">
            <v>LUC-E00-400067-035</v>
          </cell>
          <cell r="F9103" t="str">
            <v>HAND CARRY</v>
          </cell>
        </row>
        <row r="9104">
          <cell r="E9104" t="str">
            <v>AIC-MP-00004210-000</v>
          </cell>
          <cell r="F9104">
            <v>3362741686</v>
          </cell>
        </row>
        <row r="9105">
          <cell r="E9105" t="str">
            <v>LUC-P11-K2B300-03</v>
          </cell>
          <cell r="F9105" t="str">
            <v>PSHPH2560043</v>
          </cell>
        </row>
        <row r="9106">
          <cell r="E9106" t="str">
            <v>LUC-E00-470259-00</v>
          </cell>
          <cell r="F9106">
            <v>619345515564</v>
          </cell>
        </row>
        <row r="9107">
          <cell r="E9107" t="str">
            <v>LUC-P21-K81001-01</v>
          </cell>
          <cell r="F9107" t="str">
            <v>LSHHPH2504969</v>
          </cell>
        </row>
        <row r="9108">
          <cell r="E9108" t="str">
            <v>LUC-P21-K81202-00</v>
          </cell>
          <cell r="F9108" t="str">
            <v>LSHHPH2504969</v>
          </cell>
        </row>
        <row r="9109">
          <cell r="E9109" t="str">
            <v>LUC-P21-K2C400-01</v>
          </cell>
          <cell r="F9109" t="str">
            <v>LSHHPH2504928</v>
          </cell>
        </row>
        <row r="9110">
          <cell r="E9110" t="str">
            <v>LUC-P21-K2C400-01</v>
          </cell>
          <cell r="F9110" t="str">
            <v>LSHHPH2504928</v>
          </cell>
        </row>
        <row r="9111">
          <cell r="E9111" t="str">
            <v>LUC-P21-K2C400-01</v>
          </cell>
          <cell r="F9111" t="str">
            <v>LSHHPH2504928</v>
          </cell>
        </row>
        <row r="9112">
          <cell r="E9112" t="str">
            <v>LUC-P21-K61100-02</v>
          </cell>
          <cell r="F9112" t="str">
            <v>LSHHPH2504928</v>
          </cell>
        </row>
        <row r="9113">
          <cell r="E9113" t="str">
            <v>HLOB-12-0293-00</v>
          </cell>
          <cell r="F9113">
            <v>882145294694</v>
          </cell>
        </row>
        <row r="9114">
          <cell r="E9114" t="str">
            <v>PUR-12-0475-00</v>
          </cell>
          <cell r="F9114">
            <v>882145294694</v>
          </cell>
        </row>
        <row r="9115">
          <cell r="E9115" t="str">
            <v>EF-45037930.X.X</v>
          </cell>
          <cell r="F9115">
            <v>882145294694</v>
          </cell>
        </row>
        <row r="9116">
          <cell r="E9116" t="str">
            <v>PURET-12-0017-00</v>
          </cell>
          <cell r="F9116">
            <v>882145294694</v>
          </cell>
        </row>
        <row r="9117">
          <cell r="E9117" t="str">
            <v>PUR-12-0475-00</v>
          </cell>
          <cell r="F9117">
            <v>882145294694</v>
          </cell>
        </row>
        <row r="9118">
          <cell r="E9118" t="str">
            <v>AIC-MP-00006419-000</v>
          </cell>
          <cell r="F9118">
            <v>882082030005</v>
          </cell>
        </row>
        <row r="9119">
          <cell r="E9119" t="str">
            <v>HLOB-09-0343-00</v>
          </cell>
          <cell r="F9119">
            <v>458476689850</v>
          </cell>
        </row>
        <row r="9120">
          <cell r="E9120" t="str">
            <v>LUC-EZZ-450006-00</v>
          </cell>
          <cell r="F9120">
            <v>619345515439</v>
          </cell>
        </row>
        <row r="9121">
          <cell r="E9121" t="str">
            <v>LUC-EZZ-450006-00</v>
          </cell>
          <cell r="F9121">
            <v>619345515439</v>
          </cell>
        </row>
        <row r="9122">
          <cell r="E9122" t="str">
            <v>LUC-EZZ-450006-00</v>
          </cell>
          <cell r="F9122">
            <v>619345515439</v>
          </cell>
        </row>
        <row r="9123">
          <cell r="E9123" t="str">
            <v>LUC-P00-F19SAG-00</v>
          </cell>
          <cell r="F9123">
            <v>619345515439</v>
          </cell>
        </row>
        <row r="9124">
          <cell r="E9124" t="str">
            <v>LUC-P11-K35000-02</v>
          </cell>
          <cell r="F9124">
            <v>619345515439</v>
          </cell>
        </row>
        <row r="9125">
          <cell r="E9125" t="str">
            <v>LUC-EZZ-401312-00</v>
          </cell>
          <cell r="F9125">
            <v>445170442161</v>
          </cell>
        </row>
        <row r="9126">
          <cell r="E9126" t="str">
            <v>EF-45188480</v>
          </cell>
          <cell r="F9126">
            <v>466219651624</v>
          </cell>
        </row>
        <row r="9127">
          <cell r="E9127" t="str">
            <v>LUC-E00-400001-005</v>
          </cell>
          <cell r="F9127">
            <v>466219655207</v>
          </cell>
        </row>
        <row r="9128">
          <cell r="E9128" t="str">
            <v>EF-45188480</v>
          </cell>
          <cell r="F9128">
            <v>466219651900</v>
          </cell>
        </row>
        <row r="9129">
          <cell r="E9129" t="str">
            <v>LUC-EZZ-400201-00</v>
          </cell>
          <cell r="F9129">
            <v>466219651646</v>
          </cell>
        </row>
        <row r="9130">
          <cell r="E9130" t="str">
            <v>LUC-EZZ-440166-00</v>
          </cell>
          <cell r="F9130">
            <v>466219651646</v>
          </cell>
        </row>
        <row r="9131">
          <cell r="E9131" t="str">
            <v>LUC-E00-450068-00</v>
          </cell>
          <cell r="F9131">
            <v>466219651646</v>
          </cell>
        </row>
        <row r="9132">
          <cell r="E9132" t="str">
            <v>HLOB-24-0028-00</v>
          </cell>
          <cell r="F9132">
            <v>466219651646</v>
          </cell>
        </row>
        <row r="9133">
          <cell r="E9133" t="str">
            <v>LUC-E00-400028-002</v>
          </cell>
          <cell r="F9133">
            <v>466219651646</v>
          </cell>
        </row>
        <row r="9134">
          <cell r="E9134" t="str">
            <v>PUR-24-0028-00</v>
          </cell>
          <cell r="F9134">
            <v>466219651646</v>
          </cell>
        </row>
        <row r="9135">
          <cell r="E9135" t="str">
            <v>LUC-E00-690030-03</v>
          </cell>
          <cell r="F9135">
            <v>466219654380</v>
          </cell>
        </row>
        <row r="9136">
          <cell r="E9136" t="str">
            <v>HLOB-09-0050-00</v>
          </cell>
          <cell r="F9136">
            <v>466219658272</v>
          </cell>
        </row>
        <row r="9137">
          <cell r="E9137" t="str">
            <v>LUC-E00-400001-005</v>
          </cell>
          <cell r="F9137">
            <v>466219658272</v>
          </cell>
        </row>
        <row r="9138">
          <cell r="E9138" t="str">
            <v>LUC-EZZ-400201-00</v>
          </cell>
          <cell r="F9138">
            <v>466219658272</v>
          </cell>
        </row>
        <row r="9139">
          <cell r="E9139" t="str">
            <v>EF-45050219</v>
          </cell>
          <cell r="F9139">
            <v>466219658272</v>
          </cell>
        </row>
        <row r="9140">
          <cell r="E9140" t="str">
            <v>EF-45109584</v>
          </cell>
          <cell r="F9140">
            <v>466219658272</v>
          </cell>
        </row>
        <row r="9141">
          <cell r="E9141" t="str">
            <v>PUR-24-0028-00</v>
          </cell>
          <cell r="F9141">
            <v>466219658272</v>
          </cell>
        </row>
        <row r="9142">
          <cell r="E9142" t="str">
            <v>LUC-EZZ-440127-00</v>
          </cell>
          <cell r="F9142">
            <v>466219658272</v>
          </cell>
        </row>
        <row r="9143">
          <cell r="E9143" t="str">
            <v>PUR-09-0424-00</v>
          </cell>
          <cell r="F9143">
            <v>466219658272</v>
          </cell>
        </row>
        <row r="9144">
          <cell r="E9144" t="str">
            <v>PUR-24-0028-00</v>
          </cell>
          <cell r="F9144">
            <v>466219658272</v>
          </cell>
        </row>
        <row r="9145">
          <cell r="E9145" t="str">
            <v>LUC-E00-420037-08</v>
          </cell>
          <cell r="F9145">
            <v>466219658272</v>
          </cell>
        </row>
        <row r="9146">
          <cell r="E9146" t="str">
            <v>LUC-EZZ-400434-00</v>
          </cell>
          <cell r="F9146">
            <v>466219658272</v>
          </cell>
        </row>
        <row r="9147">
          <cell r="E9147" t="str">
            <v>PUR-13-0235-00</v>
          </cell>
          <cell r="F9147">
            <v>466219658272</v>
          </cell>
        </row>
        <row r="9148">
          <cell r="E9148" t="str">
            <v>LUC-E00-400010-005</v>
          </cell>
          <cell r="F9148">
            <v>466219658272</v>
          </cell>
        </row>
        <row r="9149">
          <cell r="E9149" t="str">
            <v>LUC-E00-460015-00</v>
          </cell>
          <cell r="F9149">
            <v>466219658272</v>
          </cell>
        </row>
        <row r="9150">
          <cell r="E9150" t="str">
            <v>LUC-E00-460015-00</v>
          </cell>
          <cell r="F9150">
            <v>466219658272</v>
          </cell>
        </row>
        <row r="9151">
          <cell r="E9151" t="str">
            <v>LUC-EZZ-400201-00</v>
          </cell>
          <cell r="F9151">
            <v>466219658272</v>
          </cell>
        </row>
        <row r="9152">
          <cell r="E9152" t="str">
            <v>PUR-09-0424-00</v>
          </cell>
          <cell r="F9152">
            <v>466219658272</v>
          </cell>
        </row>
        <row r="9153">
          <cell r="E9153" t="str">
            <v>121-000524.X.X</v>
          </cell>
          <cell r="F9153">
            <v>466219658272</v>
          </cell>
        </row>
        <row r="9154">
          <cell r="E9154" t="str">
            <v>LUC-E00-420027-05</v>
          </cell>
          <cell r="F9154">
            <v>466219658272</v>
          </cell>
        </row>
        <row r="9155">
          <cell r="E9155" t="str">
            <v>122-004372</v>
          </cell>
          <cell r="F9155">
            <v>882084077337</v>
          </cell>
        </row>
        <row r="9156">
          <cell r="E9156" t="str">
            <v>PUR-14-0086-00</v>
          </cell>
          <cell r="F9156">
            <v>466219662713</v>
          </cell>
        </row>
        <row r="9157">
          <cell r="E9157" t="str">
            <v>PUR-14-0086-00</v>
          </cell>
          <cell r="F9157">
            <v>466219662713</v>
          </cell>
        </row>
        <row r="9158">
          <cell r="E9158" t="str">
            <v>PUR-14-0086-00</v>
          </cell>
          <cell r="F9158">
            <v>466219662713</v>
          </cell>
        </row>
        <row r="9159">
          <cell r="E9159" t="str">
            <v>HLOB-14-0086-00</v>
          </cell>
          <cell r="F9159">
            <v>466219661728</v>
          </cell>
        </row>
        <row r="9160">
          <cell r="E9160" t="str">
            <v>LUC-124-002804-RB</v>
          </cell>
          <cell r="F9160">
            <v>466332712192</v>
          </cell>
        </row>
        <row r="9161">
          <cell r="E9161" t="str">
            <v>EF-45193108</v>
          </cell>
          <cell r="F9161">
            <v>882084589091</v>
          </cell>
        </row>
        <row r="9162">
          <cell r="E9162" t="str">
            <v>141-001484-02</v>
          </cell>
          <cell r="F9162">
            <v>882113594892</v>
          </cell>
        </row>
        <row r="9163">
          <cell r="E9163" t="str">
            <v>LUC-E00-480001-00</v>
          </cell>
          <cell r="F9163">
            <v>444124002540</v>
          </cell>
        </row>
        <row r="9164">
          <cell r="E9164" t="str">
            <v>HLOB-31-0103-01</v>
          </cell>
          <cell r="F9164" t="str">
            <v>KNQ8</v>
          </cell>
        </row>
        <row r="9165">
          <cell r="E9165" t="str">
            <v>HLOB-31-0103-01</v>
          </cell>
          <cell r="F9165" t="str">
            <v>KNQ8</v>
          </cell>
        </row>
        <row r="9166">
          <cell r="E9166" t="str">
            <v>PUR-31-0110-00</v>
          </cell>
          <cell r="F9166" t="str">
            <v>KNQ8</v>
          </cell>
        </row>
        <row r="9167">
          <cell r="E9167" t="str">
            <v>PUR-15-0207-00</v>
          </cell>
          <cell r="F9167">
            <v>4711862832</v>
          </cell>
        </row>
        <row r="9168">
          <cell r="E9168" t="str">
            <v>PUR-15-0207-00</v>
          </cell>
          <cell r="F9168">
            <v>4711862832</v>
          </cell>
        </row>
        <row r="9169">
          <cell r="E9169" t="str">
            <v>PUR-15-0222-00</v>
          </cell>
          <cell r="F9169">
            <v>4711862832</v>
          </cell>
        </row>
        <row r="9170">
          <cell r="E9170" t="str">
            <v>HLOB-15-0207-00</v>
          </cell>
          <cell r="F9170">
            <v>4711862832</v>
          </cell>
        </row>
        <row r="9171">
          <cell r="E9171" t="str">
            <v>HLOB-15-0207-00</v>
          </cell>
          <cell r="F9171">
            <v>4711862832</v>
          </cell>
        </row>
        <row r="9172">
          <cell r="E9172" t="str">
            <v>PUR-15-0207-00</v>
          </cell>
          <cell r="F9172">
            <v>4711862832</v>
          </cell>
        </row>
        <row r="9173">
          <cell r="E9173" t="str">
            <v>PUR-15-0207-00</v>
          </cell>
          <cell r="F9173">
            <v>4711862832</v>
          </cell>
        </row>
        <row r="9174">
          <cell r="E9174" t="str">
            <v>PUR-03-0095-00</v>
          </cell>
          <cell r="F9174">
            <v>444641855715</v>
          </cell>
        </row>
        <row r="9175">
          <cell r="E9175" t="str">
            <v>PUR-03-0095-00</v>
          </cell>
          <cell r="F9175">
            <v>444641855715</v>
          </cell>
        </row>
        <row r="9176">
          <cell r="E9176" t="str">
            <v>PUR-03-0095-00</v>
          </cell>
          <cell r="F9176">
            <v>444641855715</v>
          </cell>
        </row>
        <row r="9177">
          <cell r="E9177" t="str">
            <v>AIC-109-001571</v>
          </cell>
          <cell r="F9177">
            <v>3362743252</v>
          </cell>
        </row>
        <row r="9178">
          <cell r="E9178" t="str">
            <v>LUC-EZZ-690708-00</v>
          </cell>
          <cell r="F9178">
            <v>4110325700</v>
          </cell>
        </row>
        <row r="9179">
          <cell r="E9179" t="str">
            <v>PUR-07-0167-00</v>
          </cell>
          <cell r="F9179">
            <v>4914900707</v>
          </cell>
        </row>
        <row r="9180">
          <cell r="E9180" t="str">
            <v>PUR-07-0315-00</v>
          </cell>
          <cell r="F9180">
            <v>4914900707</v>
          </cell>
        </row>
        <row r="9181">
          <cell r="E9181" t="str">
            <v>HLOB-07-0315-00</v>
          </cell>
          <cell r="F9181">
            <v>4914900707</v>
          </cell>
        </row>
        <row r="9182">
          <cell r="E9182" t="str">
            <v>HLOB-07-0328-00</v>
          </cell>
          <cell r="F9182">
            <v>4914900707</v>
          </cell>
        </row>
        <row r="9183">
          <cell r="E9183" t="str">
            <v>HLOB-07-0167-00</v>
          </cell>
          <cell r="F9183">
            <v>4914900707</v>
          </cell>
        </row>
        <row r="9184">
          <cell r="E9184" t="str">
            <v>PUR-12-0468-00</v>
          </cell>
          <cell r="F9184">
            <v>3455579993</v>
          </cell>
        </row>
        <row r="9185">
          <cell r="E9185" t="str">
            <v>HLOB-12-0288-00</v>
          </cell>
          <cell r="F9185">
            <v>3455579993</v>
          </cell>
        </row>
        <row r="9186">
          <cell r="E9186" t="str">
            <v>EF-45058031</v>
          </cell>
          <cell r="F9186">
            <v>3455579993</v>
          </cell>
        </row>
        <row r="9187">
          <cell r="E9187" t="str">
            <v>EF-45116977</v>
          </cell>
          <cell r="F9187">
            <v>3455579993</v>
          </cell>
        </row>
        <row r="9188">
          <cell r="E9188" t="str">
            <v>PUR-12-0510-00</v>
          </cell>
          <cell r="F9188">
            <v>3455579993</v>
          </cell>
        </row>
        <row r="9189">
          <cell r="E9189" t="str">
            <v>PUR-12-0468-00</v>
          </cell>
          <cell r="F9189">
            <v>3455579993</v>
          </cell>
        </row>
        <row r="9190">
          <cell r="E9190" t="str">
            <v>HLOB-24-0008-00</v>
          </cell>
          <cell r="F9190">
            <v>3455579993</v>
          </cell>
        </row>
        <row r="9191">
          <cell r="E9191" t="str">
            <v>PUR-12-0497-00</v>
          </cell>
          <cell r="F9191">
            <v>3455579993</v>
          </cell>
        </row>
        <row r="9192">
          <cell r="E9192" t="str">
            <v>LUC-E00-460007-01</v>
          </cell>
          <cell r="F9192">
            <v>3455579993</v>
          </cell>
        </row>
        <row r="9193">
          <cell r="E9193" t="str">
            <v>LUC-E00-460007-01</v>
          </cell>
          <cell r="F9193">
            <v>3455579993</v>
          </cell>
        </row>
        <row r="9194">
          <cell r="E9194" t="str">
            <v>LUC-E00-460009-00</v>
          </cell>
          <cell r="F9194">
            <v>3455579993</v>
          </cell>
        </row>
        <row r="9195">
          <cell r="E9195" t="str">
            <v>HLOB-14-0076-00</v>
          </cell>
          <cell r="F9195">
            <v>3455579993</v>
          </cell>
        </row>
        <row r="9196">
          <cell r="E9196" t="str">
            <v>PUR-14-0076-00</v>
          </cell>
          <cell r="F9196">
            <v>3455579993</v>
          </cell>
        </row>
        <row r="9197">
          <cell r="E9197" t="str">
            <v>EF-45046246.X.X</v>
          </cell>
          <cell r="F9197">
            <v>3455579993</v>
          </cell>
        </row>
        <row r="9198">
          <cell r="E9198" t="str">
            <v>EF-45046246.X.X</v>
          </cell>
          <cell r="F9198">
            <v>3455579993</v>
          </cell>
        </row>
        <row r="9199">
          <cell r="E9199" t="str">
            <v>HLOB-13-0215-00</v>
          </cell>
          <cell r="F9199">
            <v>3455579993</v>
          </cell>
        </row>
        <row r="9200">
          <cell r="E9200" t="str">
            <v>HLOB-13-0215-00</v>
          </cell>
          <cell r="F9200">
            <v>3455579993</v>
          </cell>
        </row>
        <row r="9201">
          <cell r="E9201" t="str">
            <v>HLOB-13-0215-00</v>
          </cell>
          <cell r="F9201">
            <v>3455579993</v>
          </cell>
        </row>
        <row r="9202">
          <cell r="E9202" t="str">
            <v>HLOB-13-0215-00</v>
          </cell>
          <cell r="F9202">
            <v>3455579993</v>
          </cell>
        </row>
        <row r="9203">
          <cell r="E9203" t="str">
            <v>HLOB-13-0215-00</v>
          </cell>
          <cell r="F9203">
            <v>3455579993</v>
          </cell>
        </row>
        <row r="9204">
          <cell r="E9204" t="str">
            <v>PUR-25-0009-00</v>
          </cell>
          <cell r="F9204">
            <v>3455579993</v>
          </cell>
        </row>
        <row r="9205">
          <cell r="E9205" t="str">
            <v>HLOB-09-0050-00</v>
          </cell>
          <cell r="F9205">
            <v>3455579993</v>
          </cell>
        </row>
        <row r="9206">
          <cell r="E9206" t="str">
            <v>LUC-E00-470074-01</v>
          </cell>
          <cell r="F9206">
            <v>3455579993</v>
          </cell>
        </row>
        <row r="9207">
          <cell r="E9207" t="str">
            <v>LUC-EZZ-420151-00</v>
          </cell>
          <cell r="F9207">
            <v>3455579993</v>
          </cell>
        </row>
        <row r="9208">
          <cell r="E9208" t="str">
            <v>LUC-E00-400024-04</v>
          </cell>
          <cell r="F9208">
            <v>3455579993</v>
          </cell>
        </row>
        <row r="9209">
          <cell r="E9209" t="str">
            <v>LUC-E00-450075-00</v>
          </cell>
          <cell r="F9209">
            <v>3455579993</v>
          </cell>
        </row>
        <row r="9210">
          <cell r="E9210" t="str">
            <v>LUC-EZZ-400801-00</v>
          </cell>
          <cell r="F9210">
            <v>3455579993</v>
          </cell>
        </row>
        <row r="9211">
          <cell r="E9211" t="str">
            <v>LUC-EZZ-450249-00</v>
          </cell>
          <cell r="F9211">
            <v>3455579993</v>
          </cell>
        </row>
        <row r="9212">
          <cell r="E9212" t="str">
            <v>LUC-EZZ-690758-00</v>
          </cell>
          <cell r="F9212">
            <v>3455579993</v>
          </cell>
        </row>
        <row r="9213">
          <cell r="E9213" t="str">
            <v>LUC-E00-450039-01</v>
          </cell>
          <cell r="F9213">
            <v>3455579993</v>
          </cell>
        </row>
        <row r="9214">
          <cell r="E9214" t="str">
            <v>PUR-03-0099-03</v>
          </cell>
          <cell r="F9214" t="str">
            <v>8TV6561</v>
          </cell>
        </row>
        <row r="9215">
          <cell r="E9215" t="str">
            <v>PUR-03-0074-02</v>
          </cell>
          <cell r="F9215" t="str">
            <v>8TV6552</v>
          </cell>
        </row>
        <row r="9216">
          <cell r="E9216" t="str">
            <v>HLOB-03-0113-00</v>
          </cell>
          <cell r="F9216" t="str">
            <v>8TV6550</v>
          </cell>
        </row>
        <row r="9217">
          <cell r="E9217" t="str">
            <v>LUC-E00-400067-036</v>
          </cell>
          <cell r="F9217">
            <v>445170443396</v>
          </cell>
        </row>
        <row r="9218">
          <cell r="E9218" t="str">
            <v>PUR-03-0038-00</v>
          </cell>
          <cell r="F9218">
            <v>882196578701</v>
          </cell>
        </row>
        <row r="9219">
          <cell r="E9219" t="str">
            <v>LUC-EZZ-470811-00</v>
          </cell>
          <cell r="F9219">
            <v>466219672438</v>
          </cell>
        </row>
        <row r="9220">
          <cell r="E9220" t="str">
            <v>LUC-E00-400025-09</v>
          </cell>
          <cell r="F9220">
            <v>466219672438</v>
          </cell>
        </row>
        <row r="9221">
          <cell r="E9221" t="str">
            <v>LUC-E00-400054-01</v>
          </cell>
          <cell r="F9221">
            <v>466219672438</v>
          </cell>
        </row>
        <row r="9222">
          <cell r="E9222" t="str">
            <v>LUC-EZZ-470248-02</v>
          </cell>
          <cell r="F9222">
            <v>466219672438</v>
          </cell>
        </row>
        <row r="9223">
          <cell r="E9223" t="str">
            <v>LUC-E00-400025-09</v>
          </cell>
          <cell r="F9223">
            <v>466219672438</v>
          </cell>
        </row>
        <row r="9224">
          <cell r="E9224" t="str">
            <v>LUC-E00-400010-053</v>
          </cell>
          <cell r="F9224">
            <v>445170444977</v>
          </cell>
        </row>
        <row r="9225">
          <cell r="E9225" t="str">
            <v>HLOB-21-0036-00</v>
          </cell>
          <cell r="F9225">
            <v>426080012388</v>
          </cell>
        </row>
        <row r="9226">
          <cell r="E9226" t="str">
            <v>PUR-18-0561-00</v>
          </cell>
          <cell r="F9226">
            <v>426080012388</v>
          </cell>
        </row>
        <row r="9227">
          <cell r="E9227" t="str">
            <v>LUC-P11-KA6000-04</v>
          </cell>
          <cell r="F9227">
            <v>882114238813</v>
          </cell>
        </row>
        <row r="9228">
          <cell r="E9228" t="str">
            <v>LUC-P11-KA6000-04</v>
          </cell>
          <cell r="F9228">
            <v>882114238813</v>
          </cell>
        </row>
        <row r="9229">
          <cell r="E9229" t="str">
            <v>LUC-EZZ-490304-04</v>
          </cell>
          <cell r="F9229">
            <v>1515811</v>
          </cell>
        </row>
        <row r="9230">
          <cell r="E9230" t="str">
            <v>LUC-EZZ-490304-04</v>
          </cell>
          <cell r="F9230">
            <v>1515811</v>
          </cell>
        </row>
        <row r="9231">
          <cell r="E9231" t="str">
            <v>LUC-EZZ-490315-01</v>
          </cell>
          <cell r="F9231">
            <v>1515811</v>
          </cell>
        </row>
        <row r="9232">
          <cell r="E9232" t="str">
            <v>LUC-EZZ-490315-01</v>
          </cell>
          <cell r="F9232">
            <v>1515811</v>
          </cell>
        </row>
        <row r="9233">
          <cell r="E9233" t="str">
            <v>LUC-EZZ-490315-01</v>
          </cell>
          <cell r="F9233">
            <v>1515811</v>
          </cell>
        </row>
        <row r="9234">
          <cell r="E9234" t="str">
            <v>LUC-EZZ-490315-02</v>
          </cell>
          <cell r="F9234">
            <v>1515811</v>
          </cell>
        </row>
        <row r="9235">
          <cell r="E9235" t="str">
            <v>LUC-P00-F853AY-00</v>
          </cell>
          <cell r="F9235">
            <v>882176526128</v>
          </cell>
        </row>
        <row r="9236">
          <cell r="E9236" t="str">
            <v>LUC-P00-F856AY-01</v>
          </cell>
          <cell r="F9236">
            <v>882176526128</v>
          </cell>
        </row>
        <row r="9237">
          <cell r="E9237" t="str">
            <v>LUC-P00-F856AY-01</v>
          </cell>
          <cell r="F9237">
            <v>882176526128</v>
          </cell>
        </row>
        <row r="9238">
          <cell r="E9238" t="str">
            <v>LUC-P00-F85MDY-00</v>
          </cell>
          <cell r="F9238">
            <v>882176526128</v>
          </cell>
        </row>
        <row r="9239">
          <cell r="E9239" t="str">
            <v>LUC-P00-F85MDY-00</v>
          </cell>
          <cell r="F9239">
            <v>882176526128</v>
          </cell>
        </row>
        <row r="9240">
          <cell r="E9240" t="str">
            <v>LUC-P00-F143AG-00</v>
          </cell>
          <cell r="F9240">
            <v>882176526128</v>
          </cell>
        </row>
        <row r="9241">
          <cell r="E9241" t="str">
            <v>LUC-P00-F856AY-01</v>
          </cell>
          <cell r="F9241">
            <v>882176526128</v>
          </cell>
        </row>
        <row r="9242">
          <cell r="E9242" t="str">
            <v>LUC-P21-K2B300-00</v>
          </cell>
          <cell r="F9242">
            <v>882176526128</v>
          </cell>
        </row>
        <row r="9243">
          <cell r="E9243" t="str">
            <v>LUC-P21-K2B300-00</v>
          </cell>
          <cell r="F9243">
            <v>882176526128</v>
          </cell>
        </row>
        <row r="9244">
          <cell r="E9244" t="str">
            <v>LUC-P21-K2B300-00</v>
          </cell>
          <cell r="F9244">
            <v>882176526128</v>
          </cell>
        </row>
        <row r="9245">
          <cell r="E9245" t="str">
            <v>LUC-P21-K2B300-00</v>
          </cell>
          <cell r="F9245">
            <v>882176526128</v>
          </cell>
        </row>
        <row r="9246">
          <cell r="E9246" t="str">
            <v>LUC-P00-F260CG-00</v>
          </cell>
          <cell r="F9246">
            <v>882176526128</v>
          </cell>
        </row>
        <row r="9247">
          <cell r="E9247" t="str">
            <v>LUC-EZZ-690131-00</v>
          </cell>
          <cell r="F9247">
            <v>4110325731</v>
          </cell>
        </row>
        <row r="9248">
          <cell r="E9248" t="str">
            <v>LUC-E00-690217-01</v>
          </cell>
          <cell r="F9248">
            <v>4110325732</v>
          </cell>
        </row>
        <row r="9249">
          <cell r="E9249" t="str">
            <v>LUC-E00-690217-01</v>
          </cell>
          <cell r="F9249">
            <v>4110325733</v>
          </cell>
        </row>
        <row r="9250">
          <cell r="E9250" t="str">
            <v>LUC-EZZ-691595-00</v>
          </cell>
          <cell r="F9250">
            <v>4110325734</v>
          </cell>
        </row>
        <row r="9251">
          <cell r="E9251" t="str">
            <v>LUC-E00-470111-00</v>
          </cell>
          <cell r="F9251">
            <v>4110325735</v>
          </cell>
        </row>
        <row r="9252">
          <cell r="E9252" t="str">
            <v>PUR-09-0352-00</v>
          </cell>
          <cell r="F9252">
            <v>445170452736</v>
          </cell>
        </row>
        <row r="9253">
          <cell r="E9253" t="str">
            <v>EF-45108861.X.X</v>
          </cell>
          <cell r="F9253">
            <v>466219664613</v>
          </cell>
        </row>
        <row r="9254">
          <cell r="E9254" t="str">
            <v>LUC-EZZ-470421-00</v>
          </cell>
          <cell r="F9254">
            <v>390226948262</v>
          </cell>
        </row>
        <row r="9255">
          <cell r="E9255" t="str">
            <v>HLOB-09-0343-00</v>
          </cell>
          <cell r="F9255">
            <v>458476698280</v>
          </cell>
        </row>
        <row r="9256">
          <cell r="E9256" t="str">
            <v>PUR-09-0343-00</v>
          </cell>
          <cell r="F9256">
            <v>452730458349</v>
          </cell>
        </row>
        <row r="9257">
          <cell r="E9257" t="str">
            <v>LUC-E00-440148-00</v>
          </cell>
          <cell r="F9257">
            <v>650969639163</v>
          </cell>
        </row>
        <row r="9258">
          <cell r="E9258" t="str">
            <v>LUC-E00-420184-00</v>
          </cell>
          <cell r="F9258">
            <v>882149908685</v>
          </cell>
        </row>
        <row r="9259">
          <cell r="E9259" t="str">
            <v>PUR-13-0246-00</v>
          </cell>
          <cell r="F9259">
            <v>882149908685</v>
          </cell>
        </row>
        <row r="9260">
          <cell r="E9260" t="str">
            <v>PUR-12-0294-00</v>
          </cell>
          <cell r="F9260">
            <v>882149908685</v>
          </cell>
        </row>
        <row r="9261">
          <cell r="E9261" t="str">
            <v>PUR-13-0133-00</v>
          </cell>
          <cell r="F9261">
            <v>882149908685</v>
          </cell>
        </row>
        <row r="9262">
          <cell r="E9262" t="str">
            <v>PUR-13-0235-00</v>
          </cell>
          <cell r="F9262">
            <v>882149908685</v>
          </cell>
        </row>
        <row r="9263">
          <cell r="E9263" t="str">
            <v>AIC-MP-00002485-000</v>
          </cell>
          <cell r="F9263">
            <v>882149908685</v>
          </cell>
        </row>
        <row r="9264">
          <cell r="E9264" t="str">
            <v>EF-45166123-9</v>
          </cell>
          <cell r="F9264">
            <v>461596476410</v>
          </cell>
        </row>
        <row r="9265">
          <cell r="E9265" t="str">
            <v>LUC-E00-400010-000</v>
          </cell>
          <cell r="F9265">
            <v>412069743320</v>
          </cell>
        </row>
        <row r="9266">
          <cell r="E9266" t="str">
            <v>AIC-MP-CN006281-S01</v>
          </cell>
          <cell r="F9266">
            <v>813848833035</v>
          </cell>
        </row>
        <row r="9267">
          <cell r="E9267" t="str">
            <v>LUC-EZZ-450108-00</v>
          </cell>
          <cell r="F9267">
            <v>619345515542</v>
          </cell>
        </row>
        <row r="9268">
          <cell r="E9268" t="str">
            <v>LUC-EZZ-420094-00</v>
          </cell>
          <cell r="F9268">
            <v>619345515520</v>
          </cell>
        </row>
        <row r="9269">
          <cell r="E9269" t="str">
            <v>LUC-EZZ-520030-00</v>
          </cell>
          <cell r="F9269">
            <v>619345515520</v>
          </cell>
        </row>
        <row r="9270">
          <cell r="E9270" t="str">
            <v>LUC-EZZ-520030-00</v>
          </cell>
          <cell r="F9270">
            <v>619345515520</v>
          </cell>
        </row>
        <row r="9271">
          <cell r="E9271" t="str">
            <v>PUR-11-0065-06</v>
          </cell>
          <cell r="F9271">
            <v>882169201786</v>
          </cell>
        </row>
        <row r="9272">
          <cell r="E9272" t="str">
            <v>PUR-11-0065-06</v>
          </cell>
          <cell r="F9272">
            <v>882169201786</v>
          </cell>
        </row>
        <row r="9273">
          <cell r="E9273" t="str">
            <v>PUR-11-0066-05</v>
          </cell>
          <cell r="F9273">
            <v>882169201786</v>
          </cell>
        </row>
        <row r="9274">
          <cell r="E9274" t="str">
            <v>LUC-E00-470259-00</v>
          </cell>
          <cell r="F9274">
            <v>439010097954</v>
          </cell>
        </row>
        <row r="9275">
          <cell r="E9275" t="str">
            <v>LUC-EZZ-400244-00</v>
          </cell>
          <cell r="F9275">
            <v>445170445080</v>
          </cell>
        </row>
        <row r="9276">
          <cell r="E9276" t="str">
            <v>HLOB-09-0477-00</v>
          </cell>
          <cell r="F9276">
            <v>445170447027</v>
          </cell>
        </row>
        <row r="9277">
          <cell r="E9277" t="str">
            <v>LUC-E00-400003-43</v>
          </cell>
          <cell r="F9277">
            <v>445170447141</v>
          </cell>
        </row>
        <row r="9278">
          <cell r="E9278" t="str">
            <v>LUC-E00-450084-00</v>
          </cell>
          <cell r="F9278">
            <v>445170447049</v>
          </cell>
        </row>
        <row r="9279">
          <cell r="E9279" t="str">
            <v>LUC-E00-400003-43</v>
          </cell>
          <cell r="F9279">
            <v>445170447108</v>
          </cell>
        </row>
        <row r="9280">
          <cell r="E9280" t="str">
            <v>PUR-25-0012-00</v>
          </cell>
          <cell r="F9280">
            <v>462857252562</v>
          </cell>
        </row>
        <row r="9281">
          <cell r="E9281" t="str">
            <v>LUC-EZZ-450070-00</v>
          </cell>
          <cell r="F9281">
            <v>445170447704</v>
          </cell>
        </row>
        <row r="9282">
          <cell r="E9282" t="str">
            <v>LUC-EZZ-470241-00</v>
          </cell>
          <cell r="F9282">
            <v>445170447299</v>
          </cell>
        </row>
        <row r="9283">
          <cell r="E9283" t="str">
            <v>AIC-MP-00002531-000</v>
          </cell>
          <cell r="F9283">
            <v>464456936001</v>
          </cell>
        </row>
        <row r="9284">
          <cell r="E9284" t="str">
            <v>AIC-MP-00002553-000</v>
          </cell>
          <cell r="F9284">
            <v>464456936001</v>
          </cell>
        </row>
        <row r="9285">
          <cell r="E9285" t="str">
            <v>AIC-MP-00007020-000</v>
          </cell>
          <cell r="F9285">
            <v>464456936001</v>
          </cell>
        </row>
        <row r="9286">
          <cell r="E9286" t="str">
            <v>AIC-121-005952</v>
          </cell>
          <cell r="F9286">
            <v>464456936001</v>
          </cell>
        </row>
        <row r="9287">
          <cell r="E9287" t="str">
            <v>AIC-MP-DE004411-S01</v>
          </cell>
          <cell r="F9287">
            <v>464456936001</v>
          </cell>
        </row>
        <row r="9288">
          <cell r="E9288" t="str">
            <v>AIC-MP-DE004578-S01</v>
          </cell>
          <cell r="F9288">
            <v>464456936001</v>
          </cell>
        </row>
        <row r="9289">
          <cell r="E9289" t="str">
            <v>AIC-MP-IC004670-S01</v>
          </cell>
          <cell r="F9289">
            <v>464456936001</v>
          </cell>
        </row>
        <row r="9290">
          <cell r="E9290" t="str">
            <v>HLOB-09-0329-00</v>
          </cell>
          <cell r="F9290">
            <v>445170447369</v>
          </cell>
        </row>
        <row r="9291">
          <cell r="E9291" t="str">
            <v>PUR-21-0036-00</v>
          </cell>
          <cell r="F9291">
            <v>466521985099</v>
          </cell>
        </row>
        <row r="9292">
          <cell r="E9292" t="str">
            <v>103-001603</v>
          </cell>
          <cell r="F9292">
            <v>730610853174</v>
          </cell>
        </row>
        <row r="9293">
          <cell r="E9293" t="str">
            <v>103-001603</v>
          </cell>
          <cell r="F9293">
            <v>730610853174</v>
          </cell>
        </row>
        <row r="9294">
          <cell r="E9294" t="str">
            <v>103-001603</v>
          </cell>
          <cell r="F9294">
            <v>730610853174</v>
          </cell>
        </row>
        <row r="9295">
          <cell r="E9295" t="str">
            <v>LUC-E00-420002-00</v>
          </cell>
          <cell r="F9295">
            <v>434611764595</v>
          </cell>
        </row>
        <row r="9296">
          <cell r="E9296" t="str">
            <v>LUC-E00-420002-00</v>
          </cell>
          <cell r="F9296">
            <v>434611764595</v>
          </cell>
        </row>
        <row r="9297">
          <cell r="E9297" t="str">
            <v>LUC-E00-420002-00</v>
          </cell>
          <cell r="F9297">
            <v>434611764595</v>
          </cell>
        </row>
        <row r="9298">
          <cell r="E9298" t="str">
            <v>LUC-E00-420002-00</v>
          </cell>
          <cell r="F9298">
            <v>434611764595</v>
          </cell>
        </row>
        <row r="9299">
          <cell r="E9299" t="str">
            <v>LUC-E00-400059-098</v>
          </cell>
          <cell r="F9299">
            <v>434611764595</v>
          </cell>
        </row>
        <row r="9300">
          <cell r="E9300" t="str">
            <v>HLOB-13-0238-00</v>
          </cell>
          <cell r="F9300">
            <v>434611764595</v>
          </cell>
        </row>
        <row r="9301">
          <cell r="E9301" t="str">
            <v>PUR-13-0238-00</v>
          </cell>
          <cell r="F9301">
            <v>434611764595</v>
          </cell>
        </row>
        <row r="9302">
          <cell r="E9302" t="str">
            <v>PUR-13-0212-00</v>
          </cell>
          <cell r="F9302">
            <v>434611764595</v>
          </cell>
        </row>
        <row r="9303">
          <cell r="E9303" t="str">
            <v>HLOB-13-0212-00</v>
          </cell>
          <cell r="F9303">
            <v>434611764595</v>
          </cell>
        </row>
        <row r="9304">
          <cell r="E9304" t="str">
            <v>HLOB-13-0002-00</v>
          </cell>
          <cell r="F9304">
            <v>434611764595</v>
          </cell>
        </row>
        <row r="9305">
          <cell r="E9305" t="str">
            <v>HLOB-13-0002-00</v>
          </cell>
          <cell r="F9305">
            <v>434611764595</v>
          </cell>
        </row>
        <row r="9306">
          <cell r="E9306" t="str">
            <v>PURET-13-0007-00</v>
          </cell>
          <cell r="F9306">
            <v>434611764595</v>
          </cell>
        </row>
        <row r="9307">
          <cell r="E9307" t="str">
            <v>HLOB-13-0155-00</v>
          </cell>
          <cell r="F9307">
            <v>434611764595</v>
          </cell>
        </row>
        <row r="9308">
          <cell r="E9308" t="str">
            <v>LUC-E00-420185-00</v>
          </cell>
          <cell r="F9308">
            <v>434611764595</v>
          </cell>
        </row>
        <row r="9309">
          <cell r="E9309" t="str">
            <v>LUC-EZZ-420261-00</v>
          </cell>
          <cell r="F9309">
            <v>434611764595</v>
          </cell>
        </row>
        <row r="9310">
          <cell r="E9310" t="str">
            <v>AIC-MP-00004202-000</v>
          </cell>
          <cell r="F9310">
            <v>434611764595</v>
          </cell>
        </row>
        <row r="9311">
          <cell r="E9311" t="str">
            <v>PURET-13-0007-00</v>
          </cell>
          <cell r="F9311">
            <v>434611764595</v>
          </cell>
        </row>
        <row r="9312">
          <cell r="E9312" t="str">
            <v>LUC-E00-510014-00</v>
          </cell>
          <cell r="F9312">
            <v>425698936407</v>
          </cell>
        </row>
        <row r="9313">
          <cell r="E9313" t="str">
            <v>LUC-E00-460018-00</v>
          </cell>
          <cell r="F9313">
            <v>425698936407</v>
          </cell>
        </row>
        <row r="9314">
          <cell r="E9314" t="str">
            <v>LUC-E00-510032-00</v>
          </cell>
          <cell r="F9314">
            <v>425698936407</v>
          </cell>
        </row>
        <row r="9315">
          <cell r="E9315" t="str">
            <v>PUR-24-0031-00</v>
          </cell>
          <cell r="F9315">
            <v>425698936407</v>
          </cell>
        </row>
        <row r="9316">
          <cell r="E9316" t="str">
            <v>EF-45135156</v>
          </cell>
          <cell r="F9316" t="str">
            <v>LPIAHPH251562</v>
          </cell>
        </row>
        <row r="9317">
          <cell r="E9317" t="str">
            <v>LUC-E00-450029-00</v>
          </cell>
          <cell r="F9317">
            <v>3368187034</v>
          </cell>
        </row>
        <row r="9318">
          <cell r="E9318" t="str">
            <v>LUC-E00-510021-00</v>
          </cell>
          <cell r="F9318">
            <v>3368187034</v>
          </cell>
        </row>
        <row r="9319">
          <cell r="E9319" t="str">
            <v>LUC-E00-420060-00</v>
          </cell>
          <cell r="F9319">
            <v>3368187034</v>
          </cell>
        </row>
        <row r="9320">
          <cell r="E9320" t="str">
            <v>LUC-E00-420069-00</v>
          </cell>
          <cell r="F9320">
            <v>3368187034</v>
          </cell>
        </row>
        <row r="9321">
          <cell r="E9321" t="str">
            <v>LUC-E00-420069-00</v>
          </cell>
          <cell r="F9321">
            <v>3368187034</v>
          </cell>
        </row>
        <row r="9322">
          <cell r="E9322" t="str">
            <v>LUC-E00-400010-048</v>
          </cell>
          <cell r="F9322">
            <v>3368187034</v>
          </cell>
        </row>
        <row r="9323">
          <cell r="E9323" t="str">
            <v>LUC-E00-420069-00</v>
          </cell>
          <cell r="F9323">
            <v>3368187034</v>
          </cell>
        </row>
        <row r="9324">
          <cell r="E9324" t="str">
            <v>LUC-E00-460008-00</v>
          </cell>
          <cell r="F9324">
            <v>3368187034</v>
          </cell>
        </row>
        <row r="9325">
          <cell r="E9325" t="str">
            <v>LUC-E00-470082-00</v>
          </cell>
          <cell r="F9325">
            <v>3368187034</v>
          </cell>
        </row>
        <row r="9326">
          <cell r="E9326" t="str">
            <v>LUC-E00-470082-00</v>
          </cell>
          <cell r="F9326">
            <v>3368187034</v>
          </cell>
        </row>
        <row r="9327">
          <cell r="E9327" t="str">
            <v>LUC-E00-400056-01</v>
          </cell>
          <cell r="F9327">
            <v>3368187034</v>
          </cell>
        </row>
        <row r="9328">
          <cell r="E9328" t="str">
            <v>LUC-EZZ-470192-00</v>
          </cell>
          <cell r="F9328">
            <v>3368187034</v>
          </cell>
        </row>
        <row r="9329">
          <cell r="E9329" t="str">
            <v>LUC-E00-470301-00</v>
          </cell>
          <cell r="F9329">
            <v>3368187034</v>
          </cell>
        </row>
        <row r="9330">
          <cell r="E9330" t="str">
            <v>LUC-E00-470301-00</v>
          </cell>
          <cell r="F9330">
            <v>3368187034</v>
          </cell>
        </row>
        <row r="9331">
          <cell r="E9331" t="str">
            <v>LUC-E00-420037-09</v>
          </cell>
          <cell r="F9331">
            <v>3368187034</v>
          </cell>
        </row>
        <row r="9332">
          <cell r="E9332" t="str">
            <v>LUC-E00-470122-01</v>
          </cell>
          <cell r="F9332">
            <v>3368187034</v>
          </cell>
        </row>
        <row r="9333">
          <cell r="E9333" t="str">
            <v>LUC-E00-470123-00</v>
          </cell>
          <cell r="F9333">
            <v>3368187034</v>
          </cell>
        </row>
        <row r="9334">
          <cell r="E9334" t="str">
            <v>LUC-E00-470123-00</v>
          </cell>
          <cell r="F9334">
            <v>3368187034</v>
          </cell>
        </row>
        <row r="9335">
          <cell r="E9335" t="str">
            <v>LUC-EZZ-400414-00</v>
          </cell>
          <cell r="F9335">
            <v>3368187034</v>
          </cell>
        </row>
        <row r="9336">
          <cell r="E9336" t="str">
            <v>LUC-E00-510093-00</v>
          </cell>
          <cell r="F9336">
            <v>3368187034</v>
          </cell>
        </row>
        <row r="9337">
          <cell r="E9337" t="str">
            <v>LUC-E00-420037-10</v>
          </cell>
          <cell r="F9337">
            <v>3368187034</v>
          </cell>
        </row>
        <row r="9338">
          <cell r="E9338" t="str">
            <v>LUC-E00-510027-00</v>
          </cell>
          <cell r="F9338">
            <v>3368187034</v>
          </cell>
        </row>
        <row r="9339">
          <cell r="E9339" t="str">
            <v>LUC-E00-510027-00</v>
          </cell>
          <cell r="F9339">
            <v>3368187034</v>
          </cell>
        </row>
        <row r="9340">
          <cell r="E9340" t="str">
            <v>LUC-E00-510027-00</v>
          </cell>
          <cell r="F9340">
            <v>3368187034</v>
          </cell>
        </row>
        <row r="9341">
          <cell r="E9341" t="str">
            <v>LUC-E00-450026-00</v>
          </cell>
          <cell r="F9341">
            <v>3368187034</v>
          </cell>
        </row>
        <row r="9342">
          <cell r="E9342" t="str">
            <v>LUC-E00-450026-00</v>
          </cell>
          <cell r="F9342">
            <v>3368187034</v>
          </cell>
        </row>
        <row r="9343">
          <cell r="E9343" t="str">
            <v>LUC-E00-470123-00</v>
          </cell>
          <cell r="F9343">
            <v>3368187034</v>
          </cell>
        </row>
        <row r="9344">
          <cell r="E9344" t="str">
            <v>LUC-E00-450043-00</v>
          </cell>
          <cell r="F9344">
            <v>3368187034</v>
          </cell>
        </row>
        <row r="9345">
          <cell r="E9345" t="str">
            <v>LUC-E00-470060-00</v>
          </cell>
          <cell r="F9345">
            <v>3368187034</v>
          </cell>
        </row>
        <row r="9346">
          <cell r="E9346" t="str">
            <v>LUC-E00-510015-00</v>
          </cell>
          <cell r="F9346">
            <v>3368187034</v>
          </cell>
        </row>
        <row r="9347">
          <cell r="E9347" t="str">
            <v>LUC-E00-510014-00</v>
          </cell>
          <cell r="F9347">
            <v>3368187034</v>
          </cell>
        </row>
        <row r="9348">
          <cell r="E9348" t="str">
            <v>LUC-E00-400001-013</v>
          </cell>
          <cell r="F9348">
            <v>3368187034</v>
          </cell>
        </row>
        <row r="9349">
          <cell r="E9349" t="str">
            <v>LUC-E00-470061-00</v>
          </cell>
          <cell r="F9349">
            <v>3368187034</v>
          </cell>
        </row>
        <row r="9350">
          <cell r="E9350" t="str">
            <v>LUC-E00-470343-00</v>
          </cell>
          <cell r="F9350">
            <v>3368187034</v>
          </cell>
        </row>
        <row r="9351">
          <cell r="E9351" t="str">
            <v>LUC-EZZ-510640-00</v>
          </cell>
          <cell r="F9351">
            <v>3368187034</v>
          </cell>
        </row>
        <row r="9352">
          <cell r="E9352" t="str">
            <v>LUC-EZZ-421706-00</v>
          </cell>
          <cell r="F9352">
            <v>3368187034</v>
          </cell>
        </row>
        <row r="9353">
          <cell r="E9353" t="str">
            <v>LUC-E00-470095-00</v>
          </cell>
          <cell r="F9353">
            <v>3368187034</v>
          </cell>
        </row>
        <row r="9354">
          <cell r="E9354" t="str">
            <v>LUC-E00-470020-01</v>
          </cell>
          <cell r="F9354">
            <v>3368187034</v>
          </cell>
        </row>
        <row r="9355">
          <cell r="E9355" t="str">
            <v>LUC-E00-470004-00</v>
          </cell>
          <cell r="F9355">
            <v>3368187034</v>
          </cell>
        </row>
        <row r="9356">
          <cell r="E9356" t="str">
            <v>LUC-E00-470033-00</v>
          </cell>
          <cell r="F9356">
            <v>3368187034</v>
          </cell>
        </row>
        <row r="9357">
          <cell r="E9357" t="str">
            <v>LUC-E00-460015-01</v>
          </cell>
          <cell r="F9357">
            <v>3368187034</v>
          </cell>
        </row>
        <row r="9358">
          <cell r="E9358" t="str">
            <v>LUC-EZZ-420089-00</v>
          </cell>
          <cell r="F9358">
            <v>3368187034</v>
          </cell>
        </row>
        <row r="9359">
          <cell r="E9359" t="str">
            <v>LUC-EZZ-440176-00</v>
          </cell>
          <cell r="F9359">
            <v>3368187034</v>
          </cell>
        </row>
        <row r="9360">
          <cell r="E9360" t="str">
            <v>LUC-E00-470252-00</v>
          </cell>
          <cell r="F9360">
            <v>3368187034</v>
          </cell>
        </row>
        <row r="9361">
          <cell r="E9361" t="str">
            <v>LUC-E00-470119-00</v>
          </cell>
          <cell r="F9361">
            <v>3368187034</v>
          </cell>
        </row>
        <row r="9362">
          <cell r="E9362" t="str">
            <v>LUC-E00-470318-00</v>
          </cell>
          <cell r="F9362">
            <v>3368187034</v>
          </cell>
        </row>
        <row r="9363">
          <cell r="E9363" t="str">
            <v>LUC-E00-470122-01</v>
          </cell>
          <cell r="F9363">
            <v>3368187034</v>
          </cell>
        </row>
        <row r="9364">
          <cell r="E9364" t="str">
            <v>LUC-E00-510066-00</v>
          </cell>
          <cell r="F9364">
            <v>3368187034</v>
          </cell>
        </row>
        <row r="9365">
          <cell r="E9365" t="str">
            <v>LUC-E00-470082-00</v>
          </cell>
          <cell r="F9365">
            <v>3368187034</v>
          </cell>
        </row>
        <row r="9366">
          <cell r="E9366" t="str">
            <v>LUC-EZZ-420136-00</v>
          </cell>
          <cell r="F9366">
            <v>3368187034</v>
          </cell>
        </row>
        <row r="9367">
          <cell r="E9367" t="str">
            <v>LUC-E00-510041-00</v>
          </cell>
          <cell r="F9367">
            <v>3368187034</v>
          </cell>
        </row>
        <row r="9368">
          <cell r="E9368" t="str">
            <v>LUC-E00-510031-00</v>
          </cell>
          <cell r="F9368">
            <v>3368187034</v>
          </cell>
        </row>
        <row r="9369">
          <cell r="E9369" t="str">
            <v>LUC-E00-470087-00</v>
          </cell>
          <cell r="F9369">
            <v>3368187034</v>
          </cell>
        </row>
        <row r="9370">
          <cell r="E9370" t="str">
            <v>LUC-E00-510031-00</v>
          </cell>
          <cell r="F9370">
            <v>3368187034</v>
          </cell>
        </row>
        <row r="9371">
          <cell r="E9371" t="str">
            <v>LUC-E00-470123-00</v>
          </cell>
          <cell r="F9371">
            <v>3368187034</v>
          </cell>
        </row>
        <row r="9372">
          <cell r="E9372" t="str">
            <v>LUC-E00-470077-00</v>
          </cell>
          <cell r="F9372">
            <v>3368187034</v>
          </cell>
        </row>
        <row r="9373">
          <cell r="E9373" t="str">
            <v>LUC-E00-450043-00</v>
          </cell>
          <cell r="F9373">
            <v>3368187034</v>
          </cell>
        </row>
        <row r="9374">
          <cell r="E9374" t="str">
            <v>LUC-E00-420241-00</v>
          </cell>
          <cell r="F9374">
            <v>3368187034</v>
          </cell>
        </row>
        <row r="9375">
          <cell r="E9375" t="str">
            <v>LUC-E00-400048-00</v>
          </cell>
          <cell r="F9375">
            <v>3368187034</v>
          </cell>
        </row>
        <row r="9376">
          <cell r="E9376" t="str">
            <v>LUC-E00-400010-039</v>
          </cell>
          <cell r="F9376">
            <v>3368187034</v>
          </cell>
        </row>
        <row r="9377">
          <cell r="E9377" t="str">
            <v>LUC-E00-420057-00</v>
          </cell>
          <cell r="F9377">
            <v>3368187034</v>
          </cell>
        </row>
        <row r="9378">
          <cell r="E9378" t="str">
            <v>LUC-E00-420057-00</v>
          </cell>
          <cell r="F9378">
            <v>3368187034</v>
          </cell>
        </row>
        <row r="9379">
          <cell r="E9379" t="str">
            <v>LUC-E00-510015-00</v>
          </cell>
          <cell r="F9379">
            <v>3368187034</v>
          </cell>
        </row>
        <row r="9380">
          <cell r="E9380" t="str">
            <v>LUC-E00-450036-00</v>
          </cell>
          <cell r="F9380">
            <v>3368187034</v>
          </cell>
        </row>
        <row r="9381">
          <cell r="E9381" t="str">
            <v>LUC-E00-420060-00</v>
          </cell>
          <cell r="F9381">
            <v>3368187034</v>
          </cell>
        </row>
        <row r="9382">
          <cell r="E9382" t="str">
            <v>LUC-E00-420019-00</v>
          </cell>
          <cell r="F9382">
            <v>3368187034</v>
          </cell>
        </row>
        <row r="9383">
          <cell r="E9383" t="str">
            <v>LUC-E00-420054-01</v>
          </cell>
          <cell r="F9383">
            <v>3368187034</v>
          </cell>
        </row>
        <row r="9384">
          <cell r="E9384" t="str">
            <v>LUC-E00-470080-00</v>
          </cell>
          <cell r="F9384">
            <v>3368187034</v>
          </cell>
        </row>
        <row r="9385">
          <cell r="E9385" t="str">
            <v>LUC-E00-510019-00</v>
          </cell>
          <cell r="F9385">
            <v>3368187034</v>
          </cell>
        </row>
        <row r="9386">
          <cell r="E9386" t="str">
            <v>LUC-EZZ-420089-00</v>
          </cell>
          <cell r="F9386">
            <v>3368187034</v>
          </cell>
        </row>
        <row r="9387">
          <cell r="E9387" t="str">
            <v>LUC-E00-510037-00</v>
          </cell>
          <cell r="F9387">
            <v>3368187034</v>
          </cell>
        </row>
        <row r="9388">
          <cell r="E9388" t="str">
            <v>LUC-E00-510037-00</v>
          </cell>
          <cell r="F9388">
            <v>3368187034</v>
          </cell>
        </row>
        <row r="9389">
          <cell r="E9389" t="str">
            <v>LUC-E00-440028-00</v>
          </cell>
          <cell r="F9389">
            <v>3368187034</v>
          </cell>
        </row>
        <row r="9390">
          <cell r="E9390" t="str">
            <v>LUC-E00-460008-00</v>
          </cell>
          <cell r="F9390">
            <v>3368187034</v>
          </cell>
        </row>
        <row r="9391">
          <cell r="E9391" t="str">
            <v>LUC-E00-420027-03</v>
          </cell>
          <cell r="F9391">
            <v>3368187034</v>
          </cell>
        </row>
        <row r="9392">
          <cell r="E9392" t="str">
            <v>LUC-E00-450026-00</v>
          </cell>
          <cell r="F9392">
            <v>3368187034</v>
          </cell>
        </row>
        <row r="9393">
          <cell r="E9393" t="str">
            <v>LUC-E00-470048-00</v>
          </cell>
          <cell r="F9393">
            <v>3368187034</v>
          </cell>
        </row>
        <row r="9394">
          <cell r="E9394" t="str">
            <v>LUC-E00-450026-00</v>
          </cell>
          <cell r="F9394">
            <v>3368187034</v>
          </cell>
        </row>
        <row r="9395">
          <cell r="E9395" t="str">
            <v>LUC-E00-470379-00</v>
          </cell>
          <cell r="F9395">
            <v>3368187034</v>
          </cell>
        </row>
        <row r="9396">
          <cell r="E9396" t="str">
            <v>LUC-E00-470379-00</v>
          </cell>
          <cell r="F9396">
            <v>3368187034</v>
          </cell>
        </row>
        <row r="9397">
          <cell r="E9397" t="str">
            <v>LUC-E00-470379-00</v>
          </cell>
          <cell r="F9397">
            <v>3368187034</v>
          </cell>
        </row>
        <row r="9398">
          <cell r="E9398" t="str">
            <v>PUR-14-0080-00</v>
          </cell>
          <cell r="F9398">
            <v>3368187034</v>
          </cell>
        </row>
        <row r="9399">
          <cell r="E9399" t="str">
            <v>LUC-EZZ-450237-00</v>
          </cell>
          <cell r="F9399">
            <v>3368187034</v>
          </cell>
        </row>
        <row r="9400">
          <cell r="E9400" t="str">
            <v>LUC-E00-450026-00</v>
          </cell>
          <cell r="F9400">
            <v>3368187034</v>
          </cell>
        </row>
        <row r="9401">
          <cell r="E9401" t="str">
            <v>AIC-MP-00000240-000</v>
          </cell>
          <cell r="F9401">
            <v>3368187034</v>
          </cell>
        </row>
        <row r="9402">
          <cell r="E9402" t="str">
            <v>AIC-MP-00005635-000</v>
          </cell>
          <cell r="F9402">
            <v>3368187034</v>
          </cell>
        </row>
        <row r="9403">
          <cell r="E9403" t="str">
            <v>AIC-MP-00003248-000</v>
          </cell>
          <cell r="F9403">
            <v>3368187034</v>
          </cell>
        </row>
        <row r="9404">
          <cell r="E9404" t="str">
            <v>AIC-MP-IC006983-S01</v>
          </cell>
          <cell r="F9404">
            <v>3368187034</v>
          </cell>
        </row>
        <row r="9405">
          <cell r="E9405" t="str">
            <v>LUC-EZZ-420085-00</v>
          </cell>
          <cell r="F9405">
            <v>618108343816</v>
          </cell>
        </row>
        <row r="9406">
          <cell r="E9406" t="str">
            <v>LUC-EZZ-450476-00</v>
          </cell>
          <cell r="F9406">
            <v>618108343816</v>
          </cell>
        </row>
        <row r="9407">
          <cell r="E9407" t="str">
            <v>LUC-EZZ-420217-00</v>
          </cell>
          <cell r="F9407">
            <v>618108343816</v>
          </cell>
        </row>
        <row r="9408">
          <cell r="E9408" t="str">
            <v>LUC-EZZ-420211-00</v>
          </cell>
          <cell r="F9408">
            <v>618108343816</v>
          </cell>
        </row>
        <row r="9409">
          <cell r="E9409" t="str">
            <v>PUR-09-0343-00</v>
          </cell>
          <cell r="F9409">
            <v>452730460474</v>
          </cell>
        </row>
        <row r="9410">
          <cell r="E9410" t="str">
            <v>PUR-09-0343-00</v>
          </cell>
          <cell r="F9410">
            <v>452730460474</v>
          </cell>
        </row>
        <row r="9411">
          <cell r="E9411" t="str">
            <v>PUR-09-0263-00</v>
          </cell>
          <cell r="F9411">
            <v>445170443455</v>
          </cell>
        </row>
        <row r="9412">
          <cell r="E9412" t="str">
            <v>LUC-E00-400010-010</v>
          </cell>
          <cell r="F9412">
            <v>445170444072</v>
          </cell>
        </row>
        <row r="9413">
          <cell r="E9413" t="str">
            <v>LUC-EZZ-510023-00</v>
          </cell>
          <cell r="F9413">
            <v>737415959842</v>
          </cell>
        </row>
        <row r="9414">
          <cell r="E9414" t="str">
            <v>LUC-E00-420028-00</v>
          </cell>
          <cell r="F9414">
            <v>737415959842</v>
          </cell>
        </row>
        <row r="9415">
          <cell r="E9415" t="str">
            <v>LUC-E00-420028-00</v>
          </cell>
          <cell r="F9415">
            <v>737415959842</v>
          </cell>
        </row>
        <row r="9416">
          <cell r="E9416" t="str">
            <v>LUC-EZZ-470138-00</v>
          </cell>
          <cell r="F9416">
            <v>737415959842</v>
          </cell>
        </row>
        <row r="9417">
          <cell r="E9417" t="str">
            <v>LUC-EZZ-470138-00</v>
          </cell>
          <cell r="F9417">
            <v>737415959842</v>
          </cell>
        </row>
        <row r="9418">
          <cell r="E9418" t="str">
            <v>LUC-EZZ-400248-00</v>
          </cell>
          <cell r="F9418">
            <v>445170444613</v>
          </cell>
        </row>
        <row r="9419">
          <cell r="E9419" t="str">
            <v>LUC-EZZ-400223-00</v>
          </cell>
          <cell r="F9419">
            <v>445170444613</v>
          </cell>
        </row>
        <row r="9420">
          <cell r="E9420" t="str">
            <v>LUC-E00-400010-050</v>
          </cell>
          <cell r="F9420">
            <v>445170445079</v>
          </cell>
        </row>
        <row r="9421">
          <cell r="E9421" t="str">
            <v>LUC-EZZ-400231-00</v>
          </cell>
          <cell r="F9421">
            <v>445170445057</v>
          </cell>
        </row>
        <row r="9422">
          <cell r="E9422" t="str">
            <v>LUC-EZZ-400201-00</v>
          </cell>
          <cell r="F9422">
            <v>445170445057</v>
          </cell>
        </row>
        <row r="9423">
          <cell r="E9423" t="str">
            <v>EF-45056968.X.X</v>
          </cell>
          <cell r="F9423">
            <v>445170445322</v>
          </cell>
        </row>
        <row r="9424">
          <cell r="E9424" t="str">
            <v>PUR-09-0424-00</v>
          </cell>
          <cell r="F9424">
            <v>445170449225</v>
          </cell>
        </row>
        <row r="9425">
          <cell r="E9425" t="str">
            <v>LUC-E00-690030-02</v>
          </cell>
          <cell r="F9425">
            <v>458925590680</v>
          </cell>
        </row>
        <row r="9426">
          <cell r="E9426" t="str">
            <v>LUC-P11-KA4000-00</v>
          </cell>
          <cell r="F9426">
            <v>882216854980</v>
          </cell>
        </row>
        <row r="9427">
          <cell r="E9427" t="str">
            <v>PUR-03-0096-02</v>
          </cell>
          <cell r="F9427" t="str">
            <v>8TV6583</v>
          </cell>
        </row>
        <row r="9428">
          <cell r="E9428" t="str">
            <v>LUC-E00-690200-01</v>
          </cell>
          <cell r="F9428">
            <v>456450677625</v>
          </cell>
        </row>
        <row r="9429">
          <cell r="E9429" t="str">
            <v>LUC-EZZ-421706-00</v>
          </cell>
          <cell r="F9429">
            <v>4216208990</v>
          </cell>
        </row>
        <row r="9430">
          <cell r="E9430" t="str">
            <v>LUC-E00-400069-00</v>
          </cell>
          <cell r="F9430">
            <v>3455602920</v>
          </cell>
        </row>
        <row r="9431">
          <cell r="E9431" t="str">
            <v>LUC-E00-400069-00</v>
          </cell>
          <cell r="F9431">
            <v>3455602920</v>
          </cell>
        </row>
        <row r="9432">
          <cell r="E9432" t="str">
            <v>LUC-EZZ-470350-00</v>
          </cell>
          <cell r="F9432">
            <v>7467541826</v>
          </cell>
        </row>
        <row r="9433">
          <cell r="E9433" t="str">
            <v>LUC-EZZ-470304-00</v>
          </cell>
          <cell r="F9433">
            <v>7467541826</v>
          </cell>
        </row>
        <row r="9434">
          <cell r="E9434" t="str">
            <v>AIC-MP-00006007-000</v>
          </cell>
          <cell r="F9434">
            <v>7467541826</v>
          </cell>
        </row>
        <row r="9435">
          <cell r="E9435" t="str">
            <v>PUR-13-0125-00</v>
          </cell>
          <cell r="F9435">
            <v>3455606420</v>
          </cell>
        </row>
        <row r="9436">
          <cell r="E9436" t="str">
            <v>LUC-E00-400035-00</v>
          </cell>
          <cell r="F9436">
            <v>3455606420</v>
          </cell>
        </row>
        <row r="9437">
          <cell r="E9437" t="str">
            <v>LUC-EZZ-400192-00</v>
          </cell>
          <cell r="F9437">
            <v>3455606420</v>
          </cell>
        </row>
        <row r="9438">
          <cell r="E9438" t="str">
            <v>LUC-EZZ-400192-00</v>
          </cell>
          <cell r="F9438">
            <v>3455606420</v>
          </cell>
        </row>
        <row r="9439">
          <cell r="E9439" t="str">
            <v>LUC-P11-K18000-00</v>
          </cell>
          <cell r="F9439">
            <v>3455606420</v>
          </cell>
        </row>
        <row r="9440">
          <cell r="E9440" t="str">
            <v>EF-45072100.X.X</v>
          </cell>
          <cell r="F9440">
            <v>3455606420</v>
          </cell>
        </row>
        <row r="9441">
          <cell r="E9441" t="str">
            <v>EF-45072100.X.X</v>
          </cell>
          <cell r="F9441">
            <v>3455606420</v>
          </cell>
        </row>
        <row r="9442">
          <cell r="E9442" t="str">
            <v>EF-45072100.X.X</v>
          </cell>
          <cell r="F9442">
            <v>3455606420</v>
          </cell>
        </row>
        <row r="9443">
          <cell r="E9443" t="str">
            <v>PUR-13-0125-00</v>
          </cell>
          <cell r="F9443">
            <v>3455606420</v>
          </cell>
        </row>
        <row r="9444">
          <cell r="E9444" t="str">
            <v>PUR-13-0125-00</v>
          </cell>
          <cell r="F9444">
            <v>3455606420</v>
          </cell>
        </row>
        <row r="9445">
          <cell r="E9445" t="str">
            <v>LUC-P11-K18000-00</v>
          </cell>
          <cell r="F9445">
            <v>3455606420</v>
          </cell>
        </row>
        <row r="9446">
          <cell r="E9446" t="str">
            <v>LUC-E00-400001-003</v>
          </cell>
          <cell r="F9446">
            <v>3455606420</v>
          </cell>
        </row>
        <row r="9447">
          <cell r="E9447" t="str">
            <v>LUC-E00-400001-003</v>
          </cell>
          <cell r="F9447">
            <v>3455606420</v>
          </cell>
        </row>
        <row r="9448">
          <cell r="E9448" t="str">
            <v>LUC-EZZ-400237-00</v>
          </cell>
          <cell r="F9448">
            <v>3455606420</v>
          </cell>
        </row>
        <row r="9449">
          <cell r="E9449" t="str">
            <v>LUC-E00-460007-01</v>
          </cell>
          <cell r="F9449">
            <v>3455606420</v>
          </cell>
        </row>
        <row r="9450">
          <cell r="E9450" t="str">
            <v>LUC-E00-460007-01</v>
          </cell>
          <cell r="F9450">
            <v>3455606420</v>
          </cell>
        </row>
        <row r="9451">
          <cell r="E9451" t="str">
            <v>PUR-09-0343-00</v>
          </cell>
          <cell r="F9451">
            <v>452730462525</v>
          </cell>
        </row>
        <row r="9452">
          <cell r="E9452" t="str">
            <v>LUC-P11-K41E00-01</v>
          </cell>
          <cell r="F9452">
            <v>119209607840</v>
          </cell>
        </row>
        <row r="9453">
          <cell r="E9453" t="str">
            <v>LUC-E00-400028-000</v>
          </cell>
          <cell r="F9453">
            <v>119209607840</v>
          </cell>
        </row>
        <row r="9454">
          <cell r="E9454" t="str">
            <v>HLOB-13-0246-00</v>
          </cell>
          <cell r="F9454">
            <v>119209607840</v>
          </cell>
        </row>
        <row r="9455">
          <cell r="E9455" t="str">
            <v>HLOB-09-0427-00</v>
          </cell>
          <cell r="F9455">
            <v>119209607840</v>
          </cell>
        </row>
        <row r="9456">
          <cell r="E9456" t="str">
            <v>LUC-E00-400028-08</v>
          </cell>
          <cell r="F9456">
            <v>119209607840</v>
          </cell>
        </row>
        <row r="9457">
          <cell r="E9457" t="str">
            <v>PUR-24-0028-00</v>
          </cell>
          <cell r="F9457">
            <v>119209607840</v>
          </cell>
        </row>
        <row r="9458">
          <cell r="E9458" t="str">
            <v>PUR-03-0038-00</v>
          </cell>
          <cell r="F9458">
            <v>444641856549</v>
          </cell>
        </row>
        <row r="9459">
          <cell r="E9459" t="str">
            <v>PUR-03-0038-00</v>
          </cell>
          <cell r="F9459">
            <v>444641856549</v>
          </cell>
        </row>
        <row r="9460">
          <cell r="E9460" t="str">
            <v>LUC-EZZ-400042-00</v>
          </cell>
          <cell r="F9460">
            <v>423264381835</v>
          </cell>
        </row>
        <row r="9461">
          <cell r="E9461" t="str">
            <v>LUC-EZZ-400042-00</v>
          </cell>
          <cell r="F9461">
            <v>423264381835</v>
          </cell>
        </row>
        <row r="9462">
          <cell r="E9462" t="str">
            <v>LUC-E00-400035-04</v>
          </cell>
          <cell r="F9462">
            <v>423264381835</v>
          </cell>
        </row>
        <row r="9463">
          <cell r="E9463" t="str">
            <v>PUR-12-0407-00</v>
          </cell>
          <cell r="F9463">
            <v>423264381835</v>
          </cell>
        </row>
        <row r="9464">
          <cell r="E9464" t="str">
            <v>EF-45043496.X.X</v>
          </cell>
          <cell r="F9464">
            <v>423264381835</v>
          </cell>
        </row>
        <row r="9465">
          <cell r="E9465" t="str">
            <v>HLOB-12-0468-00</v>
          </cell>
          <cell r="F9465">
            <v>423264381835</v>
          </cell>
        </row>
        <row r="9466">
          <cell r="E9466" t="str">
            <v>121-000520.X.X</v>
          </cell>
          <cell r="F9466">
            <v>423264381835</v>
          </cell>
        </row>
        <row r="9467">
          <cell r="E9467" t="str">
            <v>PUR-13-0156-00</v>
          </cell>
          <cell r="F9467">
            <v>423264381835</v>
          </cell>
        </row>
        <row r="9468">
          <cell r="E9468" t="str">
            <v>AIC-MP-00000310-000</v>
          </cell>
          <cell r="F9468">
            <v>423264381835</v>
          </cell>
        </row>
        <row r="9469">
          <cell r="E9469" t="str">
            <v>LUC-E00-420025-03</v>
          </cell>
          <cell r="F9469">
            <v>423264381835</v>
          </cell>
        </row>
        <row r="9470">
          <cell r="E9470" t="str">
            <v>LUC-EZZ-420822-00</v>
          </cell>
          <cell r="F9470">
            <v>423264381835</v>
          </cell>
        </row>
        <row r="9471">
          <cell r="E9471" t="str">
            <v>LUC-EZZ-420822-00</v>
          </cell>
          <cell r="F9471">
            <v>423264381835</v>
          </cell>
        </row>
        <row r="9472">
          <cell r="E9472" t="str">
            <v>LUC-E00-420025-04</v>
          </cell>
          <cell r="F9472">
            <v>423264381835</v>
          </cell>
        </row>
        <row r="9473">
          <cell r="E9473" t="str">
            <v>LUC-E00-420025-03</v>
          </cell>
          <cell r="F9473">
            <v>423264381835</v>
          </cell>
        </row>
        <row r="9474">
          <cell r="E9474" t="str">
            <v>PUR-13-0215-00</v>
          </cell>
          <cell r="F9474">
            <v>423264381835</v>
          </cell>
        </row>
        <row r="9475">
          <cell r="E9475" t="str">
            <v>LUC-EZZ-421132-00</v>
          </cell>
          <cell r="F9475">
            <v>423264381835</v>
          </cell>
        </row>
        <row r="9476">
          <cell r="E9476" t="str">
            <v>122-001674</v>
          </cell>
          <cell r="F9476">
            <v>423264381835</v>
          </cell>
        </row>
        <row r="9477">
          <cell r="E9477" t="str">
            <v>121-000585.X.X</v>
          </cell>
          <cell r="F9477">
            <v>423264381835</v>
          </cell>
        </row>
        <row r="9478">
          <cell r="E9478" t="str">
            <v>122-000293.X.X</v>
          </cell>
          <cell r="F9478">
            <v>423264381835</v>
          </cell>
        </row>
        <row r="9479">
          <cell r="E9479" t="str">
            <v>LUC-E00-470121-01</v>
          </cell>
          <cell r="F9479">
            <v>390304382281</v>
          </cell>
        </row>
        <row r="9480">
          <cell r="E9480" t="str">
            <v>LUC-EZZ-470421-00</v>
          </cell>
          <cell r="F9480">
            <v>390304382281</v>
          </cell>
        </row>
        <row r="9481">
          <cell r="E9481" t="str">
            <v>PUR-09-0424-00</v>
          </cell>
          <cell r="F9481">
            <v>445170449340</v>
          </cell>
        </row>
        <row r="9482">
          <cell r="E9482" t="str">
            <v>PUR-09-0424-00</v>
          </cell>
          <cell r="F9482">
            <v>445170449258</v>
          </cell>
        </row>
        <row r="9483">
          <cell r="E9483" t="str">
            <v>LUC-EZZ-470247-00</v>
          </cell>
          <cell r="F9483">
            <v>445170450137</v>
          </cell>
        </row>
        <row r="9484">
          <cell r="E9484" t="str">
            <v>PUR-03-0038-00</v>
          </cell>
          <cell r="F9484">
            <v>882250018254</v>
          </cell>
        </row>
        <row r="9485">
          <cell r="E9485" t="str">
            <v>PUR-03-0038-00</v>
          </cell>
          <cell r="F9485">
            <v>882250018254</v>
          </cell>
        </row>
        <row r="9486">
          <cell r="E9486" t="str">
            <v>AIC-123-001954</v>
          </cell>
          <cell r="F9486">
            <v>882213311058</v>
          </cell>
        </row>
        <row r="9487">
          <cell r="E9487" t="str">
            <v>PUR-09-0346-00</v>
          </cell>
          <cell r="F9487">
            <v>426080012458</v>
          </cell>
        </row>
        <row r="9488">
          <cell r="E9488" t="str">
            <v>PURET-13-0046-00</v>
          </cell>
          <cell r="F9488">
            <v>426080012458</v>
          </cell>
        </row>
        <row r="9489">
          <cell r="E9489" t="str">
            <v>PUR-13-0254-00</v>
          </cell>
          <cell r="F9489">
            <v>426080012458</v>
          </cell>
        </row>
        <row r="9490">
          <cell r="E9490" t="str">
            <v>PUR-37-0050-00</v>
          </cell>
          <cell r="F9490">
            <v>426080012458</v>
          </cell>
        </row>
        <row r="9491">
          <cell r="E9491">
            <v>45247007</v>
          </cell>
          <cell r="F9491">
            <v>426080012458</v>
          </cell>
        </row>
        <row r="9492">
          <cell r="E9492" t="str">
            <v>102-001572</v>
          </cell>
          <cell r="F9492">
            <v>426080012458</v>
          </cell>
        </row>
        <row r="9493">
          <cell r="E9493" t="str">
            <v>PUR-31-0066-02</v>
          </cell>
          <cell r="F9493">
            <v>426080012458</v>
          </cell>
        </row>
        <row r="9494">
          <cell r="E9494" t="str">
            <v>PUR-09-0434-00</v>
          </cell>
          <cell r="F9494">
            <v>426080012458</v>
          </cell>
        </row>
        <row r="9495">
          <cell r="E9495" t="str">
            <v>EF-45188480</v>
          </cell>
          <cell r="F9495">
            <v>426080012458</v>
          </cell>
        </row>
        <row r="9496">
          <cell r="E9496" t="str">
            <v>EF-45188480</v>
          </cell>
          <cell r="F9496">
            <v>426080012458</v>
          </cell>
        </row>
        <row r="9497">
          <cell r="E9497" t="str">
            <v>EF-45188480</v>
          </cell>
          <cell r="F9497">
            <v>426080012458</v>
          </cell>
        </row>
        <row r="9498">
          <cell r="E9498" t="str">
            <v>EF-45054135.X.X</v>
          </cell>
          <cell r="F9498">
            <v>426080012458</v>
          </cell>
        </row>
        <row r="9499">
          <cell r="E9499" t="str">
            <v>EF-45117206.X.X</v>
          </cell>
          <cell r="F9499">
            <v>426080012458</v>
          </cell>
        </row>
        <row r="9500">
          <cell r="E9500" t="str">
            <v>EF-45076928.X.X</v>
          </cell>
          <cell r="F9500">
            <v>426080012458</v>
          </cell>
        </row>
        <row r="9501">
          <cell r="E9501" t="str">
            <v>LUC-E00-470118-00</v>
          </cell>
          <cell r="F9501">
            <v>426080012458</v>
          </cell>
        </row>
        <row r="9502">
          <cell r="E9502" t="str">
            <v>LUC-E00-690157-01</v>
          </cell>
          <cell r="F9502">
            <v>456450676695</v>
          </cell>
        </row>
        <row r="9503">
          <cell r="E9503" t="str">
            <v>AGI-760-50001-01</v>
          </cell>
          <cell r="F9503">
            <v>409298789143</v>
          </cell>
        </row>
        <row r="9504">
          <cell r="E9504" t="str">
            <v>LUC-E00-420235-00</v>
          </cell>
          <cell r="F9504">
            <v>409298789143</v>
          </cell>
        </row>
        <row r="9505">
          <cell r="E9505" t="str">
            <v>LUC-E00-400022-000</v>
          </cell>
          <cell r="F9505">
            <v>409298789143</v>
          </cell>
        </row>
        <row r="9506">
          <cell r="E9506" t="str">
            <v>LUC-E00-440012-00</v>
          </cell>
          <cell r="F9506">
            <v>409298789143</v>
          </cell>
        </row>
        <row r="9507">
          <cell r="E9507" t="str">
            <v>LUC-E00-440012-00</v>
          </cell>
          <cell r="F9507">
            <v>409298789143</v>
          </cell>
        </row>
        <row r="9508">
          <cell r="E9508" t="str">
            <v>LUC-EZZ-420330-00</v>
          </cell>
          <cell r="F9508">
            <v>409298789143</v>
          </cell>
        </row>
        <row r="9509">
          <cell r="E9509" t="str">
            <v>LUC-E00-420055-00</v>
          </cell>
          <cell r="F9509">
            <v>409298789143</v>
          </cell>
        </row>
        <row r="9510">
          <cell r="E9510" t="str">
            <v>LUC-E00-420235-00</v>
          </cell>
          <cell r="F9510">
            <v>409298789143</v>
          </cell>
        </row>
        <row r="9511">
          <cell r="E9511" t="str">
            <v>LUC-E00-420002-09</v>
          </cell>
          <cell r="F9511">
            <v>409298789143</v>
          </cell>
        </row>
        <row r="9512">
          <cell r="E9512" t="str">
            <v>LUC-E00-420002-07</v>
          </cell>
          <cell r="F9512">
            <v>409298789143</v>
          </cell>
        </row>
        <row r="9513">
          <cell r="E9513" t="str">
            <v>LUC-E00-420002-07</v>
          </cell>
          <cell r="F9513">
            <v>409298789143</v>
          </cell>
        </row>
        <row r="9514">
          <cell r="E9514" t="str">
            <v>LUC-E00-420002-03</v>
          </cell>
          <cell r="F9514">
            <v>409298789143</v>
          </cell>
        </row>
        <row r="9515">
          <cell r="E9515" t="str">
            <v>LUC-E00-420011-05</v>
          </cell>
          <cell r="F9515">
            <v>409298789143</v>
          </cell>
        </row>
        <row r="9516">
          <cell r="E9516" t="str">
            <v>LUC-E00-400046-00</v>
          </cell>
          <cell r="F9516">
            <v>409298789143</v>
          </cell>
        </row>
        <row r="9517">
          <cell r="E9517" t="str">
            <v>LUC-E00-400018-01</v>
          </cell>
          <cell r="F9517">
            <v>409298789143</v>
          </cell>
        </row>
        <row r="9518">
          <cell r="E9518" t="str">
            <v>LUC-E00-440012-00</v>
          </cell>
          <cell r="F9518">
            <v>409298789143</v>
          </cell>
        </row>
        <row r="9519">
          <cell r="E9519" t="str">
            <v>LUC-E00-440012-00</v>
          </cell>
          <cell r="F9519">
            <v>409298789143</v>
          </cell>
        </row>
        <row r="9520">
          <cell r="E9520" t="str">
            <v>LUC-E00-420016-00</v>
          </cell>
          <cell r="F9520">
            <v>409298789143</v>
          </cell>
        </row>
        <row r="9521">
          <cell r="E9521" t="str">
            <v>LUC-E00-420060-03</v>
          </cell>
          <cell r="F9521">
            <v>409298789143</v>
          </cell>
        </row>
        <row r="9522">
          <cell r="E9522" t="str">
            <v>LUC-E00-400334-00</v>
          </cell>
          <cell r="F9522">
            <v>409298789143</v>
          </cell>
        </row>
        <row r="9523">
          <cell r="E9523" t="str">
            <v>LUC-EZZ-420084-00</v>
          </cell>
          <cell r="F9523">
            <v>409298789143</v>
          </cell>
        </row>
        <row r="9524">
          <cell r="E9524" t="str">
            <v>LUC-EZZ-420095-00</v>
          </cell>
          <cell r="F9524">
            <v>409298789143</v>
          </cell>
        </row>
        <row r="9525">
          <cell r="E9525" t="str">
            <v>LUC-EZZ-420179-00</v>
          </cell>
          <cell r="F9525">
            <v>409298789143</v>
          </cell>
        </row>
        <row r="9526">
          <cell r="E9526" t="str">
            <v>LUC-EZZ-420179-00</v>
          </cell>
          <cell r="F9526">
            <v>409298789143</v>
          </cell>
        </row>
        <row r="9527">
          <cell r="E9527" t="str">
            <v>LUC-EZZ-420330-00</v>
          </cell>
          <cell r="F9527">
            <v>409298789143</v>
          </cell>
        </row>
        <row r="9528">
          <cell r="E9528" t="str">
            <v>LUC-E00-420059-00</v>
          </cell>
          <cell r="F9528">
            <v>409298789143</v>
          </cell>
        </row>
        <row r="9529">
          <cell r="E9529" t="str">
            <v>LUC-E00-420059-00</v>
          </cell>
          <cell r="F9529">
            <v>409298789143</v>
          </cell>
        </row>
        <row r="9530">
          <cell r="E9530" t="str">
            <v>LUC-EZZ-420098-00</v>
          </cell>
          <cell r="F9530">
            <v>409298789143</v>
          </cell>
        </row>
        <row r="9531">
          <cell r="E9531" t="str">
            <v>LUC-EZZ-440073-00</v>
          </cell>
          <cell r="F9531">
            <v>409298789143</v>
          </cell>
        </row>
        <row r="9532">
          <cell r="E9532" t="str">
            <v>LUC-E00-420049-01</v>
          </cell>
          <cell r="F9532">
            <v>409298789143</v>
          </cell>
        </row>
        <row r="9533">
          <cell r="E9533" t="str">
            <v>LUC-EZZ-420099-00</v>
          </cell>
          <cell r="F9533">
            <v>409298789143</v>
          </cell>
        </row>
        <row r="9534">
          <cell r="E9534" t="str">
            <v>PUR-25-0009-00</v>
          </cell>
          <cell r="F9534">
            <v>409298789143</v>
          </cell>
        </row>
        <row r="9535">
          <cell r="E9535" t="str">
            <v>LUC-EZZ-420048-00</v>
          </cell>
          <cell r="F9535">
            <v>409298789143</v>
          </cell>
        </row>
        <row r="9536">
          <cell r="E9536" t="str">
            <v>LUC-EZZ-440867-00</v>
          </cell>
          <cell r="F9536">
            <v>409298789143</v>
          </cell>
        </row>
        <row r="9537">
          <cell r="E9537" t="str">
            <v>LUC-EZZ-401043-00</v>
          </cell>
          <cell r="F9537">
            <v>4711864670</v>
          </cell>
        </row>
        <row r="9538">
          <cell r="E9538" t="str">
            <v>LUC-EZZ-401043-00</v>
          </cell>
          <cell r="F9538">
            <v>4711864670</v>
          </cell>
        </row>
        <row r="9539">
          <cell r="E9539" t="str">
            <v>PURET-12-0035-00</v>
          </cell>
          <cell r="F9539">
            <v>4711864670</v>
          </cell>
        </row>
        <row r="9540">
          <cell r="E9540" t="str">
            <v>PURET-12-0035-00</v>
          </cell>
          <cell r="F9540">
            <v>4711864670</v>
          </cell>
        </row>
        <row r="9541">
          <cell r="E9541" t="str">
            <v>EF-45057846.X.X</v>
          </cell>
          <cell r="F9541">
            <v>4711864670</v>
          </cell>
        </row>
        <row r="9542">
          <cell r="E9542" t="str">
            <v>LUC-E00-400012-18</v>
          </cell>
          <cell r="F9542">
            <v>4711864670</v>
          </cell>
        </row>
        <row r="9543">
          <cell r="E9543" t="str">
            <v>LUC-EZZ-400043-00</v>
          </cell>
          <cell r="F9543">
            <v>4711864670</v>
          </cell>
        </row>
        <row r="9544">
          <cell r="E9544" t="str">
            <v>LUC-EZZ-400071-00</v>
          </cell>
          <cell r="F9544">
            <v>4711864670</v>
          </cell>
        </row>
        <row r="9545">
          <cell r="E9545" t="str">
            <v>LUC-EZZ-400071-00</v>
          </cell>
          <cell r="F9545">
            <v>4711864670</v>
          </cell>
        </row>
        <row r="9546">
          <cell r="E9546" t="str">
            <v>LUC-EZZ-401662-00</v>
          </cell>
          <cell r="F9546">
            <v>4711864670</v>
          </cell>
        </row>
        <row r="9547">
          <cell r="E9547" t="str">
            <v>LUC-E00-420038-01</v>
          </cell>
          <cell r="F9547">
            <v>4711864670</v>
          </cell>
        </row>
        <row r="9548">
          <cell r="E9548" t="str">
            <v>LUC-E00-420020-08</v>
          </cell>
          <cell r="F9548">
            <v>4711864670</v>
          </cell>
        </row>
        <row r="9549">
          <cell r="E9549" t="str">
            <v>LUC-E00-420045-00</v>
          </cell>
          <cell r="F9549">
            <v>4711864670</v>
          </cell>
        </row>
        <row r="9550">
          <cell r="E9550" t="str">
            <v>LUC-E00-420045-00</v>
          </cell>
          <cell r="F9550">
            <v>4711864670</v>
          </cell>
        </row>
        <row r="9551">
          <cell r="E9551" t="str">
            <v>LUC-E00-420045-00</v>
          </cell>
          <cell r="F9551">
            <v>4711864670</v>
          </cell>
        </row>
        <row r="9552">
          <cell r="E9552" t="str">
            <v>LUC-E00-420045-01</v>
          </cell>
          <cell r="F9552">
            <v>4711864670</v>
          </cell>
        </row>
        <row r="9553">
          <cell r="E9553" t="str">
            <v>LUC-E00-420045-01</v>
          </cell>
          <cell r="F9553">
            <v>4711864670</v>
          </cell>
        </row>
        <row r="9554">
          <cell r="E9554" t="str">
            <v>LUC-E00-420045-01</v>
          </cell>
          <cell r="F9554">
            <v>4711864670</v>
          </cell>
        </row>
        <row r="9555">
          <cell r="E9555" t="str">
            <v>LUC-E00-470074-00</v>
          </cell>
          <cell r="F9555">
            <v>4711864670</v>
          </cell>
        </row>
        <row r="9556">
          <cell r="E9556" t="str">
            <v>EF-45057846.X.X</v>
          </cell>
          <cell r="F9556">
            <v>4711864670</v>
          </cell>
        </row>
        <row r="9557">
          <cell r="E9557" t="str">
            <v>EF-45057846.X.X</v>
          </cell>
          <cell r="F9557">
            <v>4711864670</v>
          </cell>
        </row>
        <row r="9558">
          <cell r="E9558" t="str">
            <v>LUC-EZZ-420195-00</v>
          </cell>
          <cell r="F9558">
            <v>4711864649</v>
          </cell>
        </row>
        <row r="9559">
          <cell r="E9559" t="str">
            <v>LUC-EZZ-420195-00</v>
          </cell>
          <cell r="F9559">
            <v>4711864649</v>
          </cell>
        </row>
        <row r="9560">
          <cell r="E9560" t="str">
            <v>PURET-13-0001-00</v>
          </cell>
          <cell r="F9560">
            <v>4711864649</v>
          </cell>
        </row>
        <row r="9561">
          <cell r="E9561" t="str">
            <v>LUC-EZZ-420482-00</v>
          </cell>
          <cell r="F9561">
            <v>4711864649</v>
          </cell>
        </row>
        <row r="9562">
          <cell r="E9562" t="str">
            <v>LUC-E00-450154-00</v>
          </cell>
          <cell r="F9562">
            <v>4711864649</v>
          </cell>
        </row>
        <row r="9563">
          <cell r="E9563" t="str">
            <v>LUC-E00-450154-00</v>
          </cell>
          <cell r="F9563">
            <v>4711864649</v>
          </cell>
        </row>
        <row r="9564">
          <cell r="E9564" t="str">
            <v>LUC-E00-440022-00</v>
          </cell>
          <cell r="F9564">
            <v>4711864649</v>
          </cell>
        </row>
        <row r="9565">
          <cell r="E9565" t="str">
            <v>HLOB-27-0024-00</v>
          </cell>
          <cell r="F9565">
            <v>4711864649</v>
          </cell>
        </row>
        <row r="9566">
          <cell r="E9566" t="str">
            <v>PUR-27-0024-00</v>
          </cell>
          <cell r="F9566">
            <v>4711864649</v>
          </cell>
        </row>
        <row r="9567">
          <cell r="E9567" t="str">
            <v>PUR-27-0024-00</v>
          </cell>
          <cell r="F9567">
            <v>4711864649</v>
          </cell>
        </row>
        <row r="9568">
          <cell r="E9568" t="str">
            <v>LUC-EZZ-420195-00</v>
          </cell>
          <cell r="F9568">
            <v>4711864649</v>
          </cell>
        </row>
        <row r="9569">
          <cell r="E9569" t="str">
            <v>LUC-E00-470331-00</v>
          </cell>
          <cell r="F9569">
            <v>4711864649</v>
          </cell>
        </row>
        <row r="9570">
          <cell r="E9570" t="str">
            <v>LUC-EZZ-440206-00</v>
          </cell>
          <cell r="F9570">
            <v>4711864649</v>
          </cell>
        </row>
        <row r="9571">
          <cell r="E9571" t="str">
            <v>LUC-EZZ-420396-00</v>
          </cell>
          <cell r="F9571">
            <v>4711864649</v>
          </cell>
        </row>
        <row r="9572">
          <cell r="E9572" t="str">
            <v>LUC-E00-400074-00</v>
          </cell>
          <cell r="F9572">
            <v>4711864649</v>
          </cell>
        </row>
        <row r="9573">
          <cell r="E9573" t="str">
            <v>LUC-E00-400074-00</v>
          </cell>
          <cell r="F9573">
            <v>4711864649</v>
          </cell>
        </row>
        <row r="9574">
          <cell r="E9574" t="str">
            <v>LUC-E00-470252-00</v>
          </cell>
          <cell r="F9574">
            <v>4711864649</v>
          </cell>
        </row>
        <row r="9575">
          <cell r="E9575" t="str">
            <v>HLOB-27-0024-00</v>
          </cell>
          <cell r="F9575">
            <v>4711864649</v>
          </cell>
        </row>
        <row r="9576">
          <cell r="E9576" t="str">
            <v>LUC-E00-400023-000</v>
          </cell>
          <cell r="F9576">
            <v>4711864649</v>
          </cell>
        </row>
        <row r="9577">
          <cell r="E9577" t="str">
            <v>LUC-E00-420074-00</v>
          </cell>
          <cell r="F9577">
            <v>4711864649</v>
          </cell>
        </row>
        <row r="9578">
          <cell r="E9578" t="str">
            <v>LUC-E00-400011-003</v>
          </cell>
          <cell r="F9578">
            <v>4711864649</v>
          </cell>
        </row>
        <row r="9579">
          <cell r="E9579" t="str">
            <v>LUC-E00-420055-06</v>
          </cell>
          <cell r="F9579">
            <v>4711864649</v>
          </cell>
        </row>
        <row r="9580">
          <cell r="E9580" t="str">
            <v>HLOB-13-0141-00</v>
          </cell>
          <cell r="F9580">
            <v>4711864649</v>
          </cell>
        </row>
        <row r="9581">
          <cell r="E9581" t="str">
            <v>HLOB-13-0141-00</v>
          </cell>
          <cell r="F9581">
            <v>4711864649</v>
          </cell>
        </row>
        <row r="9582">
          <cell r="E9582" t="str">
            <v>LUC-P11-J80300-00</v>
          </cell>
          <cell r="F9582" t="str">
            <v>LSHHPH2505093</v>
          </cell>
        </row>
        <row r="9583">
          <cell r="E9583" t="str">
            <v>LUC-EZZ-400812-00</v>
          </cell>
          <cell r="F9583">
            <v>6073353484</v>
          </cell>
        </row>
        <row r="9584">
          <cell r="E9584" t="str">
            <v>LUC-EZZ-400578-00</v>
          </cell>
          <cell r="F9584">
            <v>6073353484</v>
          </cell>
        </row>
        <row r="9585">
          <cell r="E9585" t="str">
            <v>AIC-109-001571</v>
          </cell>
          <cell r="F9585">
            <v>6073353484</v>
          </cell>
        </row>
        <row r="9586">
          <cell r="E9586" t="str">
            <v>HLOB-27-0028-00</v>
          </cell>
          <cell r="F9586">
            <v>6073353484</v>
          </cell>
        </row>
        <row r="9587">
          <cell r="E9587" t="str">
            <v>LUC-EZZ-440073-00</v>
          </cell>
          <cell r="F9587" t="str">
            <v>1ZF4X5970443115967</v>
          </cell>
        </row>
        <row r="9588">
          <cell r="E9588" t="str">
            <v>LUC-E00-470110-00</v>
          </cell>
          <cell r="F9588">
            <v>390390373588</v>
          </cell>
        </row>
        <row r="9589">
          <cell r="E9589" t="str">
            <v>PUR-12-0460-00</v>
          </cell>
          <cell r="F9589">
            <v>882315061277</v>
          </cell>
        </row>
        <row r="9590">
          <cell r="E9590" t="str">
            <v>EF-45045880</v>
          </cell>
          <cell r="F9590">
            <v>882315061277</v>
          </cell>
        </row>
        <row r="9591">
          <cell r="E9591" t="str">
            <v>PUR-12-0065-00</v>
          </cell>
          <cell r="F9591">
            <v>882315061277</v>
          </cell>
        </row>
        <row r="9592">
          <cell r="E9592" t="str">
            <v>HLOB-12-0088-00</v>
          </cell>
          <cell r="F9592">
            <v>882315061277</v>
          </cell>
        </row>
        <row r="9593">
          <cell r="E9593" t="str">
            <v>PURET-12-0088-00</v>
          </cell>
          <cell r="F9593">
            <v>882315061277</v>
          </cell>
        </row>
        <row r="9594">
          <cell r="E9594" t="str">
            <v>PURET-12-0056-00</v>
          </cell>
          <cell r="F9594">
            <v>882315061277</v>
          </cell>
        </row>
        <row r="9595">
          <cell r="E9595" t="str">
            <v>PUR-12-0483-00</v>
          </cell>
          <cell r="F9595">
            <v>882315061277</v>
          </cell>
        </row>
        <row r="9596">
          <cell r="E9596" t="str">
            <v>AIC-MP-00003737-000</v>
          </cell>
          <cell r="F9596">
            <v>418482928490</v>
          </cell>
        </row>
        <row r="9597">
          <cell r="E9597" t="str">
            <v>AIC-MP-00003290-000</v>
          </cell>
          <cell r="F9597">
            <v>418482928490</v>
          </cell>
        </row>
        <row r="9598">
          <cell r="E9598" t="str">
            <v>AIC-MP-00003340-000</v>
          </cell>
          <cell r="F9598">
            <v>418482928490</v>
          </cell>
        </row>
        <row r="9599">
          <cell r="E9599" t="str">
            <v>AIC-MP-00003346-000</v>
          </cell>
          <cell r="F9599">
            <v>418482928490</v>
          </cell>
        </row>
        <row r="9600">
          <cell r="E9600" t="str">
            <v>AIC-MP-00002405-000</v>
          </cell>
          <cell r="F9600">
            <v>418482928490</v>
          </cell>
        </row>
        <row r="9601">
          <cell r="E9601" t="str">
            <v>AIC-MP-00002401-000</v>
          </cell>
          <cell r="F9601">
            <v>418482928490</v>
          </cell>
        </row>
        <row r="9602">
          <cell r="E9602" t="str">
            <v>AIC-MP-00002485-000</v>
          </cell>
          <cell r="F9602">
            <v>418482928490</v>
          </cell>
        </row>
        <row r="9603">
          <cell r="E9603" t="str">
            <v>AIC-MP-00002527-000</v>
          </cell>
          <cell r="F9603">
            <v>418482928490</v>
          </cell>
        </row>
        <row r="9604">
          <cell r="E9604" t="str">
            <v>AIC-MP-00002528-000</v>
          </cell>
          <cell r="F9604">
            <v>418482928490</v>
          </cell>
        </row>
        <row r="9605">
          <cell r="E9605" t="str">
            <v>AIC-MP-00002539-000</v>
          </cell>
          <cell r="F9605">
            <v>418482928490</v>
          </cell>
        </row>
        <row r="9606">
          <cell r="E9606" t="str">
            <v>AIC-MP-00002543-000</v>
          </cell>
          <cell r="F9606">
            <v>418482928490</v>
          </cell>
        </row>
        <row r="9607">
          <cell r="E9607" t="str">
            <v>AIC-MP-00002476-000</v>
          </cell>
          <cell r="F9607">
            <v>418482928490</v>
          </cell>
        </row>
        <row r="9608">
          <cell r="E9608" t="str">
            <v>AIC-MP-00002558-000</v>
          </cell>
          <cell r="F9608">
            <v>418482928490</v>
          </cell>
        </row>
        <row r="9609">
          <cell r="E9609" t="str">
            <v>AIC-MP-00002577-000</v>
          </cell>
          <cell r="F9609">
            <v>418482928490</v>
          </cell>
        </row>
        <row r="9610">
          <cell r="E9610" t="str">
            <v>AIC-MP-00002599-000</v>
          </cell>
          <cell r="F9610">
            <v>418482928490</v>
          </cell>
        </row>
        <row r="9611">
          <cell r="E9611" t="str">
            <v>AIC-MP-00002604-000</v>
          </cell>
          <cell r="F9611">
            <v>418482928490</v>
          </cell>
        </row>
        <row r="9612">
          <cell r="E9612" t="str">
            <v>AIC-MP-00002320-000</v>
          </cell>
          <cell r="F9612">
            <v>418482928490</v>
          </cell>
        </row>
        <row r="9613">
          <cell r="E9613" t="str">
            <v>AIC-MP-00006007-000</v>
          </cell>
          <cell r="F9613">
            <v>448135814126</v>
          </cell>
        </row>
        <row r="9614">
          <cell r="E9614" t="str">
            <v>134-001540</v>
          </cell>
          <cell r="F9614">
            <v>448135814126</v>
          </cell>
        </row>
        <row r="9615">
          <cell r="E9615" t="str">
            <v>119-001192</v>
          </cell>
          <cell r="F9615">
            <v>448135814126</v>
          </cell>
        </row>
        <row r="9616">
          <cell r="E9616" t="str">
            <v>LUC-E00-440003-01</v>
          </cell>
          <cell r="F9616">
            <v>458171549588</v>
          </cell>
        </row>
        <row r="9617">
          <cell r="E9617" t="str">
            <v>LUC-E00-440014-01</v>
          </cell>
          <cell r="F9617">
            <v>458171549588</v>
          </cell>
        </row>
        <row r="9618">
          <cell r="E9618" t="str">
            <v>LUC-E00-440023-02</v>
          </cell>
          <cell r="F9618">
            <v>458171549588</v>
          </cell>
        </row>
        <row r="9619">
          <cell r="E9619" t="str">
            <v>LUC-E00-440044-00</v>
          </cell>
          <cell r="F9619">
            <v>458171549588</v>
          </cell>
        </row>
        <row r="9620">
          <cell r="E9620" t="str">
            <v>LUC-E00-440072-01</v>
          </cell>
          <cell r="F9620">
            <v>458171549588</v>
          </cell>
        </row>
        <row r="9621">
          <cell r="E9621" t="str">
            <v>LUC-E00-440124-00</v>
          </cell>
          <cell r="F9621">
            <v>458171549588</v>
          </cell>
        </row>
        <row r="9622">
          <cell r="E9622" t="str">
            <v>LUC-EZZ-440018-00</v>
          </cell>
          <cell r="F9622">
            <v>458171549588</v>
          </cell>
        </row>
        <row r="9623">
          <cell r="E9623" t="str">
            <v>LUC-EZZ-440162-00</v>
          </cell>
          <cell r="F9623">
            <v>458171549588</v>
          </cell>
        </row>
        <row r="9624">
          <cell r="E9624" t="str">
            <v>LUC-EZZ-440032-00</v>
          </cell>
          <cell r="F9624">
            <v>458171549588</v>
          </cell>
        </row>
        <row r="9625">
          <cell r="E9625" t="str">
            <v>LUC-EZZ-440032-00</v>
          </cell>
          <cell r="F9625">
            <v>458171549588</v>
          </cell>
        </row>
        <row r="9626">
          <cell r="E9626" t="str">
            <v>LUC-EZZ-440099-00</v>
          </cell>
          <cell r="F9626">
            <v>458171549588</v>
          </cell>
        </row>
        <row r="9627">
          <cell r="E9627" t="str">
            <v>PUR-07-0167-00</v>
          </cell>
          <cell r="F9627">
            <v>454593996768</v>
          </cell>
        </row>
        <row r="9628">
          <cell r="E9628" t="str">
            <v>PUR-07-0315-00</v>
          </cell>
          <cell r="F9628">
            <v>454593996768</v>
          </cell>
        </row>
        <row r="9629">
          <cell r="E9629" t="str">
            <v>HLOB-07-0167-00</v>
          </cell>
          <cell r="F9629">
            <v>454593996768</v>
          </cell>
        </row>
        <row r="9630">
          <cell r="E9630" t="str">
            <v>PUR-07-0210-00</v>
          </cell>
          <cell r="F9630">
            <v>454593996768</v>
          </cell>
        </row>
        <row r="9631">
          <cell r="E9631" t="str">
            <v>PUR-13-0235-00</v>
          </cell>
          <cell r="F9631">
            <v>467735200700</v>
          </cell>
        </row>
        <row r="9632">
          <cell r="E9632" t="str">
            <v>LUC-E00-400028-002</v>
          </cell>
          <cell r="F9632">
            <v>467735215460</v>
          </cell>
        </row>
        <row r="9633">
          <cell r="E9633" t="str">
            <v>LUC-E00-400028-002</v>
          </cell>
          <cell r="F9633">
            <v>467735215460</v>
          </cell>
        </row>
        <row r="9634">
          <cell r="E9634" t="str">
            <v>LUC-E00-420027-05</v>
          </cell>
          <cell r="F9634">
            <v>467735215460</v>
          </cell>
        </row>
        <row r="9635">
          <cell r="E9635" t="str">
            <v>LUC-E00-470038-00</v>
          </cell>
          <cell r="F9635">
            <v>467735215460</v>
          </cell>
        </row>
        <row r="9636">
          <cell r="E9636" t="str">
            <v>LUC-E00-400025-09</v>
          </cell>
          <cell r="F9636">
            <v>467735215460</v>
          </cell>
        </row>
        <row r="9637">
          <cell r="E9637" t="str">
            <v>LUC-EZZ-400568-00</v>
          </cell>
          <cell r="F9637">
            <v>467735215460</v>
          </cell>
        </row>
        <row r="9638">
          <cell r="E9638" t="str">
            <v>LUC-EZZ-470433-00</v>
          </cell>
          <cell r="F9638">
            <v>467735215460</v>
          </cell>
        </row>
        <row r="9639">
          <cell r="E9639" t="str">
            <v>PUR-09-0424-00</v>
          </cell>
          <cell r="F9639">
            <v>467735215460</v>
          </cell>
        </row>
        <row r="9640">
          <cell r="E9640" t="str">
            <v>LUC-EZZ-440166-00</v>
          </cell>
          <cell r="F9640">
            <v>467735215460</v>
          </cell>
        </row>
        <row r="9641">
          <cell r="E9641" t="str">
            <v>LUC-E00-420027-05</v>
          </cell>
          <cell r="F9641">
            <v>467735215460</v>
          </cell>
        </row>
        <row r="9642">
          <cell r="E9642" t="str">
            <v>LUC-E00-470081-00</v>
          </cell>
          <cell r="F9642">
            <v>467735215460</v>
          </cell>
        </row>
        <row r="9643">
          <cell r="E9643" t="str">
            <v>PUR-09-0352-00</v>
          </cell>
          <cell r="F9643">
            <v>467735215460</v>
          </cell>
        </row>
        <row r="9644">
          <cell r="E9644" t="str">
            <v>LUC-E00-400028-002</v>
          </cell>
          <cell r="F9644">
            <v>467735215460</v>
          </cell>
        </row>
        <row r="9645">
          <cell r="E9645" t="str">
            <v>LUC-E00-470028-00</v>
          </cell>
          <cell r="F9645">
            <v>467735215460</v>
          </cell>
        </row>
        <row r="9646">
          <cell r="E9646" t="str">
            <v>PUR-09-0346-00</v>
          </cell>
          <cell r="F9646">
            <v>467735215460</v>
          </cell>
        </row>
        <row r="9647">
          <cell r="E9647" t="str">
            <v>PUR-09-0346-00</v>
          </cell>
          <cell r="F9647">
            <v>467735215460</v>
          </cell>
        </row>
        <row r="9648">
          <cell r="E9648" t="str">
            <v>LUC-EZZ-450070-00</v>
          </cell>
          <cell r="F9648">
            <v>467735215460</v>
          </cell>
        </row>
        <row r="9649">
          <cell r="E9649" t="str">
            <v>LUC-E00-420027-05</v>
          </cell>
          <cell r="F9649">
            <v>467735215460</v>
          </cell>
        </row>
        <row r="9650">
          <cell r="E9650" t="str">
            <v>LUC-E00-470028-00</v>
          </cell>
          <cell r="F9650">
            <v>467735215460</v>
          </cell>
        </row>
        <row r="9651">
          <cell r="E9651" t="str">
            <v>HLOB-09-0424-00</v>
          </cell>
          <cell r="F9651">
            <v>467735215460</v>
          </cell>
        </row>
        <row r="9652">
          <cell r="E9652" t="str">
            <v>AIC-MP-00007187-000</v>
          </cell>
          <cell r="F9652">
            <v>467735215460</v>
          </cell>
        </row>
        <row r="9653">
          <cell r="E9653" t="str">
            <v>LUC-E00-470028-00</v>
          </cell>
          <cell r="F9653">
            <v>467735215460</v>
          </cell>
        </row>
        <row r="9654">
          <cell r="E9654" t="str">
            <v>LUC-E00-470028-00</v>
          </cell>
          <cell r="F9654">
            <v>467735215460</v>
          </cell>
        </row>
        <row r="9655">
          <cell r="E9655" t="str">
            <v>LUC-E00-460015-00</v>
          </cell>
          <cell r="F9655">
            <v>467735215460</v>
          </cell>
        </row>
        <row r="9656">
          <cell r="E9656" t="str">
            <v>PUR-09-0424-00</v>
          </cell>
          <cell r="F9656">
            <v>467735215460</v>
          </cell>
        </row>
        <row r="9657">
          <cell r="E9657" t="str">
            <v>LUC-E00-400025-09</v>
          </cell>
          <cell r="F9657">
            <v>467735215460</v>
          </cell>
        </row>
        <row r="9658">
          <cell r="E9658" t="str">
            <v>LUC-E00-400028-002</v>
          </cell>
          <cell r="F9658">
            <v>467735215460</v>
          </cell>
        </row>
        <row r="9659">
          <cell r="E9659" t="str">
            <v>LUC-E00-470070-00</v>
          </cell>
          <cell r="F9659">
            <v>467735215460</v>
          </cell>
        </row>
        <row r="9660">
          <cell r="E9660" t="str">
            <v>HLOB-27-0017-00</v>
          </cell>
          <cell r="F9660">
            <v>467735215460</v>
          </cell>
        </row>
        <row r="9661">
          <cell r="E9661" t="str">
            <v>PUR-27-0017-00</v>
          </cell>
          <cell r="F9661">
            <v>467735215460</v>
          </cell>
        </row>
        <row r="9662">
          <cell r="E9662" t="str">
            <v>LUC-EZZ-470480-00</v>
          </cell>
          <cell r="F9662">
            <v>467735215460</v>
          </cell>
        </row>
        <row r="9663">
          <cell r="E9663" t="str">
            <v>PUR-09-0424-00</v>
          </cell>
          <cell r="F9663">
            <v>467735215460</v>
          </cell>
        </row>
        <row r="9664">
          <cell r="E9664" t="str">
            <v>LUC-E00-470028-00</v>
          </cell>
          <cell r="F9664">
            <v>467735215460</v>
          </cell>
        </row>
        <row r="9665">
          <cell r="E9665" t="str">
            <v>LUC-E00-420027-05</v>
          </cell>
          <cell r="F9665">
            <v>467735215460</v>
          </cell>
        </row>
        <row r="9666">
          <cell r="E9666" t="str">
            <v>LUC-E00-420027-05</v>
          </cell>
          <cell r="F9666">
            <v>467735215460</v>
          </cell>
        </row>
        <row r="9667">
          <cell r="E9667" t="str">
            <v>LUC-E00-400010-001</v>
          </cell>
          <cell r="F9667">
            <v>467735215460</v>
          </cell>
        </row>
        <row r="9668">
          <cell r="E9668" t="str">
            <v>LUC-EZZ-470308-00</v>
          </cell>
          <cell r="F9668">
            <v>467735215460</v>
          </cell>
        </row>
        <row r="9669">
          <cell r="E9669" t="str">
            <v>EF-45171576</v>
          </cell>
          <cell r="F9669">
            <v>882214085919</v>
          </cell>
        </row>
        <row r="9670">
          <cell r="E9670" t="str">
            <v>PURC-11-0137-02</v>
          </cell>
          <cell r="F9670">
            <v>882314609364</v>
          </cell>
        </row>
        <row r="9671">
          <cell r="E9671" t="str">
            <v>PURC-11-0137-02</v>
          </cell>
          <cell r="F9671">
            <v>882314609364</v>
          </cell>
        </row>
        <row r="9672">
          <cell r="E9672" t="str">
            <v>PUR-17-0283-02</v>
          </cell>
          <cell r="F9672" t="str">
            <v>PSHPH2560098</v>
          </cell>
        </row>
        <row r="9673">
          <cell r="E9673" t="str">
            <v>PUR-31-0061-02</v>
          </cell>
          <cell r="F9673" t="str">
            <v>PSHPH2560098</v>
          </cell>
        </row>
        <row r="9674">
          <cell r="E9674" t="str">
            <v>PUR-31-0061-02</v>
          </cell>
          <cell r="F9674" t="str">
            <v>PSHPH2560098</v>
          </cell>
        </row>
        <row r="9675">
          <cell r="E9675" t="str">
            <v>PUR-31-0061-02</v>
          </cell>
          <cell r="F9675" t="str">
            <v>PSHPH2560098</v>
          </cell>
        </row>
        <row r="9676">
          <cell r="E9676" t="str">
            <v>PUR-31-0066-02</v>
          </cell>
          <cell r="F9676" t="str">
            <v>PSHPH2560098</v>
          </cell>
        </row>
        <row r="9677">
          <cell r="E9677" t="str">
            <v>LUC-E00-480008-00</v>
          </cell>
          <cell r="F9677">
            <v>3278328012</v>
          </cell>
        </row>
        <row r="9678">
          <cell r="E9678" t="str">
            <v>PUR-11-0127-04</v>
          </cell>
          <cell r="F9678" t="str">
            <v>LPIAHPH251617</v>
          </cell>
        </row>
        <row r="9679">
          <cell r="E9679" t="str">
            <v>PUR-11-0127-04</v>
          </cell>
          <cell r="F9679" t="str">
            <v>LPIAHPH251617</v>
          </cell>
        </row>
        <row r="9680">
          <cell r="E9680" t="str">
            <v>PUR-11-0127-04</v>
          </cell>
          <cell r="F9680" t="str">
            <v>LPIAHPH251617</v>
          </cell>
        </row>
        <row r="9681">
          <cell r="E9681" t="str">
            <v>PUR-11-0127-04</v>
          </cell>
          <cell r="F9681" t="str">
            <v>LPIAHPH251617</v>
          </cell>
        </row>
        <row r="9682">
          <cell r="E9682" t="str">
            <v>PUR-11-0127-04</v>
          </cell>
          <cell r="F9682" t="str">
            <v>LPIAHPH251617</v>
          </cell>
        </row>
        <row r="9683">
          <cell r="E9683" t="str">
            <v>LUC-EZZ-690942-00</v>
          </cell>
          <cell r="F9683">
            <v>4110325835</v>
          </cell>
        </row>
        <row r="9684">
          <cell r="E9684" t="str">
            <v>LUC-EZZ-690131-00</v>
          </cell>
          <cell r="F9684">
            <v>4110325836</v>
          </cell>
        </row>
        <row r="9685">
          <cell r="E9685" t="str">
            <v>PUR-05-0031-00</v>
          </cell>
          <cell r="F9685">
            <v>3455627254</v>
          </cell>
        </row>
        <row r="9686">
          <cell r="E9686" t="str">
            <v>HLOB-05-0031-00</v>
          </cell>
          <cell r="F9686">
            <v>3455627254</v>
          </cell>
        </row>
        <row r="9687">
          <cell r="E9687" t="str">
            <v>HLOB-05-0032-00</v>
          </cell>
          <cell r="F9687">
            <v>3455627254</v>
          </cell>
        </row>
        <row r="9688">
          <cell r="E9688" t="str">
            <v>HLOB-05-0032-00</v>
          </cell>
          <cell r="F9688">
            <v>3455627254</v>
          </cell>
        </row>
        <row r="9689">
          <cell r="E9689" t="str">
            <v>LUC-E00-400067-035</v>
          </cell>
          <cell r="F9689">
            <v>102348388781</v>
          </cell>
        </row>
        <row r="9690">
          <cell r="E9690" t="str">
            <v>LUC-E00-470112-00</v>
          </cell>
          <cell r="F9690">
            <v>445170458252</v>
          </cell>
        </row>
        <row r="9691">
          <cell r="E9691" t="str">
            <v>EF-45184274</v>
          </cell>
          <cell r="F9691">
            <v>882353975794</v>
          </cell>
        </row>
        <row r="9692">
          <cell r="E9692" t="str">
            <v>HLOB-09-0256-00</v>
          </cell>
          <cell r="F9692">
            <v>467735247535</v>
          </cell>
        </row>
        <row r="9693">
          <cell r="E9693" t="str">
            <v>PUR-09-0434-00</v>
          </cell>
          <cell r="F9693">
            <v>467735247535</v>
          </cell>
        </row>
        <row r="9694">
          <cell r="E9694" t="str">
            <v>LUC-E00-470028-00</v>
          </cell>
          <cell r="F9694">
            <v>467735247535</v>
          </cell>
        </row>
        <row r="9695">
          <cell r="E9695" t="str">
            <v>PUR-09-0434-00</v>
          </cell>
          <cell r="F9695">
            <v>467735247535</v>
          </cell>
        </row>
        <row r="9696">
          <cell r="E9696" t="str">
            <v>PUR-09-0434-00</v>
          </cell>
          <cell r="F9696">
            <v>467735247535</v>
          </cell>
        </row>
        <row r="9697">
          <cell r="E9697" t="str">
            <v>LUC-E00-470028-00</v>
          </cell>
          <cell r="F9697">
            <v>467735247535</v>
          </cell>
        </row>
        <row r="9698">
          <cell r="E9698" t="str">
            <v>LUC-E00-470028-00</v>
          </cell>
          <cell r="F9698">
            <v>467735247535</v>
          </cell>
        </row>
        <row r="9699">
          <cell r="E9699" t="str">
            <v>LUC-E00-460007-00</v>
          </cell>
          <cell r="F9699">
            <v>467735247535</v>
          </cell>
        </row>
        <row r="9700">
          <cell r="E9700" t="str">
            <v>AIC-MP-00007086-000</v>
          </cell>
          <cell r="F9700">
            <v>882289004247</v>
          </cell>
        </row>
        <row r="9701">
          <cell r="E9701" t="str">
            <v>AIC-MP-00007087-000</v>
          </cell>
          <cell r="F9701">
            <v>882289004247</v>
          </cell>
        </row>
        <row r="9702">
          <cell r="E9702" t="str">
            <v>AIC-MP-00007088-000</v>
          </cell>
          <cell r="F9702">
            <v>882289004247</v>
          </cell>
        </row>
        <row r="9703">
          <cell r="E9703" t="str">
            <v>6650149PS</v>
          </cell>
          <cell r="F9703">
            <v>4812821953</v>
          </cell>
        </row>
        <row r="9704">
          <cell r="E9704" t="str">
            <v>6650150PS</v>
          </cell>
          <cell r="F9704">
            <v>4812821953</v>
          </cell>
        </row>
        <row r="9705">
          <cell r="E9705" t="str">
            <v>6603905B</v>
          </cell>
          <cell r="F9705">
            <v>4812821953</v>
          </cell>
        </row>
        <row r="9706">
          <cell r="E9706">
            <v>6604984</v>
          </cell>
          <cell r="F9706">
            <v>4812821953</v>
          </cell>
        </row>
        <row r="9707">
          <cell r="E9707" t="str">
            <v>6650060C</v>
          </cell>
          <cell r="F9707">
            <v>4812821953</v>
          </cell>
        </row>
        <row r="9708">
          <cell r="E9708">
            <v>6605074</v>
          </cell>
          <cell r="F9708">
            <v>4812821953</v>
          </cell>
        </row>
        <row r="9709">
          <cell r="E9709">
            <v>6720015</v>
          </cell>
          <cell r="F9709">
            <v>4812821953</v>
          </cell>
        </row>
        <row r="9710">
          <cell r="E9710" t="str">
            <v>LUC-EZZ-490316-02</v>
          </cell>
          <cell r="F9710">
            <v>1515851</v>
          </cell>
        </row>
        <row r="9711">
          <cell r="E9711" t="str">
            <v>LUC-EZZ-490315-01</v>
          </cell>
          <cell r="F9711">
            <v>1515851</v>
          </cell>
        </row>
        <row r="9712">
          <cell r="E9712" t="str">
            <v>LUC-EZZ-490231-04</v>
          </cell>
          <cell r="F9712">
            <v>1515851</v>
          </cell>
        </row>
        <row r="9713">
          <cell r="E9713" t="str">
            <v>LUC-EZZ-490317-04</v>
          </cell>
          <cell r="F9713">
            <v>1515851</v>
          </cell>
        </row>
        <row r="9714">
          <cell r="E9714" t="str">
            <v>PUR-16-0049-01</v>
          </cell>
          <cell r="F9714" t="str">
            <v>MNN/HPH/00905</v>
          </cell>
        </row>
        <row r="9715">
          <cell r="E9715" t="str">
            <v>HLOB-16-0049-01</v>
          </cell>
          <cell r="F9715" t="str">
            <v>MNN/HPH/00905</v>
          </cell>
        </row>
        <row r="9716">
          <cell r="E9716" t="str">
            <v>PUR-16-0051-00</v>
          </cell>
          <cell r="F9716" t="str">
            <v>MNN/HPH/00905</v>
          </cell>
        </row>
        <row r="9717">
          <cell r="E9717" t="str">
            <v>PUR-16-0044-01</v>
          </cell>
          <cell r="F9717" t="str">
            <v>MNN/HPH/00905</v>
          </cell>
        </row>
        <row r="9718">
          <cell r="E9718" t="str">
            <v>PUR-16-0046-01</v>
          </cell>
          <cell r="F9718" t="str">
            <v>MNN/HPH/00905</v>
          </cell>
        </row>
        <row r="9719">
          <cell r="E9719" t="str">
            <v>EF-45131276</v>
          </cell>
          <cell r="F9719" t="str">
            <v>BSJSZ0085679</v>
          </cell>
        </row>
        <row r="9720">
          <cell r="E9720" t="str">
            <v>EF-45131277</v>
          </cell>
          <cell r="F9720" t="str">
            <v>BSJSZ0085679</v>
          </cell>
        </row>
        <row r="9721">
          <cell r="E9721" t="str">
            <v>EF-45105056</v>
          </cell>
          <cell r="F9721" t="str">
            <v>BSJSZ0085679</v>
          </cell>
        </row>
        <row r="9722">
          <cell r="E9722" t="str">
            <v>EF-45146844</v>
          </cell>
          <cell r="F9722" t="str">
            <v>BSJSZ0085679</v>
          </cell>
        </row>
        <row r="9723">
          <cell r="E9723" t="str">
            <v>EF-45131277</v>
          </cell>
          <cell r="F9723" t="str">
            <v>BSJSZ0085679</v>
          </cell>
        </row>
        <row r="9724">
          <cell r="E9724" t="str">
            <v>EF-45102320</v>
          </cell>
          <cell r="F9724" t="str">
            <v>BSJSZ0085679</v>
          </cell>
        </row>
        <row r="9725">
          <cell r="E9725" t="str">
            <v>EF-45146844</v>
          </cell>
          <cell r="F9725" t="str">
            <v>BSJSZ0085679</v>
          </cell>
        </row>
        <row r="9726">
          <cell r="E9726" t="str">
            <v>EF-45131276</v>
          </cell>
          <cell r="F9726" t="str">
            <v>BSJSZ0085679</v>
          </cell>
        </row>
        <row r="9727">
          <cell r="E9727" t="str">
            <v>EF-45105056</v>
          </cell>
          <cell r="F9727" t="str">
            <v>BSJSZ0085679</v>
          </cell>
        </row>
        <row r="9728">
          <cell r="E9728" t="str">
            <v>LUC-P21-K33200-02</v>
          </cell>
          <cell r="F9728" t="str">
            <v>FLK2506271463</v>
          </cell>
        </row>
        <row r="9729">
          <cell r="E9729" t="str">
            <v>HLOB-07-0167-00</v>
          </cell>
          <cell r="F9729">
            <v>149146524102</v>
          </cell>
        </row>
        <row r="9730">
          <cell r="E9730" t="str">
            <v>LUC-E00-4700103-00</v>
          </cell>
          <cell r="F9730">
            <v>390431511020</v>
          </cell>
        </row>
        <row r="9731">
          <cell r="E9731" t="str">
            <v>PUR-13-0250-00</v>
          </cell>
          <cell r="F9731">
            <v>882286825524</v>
          </cell>
        </row>
        <row r="9732">
          <cell r="E9732" t="str">
            <v>PUR-12-0294-00</v>
          </cell>
          <cell r="F9732">
            <v>882286825524</v>
          </cell>
        </row>
        <row r="9733">
          <cell r="E9733" t="str">
            <v>PUR-12-0512-00</v>
          </cell>
          <cell r="F9733">
            <v>882286825524</v>
          </cell>
        </row>
        <row r="9734">
          <cell r="E9734" t="str">
            <v>PUR-12-0322-00</v>
          </cell>
          <cell r="F9734">
            <v>882286825524</v>
          </cell>
        </row>
        <row r="9735">
          <cell r="E9735" t="str">
            <v>LUC-E00-440154-00</v>
          </cell>
          <cell r="F9735">
            <v>467735265269</v>
          </cell>
        </row>
        <row r="9736">
          <cell r="E9736" t="str">
            <v>LUC-E00-470093-00</v>
          </cell>
          <cell r="F9736">
            <v>390495184220</v>
          </cell>
        </row>
        <row r="9737">
          <cell r="E9737" t="str">
            <v>LUC-EZZ-470211-00</v>
          </cell>
          <cell r="F9737">
            <v>390495184220</v>
          </cell>
        </row>
        <row r="9738">
          <cell r="E9738" t="str">
            <v>LUC-E00-690010-02</v>
          </cell>
          <cell r="F9738">
            <v>390256860252</v>
          </cell>
        </row>
        <row r="9739">
          <cell r="E9739" t="str">
            <v>LUC-E00-690010-02</v>
          </cell>
          <cell r="F9739">
            <v>390256860252</v>
          </cell>
        </row>
        <row r="9740">
          <cell r="E9740" t="str">
            <v>LUC-EZZ-400260-00</v>
          </cell>
          <cell r="F9740">
            <v>390388352053</v>
          </cell>
        </row>
        <row r="9741">
          <cell r="E9741" t="str">
            <v>LUC-EZZ-400145-00</v>
          </cell>
          <cell r="F9741">
            <v>390344557533</v>
          </cell>
        </row>
        <row r="9742">
          <cell r="E9742" t="str">
            <v>LUC-E00-470413-01</v>
          </cell>
          <cell r="F9742">
            <v>445170451773</v>
          </cell>
        </row>
        <row r="9743">
          <cell r="E9743" t="str">
            <v>PUR-09-0213-00</v>
          </cell>
          <cell r="F9743">
            <v>445170451784</v>
          </cell>
        </row>
        <row r="9744">
          <cell r="E9744" t="str">
            <v>PUR-09-0424-00</v>
          </cell>
          <cell r="F9744">
            <v>467735210777</v>
          </cell>
        </row>
        <row r="9745">
          <cell r="E9745" t="str">
            <v>103-000230.X.X</v>
          </cell>
          <cell r="F9745">
            <v>730610853211</v>
          </cell>
        </row>
        <row r="9746">
          <cell r="E9746" t="str">
            <v>HLOB-12-0337-00</v>
          </cell>
          <cell r="F9746">
            <v>882316431558</v>
          </cell>
        </row>
        <row r="9747">
          <cell r="E9747" t="str">
            <v>EF-45040458</v>
          </cell>
          <cell r="F9747">
            <v>882316431558</v>
          </cell>
        </row>
        <row r="9748">
          <cell r="E9748" t="str">
            <v>EF-45040458</v>
          </cell>
          <cell r="F9748">
            <v>882316431558</v>
          </cell>
        </row>
        <row r="9749">
          <cell r="E9749" t="str">
            <v>HLOB-12-0337-00</v>
          </cell>
          <cell r="F9749">
            <v>882316431558</v>
          </cell>
        </row>
        <row r="9750">
          <cell r="E9750" t="str">
            <v>PUR-12-0337-00</v>
          </cell>
          <cell r="F9750">
            <v>882316431558</v>
          </cell>
        </row>
        <row r="9751">
          <cell r="E9751" t="str">
            <v>PUR-12-0343-00</v>
          </cell>
          <cell r="F9751">
            <v>882316431558</v>
          </cell>
        </row>
        <row r="9752">
          <cell r="E9752" t="str">
            <v>HLOB-12-0337-00</v>
          </cell>
          <cell r="F9752">
            <v>882316431558</v>
          </cell>
        </row>
        <row r="9753">
          <cell r="E9753" t="str">
            <v>EF-45059481.X.X</v>
          </cell>
          <cell r="F9753">
            <v>882316431558</v>
          </cell>
        </row>
        <row r="9754">
          <cell r="E9754" t="str">
            <v>PUR-15-0150-00</v>
          </cell>
          <cell r="F9754">
            <v>882283058499</v>
          </cell>
        </row>
        <row r="9755">
          <cell r="E9755" t="str">
            <v>LUC-EZZ-440129-00</v>
          </cell>
          <cell r="F9755">
            <v>390401187557</v>
          </cell>
        </row>
        <row r="9756">
          <cell r="E9756" t="str">
            <v>LUC-E00-690032-00</v>
          </cell>
          <cell r="F9756">
            <v>390401187557</v>
          </cell>
        </row>
        <row r="9757">
          <cell r="E9757" t="str">
            <v>LUC-E00-690011-00</v>
          </cell>
          <cell r="F9757">
            <v>390401187557</v>
          </cell>
        </row>
        <row r="9758">
          <cell r="E9758" t="str">
            <v>141-001629</v>
          </cell>
          <cell r="F9758">
            <v>882345377645</v>
          </cell>
        </row>
        <row r="9759">
          <cell r="E9759" t="str">
            <v>141-001629</v>
          </cell>
          <cell r="F9759">
            <v>882345377645</v>
          </cell>
        </row>
        <row r="9760">
          <cell r="E9760" t="str">
            <v>LUC-E00-480001-00</v>
          </cell>
          <cell r="F9760">
            <v>444124011133</v>
          </cell>
        </row>
        <row r="9761">
          <cell r="E9761" t="str">
            <v>LUC-EZZ-480735-00</v>
          </cell>
          <cell r="F9761">
            <v>444124011133</v>
          </cell>
        </row>
        <row r="9762">
          <cell r="E9762" t="str">
            <v>EF-45140636</v>
          </cell>
          <cell r="F9762">
            <v>426080012686</v>
          </cell>
        </row>
        <row r="9763">
          <cell r="E9763" t="str">
            <v>AIC-MP-00004009-000</v>
          </cell>
          <cell r="F9763">
            <v>882283552564</v>
          </cell>
        </row>
        <row r="9764">
          <cell r="E9764" t="str">
            <v>LUC-P00-F185AG-00</v>
          </cell>
          <cell r="F9764">
            <v>882311621881</v>
          </cell>
        </row>
        <row r="9765">
          <cell r="E9765" t="str">
            <v>HLOB-09-0294-00</v>
          </cell>
          <cell r="F9765">
            <v>390431942898</v>
          </cell>
        </row>
        <row r="9766">
          <cell r="E9766" t="str">
            <v>LUC-EZZ-400223-00</v>
          </cell>
          <cell r="F9766">
            <v>445170456282</v>
          </cell>
        </row>
        <row r="9767">
          <cell r="E9767" t="str">
            <v>PUR-09-0424-00</v>
          </cell>
          <cell r="F9767">
            <v>445170449247</v>
          </cell>
        </row>
        <row r="9768">
          <cell r="E9768" t="str">
            <v>LUC-EZZ-470095-00</v>
          </cell>
          <cell r="F9768">
            <v>445170456683</v>
          </cell>
        </row>
        <row r="9769">
          <cell r="E9769" t="str">
            <v>HLOB-09-0424-00</v>
          </cell>
          <cell r="F9769">
            <v>445170456650</v>
          </cell>
        </row>
        <row r="9770">
          <cell r="E9770" t="str">
            <v>HLOB-09-0424-00</v>
          </cell>
          <cell r="F9770">
            <v>445170456650</v>
          </cell>
        </row>
        <row r="9771">
          <cell r="E9771" t="str">
            <v>LUC-E00-470472-00</v>
          </cell>
          <cell r="F9771">
            <v>445170458333</v>
          </cell>
        </row>
        <row r="9772">
          <cell r="E9772" t="str">
            <v>HLOB-09-0324-00</v>
          </cell>
          <cell r="F9772">
            <v>445170456320</v>
          </cell>
        </row>
        <row r="9773">
          <cell r="E9773" t="str">
            <v>LUC-EZZ-470139-00</v>
          </cell>
          <cell r="F9773">
            <v>445170458470</v>
          </cell>
        </row>
        <row r="9774">
          <cell r="E9774" t="str">
            <v>LUC-E00-420072-00</v>
          </cell>
          <cell r="F9774">
            <v>466522030348</v>
          </cell>
        </row>
        <row r="9775">
          <cell r="E9775" t="str">
            <v>LUC-E00-420072-00</v>
          </cell>
          <cell r="F9775">
            <v>466522030348</v>
          </cell>
        </row>
        <row r="9776">
          <cell r="E9776" t="str">
            <v>LUC-EZZ-440192-00</v>
          </cell>
          <cell r="F9776">
            <v>466522030348</v>
          </cell>
        </row>
        <row r="9777">
          <cell r="E9777" t="str">
            <v>LUC-E00-420072-00</v>
          </cell>
          <cell r="F9777">
            <v>466522030348</v>
          </cell>
        </row>
        <row r="9778">
          <cell r="E9778" t="str">
            <v>LUC-E00-420072-00</v>
          </cell>
          <cell r="F9778">
            <v>466522030348</v>
          </cell>
        </row>
        <row r="9779">
          <cell r="E9779" t="str">
            <v>LUC-E00-420072-00</v>
          </cell>
          <cell r="F9779">
            <v>466522030348</v>
          </cell>
        </row>
        <row r="9780">
          <cell r="E9780" t="str">
            <v>PUR-21-0036-00</v>
          </cell>
          <cell r="F9780">
            <v>466522030348</v>
          </cell>
        </row>
        <row r="9781">
          <cell r="E9781" t="str">
            <v>LUC-E00-440003-01</v>
          </cell>
          <cell r="F9781">
            <v>458171550879</v>
          </cell>
        </row>
        <row r="9782">
          <cell r="E9782" t="str">
            <v>LUC-E00-440003-02</v>
          </cell>
          <cell r="F9782">
            <v>458171550879</v>
          </cell>
        </row>
        <row r="9783">
          <cell r="E9783" t="str">
            <v>LUC-E00-440014-00</v>
          </cell>
          <cell r="F9783">
            <v>458171550879</v>
          </cell>
        </row>
        <row r="9784">
          <cell r="E9784" t="str">
            <v>LUC-E00-440023-02</v>
          </cell>
          <cell r="F9784">
            <v>458171550879</v>
          </cell>
        </row>
        <row r="9785">
          <cell r="E9785" t="str">
            <v>LUC-E00-440124-00</v>
          </cell>
          <cell r="F9785">
            <v>458171550879</v>
          </cell>
        </row>
        <row r="9786">
          <cell r="E9786" t="str">
            <v>LUC-E00-440124-00</v>
          </cell>
          <cell r="F9786">
            <v>458171550879</v>
          </cell>
        </row>
        <row r="9787">
          <cell r="E9787" t="str">
            <v>LUC-EZZ-440069-00</v>
          </cell>
          <cell r="F9787">
            <v>458171550879</v>
          </cell>
        </row>
        <row r="9788">
          <cell r="E9788" t="str">
            <v>LUC-EZZ-440162-00</v>
          </cell>
          <cell r="F9788">
            <v>458171550879</v>
          </cell>
        </row>
        <row r="9789">
          <cell r="E9789" t="str">
            <v>LUC-EZZ-440032-00</v>
          </cell>
          <cell r="F9789">
            <v>458171550879</v>
          </cell>
        </row>
        <row r="9790">
          <cell r="E9790" t="str">
            <v>LUC-E00-440077-02</v>
          </cell>
          <cell r="F9790">
            <v>458171550879</v>
          </cell>
        </row>
        <row r="9791">
          <cell r="E9791" t="str">
            <v>LUC-E00-440051-01</v>
          </cell>
          <cell r="F9791">
            <v>458171550879</v>
          </cell>
        </row>
        <row r="9792">
          <cell r="E9792" t="str">
            <v>LUC-EZZ-440099-00</v>
          </cell>
          <cell r="F9792">
            <v>458171550879</v>
          </cell>
        </row>
        <row r="9793">
          <cell r="E9793" t="str">
            <v>LUC-EZZ-440100-00</v>
          </cell>
          <cell r="F9793">
            <v>458171550879</v>
          </cell>
        </row>
        <row r="9794">
          <cell r="E9794" t="str">
            <v>AIC-MP-00006773-000</v>
          </cell>
          <cell r="F9794">
            <v>466747817948</v>
          </cell>
        </row>
        <row r="9795">
          <cell r="E9795" t="str">
            <v>LUC-P11-K41D00-01</v>
          </cell>
          <cell r="F9795">
            <v>466747817948</v>
          </cell>
        </row>
        <row r="9796">
          <cell r="E9796" t="str">
            <v>LUC-E00-470127-00</v>
          </cell>
          <cell r="F9796">
            <v>466747817948</v>
          </cell>
        </row>
        <row r="9797">
          <cell r="E9797" t="str">
            <v>LUC-P11-K41300-00</v>
          </cell>
          <cell r="F9797">
            <v>466747817948</v>
          </cell>
        </row>
        <row r="9798">
          <cell r="E9798" t="str">
            <v>LUC-EZZ-401556-00</v>
          </cell>
          <cell r="F9798">
            <v>466747817948</v>
          </cell>
        </row>
        <row r="9799">
          <cell r="E9799" t="str">
            <v>LUC-EZZ-401720-00</v>
          </cell>
          <cell r="F9799">
            <v>466747817948</v>
          </cell>
        </row>
        <row r="9800">
          <cell r="E9800" t="str">
            <v>LUC-EZZ-400414-00</v>
          </cell>
          <cell r="F9800">
            <v>466747817948</v>
          </cell>
        </row>
        <row r="9801">
          <cell r="E9801" t="str">
            <v>LUC-E00-400067-263</v>
          </cell>
          <cell r="F9801">
            <v>466747817948</v>
          </cell>
        </row>
        <row r="9802">
          <cell r="E9802" t="str">
            <v>LUC-E00-400067-344</v>
          </cell>
          <cell r="F9802">
            <v>466747817948</v>
          </cell>
        </row>
        <row r="9803">
          <cell r="E9803" t="str">
            <v>LUC-EZZ-400609-00</v>
          </cell>
          <cell r="F9803">
            <v>409298790754</v>
          </cell>
        </row>
        <row r="9804">
          <cell r="E9804" t="str">
            <v>LUC-E00-440030-00</v>
          </cell>
          <cell r="F9804">
            <v>409298790754</v>
          </cell>
        </row>
        <row r="9805">
          <cell r="E9805" t="str">
            <v>LUC-EZZ-420095-00</v>
          </cell>
          <cell r="F9805">
            <v>409298790754</v>
          </cell>
        </row>
        <row r="9806">
          <cell r="E9806" t="str">
            <v>LUC-E00-420070-00</v>
          </cell>
          <cell r="F9806">
            <v>409298790754</v>
          </cell>
        </row>
        <row r="9807">
          <cell r="E9807" t="str">
            <v>LUC-E00-420049-01</v>
          </cell>
          <cell r="F9807">
            <v>409298790754</v>
          </cell>
        </row>
        <row r="9808">
          <cell r="E9808" t="str">
            <v>LUC-E00-420047-00</v>
          </cell>
          <cell r="F9808">
            <v>409298790754</v>
          </cell>
        </row>
        <row r="9809">
          <cell r="E9809" t="str">
            <v>LUC-E00-440031-00</v>
          </cell>
          <cell r="F9809">
            <v>409298790754</v>
          </cell>
        </row>
        <row r="9810">
          <cell r="E9810" t="str">
            <v>LUC-E00-440031-00</v>
          </cell>
          <cell r="F9810">
            <v>409298790754</v>
          </cell>
        </row>
        <row r="9811">
          <cell r="E9811" t="str">
            <v>LUC-E00-420014-03</v>
          </cell>
          <cell r="F9811">
            <v>409298790754</v>
          </cell>
        </row>
        <row r="9812">
          <cell r="E9812" t="str">
            <v>LUC-E00-420003-00</v>
          </cell>
          <cell r="F9812">
            <v>409298790754</v>
          </cell>
        </row>
        <row r="9813">
          <cell r="E9813" t="str">
            <v>LUC-E00-440011-00</v>
          </cell>
          <cell r="F9813">
            <v>409298790754</v>
          </cell>
        </row>
        <row r="9814">
          <cell r="E9814" t="str">
            <v>LUC-E00-400010-004</v>
          </cell>
          <cell r="F9814">
            <v>409298790754</v>
          </cell>
        </row>
        <row r="9815">
          <cell r="E9815" t="str">
            <v>PUR-25-0009-00</v>
          </cell>
          <cell r="F9815">
            <v>409298790754</v>
          </cell>
        </row>
        <row r="9816">
          <cell r="E9816" t="str">
            <v>LUC-E00-420047-02</v>
          </cell>
          <cell r="F9816">
            <v>409298790754</v>
          </cell>
        </row>
        <row r="9817">
          <cell r="E9817" t="str">
            <v>PUR-03-0082-02</v>
          </cell>
          <cell r="F9817">
            <v>467700301417</v>
          </cell>
        </row>
        <row r="9818">
          <cell r="E9818" t="str">
            <v>AIC-MP-00002857-000</v>
          </cell>
          <cell r="F9818">
            <v>882349589124</v>
          </cell>
        </row>
        <row r="9819">
          <cell r="E9819" t="str">
            <v>AIC-MP-00003291-000</v>
          </cell>
          <cell r="F9819">
            <v>882349589124</v>
          </cell>
        </row>
        <row r="9820">
          <cell r="E9820" t="str">
            <v>AIC-MP-00003350-000</v>
          </cell>
          <cell r="F9820">
            <v>882349589124</v>
          </cell>
        </row>
        <row r="9821">
          <cell r="E9821" t="str">
            <v>AIC-MP-00003486-000</v>
          </cell>
          <cell r="F9821">
            <v>882349589124</v>
          </cell>
        </row>
        <row r="9822">
          <cell r="E9822" t="str">
            <v>AIC-MP-00006729-000</v>
          </cell>
          <cell r="F9822">
            <v>882349589124</v>
          </cell>
        </row>
        <row r="9823">
          <cell r="E9823" t="str">
            <v>AIC-122-004366</v>
          </cell>
          <cell r="F9823">
            <v>882349589124</v>
          </cell>
        </row>
        <row r="9824">
          <cell r="E9824" t="str">
            <v>AIC-MP-00006744-000</v>
          </cell>
          <cell r="F9824">
            <v>882349589124</v>
          </cell>
        </row>
        <row r="9825">
          <cell r="E9825" t="str">
            <v>AIC-MP-00006918-000</v>
          </cell>
          <cell r="F9825">
            <v>882349589124</v>
          </cell>
        </row>
        <row r="9826">
          <cell r="E9826" t="str">
            <v>AIC-MP-00006920-000</v>
          </cell>
          <cell r="F9826">
            <v>882349589124</v>
          </cell>
        </row>
        <row r="9827">
          <cell r="E9827" t="str">
            <v>AIC-MP-00006921-000</v>
          </cell>
          <cell r="F9827">
            <v>882349589124</v>
          </cell>
        </row>
        <row r="9828">
          <cell r="E9828" t="str">
            <v>AIC-MP-00007023-000</v>
          </cell>
          <cell r="F9828">
            <v>882349589124</v>
          </cell>
        </row>
        <row r="9829">
          <cell r="E9829" t="str">
            <v>LUC-E00-400010-050</v>
          </cell>
          <cell r="F9829">
            <v>445170458285</v>
          </cell>
        </row>
        <row r="9830">
          <cell r="E9830" t="str">
            <v>AIC-MP-00005049-000</v>
          </cell>
          <cell r="F9830">
            <v>445131407611</v>
          </cell>
        </row>
        <row r="9831">
          <cell r="E9831" t="str">
            <v>LUC-E00-470083-00</v>
          </cell>
          <cell r="F9831">
            <v>445170458469</v>
          </cell>
        </row>
        <row r="9832">
          <cell r="E9832" t="str">
            <v>PUR-09-0422-00</v>
          </cell>
          <cell r="F9832">
            <v>445170455985</v>
          </cell>
        </row>
        <row r="9833">
          <cell r="E9833" t="str">
            <v>AIC-MP-00005911-000</v>
          </cell>
          <cell r="F9833">
            <v>882341132178</v>
          </cell>
        </row>
        <row r="9834">
          <cell r="E9834" t="str">
            <v>LUC-E00-690029-00</v>
          </cell>
          <cell r="F9834">
            <v>882343511243</v>
          </cell>
        </row>
        <row r="9835">
          <cell r="E9835" t="str">
            <v>LUC-E00-470109-00</v>
          </cell>
          <cell r="F9835">
            <v>453074953748</v>
          </cell>
        </row>
        <row r="9836">
          <cell r="E9836" t="str">
            <v>LUC-E00-690214-00</v>
          </cell>
          <cell r="F9836">
            <v>462899988694</v>
          </cell>
        </row>
        <row r="9837">
          <cell r="E9837" t="str">
            <v>PUR-09-0424-00</v>
          </cell>
          <cell r="F9837">
            <v>445170456400</v>
          </cell>
        </row>
        <row r="9838">
          <cell r="E9838" t="str">
            <v>LUC-E00-400010-050</v>
          </cell>
          <cell r="F9838">
            <v>445170458322</v>
          </cell>
        </row>
        <row r="9839">
          <cell r="E9839" t="str">
            <v>PUR-09-0424-00</v>
          </cell>
          <cell r="F9839">
            <v>445170456330</v>
          </cell>
        </row>
        <row r="9840">
          <cell r="E9840" t="str">
            <v>LUC-E00-470028-00</v>
          </cell>
          <cell r="F9840">
            <v>445170455183</v>
          </cell>
        </row>
        <row r="9841">
          <cell r="E9841" t="str">
            <v>LUC-EZZ-470249-00</v>
          </cell>
          <cell r="F9841">
            <v>445170455286</v>
          </cell>
        </row>
        <row r="9842">
          <cell r="E9842" t="str">
            <v>HLOB-09-0422-00</v>
          </cell>
          <cell r="F9842">
            <v>445170455974</v>
          </cell>
        </row>
        <row r="9843">
          <cell r="E9843" t="str">
            <v>PUR-09-0422-00</v>
          </cell>
          <cell r="F9843">
            <v>445170455974</v>
          </cell>
        </row>
        <row r="9844">
          <cell r="E9844" t="str">
            <v>PUR-09-0422-00</v>
          </cell>
          <cell r="F9844">
            <v>445170455974</v>
          </cell>
        </row>
        <row r="9845">
          <cell r="E9845" t="str">
            <v>HLOB-09-0324-00</v>
          </cell>
          <cell r="F9845">
            <v>445170455996</v>
          </cell>
        </row>
        <row r="9846">
          <cell r="E9846" t="str">
            <v>LUC-E00-400067-399</v>
          </cell>
          <cell r="F9846">
            <v>445170456238</v>
          </cell>
        </row>
        <row r="9847">
          <cell r="E9847" t="str">
            <v>PUR-09-0424-00</v>
          </cell>
          <cell r="F9847">
            <v>445170456411</v>
          </cell>
        </row>
        <row r="9848">
          <cell r="E9848" t="str">
            <v>LUC-E00-470472-00</v>
          </cell>
          <cell r="F9848">
            <v>445170456640</v>
          </cell>
        </row>
        <row r="9849">
          <cell r="E9849" t="str">
            <v>PUR-03-0038-00</v>
          </cell>
          <cell r="F9849">
            <v>882389345329</v>
          </cell>
        </row>
        <row r="9850">
          <cell r="E9850" t="str">
            <v>PUR-03-0038-00</v>
          </cell>
          <cell r="F9850">
            <v>882389345329</v>
          </cell>
        </row>
        <row r="9851">
          <cell r="E9851" t="str">
            <v>PUR-03-0038-00</v>
          </cell>
          <cell r="F9851">
            <v>882390286102</v>
          </cell>
        </row>
        <row r="9852">
          <cell r="E9852" t="str">
            <v>PUR-03-0038-00</v>
          </cell>
          <cell r="F9852">
            <v>882390286102</v>
          </cell>
        </row>
        <row r="9853">
          <cell r="E9853" t="str">
            <v>LUC-E00-470028-00</v>
          </cell>
          <cell r="F9853">
            <v>445170458182</v>
          </cell>
        </row>
        <row r="9854">
          <cell r="E9854" t="str">
            <v>LUC-E00-470070-00</v>
          </cell>
          <cell r="F9854">
            <v>445170456661</v>
          </cell>
        </row>
        <row r="9855">
          <cell r="E9855" t="str">
            <v>120-010212.X.X</v>
          </cell>
          <cell r="F9855">
            <v>741993594650</v>
          </cell>
        </row>
        <row r="9856">
          <cell r="E9856" t="str">
            <v>LUC-E00-450241-00</v>
          </cell>
          <cell r="F9856">
            <v>972682031087</v>
          </cell>
        </row>
        <row r="9857">
          <cell r="E9857" t="str">
            <v>AIC-MP-00005825-000</v>
          </cell>
          <cell r="F9857">
            <v>882388497105</v>
          </cell>
        </row>
        <row r="9858">
          <cell r="E9858" t="str">
            <v>LUC-EZZ-450070-00</v>
          </cell>
          <cell r="F9858">
            <v>445170455220</v>
          </cell>
        </row>
        <row r="9859">
          <cell r="E9859" t="str">
            <v>LUC-EZZ-471621-00</v>
          </cell>
          <cell r="F9859">
            <v>445170455275</v>
          </cell>
        </row>
        <row r="9860">
          <cell r="E9860" t="str">
            <v>EF-45076928.X.X</v>
          </cell>
          <cell r="F9860">
            <v>882373819430</v>
          </cell>
        </row>
        <row r="9861">
          <cell r="E9861" t="str">
            <v>LUC-E00-470086-00</v>
          </cell>
          <cell r="F9861">
            <v>882373819430</v>
          </cell>
        </row>
        <row r="9862">
          <cell r="E9862" t="str">
            <v>LUC-EZZ-470297-00</v>
          </cell>
          <cell r="F9862">
            <v>882373819430</v>
          </cell>
        </row>
        <row r="9863">
          <cell r="E9863" t="str">
            <v>LUC-E00-470072-00</v>
          </cell>
          <cell r="F9863">
            <v>882373819430</v>
          </cell>
        </row>
        <row r="9864">
          <cell r="E9864" t="str">
            <v>LUC-EZZ-400011-00</v>
          </cell>
          <cell r="F9864">
            <v>882373819430</v>
          </cell>
        </row>
        <row r="9865">
          <cell r="E9865" t="str">
            <v>LUC-EZZ-400011-00</v>
          </cell>
          <cell r="F9865">
            <v>882373819430</v>
          </cell>
        </row>
        <row r="9866">
          <cell r="E9866" t="str">
            <v>LUC-E00-420238-00</v>
          </cell>
          <cell r="F9866">
            <v>882373819430</v>
          </cell>
        </row>
        <row r="9867">
          <cell r="E9867" t="str">
            <v>LUC-EZZ-400011-00</v>
          </cell>
          <cell r="F9867">
            <v>882373819430</v>
          </cell>
        </row>
        <row r="9868">
          <cell r="E9868" t="str">
            <v>LUC-E00-470274-00</v>
          </cell>
          <cell r="F9868">
            <v>882373819430</v>
          </cell>
        </row>
        <row r="9869">
          <cell r="E9869" t="str">
            <v>HLOB-09-0477-00</v>
          </cell>
          <cell r="F9869">
            <v>882373819430</v>
          </cell>
        </row>
        <row r="9870">
          <cell r="E9870" t="str">
            <v>LUC-E00-420238-00</v>
          </cell>
          <cell r="F9870">
            <v>882373819430</v>
          </cell>
        </row>
        <row r="9871">
          <cell r="E9871" t="str">
            <v>LUC-EZZ-400291-00</v>
          </cell>
          <cell r="F9871">
            <v>3156349486</v>
          </cell>
        </row>
        <row r="9872">
          <cell r="E9872" t="str">
            <v>LUC-E00-400244-00</v>
          </cell>
          <cell r="F9872">
            <v>3156349486</v>
          </cell>
        </row>
        <row r="9873">
          <cell r="E9873" t="str">
            <v>LUC-E00-450029-00</v>
          </cell>
          <cell r="F9873">
            <v>3156349486</v>
          </cell>
        </row>
        <row r="9874">
          <cell r="E9874" t="str">
            <v>LUC-E00-400010-017</v>
          </cell>
          <cell r="F9874">
            <v>3156349486</v>
          </cell>
        </row>
        <row r="9875">
          <cell r="E9875" t="str">
            <v>LUC-E00-440029-00</v>
          </cell>
          <cell r="F9875">
            <v>3156349486</v>
          </cell>
        </row>
        <row r="9876">
          <cell r="E9876" t="str">
            <v>LUC-E00-440029-00</v>
          </cell>
          <cell r="F9876">
            <v>3156349486</v>
          </cell>
        </row>
        <row r="9877">
          <cell r="E9877" t="str">
            <v>LUC-E00-420015-00</v>
          </cell>
          <cell r="F9877">
            <v>3156349486</v>
          </cell>
        </row>
        <row r="9878">
          <cell r="E9878" t="str">
            <v>LUC-E00-420015-00</v>
          </cell>
          <cell r="F9878">
            <v>3156349486</v>
          </cell>
        </row>
        <row r="9879">
          <cell r="E9879" t="str">
            <v>LUC-E00-420015-00</v>
          </cell>
          <cell r="F9879">
            <v>3156349486</v>
          </cell>
        </row>
        <row r="9880">
          <cell r="E9880" t="str">
            <v>LUC-E00-420015-00</v>
          </cell>
          <cell r="F9880">
            <v>3156349486</v>
          </cell>
        </row>
        <row r="9881">
          <cell r="E9881" t="str">
            <v>LUC-E00-420015-00</v>
          </cell>
          <cell r="F9881">
            <v>3156349486</v>
          </cell>
        </row>
        <row r="9882">
          <cell r="E9882" t="str">
            <v>LUC-E00-420015-00</v>
          </cell>
          <cell r="F9882">
            <v>3156349486</v>
          </cell>
        </row>
        <row r="9883">
          <cell r="E9883" t="str">
            <v>LUC-E00-420015-00</v>
          </cell>
          <cell r="F9883">
            <v>3156349486</v>
          </cell>
        </row>
        <row r="9884">
          <cell r="E9884" t="str">
            <v>LUC-E00-470032-00</v>
          </cell>
          <cell r="F9884">
            <v>3156349486</v>
          </cell>
        </row>
        <row r="9885">
          <cell r="E9885" t="str">
            <v>LUC-EZZ-420345-00</v>
          </cell>
          <cell r="F9885">
            <v>3156349486</v>
          </cell>
        </row>
        <row r="9886">
          <cell r="E9886" t="str">
            <v>LUC-E00-470080-00</v>
          </cell>
          <cell r="F9886">
            <v>3156349486</v>
          </cell>
        </row>
        <row r="9887">
          <cell r="E9887" t="str">
            <v>LUC-EZZ-420136-00</v>
          </cell>
          <cell r="F9887">
            <v>3156349486</v>
          </cell>
        </row>
        <row r="9888">
          <cell r="E9888" t="str">
            <v>LUC-EZZ-420136-00</v>
          </cell>
          <cell r="F9888">
            <v>3156349486</v>
          </cell>
        </row>
        <row r="9889">
          <cell r="E9889" t="str">
            <v>LUC-E00-420050-00</v>
          </cell>
          <cell r="F9889">
            <v>3156349486</v>
          </cell>
        </row>
        <row r="9890">
          <cell r="E9890" t="str">
            <v>LUC-E00-420050-00</v>
          </cell>
          <cell r="F9890">
            <v>3156349486</v>
          </cell>
        </row>
        <row r="9891">
          <cell r="E9891" t="str">
            <v>LUC-E00-470020-01</v>
          </cell>
          <cell r="F9891">
            <v>3156349486</v>
          </cell>
        </row>
        <row r="9892">
          <cell r="E9892" t="str">
            <v>LUC-EZZ-420352-00</v>
          </cell>
          <cell r="F9892">
            <v>3156349486</v>
          </cell>
        </row>
        <row r="9893">
          <cell r="E9893" t="str">
            <v>LUC-EZZ-420352-00</v>
          </cell>
          <cell r="F9893">
            <v>3156349486</v>
          </cell>
        </row>
        <row r="9894">
          <cell r="E9894" t="str">
            <v>LUC-E00-470318-00</v>
          </cell>
          <cell r="F9894">
            <v>3156349486</v>
          </cell>
        </row>
        <row r="9895">
          <cell r="E9895" t="str">
            <v>LUC-E00-510093-00</v>
          </cell>
          <cell r="F9895">
            <v>3156349486</v>
          </cell>
        </row>
        <row r="9896">
          <cell r="E9896" t="str">
            <v>LUC-EZZ-470424-00</v>
          </cell>
          <cell r="F9896">
            <v>3156349486</v>
          </cell>
        </row>
        <row r="9897">
          <cell r="E9897" t="str">
            <v>LUC-EZZ-420189-00</v>
          </cell>
          <cell r="F9897">
            <v>3156349486</v>
          </cell>
        </row>
        <row r="9898">
          <cell r="E9898" t="str">
            <v>LUC-EZZ-420189-00</v>
          </cell>
          <cell r="F9898">
            <v>3156349486</v>
          </cell>
        </row>
        <row r="9899">
          <cell r="E9899" t="str">
            <v>LUC-EZZ-420189-00</v>
          </cell>
          <cell r="F9899">
            <v>3156349486</v>
          </cell>
        </row>
        <row r="9900">
          <cell r="E9900" t="str">
            <v>LUC-E00-420025-05</v>
          </cell>
          <cell r="F9900">
            <v>3156349486</v>
          </cell>
        </row>
        <row r="9901">
          <cell r="E9901" t="str">
            <v>LUC-E00-460008-00</v>
          </cell>
          <cell r="F9901">
            <v>3156349486</v>
          </cell>
        </row>
        <row r="9902">
          <cell r="E9902" t="str">
            <v>LUC-EZZ-420507-00</v>
          </cell>
          <cell r="F9902">
            <v>3156349486</v>
          </cell>
        </row>
        <row r="9903">
          <cell r="E9903" t="str">
            <v>LUC-E00-460023-00</v>
          </cell>
          <cell r="F9903">
            <v>3156349486</v>
          </cell>
        </row>
        <row r="9904">
          <cell r="E9904" t="str">
            <v>LUC-E00-460001-01</v>
          </cell>
          <cell r="F9904">
            <v>3156349486</v>
          </cell>
        </row>
        <row r="9905">
          <cell r="E9905" t="str">
            <v>LUC-E00-440028-00</v>
          </cell>
          <cell r="F9905">
            <v>3156349486</v>
          </cell>
        </row>
        <row r="9906">
          <cell r="E9906" t="str">
            <v>LUC-E00-470059-00</v>
          </cell>
          <cell r="F9906">
            <v>3156349486</v>
          </cell>
        </row>
        <row r="9907">
          <cell r="E9907" t="str">
            <v>LUC-EZZ-470431-00</v>
          </cell>
          <cell r="F9907">
            <v>3156349486</v>
          </cell>
        </row>
        <row r="9908">
          <cell r="E9908" t="str">
            <v>LUC-EZZ-510080-00</v>
          </cell>
          <cell r="F9908">
            <v>3156349486</v>
          </cell>
        </row>
        <row r="9909">
          <cell r="E9909" t="str">
            <v>LUC-E00-540004-00</v>
          </cell>
          <cell r="F9909">
            <v>3156349486</v>
          </cell>
        </row>
        <row r="9910">
          <cell r="E9910" t="str">
            <v>LUC-E00-480008-00</v>
          </cell>
          <cell r="F9910">
            <v>3156349486</v>
          </cell>
        </row>
        <row r="9911">
          <cell r="E9911" t="str">
            <v>LUC-EZZ-440176-00</v>
          </cell>
          <cell r="F9911">
            <v>3156349486</v>
          </cell>
        </row>
        <row r="9912">
          <cell r="E9912" t="str">
            <v>LUC-E00-540004-00</v>
          </cell>
          <cell r="F9912">
            <v>3156349486</v>
          </cell>
        </row>
        <row r="9913">
          <cell r="E9913" t="str">
            <v>LUC-EZZ-440176-00</v>
          </cell>
          <cell r="F9913">
            <v>3156349486</v>
          </cell>
        </row>
        <row r="9914">
          <cell r="E9914" t="str">
            <v>LUC-E00-540004-00</v>
          </cell>
          <cell r="F9914">
            <v>3156349486</v>
          </cell>
        </row>
        <row r="9915">
          <cell r="E9915" t="str">
            <v>LUC-EZZ-420172-00</v>
          </cell>
          <cell r="F9915">
            <v>3156349486</v>
          </cell>
        </row>
        <row r="9916">
          <cell r="E9916" t="str">
            <v>LUC-E00-510045-00</v>
          </cell>
          <cell r="F9916">
            <v>3156349486</v>
          </cell>
        </row>
        <row r="9917">
          <cell r="E9917" t="str">
            <v>LUC-E00-510045-00</v>
          </cell>
          <cell r="F9917">
            <v>3156349486</v>
          </cell>
        </row>
        <row r="9918">
          <cell r="E9918" t="str">
            <v>LUC-E00-510066-00</v>
          </cell>
          <cell r="F9918">
            <v>3156349486</v>
          </cell>
        </row>
        <row r="9919">
          <cell r="E9919" t="str">
            <v>LUC-EZZ-420281-00</v>
          </cell>
          <cell r="F9919">
            <v>3156349486</v>
          </cell>
        </row>
        <row r="9920">
          <cell r="E9920" t="str">
            <v>LUC-E00-420060-00</v>
          </cell>
          <cell r="F9920">
            <v>3156349486</v>
          </cell>
        </row>
        <row r="9921">
          <cell r="E9921" t="str">
            <v>LUC-E00-420069-00</v>
          </cell>
          <cell r="F9921">
            <v>3156349486</v>
          </cell>
        </row>
        <row r="9922">
          <cell r="E9922" t="str">
            <v>LUC-E00-510014-00</v>
          </cell>
          <cell r="F9922">
            <v>3156349486</v>
          </cell>
        </row>
        <row r="9923">
          <cell r="E9923" t="str">
            <v>LUC-E00-510014-00</v>
          </cell>
          <cell r="F9923">
            <v>3156349486</v>
          </cell>
        </row>
        <row r="9924">
          <cell r="E9924" t="str">
            <v>LUC-E00-440029-00</v>
          </cell>
          <cell r="F9924">
            <v>3156349486</v>
          </cell>
        </row>
        <row r="9925">
          <cell r="E9925" t="str">
            <v>LUC-EZZ-511370-00</v>
          </cell>
          <cell r="F9925">
            <v>3156349486</v>
          </cell>
        </row>
        <row r="9926">
          <cell r="E9926" t="str">
            <v>LUC-EZZ-420490-00</v>
          </cell>
          <cell r="F9926">
            <v>3156349486</v>
          </cell>
        </row>
        <row r="9927">
          <cell r="E9927" t="str">
            <v>LUC-E00-450043-00</v>
          </cell>
          <cell r="F9927">
            <v>3156349486</v>
          </cell>
        </row>
        <row r="9928">
          <cell r="E9928" t="str">
            <v>LUC-EZZ-440169-00</v>
          </cell>
          <cell r="F9928">
            <v>3156349486</v>
          </cell>
        </row>
        <row r="9929">
          <cell r="E9929" t="str">
            <v>LUC-EZZ-460737-00</v>
          </cell>
          <cell r="F9929">
            <v>3156349486</v>
          </cell>
        </row>
        <row r="9930">
          <cell r="E9930" t="str">
            <v>LUC-EZZ-420398-00</v>
          </cell>
          <cell r="F9930">
            <v>3156349486</v>
          </cell>
        </row>
        <row r="9931">
          <cell r="E9931" t="str">
            <v>LUC-EZZ-420174-00</v>
          </cell>
          <cell r="F9931">
            <v>3156349486</v>
          </cell>
        </row>
        <row r="9932">
          <cell r="E9932" t="str">
            <v>LUC-EZZ-400194-00</v>
          </cell>
          <cell r="F9932">
            <v>3156349486</v>
          </cell>
        </row>
        <row r="9933">
          <cell r="E9933" t="str">
            <v>LUC-E00-480015-01</v>
          </cell>
          <cell r="F9933">
            <v>3156349486</v>
          </cell>
        </row>
        <row r="9934">
          <cell r="E9934" t="str">
            <v>LUC-EZZ-420102-00</v>
          </cell>
          <cell r="F9934">
            <v>3156349486</v>
          </cell>
        </row>
        <row r="9935">
          <cell r="E9935" t="str">
            <v>LUC-E00-420037-04</v>
          </cell>
          <cell r="F9935">
            <v>3156349486</v>
          </cell>
        </row>
        <row r="9936">
          <cell r="E9936" t="str">
            <v>LUC-E00-460034-00</v>
          </cell>
          <cell r="F9936">
            <v>3156349486</v>
          </cell>
        </row>
        <row r="9937">
          <cell r="E9937" t="str">
            <v>LUC-E00-460034-00</v>
          </cell>
          <cell r="F9937">
            <v>3156349486</v>
          </cell>
        </row>
        <row r="9938">
          <cell r="E9938" t="str">
            <v>LUC-E00-460034-00</v>
          </cell>
          <cell r="F9938">
            <v>3156349486</v>
          </cell>
        </row>
        <row r="9939">
          <cell r="E9939" t="str">
            <v>LUC-EZZ-450835-00</v>
          </cell>
          <cell r="F9939">
            <v>3156349486</v>
          </cell>
        </row>
        <row r="9940">
          <cell r="E9940" t="str">
            <v>LUC-E00-470044-00</v>
          </cell>
          <cell r="F9940">
            <v>3156349486</v>
          </cell>
        </row>
        <row r="9941">
          <cell r="E9941" t="str">
            <v>LUC-EZZ-440176-00</v>
          </cell>
          <cell r="F9941">
            <v>3156349486</v>
          </cell>
        </row>
        <row r="9942">
          <cell r="E9942" t="str">
            <v>LUC-E00-470118-00</v>
          </cell>
          <cell r="F9942">
            <v>3156349486</v>
          </cell>
        </row>
        <row r="9943">
          <cell r="E9943" t="str">
            <v>LUC-EZZ-420490-00</v>
          </cell>
          <cell r="F9943">
            <v>3156349486</v>
          </cell>
        </row>
        <row r="9944">
          <cell r="E9944" t="str">
            <v>LUC-EZZ-450108-00</v>
          </cell>
          <cell r="F9944">
            <v>3156349486</v>
          </cell>
        </row>
        <row r="9945">
          <cell r="E9945" t="str">
            <v>LUC-E00-420037-09</v>
          </cell>
          <cell r="F9945">
            <v>3156349486</v>
          </cell>
        </row>
        <row r="9946">
          <cell r="E9946" t="str">
            <v>LUC-E00-420050-00</v>
          </cell>
          <cell r="F9946">
            <v>3156349486</v>
          </cell>
        </row>
        <row r="9947">
          <cell r="E9947" t="str">
            <v>LUC-E00-400048-00</v>
          </cell>
          <cell r="F9947">
            <v>3156349486</v>
          </cell>
        </row>
        <row r="9948">
          <cell r="E9948" t="str">
            <v>LUC-E00-510064-00</v>
          </cell>
          <cell r="F9948">
            <v>3156349486</v>
          </cell>
        </row>
        <row r="9949">
          <cell r="E9949" t="str">
            <v>LUC-E00-420116-01</v>
          </cell>
          <cell r="F9949">
            <v>3156349486</v>
          </cell>
        </row>
        <row r="9950">
          <cell r="E9950" t="str">
            <v>LUC-E00-420060-00</v>
          </cell>
          <cell r="F9950">
            <v>3156349486</v>
          </cell>
        </row>
        <row r="9951">
          <cell r="E9951" t="str">
            <v>LUC-E00-420069-00</v>
          </cell>
          <cell r="F9951">
            <v>3156349486</v>
          </cell>
        </row>
        <row r="9952">
          <cell r="E9952" t="str">
            <v>LUC-E00-450056-00</v>
          </cell>
          <cell r="F9952">
            <v>3156349486</v>
          </cell>
        </row>
        <row r="9953">
          <cell r="E9953" t="str">
            <v>LUC-E00-460008-00</v>
          </cell>
          <cell r="F9953">
            <v>3156349486</v>
          </cell>
        </row>
        <row r="9954">
          <cell r="E9954" t="str">
            <v>LUC-E00-510030-00</v>
          </cell>
          <cell r="F9954">
            <v>3156349486</v>
          </cell>
        </row>
        <row r="9955">
          <cell r="E9955" t="str">
            <v>LUC-E00-400010-049</v>
          </cell>
          <cell r="F9955">
            <v>3156349486</v>
          </cell>
        </row>
        <row r="9956">
          <cell r="E9956" t="str">
            <v>LUC-E00-510031-00</v>
          </cell>
          <cell r="F9956">
            <v>3156349486</v>
          </cell>
        </row>
        <row r="9957">
          <cell r="E9957" t="str">
            <v>LUC-E00-470087-00</v>
          </cell>
          <cell r="F9957">
            <v>3156349486</v>
          </cell>
        </row>
        <row r="9958">
          <cell r="E9958" t="str">
            <v>LUC-E00-470009-00</v>
          </cell>
          <cell r="F9958">
            <v>3156349486</v>
          </cell>
        </row>
        <row r="9959">
          <cell r="E9959" t="str">
            <v>LUC-E00-450029-00</v>
          </cell>
          <cell r="F9959">
            <v>3156349486</v>
          </cell>
        </row>
        <row r="9960">
          <cell r="E9960" t="str">
            <v>LUC-E00-450029-00</v>
          </cell>
          <cell r="F9960">
            <v>3156349486</v>
          </cell>
        </row>
        <row r="9961">
          <cell r="E9961" t="str">
            <v>LUC-EZZ-510058-00</v>
          </cell>
          <cell r="F9961">
            <v>3156349486</v>
          </cell>
        </row>
        <row r="9962">
          <cell r="E9962" t="str">
            <v>LUC-EZZ-510058-00</v>
          </cell>
          <cell r="F9962">
            <v>3156349486</v>
          </cell>
        </row>
        <row r="9963">
          <cell r="E9963" t="str">
            <v>LUC-E00-470077-00</v>
          </cell>
          <cell r="F9963">
            <v>3156349486</v>
          </cell>
        </row>
        <row r="9964">
          <cell r="E9964" t="str">
            <v>LUC-E00-470048-00</v>
          </cell>
          <cell r="F9964">
            <v>3156349486</v>
          </cell>
        </row>
        <row r="9965">
          <cell r="E9965" t="str">
            <v>LUC-E00-470048-00</v>
          </cell>
          <cell r="F9965">
            <v>3156349486</v>
          </cell>
        </row>
        <row r="9966">
          <cell r="E9966" t="str">
            <v>LUC-EZZ-420002-00</v>
          </cell>
          <cell r="F9966">
            <v>3156349486</v>
          </cell>
        </row>
        <row r="9967">
          <cell r="E9967" t="str">
            <v>LUC-E00-420173-00</v>
          </cell>
          <cell r="F9967">
            <v>3156349486</v>
          </cell>
        </row>
        <row r="9968">
          <cell r="E9968" t="str">
            <v>LUC-E00-420241-00</v>
          </cell>
          <cell r="F9968">
            <v>3156349486</v>
          </cell>
        </row>
        <row r="9969">
          <cell r="E9969" t="str">
            <v>LUC-E00-400023-04</v>
          </cell>
          <cell r="F9969">
            <v>3156349486</v>
          </cell>
        </row>
        <row r="9970">
          <cell r="E9970" t="str">
            <v>LUC-E00-480008-00</v>
          </cell>
          <cell r="F9970">
            <v>3156349486</v>
          </cell>
        </row>
        <row r="9971">
          <cell r="E9971" t="str">
            <v>LUC-E00-420027-03</v>
          </cell>
          <cell r="F9971">
            <v>3156349486</v>
          </cell>
        </row>
        <row r="9972">
          <cell r="E9972" t="str">
            <v>LUC-EZZ-420046-00</v>
          </cell>
          <cell r="F9972">
            <v>3156349486</v>
          </cell>
        </row>
        <row r="9973">
          <cell r="E9973" t="str">
            <v>LUC-EZZ-420046-00</v>
          </cell>
          <cell r="F9973">
            <v>3156349486</v>
          </cell>
        </row>
        <row r="9974">
          <cell r="E9974" t="str">
            <v>LUC-EZZ-420013-00</v>
          </cell>
          <cell r="F9974">
            <v>3156349486</v>
          </cell>
        </row>
        <row r="9975">
          <cell r="E9975" t="str">
            <v>LUC-E00-450052-00</v>
          </cell>
          <cell r="F9975">
            <v>3156349486</v>
          </cell>
        </row>
        <row r="9976">
          <cell r="E9976" t="str">
            <v>LUC-E00-420241-00</v>
          </cell>
          <cell r="F9976">
            <v>3156349486</v>
          </cell>
        </row>
        <row r="9977">
          <cell r="E9977" t="str">
            <v>LUC-E00-420171-00</v>
          </cell>
          <cell r="F9977">
            <v>3156349486</v>
          </cell>
        </row>
        <row r="9978">
          <cell r="E9978" t="str">
            <v>LUC-E00-420054-01</v>
          </cell>
          <cell r="F9978">
            <v>3156349486</v>
          </cell>
        </row>
        <row r="9979">
          <cell r="E9979" t="str">
            <v>LUC-E00-460001-01</v>
          </cell>
          <cell r="F9979">
            <v>3156349486</v>
          </cell>
        </row>
        <row r="9980">
          <cell r="E9980" t="str">
            <v>LUC-E00-470059-00</v>
          </cell>
          <cell r="F9980">
            <v>3156349486</v>
          </cell>
        </row>
        <row r="9981">
          <cell r="E9981" t="str">
            <v>LUC-E00-470330-00</v>
          </cell>
          <cell r="F9981">
            <v>3156349486</v>
          </cell>
        </row>
        <row r="9982">
          <cell r="E9982" t="str">
            <v>LUC-E00-510015-00</v>
          </cell>
          <cell r="F9982">
            <v>3156349486</v>
          </cell>
        </row>
        <row r="9983">
          <cell r="E9983" t="str">
            <v>LUC-E00-440029-00</v>
          </cell>
          <cell r="F9983">
            <v>3156349486</v>
          </cell>
        </row>
        <row r="9984">
          <cell r="E9984" t="str">
            <v>LUC-EZZ-420172-00</v>
          </cell>
          <cell r="F9984">
            <v>3156349486</v>
          </cell>
        </row>
        <row r="9985">
          <cell r="E9985" t="str">
            <v>LUC-EZZ-460737-00</v>
          </cell>
          <cell r="F9985">
            <v>3156349486</v>
          </cell>
        </row>
        <row r="9986">
          <cell r="E9986" t="str">
            <v>LUC-EZZ-460737-00</v>
          </cell>
          <cell r="F9986">
            <v>3156349486</v>
          </cell>
        </row>
        <row r="9987">
          <cell r="E9987" t="str">
            <v>LUC-EZZ-420102-00</v>
          </cell>
          <cell r="F9987">
            <v>3156349486</v>
          </cell>
        </row>
        <row r="9988">
          <cell r="E9988" t="str">
            <v>LUC-E00-470173-00</v>
          </cell>
          <cell r="F9988">
            <v>3156349486</v>
          </cell>
        </row>
        <row r="9989">
          <cell r="E9989" t="str">
            <v>LUC-EZZ-510023-00</v>
          </cell>
          <cell r="F9989">
            <v>3156349486</v>
          </cell>
        </row>
        <row r="9990">
          <cell r="E9990" t="str">
            <v>LUC-EZZ-420281-00</v>
          </cell>
          <cell r="F9990">
            <v>3156349486</v>
          </cell>
        </row>
        <row r="9991">
          <cell r="E9991" t="str">
            <v>LUC-E00-420056-00</v>
          </cell>
          <cell r="F9991">
            <v>3156349486</v>
          </cell>
        </row>
        <row r="9992">
          <cell r="E9992" t="str">
            <v>LUC-E00-420056-00</v>
          </cell>
          <cell r="F9992">
            <v>3156349486</v>
          </cell>
        </row>
        <row r="9993">
          <cell r="E9993" t="str">
            <v>LUC-EZZ-420175-00</v>
          </cell>
          <cell r="F9993">
            <v>3156349486</v>
          </cell>
        </row>
        <row r="9994">
          <cell r="E9994" t="str">
            <v>LUC-E00-470061-00</v>
          </cell>
          <cell r="F9994">
            <v>3156349486</v>
          </cell>
        </row>
        <row r="9995">
          <cell r="E9995" t="str">
            <v>LUC-E00-470047-00</v>
          </cell>
          <cell r="F9995">
            <v>3156349486</v>
          </cell>
        </row>
        <row r="9996">
          <cell r="E9996" t="str">
            <v>LUC-E00-470061-00</v>
          </cell>
          <cell r="F9996">
            <v>3156349486</v>
          </cell>
        </row>
        <row r="9997">
          <cell r="E9997" t="str">
            <v>LUC-E00-470061-00</v>
          </cell>
          <cell r="F9997">
            <v>3156349486</v>
          </cell>
        </row>
        <row r="9998">
          <cell r="E9998" t="str">
            <v>LUC-E00-470095-00</v>
          </cell>
          <cell r="F9998">
            <v>3156349486</v>
          </cell>
        </row>
        <row r="9999">
          <cell r="E9999" t="str">
            <v>LUC-E00-470330-00</v>
          </cell>
          <cell r="F9999">
            <v>3156349486</v>
          </cell>
        </row>
        <row r="10000">
          <cell r="E10000" t="str">
            <v>LUC-E00-470330-00</v>
          </cell>
          <cell r="F10000">
            <v>3156349486</v>
          </cell>
        </row>
        <row r="10001">
          <cell r="E10001" t="str">
            <v>LUC-EZZ-421298-00</v>
          </cell>
          <cell r="F10001">
            <v>3156349486</v>
          </cell>
        </row>
        <row r="10002">
          <cell r="E10002" t="str">
            <v>LUC-E00-470049-00</v>
          </cell>
          <cell r="F10002">
            <v>3156349486</v>
          </cell>
        </row>
        <row r="10003">
          <cell r="E10003" t="str">
            <v>LUC-E00-470049-00</v>
          </cell>
          <cell r="F10003">
            <v>3156349486</v>
          </cell>
        </row>
        <row r="10004">
          <cell r="E10004" t="str">
            <v>LUC-E00-470049-00</v>
          </cell>
          <cell r="F10004">
            <v>3156349486</v>
          </cell>
        </row>
        <row r="10005">
          <cell r="E10005" t="str">
            <v>LUC-E00-470242-00</v>
          </cell>
          <cell r="F10005">
            <v>3156349486</v>
          </cell>
        </row>
        <row r="10006">
          <cell r="E10006" t="str">
            <v>LUC-EZZ-510061-00</v>
          </cell>
          <cell r="F10006">
            <v>3156349486</v>
          </cell>
        </row>
        <row r="10007">
          <cell r="E10007" t="str">
            <v>LUC-E00-400010-047</v>
          </cell>
          <cell r="F10007">
            <v>3156349486</v>
          </cell>
        </row>
        <row r="10008">
          <cell r="E10008" t="str">
            <v>LUC-E00-400010-007</v>
          </cell>
          <cell r="F10008">
            <v>3156349486</v>
          </cell>
        </row>
        <row r="10009">
          <cell r="E10009" t="str">
            <v>LUC-EZZ-470274-00</v>
          </cell>
          <cell r="F10009">
            <v>3156349486</v>
          </cell>
        </row>
        <row r="10010">
          <cell r="E10010" t="str">
            <v>LUC-E00-470048-00</v>
          </cell>
          <cell r="F10010">
            <v>3156349486</v>
          </cell>
        </row>
        <row r="10011">
          <cell r="E10011" t="str">
            <v>LUC-E00-470048-00</v>
          </cell>
          <cell r="F10011">
            <v>3156349486</v>
          </cell>
        </row>
        <row r="10012">
          <cell r="E10012" t="str">
            <v>LUC-E00-450028-00</v>
          </cell>
          <cell r="F10012">
            <v>3156349486</v>
          </cell>
        </row>
        <row r="10013">
          <cell r="E10013" t="str">
            <v>LUC-E00-450028-00</v>
          </cell>
          <cell r="F10013">
            <v>3156349486</v>
          </cell>
        </row>
        <row r="10014">
          <cell r="E10014" t="str">
            <v>LUC-E00-450028-00</v>
          </cell>
          <cell r="F10014">
            <v>3156349486</v>
          </cell>
        </row>
        <row r="10015">
          <cell r="E10015" t="str">
            <v>LUC-E00-450028-00</v>
          </cell>
          <cell r="F10015">
            <v>3156349486</v>
          </cell>
        </row>
        <row r="10016">
          <cell r="E10016" t="str">
            <v>LUC-E00-450148-01</v>
          </cell>
          <cell r="F10016">
            <v>3156349486</v>
          </cell>
        </row>
        <row r="10017">
          <cell r="E10017" t="str">
            <v>LUC-E00-450028-00</v>
          </cell>
          <cell r="F10017">
            <v>3156349486</v>
          </cell>
        </row>
        <row r="10018">
          <cell r="E10018" t="str">
            <v>LUC-EZZ-421298-00</v>
          </cell>
          <cell r="F10018">
            <v>3156349486</v>
          </cell>
        </row>
        <row r="10019">
          <cell r="E10019" t="str">
            <v>LUC-E00-510021-00</v>
          </cell>
          <cell r="F10019">
            <v>3156349486</v>
          </cell>
        </row>
        <row r="10020">
          <cell r="E10020" t="str">
            <v>LUC-E00-450036-00</v>
          </cell>
          <cell r="F10020">
            <v>3156349486</v>
          </cell>
        </row>
        <row r="10021">
          <cell r="E10021" t="str">
            <v>LUC-E00-470301-00</v>
          </cell>
          <cell r="F10021">
            <v>3156349486</v>
          </cell>
        </row>
        <row r="10022">
          <cell r="E10022" t="str">
            <v>LUC-E00-470122-01</v>
          </cell>
          <cell r="F10022">
            <v>3156349486</v>
          </cell>
        </row>
        <row r="10023">
          <cell r="E10023" t="str">
            <v>LUC-E00-470123-00</v>
          </cell>
          <cell r="F10023">
            <v>3156349486</v>
          </cell>
        </row>
        <row r="10024">
          <cell r="E10024" t="str">
            <v>LUC-E00-470123-00</v>
          </cell>
          <cell r="F10024">
            <v>3156349486</v>
          </cell>
        </row>
        <row r="10025">
          <cell r="E10025" t="str">
            <v>LUC-E00-420037-10</v>
          </cell>
          <cell r="F10025">
            <v>3156349486</v>
          </cell>
        </row>
        <row r="10026">
          <cell r="E10026" t="str">
            <v>LUC-E00-470175-00</v>
          </cell>
          <cell r="F10026">
            <v>3156349486</v>
          </cell>
        </row>
        <row r="10027">
          <cell r="E10027" t="str">
            <v>LUC-E00-510015-00</v>
          </cell>
          <cell r="F10027">
            <v>3156349486</v>
          </cell>
        </row>
        <row r="10028">
          <cell r="E10028" t="str">
            <v>LUC-E00-510015-00</v>
          </cell>
          <cell r="F10028">
            <v>3156349486</v>
          </cell>
        </row>
        <row r="10029">
          <cell r="E10029" t="str">
            <v>LUC-EZZ-420089-00</v>
          </cell>
          <cell r="F10029">
            <v>3156349486</v>
          </cell>
        </row>
        <row r="10030">
          <cell r="E10030" t="str">
            <v>LUC-EZZ-421706-00</v>
          </cell>
          <cell r="F10030">
            <v>3156349486</v>
          </cell>
        </row>
        <row r="10031">
          <cell r="E10031" t="str">
            <v>LUC-EZZ-420089-00</v>
          </cell>
          <cell r="F10031">
            <v>3156349486</v>
          </cell>
        </row>
        <row r="10032">
          <cell r="E10032" t="str">
            <v>LUC-EZZ-420094-00</v>
          </cell>
          <cell r="F10032">
            <v>3156349486</v>
          </cell>
        </row>
        <row r="10033">
          <cell r="E10033" t="str">
            <v>LUC-E00-470089-00</v>
          </cell>
          <cell r="F10033">
            <v>3156349486</v>
          </cell>
        </row>
        <row r="10034">
          <cell r="E10034" t="str">
            <v>LUC-E00-400001-010</v>
          </cell>
          <cell r="F10034">
            <v>3156349486</v>
          </cell>
        </row>
        <row r="10035">
          <cell r="E10035" t="str">
            <v>LUC-E00-470032-00</v>
          </cell>
          <cell r="F10035">
            <v>3156349486</v>
          </cell>
        </row>
        <row r="10036">
          <cell r="E10036" t="str">
            <v>LUC-E00-450043-00</v>
          </cell>
          <cell r="F10036">
            <v>3156349486</v>
          </cell>
        </row>
        <row r="10037">
          <cell r="E10037" t="str">
            <v>LUC-EZZ-510638-00</v>
          </cell>
          <cell r="F10037">
            <v>3156349486</v>
          </cell>
        </row>
        <row r="10038">
          <cell r="E10038" t="str">
            <v>LUC-E00-510037-00</v>
          </cell>
          <cell r="F10038">
            <v>3156349486</v>
          </cell>
        </row>
        <row r="10039">
          <cell r="E10039" t="str">
            <v>LUC-E00-510037-00</v>
          </cell>
          <cell r="F10039">
            <v>3156349486</v>
          </cell>
        </row>
        <row r="10040">
          <cell r="E10040" t="str">
            <v>LUC-E00-480006-00</v>
          </cell>
          <cell r="F10040">
            <v>3156349486</v>
          </cell>
        </row>
        <row r="10041">
          <cell r="E10041" t="str">
            <v>LUC-E00-480006-00</v>
          </cell>
          <cell r="F10041">
            <v>3156349486</v>
          </cell>
        </row>
        <row r="10042">
          <cell r="E10042" t="str">
            <v>LUC-E00-470131-00</v>
          </cell>
          <cell r="F10042">
            <v>3156349486</v>
          </cell>
        </row>
        <row r="10043">
          <cell r="E10043" t="str">
            <v>LUC-E00-470131-00</v>
          </cell>
          <cell r="F10043">
            <v>3156349486</v>
          </cell>
        </row>
        <row r="10044">
          <cell r="E10044" t="str">
            <v>LUC-E00-470131-00</v>
          </cell>
          <cell r="F10044">
            <v>3156349486</v>
          </cell>
        </row>
        <row r="10045">
          <cell r="E10045" t="str">
            <v>LUC-E00-470131-00</v>
          </cell>
          <cell r="F10045">
            <v>3156349486</v>
          </cell>
        </row>
        <row r="10046">
          <cell r="E10046" t="str">
            <v>LUC-E00-470131-00</v>
          </cell>
          <cell r="F10046">
            <v>3156349486</v>
          </cell>
        </row>
        <row r="10047">
          <cell r="E10047" t="str">
            <v>LUC-E00-470131-00</v>
          </cell>
          <cell r="F10047">
            <v>3156349486</v>
          </cell>
        </row>
        <row r="10048">
          <cell r="E10048" t="str">
            <v>LUC-E00-440028-00</v>
          </cell>
          <cell r="F10048">
            <v>3156349486</v>
          </cell>
        </row>
        <row r="10049">
          <cell r="E10049" t="str">
            <v>LUC-EZZ-420345-00</v>
          </cell>
          <cell r="F10049">
            <v>3156349486</v>
          </cell>
        </row>
        <row r="10050">
          <cell r="E10050" t="str">
            <v>LUC-EZZ-420345-00</v>
          </cell>
          <cell r="F10050">
            <v>3156349486</v>
          </cell>
        </row>
        <row r="10051">
          <cell r="E10051" t="str">
            <v>LUC-EZZ-420345-00</v>
          </cell>
          <cell r="F10051">
            <v>3156349486</v>
          </cell>
        </row>
        <row r="10052">
          <cell r="E10052" t="str">
            <v>LUC-E00-510061-01</v>
          </cell>
          <cell r="F10052">
            <v>3156349486</v>
          </cell>
        </row>
        <row r="10053">
          <cell r="E10053" t="str">
            <v>LUC-E00-510061-01</v>
          </cell>
          <cell r="F10053">
            <v>3156349486</v>
          </cell>
        </row>
        <row r="10054">
          <cell r="E10054" t="str">
            <v>LUC-E00-510061-01</v>
          </cell>
          <cell r="F10054">
            <v>3156349486</v>
          </cell>
        </row>
        <row r="10055">
          <cell r="E10055" t="str">
            <v>LUC-E00-510061-01</v>
          </cell>
          <cell r="F10055">
            <v>3156349486</v>
          </cell>
        </row>
        <row r="10056">
          <cell r="E10056" t="str">
            <v>EF-45110875.X.X</v>
          </cell>
          <cell r="F10056">
            <v>3156349486</v>
          </cell>
        </row>
        <row r="10057">
          <cell r="E10057" t="str">
            <v>LUC-E00-470061-00</v>
          </cell>
          <cell r="F10057">
            <v>3156349486</v>
          </cell>
        </row>
        <row r="10058">
          <cell r="E10058" t="str">
            <v>LUC-E00-470060-00</v>
          </cell>
          <cell r="F10058">
            <v>3156349486</v>
          </cell>
        </row>
        <row r="10059">
          <cell r="E10059" t="str">
            <v>LUC-E00-470120-00</v>
          </cell>
          <cell r="F10059">
            <v>3156349486</v>
          </cell>
        </row>
        <row r="10060">
          <cell r="E10060" t="str">
            <v>LUC-E00-470047-00</v>
          </cell>
          <cell r="F10060">
            <v>3156349486</v>
          </cell>
        </row>
        <row r="10061">
          <cell r="E10061" t="str">
            <v>LUC-E00-470343-00</v>
          </cell>
          <cell r="F10061">
            <v>3156349486</v>
          </cell>
        </row>
        <row r="10062">
          <cell r="E10062" t="str">
            <v>LUC-E00-450026-00</v>
          </cell>
          <cell r="F10062">
            <v>3156349486</v>
          </cell>
        </row>
        <row r="10063">
          <cell r="E10063" t="str">
            <v>LUC-E00-450026-00</v>
          </cell>
          <cell r="F10063">
            <v>3156349486</v>
          </cell>
        </row>
        <row r="10064">
          <cell r="E10064" t="str">
            <v>LUC-E00-450026-00</v>
          </cell>
          <cell r="F10064">
            <v>3156349486</v>
          </cell>
        </row>
        <row r="10065">
          <cell r="E10065" t="str">
            <v>LUC-E00-450026-00</v>
          </cell>
          <cell r="F10065">
            <v>3156349486</v>
          </cell>
        </row>
        <row r="10066">
          <cell r="E10066" t="str">
            <v>LUC-E00-450026-00</v>
          </cell>
          <cell r="F10066">
            <v>3156349486</v>
          </cell>
        </row>
        <row r="10067">
          <cell r="E10067" t="str">
            <v>LUC-E00-450026-00</v>
          </cell>
          <cell r="F10067">
            <v>3156349486</v>
          </cell>
        </row>
        <row r="10068">
          <cell r="E10068" t="str">
            <v>LUC-E00-450026-00</v>
          </cell>
          <cell r="F10068">
            <v>3156349486</v>
          </cell>
        </row>
        <row r="10069">
          <cell r="E10069" t="str">
            <v>LUC-E00-450026-00</v>
          </cell>
          <cell r="F10069">
            <v>3156349486</v>
          </cell>
        </row>
        <row r="10070">
          <cell r="E10070" t="str">
            <v>LUC-E00-470049-00</v>
          </cell>
          <cell r="F10070">
            <v>3156349486</v>
          </cell>
        </row>
        <row r="10071">
          <cell r="E10071" t="str">
            <v>LUC-E00-470049-00</v>
          </cell>
          <cell r="F10071">
            <v>3156349486</v>
          </cell>
        </row>
        <row r="10072">
          <cell r="E10072" t="str">
            <v>LUC-E00-470131-00</v>
          </cell>
          <cell r="F10072">
            <v>3156349486</v>
          </cell>
        </row>
        <row r="10073">
          <cell r="E10073" t="str">
            <v>LUC-E00-470379-00</v>
          </cell>
          <cell r="F10073">
            <v>3156349486</v>
          </cell>
        </row>
        <row r="10074">
          <cell r="E10074" t="str">
            <v>LUC-E00-450148-01</v>
          </cell>
          <cell r="F10074">
            <v>3156349486</v>
          </cell>
        </row>
        <row r="10075">
          <cell r="E10075" t="str">
            <v>LUC-E00-400034-118</v>
          </cell>
          <cell r="F10075">
            <v>4711866152</v>
          </cell>
        </row>
        <row r="10076">
          <cell r="E10076" t="str">
            <v>LUC-E00-400067-320</v>
          </cell>
          <cell r="F10076">
            <v>4711866152</v>
          </cell>
        </row>
        <row r="10077">
          <cell r="E10077" t="str">
            <v>PUR-13-0141-00</v>
          </cell>
          <cell r="F10077">
            <v>4711866152</v>
          </cell>
        </row>
        <row r="10078">
          <cell r="E10078" t="str">
            <v>LUC-E00-470389-00</v>
          </cell>
          <cell r="F10078">
            <v>4711866152</v>
          </cell>
        </row>
        <row r="10079">
          <cell r="E10079" t="str">
            <v>LUC-EZZ-420344-00</v>
          </cell>
          <cell r="F10079">
            <v>4711866152</v>
          </cell>
        </row>
        <row r="10080">
          <cell r="E10080" t="str">
            <v>PUR-13-0162-00</v>
          </cell>
          <cell r="F10080">
            <v>4711866152</v>
          </cell>
        </row>
        <row r="10081">
          <cell r="E10081" t="str">
            <v>PUR-13-0154-00</v>
          </cell>
          <cell r="F10081">
            <v>4711866152</v>
          </cell>
        </row>
        <row r="10082">
          <cell r="E10082" t="str">
            <v>LUC-EZZ-420665-00</v>
          </cell>
          <cell r="F10082">
            <v>4711866152</v>
          </cell>
        </row>
        <row r="10083">
          <cell r="E10083" t="str">
            <v>LUC-E00-470389-00</v>
          </cell>
          <cell r="F10083">
            <v>4711866152</v>
          </cell>
        </row>
        <row r="10084">
          <cell r="E10084" t="str">
            <v>LUC-E00-470389-00</v>
          </cell>
          <cell r="F10084">
            <v>4711866152</v>
          </cell>
        </row>
        <row r="10085">
          <cell r="E10085" t="str">
            <v>LUC-EZZ-420200-00</v>
          </cell>
          <cell r="F10085">
            <v>4711866152</v>
          </cell>
        </row>
        <row r="10086">
          <cell r="E10086" t="str">
            <v>LUC-EZZ-420342-00</v>
          </cell>
          <cell r="F10086">
            <v>4711866152</v>
          </cell>
        </row>
        <row r="10087">
          <cell r="E10087" t="str">
            <v>LUC-EZZ-440206-00</v>
          </cell>
          <cell r="F10087">
            <v>4711866152</v>
          </cell>
        </row>
        <row r="10088">
          <cell r="E10088" t="str">
            <v>PUR-27-0019-00</v>
          </cell>
          <cell r="F10088">
            <v>4711866152</v>
          </cell>
        </row>
        <row r="10089">
          <cell r="E10089" t="str">
            <v>LUC-E00-420043-01</v>
          </cell>
          <cell r="F10089">
            <v>4711866152</v>
          </cell>
        </row>
        <row r="10090">
          <cell r="E10090" t="str">
            <v>LUC-E00-420043-01</v>
          </cell>
          <cell r="F10090">
            <v>4711866152</v>
          </cell>
        </row>
        <row r="10091">
          <cell r="E10091" t="str">
            <v>HLOB-13-0001-00</v>
          </cell>
          <cell r="F10091">
            <v>4711866152</v>
          </cell>
        </row>
        <row r="10092">
          <cell r="E10092" t="str">
            <v>PUR-13-0141-00</v>
          </cell>
          <cell r="F10092">
            <v>4711866152</v>
          </cell>
        </row>
        <row r="10093">
          <cell r="E10093" t="str">
            <v>HLOB-13-0001-00</v>
          </cell>
          <cell r="F10093">
            <v>4711866152</v>
          </cell>
        </row>
        <row r="10094">
          <cell r="E10094" t="str">
            <v>LUC-EZZ-420482-00</v>
          </cell>
          <cell r="F10094">
            <v>4711866152</v>
          </cell>
        </row>
        <row r="10095">
          <cell r="E10095" t="str">
            <v>LUC-EZZ-420482-00</v>
          </cell>
          <cell r="F10095">
            <v>4711866152</v>
          </cell>
        </row>
        <row r="10096">
          <cell r="E10096" t="str">
            <v>LUC-E00-440022-00</v>
          </cell>
          <cell r="F10096">
            <v>4711866152</v>
          </cell>
        </row>
        <row r="10097">
          <cell r="E10097" t="str">
            <v>PUR-13-0237-00</v>
          </cell>
          <cell r="F10097">
            <v>4711866152</v>
          </cell>
        </row>
        <row r="10098">
          <cell r="E10098" t="str">
            <v>PURET-13-0119-00</v>
          </cell>
          <cell r="F10098">
            <v>4711866152</v>
          </cell>
        </row>
        <row r="10099">
          <cell r="E10099" t="str">
            <v>PUR-12-0430-00</v>
          </cell>
          <cell r="F10099">
            <v>4711866152</v>
          </cell>
        </row>
        <row r="10100">
          <cell r="E10100" t="str">
            <v>HLOB-13-0119-00</v>
          </cell>
          <cell r="F10100">
            <v>4711866152</v>
          </cell>
        </row>
        <row r="10101">
          <cell r="E10101" t="str">
            <v>PUR-14-0101-00</v>
          </cell>
          <cell r="F10101">
            <v>4711866152</v>
          </cell>
        </row>
        <row r="10102">
          <cell r="E10102" t="str">
            <v>HLOB-09-0417-00</v>
          </cell>
          <cell r="F10102">
            <v>4711866152</v>
          </cell>
        </row>
        <row r="10103">
          <cell r="E10103" t="str">
            <v>LUC-E00-400050-01</v>
          </cell>
          <cell r="F10103">
            <v>4711866152</v>
          </cell>
        </row>
        <row r="10104">
          <cell r="E10104" t="str">
            <v>HLOB-09-0417-00</v>
          </cell>
          <cell r="F10104">
            <v>4711866152</v>
          </cell>
        </row>
        <row r="10105">
          <cell r="E10105" t="str">
            <v>PUR-09-0417-00</v>
          </cell>
          <cell r="F10105">
            <v>4711866152</v>
          </cell>
        </row>
        <row r="10106">
          <cell r="E10106" t="str">
            <v>LUC-E00-470252-00</v>
          </cell>
          <cell r="F10106">
            <v>4711866152</v>
          </cell>
        </row>
        <row r="10107">
          <cell r="E10107" t="str">
            <v>PUR-13-0237-00</v>
          </cell>
          <cell r="F10107">
            <v>4711866152</v>
          </cell>
        </row>
        <row r="10108">
          <cell r="E10108" t="str">
            <v>PURET-13-0119-00</v>
          </cell>
          <cell r="F10108">
            <v>4711866152</v>
          </cell>
        </row>
        <row r="10109">
          <cell r="E10109" t="str">
            <v>PUR-13-0237-00</v>
          </cell>
          <cell r="F10109">
            <v>4711866152</v>
          </cell>
        </row>
        <row r="10110">
          <cell r="E10110" t="str">
            <v>LUC-E00-400067-458</v>
          </cell>
          <cell r="F10110">
            <v>420858945630</v>
          </cell>
        </row>
        <row r="10111">
          <cell r="E10111" t="str">
            <v>PUR-09-0233-00</v>
          </cell>
          <cell r="F10111">
            <v>452730466200</v>
          </cell>
        </row>
        <row r="10112">
          <cell r="E10112" t="str">
            <v>PUR-09-0233-00</v>
          </cell>
          <cell r="F10112">
            <v>452730466200</v>
          </cell>
        </row>
        <row r="10113">
          <cell r="E10113" t="str">
            <v>HLOB-09-0343-00</v>
          </cell>
          <cell r="F10113">
            <v>458476729022</v>
          </cell>
        </row>
        <row r="10114">
          <cell r="E10114" t="str">
            <v>LUC-E00-450060-00</v>
          </cell>
          <cell r="F10114">
            <v>119209611096</v>
          </cell>
        </row>
        <row r="10115">
          <cell r="E10115" t="str">
            <v>EF-45054135.X.X</v>
          </cell>
          <cell r="F10115">
            <v>119209611096</v>
          </cell>
        </row>
        <row r="10116">
          <cell r="E10116" t="str">
            <v>LUC-E00-450039-00</v>
          </cell>
          <cell r="F10116">
            <v>119209611096</v>
          </cell>
        </row>
        <row r="10117">
          <cell r="E10117" t="str">
            <v>HLOB-09-0427-00</v>
          </cell>
          <cell r="F10117">
            <v>119209611096</v>
          </cell>
        </row>
        <row r="10118">
          <cell r="E10118" t="str">
            <v>HLOB-09-0427-00</v>
          </cell>
          <cell r="F10118">
            <v>119209611096</v>
          </cell>
        </row>
        <row r="10119">
          <cell r="E10119" t="str">
            <v>HLOB-09-0427-00</v>
          </cell>
          <cell r="F10119">
            <v>119209611096</v>
          </cell>
        </row>
        <row r="10120">
          <cell r="E10120" t="str">
            <v>PUR-09-0427-00</v>
          </cell>
          <cell r="F10120">
            <v>119209611096</v>
          </cell>
        </row>
        <row r="10121">
          <cell r="E10121" t="str">
            <v>PUR-09-0427-00</v>
          </cell>
          <cell r="F10121">
            <v>119209611096</v>
          </cell>
        </row>
        <row r="10122">
          <cell r="E10122" t="str">
            <v>PUR-09-0427-00</v>
          </cell>
          <cell r="F10122">
            <v>119209611096</v>
          </cell>
        </row>
        <row r="10123">
          <cell r="E10123" t="str">
            <v>PUR-09-0427-00</v>
          </cell>
          <cell r="F10123">
            <v>119209611096</v>
          </cell>
        </row>
        <row r="10124">
          <cell r="E10124" t="str">
            <v>LUC-EZZ-400209-00</v>
          </cell>
          <cell r="F10124">
            <v>119209611096</v>
          </cell>
        </row>
        <row r="10125">
          <cell r="E10125" t="str">
            <v>LUC-EZZ-400210-00</v>
          </cell>
          <cell r="F10125">
            <v>119209611096</v>
          </cell>
        </row>
        <row r="10126">
          <cell r="E10126" t="str">
            <v>PUR-24-0028-00</v>
          </cell>
          <cell r="F10126">
            <v>119209611096</v>
          </cell>
        </row>
        <row r="10127">
          <cell r="E10127" t="str">
            <v>PUR-24-0028-00</v>
          </cell>
          <cell r="F10127">
            <v>119209611096</v>
          </cell>
        </row>
        <row r="10128">
          <cell r="E10128" t="str">
            <v>PUR-24-0028-00</v>
          </cell>
          <cell r="F10128">
            <v>119209611096</v>
          </cell>
        </row>
        <row r="10129">
          <cell r="E10129" t="str">
            <v>HLOB-24-0002-00</v>
          </cell>
          <cell r="F10129">
            <v>119209611096</v>
          </cell>
        </row>
        <row r="10130">
          <cell r="E10130" t="str">
            <v>HLOB-24-0002-00</v>
          </cell>
          <cell r="F10130">
            <v>119209611096</v>
          </cell>
        </row>
        <row r="10131">
          <cell r="E10131" t="str">
            <v>LUC-EZZ-690244-00</v>
          </cell>
          <cell r="F10131">
            <v>390354316469</v>
          </cell>
        </row>
        <row r="10132">
          <cell r="E10132" t="str">
            <v>LUC-E00-470069-00</v>
          </cell>
          <cell r="F10132">
            <v>445170459903</v>
          </cell>
        </row>
        <row r="10133">
          <cell r="E10133" t="str">
            <v>LUC-E00-400010-016</v>
          </cell>
          <cell r="F10133">
            <v>445170456937</v>
          </cell>
        </row>
        <row r="10134">
          <cell r="E10134" t="str">
            <v>LUC-E00-460007-00</v>
          </cell>
          <cell r="F10134">
            <v>445170460024</v>
          </cell>
        </row>
        <row r="10135">
          <cell r="E10135" t="str">
            <v>PUR-03-0038-00</v>
          </cell>
          <cell r="F10135">
            <v>882431414569</v>
          </cell>
        </row>
        <row r="10136">
          <cell r="E10136" t="str">
            <v>PUR-03-0038-00</v>
          </cell>
          <cell r="F10136">
            <v>882431414569</v>
          </cell>
        </row>
        <row r="10137">
          <cell r="E10137" t="str">
            <v>PUR-09-0256-00</v>
          </cell>
          <cell r="F10137">
            <v>464233921193</v>
          </cell>
        </row>
        <row r="10138">
          <cell r="E10138" t="str">
            <v>LUC-E00-510014-00</v>
          </cell>
          <cell r="F10138">
            <v>464233921193</v>
          </cell>
        </row>
        <row r="10139">
          <cell r="E10139" t="str">
            <v>LUC-E00-400067-211</v>
          </cell>
          <cell r="F10139">
            <v>9908218191</v>
          </cell>
        </row>
        <row r="10140">
          <cell r="E10140" t="str">
            <v>LUC-EZZ-400629-00</v>
          </cell>
          <cell r="F10140">
            <v>9908218191</v>
          </cell>
        </row>
        <row r="10141">
          <cell r="E10141" t="str">
            <v>LUC-E00-400047-00</v>
          </cell>
          <cell r="F10141">
            <v>9908218191</v>
          </cell>
        </row>
        <row r="10142">
          <cell r="E10142" t="str">
            <v>LUC-E00-400192-00</v>
          </cell>
          <cell r="F10142">
            <v>9908218191</v>
          </cell>
        </row>
        <row r="10143">
          <cell r="E10143" t="str">
            <v>LUC-E00-400047-00</v>
          </cell>
          <cell r="F10143">
            <v>9908218191</v>
          </cell>
        </row>
        <row r="10144">
          <cell r="E10144" t="str">
            <v>LUC-EZZ-400245-00</v>
          </cell>
          <cell r="F10144">
            <v>9908218191</v>
          </cell>
        </row>
        <row r="10145">
          <cell r="E10145" t="str">
            <v>LUC-EZZ-400334-00</v>
          </cell>
          <cell r="F10145">
            <v>9908218191</v>
          </cell>
        </row>
        <row r="10146">
          <cell r="E10146" t="str">
            <v>LUC-EZZ-400225-00</v>
          </cell>
          <cell r="F10146">
            <v>9908218191</v>
          </cell>
        </row>
        <row r="10147">
          <cell r="E10147" t="str">
            <v>LUC-EZZ-400485-00</v>
          </cell>
          <cell r="F10147">
            <v>9908218191</v>
          </cell>
        </row>
        <row r="10148">
          <cell r="E10148" t="str">
            <v>LUC-E00-400067-207</v>
          </cell>
          <cell r="F10148">
            <v>9908218191</v>
          </cell>
        </row>
        <row r="10149">
          <cell r="E10149" t="str">
            <v>LUC-EZZ-400205-00</v>
          </cell>
          <cell r="F10149">
            <v>9908218191</v>
          </cell>
        </row>
        <row r="10150">
          <cell r="E10150" t="str">
            <v>PUR-12-0524-00</v>
          </cell>
          <cell r="F10150">
            <v>9908218191</v>
          </cell>
        </row>
        <row r="10151">
          <cell r="E10151" t="str">
            <v>LUC-EZZ-400342-00</v>
          </cell>
          <cell r="F10151">
            <v>9908218191</v>
          </cell>
        </row>
        <row r="10152">
          <cell r="E10152" t="str">
            <v>LUC-E00-400010-020</v>
          </cell>
          <cell r="F10152">
            <v>9908218191</v>
          </cell>
        </row>
        <row r="10153">
          <cell r="E10153" t="str">
            <v>HLOB-11-0104-06</v>
          </cell>
          <cell r="F10153" t="str">
            <v>PSHPH2560139</v>
          </cell>
        </row>
        <row r="10154">
          <cell r="E10154" t="str">
            <v>HLOB-11-0104-06</v>
          </cell>
          <cell r="F10154" t="str">
            <v>PSHPH2560139</v>
          </cell>
        </row>
        <row r="10155">
          <cell r="E10155" t="str">
            <v>HLOB-11-0104-06</v>
          </cell>
          <cell r="F10155" t="str">
            <v>PSHPH2560139</v>
          </cell>
        </row>
        <row r="10156">
          <cell r="E10156" t="str">
            <v>HLOB-11-0104-06</v>
          </cell>
          <cell r="F10156" t="str">
            <v>PSHPH2560139</v>
          </cell>
        </row>
        <row r="10157">
          <cell r="E10157" t="str">
            <v>HLOB-11-0104-06</v>
          </cell>
          <cell r="F10157" t="str">
            <v>PSHPH2560139</v>
          </cell>
        </row>
        <row r="10158">
          <cell r="E10158" t="str">
            <v>HLOB-11-0104-06</v>
          </cell>
          <cell r="F10158" t="str">
            <v>PSHPH2560139</v>
          </cell>
        </row>
        <row r="10159">
          <cell r="E10159" t="str">
            <v>HLOB-11-0104-06</v>
          </cell>
          <cell r="F10159" t="str">
            <v>PSHPH2560139</v>
          </cell>
        </row>
        <row r="10160">
          <cell r="E10160" t="str">
            <v>LUC-P11-J36100-03</v>
          </cell>
          <cell r="F10160">
            <v>619345515726</v>
          </cell>
        </row>
        <row r="10161">
          <cell r="E10161" t="str">
            <v>HLOB-09-0477-00</v>
          </cell>
          <cell r="F10161">
            <v>426080012881</v>
          </cell>
        </row>
        <row r="10162">
          <cell r="E10162" t="str">
            <v>PUR-12-0482-00</v>
          </cell>
          <cell r="F10162">
            <v>426080012881</v>
          </cell>
        </row>
        <row r="10163">
          <cell r="E10163" t="str">
            <v>HLOB-09-0477-00</v>
          </cell>
          <cell r="F10163">
            <v>426080012881</v>
          </cell>
        </row>
        <row r="10164">
          <cell r="E10164" t="str">
            <v>HLOB-13-0159-00</v>
          </cell>
          <cell r="F10164">
            <v>426080012881</v>
          </cell>
        </row>
        <row r="10165">
          <cell r="E10165" t="str">
            <v>PUR-12-0271-00</v>
          </cell>
          <cell r="F10165">
            <v>426080012881</v>
          </cell>
        </row>
        <row r="10166">
          <cell r="E10166" t="str">
            <v>PUR-09-0434-00</v>
          </cell>
          <cell r="F10166">
            <v>426080012881</v>
          </cell>
        </row>
        <row r="10167">
          <cell r="E10167" t="str">
            <v>PURC-03-0104-02</v>
          </cell>
          <cell r="F10167">
            <v>426080012881</v>
          </cell>
        </row>
        <row r="10168">
          <cell r="E10168" t="str">
            <v>LUC-E00-400010-008</v>
          </cell>
          <cell r="F10168">
            <v>390541411086</v>
          </cell>
        </row>
        <row r="10169">
          <cell r="E10169" t="str">
            <v>122-000735.X.X</v>
          </cell>
          <cell r="F10169">
            <v>423264383150</v>
          </cell>
        </row>
        <row r="10170">
          <cell r="E10170" t="str">
            <v>LUC-E00-420037-01</v>
          </cell>
          <cell r="F10170">
            <v>423264383150</v>
          </cell>
        </row>
        <row r="10171">
          <cell r="E10171" t="str">
            <v>PUR-12-0522-00</v>
          </cell>
          <cell r="F10171">
            <v>423264383150</v>
          </cell>
        </row>
        <row r="10172">
          <cell r="E10172" t="str">
            <v>HLOB-12-0212-00</v>
          </cell>
          <cell r="F10172">
            <v>423264383150</v>
          </cell>
        </row>
        <row r="10173">
          <cell r="E10173" t="str">
            <v>PUR-12-0414-00</v>
          </cell>
          <cell r="F10173">
            <v>423264383150</v>
          </cell>
        </row>
        <row r="10174">
          <cell r="E10174" t="str">
            <v>HLOB-13-0001-00</v>
          </cell>
          <cell r="F10174">
            <v>423264383150</v>
          </cell>
        </row>
        <row r="10175">
          <cell r="E10175" t="str">
            <v>PURET-13-0042-00</v>
          </cell>
          <cell r="F10175">
            <v>423264383150</v>
          </cell>
        </row>
        <row r="10176">
          <cell r="E10176" t="str">
            <v>HLOB-13-0226-00</v>
          </cell>
          <cell r="F10176">
            <v>423264383150</v>
          </cell>
        </row>
        <row r="10177">
          <cell r="E10177" t="str">
            <v>HLOB-13-0226-00</v>
          </cell>
          <cell r="F10177">
            <v>423264383150</v>
          </cell>
        </row>
        <row r="10178">
          <cell r="E10178" t="str">
            <v>122-000673.X.X</v>
          </cell>
          <cell r="F10178">
            <v>423264383150</v>
          </cell>
        </row>
        <row r="10179">
          <cell r="E10179" t="str">
            <v>122-000673.X.X</v>
          </cell>
          <cell r="F10179">
            <v>423264383150</v>
          </cell>
        </row>
        <row r="10180">
          <cell r="E10180" t="str">
            <v>LUC-EZZ-470421-00</v>
          </cell>
          <cell r="F10180">
            <v>390632636933</v>
          </cell>
        </row>
        <row r="10181">
          <cell r="E10181" t="str">
            <v>HLOB-09-0294-00</v>
          </cell>
          <cell r="F10181">
            <v>390632636933</v>
          </cell>
        </row>
        <row r="10182">
          <cell r="E10182" t="str">
            <v>LUC-E00-470093-00</v>
          </cell>
          <cell r="F10182">
            <v>390632636933</v>
          </cell>
        </row>
        <row r="10183">
          <cell r="E10183" t="str">
            <v>LUC-E00-470086-00</v>
          </cell>
          <cell r="F10183">
            <v>445170462108</v>
          </cell>
        </row>
        <row r="10184">
          <cell r="E10184" t="str">
            <v>LUC-E00-470127-00</v>
          </cell>
          <cell r="F10184">
            <v>445170462428</v>
          </cell>
        </row>
        <row r="10185">
          <cell r="E10185" t="str">
            <v>LUC-EZZ-470422-00</v>
          </cell>
          <cell r="F10185">
            <v>445170462520</v>
          </cell>
        </row>
        <row r="10186">
          <cell r="E10186" t="str">
            <v>LUC-E00-470413-01</v>
          </cell>
          <cell r="F10186">
            <v>445170462634</v>
          </cell>
        </row>
        <row r="10187">
          <cell r="E10187" t="str">
            <v>PUR-09-0213-00</v>
          </cell>
          <cell r="F10187">
            <v>445170462645</v>
          </cell>
        </row>
        <row r="10188">
          <cell r="E10188" t="str">
            <v>HLOB-09-0324-00</v>
          </cell>
          <cell r="F10188">
            <v>445170462862</v>
          </cell>
        </row>
        <row r="10189">
          <cell r="E10189" t="str">
            <v>PUR-09-0213-00</v>
          </cell>
          <cell r="F10189">
            <v>445170462656</v>
          </cell>
        </row>
        <row r="10190">
          <cell r="E10190" t="str">
            <v>LUC-EZZ-400226-00</v>
          </cell>
          <cell r="F10190">
            <v>467735313264</v>
          </cell>
        </row>
        <row r="10191">
          <cell r="E10191" t="str">
            <v>122-003229</v>
          </cell>
          <cell r="F10191">
            <v>448135831379</v>
          </cell>
        </row>
        <row r="10192">
          <cell r="E10192" t="str">
            <v>124-002722</v>
          </cell>
          <cell r="F10192">
            <v>448135831379</v>
          </cell>
        </row>
        <row r="10193">
          <cell r="E10193" t="str">
            <v>121-005732</v>
          </cell>
          <cell r="F10193">
            <v>448135831379</v>
          </cell>
        </row>
        <row r="10194">
          <cell r="E10194" t="str">
            <v>124-002723</v>
          </cell>
          <cell r="F10194">
            <v>448135831379</v>
          </cell>
        </row>
        <row r="10195">
          <cell r="E10195" t="str">
            <v>168-001155</v>
          </cell>
          <cell r="F10195">
            <v>448135831379</v>
          </cell>
        </row>
        <row r="10196">
          <cell r="E10196" t="str">
            <v>LUC-E00-400243-00</v>
          </cell>
          <cell r="F10196">
            <v>448135831379</v>
          </cell>
        </row>
        <row r="10197">
          <cell r="E10197" t="str">
            <v>LUC-EZZ-400425-00</v>
          </cell>
          <cell r="F10197">
            <v>448135831379</v>
          </cell>
        </row>
        <row r="10198">
          <cell r="E10198" t="str">
            <v>LUC-EZZ-400162-00</v>
          </cell>
          <cell r="F10198">
            <v>448135831379</v>
          </cell>
        </row>
        <row r="10199">
          <cell r="E10199" t="str">
            <v>LUC-P11-K41D00-01</v>
          </cell>
          <cell r="F10199">
            <v>448135831379</v>
          </cell>
        </row>
        <row r="10200">
          <cell r="E10200" t="str">
            <v>LUC-E00-690003-00</v>
          </cell>
          <cell r="F10200">
            <v>448135831379</v>
          </cell>
        </row>
        <row r="10201">
          <cell r="E10201" t="str">
            <v>LUC-EZZ-440204-00</v>
          </cell>
          <cell r="F10201">
            <v>448135831379</v>
          </cell>
        </row>
        <row r="10202">
          <cell r="E10202" t="str">
            <v>LUC-EZZ-400117-00</v>
          </cell>
          <cell r="F10202">
            <v>448135831379</v>
          </cell>
        </row>
        <row r="10203">
          <cell r="E10203" t="str">
            <v>EF-45079903.X.X</v>
          </cell>
          <cell r="F10203">
            <v>420225801044</v>
          </cell>
        </row>
        <row r="10204">
          <cell r="E10204" t="str">
            <v>AIC-MP-00000165-000</v>
          </cell>
          <cell r="F10204">
            <v>882426244247</v>
          </cell>
        </row>
        <row r="10205">
          <cell r="E10205" t="str">
            <v>AIC-MP-00005857-000</v>
          </cell>
          <cell r="F10205">
            <v>882426244247</v>
          </cell>
        </row>
        <row r="10206">
          <cell r="E10206" t="str">
            <v>AIC-MP-00006105-000</v>
          </cell>
          <cell r="F10206">
            <v>882432145143</v>
          </cell>
        </row>
        <row r="10207">
          <cell r="E10207" t="str">
            <v>AIC-MP-00005093-000</v>
          </cell>
          <cell r="F10207">
            <v>882432145143</v>
          </cell>
        </row>
        <row r="10208">
          <cell r="E10208" t="str">
            <v>PUR-03-0038-00</v>
          </cell>
          <cell r="F10208">
            <v>882460499108</v>
          </cell>
        </row>
        <row r="10209">
          <cell r="E10209" t="str">
            <v>LUC-EZZ-400359-00</v>
          </cell>
          <cell r="F10209">
            <v>467392593089</v>
          </cell>
        </row>
        <row r="10210">
          <cell r="E10210" t="str">
            <v>LUC-EZZ-510106-00</v>
          </cell>
          <cell r="F10210">
            <v>467392593089</v>
          </cell>
        </row>
        <row r="10211">
          <cell r="E10211" t="str">
            <v>AIC-MP-00002151-000</v>
          </cell>
          <cell r="F10211">
            <v>467392593089</v>
          </cell>
        </row>
        <row r="10212">
          <cell r="E10212" t="str">
            <v>AIC-MP-ID003773-S01</v>
          </cell>
          <cell r="F10212">
            <v>467392593089</v>
          </cell>
        </row>
        <row r="10213">
          <cell r="E10213" t="str">
            <v>LUC-E00-400035-06</v>
          </cell>
          <cell r="F10213">
            <v>467392593089</v>
          </cell>
        </row>
        <row r="10214">
          <cell r="E10214" t="str">
            <v>AIC-MP-IC005391-S01</v>
          </cell>
          <cell r="F10214">
            <v>467392593089</v>
          </cell>
        </row>
        <row r="10215">
          <cell r="E10215" t="str">
            <v>LUC-P11-K41D00-01</v>
          </cell>
          <cell r="F10215">
            <v>467392593089</v>
          </cell>
        </row>
        <row r="10216">
          <cell r="E10216" t="str">
            <v>LUC-E00-400020-000</v>
          </cell>
          <cell r="F10216">
            <v>467392593089</v>
          </cell>
        </row>
        <row r="10217">
          <cell r="E10217" t="str">
            <v>AIC-MP-00006746-000</v>
          </cell>
          <cell r="F10217">
            <v>467392593089</v>
          </cell>
        </row>
        <row r="10218">
          <cell r="E10218" t="str">
            <v>LUC-E00-420071-00</v>
          </cell>
          <cell r="F10218">
            <v>467735293383</v>
          </cell>
        </row>
        <row r="10219">
          <cell r="E10219" t="str">
            <v>EF-45224843</v>
          </cell>
          <cell r="F10219">
            <v>420225801066</v>
          </cell>
        </row>
        <row r="10220">
          <cell r="E10220" t="str">
            <v>LUC-E00-400012-19</v>
          </cell>
          <cell r="F10220">
            <v>4711867060</v>
          </cell>
        </row>
        <row r="10221">
          <cell r="E10221" t="str">
            <v>EF-45058007.X.X</v>
          </cell>
          <cell r="F10221">
            <v>4711867060</v>
          </cell>
        </row>
        <row r="10222">
          <cell r="E10222" t="str">
            <v>LUC-E00-420045-00</v>
          </cell>
          <cell r="F10222">
            <v>4711867060</v>
          </cell>
        </row>
        <row r="10223">
          <cell r="E10223" t="str">
            <v>LUC-E00-450041-00</v>
          </cell>
          <cell r="F10223">
            <v>4711867060</v>
          </cell>
        </row>
        <row r="10224">
          <cell r="E10224" t="str">
            <v>LUC-E00-450041-00</v>
          </cell>
          <cell r="F10224">
            <v>4711867060</v>
          </cell>
        </row>
        <row r="10225">
          <cell r="E10225" t="str">
            <v>LUC-E00-450041-00</v>
          </cell>
          <cell r="F10225">
            <v>4711867060</v>
          </cell>
        </row>
        <row r="10226">
          <cell r="E10226" t="str">
            <v>LUC-E00-400075-00</v>
          </cell>
          <cell r="F10226">
            <v>4711867060</v>
          </cell>
        </row>
        <row r="10227">
          <cell r="E10227" t="str">
            <v>LUC-E00-400075-00</v>
          </cell>
          <cell r="F10227">
            <v>4711867060</v>
          </cell>
        </row>
        <row r="10228">
          <cell r="E10228" t="str">
            <v>LUC-E00-400075-00</v>
          </cell>
          <cell r="F10228">
            <v>4711867060</v>
          </cell>
        </row>
        <row r="10229">
          <cell r="E10229" t="str">
            <v>LUC-E00-400075-00</v>
          </cell>
          <cell r="F10229">
            <v>4711867060</v>
          </cell>
        </row>
        <row r="10230">
          <cell r="E10230" t="str">
            <v>AIC-122-004364</v>
          </cell>
          <cell r="F10230">
            <v>4711867060</v>
          </cell>
        </row>
        <row r="10231">
          <cell r="E10231" t="str">
            <v>AIC-122-004364</v>
          </cell>
          <cell r="F10231">
            <v>4711867060</v>
          </cell>
        </row>
        <row r="10232">
          <cell r="E10232" t="str">
            <v>LUC-E00-420045-01</v>
          </cell>
          <cell r="F10232">
            <v>4711867060</v>
          </cell>
        </row>
        <row r="10233">
          <cell r="E10233" t="str">
            <v>LUC-E00-420045-01</v>
          </cell>
          <cell r="F10233">
            <v>4711867060</v>
          </cell>
        </row>
        <row r="10234">
          <cell r="E10234" t="str">
            <v>LUC-E00-420045-01</v>
          </cell>
          <cell r="F10234">
            <v>4711867060</v>
          </cell>
        </row>
        <row r="10235">
          <cell r="E10235" t="str">
            <v>LUC-EZZ-400297-00</v>
          </cell>
          <cell r="F10235">
            <v>4711867060</v>
          </cell>
        </row>
        <row r="10236">
          <cell r="E10236" t="str">
            <v>LUC-EZZ-400297-00</v>
          </cell>
          <cell r="F10236">
            <v>4711867060</v>
          </cell>
        </row>
        <row r="10237">
          <cell r="E10237" t="str">
            <v>LUC-E00-470074-00</v>
          </cell>
          <cell r="F10237">
            <v>4711867060</v>
          </cell>
        </row>
        <row r="10238">
          <cell r="E10238" t="str">
            <v>PUR-13-0153-00</v>
          </cell>
          <cell r="F10238">
            <v>4711867060</v>
          </cell>
        </row>
        <row r="10239">
          <cell r="E10239" t="str">
            <v>LUC-E00-400012-02</v>
          </cell>
          <cell r="F10239">
            <v>4711867060</v>
          </cell>
        </row>
        <row r="10240">
          <cell r="E10240" t="str">
            <v>LUC-EZZ-400078-00</v>
          </cell>
          <cell r="F10240">
            <v>4711867060</v>
          </cell>
        </row>
        <row r="10241">
          <cell r="E10241" t="str">
            <v>LUC-E00-400012-17</v>
          </cell>
          <cell r="F10241">
            <v>4711867060</v>
          </cell>
        </row>
        <row r="10242">
          <cell r="E10242" t="str">
            <v>LUC-E00-400012-001</v>
          </cell>
          <cell r="F10242">
            <v>4711867060</v>
          </cell>
        </row>
        <row r="10243">
          <cell r="E10243" t="str">
            <v>LUC-E00-400012-03</v>
          </cell>
          <cell r="F10243">
            <v>4711867060</v>
          </cell>
        </row>
        <row r="10244">
          <cell r="E10244" t="str">
            <v>LUC-E00-400012-10</v>
          </cell>
          <cell r="F10244">
            <v>4711867060</v>
          </cell>
        </row>
        <row r="10245">
          <cell r="E10245" t="str">
            <v>LUC-E00-400012-17</v>
          </cell>
          <cell r="F10245">
            <v>4711867060</v>
          </cell>
        </row>
        <row r="10246">
          <cell r="E10246" t="str">
            <v>LUC-E00-420020-08</v>
          </cell>
          <cell r="F10246">
            <v>4711867060</v>
          </cell>
        </row>
        <row r="10247">
          <cell r="E10247" t="str">
            <v>LUC-E00-420038-01</v>
          </cell>
          <cell r="F10247">
            <v>4711867060</v>
          </cell>
        </row>
        <row r="10248">
          <cell r="E10248" t="str">
            <v>LUC-EZZ-421242-00</v>
          </cell>
          <cell r="F10248">
            <v>4711867060</v>
          </cell>
        </row>
        <row r="10249">
          <cell r="E10249" t="str">
            <v>LUC-EZZ-400207-00</v>
          </cell>
          <cell r="F10249">
            <v>9908218541</v>
          </cell>
        </row>
        <row r="10250">
          <cell r="E10250" t="str">
            <v>LUC-E00-400010-000</v>
          </cell>
          <cell r="F10250" t="str">
            <v>1Z75A9570473121230</v>
          </cell>
        </row>
        <row r="10251">
          <cell r="E10251" t="str">
            <v>LUC-EZZ-450070-00</v>
          </cell>
          <cell r="F10251" t="str">
            <v>TXGHPHK25704</v>
          </cell>
        </row>
        <row r="10252">
          <cell r="E10252" t="str">
            <v>LUC-EZZ-420191-00</v>
          </cell>
          <cell r="F10252" t="str">
            <v>TXGHPHK25704</v>
          </cell>
        </row>
        <row r="10253">
          <cell r="E10253" t="str">
            <v>LUC-EZZ-400253-00</v>
          </cell>
          <cell r="F10253" t="str">
            <v>TXGHPHK25704</v>
          </cell>
        </row>
        <row r="10254">
          <cell r="E10254" t="str">
            <v>LUC-EZZ-440078-01</v>
          </cell>
          <cell r="F10254" t="str">
            <v>TXGHPHK25704</v>
          </cell>
        </row>
        <row r="10255">
          <cell r="E10255" t="str">
            <v>LUC-EZZ-470208-00</v>
          </cell>
          <cell r="F10255" t="str">
            <v>TXGHPHK25704</v>
          </cell>
        </row>
        <row r="10256">
          <cell r="E10256" t="str">
            <v>LUC-EZZ-450093-00</v>
          </cell>
          <cell r="F10256" t="str">
            <v>TXGHPHK25704</v>
          </cell>
        </row>
        <row r="10257">
          <cell r="E10257" t="str">
            <v>LUC-EZZ-450093-00</v>
          </cell>
          <cell r="F10257" t="str">
            <v>TXGHPHK25704</v>
          </cell>
        </row>
        <row r="10258">
          <cell r="E10258" t="str">
            <v>LUC-EZZ-450093-00</v>
          </cell>
          <cell r="F10258" t="str">
            <v>TXGHPHK25704</v>
          </cell>
        </row>
        <row r="10259">
          <cell r="E10259" t="str">
            <v>LUC-EZZ-520011-00</v>
          </cell>
          <cell r="F10259" t="str">
            <v>TXGHPHK25704</v>
          </cell>
        </row>
        <row r="10260">
          <cell r="E10260" t="str">
            <v>LUC-EZZ-451660-00</v>
          </cell>
          <cell r="F10260" t="str">
            <v>TXGHPHK25704</v>
          </cell>
        </row>
        <row r="10261">
          <cell r="E10261" t="str">
            <v>LUC-P11-K41F00-00</v>
          </cell>
          <cell r="F10261" t="str">
            <v>TXGHPHK25704</v>
          </cell>
        </row>
        <row r="10262">
          <cell r="E10262" t="str">
            <v>LUC-EZZ-690708-00</v>
          </cell>
          <cell r="F10262" t="str">
            <v>TXGHPHK25704</v>
          </cell>
        </row>
        <row r="10263">
          <cell r="E10263" t="str">
            <v>LUC-E00-690062-01</v>
          </cell>
          <cell r="F10263" t="str">
            <v>TXGHPHK25704</v>
          </cell>
        </row>
        <row r="10264">
          <cell r="E10264" t="str">
            <v>LUC-P11-K41F00-00</v>
          </cell>
          <cell r="F10264" t="str">
            <v>TXGHPHK25704</v>
          </cell>
        </row>
        <row r="10265">
          <cell r="E10265" t="str">
            <v>LUC-P11-K41F00-00</v>
          </cell>
          <cell r="F10265" t="str">
            <v>TXGHPHK25704</v>
          </cell>
        </row>
        <row r="10266">
          <cell r="E10266" t="str">
            <v>LUC-EZZ-450019-00</v>
          </cell>
          <cell r="F10266" t="str">
            <v>TXGHPHK25704</v>
          </cell>
        </row>
        <row r="10267">
          <cell r="E10267" t="str">
            <v>LUC-EZZ-470152-01</v>
          </cell>
          <cell r="F10267" t="str">
            <v>TXGHPHK25704</v>
          </cell>
        </row>
        <row r="10268">
          <cell r="E10268" t="str">
            <v>LUC-EZZ-470152-01</v>
          </cell>
          <cell r="F10268" t="str">
            <v>TXGHPHK25704</v>
          </cell>
        </row>
        <row r="10269">
          <cell r="E10269" t="str">
            <v>LUC-EZZ-470091-00</v>
          </cell>
          <cell r="F10269" t="str">
            <v>TXGHPHK25704</v>
          </cell>
        </row>
        <row r="10270">
          <cell r="E10270" t="str">
            <v>LUC-EZZ-450053-00</v>
          </cell>
          <cell r="F10270" t="str">
            <v>TXGHPHK25704</v>
          </cell>
        </row>
        <row r="10271">
          <cell r="E10271" t="str">
            <v>LUC-EZZ-450053-00</v>
          </cell>
          <cell r="F10271" t="str">
            <v>TXGHPHK25704</v>
          </cell>
        </row>
        <row r="10272">
          <cell r="E10272" t="str">
            <v>LUC-EZZ-400468-00</v>
          </cell>
          <cell r="F10272" t="str">
            <v>TXGHPHK25704</v>
          </cell>
        </row>
        <row r="10273">
          <cell r="E10273" t="str">
            <v>LUC-EZZ-400625-00</v>
          </cell>
          <cell r="F10273" t="str">
            <v>TXGHPHK25704</v>
          </cell>
        </row>
        <row r="10274">
          <cell r="E10274" t="str">
            <v>LUC-EZZ-471621-00</v>
          </cell>
          <cell r="F10274" t="str">
            <v>TXGHPHK25704</v>
          </cell>
        </row>
        <row r="10275">
          <cell r="E10275" t="str">
            <v>LUC-EZZ-510007-00</v>
          </cell>
          <cell r="F10275" t="str">
            <v>TXGHPHK25704</v>
          </cell>
        </row>
        <row r="10276">
          <cell r="E10276" t="str">
            <v>LUC-EZZ-480893-00</v>
          </cell>
          <cell r="F10276" t="str">
            <v>TXGHPHK25704</v>
          </cell>
        </row>
        <row r="10277">
          <cell r="E10277" t="str">
            <v>LUC-EZZ-420179-00</v>
          </cell>
          <cell r="F10277" t="str">
            <v>TXGHPHK25704</v>
          </cell>
        </row>
        <row r="10278">
          <cell r="E10278" t="str">
            <v>LUC-EZZ-401719-00</v>
          </cell>
          <cell r="F10278" t="str">
            <v>TXGHPHK25704</v>
          </cell>
        </row>
        <row r="10279">
          <cell r="E10279" t="str">
            <v>LUC-EZZ-400570-00</v>
          </cell>
          <cell r="F10279" t="str">
            <v>TXGHPHK25704</v>
          </cell>
        </row>
        <row r="10280">
          <cell r="E10280" t="str">
            <v>LUC-EZZ-401725-00</v>
          </cell>
          <cell r="F10280" t="str">
            <v>TXGHPHK25704</v>
          </cell>
        </row>
        <row r="10281">
          <cell r="E10281" t="str">
            <v>LUC-EZZ-401610-00</v>
          </cell>
          <cell r="F10281" t="str">
            <v>TXGHPHK25704</v>
          </cell>
        </row>
        <row r="10282">
          <cell r="E10282" t="str">
            <v>LUC-EZZ-400702-00</v>
          </cell>
          <cell r="F10282" t="str">
            <v>TXGHPHK25704</v>
          </cell>
        </row>
        <row r="10283">
          <cell r="E10283" t="str">
            <v>LUC-EZZ-400433-00</v>
          </cell>
          <cell r="F10283" t="str">
            <v>TXGHPHK25704</v>
          </cell>
        </row>
        <row r="10284">
          <cell r="E10284" t="str">
            <v>LUC-EZZ-400433-00</v>
          </cell>
          <cell r="F10284" t="str">
            <v>TXGHPHK25704</v>
          </cell>
        </row>
        <row r="10285">
          <cell r="E10285" t="str">
            <v>LUC-EZZ-401043-00</v>
          </cell>
          <cell r="F10285" t="str">
            <v>TXGHPHK25704</v>
          </cell>
        </row>
        <row r="10286">
          <cell r="E10286" t="str">
            <v>LUC-EZZ-401043-00</v>
          </cell>
          <cell r="F10286" t="str">
            <v>TXGHPHK25704</v>
          </cell>
        </row>
        <row r="10287">
          <cell r="E10287" t="str">
            <v>LUC-EZZ-401043-00</v>
          </cell>
          <cell r="F10287" t="str">
            <v>TXGHPHK25704</v>
          </cell>
        </row>
        <row r="10288">
          <cell r="E10288" t="str">
            <v>LUC-EZZ-400455-00</v>
          </cell>
          <cell r="F10288" t="str">
            <v>TXGHPHK25704</v>
          </cell>
        </row>
        <row r="10289">
          <cell r="E10289" t="str">
            <v>LUC-EZZ-400554-00</v>
          </cell>
          <cell r="F10289" t="str">
            <v>TXGHPHK25704</v>
          </cell>
        </row>
        <row r="10290">
          <cell r="E10290" t="str">
            <v>LUC-EZZ-400554-00</v>
          </cell>
          <cell r="F10290" t="str">
            <v>TXGHPHK25704</v>
          </cell>
        </row>
        <row r="10291">
          <cell r="E10291" t="str">
            <v>LUC-EZZ-401680-00</v>
          </cell>
          <cell r="F10291" t="str">
            <v>TXGHPHK25704</v>
          </cell>
        </row>
        <row r="10292">
          <cell r="E10292" t="str">
            <v>LUC-EZZ-401250-00</v>
          </cell>
          <cell r="F10292" t="str">
            <v>TXGHPHK25704</v>
          </cell>
        </row>
        <row r="10293">
          <cell r="E10293" t="str">
            <v>LUC-EZZ-400412-00</v>
          </cell>
          <cell r="F10293" t="str">
            <v>TXGHPHK25704</v>
          </cell>
        </row>
        <row r="10294">
          <cell r="E10294" t="str">
            <v>LUC-EZZ-400200-00</v>
          </cell>
          <cell r="F10294" t="str">
            <v>TXGHPHK25704</v>
          </cell>
        </row>
        <row r="10295">
          <cell r="E10295" t="str">
            <v>LUC-EZZ-400200-00</v>
          </cell>
          <cell r="F10295" t="str">
            <v>TXGHPHK25704</v>
          </cell>
        </row>
        <row r="10296">
          <cell r="E10296" t="str">
            <v>LUC-EZZ-400200-00</v>
          </cell>
          <cell r="F10296" t="str">
            <v>TXGHPHK25704</v>
          </cell>
        </row>
        <row r="10297">
          <cell r="E10297" t="str">
            <v>LUC-EZZ-400203-00</v>
          </cell>
          <cell r="F10297" t="str">
            <v>TXGHPHK25704</v>
          </cell>
        </row>
        <row r="10298">
          <cell r="E10298" t="str">
            <v>LUC-EZZ-400266-00</v>
          </cell>
          <cell r="F10298" t="str">
            <v>TXGHPHK25704</v>
          </cell>
        </row>
        <row r="10299">
          <cell r="E10299" t="str">
            <v>LUC-EZZ-400232-00</v>
          </cell>
          <cell r="F10299" t="str">
            <v>TXGHPHK25704</v>
          </cell>
        </row>
        <row r="10300">
          <cell r="E10300" t="str">
            <v>LUC-EZZ-400228-00</v>
          </cell>
          <cell r="F10300" t="str">
            <v>TXGHPHK25704</v>
          </cell>
        </row>
        <row r="10301">
          <cell r="E10301" t="str">
            <v>LUC-EZZ-400265-00</v>
          </cell>
          <cell r="F10301" t="str">
            <v>TXGHPHK25704</v>
          </cell>
        </row>
        <row r="10302">
          <cell r="E10302" t="str">
            <v>LUC-EZZ-400241-00</v>
          </cell>
          <cell r="F10302" t="str">
            <v>TXGHPHK25704</v>
          </cell>
        </row>
        <row r="10303">
          <cell r="E10303" t="str">
            <v>LUC-EZZ-400127-00</v>
          </cell>
          <cell r="F10303" t="str">
            <v>TXGHPHK25704</v>
          </cell>
        </row>
        <row r="10304">
          <cell r="E10304" t="str">
            <v>LUC-EZZ-400426-00</v>
          </cell>
          <cell r="F10304" t="str">
            <v>TXGHPHK25704</v>
          </cell>
        </row>
        <row r="10305">
          <cell r="E10305" t="str">
            <v>LUC-EZZ-400261-00</v>
          </cell>
          <cell r="F10305" t="str">
            <v>TXGHPHK25704</v>
          </cell>
        </row>
        <row r="10306">
          <cell r="E10306" t="str">
            <v>LUC-EZZ-400243-00</v>
          </cell>
          <cell r="F10306" t="str">
            <v>TXGHPHK25704</v>
          </cell>
        </row>
        <row r="10307">
          <cell r="E10307" t="str">
            <v>LUC-EZZ-400388-00</v>
          </cell>
          <cell r="F10307" t="str">
            <v>TXGHPHK25704</v>
          </cell>
        </row>
        <row r="10308">
          <cell r="E10308" t="str">
            <v>LUC-EZZ-400264-00</v>
          </cell>
          <cell r="F10308" t="str">
            <v>TXGHPHK25704</v>
          </cell>
        </row>
        <row r="10309">
          <cell r="E10309" t="str">
            <v>LUC-EZZ-400248-00</v>
          </cell>
          <cell r="F10309" t="str">
            <v>TXGHPHK25704</v>
          </cell>
        </row>
        <row r="10310">
          <cell r="E10310" t="str">
            <v>LUC-EZZ-400290-00</v>
          </cell>
          <cell r="F10310" t="str">
            <v>TXGHPHK25704</v>
          </cell>
        </row>
        <row r="10311">
          <cell r="E10311" t="str">
            <v>LUC-EZZ-400259-00</v>
          </cell>
          <cell r="F10311" t="str">
            <v>TXGHPHK25704</v>
          </cell>
        </row>
        <row r="10312">
          <cell r="E10312" t="str">
            <v>LUC-EZZ-400262-00</v>
          </cell>
          <cell r="F10312" t="str">
            <v>TXGHPHK25704</v>
          </cell>
        </row>
        <row r="10313">
          <cell r="E10313" t="str">
            <v>LUC-EZZ-400278-00</v>
          </cell>
          <cell r="F10313" t="str">
            <v>TXGHPHK25704</v>
          </cell>
        </row>
        <row r="10314">
          <cell r="E10314" t="str">
            <v>LUC-EZZ-400426-00</v>
          </cell>
          <cell r="F10314" t="str">
            <v>TXGHPHK25704</v>
          </cell>
        </row>
        <row r="10315">
          <cell r="E10315" t="str">
            <v>LUC-EZZ-400248-00</v>
          </cell>
          <cell r="F10315" t="str">
            <v>TXGHPHK25704</v>
          </cell>
        </row>
        <row r="10316">
          <cell r="E10316" t="str">
            <v>LUC-P11-K41800-00</v>
          </cell>
          <cell r="F10316" t="str">
            <v>TXGHPHK25704</v>
          </cell>
        </row>
        <row r="10317">
          <cell r="E10317" t="str">
            <v>LUC-EZZ-540018-00</v>
          </cell>
          <cell r="F10317" t="str">
            <v>TXGHPHK25704</v>
          </cell>
        </row>
        <row r="10318">
          <cell r="E10318" t="str">
            <v>LUC-P11-K41700-00</v>
          </cell>
          <cell r="F10318" t="str">
            <v>TXGHPHK25704</v>
          </cell>
        </row>
        <row r="10319">
          <cell r="E10319" t="str">
            <v>LUC-P11-K41A00-00</v>
          </cell>
          <cell r="F10319" t="str">
            <v>TXGHPHK25704</v>
          </cell>
        </row>
        <row r="10320">
          <cell r="E10320" t="str">
            <v>LUC-P11-K41900-00</v>
          </cell>
          <cell r="F10320" t="str">
            <v>TXGHPHK25704</v>
          </cell>
        </row>
        <row r="10321">
          <cell r="E10321" t="str">
            <v>LUC-P11-K41C00-00</v>
          </cell>
          <cell r="F10321" t="str">
            <v>TXGHPHK25704</v>
          </cell>
        </row>
        <row r="10322">
          <cell r="E10322" t="str">
            <v>LUC-P11-K41B00-00</v>
          </cell>
          <cell r="F10322" t="str">
            <v>TXGHPHK25704</v>
          </cell>
        </row>
        <row r="10323">
          <cell r="E10323" t="str">
            <v>LUC-P11-K41G00-00</v>
          </cell>
          <cell r="F10323" t="str">
            <v>TXGHPHK25704</v>
          </cell>
        </row>
        <row r="10324">
          <cell r="E10324" t="str">
            <v>LUC-P11-K41800-00</v>
          </cell>
          <cell r="F10324" t="str">
            <v>TXGHPHK25704</v>
          </cell>
        </row>
        <row r="10325">
          <cell r="E10325" t="str">
            <v>LUC-P11-K41800-00</v>
          </cell>
          <cell r="F10325" t="str">
            <v>TXGHPHK25704</v>
          </cell>
        </row>
        <row r="10326">
          <cell r="E10326" t="str">
            <v>LUC-P11-K41A00-00</v>
          </cell>
          <cell r="F10326" t="str">
            <v>TXGHPHK25704</v>
          </cell>
        </row>
        <row r="10327">
          <cell r="E10327" t="str">
            <v>LUC-P11-K41A00-00</v>
          </cell>
          <cell r="F10327" t="str">
            <v>TXGHPHK25704</v>
          </cell>
        </row>
        <row r="10328">
          <cell r="E10328" t="str">
            <v>LUC-P11-K41700-00</v>
          </cell>
          <cell r="F10328" t="str">
            <v>TXGHPHK25704</v>
          </cell>
        </row>
        <row r="10329">
          <cell r="E10329" t="str">
            <v>LUC-P11-K41700-00</v>
          </cell>
          <cell r="F10329" t="str">
            <v>TXGHPHK25704</v>
          </cell>
        </row>
        <row r="10330">
          <cell r="E10330" t="str">
            <v>LUC-P11-K41700-00</v>
          </cell>
          <cell r="F10330" t="str">
            <v>TXGHPHK25704</v>
          </cell>
        </row>
        <row r="10331">
          <cell r="E10331" t="str">
            <v>LUC-P11-K41700-00</v>
          </cell>
          <cell r="F10331" t="str">
            <v>TXGHPHK25704</v>
          </cell>
        </row>
        <row r="10332">
          <cell r="E10332" t="str">
            <v>LUC-P11-K41700-00</v>
          </cell>
          <cell r="F10332" t="str">
            <v>TXGHPHK25704</v>
          </cell>
        </row>
        <row r="10333">
          <cell r="E10333" t="str">
            <v>LUC-P11-K41700-00</v>
          </cell>
          <cell r="F10333" t="str">
            <v>TXGHPHK25704</v>
          </cell>
        </row>
        <row r="10334">
          <cell r="E10334" t="str">
            <v>LUC-P11-K41700-00</v>
          </cell>
          <cell r="F10334" t="str">
            <v>TXGHPHK25704</v>
          </cell>
        </row>
        <row r="10335">
          <cell r="E10335" t="str">
            <v>LUC-P11-K41700-00</v>
          </cell>
          <cell r="F10335" t="str">
            <v>TXGHPHK25704</v>
          </cell>
        </row>
        <row r="10336">
          <cell r="E10336" t="str">
            <v>LUC-P11-K41900-00</v>
          </cell>
          <cell r="F10336" t="str">
            <v>TXGHPHK25704</v>
          </cell>
        </row>
        <row r="10337">
          <cell r="E10337" t="str">
            <v>LUC-P11-K41900-00</v>
          </cell>
          <cell r="F10337" t="str">
            <v>TXGHPHK25704</v>
          </cell>
        </row>
        <row r="10338">
          <cell r="E10338" t="str">
            <v>LUC-P11-K41C00-00</v>
          </cell>
          <cell r="F10338" t="str">
            <v>TXGHPHK25704</v>
          </cell>
        </row>
        <row r="10339">
          <cell r="E10339" t="str">
            <v>LUC-P11-K41C00-00</v>
          </cell>
          <cell r="F10339" t="str">
            <v>TXGHPHK25704</v>
          </cell>
        </row>
        <row r="10340">
          <cell r="E10340" t="str">
            <v>LUC-P11-K41B00-00</v>
          </cell>
          <cell r="F10340" t="str">
            <v>TXGHPHK25704</v>
          </cell>
        </row>
        <row r="10341">
          <cell r="E10341" t="str">
            <v>LUC-P11-K41B00-00</v>
          </cell>
          <cell r="F10341" t="str">
            <v>TXGHPHK25704</v>
          </cell>
        </row>
        <row r="10342">
          <cell r="E10342" t="str">
            <v>LUC-P11-K41G00-00</v>
          </cell>
          <cell r="F10342" t="str">
            <v>TXGHPHK25704</v>
          </cell>
        </row>
        <row r="10343">
          <cell r="E10343" t="str">
            <v>LUC-P11-K41G00-00</v>
          </cell>
          <cell r="F10343" t="str">
            <v>TXGHPHK25704</v>
          </cell>
        </row>
        <row r="10344">
          <cell r="E10344" t="str">
            <v>LUC-P11-K33A00-02</v>
          </cell>
          <cell r="F10344" t="str">
            <v>TXGHPHK25704</v>
          </cell>
        </row>
        <row r="10345">
          <cell r="E10345" t="str">
            <v>LUC-P11-K33B00-02</v>
          </cell>
          <cell r="F10345" t="str">
            <v>TXGHPHK25704</v>
          </cell>
        </row>
        <row r="10346">
          <cell r="E10346" t="str">
            <v>LUC-P11-K33900-02</v>
          </cell>
          <cell r="F10346" t="str">
            <v>TXGHPHK25704</v>
          </cell>
        </row>
        <row r="10347">
          <cell r="E10347" t="str">
            <v>LUC-P11-K33900-02</v>
          </cell>
          <cell r="F10347" t="str">
            <v>TXGHPHK25704</v>
          </cell>
        </row>
        <row r="10348">
          <cell r="E10348" t="str">
            <v>LUC-P11-J67400-02</v>
          </cell>
          <cell r="F10348" t="str">
            <v>TXGHPHK25704</v>
          </cell>
        </row>
        <row r="10349">
          <cell r="E10349" t="str">
            <v>LUC-P11-K33P00-00</v>
          </cell>
          <cell r="F10349" t="str">
            <v>TXGHPHK25704</v>
          </cell>
        </row>
        <row r="10350">
          <cell r="E10350" t="str">
            <v>LUC-P11-J36100-03</v>
          </cell>
          <cell r="F10350" t="str">
            <v>TXGHPHK25704</v>
          </cell>
        </row>
        <row r="10351">
          <cell r="E10351" t="str">
            <v>LUC-EZZ-400041-00</v>
          </cell>
          <cell r="F10351" t="str">
            <v>TXGHPHK25704</v>
          </cell>
        </row>
        <row r="10352">
          <cell r="E10352" t="str">
            <v>LUC-EZZ-470097-01</v>
          </cell>
          <cell r="F10352" t="str">
            <v>TXGHPHK25704</v>
          </cell>
        </row>
        <row r="10353">
          <cell r="E10353" t="str">
            <v>LUC-EZZ-420058-00</v>
          </cell>
          <cell r="F10353" t="str">
            <v>TXGHPHK25704</v>
          </cell>
        </row>
        <row r="10354">
          <cell r="E10354" t="str">
            <v>LUC-EZZ-420095-00</v>
          </cell>
          <cell r="F10354" t="str">
            <v>TXGHPHK25704</v>
          </cell>
        </row>
        <row r="10355">
          <cell r="E10355" t="str">
            <v>LUC-EZZ-420021-00</v>
          </cell>
          <cell r="F10355" t="str">
            <v>TXGHPHK25704</v>
          </cell>
        </row>
        <row r="10356">
          <cell r="E10356" t="str">
            <v>LUC-EZZ-420021-00</v>
          </cell>
          <cell r="F10356" t="str">
            <v>TXGHPHK25704</v>
          </cell>
        </row>
        <row r="10357">
          <cell r="E10357" t="str">
            <v>LUC-EZZ-420188-00</v>
          </cell>
          <cell r="F10357" t="str">
            <v>TXGHPHK25704</v>
          </cell>
        </row>
        <row r="10358">
          <cell r="E10358" t="str">
            <v>LUC-EZZ-420101-00</v>
          </cell>
          <cell r="F10358" t="str">
            <v>TXGHPHK25704</v>
          </cell>
        </row>
        <row r="10359">
          <cell r="E10359" t="str">
            <v>LUC-EZZ-420101-00</v>
          </cell>
          <cell r="F10359" t="str">
            <v>TXGHPHK25704</v>
          </cell>
        </row>
        <row r="10360">
          <cell r="E10360" t="str">
            <v>LUC-EZZ-470276-00</v>
          </cell>
          <cell r="F10360" t="str">
            <v>TXGHPHK25704</v>
          </cell>
        </row>
        <row r="10361">
          <cell r="E10361" t="str">
            <v>LUC-EZZ-470152-00</v>
          </cell>
          <cell r="F10361" t="str">
            <v>TXGHPHK25704</v>
          </cell>
        </row>
        <row r="10362">
          <cell r="E10362" t="str">
            <v>LUC-EZZ-470152-02</v>
          </cell>
          <cell r="F10362" t="str">
            <v>TXGHPHK25704</v>
          </cell>
        </row>
        <row r="10363">
          <cell r="E10363" t="str">
            <v>LUC-EZZ-470152-02</v>
          </cell>
          <cell r="F10363" t="str">
            <v>TXGHPHK25704</v>
          </cell>
        </row>
        <row r="10364">
          <cell r="E10364" t="str">
            <v>LUC-EZZ-470153-00</v>
          </cell>
          <cell r="F10364" t="str">
            <v>TXGHPHK25704</v>
          </cell>
        </row>
        <row r="10365">
          <cell r="E10365" t="str">
            <v>LUC-EZZ-470153-00</v>
          </cell>
          <cell r="F10365" t="str">
            <v>TXGHPHK25704</v>
          </cell>
        </row>
        <row r="10366">
          <cell r="E10366" t="str">
            <v>LUC-EZZ-470153-00</v>
          </cell>
          <cell r="F10366" t="str">
            <v>TXGHPHK25704</v>
          </cell>
        </row>
        <row r="10367">
          <cell r="E10367" t="str">
            <v>LUC-EZZ-470155-00</v>
          </cell>
          <cell r="F10367" t="str">
            <v>TXGHPHK25704</v>
          </cell>
        </row>
        <row r="10368">
          <cell r="E10368" t="str">
            <v>LUC-EZZ-470155-00</v>
          </cell>
          <cell r="F10368" t="str">
            <v>TXGHPHK25704</v>
          </cell>
        </row>
        <row r="10369">
          <cell r="E10369" t="str">
            <v>LUC-EZZ-470155-00</v>
          </cell>
          <cell r="F10369" t="str">
            <v>TXGHPHK25704</v>
          </cell>
        </row>
        <row r="10370">
          <cell r="E10370" t="str">
            <v>LUC-EZZ-470155-00</v>
          </cell>
          <cell r="F10370" t="str">
            <v>TXGHPHK25704</v>
          </cell>
        </row>
        <row r="10371">
          <cell r="E10371" t="str">
            <v>LUC-EZZ-450179-00</v>
          </cell>
          <cell r="F10371" t="str">
            <v>TXGHPHK25704</v>
          </cell>
        </row>
        <row r="10372">
          <cell r="E10372" t="str">
            <v>LUC-EZZ-450179-00</v>
          </cell>
          <cell r="F10372" t="str">
            <v>TXGHPHK25704</v>
          </cell>
        </row>
        <row r="10373">
          <cell r="E10373" t="str">
            <v>LUC-EZZ-450214-00</v>
          </cell>
          <cell r="F10373" t="str">
            <v>TXGHPHK25704</v>
          </cell>
        </row>
        <row r="10374">
          <cell r="E10374" t="str">
            <v>LUC-EZZ-451126-00</v>
          </cell>
          <cell r="F10374" t="str">
            <v>TXGHPHK25704</v>
          </cell>
        </row>
        <row r="10375">
          <cell r="E10375" t="str">
            <v>LUC-EZZ-450180-00</v>
          </cell>
          <cell r="F10375" t="str">
            <v>TXGHPHK25704</v>
          </cell>
        </row>
        <row r="10376">
          <cell r="E10376" t="str">
            <v>LUC-EZZ-450181-00</v>
          </cell>
          <cell r="F10376" t="str">
            <v>TXGHPHK25704</v>
          </cell>
        </row>
        <row r="10377">
          <cell r="E10377" t="str">
            <v>LUC-EZZ-420219-00</v>
          </cell>
          <cell r="F10377" t="str">
            <v>TXGHPHK25704</v>
          </cell>
        </row>
        <row r="10378">
          <cell r="E10378" t="str">
            <v>LUC-EZZ-421252-00</v>
          </cell>
          <cell r="F10378" t="str">
            <v>TXGHPHK25704</v>
          </cell>
        </row>
        <row r="10379">
          <cell r="E10379" t="str">
            <v>LUC-EZZ-421534-00</v>
          </cell>
          <cell r="F10379" t="str">
            <v>TXGHPHK25704</v>
          </cell>
        </row>
        <row r="10380">
          <cell r="E10380" t="str">
            <v>LUC-EZZ-420488-00</v>
          </cell>
          <cell r="F10380" t="str">
            <v>TXGHPHK25704</v>
          </cell>
        </row>
        <row r="10381">
          <cell r="E10381" t="str">
            <v>LUC-EZZ-420866-00</v>
          </cell>
          <cell r="F10381" t="str">
            <v>TXGHPHK25704</v>
          </cell>
        </row>
        <row r="10382">
          <cell r="E10382" t="str">
            <v>LUC-EZZ-420493-00</v>
          </cell>
          <cell r="F10382" t="str">
            <v>TXGHPHK25704</v>
          </cell>
        </row>
        <row r="10383">
          <cell r="E10383" t="str">
            <v>LUC-EZZ-421281-00</v>
          </cell>
          <cell r="F10383" t="str">
            <v>TXGHPHK25704</v>
          </cell>
        </row>
        <row r="10384">
          <cell r="E10384" t="str">
            <v>LUC-EZZ-420210-00</v>
          </cell>
          <cell r="F10384" t="str">
            <v>TXGHPHK25704</v>
          </cell>
        </row>
        <row r="10385">
          <cell r="E10385" t="str">
            <v>LUC-EZZ-420210-00</v>
          </cell>
          <cell r="F10385" t="str">
            <v>TXGHPHK25704</v>
          </cell>
        </row>
        <row r="10386">
          <cell r="E10386" t="str">
            <v>LUC-EZZ-420210-00</v>
          </cell>
          <cell r="F10386" t="str">
            <v>TXGHPHK25704</v>
          </cell>
        </row>
        <row r="10387">
          <cell r="E10387" t="str">
            <v>LUC-EZZ-420321-00</v>
          </cell>
          <cell r="F10387" t="str">
            <v>TXGHPHK25704</v>
          </cell>
        </row>
        <row r="10388">
          <cell r="E10388" t="str">
            <v>LUC-EZZ-420391-00</v>
          </cell>
          <cell r="F10388" t="str">
            <v>TXGHPHK25704</v>
          </cell>
        </row>
        <row r="10389">
          <cell r="E10389" t="str">
            <v>LUC-EZZ-450091-00</v>
          </cell>
          <cell r="F10389" t="str">
            <v>TXGHPHK25704</v>
          </cell>
        </row>
        <row r="10390">
          <cell r="E10390" t="str">
            <v>LUC-EZZ-450060-00</v>
          </cell>
          <cell r="F10390" t="str">
            <v>TXGHPHK25704</v>
          </cell>
        </row>
        <row r="10391">
          <cell r="E10391" t="str">
            <v>LUC-EZZ-690175-00</v>
          </cell>
          <cell r="F10391" t="str">
            <v>TXGHPHK25704</v>
          </cell>
        </row>
        <row r="10392">
          <cell r="E10392" t="str">
            <v>LUC-EZZ-690175-00</v>
          </cell>
          <cell r="F10392" t="str">
            <v>TXGHPHK25704</v>
          </cell>
        </row>
        <row r="10393">
          <cell r="E10393" t="str">
            <v>LUC-EZZ-690175-00</v>
          </cell>
          <cell r="F10393" t="str">
            <v>TXGHPHK25704</v>
          </cell>
        </row>
        <row r="10394">
          <cell r="E10394" t="str">
            <v>LUC-EZZ-510053-00</v>
          </cell>
          <cell r="F10394" t="str">
            <v>TXGHPHK25704</v>
          </cell>
        </row>
        <row r="10395">
          <cell r="E10395" t="str">
            <v>LUC-EZZ-510053-00</v>
          </cell>
          <cell r="F10395" t="str">
            <v>TXGHPHK25704</v>
          </cell>
        </row>
        <row r="10396">
          <cell r="E10396" t="str">
            <v>LUC-EZZ-510048-00</v>
          </cell>
          <cell r="F10396" t="str">
            <v>TXGHPHK25704</v>
          </cell>
        </row>
        <row r="10397">
          <cell r="E10397" t="str">
            <v>LUC-EZZ-510048-00</v>
          </cell>
          <cell r="F10397" t="str">
            <v>TXGHPHK25704</v>
          </cell>
        </row>
        <row r="10398">
          <cell r="E10398" t="str">
            <v>LUC-EZZ-511370-00</v>
          </cell>
          <cell r="F10398" t="str">
            <v>TXGHPHK25704</v>
          </cell>
        </row>
        <row r="10399">
          <cell r="E10399" t="str">
            <v>LUC-EZZ-510077-00</v>
          </cell>
          <cell r="F10399" t="str">
            <v>TXGHPHK25704</v>
          </cell>
        </row>
        <row r="10400">
          <cell r="E10400" t="str">
            <v>LUC-EZZ-510077-00</v>
          </cell>
          <cell r="F10400" t="str">
            <v>TXGHPHK25704</v>
          </cell>
        </row>
        <row r="10401">
          <cell r="E10401" t="str">
            <v>LUC-EZZ-510077-00</v>
          </cell>
          <cell r="F10401" t="str">
            <v>TXGHPHK25704</v>
          </cell>
        </row>
        <row r="10402">
          <cell r="E10402" t="str">
            <v>LUC-EZZ-510077-00</v>
          </cell>
          <cell r="F10402" t="str">
            <v>TXGHPHK25704</v>
          </cell>
        </row>
        <row r="10403">
          <cell r="E10403" t="str">
            <v>LUC-EZZ-510077-00</v>
          </cell>
          <cell r="F10403" t="str">
            <v>TXGHPHK25704</v>
          </cell>
        </row>
        <row r="10404">
          <cell r="E10404" t="str">
            <v>LUC-EZZ-471619-01</v>
          </cell>
          <cell r="F10404" t="str">
            <v>TXGHPHK25704</v>
          </cell>
        </row>
        <row r="10405">
          <cell r="E10405" t="str">
            <v>LUC-EZZ-510085-00</v>
          </cell>
          <cell r="F10405" t="str">
            <v>TXGHPHK25704</v>
          </cell>
        </row>
        <row r="10406">
          <cell r="E10406" t="str">
            <v>LUC-EZZ-470696-00</v>
          </cell>
          <cell r="F10406" t="str">
            <v>TXGHPHK25704</v>
          </cell>
        </row>
        <row r="10407">
          <cell r="E10407" t="str">
            <v>LUC-EZZ-481784-00</v>
          </cell>
          <cell r="F10407" t="str">
            <v>TXGHPHK25704</v>
          </cell>
        </row>
        <row r="10408">
          <cell r="E10408" t="str">
            <v>LUC-EZZ-480008-00</v>
          </cell>
          <cell r="F10408" t="str">
            <v>TXGHPHK25704</v>
          </cell>
        </row>
        <row r="10409">
          <cell r="E10409" t="str">
            <v>LUC-EZZ-420123-00</v>
          </cell>
          <cell r="F10409" t="str">
            <v>TXGHPHK25704</v>
          </cell>
        </row>
        <row r="10410">
          <cell r="E10410" t="str">
            <v>HLOB-21-0036-00</v>
          </cell>
          <cell r="F10410">
            <v>3455652826</v>
          </cell>
        </row>
        <row r="10411">
          <cell r="E10411" t="str">
            <v>AIC-MP-00000247-000</v>
          </cell>
          <cell r="F10411">
            <v>3455654451</v>
          </cell>
        </row>
        <row r="10412">
          <cell r="E10412" t="str">
            <v>HLOB-12-0288-00</v>
          </cell>
          <cell r="F10412">
            <v>3455654451</v>
          </cell>
        </row>
        <row r="10413">
          <cell r="E10413" t="str">
            <v>HLOB-12-0288-00</v>
          </cell>
          <cell r="F10413">
            <v>3455654451</v>
          </cell>
        </row>
        <row r="10414">
          <cell r="E10414" t="str">
            <v>LUC-EZZ-400192-00</v>
          </cell>
          <cell r="F10414">
            <v>3455654451</v>
          </cell>
        </row>
        <row r="10415">
          <cell r="E10415" t="str">
            <v>LUC-EZZ-400036-00</v>
          </cell>
          <cell r="F10415">
            <v>3455654451</v>
          </cell>
        </row>
        <row r="10416">
          <cell r="E10416" t="str">
            <v>LUC-E00-400001-003</v>
          </cell>
          <cell r="F10416">
            <v>3455654451</v>
          </cell>
        </row>
        <row r="10417">
          <cell r="E10417" t="str">
            <v>LUC-E00-400067-162</v>
          </cell>
          <cell r="F10417">
            <v>3455654451</v>
          </cell>
        </row>
        <row r="10418">
          <cell r="E10418" t="str">
            <v>LUC-EZZ-400192-00</v>
          </cell>
          <cell r="F10418">
            <v>3455654451</v>
          </cell>
        </row>
        <row r="10419">
          <cell r="E10419" t="str">
            <v>LUC-EZZ-400208-00</v>
          </cell>
          <cell r="F10419">
            <v>3455654451</v>
          </cell>
        </row>
        <row r="10420">
          <cell r="E10420" t="str">
            <v>PUR-13-0125-00</v>
          </cell>
          <cell r="F10420">
            <v>3455654451</v>
          </cell>
        </row>
        <row r="10421">
          <cell r="E10421" t="str">
            <v>EF-45108861.X.X</v>
          </cell>
          <cell r="F10421">
            <v>3455654451</v>
          </cell>
        </row>
        <row r="10422">
          <cell r="E10422" t="str">
            <v>LUC-E00-460007-01</v>
          </cell>
          <cell r="F10422">
            <v>3455654451</v>
          </cell>
        </row>
        <row r="10423">
          <cell r="E10423" t="str">
            <v>PUR-09-0329-00</v>
          </cell>
          <cell r="F10423">
            <v>3455654451</v>
          </cell>
        </row>
        <row r="10424">
          <cell r="E10424" t="str">
            <v>LUC-E00-460007-01</v>
          </cell>
          <cell r="F10424">
            <v>3455654451</v>
          </cell>
        </row>
        <row r="10425">
          <cell r="E10425" t="str">
            <v>PURET-24-0008-00</v>
          </cell>
          <cell r="F10425">
            <v>3455654451</v>
          </cell>
        </row>
        <row r="10426">
          <cell r="E10426" t="str">
            <v>PUR-14-0107-00</v>
          </cell>
          <cell r="F10426">
            <v>3455654451</v>
          </cell>
        </row>
        <row r="10427">
          <cell r="E10427" t="str">
            <v>LUC-E00-460007-01</v>
          </cell>
          <cell r="F10427">
            <v>3455654451</v>
          </cell>
        </row>
        <row r="10428">
          <cell r="E10428" t="str">
            <v>PURET-12-0037-00</v>
          </cell>
          <cell r="F10428">
            <v>3455654451</v>
          </cell>
        </row>
        <row r="10429">
          <cell r="E10429" t="str">
            <v>EF-45046246.X.X</v>
          </cell>
          <cell r="F10429">
            <v>3455654451</v>
          </cell>
        </row>
        <row r="10430">
          <cell r="E10430" t="str">
            <v>EF-45046246.X.X</v>
          </cell>
          <cell r="F10430">
            <v>3455654451</v>
          </cell>
        </row>
        <row r="10431">
          <cell r="E10431" t="str">
            <v>LUC-E00-400067-162</v>
          </cell>
          <cell r="F10431">
            <v>3455654451</v>
          </cell>
        </row>
        <row r="10432">
          <cell r="E10432" t="str">
            <v>LUC-E00-470074-01</v>
          </cell>
          <cell r="F10432">
            <v>3455654451</v>
          </cell>
        </row>
        <row r="10433">
          <cell r="E10433" t="str">
            <v>LUC-EZZ-420151-00</v>
          </cell>
          <cell r="F10433">
            <v>3455654451</v>
          </cell>
        </row>
        <row r="10434">
          <cell r="E10434" t="str">
            <v>LUC-E00-420135-00</v>
          </cell>
          <cell r="F10434">
            <v>3455654451</v>
          </cell>
        </row>
        <row r="10435">
          <cell r="E10435" t="str">
            <v>PUR-13-0125-00</v>
          </cell>
          <cell r="F10435">
            <v>3455654451</v>
          </cell>
        </row>
        <row r="10436">
          <cell r="E10436" t="str">
            <v>HLOB-13-0125-00</v>
          </cell>
          <cell r="F10436">
            <v>3455654451</v>
          </cell>
        </row>
        <row r="10437">
          <cell r="E10437" t="str">
            <v>PUR-09-0444-00</v>
          </cell>
          <cell r="F10437">
            <v>3455654451</v>
          </cell>
        </row>
        <row r="10438">
          <cell r="E10438" t="str">
            <v>LUC-EZZ-400801-00</v>
          </cell>
          <cell r="F10438">
            <v>3455654451</v>
          </cell>
        </row>
        <row r="10439">
          <cell r="E10439" t="str">
            <v>LUC-EZZ-690758-00</v>
          </cell>
          <cell r="F10439">
            <v>3455654451</v>
          </cell>
        </row>
        <row r="10440">
          <cell r="E10440" t="str">
            <v>LUC-E00-450075-00</v>
          </cell>
          <cell r="F10440">
            <v>3455654451</v>
          </cell>
        </row>
        <row r="10441">
          <cell r="E10441" t="str">
            <v>HLOB-09-0444-00</v>
          </cell>
          <cell r="F10441">
            <v>3455654451</v>
          </cell>
        </row>
        <row r="10442">
          <cell r="E10442" t="str">
            <v>LUC-E00-400001-003</v>
          </cell>
          <cell r="F10442">
            <v>3455654451</v>
          </cell>
        </row>
        <row r="10443">
          <cell r="E10443" t="str">
            <v>LUC-P11-K18000-00</v>
          </cell>
          <cell r="F10443">
            <v>3455654451</v>
          </cell>
        </row>
        <row r="10444">
          <cell r="E10444" t="str">
            <v>LUC-EZZ-690241-00</v>
          </cell>
          <cell r="F10444">
            <v>4110326005</v>
          </cell>
        </row>
        <row r="10445">
          <cell r="E10445" t="str">
            <v>LUC-E00-690217-01</v>
          </cell>
          <cell r="F10445">
            <v>4110326006</v>
          </cell>
        </row>
        <row r="10446">
          <cell r="E10446" t="str">
            <v>LUC-EZZ-690942-00</v>
          </cell>
          <cell r="F10446">
            <v>4110326007</v>
          </cell>
        </row>
        <row r="10447">
          <cell r="E10447" t="str">
            <v>LUC-EZZ-690241-00</v>
          </cell>
          <cell r="F10447">
            <v>4110326008</v>
          </cell>
        </row>
        <row r="10448">
          <cell r="E10448" t="str">
            <v>HLOB-12-0257-00</v>
          </cell>
          <cell r="F10448">
            <v>882518647436</v>
          </cell>
        </row>
        <row r="10449">
          <cell r="E10449" t="str">
            <v>PUR-12-0432-00</v>
          </cell>
          <cell r="F10449">
            <v>882518647436</v>
          </cell>
        </row>
        <row r="10450">
          <cell r="E10450" t="str">
            <v>HLOB-12-0271-00</v>
          </cell>
          <cell r="F10450">
            <v>882518647436</v>
          </cell>
        </row>
        <row r="10451">
          <cell r="E10451" t="str">
            <v>PUR-12-0293-00</v>
          </cell>
          <cell r="F10451">
            <v>882518647436</v>
          </cell>
        </row>
        <row r="10452">
          <cell r="E10452" t="str">
            <v>HLOB-12-0056-00</v>
          </cell>
          <cell r="F10452">
            <v>882518647436</v>
          </cell>
        </row>
        <row r="10453">
          <cell r="E10453" t="str">
            <v>HLOB-12-0475-00</v>
          </cell>
          <cell r="F10453">
            <v>882518647436</v>
          </cell>
        </row>
        <row r="10454">
          <cell r="E10454" t="str">
            <v>HLOB-12-0056-00</v>
          </cell>
          <cell r="F10454">
            <v>882518647436</v>
          </cell>
        </row>
        <row r="10455">
          <cell r="E10455" t="str">
            <v>AIC-MP-00002920-000</v>
          </cell>
          <cell r="F10455">
            <v>882518647436</v>
          </cell>
        </row>
        <row r="10456">
          <cell r="E10456" t="str">
            <v>PUR-11-0105-04</v>
          </cell>
          <cell r="F10456" t="str">
            <v>AS255577</v>
          </cell>
        </row>
        <row r="10457">
          <cell r="E10457" t="str">
            <v>PUR-11-0105-04</v>
          </cell>
          <cell r="F10457" t="str">
            <v>AS255577</v>
          </cell>
        </row>
        <row r="10458">
          <cell r="E10458" t="str">
            <v>PUR-11-0105-04</v>
          </cell>
          <cell r="F10458" t="str">
            <v>AS255577</v>
          </cell>
        </row>
        <row r="10459">
          <cell r="E10459" t="str">
            <v>LUC-E00-690010-02</v>
          </cell>
          <cell r="F10459">
            <v>390431931938</v>
          </cell>
        </row>
        <row r="10460">
          <cell r="E10460" t="str">
            <v>AIC-MP-00005957-000</v>
          </cell>
          <cell r="F10460">
            <v>882460739740</v>
          </cell>
        </row>
        <row r="10461">
          <cell r="E10461" t="str">
            <v>HLOB-12-0431-00</v>
          </cell>
          <cell r="F10461">
            <v>882493450142</v>
          </cell>
        </row>
        <row r="10462">
          <cell r="E10462" t="str">
            <v>HLOB-12-0474-00</v>
          </cell>
          <cell r="F10462">
            <v>882493450142</v>
          </cell>
        </row>
        <row r="10463">
          <cell r="E10463" t="str">
            <v>PURET-13-0040-00</v>
          </cell>
          <cell r="F10463">
            <v>882493450142</v>
          </cell>
        </row>
        <row r="10464">
          <cell r="E10464" t="str">
            <v>PUR-12-0343-00</v>
          </cell>
          <cell r="F10464">
            <v>882493450142</v>
          </cell>
        </row>
        <row r="10465">
          <cell r="E10465" t="str">
            <v>AIC-122-004341</v>
          </cell>
          <cell r="F10465">
            <v>882493450142</v>
          </cell>
        </row>
        <row r="10466">
          <cell r="E10466" t="str">
            <v>AIC-121-005921</v>
          </cell>
          <cell r="F10466">
            <v>882493450142</v>
          </cell>
        </row>
        <row r="10467">
          <cell r="E10467" t="str">
            <v>AIC-121-005919</v>
          </cell>
          <cell r="F10467">
            <v>882493450142</v>
          </cell>
        </row>
        <row r="10468">
          <cell r="E10468" t="str">
            <v>AIC-MP-00001136-000</v>
          </cell>
          <cell r="F10468">
            <v>882493450142</v>
          </cell>
        </row>
        <row r="10469">
          <cell r="E10469" t="str">
            <v>LUC-E00-470137-00</v>
          </cell>
          <cell r="F10469">
            <v>882493142363</v>
          </cell>
        </row>
        <row r="10470">
          <cell r="E10470" t="str">
            <v>130-000513</v>
          </cell>
          <cell r="F10470">
            <v>462827312400</v>
          </cell>
        </row>
        <row r="10471">
          <cell r="E10471" t="str">
            <v>130-000513</v>
          </cell>
          <cell r="F10471">
            <v>462827312400</v>
          </cell>
        </row>
        <row r="10472">
          <cell r="E10472" t="str">
            <v>130-000513</v>
          </cell>
          <cell r="F10472">
            <v>462827312400</v>
          </cell>
        </row>
        <row r="10473">
          <cell r="E10473" t="str">
            <v>HLOB-33-0027-00</v>
          </cell>
          <cell r="F10473">
            <v>882459156824</v>
          </cell>
        </row>
        <row r="10474">
          <cell r="E10474" t="str">
            <v>HLOB-33-0027-00</v>
          </cell>
          <cell r="F10474">
            <v>882459156824</v>
          </cell>
        </row>
        <row r="10475">
          <cell r="E10475" t="str">
            <v>HLOB-18-0640-00</v>
          </cell>
          <cell r="F10475">
            <v>882459156824</v>
          </cell>
        </row>
        <row r="10476">
          <cell r="E10476" t="str">
            <v>HLOB-18-0640-00</v>
          </cell>
          <cell r="F10476">
            <v>882459156824</v>
          </cell>
        </row>
        <row r="10477">
          <cell r="E10477" t="str">
            <v>PUR-33-0009-00</v>
          </cell>
          <cell r="F10477">
            <v>882459156824</v>
          </cell>
        </row>
        <row r="10478">
          <cell r="E10478" t="str">
            <v>LUC-P00-F143AG-00</v>
          </cell>
          <cell r="F10478">
            <v>882492862184</v>
          </cell>
        </row>
        <row r="10479">
          <cell r="E10479" t="str">
            <v>LUC-EZZ-400269-00</v>
          </cell>
          <cell r="F10479">
            <v>972682031970</v>
          </cell>
        </row>
        <row r="10480">
          <cell r="E10480" t="str">
            <v>HLOB-21-0036-00</v>
          </cell>
          <cell r="F10480">
            <v>972682031970</v>
          </cell>
        </row>
        <row r="10481">
          <cell r="E10481" t="str">
            <v>PURC-11-0138-03</v>
          </cell>
          <cell r="F10481">
            <v>586385857096</v>
          </cell>
        </row>
        <row r="10482">
          <cell r="E10482" t="str">
            <v>PURC-11-0138-03</v>
          </cell>
          <cell r="F10482">
            <v>586385857096</v>
          </cell>
        </row>
        <row r="10483">
          <cell r="E10483" t="str">
            <v>LUC-EZZ-400568-00</v>
          </cell>
          <cell r="F10483">
            <v>467735371874</v>
          </cell>
        </row>
        <row r="10484">
          <cell r="E10484" t="str">
            <v>LUC-E00-450176-00</v>
          </cell>
          <cell r="F10484">
            <v>467735371874</v>
          </cell>
        </row>
        <row r="10485">
          <cell r="E10485" t="str">
            <v>LUC-E00-470028-00</v>
          </cell>
          <cell r="F10485">
            <v>467735371874</v>
          </cell>
        </row>
        <row r="10486">
          <cell r="E10486" t="str">
            <v>LUC-E00-400003-011</v>
          </cell>
          <cell r="F10486">
            <v>467735371874</v>
          </cell>
        </row>
        <row r="10487">
          <cell r="E10487" t="str">
            <v>PUR-09-0346-00</v>
          </cell>
          <cell r="F10487">
            <v>467735371874</v>
          </cell>
        </row>
        <row r="10488">
          <cell r="E10488" t="str">
            <v>LUC-E00-450176-00</v>
          </cell>
          <cell r="F10488">
            <v>467735371874</v>
          </cell>
        </row>
        <row r="10489">
          <cell r="E10489" t="str">
            <v>LUC-E00-450176-00</v>
          </cell>
          <cell r="F10489">
            <v>467735371874</v>
          </cell>
        </row>
        <row r="10490">
          <cell r="E10490" t="str">
            <v>LUC-E00-470038-00</v>
          </cell>
          <cell r="F10490">
            <v>467735371874</v>
          </cell>
        </row>
        <row r="10491">
          <cell r="E10491" t="str">
            <v>LUC-E00-400010-002</v>
          </cell>
          <cell r="F10491">
            <v>467735371874</v>
          </cell>
        </row>
        <row r="10492">
          <cell r="E10492" t="str">
            <v>LUC-E00-450176-00</v>
          </cell>
          <cell r="F10492">
            <v>467735371874</v>
          </cell>
        </row>
        <row r="10493">
          <cell r="E10493" t="str">
            <v>LUC-E00-400028-002</v>
          </cell>
          <cell r="F10493">
            <v>467735371874</v>
          </cell>
        </row>
        <row r="10494">
          <cell r="E10494" t="str">
            <v>PUR-09-0321-00</v>
          </cell>
          <cell r="F10494">
            <v>467735371874</v>
          </cell>
        </row>
        <row r="10495">
          <cell r="E10495" t="str">
            <v>HLOB-12-0482-00</v>
          </cell>
          <cell r="F10495">
            <v>882519766783</v>
          </cell>
        </row>
        <row r="10496">
          <cell r="E10496" t="str">
            <v>HLOB-12-0088-00</v>
          </cell>
          <cell r="F10496">
            <v>882519766783</v>
          </cell>
        </row>
        <row r="10497">
          <cell r="E10497" t="str">
            <v>HLOB-12-0294-00</v>
          </cell>
          <cell r="F10497">
            <v>882519766783</v>
          </cell>
        </row>
        <row r="10498">
          <cell r="E10498" t="str">
            <v>HLOB-12-0088-00</v>
          </cell>
          <cell r="F10498">
            <v>882519766783</v>
          </cell>
        </row>
        <row r="10499">
          <cell r="E10499" t="str">
            <v>AIC-MP-00003246-000</v>
          </cell>
          <cell r="F10499">
            <v>882519766783</v>
          </cell>
        </row>
        <row r="10500">
          <cell r="E10500" t="str">
            <v>AIC-121-005908</v>
          </cell>
          <cell r="F10500">
            <v>882519766783</v>
          </cell>
        </row>
        <row r="10501">
          <cell r="E10501" t="str">
            <v>AIC-MP-00003248-000</v>
          </cell>
          <cell r="F10501">
            <v>882519766783</v>
          </cell>
        </row>
        <row r="10502">
          <cell r="E10502" t="str">
            <v>AIC-MP-00005447-000</v>
          </cell>
          <cell r="F10502">
            <v>882519766783</v>
          </cell>
        </row>
        <row r="10503">
          <cell r="E10503" t="str">
            <v>AIC-122-004333</v>
          </cell>
          <cell r="F10503">
            <v>882519766783</v>
          </cell>
        </row>
        <row r="10504">
          <cell r="E10504" t="str">
            <v>AIC-121-005913</v>
          </cell>
          <cell r="F10504">
            <v>882519766783</v>
          </cell>
        </row>
        <row r="10505">
          <cell r="E10505" t="str">
            <v>AIC-122-004340</v>
          </cell>
          <cell r="F10505">
            <v>882519766783</v>
          </cell>
        </row>
        <row r="10506">
          <cell r="E10506" t="str">
            <v>AIC-121-005910</v>
          </cell>
          <cell r="F10506">
            <v>882519766783</v>
          </cell>
        </row>
        <row r="10507">
          <cell r="E10507" t="str">
            <v>AIC-121-005918</v>
          </cell>
          <cell r="F10507">
            <v>882519766783</v>
          </cell>
        </row>
        <row r="10508">
          <cell r="E10508" t="str">
            <v>AIC-121-005916</v>
          </cell>
          <cell r="F10508">
            <v>882519766783</v>
          </cell>
        </row>
        <row r="10509">
          <cell r="E10509" t="str">
            <v>AIC-121-005907</v>
          </cell>
          <cell r="F10509">
            <v>882519766783</v>
          </cell>
        </row>
        <row r="10510">
          <cell r="E10510" t="str">
            <v>AIC-121-005904</v>
          </cell>
          <cell r="F10510">
            <v>882519766783</v>
          </cell>
        </row>
        <row r="10511">
          <cell r="E10511" t="str">
            <v>AIC-121-005901</v>
          </cell>
          <cell r="F10511">
            <v>882519766783</v>
          </cell>
        </row>
        <row r="10512">
          <cell r="E10512" t="str">
            <v>AIC-121-005924</v>
          </cell>
          <cell r="F10512">
            <v>882519766783</v>
          </cell>
        </row>
        <row r="10513">
          <cell r="E10513" t="str">
            <v>AIC-121-005899</v>
          </cell>
          <cell r="F10513">
            <v>882519766783</v>
          </cell>
        </row>
        <row r="10514">
          <cell r="E10514" t="str">
            <v>AIC-121-005900</v>
          </cell>
          <cell r="F10514">
            <v>882519766783</v>
          </cell>
        </row>
        <row r="10515">
          <cell r="E10515" t="str">
            <v>AIC-MP-00001403-000</v>
          </cell>
          <cell r="F10515">
            <v>882519766783</v>
          </cell>
        </row>
        <row r="10516">
          <cell r="E10516" t="str">
            <v>PUR-09-0294-00</v>
          </cell>
          <cell r="F10516">
            <v>390709557304</v>
          </cell>
        </row>
        <row r="10517">
          <cell r="E10517" t="str">
            <v>LUC-P21-KA3100-00</v>
          </cell>
          <cell r="F10517">
            <v>882553204434</v>
          </cell>
        </row>
        <row r="10518">
          <cell r="E10518" t="str">
            <v>LUC-P21-KA3100-00</v>
          </cell>
          <cell r="F10518">
            <v>882553204434</v>
          </cell>
        </row>
        <row r="10519">
          <cell r="E10519" t="str">
            <v>LUC-P11-JA4100-00</v>
          </cell>
          <cell r="F10519">
            <v>882553204434</v>
          </cell>
        </row>
        <row r="10520">
          <cell r="E10520" t="str">
            <v>LUC-E00-400067-143</v>
          </cell>
          <cell r="F10520">
            <v>467735379728</v>
          </cell>
        </row>
        <row r="10521">
          <cell r="E10521" t="str">
            <v>LUC-E00-690010-03</v>
          </cell>
          <cell r="F10521">
            <v>390532762091</v>
          </cell>
        </row>
        <row r="10522">
          <cell r="E10522" t="str">
            <v>LUC-EZZ-690243-00</v>
          </cell>
          <cell r="F10522">
            <v>390532762091</v>
          </cell>
        </row>
        <row r="10523">
          <cell r="E10523" t="str">
            <v>LUC-EZZ-510061-00</v>
          </cell>
          <cell r="F10523">
            <v>390600811859</v>
          </cell>
        </row>
        <row r="10524">
          <cell r="E10524" t="str">
            <v>LUC-EZZ-510061-00</v>
          </cell>
          <cell r="F10524">
            <v>390600811859</v>
          </cell>
        </row>
        <row r="10525">
          <cell r="E10525" t="str">
            <v>LUC-EZZ-510061-00</v>
          </cell>
          <cell r="F10525">
            <v>390600811859</v>
          </cell>
        </row>
        <row r="10526">
          <cell r="E10526" t="str">
            <v>LUC-EZZ-510061-00</v>
          </cell>
          <cell r="F10526">
            <v>390600811859</v>
          </cell>
        </row>
        <row r="10527">
          <cell r="E10527" t="str">
            <v>LUC-E00-690010-00</v>
          </cell>
          <cell r="F10527">
            <v>390496294850</v>
          </cell>
        </row>
        <row r="10528">
          <cell r="E10528" t="str">
            <v>EF-45046948.X.X</v>
          </cell>
          <cell r="F10528">
            <v>882525616601</v>
          </cell>
        </row>
        <row r="10529">
          <cell r="E10529" t="str">
            <v>AIC-124-002779</v>
          </cell>
          <cell r="F10529">
            <v>882525616601</v>
          </cell>
        </row>
        <row r="10530">
          <cell r="E10530" t="str">
            <v>AIC-MP-IC001321-S01</v>
          </cell>
          <cell r="F10530">
            <v>882525616601</v>
          </cell>
        </row>
        <row r="10531">
          <cell r="E10531" t="str">
            <v>AIC-MP-00006922-000</v>
          </cell>
          <cell r="F10531">
            <v>882525616601</v>
          </cell>
        </row>
        <row r="10532">
          <cell r="E10532" t="str">
            <v>AIC-MP-00003322-000</v>
          </cell>
          <cell r="F10532">
            <v>882525616601</v>
          </cell>
        </row>
        <row r="10533">
          <cell r="E10533" t="str">
            <v>AIC-MP-00002589-000</v>
          </cell>
          <cell r="F10533">
            <v>882525616601</v>
          </cell>
        </row>
        <row r="10534">
          <cell r="E10534" t="str">
            <v>LUC-EZZ-400409-00</v>
          </cell>
          <cell r="F10534">
            <v>882525616601</v>
          </cell>
        </row>
        <row r="10535">
          <cell r="E10535" t="str">
            <v>LUC-EZZ-440202-00</v>
          </cell>
          <cell r="F10535">
            <v>882525616601</v>
          </cell>
        </row>
        <row r="10536">
          <cell r="E10536" t="str">
            <v>LUC-EZZ-510070-00</v>
          </cell>
          <cell r="F10536">
            <v>882525616601</v>
          </cell>
        </row>
        <row r="10537">
          <cell r="E10537" t="str">
            <v>LUC-E00-470183-00</v>
          </cell>
          <cell r="F10537">
            <v>458476747157</v>
          </cell>
        </row>
        <row r="10538">
          <cell r="E10538" t="str">
            <v>LUC-E00-420071-00</v>
          </cell>
          <cell r="F10538">
            <v>467735376133</v>
          </cell>
        </row>
        <row r="10539">
          <cell r="E10539" t="str">
            <v>LUC-E00-470028-00</v>
          </cell>
          <cell r="F10539">
            <v>445170458171</v>
          </cell>
        </row>
        <row r="10540">
          <cell r="E10540" t="str">
            <v>LUC-E00-470071-00</v>
          </cell>
          <cell r="F10540">
            <v>467735416634</v>
          </cell>
        </row>
        <row r="10541">
          <cell r="E10541" t="str">
            <v>LUC-E00-470137-00</v>
          </cell>
          <cell r="F10541">
            <v>882459465562</v>
          </cell>
        </row>
        <row r="10542">
          <cell r="E10542" t="str">
            <v>LUC-E00-400267-00</v>
          </cell>
          <cell r="F10542">
            <v>409298791901</v>
          </cell>
        </row>
        <row r="10543">
          <cell r="E10543" t="str">
            <v>LUC-EZZ-420084-00</v>
          </cell>
          <cell r="F10543">
            <v>409298791901</v>
          </cell>
        </row>
        <row r="10544">
          <cell r="E10544" t="str">
            <v>LUC-E00-420235-00</v>
          </cell>
          <cell r="F10544">
            <v>409298791901</v>
          </cell>
        </row>
        <row r="10545">
          <cell r="E10545" t="str">
            <v>LUC-E00-420059-00</v>
          </cell>
          <cell r="F10545">
            <v>409298791901</v>
          </cell>
        </row>
        <row r="10546">
          <cell r="E10546" t="str">
            <v>LUC-E00-420059-00</v>
          </cell>
          <cell r="F10546">
            <v>409298791901</v>
          </cell>
        </row>
        <row r="10547">
          <cell r="E10547" t="str">
            <v>LUC-EZZ-441599-00</v>
          </cell>
          <cell r="F10547">
            <v>409298791901</v>
          </cell>
        </row>
        <row r="10548">
          <cell r="E10548" t="str">
            <v>LUC-EZZ-441599-00</v>
          </cell>
          <cell r="F10548">
            <v>409298791901</v>
          </cell>
        </row>
        <row r="10549">
          <cell r="E10549" t="str">
            <v>LUC-EZZ-420176-00</v>
          </cell>
          <cell r="F10549">
            <v>409298791901</v>
          </cell>
        </row>
        <row r="10550">
          <cell r="E10550" t="str">
            <v>LUC-E00-420002-03</v>
          </cell>
          <cell r="F10550">
            <v>409298791901</v>
          </cell>
        </row>
        <row r="10551">
          <cell r="E10551" t="str">
            <v>LUC-EZZ-420532-00</v>
          </cell>
          <cell r="F10551">
            <v>409298791901</v>
          </cell>
        </row>
        <row r="10552">
          <cell r="E10552" t="str">
            <v>AIC-120-012764</v>
          </cell>
          <cell r="F10552">
            <v>882490725519</v>
          </cell>
        </row>
        <row r="10553">
          <cell r="E10553" t="str">
            <v>AIC-MP-00004185-000</v>
          </cell>
          <cell r="F10553">
            <v>882490725519</v>
          </cell>
        </row>
        <row r="10554">
          <cell r="E10554" t="str">
            <v>AIC-MP-00000219-000</v>
          </cell>
          <cell r="F10554">
            <v>882490725519</v>
          </cell>
        </row>
        <row r="10555">
          <cell r="E10555" t="str">
            <v>AIC-MP-00000220-000</v>
          </cell>
          <cell r="F10555">
            <v>882490725519</v>
          </cell>
        </row>
        <row r="10556">
          <cell r="E10556" t="str">
            <v>AIC-MP-00001508-000</v>
          </cell>
          <cell r="F10556">
            <v>882490725519</v>
          </cell>
        </row>
        <row r="10557">
          <cell r="E10557" t="str">
            <v>AIC-MP-00004184-000</v>
          </cell>
          <cell r="F10557">
            <v>882490725519</v>
          </cell>
        </row>
        <row r="10558">
          <cell r="E10558" t="str">
            <v>AIC-MP-00005080-000</v>
          </cell>
          <cell r="F10558">
            <v>882490725519</v>
          </cell>
        </row>
        <row r="10559">
          <cell r="E10559" t="str">
            <v>AIC-MP-00003606-000</v>
          </cell>
          <cell r="F10559">
            <v>882490725519</v>
          </cell>
        </row>
        <row r="10560">
          <cell r="E10560" t="str">
            <v>AIC-MP-ID004086-S01</v>
          </cell>
          <cell r="F10560">
            <v>688374394338</v>
          </cell>
        </row>
        <row r="10561">
          <cell r="E10561" t="str">
            <v>PUR-16-0046-01</v>
          </cell>
          <cell r="F10561">
            <v>882518885980</v>
          </cell>
        </row>
        <row r="10562">
          <cell r="E10562" t="str">
            <v>PUR-16-0051-00</v>
          </cell>
          <cell r="F10562">
            <v>882518885980</v>
          </cell>
        </row>
        <row r="10563">
          <cell r="E10563" t="str">
            <v>AIC-MP-00006997-000</v>
          </cell>
          <cell r="F10563">
            <v>469774253265</v>
          </cell>
        </row>
        <row r="10564">
          <cell r="E10564" t="str">
            <v>AIC-MP-00006997-000</v>
          </cell>
          <cell r="F10564">
            <v>469774253265</v>
          </cell>
        </row>
        <row r="10565">
          <cell r="E10565" t="str">
            <v>HLOB-03-0038-00</v>
          </cell>
          <cell r="F10565">
            <v>467700388176</v>
          </cell>
        </row>
        <row r="10566">
          <cell r="E10566" t="str">
            <v>HLOB-03-0038-00</v>
          </cell>
          <cell r="F10566">
            <v>467700388176</v>
          </cell>
        </row>
        <row r="10567">
          <cell r="E10567" t="str">
            <v>HLOB-03-0038-00</v>
          </cell>
          <cell r="F10567">
            <v>467700388176</v>
          </cell>
        </row>
        <row r="10568">
          <cell r="E10568" t="str">
            <v>HLOB-03-0038-00</v>
          </cell>
          <cell r="F10568">
            <v>467700388176</v>
          </cell>
        </row>
        <row r="10569">
          <cell r="E10569" t="str">
            <v>LUC-E00-690033-02</v>
          </cell>
          <cell r="F10569" t="str">
            <v>LSHHPH2505676</v>
          </cell>
        </row>
        <row r="10570">
          <cell r="E10570" t="str">
            <v>LUC-E00-690033-03</v>
          </cell>
          <cell r="F10570" t="str">
            <v>LSHHPH2505676</v>
          </cell>
        </row>
        <row r="10571">
          <cell r="E10571" t="str">
            <v>LUC-P21-K61100-02</v>
          </cell>
          <cell r="F10571" t="str">
            <v>LSHHPH2505686</v>
          </cell>
        </row>
        <row r="10572">
          <cell r="E10572" t="str">
            <v>PUR-09-0253-00</v>
          </cell>
          <cell r="F10572">
            <v>445170469076</v>
          </cell>
        </row>
        <row r="10573">
          <cell r="E10573" t="str">
            <v>LUC-E00-400026-00</v>
          </cell>
          <cell r="F10573">
            <v>445170467794</v>
          </cell>
        </row>
        <row r="10574">
          <cell r="E10574" t="str">
            <v>HLOB-09-0329-00</v>
          </cell>
          <cell r="F10574">
            <v>445170469396</v>
          </cell>
        </row>
        <row r="10575">
          <cell r="E10575" t="str">
            <v>LUC-E00-420071-00</v>
          </cell>
          <cell r="F10575">
            <v>445170469146</v>
          </cell>
        </row>
        <row r="10576">
          <cell r="E10576" t="str">
            <v>LUC-E00-420071-00</v>
          </cell>
          <cell r="F10576">
            <v>445170469146</v>
          </cell>
        </row>
        <row r="10577">
          <cell r="E10577" t="str">
            <v>LUC-E00-420071-00</v>
          </cell>
          <cell r="F10577">
            <v>445170469146</v>
          </cell>
        </row>
        <row r="10578">
          <cell r="E10578" t="str">
            <v>LUC-E00-420071-00</v>
          </cell>
          <cell r="F10578">
            <v>445170469146</v>
          </cell>
        </row>
        <row r="10579">
          <cell r="E10579" t="str">
            <v>LUC-E00-440148-00</v>
          </cell>
          <cell r="F10579">
            <v>650969643578</v>
          </cell>
        </row>
        <row r="10580">
          <cell r="E10580" t="str">
            <v>LUC-EZZ-440204-00</v>
          </cell>
          <cell r="F10580">
            <v>467735408912</v>
          </cell>
        </row>
        <row r="10581">
          <cell r="E10581" t="str">
            <v>PUR-09-0422-00</v>
          </cell>
          <cell r="F10581">
            <v>445170466169</v>
          </cell>
        </row>
        <row r="10582">
          <cell r="E10582" t="str">
            <v>HLOB-09-0279-00</v>
          </cell>
          <cell r="F10582">
            <v>445170466103</v>
          </cell>
        </row>
        <row r="10583">
          <cell r="E10583" t="str">
            <v>HLOB-09-0279-00</v>
          </cell>
          <cell r="F10583">
            <v>445170466103</v>
          </cell>
        </row>
        <row r="10584">
          <cell r="E10584" t="str">
            <v>LUC-E00-440048-00</v>
          </cell>
          <cell r="F10584">
            <v>458171551408</v>
          </cell>
        </row>
        <row r="10585">
          <cell r="E10585" t="str">
            <v>LUC-E00-440124-00</v>
          </cell>
          <cell r="F10585">
            <v>458171551408</v>
          </cell>
        </row>
        <row r="10586">
          <cell r="E10586" t="str">
            <v>LUC-EZZ-440031-00</v>
          </cell>
          <cell r="F10586">
            <v>458171551408</v>
          </cell>
        </row>
        <row r="10587">
          <cell r="E10587" t="str">
            <v>LUC-EZZ-440072-00</v>
          </cell>
          <cell r="F10587">
            <v>458171551408</v>
          </cell>
        </row>
        <row r="10588">
          <cell r="E10588" t="str">
            <v>LUC-EZZ-440162-00</v>
          </cell>
          <cell r="F10588">
            <v>458171551408</v>
          </cell>
        </row>
        <row r="10589">
          <cell r="E10589" t="str">
            <v>LUC-EZZ-440030-00</v>
          </cell>
          <cell r="F10589">
            <v>458171551408</v>
          </cell>
        </row>
        <row r="10590">
          <cell r="E10590" t="str">
            <v>LUC-EZZ-440032-00</v>
          </cell>
          <cell r="F10590">
            <v>458171551408</v>
          </cell>
        </row>
        <row r="10591">
          <cell r="E10591" t="str">
            <v>LUC-EZZ-440090-00</v>
          </cell>
          <cell r="F10591">
            <v>458171551408</v>
          </cell>
        </row>
        <row r="10592">
          <cell r="E10592" t="str">
            <v>LUC-EZZ-440100-00</v>
          </cell>
          <cell r="F10592">
            <v>458171551408</v>
          </cell>
        </row>
        <row r="10593">
          <cell r="E10593" t="str">
            <v>HLOB-09-0424-00</v>
          </cell>
          <cell r="F10593">
            <v>445170467967</v>
          </cell>
        </row>
        <row r="10594">
          <cell r="E10594" t="str">
            <v>PUR-09-0213-00</v>
          </cell>
          <cell r="F10594">
            <v>445170466170</v>
          </cell>
        </row>
        <row r="10595">
          <cell r="E10595" t="str">
            <v>AIC-126-002327</v>
          </cell>
          <cell r="F10595">
            <v>467735404160</v>
          </cell>
        </row>
        <row r="10596">
          <cell r="E10596" t="str">
            <v>LUC-E00-400010-032</v>
          </cell>
          <cell r="F10596">
            <v>409298791945</v>
          </cell>
        </row>
        <row r="10597">
          <cell r="E10597" t="str">
            <v>PUR-03-0082-02</v>
          </cell>
          <cell r="F10597">
            <v>467700415817</v>
          </cell>
        </row>
        <row r="10598">
          <cell r="E10598" t="str">
            <v>LUC-EZZ-470422-00</v>
          </cell>
          <cell r="F10598">
            <v>445170468253</v>
          </cell>
        </row>
        <row r="10599">
          <cell r="E10599" t="str">
            <v>PUR-11-0128-04</v>
          </cell>
          <cell r="F10599" t="str">
            <v>PSHPH2570022</v>
          </cell>
        </row>
        <row r="10600">
          <cell r="E10600" t="str">
            <v>PUR-11-0104-05</v>
          </cell>
          <cell r="F10600" t="str">
            <v>PSHPH2570022</v>
          </cell>
        </row>
        <row r="10601">
          <cell r="E10601" t="str">
            <v>PUR-11-0104-05</v>
          </cell>
          <cell r="F10601" t="str">
            <v>PSHPH2570022</v>
          </cell>
        </row>
        <row r="10602">
          <cell r="E10602" t="str">
            <v>HLOB-11-0106-05</v>
          </cell>
          <cell r="F10602" t="str">
            <v>PSHPH2570022</v>
          </cell>
        </row>
        <row r="10603">
          <cell r="E10603" t="str">
            <v>HLOB-11-0106-05</v>
          </cell>
          <cell r="F10603" t="str">
            <v>PSHPH2570022</v>
          </cell>
        </row>
        <row r="10604">
          <cell r="E10604" t="str">
            <v>PUR-11-0105-04</v>
          </cell>
          <cell r="F10604" t="str">
            <v>PSHPH2570022</v>
          </cell>
        </row>
        <row r="10605">
          <cell r="E10605" t="str">
            <v>PUR-11-0105-04</v>
          </cell>
          <cell r="F10605" t="str">
            <v>PSHPH2570022</v>
          </cell>
        </row>
        <row r="10606">
          <cell r="E10606" t="str">
            <v>PUR-11-0105-04</v>
          </cell>
          <cell r="F10606" t="str">
            <v>PSHPH2570022</v>
          </cell>
        </row>
        <row r="10607">
          <cell r="E10607" t="str">
            <v>PUR-11-0105-04</v>
          </cell>
          <cell r="F10607" t="str">
            <v>PSHPH2570022</v>
          </cell>
        </row>
        <row r="10608">
          <cell r="E10608" t="str">
            <v>PUR-11-0105-04</v>
          </cell>
          <cell r="F10608" t="str">
            <v>PSHPH2570022</v>
          </cell>
        </row>
        <row r="10609">
          <cell r="E10609" t="str">
            <v>AIC-MP-00006066-000</v>
          </cell>
          <cell r="F10609">
            <v>882587969005</v>
          </cell>
        </row>
        <row r="10610">
          <cell r="E10610" t="str">
            <v>AIC-MP-00006066-000</v>
          </cell>
          <cell r="F10610">
            <v>882587969005</v>
          </cell>
        </row>
        <row r="10611">
          <cell r="E10611" t="str">
            <v>LUC-E00-400010-035</v>
          </cell>
          <cell r="F10611">
            <v>8989006040</v>
          </cell>
        </row>
        <row r="10612">
          <cell r="E10612" t="str">
            <v>LUC-E00-450056-00</v>
          </cell>
          <cell r="F10612">
            <v>8989006040</v>
          </cell>
        </row>
        <row r="10613">
          <cell r="E10613" t="str">
            <v>LUC-E00-400001-010</v>
          </cell>
          <cell r="F10613">
            <v>8989006040</v>
          </cell>
        </row>
        <row r="10614">
          <cell r="E10614" t="str">
            <v>LUC-E00-400010-048</v>
          </cell>
          <cell r="F10614">
            <v>8989006040</v>
          </cell>
        </row>
        <row r="10615">
          <cell r="E10615" t="str">
            <v>LUC-E00-460015-01</v>
          </cell>
          <cell r="F10615">
            <v>8989006040</v>
          </cell>
        </row>
        <row r="10616">
          <cell r="E10616" t="str">
            <v>LUC-E00-510021-00</v>
          </cell>
          <cell r="F10616">
            <v>8989006040</v>
          </cell>
        </row>
        <row r="10617">
          <cell r="E10617" t="str">
            <v>LUC-E00-510021-00</v>
          </cell>
          <cell r="F10617">
            <v>8989006040</v>
          </cell>
        </row>
        <row r="10618">
          <cell r="E10618" t="str">
            <v>LUC-E00-510021-00</v>
          </cell>
          <cell r="F10618">
            <v>8989006040</v>
          </cell>
        </row>
        <row r="10619">
          <cell r="E10619" t="str">
            <v>LUC-E00-400244-00</v>
          </cell>
          <cell r="F10619">
            <v>8989006040</v>
          </cell>
        </row>
        <row r="10620">
          <cell r="E10620" t="str">
            <v>LUC-EZZ-400291-00</v>
          </cell>
          <cell r="F10620">
            <v>8989006040</v>
          </cell>
        </row>
        <row r="10621">
          <cell r="E10621" t="str">
            <v>LUC-EZZ-510061-00</v>
          </cell>
          <cell r="F10621">
            <v>8989006040</v>
          </cell>
        </row>
        <row r="10622">
          <cell r="E10622" t="str">
            <v>LUC-EZZ-510061-00</v>
          </cell>
          <cell r="F10622">
            <v>8989006040</v>
          </cell>
        </row>
        <row r="10623">
          <cell r="E10623" t="str">
            <v>LUC-EZZ-510061-00</v>
          </cell>
          <cell r="F10623">
            <v>8989006040</v>
          </cell>
        </row>
        <row r="10624">
          <cell r="E10624" t="str">
            <v>LUC-E00-440026-00</v>
          </cell>
          <cell r="F10624">
            <v>8989006040</v>
          </cell>
        </row>
        <row r="10625">
          <cell r="E10625" t="str">
            <v>LUC-E00-440026-00</v>
          </cell>
          <cell r="F10625">
            <v>8989006040</v>
          </cell>
        </row>
        <row r="10626">
          <cell r="E10626" t="str">
            <v>LUC-E00-470447-00</v>
          </cell>
          <cell r="F10626">
            <v>8989006040</v>
          </cell>
        </row>
        <row r="10627">
          <cell r="E10627" t="str">
            <v>LUC-E00-510041-00</v>
          </cell>
          <cell r="F10627">
            <v>8989006040</v>
          </cell>
        </row>
        <row r="10628">
          <cell r="E10628" t="str">
            <v>LUC-E00-510041-00</v>
          </cell>
          <cell r="F10628">
            <v>8989006040</v>
          </cell>
        </row>
        <row r="10629">
          <cell r="E10629" t="str">
            <v>LUC-E00-510041-00</v>
          </cell>
          <cell r="F10629">
            <v>8989006040</v>
          </cell>
        </row>
        <row r="10630">
          <cell r="E10630" t="str">
            <v>LUC-EZZ-471023-00</v>
          </cell>
          <cell r="F10630">
            <v>8989006040</v>
          </cell>
        </row>
        <row r="10631">
          <cell r="E10631" t="str">
            <v>LUC-EZZ-420120-00</v>
          </cell>
          <cell r="F10631">
            <v>8989006040</v>
          </cell>
        </row>
        <row r="10632">
          <cell r="E10632" t="str">
            <v>LUC-E00-440028-00</v>
          </cell>
          <cell r="F10632">
            <v>8989006040</v>
          </cell>
        </row>
        <row r="10633">
          <cell r="E10633" t="str">
            <v>LUC-E00-470062-00</v>
          </cell>
          <cell r="F10633">
            <v>8989006040</v>
          </cell>
        </row>
        <row r="10634">
          <cell r="E10634" t="str">
            <v>LUC-E00-470062-00</v>
          </cell>
          <cell r="F10634">
            <v>8989006040</v>
          </cell>
        </row>
        <row r="10635">
          <cell r="E10635" t="str">
            <v>LUC-EZZ-510061-00</v>
          </cell>
          <cell r="F10635">
            <v>8989006040</v>
          </cell>
        </row>
        <row r="10636">
          <cell r="E10636" t="str">
            <v>LUC-EZZ-510061-00</v>
          </cell>
          <cell r="F10636">
            <v>8989006040</v>
          </cell>
        </row>
        <row r="10637">
          <cell r="E10637" t="str">
            <v>LUC-E00-470301-00</v>
          </cell>
          <cell r="F10637">
            <v>8989006040</v>
          </cell>
        </row>
        <row r="10638">
          <cell r="E10638" t="str">
            <v>LUC-EZZ-420089-00</v>
          </cell>
          <cell r="F10638">
            <v>8989006040</v>
          </cell>
        </row>
        <row r="10639">
          <cell r="E10639" t="str">
            <v>LUC-E00-510019-00</v>
          </cell>
          <cell r="F10639">
            <v>8989006040</v>
          </cell>
        </row>
        <row r="10640">
          <cell r="E10640" t="str">
            <v>LUC-E00-440047-00</v>
          </cell>
          <cell r="F10640">
            <v>8989006040</v>
          </cell>
        </row>
        <row r="10641">
          <cell r="E10641" t="str">
            <v>LUC-E00-510019-00</v>
          </cell>
          <cell r="F10641">
            <v>8989006040</v>
          </cell>
        </row>
        <row r="10642">
          <cell r="E10642" t="str">
            <v>LUC-E00-510019-00</v>
          </cell>
          <cell r="F10642">
            <v>8989006040</v>
          </cell>
        </row>
        <row r="10643">
          <cell r="E10643" t="str">
            <v>LUC-E00-400067-285</v>
          </cell>
          <cell r="F10643">
            <v>8989006040</v>
          </cell>
        </row>
        <row r="10644">
          <cell r="E10644" t="str">
            <v>LUC-E00-400056-01</v>
          </cell>
          <cell r="F10644">
            <v>8989006040</v>
          </cell>
        </row>
        <row r="10645">
          <cell r="E10645" t="str">
            <v>LUC-E00-420056-01</v>
          </cell>
          <cell r="F10645">
            <v>8989006040</v>
          </cell>
        </row>
        <row r="10646">
          <cell r="E10646" t="str">
            <v>LUC-E00-470265-00</v>
          </cell>
          <cell r="F10646">
            <v>8989006040</v>
          </cell>
        </row>
        <row r="10647">
          <cell r="E10647" t="str">
            <v>LUC-E00-440026-00</v>
          </cell>
          <cell r="F10647">
            <v>8989006040</v>
          </cell>
        </row>
        <row r="10648">
          <cell r="E10648" t="str">
            <v>LUC-E00-440026-00</v>
          </cell>
          <cell r="F10648">
            <v>8989006040</v>
          </cell>
        </row>
        <row r="10649">
          <cell r="E10649" t="str">
            <v>LUC-E00-450148-01</v>
          </cell>
          <cell r="F10649">
            <v>8989006040</v>
          </cell>
        </row>
        <row r="10650">
          <cell r="E10650" t="str">
            <v>LUC-E00-450148-01</v>
          </cell>
          <cell r="F10650">
            <v>8989006040</v>
          </cell>
        </row>
        <row r="10651">
          <cell r="E10651" t="str">
            <v>LUC-E00-450148-01</v>
          </cell>
          <cell r="F10651">
            <v>8989006040</v>
          </cell>
        </row>
        <row r="10652">
          <cell r="E10652" t="str">
            <v>LUC-E00-420057-01</v>
          </cell>
          <cell r="F10652">
            <v>8989006040</v>
          </cell>
        </row>
        <row r="10653">
          <cell r="E10653" t="str">
            <v>LUC-E00-420054-04</v>
          </cell>
          <cell r="F10653">
            <v>8989006040</v>
          </cell>
        </row>
        <row r="10654">
          <cell r="E10654" t="str">
            <v>LUC-E00-420054-04</v>
          </cell>
          <cell r="F10654">
            <v>8989006040</v>
          </cell>
        </row>
        <row r="10655">
          <cell r="E10655" t="str">
            <v>LUC-E00-420054-04</v>
          </cell>
          <cell r="F10655">
            <v>8989006040</v>
          </cell>
        </row>
        <row r="10656">
          <cell r="E10656" t="str">
            <v>PUR-14-0050-00</v>
          </cell>
          <cell r="F10656">
            <v>8989006040</v>
          </cell>
        </row>
        <row r="10657">
          <cell r="E10657" t="str">
            <v>LUC-EZZ-420120-00</v>
          </cell>
          <cell r="F10657">
            <v>8989006040</v>
          </cell>
        </row>
        <row r="10658">
          <cell r="E10658" t="str">
            <v>LUC-E00-470044-00</v>
          </cell>
          <cell r="F10658">
            <v>8989006040</v>
          </cell>
        </row>
        <row r="10659">
          <cell r="E10659" t="str">
            <v>LUC-E00-470082-00</v>
          </cell>
          <cell r="F10659">
            <v>8989006040</v>
          </cell>
        </row>
        <row r="10660">
          <cell r="E10660" t="str">
            <v>LUC-EZZ-420046-00</v>
          </cell>
          <cell r="F10660">
            <v>8989006040</v>
          </cell>
        </row>
        <row r="10661">
          <cell r="E10661" t="str">
            <v>LUC-E00-540004-00</v>
          </cell>
          <cell r="F10661">
            <v>8989006040</v>
          </cell>
        </row>
        <row r="10662">
          <cell r="E10662" t="str">
            <v>LUC-E00-510037-00</v>
          </cell>
          <cell r="F10662">
            <v>8989006040</v>
          </cell>
        </row>
        <row r="10663">
          <cell r="E10663" t="str">
            <v>LUC-EZZ-420136-00</v>
          </cell>
          <cell r="F10663">
            <v>8989006040</v>
          </cell>
        </row>
        <row r="10664">
          <cell r="E10664" t="str">
            <v>LUC-E00-510015-00</v>
          </cell>
          <cell r="F10664">
            <v>8989006040</v>
          </cell>
        </row>
        <row r="10665">
          <cell r="E10665" t="str">
            <v>LUC-EZZ-451277-00</v>
          </cell>
          <cell r="F10665">
            <v>8989006040</v>
          </cell>
        </row>
        <row r="10666">
          <cell r="E10666" t="str">
            <v>LUC-E00-420076-00</v>
          </cell>
          <cell r="F10666">
            <v>8989006040</v>
          </cell>
        </row>
        <row r="10667">
          <cell r="E10667" t="str">
            <v>LUC-E00-420076-00</v>
          </cell>
          <cell r="F10667">
            <v>8989006040</v>
          </cell>
        </row>
        <row r="10668">
          <cell r="E10668" t="str">
            <v>LUC-E00-420076-00</v>
          </cell>
          <cell r="F10668">
            <v>8989006040</v>
          </cell>
        </row>
        <row r="10669">
          <cell r="E10669" t="str">
            <v>LUC-E00-510037-00</v>
          </cell>
          <cell r="F10669">
            <v>8989006040</v>
          </cell>
        </row>
        <row r="10670">
          <cell r="E10670" t="str">
            <v>LUC-EZZ-400411-00</v>
          </cell>
          <cell r="F10670">
            <v>8989006040</v>
          </cell>
        </row>
        <row r="10671">
          <cell r="E10671" t="str">
            <v>AIC-122-004328</v>
          </cell>
          <cell r="F10671">
            <v>8989006040</v>
          </cell>
        </row>
        <row r="10672">
          <cell r="E10672" t="str">
            <v>LUC-E00-420054-00</v>
          </cell>
          <cell r="F10672">
            <v>8989006040</v>
          </cell>
        </row>
        <row r="10673">
          <cell r="E10673" t="str">
            <v>LUC-E00-420241-00</v>
          </cell>
          <cell r="F10673">
            <v>8989006040</v>
          </cell>
        </row>
        <row r="10674">
          <cell r="E10674" t="str">
            <v>LUC-E00-470004-00</v>
          </cell>
          <cell r="F10674">
            <v>8989006040</v>
          </cell>
        </row>
        <row r="10675">
          <cell r="E10675" t="str">
            <v>LUC-E00-420027-04</v>
          </cell>
          <cell r="F10675">
            <v>8989006040</v>
          </cell>
        </row>
        <row r="10676">
          <cell r="E10676" t="str">
            <v>LUC-E00-470119-00</v>
          </cell>
          <cell r="F10676">
            <v>8989006040</v>
          </cell>
        </row>
        <row r="10677">
          <cell r="E10677" t="str">
            <v>LUC-E00-470120-00</v>
          </cell>
          <cell r="F10677">
            <v>8989006040</v>
          </cell>
        </row>
        <row r="10678">
          <cell r="E10678" t="str">
            <v>LUC-E00-470059-00</v>
          </cell>
          <cell r="F10678">
            <v>8989006040</v>
          </cell>
        </row>
        <row r="10679">
          <cell r="E10679" t="str">
            <v>LUC-E00-510045-00</v>
          </cell>
          <cell r="F10679">
            <v>8989006040</v>
          </cell>
        </row>
        <row r="10680">
          <cell r="E10680" t="str">
            <v>LUC-E00-470123-00</v>
          </cell>
          <cell r="F10680">
            <v>8989006040</v>
          </cell>
        </row>
        <row r="10681">
          <cell r="E10681" t="str">
            <v>LUC-E00-470123-00</v>
          </cell>
          <cell r="F10681">
            <v>8989006040</v>
          </cell>
        </row>
        <row r="10682">
          <cell r="E10682" t="str">
            <v>LUC-E00-470080-00</v>
          </cell>
          <cell r="F10682">
            <v>8989006040</v>
          </cell>
        </row>
        <row r="10683">
          <cell r="E10683" t="str">
            <v>LUC-E00-420027-04</v>
          </cell>
          <cell r="F10683">
            <v>8989006040</v>
          </cell>
        </row>
        <row r="10684">
          <cell r="E10684" t="str">
            <v>LUC-E00-420037-09</v>
          </cell>
          <cell r="F10684">
            <v>8989006040</v>
          </cell>
        </row>
        <row r="10685">
          <cell r="E10685" t="str">
            <v>LUC-E00-420054-00</v>
          </cell>
          <cell r="F10685">
            <v>8989006040</v>
          </cell>
        </row>
        <row r="10686">
          <cell r="E10686" t="str">
            <v>LUC-EZZ-420507-00</v>
          </cell>
          <cell r="F10686">
            <v>8989006040</v>
          </cell>
        </row>
        <row r="10687">
          <cell r="E10687" t="str">
            <v>LUC-E00-470033-00</v>
          </cell>
          <cell r="F10687">
            <v>8989006040</v>
          </cell>
        </row>
        <row r="10688">
          <cell r="E10688" t="str">
            <v>LUC-E00-470020-01</v>
          </cell>
          <cell r="F10688">
            <v>8989006040</v>
          </cell>
        </row>
        <row r="10689">
          <cell r="E10689" t="str">
            <v>LUC-E00-420055-12</v>
          </cell>
          <cell r="F10689">
            <v>8989006040</v>
          </cell>
        </row>
        <row r="10690">
          <cell r="E10690" t="str">
            <v>LUC-E00-510027-00</v>
          </cell>
          <cell r="F10690">
            <v>8989006040</v>
          </cell>
        </row>
        <row r="10691">
          <cell r="E10691" t="str">
            <v>LUC-EZZ-420121-00</v>
          </cell>
          <cell r="F10691">
            <v>8989006040</v>
          </cell>
        </row>
        <row r="10692">
          <cell r="E10692" t="str">
            <v>LUC-E00-450043-00</v>
          </cell>
          <cell r="F10692">
            <v>8989006040</v>
          </cell>
        </row>
        <row r="10693">
          <cell r="E10693" t="str">
            <v>LUC-E00-420060-00</v>
          </cell>
          <cell r="F10693">
            <v>8989006040</v>
          </cell>
        </row>
        <row r="10694">
          <cell r="E10694" t="str">
            <v>LUC-E00-420069-00</v>
          </cell>
          <cell r="F10694">
            <v>8989006040</v>
          </cell>
        </row>
        <row r="10695">
          <cell r="E10695" t="str">
            <v>LUC-E00-420058-00</v>
          </cell>
          <cell r="F10695">
            <v>8989006040</v>
          </cell>
        </row>
        <row r="10696">
          <cell r="E10696" t="str">
            <v>LUC-E00-400048-00</v>
          </cell>
          <cell r="F10696">
            <v>8989006040</v>
          </cell>
        </row>
        <row r="10697">
          <cell r="E10697" t="str">
            <v>LUC-EZZ-420089-00</v>
          </cell>
          <cell r="F10697">
            <v>8989006040</v>
          </cell>
        </row>
        <row r="10698">
          <cell r="E10698" t="str">
            <v>LUC-E00-510014-00</v>
          </cell>
          <cell r="F10698">
            <v>8989006040</v>
          </cell>
        </row>
        <row r="10699">
          <cell r="E10699" t="str">
            <v>LUC-EZZ-440176-00</v>
          </cell>
          <cell r="F10699">
            <v>8989006040</v>
          </cell>
        </row>
        <row r="10700">
          <cell r="E10700" t="str">
            <v>LUC-E00-510041-00</v>
          </cell>
          <cell r="F10700">
            <v>8989006040</v>
          </cell>
        </row>
        <row r="10701">
          <cell r="E10701" t="str">
            <v>LUC-E00-480008-00</v>
          </cell>
          <cell r="F10701">
            <v>8989006040</v>
          </cell>
        </row>
        <row r="10702">
          <cell r="E10702" t="str">
            <v>LUC-E00-450044-00</v>
          </cell>
          <cell r="F10702">
            <v>8989006040</v>
          </cell>
        </row>
        <row r="10703">
          <cell r="E10703" t="str">
            <v>LUC-E00-470090-00</v>
          </cell>
          <cell r="F10703">
            <v>8989006040</v>
          </cell>
        </row>
        <row r="10704">
          <cell r="E10704" t="str">
            <v>LUC-E00-470089-00</v>
          </cell>
          <cell r="F10704">
            <v>8989006040</v>
          </cell>
        </row>
        <row r="10705">
          <cell r="E10705" t="str">
            <v>LUC-E00-460038-00</v>
          </cell>
          <cell r="F10705">
            <v>8989006040</v>
          </cell>
        </row>
        <row r="10706">
          <cell r="E10706" t="str">
            <v>LUC-E00-470252-00</v>
          </cell>
          <cell r="F10706">
            <v>8989006040</v>
          </cell>
        </row>
        <row r="10707">
          <cell r="E10707" t="str">
            <v>LUC-E00-420171-00</v>
          </cell>
          <cell r="F10707">
            <v>8989006040</v>
          </cell>
        </row>
        <row r="10708">
          <cell r="E10708" t="str">
            <v>LUC-E00-510037-00</v>
          </cell>
          <cell r="F10708">
            <v>8989006040</v>
          </cell>
        </row>
        <row r="10709">
          <cell r="E10709" t="str">
            <v>LUC-E00-510037-00</v>
          </cell>
          <cell r="F10709">
            <v>8989006040</v>
          </cell>
        </row>
        <row r="10710">
          <cell r="E10710" t="str">
            <v>LUC-EZZ-420002-00</v>
          </cell>
          <cell r="F10710">
            <v>8989006040</v>
          </cell>
        </row>
        <row r="10711">
          <cell r="E10711" t="str">
            <v>LUC-E00-510061-01</v>
          </cell>
          <cell r="F10711">
            <v>8989006040</v>
          </cell>
        </row>
        <row r="10712">
          <cell r="E10712" t="str">
            <v>123-001929</v>
          </cell>
          <cell r="F10712">
            <v>8989006040</v>
          </cell>
        </row>
        <row r="10713">
          <cell r="E10713" t="str">
            <v>123-001930</v>
          </cell>
          <cell r="F10713">
            <v>8989006040</v>
          </cell>
        </row>
        <row r="10714">
          <cell r="E10714" t="str">
            <v>AIC-122-004329</v>
          </cell>
          <cell r="F10714">
            <v>8989006040</v>
          </cell>
        </row>
        <row r="10715">
          <cell r="E10715" t="str">
            <v>HLOB-31-0103-01</v>
          </cell>
          <cell r="F10715" t="str">
            <v>KNQ9</v>
          </cell>
        </row>
        <row r="10716">
          <cell r="E10716" t="str">
            <v>HLOB-31-0103-01</v>
          </cell>
          <cell r="F10716" t="str">
            <v>KNQ9</v>
          </cell>
        </row>
        <row r="10717">
          <cell r="E10717" t="str">
            <v>PUR-31-0110-00</v>
          </cell>
          <cell r="F10717" t="str">
            <v>KNQ9</v>
          </cell>
        </row>
        <row r="10718">
          <cell r="E10718" t="str">
            <v>LUC-EZZ-400537-00</v>
          </cell>
          <cell r="F10718">
            <v>467735384830</v>
          </cell>
        </row>
        <row r="10719">
          <cell r="E10719" t="str">
            <v>EF-45225755</v>
          </cell>
          <cell r="F10719">
            <v>417969474485</v>
          </cell>
        </row>
        <row r="10720">
          <cell r="E10720" t="str">
            <v>HLOB-09-0427-00</v>
          </cell>
          <cell r="F10720">
            <v>119209612910</v>
          </cell>
        </row>
        <row r="10721">
          <cell r="E10721" t="str">
            <v>HLOB-09-0213-00</v>
          </cell>
          <cell r="F10721">
            <v>119209612910</v>
          </cell>
        </row>
        <row r="10722">
          <cell r="E10722" t="str">
            <v>LUC-EZZ-400204-00</v>
          </cell>
          <cell r="F10722">
            <v>119209612910</v>
          </cell>
        </row>
        <row r="10723">
          <cell r="E10723" t="str">
            <v>LUC-EZZ-400543-00</v>
          </cell>
          <cell r="F10723">
            <v>119209612910</v>
          </cell>
        </row>
        <row r="10724">
          <cell r="E10724" t="str">
            <v>AGI-410-50002-01</v>
          </cell>
          <cell r="F10724">
            <v>119209612910</v>
          </cell>
        </row>
        <row r="10725">
          <cell r="E10725" t="str">
            <v>HLOB-09-0343-00</v>
          </cell>
          <cell r="F10725">
            <v>458476753818</v>
          </cell>
        </row>
        <row r="10726">
          <cell r="E10726" t="str">
            <v>HLOB-09-0343-00</v>
          </cell>
          <cell r="F10726">
            <v>458476753818</v>
          </cell>
        </row>
        <row r="10727">
          <cell r="E10727" t="str">
            <v>HLOB-09-0279-00</v>
          </cell>
          <cell r="F10727">
            <v>445170471433</v>
          </cell>
        </row>
        <row r="10728">
          <cell r="E10728" t="str">
            <v>AIC-MP-00006744-000</v>
          </cell>
          <cell r="F10728">
            <v>882589949819</v>
          </cell>
        </row>
        <row r="10729">
          <cell r="E10729" t="str">
            <v>AIC-MP-00006921-000</v>
          </cell>
          <cell r="F10729">
            <v>882589949819</v>
          </cell>
        </row>
        <row r="10730">
          <cell r="E10730" t="str">
            <v>AIC-MP-00006545-000</v>
          </cell>
          <cell r="F10730">
            <v>882589949819</v>
          </cell>
        </row>
        <row r="10731">
          <cell r="E10731" t="str">
            <v>AIC-109-001572</v>
          </cell>
          <cell r="F10731">
            <v>882589949819</v>
          </cell>
        </row>
        <row r="10732">
          <cell r="E10732" t="str">
            <v>LUC-EZZ-400231-00</v>
          </cell>
          <cell r="F10732">
            <v>445170471580</v>
          </cell>
        </row>
        <row r="10733">
          <cell r="E10733" t="str">
            <v>AIC-MP-00007005-000</v>
          </cell>
          <cell r="F10733">
            <v>882585347229</v>
          </cell>
        </row>
        <row r="10734">
          <cell r="E10734" t="str">
            <v>PUR-13-0235-00</v>
          </cell>
          <cell r="F10734">
            <v>445170471617</v>
          </cell>
        </row>
        <row r="10735">
          <cell r="E10735" t="str">
            <v>AIC-MP-00004069-000</v>
          </cell>
          <cell r="F10735">
            <v>448135851727</v>
          </cell>
        </row>
        <row r="10736">
          <cell r="E10736" t="str">
            <v>AIC-MP-00005554-000</v>
          </cell>
          <cell r="F10736">
            <v>448135851727</v>
          </cell>
        </row>
        <row r="10737">
          <cell r="E10737" t="str">
            <v>AIC-MP-IC006053-S01</v>
          </cell>
          <cell r="F10737">
            <v>448135851727</v>
          </cell>
        </row>
        <row r="10738">
          <cell r="E10738" t="str">
            <v>LUC-P11-K41300-00</v>
          </cell>
          <cell r="F10738">
            <v>448135851727</v>
          </cell>
        </row>
        <row r="10739">
          <cell r="E10739" t="str">
            <v>LUC-EZZ-400577-00</v>
          </cell>
          <cell r="F10739">
            <v>448135851727</v>
          </cell>
        </row>
        <row r="10740">
          <cell r="E10740" t="str">
            <v>LUC-EZZ-400231-00</v>
          </cell>
          <cell r="F10740">
            <v>448135851727</v>
          </cell>
        </row>
        <row r="10741">
          <cell r="E10741" t="str">
            <v>LUC-EZZ-401295-00</v>
          </cell>
          <cell r="F10741">
            <v>448135851727</v>
          </cell>
        </row>
        <row r="10742">
          <cell r="E10742" t="str">
            <v>LUC-EZZ-420194-00</v>
          </cell>
          <cell r="F10742">
            <v>448135851727</v>
          </cell>
        </row>
        <row r="10743">
          <cell r="E10743" t="str">
            <v>LUC-EZZ-421345-00</v>
          </cell>
          <cell r="F10743">
            <v>448135851727</v>
          </cell>
        </row>
        <row r="10744">
          <cell r="E10744" t="str">
            <v>121-000538.X.X</v>
          </cell>
          <cell r="F10744">
            <v>448135851727</v>
          </cell>
        </row>
        <row r="10745">
          <cell r="E10745" t="str">
            <v>PUR-09-0267-00</v>
          </cell>
          <cell r="F10745">
            <v>448135851727</v>
          </cell>
        </row>
        <row r="10746">
          <cell r="E10746" t="str">
            <v>123-000306.X.X</v>
          </cell>
          <cell r="F10746">
            <v>448135851727</v>
          </cell>
        </row>
        <row r="10747">
          <cell r="E10747" t="str">
            <v>121-000855.X.X</v>
          </cell>
          <cell r="F10747">
            <v>448135851727</v>
          </cell>
        </row>
        <row r="10748">
          <cell r="E10748" t="str">
            <v>119-001192</v>
          </cell>
          <cell r="F10748">
            <v>448135851727</v>
          </cell>
        </row>
        <row r="10749">
          <cell r="E10749" t="str">
            <v>134-001540</v>
          </cell>
          <cell r="F10749">
            <v>448135851727</v>
          </cell>
        </row>
        <row r="10750">
          <cell r="E10750" t="str">
            <v>174-001250</v>
          </cell>
          <cell r="F10750">
            <v>448135851727</v>
          </cell>
        </row>
        <row r="10751">
          <cell r="E10751" t="str">
            <v>LUC-E00-400011-004</v>
          </cell>
          <cell r="F10751">
            <v>448135851727</v>
          </cell>
        </row>
        <row r="10752">
          <cell r="E10752" t="str">
            <v>LUC-EZZ-400238-00</v>
          </cell>
          <cell r="F10752">
            <v>448135851727</v>
          </cell>
        </row>
        <row r="10753">
          <cell r="E10753" t="str">
            <v>LUC-E00-400023-000</v>
          </cell>
          <cell r="F10753">
            <v>448135851727</v>
          </cell>
        </row>
        <row r="10754">
          <cell r="E10754" t="str">
            <v>LUC-EZZ-400117-00</v>
          </cell>
          <cell r="F10754">
            <v>448135851727</v>
          </cell>
        </row>
        <row r="10755">
          <cell r="E10755" t="str">
            <v>LUC-EZZ-400426-00</v>
          </cell>
          <cell r="F10755">
            <v>448135851727</v>
          </cell>
        </row>
        <row r="10756">
          <cell r="E10756" t="str">
            <v>LUC-E00-540019-00</v>
          </cell>
          <cell r="F10756">
            <v>448135851727</v>
          </cell>
        </row>
        <row r="10757">
          <cell r="E10757" t="str">
            <v>AIC-MP-00003647-000</v>
          </cell>
          <cell r="F10757">
            <v>448135851727</v>
          </cell>
        </row>
        <row r="10758">
          <cell r="E10758" t="str">
            <v>122-004374</v>
          </cell>
          <cell r="F10758">
            <v>448135851727</v>
          </cell>
        </row>
        <row r="10759">
          <cell r="E10759" t="str">
            <v>EF-45129741</v>
          </cell>
          <cell r="F10759">
            <v>448135851727</v>
          </cell>
        </row>
        <row r="10760">
          <cell r="E10760" t="str">
            <v>LUC-E00-690029-00</v>
          </cell>
          <cell r="F10760">
            <v>882549029874</v>
          </cell>
        </row>
        <row r="10761">
          <cell r="E10761" t="str">
            <v>HLOB-09-0434-00</v>
          </cell>
          <cell r="F10761">
            <v>445170471032</v>
          </cell>
        </row>
        <row r="10762">
          <cell r="E10762" t="str">
            <v>PUR-13-0236-00</v>
          </cell>
          <cell r="F10762">
            <v>4914912309</v>
          </cell>
        </row>
        <row r="10763">
          <cell r="E10763" t="str">
            <v>HLOB-13-0069-00</v>
          </cell>
          <cell r="F10763">
            <v>4812824923</v>
          </cell>
        </row>
        <row r="10764">
          <cell r="E10764" t="str">
            <v>PUR-13-0212-00</v>
          </cell>
          <cell r="F10764">
            <v>4812824923</v>
          </cell>
        </row>
        <row r="10765">
          <cell r="E10765" t="str">
            <v>HLOB-13-0212-00</v>
          </cell>
          <cell r="F10765">
            <v>4812824923</v>
          </cell>
        </row>
        <row r="10766">
          <cell r="E10766" t="str">
            <v>PUR-13-0134-00</v>
          </cell>
          <cell r="F10766">
            <v>4812824923</v>
          </cell>
        </row>
        <row r="10767">
          <cell r="E10767" t="str">
            <v>HLOB-13-0238-00</v>
          </cell>
          <cell r="F10767">
            <v>4812824923</v>
          </cell>
        </row>
        <row r="10768">
          <cell r="E10768" t="str">
            <v>HLOB-13-0238-00</v>
          </cell>
          <cell r="F10768">
            <v>4812824923</v>
          </cell>
        </row>
        <row r="10769">
          <cell r="E10769" t="str">
            <v>PUR-13-0196-00</v>
          </cell>
          <cell r="F10769">
            <v>4812824923</v>
          </cell>
        </row>
        <row r="10770">
          <cell r="E10770" t="str">
            <v>LUC-E00-420275-00</v>
          </cell>
          <cell r="F10770">
            <v>4812824923</v>
          </cell>
        </row>
        <row r="10771">
          <cell r="E10771" t="str">
            <v>EF-45135293</v>
          </cell>
          <cell r="F10771">
            <v>4812824923</v>
          </cell>
        </row>
        <row r="10772">
          <cell r="E10772" t="str">
            <v>LUC-EZZ-420097-00</v>
          </cell>
          <cell r="F10772">
            <v>4812824923</v>
          </cell>
        </row>
        <row r="10773">
          <cell r="E10773" t="str">
            <v>LUC-EZZ-420097-00</v>
          </cell>
          <cell r="F10773">
            <v>4812824923</v>
          </cell>
        </row>
        <row r="10774">
          <cell r="E10774" t="str">
            <v>LUC-EZZ-420097-00</v>
          </cell>
          <cell r="F10774">
            <v>4812824923</v>
          </cell>
        </row>
        <row r="10775">
          <cell r="E10775" t="str">
            <v>LUC-EZZ-420097-00</v>
          </cell>
          <cell r="F10775">
            <v>4812824923</v>
          </cell>
        </row>
        <row r="10776">
          <cell r="E10776" t="str">
            <v>LUC-E00-420072-01</v>
          </cell>
          <cell r="F10776">
            <v>4812824923</v>
          </cell>
        </row>
        <row r="10777">
          <cell r="E10777" t="str">
            <v>LUC-EZZ-420261-00</v>
          </cell>
          <cell r="F10777">
            <v>4812824923</v>
          </cell>
        </row>
        <row r="10778">
          <cell r="E10778" t="str">
            <v>LUC-EZZ-420539-00</v>
          </cell>
          <cell r="F10778">
            <v>4812824923</v>
          </cell>
        </row>
        <row r="10779">
          <cell r="E10779" t="str">
            <v>LUC-EZZ-420133-00</v>
          </cell>
          <cell r="F10779">
            <v>4812824923</v>
          </cell>
        </row>
        <row r="10780">
          <cell r="E10780" t="str">
            <v>LUC-EZZ-420133-00</v>
          </cell>
          <cell r="F10780">
            <v>4812824923</v>
          </cell>
        </row>
        <row r="10781">
          <cell r="E10781" t="str">
            <v>LUC-EZZ-420178-00</v>
          </cell>
          <cell r="F10781">
            <v>4812824923</v>
          </cell>
        </row>
        <row r="10782">
          <cell r="E10782" t="str">
            <v>PURET-13-0007-00</v>
          </cell>
          <cell r="F10782">
            <v>4812824923</v>
          </cell>
        </row>
        <row r="10783">
          <cell r="E10783" t="str">
            <v>PURET-13-0007-00</v>
          </cell>
          <cell r="F10783">
            <v>4812824923</v>
          </cell>
        </row>
        <row r="10784">
          <cell r="E10784" t="str">
            <v>PUR-16-0035-00</v>
          </cell>
          <cell r="F10784" t="str">
            <v>LSZHPH2507144</v>
          </cell>
        </row>
        <row r="10785">
          <cell r="E10785" t="str">
            <v>PUR-16-0046-01</v>
          </cell>
          <cell r="F10785" t="str">
            <v>LSZHPH2507144</v>
          </cell>
        </row>
        <row r="10786">
          <cell r="E10786" t="str">
            <v>LUC-EZZ-490315-02</v>
          </cell>
          <cell r="F10786">
            <v>1515897</v>
          </cell>
        </row>
        <row r="10787">
          <cell r="E10787" t="str">
            <v>LUC-EZZ-490307-01</v>
          </cell>
          <cell r="F10787">
            <v>1515897</v>
          </cell>
        </row>
        <row r="10788">
          <cell r="E10788" t="str">
            <v>LUC-EZZ-490535-00</v>
          </cell>
          <cell r="F10788">
            <v>1515897</v>
          </cell>
        </row>
        <row r="10789">
          <cell r="E10789" t="str">
            <v>LUC-EZZ-490307-01</v>
          </cell>
          <cell r="F10789">
            <v>1515897</v>
          </cell>
        </row>
        <row r="10790">
          <cell r="E10790" t="str">
            <v>LUC-EZZ-490307-01</v>
          </cell>
          <cell r="F10790">
            <v>1515897</v>
          </cell>
        </row>
        <row r="10791">
          <cell r="E10791" t="str">
            <v>LUC-EZZ-490230-05</v>
          </cell>
          <cell r="F10791">
            <v>1515897</v>
          </cell>
        </row>
        <row r="10792">
          <cell r="E10792" t="str">
            <v>LUC-EZZ-490230-05</v>
          </cell>
          <cell r="F10792">
            <v>1515897</v>
          </cell>
        </row>
        <row r="10793">
          <cell r="E10793" t="str">
            <v>LUC-EZZ-490230-05</v>
          </cell>
          <cell r="F10793">
            <v>1515897</v>
          </cell>
        </row>
        <row r="10794">
          <cell r="E10794" t="str">
            <v>LUC-EZZ-490230-04</v>
          </cell>
          <cell r="F10794">
            <v>1515897</v>
          </cell>
        </row>
        <row r="10795">
          <cell r="E10795" t="str">
            <v>LUC-EZZ-490230-04</v>
          </cell>
          <cell r="F10795">
            <v>1515897</v>
          </cell>
        </row>
        <row r="10796">
          <cell r="E10796" t="str">
            <v>LUC-EZZ-490259-00</v>
          </cell>
          <cell r="F10796">
            <v>1515897</v>
          </cell>
        </row>
        <row r="10797">
          <cell r="E10797" t="str">
            <v>LUC-E00-440026-00</v>
          </cell>
          <cell r="F10797">
            <v>1086294565</v>
          </cell>
        </row>
        <row r="10798">
          <cell r="E10798" t="str">
            <v>LUC-P21-K33200-02</v>
          </cell>
          <cell r="F10798" t="str">
            <v>LSHHPH2505935</v>
          </cell>
        </row>
        <row r="10799">
          <cell r="E10799" t="str">
            <v>LUC-P21-K33200-02</v>
          </cell>
          <cell r="F10799" t="str">
            <v>LSHHPH2505935</v>
          </cell>
        </row>
        <row r="10800">
          <cell r="E10800" t="str">
            <v>LUC-P21-K33200-02</v>
          </cell>
          <cell r="F10800" t="str">
            <v>LSHHPH2505935</v>
          </cell>
        </row>
        <row r="10801">
          <cell r="E10801" t="str">
            <v>LUC-P21-K61200-02</v>
          </cell>
          <cell r="F10801" t="str">
            <v>LSHHPH2505935</v>
          </cell>
        </row>
        <row r="10802">
          <cell r="E10802" t="str">
            <v>EF-45055219.X.X</v>
          </cell>
          <cell r="F10802">
            <v>3455684783</v>
          </cell>
        </row>
        <row r="10803">
          <cell r="E10803" t="str">
            <v>LUC-EZZ-420695-01</v>
          </cell>
          <cell r="F10803">
            <v>7730377410</v>
          </cell>
        </row>
        <row r="10804">
          <cell r="E10804" t="str">
            <v>LUC-EZZ-400246-00</v>
          </cell>
          <cell r="F10804">
            <v>7730377410</v>
          </cell>
        </row>
        <row r="10805">
          <cell r="E10805" t="str">
            <v>LUC-EZZ-420049-00</v>
          </cell>
          <cell r="F10805">
            <v>7730377410</v>
          </cell>
        </row>
        <row r="10806">
          <cell r="E10806" t="str">
            <v>LUC-E00-400018-000</v>
          </cell>
          <cell r="F10806">
            <v>7730377410</v>
          </cell>
        </row>
        <row r="10807">
          <cell r="E10807" t="str">
            <v>PUR-14-0095-00</v>
          </cell>
          <cell r="F10807">
            <v>7730377410</v>
          </cell>
        </row>
        <row r="10808">
          <cell r="E10808" t="str">
            <v>174-000139</v>
          </cell>
          <cell r="F10808">
            <v>7730377410</v>
          </cell>
        </row>
        <row r="10809">
          <cell r="E10809" t="str">
            <v>AGI-760-40007-01</v>
          </cell>
          <cell r="F10809">
            <v>7730377410</v>
          </cell>
        </row>
        <row r="10810">
          <cell r="E10810" t="str">
            <v>LUC-E00-400023-000</v>
          </cell>
          <cell r="F10810">
            <v>7730377410</v>
          </cell>
        </row>
        <row r="10811">
          <cell r="E10811" t="str">
            <v>LUC-EZZ-400213-00</v>
          </cell>
          <cell r="F10811">
            <v>7730377410</v>
          </cell>
        </row>
        <row r="10812">
          <cell r="E10812" t="str">
            <v>PUR-11-0065-06</v>
          </cell>
          <cell r="F10812">
            <v>882627204223</v>
          </cell>
        </row>
        <row r="10813">
          <cell r="E10813" t="str">
            <v>PUR-11-0066-05</v>
          </cell>
          <cell r="F10813">
            <v>882627204223</v>
          </cell>
        </row>
        <row r="10814">
          <cell r="E10814" t="str">
            <v>HLOB-05-0031-00</v>
          </cell>
          <cell r="F10814">
            <v>3455682171</v>
          </cell>
        </row>
        <row r="10815">
          <cell r="E10815" t="str">
            <v>HLOB-15-0220-00</v>
          </cell>
          <cell r="F10815">
            <v>4914912317</v>
          </cell>
        </row>
        <row r="10816">
          <cell r="E10816" t="str">
            <v>PUR-15-0220-00</v>
          </cell>
          <cell r="F10816">
            <v>4914912317</v>
          </cell>
        </row>
        <row r="10817">
          <cell r="E10817" t="str">
            <v>HLOB-15-0220-00</v>
          </cell>
          <cell r="F10817">
            <v>4914912317</v>
          </cell>
        </row>
        <row r="10818">
          <cell r="E10818" t="str">
            <v>HLOB-15-0220-00</v>
          </cell>
          <cell r="F10818">
            <v>4914912317</v>
          </cell>
        </row>
        <row r="10819">
          <cell r="E10819" t="str">
            <v>AIC-MP-00005032-000</v>
          </cell>
          <cell r="F10819">
            <v>882589240400</v>
          </cell>
        </row>
        <row r="10820">
          <cell r="E10820" t="str">
            <v>AIC-174-001344</v>
          </cell>
          <cell r="F10820">
            <v>882589240400</v>
          </cell>
        </row>
        <row r="10821">
          <cell r="E10821" t="str">
            <v>AIC-MP-00005032-000</v>
          </cell>
          <cell r="F10821">
            <v>882589240400</v>
          </cell>
        </row>
        <row r="10822">
          <cell r="E10822" t="str">
            <v>AIC-MP-00006358-000</v>
          </cell>
          <cell r="F10822">
            <v>882589240400</v>
          </cell>
        </row>
        <row r="10823">
          <cell r="E10823" t="str">
            <v>AIC-MP-00005041-000</v>
          </cell>
          <cell r="F10823">
            <v>882589240400</v>
          </cell>
        </row>
        <row r="10824">
          <cell r="E10824" t="str">
            <v>AIC-123-001933</v>
          </cell>
          <cell r="F10824">
            <v>882589240400</v>
          </cell>
        </row>
        <row r="10825">
          <cell r="E10825" t="str">
            <v>AIC-MP-00004938-000</v>
          </cell>
          <cell r="F10825">
            <v>882589240400</v>
          </cell>
        </row>
        <row r="10826">
          <cell r="E10826" t="str">
            <v>AIC-MP-00005957-000</v>
          </cell>
          <cell r="F10826">
            <v>882589240400</v>
          </cell>
        </row>
        <row r="10827">
          <cell r="E10827" t="str">
            <v>AIC-MP-00002640-000</v>
          </cell>
          <cell r="F10827">
            <v>882589240400</v>
          </cell>
        </row>
        <row r="10828">
          <cell r="E10828" t="str">
            <v>AIC-MP-ID004128-S01</v>
          </cell>
          <cell r="F10828">
            <v>882589240400</v>
          </cell>
        </row>
        <row r="10829">
          <cell r="E10829" t="str">
            <v>LUC-LABEL-60X40-G</v>
          </cell>
          <cell r="F10829">
            <v>882623570775</v>
          </cell>
        </row>
        <row r="10830">
          <cell r="E10830" t="str">
            <v>102-001561</v>
          </cell>
          <cell r="F10830">
            <v>467700432007</v>
          </cell>
        </row>
        <row r="10831">
          <cell r="E10831" t="str">
            <v>AGI-510-40027-01</v>
          </cell>
          <cell r="F10831">
            <v>423264389870</v>
          </cell>
        </row>
        <row r="10832">
          <cell r="E10832" t="str">
            <v>LUC-EZZ-400035-00</v>
          </cell>
          <cell r="F10832">
            <v>423264389870</v>
          </cell>
        </row>
        <row r="10833">
          <cell r="E10833" t="str">
            <v>121-000520.X.X</v>
          </cell>
          <cell r="F10833">
            <v>423264389870</v>
          </cell>
        </row>
        <row r="10834">
          <cell r="E10834" t="str">
            <v>HLOB-13-0001-00</v>
          </cell>
          <cell r="F10834">
            <v>423264389870</v>
          </cell>
        </row>
        <row r="10835">
          <cell r="E10835" t="str">
            <v>LUC-EZZ-420822-00</v>
          </cell>
          <cell r="F10835">
            <v>423264389870</v>
          </cell>
        </row>
        <row r="10836">
          <cell r="E10836" t="str">
            <v>LUC-E00-420025-03</v>
          </cell>
          <cell r="F10836">
            <v>423264389870</v>
          </cell>
        </row>
        <row r="10837">
          <cell r="E10837" t="str">
            <v>AIC-MP-00003276-000</v>
          </cell>
          <cell r="F10837">
            <v>423264389870</v>
          </cell>
        </row>
        <row r="10838">
          <cell r="E10838" t="str">
            <v>AIC-MP-00003340-000</v>
          </cell>
          <cell r="F10838">
            <v>423264389870</v>
          </cell>
        </row>
        <row r="10839">
          <cell r="E10839" t="str">
            <v>AIC-MP-00002857-000</v>
          </cell>
          <cell r="F10839">
            <v>423264389870</v>
          </cell>
        </row>
        <row r="10840">
          <cell r="E10840" t="str">
            <v>AIC-MP-00003291-000</v>
          </cell>
          <cell r="F10840">
            <v>423264389870</v>
          </cell>
        </row>
        <row r="10841">
          <cell r="E10841" t="str">
            <v>AIC-MP-00003350-000</v>
          </cell>
          <cell r="F10841">
            <v>423264389870</v>
          </cell>
        </row>
        <row r="10842">
          <cell r="E10842" t="str">
            <v>PURET-12-0225-00</v>
          </cell>
          <cell r="F10842">
            <v>423264389870</v>
          </cell>
        </row>
        <row r="10843">
          <cell r="E10843" t="str">
            <v>PUR-12-0411-00</v>
          </cell>
          <cell r="F10843">
            <v>423264389870</v>
          </cell>
        </row>
        <row r="10844">
          <cell r="E10844" t="str">
            <v>122-000293.X.X</v>
          </cell>
          <cell r="F10844">
            <v>423264389870</v>
          </cell>
        </row>
        <row r="10845">
          <cell r="E10845" t="str">
            <v>122-000673.X.X</v>
          </cell>
          <cell r="F10845">
            <v>423264389870</v>
          </cell>
        </row>
        <row r="10846">
          <cell r="E10846" t="str">
            <v>121-000206.X.X</v>
          </cell>
          <cell r="F10846">
            <v>423264389870</v>
          </cell>
        </row>
        <row r="10847">
          <cell r="E10847" t="str">
            <v>122-000919.X.X</v>
          </cell>
          <cell r="F10847">
            <v>423264389870</v>
          </cell>
        </row>
        <row r="10848">
          <cell r="E10848" t="str">
            <v>122-000827.X.X</v>
          </cell>
          <cell r="F10848">
            <v>423264389870</v>
          </cell>
        </row>
        <row r="10849">
          <cell r="E10849" t="str">
            <v>121-001611</v>
          </cell>
          <cell r="F10849">
            <v>423264389870</v>
          </cell>
        </row>
        <row r="10850">
          <cell r="E10850" t="str">
            <v>121-001611</v>
          </cell>
          <cell r="F10850">
            <v>423264389870</v>
          </cell>
        </row>
        <row r="10851">
          <cell r="E10851" t="str">
            <v>121-000525.X.X</v>
          </cell>
          <cell r="F10851">
            <v>423264389870</v>
          </cell>
        </row>
        <row r="10852">
          <cell r="E10852" t="str">
            <v>121-000356.X.X</v>
          </cell>
          <cell r="F10852">
            <v>423264389870</v>
          </cell>
        </row>
        <row r="10853">
          <cell r="E10853" t="str">
            <v>121-000520.X.X</v>
          </cell>
          <cell r="F10853">
            <v>423264389870</v>
          </cell>
        </row>
        <row r="10854">
          <cell r="E10854" t="str">
            <v>121-000254.X.X</v>
          </cell>
          <cell r="F10854">
            <v>423264389870</v>
          </cell>
        </row>
        <row r="10855">
          <cell r="E10855" t="str">
            <v>PUR-13-0227-00</v>
          </cell>
          <cell r="F10855">
            <v>882625848969</v>
          </cell>
        </row>
        <row r="10856">
          <cell r="E10856" t="str">
            <v>122-000453.X.X</v>
          </cell>
          <cell r="F10856">
            <v>882625848969</v>
          </cell>
        </row>
        <row r="10857">
          <cell r="E10857" t="str">
            <v>122-000453.X.X</v>
          </cell>
          <cell r="F10857">
            <v>882625848969</v>
          </cell>
        </row>
        <row r="10858">
          <cell r="E10858" t="str">
            <v>122-000453.X.X</v>
          </cell>
          <cell r="F10858">
            <v>882625848969</v>
          </cell>
        </row>
        <row r="10859">
          <cell r="E10859" t="str">
            <v>PUR-12-0254-00</v>
          </cell>
          <cell r="F10859">
            <v>882625848969</v>
          </cell>
        </row>
        <row r="10860">
          <cell r="E10860" t="str">
            <v>AIC-121-005920</v>
          </cell>
          <cell r="F10860">
            <v>882625848969</v>
          </cell>
        </row>
        <row r="10861">
          <cell r="E10861" t="str">
            <v>LUC-EZZ-420110-00</v>
          </cell>
          <cell r="F10861">
            <v>466522071587</v>
          </cell>
        </row>
        <row r="10862">
          <cell r="E10862" t="str">
            <v>EF-45129741</v>
          </cell>
          <cell r="F10862">
            <v>882553713958</v>
          </cell>
        </row>
        <row r="10863">
          <cell r="E10863" t="str">
            <v>AIC-MP-00005182-000</v>
          </cell>
          <cell r="F10863">
            <v>643036765121</v>
          </cell>
        </row>
        <row r="10864">
          <cell r="E10864" t="str">
            <v>EF-45043246.X.X</v>
          </cell>
          <cell r="F10864">
            <v>741993619040</v>
          </cell>
        </row>
        <row r="10865">
          <cell r="E10865" t="str">
            <v>PUR-09-0513-00</v>
          </cell>
          <cell r="F10865">
            <v>390768307222</v>
          </cell>
        </row>
        <row r="10866">
          <cell r="E10866" t="str">
            <v>LUC-EZZ-471571-00</v>
          </cell>
          <cell r="F10866">
            <v>390768307222</v>
          </cell>
        </row>
        <row r="10867">
          <cell r="E10867" t="str">
            <v>LUC-EZZ-470305-00</v>
          </cell>
          <cell r="F10867">
            <v>390768307222</v>
          </cell>
        </row>
        <row r="10868">
          <cell r="E10868" t="str">
            <v>LUC-EZZ-470422-00</v>
          </cell>
          <cell r="F10868">
            <v>390768307222</v>
          </cell>
        </row>
        <row r="10869">
          <cell r="E10869" t="str">
            <v>HLOB-09-0343-00</v>
          </cell>
          <cell r="F10869">
            <v>470197857791</v>
          </cell>
        </row>
        <row r="10870">
          <cell r="E10870" t="str">
            <v>LUC-E00-460023-00</v>
          </cell>
          <cell r="F10870">
            <v>1086296853</v>
          </cell>
        </row>
        <row r="10871">
          <cell r="E10871" t="str">
            <v>LUC-E00-450148-01</v>
          </cell>
          <cell r="F10871">
            <v>1086296853</v>
          </cell>
        </row>
        <row r="10872">
          <cell r="E10872" t="str">
            <v>LUC-EZZ-690145-00</v>
          </cell>
          <cell r="F10872">
            <v>4110326135</v>
          </cell>
        </row>
        <row r="10873">
          <cell r="E10873" t="str">
            <v>LUC-E00-690062-01</v>
          </cell>
          <cell r="F10873">
            <v>4110326136</v>
          </cell>
        </row>
        <row r="10874">
          <cell r="E10874" t="str">
            <v>LUC-EZZ-691595-00</v>
          </cell>
          <cell r="F10874">
            <v>4110326137</v>
          </cell>
        </row>
        <row r="10875">
          <cell r="E10875" t="str">
            <v>LUC-EZZ-470097-01</v>
          </cell>
          <cell r="F10875">
            <v>4110326138</v>
          </cell>
        </row>
        <row r="10876">
          <cell r="E10876" t="str">
            <v>LUC-EZZ-691595-00</v>
          </cell>
          <cell r="F10876">
            <v>4110326139</v>
          </cell>
        </row>
        <row r="10877">
          <cell r="E10877" t="str">
            <v>LUC-EZZ-690241-00</v>
          </cell>
          <cell r="F10877">
            <v>4110326164</v>
          </cell>
        </row>
        <row r="10878">
          <cell r="E10878" t="str">
            <v>LUC-P21-K81001-01</v>
          </cell>
          <cell r="F10878" t="str">
            <v>LSHHPH2505933</v>
          </cell>
        </row>
        <row r="10879">
          <cell r="E10879" t="str">
            <v>LUC-P21-K81100-01</v>
          </cell>
          <cell r="F10879" t="str">
            <v>LSHHPH2505933</v>
          </cell>
        </row>
        <row r="10880">
          <cell r="E10880" t="str">
            <v>LUC-P21-K81101-01</v>
          </cell>
          <cell r="F10880" t="str">
            <v>LSHHPH2505933</v>
          </cell>
        </row>
        <row r="10881">
          <cell r="E10881" t="str">
            <v>LUC-P21-K81201-01</v>
          </cell>
          <cell r="F10881" t="str">
            <v>LSHHPH2505933</v>
          </cell>
        </row>
        <row r="10882">
          <cell r="E10882" t="str">
            <v>LUC-P21-K34500-02</v>
          </cell>
          <cell r="F10882" t="str">
            <v>BSJSH0085714B</v>
          </cell>
        </row>
        <row r="10883">
          <cell r="E10883" t="str">
            <v>LUC-P21-K34500-02</v>
          </cell>
          <cell r="F10883" t="str">
            <v>BSJSH0085714B</v>
          </cell>
        </row>
        <row r="10884">
          <cell r="E10884" t="str">
            <v>LUC-P21-K34200-00</v>
          </cell>
          <cell r="F10884" t="str">
            <v>BSJSH0085714B</v>
          </cell>
        </row>
        <row r="10885">
          <cell r="E10885" t="str">
            <v>LUC-P21-K34200-00</v>
          </cell>
          <cell r="F10885" t="str">
            <v>BSJSH0085714B</v>
          </cell>
        </row>
        <row r="10886">
          <cell r="E10886" t="str">
            <v>LUC-P21-K34600-02</v>
          </cell>
          <cell r="F10886" t="str">
            <v>BSJSH0085714B</v>
          </cell>
        </row>
        <row r="10887">
          <cell r="E10887" t="str">
            <v>LUC-P21-K34600-02</v>
          </cell>
          <cell r="F10887" t="str">
            <v>BSJSH0085714B</v>
          </cell>
        </row>
        <row r="10888">
          <cell r="E10888" t="str">
            <v>PUR-03-0038-00</v>
          </cell>
          <cell r="F10888">
            <v>2763637785</v>
          </cell>
        </row>
        <row r="10889">
          <cell r="E10889" t="str">
            <v>PUR-03-0038-00</v>
          </cell>
          <cell r="F10889">
            <v>2763637785</v>
          </cell>
        </row>
        <row r="10890">
          <cell r="E10890" t="str">
            <v>LUC-EZZ-440127-00</v>
          </cell>
          <cell r="F10890" t="str">
            <v>1Z4R29Y30465382145</v>
          </cell>
        </row>
        <row r="10891">
          <cell r="E10891" t="str">
            <v>LUC-E00-400010-000</v>
          </cell>
          <cell r="F10891" t="str">
            <v>1Z75A9570473131729</v>
          </cell>
        </row>
        <row r="10892">
          <cell r="E10892" t="str">
            <v>PUR-03-0038-00</v>
          </cell>
          <cell r="F10892">
            <v>1671042435</v>
          </cell>
        </row>
        <row r="10893">
          <cell r="E10893" t="str">
            <v>EF-45072100.X.X</v>
          </cell>
          <cell r="F10893">
            <v>3455689300</v>
          </cell>
        </row>
        <row r="10894">
          <cell r="E10894" t="str">
            <v>PUR-14-0083-00</v>
          </cell>
          <cell r="F10894">
            <v>3455689300</v>
          </cell>
        </row>
        <row r="10895">
          <cell r="E10895" t="str">
            <v>HLOB-14-0083-00</v>
          </cell>
          <cell r="F10895">
            <v>3455689300</v>
          </cell>
        </row>
        <row r="10896">
          <cell r="E10896" t="str">
            <v>PUR-14-0076-00</v>
          </cell>
          <cell r="F10896">
            <v>3455689300</v>
          </cell>
        </row>
        <row r="10897">
          <cell r="E10897" t="str">
            <v>HLOB-14-0076-00</v>
          </cell>
          <cell r="F10897">
            <v>3455689300</v>
          </cell>
        </row>
        <row r="10898">
          <cell r="E10898" t="str">
            <v>HLOB-14-0076-00</v>
          </cell>
          <cell r="F10898">
            <v>3455689300</v>
          </cell>
        </row>
        <row r="10899">
          <cell r="E10899" t="str">
            <v>HLOB-14-0083-00</v>
          </cell>
          <cell r="F10899">
            <v>3455689300</v>
          </cell>
        </row>
        <row r="10900">
          <cell r="E10900" t="str">
            <v>PUR-14-0076-00</v>
          </cell>
          <cell r="F10900">
            <v>3455689300</v>
          </cell>
        </row>
        <row r="10901">
          <cell r="E10901" t="str">
            <v>PUR-14-0076-00</v>
          </cell>
          <cell r="F10901">
            <v>3455689300</v>
          </cell>
        </row>
        <row r="10902">
          <cell r="E10902" t="str">
            <v>PUR-14-0083-00</v>
          </cell>
          <cell r="F10902">
            <v>3455689300</v>
          </cell>
        </row>
        <row r="10903">
          <cell r="E10903" t="str">
            <v>HLOB-14-0083-00</v>
          </cell>
          <cell r="F10903">
            <v>3455689300</v>
          </cell>
        </row>
        <row r="10904">
          <cell r="E10904" t="str">
            <v>HLOB-14-0083-00</v>
          </cell>
          <cell r="F10904">
            <v>3455689300</v>
          </cell>
        </row>
        <row r="10905">
          <cell r="E10905" t="str">
            <v>PUR-14-0077-00</v>
          </cell>
          <cell r="F10905">
            <v>3455689300</v>
          </cell>
        </row>
        <row r="10906">
          <cell r="E10906" t="str">
            <v>HLOB-12-0084-00</v>
          </cell>
          <cell r="F10906">
            <v>3455689300</v>
          </cell>
        </row>
        <row r="10907">
          <cell r="E10907" t="str">
            <v>EF-45046920</v>
          </cell>
          <cell r="F10907">
            <v>3455689300</v>
          </cell>
        </row>
        <row r="10908">
          <cell r="E10908" t="str">
            <v>EF-45124074</v>
          </cell>
          <cell r="F10908">
            <v>3455689300</v>
          </cell>
        </row>
        <row r="10909">
          <cell r="E10909" t="str">
            <v>LUC-E00-400024-04</v>
          </cell>
          <cell r="F10909">
            <v>3455689300</v>
          </cell>
        </row>
        <row r="10910">
          <cell r="E10910" t="str">
            <v>PUR-12-0468-00</v>
          </cell>
          <cell r="F10910">
            <v>3455689300</v>
          </cell>
        </row>
        <row r="10911">
          <cell r="E10911" t="str">
            <v>LUC-E00-400028-08</v>
          </cell>
          <cell r="F10911">
            <v>3455689300</v>
          </cell>
        </row>
        <row r="10912">
          <cell r="E10912" t="str">
            <v>LUC-E00-400028-08</v>
          </cell>
          <cell r="F10912">
            <v>3455689300</v>
          </cell>
        </row>
        <row r="10913">
          <cell r="E10913" t="str">
            <v>LUC-E00-400243-00</v>
          </cell>
          <cell r="F10913">
            <v>3455689300</v>
          </cell>
        </row>
        <row r="10914">
          <cell r="E10914" t="str">
            <v>PUR-12-0408-00</v>
          </cell>
          <cell r="F10914">
            <v>3455689300</v>
          </cell>
        </row>
        <row r="10915">
          <cell r="E10915" t="str">
            <v>HLOB-09-0329-00</v>
          </cell>
          <cell r="F10915">
            <v>3455689300</v>
          </cell>
        </row>
        <row r="10916">
          <cell r="E10916" t="str">
            <v>LUC-E00-400004-01</v>
          </cell>
          <cell r="F10916">
            <v>3455689300</v>
          </cell>
        </row>
        <row r="10917">
          <cell r="E10917" t="str">
            <v>PUR-12-0468-00</v>
          </cell>
          <cell r="F10917">
            <v>3455689300</v>
          </cell>
        </row>
        <row r="10918">
          <cell r="E10918" t="str">
            <v>EF-45126672</v>
          </cell>
          <cell r="F10918">
            <v>3455689300</v>
          </cell>
        </row>
        <row r="10919">
          <cell r="E10919" t="str">
            <v>EF-45052527</v>
          </cell>
          <cell r="F10919">
            <v>3455689300</v>
          </cell>
        </row>
        <row r="10920">
          <cell r="E10920" t="str">
            <v>EF-45149057</v>
          </cell>
          <cell r="F10920">
            <v>3455689300</v>
          </cell>
        </row>
        <row r="10921">
          <cell r="E10921" t="str">
            <v>HLOB-13-0125-00</v>
          </cell>
          <cell r="F10921">
            <v>3455689300</v>
          </cell>
        </row>
        <row r="10922">
          <cell r="E10922" t="str">
            <v>EF-45213270</v>
          </cell>
          <cell r="F10922">
            <v>7099958585</v>
          </cell>
        </row>
        <row r="10923">
          <cell r="E10923" t="str">
            <v>LUC-EZZ-470181-00</v>
          </cell>
          <cell r="F10923">
            <v>7099958585</v>
          </cell>
        </row>
        <row r="10924">
          <cell r="E10924" t="str">
            <v>LUC-EZZ-470855-00</v>
          </cell>
          <cell r="F10924">
            <v>7629546735</v>
          </cell>
        </row>
        <row r="10925">
          <cell r="E10925" t="str">
            <v>LUC-EZZ-470093-00</v>
          </cell>
          <cell r="F10925">
            <v>7629546735</v>
          </cell>
        </row>
        <row r="10926">
          <cell r="E10926" t="str">
            <v>LUC-EZZ-470171-00</v>
          </cell>
          <cell r="F10926">
            <v>7629546735</v>
          </cell>
        </row>
        <row r="10927">
          <cell r="E10927" t="str">
            <v>LUC-EZZ-470181-00</v>
          </cell>
          <cell r="F10927">
            <v>7629546735</v>
          </cell>
        </row>
        <row r="10928">
          <cell r="E10928" t="str">
            <v>AIC-MP-IC004978-S01</v>
          </cell>
          <cell r="F10928">
            <v>7629546735</v>
          </cell>
        </row>
        <row r="10929">
          <cell r="E10929" t="str">
            <v>AIC-MP-IC004977-S01</v>
          </cell>
          <cell r="F10929">
            <v>7629546735</v>
          </cell>
        </row>
        <row r="10930">
          <cell r="E10930" t="str">
            <v>PUR-09-0434-00</v>
          </cell>
          <cell r="F10930">
            <v>470033107706</v>
          </cell>
        </row>
        <row r="10931">
          <cell r="E10931" t="str">
            <v>HLOB-09-0434-00</v>
          </cell>
          <cell r="F10931">
            <v>470033107706</v>
          </cell>
        </row>
        <row r="10932">
          <cell r="E10932" t="str">
            <v>LUC-E00-400028-002</v>
          </cell>
          <cell r="F10932">
            <v>470033107706</v>
          </cell>
        </row>
        <row r="10933">
          <cell r="E10933" t="str">
            <v>HLOB-12-0432-00</v>
          </cell>
          <cell r="F10933">
            <v>882690513640</v>
          </cell>
        </row>
        <row r="10934">
          <cell r="E10934" t="str">
            <v>PUR-12-0420-00</v>
          </cell>
          <cell r="F10934">
            <v>882690513640</v>
          </cell>
        </row>
        <row r="10935">
          <cell r="E10935" t="str">
            <v>PUR-12-0065-00</v>
          </cell>
          <cell r="F10935">
            <v>882690513640</v>
          </cell>
        </row>
        <row r="10936">
          <cell r="E10936" t="str">
            <v>HLOB-12-0271-00</v>
          </cell>
          <cell r="F10936">
            <v>882690513640</v>
          </cell>
        </row>
        <row r="10937">
          <cell r="E10937" t="str">
            <v>HLOB-12-0293-00</v>
          </cell>
          <cell r="F10937">
            <v>882690513640</v>
          </cell>
        </row>
        <row r="10938">
          <cell r="E10938" t="str">
            <v>HLOB-12-0475-00</v>
          </cell>
          <cell r="F10938">
            <v>882690513640</v>
          </cell>
        </row>
        <row r="10939">
          <cell r="E10939" t="str">
            <v>EF-45156145</v>
          </cell>
          <cell r="F10939">
            <v>882690513640</v>
          </cell>
        </row>
        <row r="10940">
          <cell r="E10940" t="str">
            <v>PUR-12-0293-00</v>
          </cell>
          <cell r="F10940">
            <v>882690513640</v>
          </cell>
        </row>
        <row r="10941">
          <cell r="E10941" t="str">
            <v>HLOB-12-0065-00</v>
          </cell>
          <cell r="F10941">
            <v>882690513640</v>
          </cell>
        </row>
        <row r="10942">
          <cell r="E10942" t="str">
            <v>EF-45049936.X.X</v>
          </cell>
          <cell r="F10942">
            <v>882690513640</v>
          </cell>
        </row>
        <row r="10943">
          <cell r="E10943" t="str">
            <v>PUR-12-0310-00</v>
          </cell>
          <cell r="F10943">
            <v>882690513640</v>
          </cell>
        </row>
        <row r="10944">
          <cell r="E10944" t="str">
            <v>AIC-MP-00002539-000</v>
          </cell>
          <cell r="F10944">
            <v>882690513640</v>
          </cell>
        </row>
        <row r="10945">
          <cell r="E10945" t="str">
            <v>AIC-122-004450</v>
          </cell>
          <cell r="F10945">
            <v>882690513640</v>
          </cell>
        </row>
        <row r="10946">
          <cell r="E10946" t="str">
            <v>LUC-E00-400010-021</v>
          </cell>
          <cell r="F10946">
            <v>412069748310</v>
          </cell>
        </row>
        <row r="10947">
          <cell r="E10947" t="str">
            <v>LUC-EZZ-470433-00</v>
          </cell>
          <cell r="F10947">
            <v>470033113220</v>
          </cell>
        </row>
        <row r="10948">
          <cell r="E10948" t="str">
            <v>LUC-EZZ-470480-00</v>
          </cell>
          <cell r="F10948">
            <v>470033113220</v>
          </cell>
        </row>
        <row r="10949">
          <cell r="E10949" t="str">
            <v>LUC-E00-470021-00</v>
          </cell>
          <cell r="F10949">
            <v>470033113220</v>
          </cell>
        </row>
        <row r="10950">
          <cell r="E10950" t="str">
            <v>HLOB-24-0028-00</v>
          </cell>
          <cell r="F10950">
            <v>470033113220</v>
          </cell>
        </row>
        <row r="10951">
          <cell r="E10951" t="str">
            <v>PUR-09-0260-00</v>
          </cell>
          <cell r="F10951">
            <v>470033126068</v>
          </cell>
        </row>
        <row r="10952">
          <cell r="E10952" t="str">
            <v>LUC-E00-440172-00</v>
          </cell>
          <cell r="F10952">
            <v>470033124032</v>
          </cell>
        </row>
        <row r="10953">
          <cell r="E10953" t="str">
            <v>LUC-E00-470137-00</v>
          </cell>
          <cell r="F10953">
            <v>882695640330</v>
          </cell>
        </row>
        <row r="10954">
          <cell r="E10954" t="str">
            <v>LUC-EZZ-471743-00</v>
          </cell>
          <cell r="F10954">
            <v>390907802581</v>
          </cell>
        </row>
        <row r="10955">
          <cell r="E10955" t="str">
            <v>AIC-111-001499</v>
          </cell>
          <cell r="F10955">
            <v>390907802581</v>
          </cell>
        </row>
        <row r="10956">
          <cell r="E10956" t="str">
            <v>AIC-111-001507</v>
          </cell>
          <cell r="F10956">
            <v>390861257472</v>
          </cell>
        </row>
        <row r="10957">
          <cell r="E10957" t="str">
            <v>LUC-E00-420086-00</v>
          </cell>
          <cell r="F10957">
            <v>436622440729</v>
          </cell>
        </row>
        <row r="10958">
          <cell r="E10958" t="str">
            <v>AIC-MP-00007042-000</v>
          </cell>
          <cell r="F10958">
            <v>882664568032</v>
          </cell>
        </row>
        <row r="10959">
          <cell r="E10959" t="str">
            <v>LUC-E00-400001-012</v>
          </cell>
          <cell r="F10959">
            <v>972682034086</v>
          </cell>
        </row>
        <row r="10960">
          <cell r="E10960" t="str">
            <v>LUC-E00-400010-037</v>
          </cell>
          <cell r="F10960">
            <v>972682034086</v>
          </cell>
        </row>
        <row r="10961">
          <cell r="E10961" t="str">
            <v>AIC-MP-00007088-000</v>
          </cell>
          <cell r="F10961">
            <v>882664394126</v>
          </cell>
        </row>
        <row r="10962">
          <cell r="E10962" t="str">
            <v>AIC-MP-OT007295-S01</v>
          </cell>
          <cell r="F10962">
            <v>882664394126</v>
          </cell>
        </row>
        <row r="10963">
          <cell r="E10963" t="str">
            <v>AIC-MP-OT007308-S01</v>
          </cell>
          <cell r="F10963">
            <v>882664394126</v>
          </cell>
        </row>
        <row r="10964">
          <cell r="E10964" t="str">
            <v>AIC-MP-00007086-000</v>
          </cell>
          <cell r="F10964">
            <v>882664394126</v>
          </cell>
        </row>
        <row r="10965">
          <cell r="E10965" t="str">
            <v>LUC-E00-400010-009</v>
          </cell>
          <cell r="F10965">
            <v>7730377760</v>
          </cell>
        </row>
        <row r="10966">
          <cell r="E10966" t="str">
            <v>LUC-E00-400010-003</v>
          </cell>
          <cell r="F10966">
            <v>7730377760</v>
          </cell>
        </row>
        <row r="10967">
          <cell r="E10967" t="str">
            <v>LUC-E00-400010-026</v>
          </cell>
          <cell r="F10967">
            <v>7730377760</v>
          </cell>
        </row>
        <row r="10968">
          <cell r="E10968" t="str">
            <v>LUC-EZZ-400414-00</v>
          </cell>
          <cell r="F10968">
            <v>7730377760</v>
          </cell>
        </row>
        <row r="10969">
          <cell r="E10969" t="str">
            <v>LUC-E00-400010-022</v>
          </cell>
          <cell r="F10969">
            <v>7730377760</v>
          </cell>
        </row>
        <row r="10970">
          <cell r="E10970" t="str">
            <v>LUC-EZZ-400289-00</v>
          </cell>
          <cell r="F10970">
            <v>7730377760</v>
          </cell>
        </row>
        <row r="10971">
          <cell r="E10971" t="str">
            <v>LUC-EZZ-400542-00</v>
          </cell>
          <cell r="F10971">
            <v>7730377760</v>
          </cell>
        </row>
        <row r="10972">
          <cell r="E10972" t="str">
            <v>LUC-EZZ-401517-00</v>
          </cell>
          <cell r="F10972">
            <v>7730377760</v>
          </cell>
        </row>
        <row r="10973">
          <cell r="E10973" t="str">
            <v>LUC-EZZ-690241-00</v>
          </cell>
          <cell r="F10973">
            <v>4110326206</v>
          </cell>
        </row>
        <row r="10974">
          <cell r="E10974" t="str">
            <v>LUC-EZZ-690241-00</v>
          </cell>
          <cell r="F10974">
            <v>4110326207</v>
          </cell>
        </row>
        <row r="10975">
          <cell r="E10975" t="str">
            <v>LUC-EZZ-690241-00</v>
          </cell>
          <cell r="F10975">
            <v>4110326208</v>
          </cell>
        </row>
        <row r="10976">
          <cell r="E10976" t="str">
            <v>LUC-EZZ-690241-00</v>
          </cell>
          <cell r="F10976">
            <v>4110326209</v>
          </cell>
        </row>
        <row r="10977">
          <cell r="E10977" t="str">
            <v>LUC-EZZ-691595-00</v>
          </cell>
          <cell r="F10977">
            <v>4110326345</v>
          </cell>
        </row>
        <row r="10978">
          <cell r="E10978" t="str">
            <v>LUC-EZZ-690145-00</v>
          </cell>
          <cell r="F10978">
            <v>4110326346</v>
          </cell>
        </row>
        <row r="10979">
          <cell r="E10979" t="str">
            <v>PUR-12-0430-00</v>
          </cell>
          <cell r="F10979">
            <v>4711867921</v>
          </cell>
        </row>
        <row r="10980">
          <cell r="E10980" t="str">
            <v>LUC-EZZ-400554-00</v>
          </cell>
          <cell r="F10980">
            <v>4711867921</v>
          </cell>
        </row>
        <row r="10981">
          <cell r="E10981" t="str">
            <v>LUC-EZZ-400289-00</v>
          </cell>
          <cell r="F10981">
            <v>4711867921</v>
          </cell>
        </row>
        <row r="10982">
          <cell r="E10982" t="str">
            <v>PUR-12-0430-00</v>
          </cell>
          <cell r="F10982">
            <v>4711867921</v>
          </cell>
        </row>
        <row r="10983">
          <cell r="E10983" t="str">
            <v>PUR-14-0101-00</v>
          </cell>
          <cell r="F10983">
            <v>4711867921</v>
          </cell>
        </row>
        <row r="10984">
          <cell r="E10984" t="str">
            <v>LUC-E00-400034-019</v>
          </cell>
          <cell r="F10984">
            <v>4711867921</v>
          </cell>
        </row>
        <row r="10985">
          <cell r="E10985" t="str">
            <v>LUC-E00-400067-149</v>
          </cell>
          <cell r="F10985">
            <v>4711867921</v>
          </cell>
        </row>
        <row r="10986">
          <cell r="E10986" t="str">
            <v>LUC-E00-400067-152</v>
          </cell>
          <cell r="F10986">
            <v>4711867921</v>
          </cell>
        </row>
        <row r="10987">
          <cell r="E10987" t="str">
            <v>LUC-E00-400067-263</v>
          </cell>
          <cell r="F10987">
            <v>4711867921</v>
          </cell>
        </row>
        <row r="10988">
          <cell r="E10988" t="str">
            <v>LUC-E00-400067-207</v>
          </cell>
          <cell r="F10988">
            <v>4711867921</v>
          </cell>
        </row>
        <row r="10989">
          <cell r="E10989" t="str">
            <v>LUC-E00-400067-487</v>
          </cell>
          <cell r="F10989">
            <v>4711867921</v>
          </cell>
        </row>
        <row r="10990">
          <cell r="E10990" t="str">
            <v>HLOB-13-0237-00</v>
          </cell>
          <cell r="F10990">
            <v>4711867921</v>
          </cell>
        </row>
        <row r="10991">
          <cell r="E10991" t="str">
            <v>LUC-E00-420046-00</v>
          </cell>
          <cell r="F10991">
            <v>4711867921</v>
          </cell>
        </row>
        <row r="10992">
          <cell r="E10992" t="str">
            <v>LUC-E00-400035-08</v>
          </cell>
          <cell r="F10992">
            <v>4711867921</v>
          </cell>
        </row>
        <row r="10993">
          <cell r="E10993" t="str">
            <v>LUC-EZZ-511304-00</v>
          </cell>
          <cell r="F10993">
            <v>4711867921</v>
          </cell>
        </row>
        <row r="10994">
          <cell r="E10994" t="str">
            <v>LUC-EZZ-420665-00</v>
          </cell>
          <cell r="F10994">
            <v>4711867921</v>
          </cell>
        </row>
        <row r="10995">
          <cell r="E10995" t="str">
            <v>LUC-E00-400067-344</v>
          </cell>
          <cell r="F10995">
            <v>4711867921</v>
          </cell>
        </row>
        <row r="10996">
          <cell r="E10996" t="str">
            <v>LUC-E00-400035-03</v>
          </cell>
          <cell r="F10996">
            <v>4711867921</v>
          </cell>
        </row>
        <row r="10997">
          <cell r="E10997" t="str">
            <v>LUC-E00-400025-01</v>
          </cell>
          <cell r="F10997">
            <v>4711867921</v>
          </cell>
        </row>
        <row r="10998">
          <cell r="E10998" t="str">
            <v>LUC-E00-450057-00</v>
          </cell>
          <cell r="F10998">
            <v>4711867921</v>
          </cell>
        </row>
        <row r="10999">
          <cell r="E10999" t="str">
            <v>LUC-E00-400011-003</v>
          </cell>
          <cell r="F10999">
            <v>4711867921</v>
          </cell>
        </row>
        <row r="11000">
          <cell r="E11000" t="str">
            <v>LUC-EZZ-400289-00</v>
          </cell>
          <cell r="F11000">
            <v>4711867921</v>
          </cell>
        </row>
        <row r="11001">
          <cell r="E11001" t="str">
            <v>LUC-E00-400025-01</v>
          </cell>
          <cell r="F11001">
            <v>4711867921</v>
          </cell>
        </row>
        <row r="11002">
          <cell r="E11002" t="str">
            <v>LUC-E00-450010-00</v>
          </cell>
          <cell r="F11002">
            <v>4711867921</v>
          </cell>
        </row>
        <row r="11003">
          <cell r="E11003" t="str">
            <v>LUC-E00-450010-00</v>
          </cell>
          <cell r="F11003">
            <v>4711867921</v>
          </cell>
        </row>
        <row r="11004">
          <cell r="E11004" t="str">
            <v>LUC-E00-420073-00</v>
          </cell>
          <cell r="F11004">
            <v>4711867921</v>
          </cell>
        </row>
        <row r="11005">
          <cell r="E11005" t="str">
            <v>LUC-E00-440147-00</v>
          </cell>
          <cell r="F11005">
            <v>4711867921</v>
          </cell>
        </row>
        <row r="11006">
          <cell r="E11006" t="str">
            <v>LUC-EZZ-441672-00</v>
          </cell>
          <cell r="F11006">
            <v>4711867921</v>
          </cell>
        </row>
        <row r="11007">
          <cell r="E11007" t="str">
            <v>PURET-13-0001-00</v>
          </cell>
          <cell r="F11007">
            <v>4711867921</v>
          </cell>
        </row>
        <row r="11008">
          <cell r="E11008" t="str">
            <v>PURET-13-0001-00</v>
          </cell>
          <cell r="F11008">
            <v>4711867921</v>
          </cell>
        </row>
        <row r="11009">
          <cell r="E11009" t="str">
            <v>LUC-E00-420073-00</v>
          </cell>
          <cell r="F11009">
            <v>4711867921</v>
          </cell>
        </row>
        <row r="11010">
          <cell r="E11010" t="str">
            <v>LUC-E00-420073-00</v>
          </cell>
          <cell r="F11010">
            <v>4711867921</v>
          </cell>
        </row>
        <row r="11011">
          <cell r="E11011" t="str">
            <v>LUC-E00-480007-00</v>
          </cell>
          <cell r="F11011">
            <v>4711867921</v>
          </cell>
        </row>
        <row r="11012">
          <cell r="E11012" t="str">
            <v>LUC-EZZ-420124-00</v>
          </cell>
          <cell r="F11012">
            <v>4711867921</v>
          </cell>
        </row>
        <row r="11013">
          <cell r="E11013" t="str">
            <v>LUC-EZZ-420256-00</v>
          </cell>
          <cell r="F11013">
            <v>4711867921</v>
          </cell>
        </row>
        <row r="11014">
          <cell r="E11014" t="str">
            <v>LUC-EZZ-420251-00</v>
          </cell>
          <cell r="F11014">
            <v>4711867921</v>
          </cell>
        </row>
        <row r="11015">
          <cell r="E11015" t="str">
            <v>LUC-EZZ-420145-00</v>
          </cell>
          <cell r="F11015">
            <v>4711867921</v>
          </cell>
        </row>
        <row r="11016">
          <cell r="E11016" t="str">
            <v>PUR-13-0131-00</v>
          </cell>
          <cell r="F11016">
            <v>4711867921</v>
          </cell>
        </row>
        <row r="11017">
          <cell r="E11017" t="str">
            <v>LUC-E00-450154-00</v>
          </cell>
          <cell r="F11017">
            <v>4711867921</v>
          </cell>
        </row>
        <row r="11018">
          <cell r="E11018" t="str">
            <v>LUC-EZZ-440202-00</v>
          </cell>
          <cell r="F11018">
            <v>4711867921</v>
          </cell>
        </row>
        <row r="11019">
          <cell r="E11019" t="str">
            <v>LUC-EZZ-420256-00</v>
          </cell>
          <cell r="F11019">
            <v>4711867921</v>
          </cell>
        </row>
        <row r="11020">
          <cell r="E11020" t="str">
            <v>PUR-27-0019-00</v>
          </cell>
          <cell r="F11020">
            <v>4711867921</v>
          </cell>
        </row>
        <row r="11021">
          <cell r="E11021" t="str">
            <v>LUC-EZZ-420256-00</v>
          </cell>
          <cell r="F11021">
            <v>4711867921</v>
          </cell>
        </row>
        <row r="11022">
          <cell r="E11022" t="str">
            <v>LUC-E00-420055-01</v>
          </cell>
          <cell r="F11022">
            <v>4711867921</v>
          </cell>
        </row>
        <row r="11023">
          <cell r="E11023" t="str">
            <v>LUC-EZZ-420256-00</v>
          </cell>
          <cell r="F11023">
            <v>4711867921</v>
          </cell>
        </row>
        <row r="11024">
          <cell r="E11024" t="str">
            <v>LUC-E00-420055-15</v>
          </cell>
          <cell r="F11024">
            <v>4711867921</v>
          </cell>
        </row>
        <row r="11025">
          <cell r="E11025" t="str">
            <v>PUR-13-0131-00</v>
          </cell>
          <cell r="F11025">
            <v>4711867921</v>
          </cell>
        </row>
        <row r="11026">
          <cell r="E11026" t="str">
            <v>LUC-E00-420051-02</v>
          </cell>
          <cell r="F11026">
            <v>4711867921</v>
          </cell>
        </row>
        <row r="11027">
          <cell r="E11027" t="str">
            <v>LUC-E00-420051-02</v>
          </cell>
          <cell r="F11027">
            <v>4711867921</v>
          </cell>
        </row>
        <row r="11028">
          <cell r="E11028" t="str">
            <v>PUR-09-0408-00</v>
          </cell>
          <cell r="F11028">
            <v>4711867921</v>
          </cell>
        </row>
        <row r="11029">
          <cell r="E11029" t="str">
            <v>AIC-MP-00006744-000</v>
          </cell>
          <cell r="F11029" t="str">
            <v>1Z9083VF0464796758</v>
          </cell>
        </row>
        <row r="11030">
          <cell r="E11030" t="str">
            <v>AIC-MP-00006920-000</v>
          </cell>
          <cell r="F11030" t="str">
            <v>1Z9083VF0464796758</v>
          </cell>
        </row>
        <row r="11031">
          <cell r="E11031" t="str">
            <v>AIC-MP-00006921-000</v>
          </cell>
          <cell r="F11031" t="str">
            <v>1Z9083VF0464796758</v>
          </cell>
        </row>
        <row r="11032">
          <cell r="E11032" t="str">
            <v>PUR-03-0082-02</v>
          </cell>
          <cell r="F11032">
            <v>467700490569</v>
          </cell>
        </row>
        <row r="11033">
          <cell r="E11033" t="str">
            <v>PUR-03-0111-00</v>
          </cell>
          <cell r="F11033">
            <v>467700490569</v>
          </cell>
        </row>
        <row r="11034">
          <cell r="E11034" t="str">
            <v>EF-45112739</v>
          </cell>
          <cell r="F11034">
            <v>390911269496</v>
          </cell>
        </row>
        <row r="11035">
          <cell r="E11035" t="str">
            <v>HLOB-09-0294-00</v>
          </cell>
          <cell r="F11035">
            <v>390911269496</v>
          </cell>
        </row>
        <row r="11036">
          <cell r="E11036" t="str">
            <v>PUR-09-0294-00</v>
          </cell>
          <cell r="F11036">
            <v>390911269496</v>
          </cell>
        </row>
        <row r="11037">
          <cell r="E11037" t="str">
            <v>PUR-09-0294-00</v>
          </cell>
          <cell r="F11037">
            <v>390911269496</v>
          </cell>
        </row>
        <row r="11038">
          <cell r="E11038" t="str">
            <v>AIC-122-004391</v>
          </cell>
          <cell r="F11038">
            <v>882591645311</v>
          </cell>
        </row>
        <row r="11039">
          <cell r="E11039" t="str">
            <v>LUC-EZZ-400454-00</v>
          </cell>
          <cell r="F11039">
            <v>412069747998</v>
          </cell>
        </row>
        <row r="11040">
          <cell r="E11040" t="str">
            <v>LUC-E00-400074-00</v>
          </cell>
          <cell r="F11040">
            <v>412069748560</v>
          </cell>
        </row>
        <row r="11041">
          <cell r="E11041" t="str">
            <v>LUC-E00-470121-01</v>
          </cell>
          <cell r="F11041">
            <v>390951354147</v>
          </cell>
        </row>
        <row r="11042">
          <cell r="E11042" t="str">
            <v>LUC-EZZ-470421-00</v>
          </cell>
          <cell r="F11042">
            <v>390951354147</v>
          </cell>
        </row>
        <row r="11043">
          <cell r="E11043" t="str">
            <v>PUR-09-0294-00</v>
          </cell>
          <cell r="F11043">
            <v>390951354147</v>
          </cell>
        </row>
        <row r="11044">
          <cell r="E11044" t="str">
            <v>PUR-09-0294-00</v>
          </cell>
          <cell r="F11044">
            <v>390951354147</v>
          </cell>
        </row>
        <row r="11045">
          <cell r="E11045" t="str">
            <v>PUR-09-0294-00</v>
          </cell>
          <cell r="F11045">
            <v>390951354147</v>
          </cell>
        </row>
        <row r="11046">
          <cell r="E11046" t="str">
            <v>LUC-E00-400003-007</v>
          </cell>
          <cell r="F11046">
            <v>470033161380</v>
          </cell>
        </row>
        <row r="11047">
          <cell r="E11047" t="str">
            <v>LUC-E00-450047-00</v>
          </cell>
          <cell r="F11047">
            <v>419341564300</v>
          </cell>
        </row>
        <row r="11048">
          <cell r="E11048" t="str">
            <v>EF-45227728</v>
          </cell>
          <cell r="F11048">
            <v>461596520307</v>
          </cell>
        </row>
        <row r="11049">
          <cell r="E11049" t="str">
            <v>EF-45224584</v>
          </cell>
          <cell r="F11049">
            <v>461596520307</v>
          </cell>
        </row>
        <row r="11050">
          <cell r="E11050" t="str">
            <v>EF-45156843</v>
          </cell>
          <cell r="F11050">
            <v>461596520307</v>
          </cell>
        </row>
        <row r="11051">
          <cell r="E11051" t="str">
            <v>LUC-E00-440023-02</v>
          </cell>
          <cell r="F11051">
            <v>458171551783</v>
          </cell>
        </row>
        <row r="11052">
          <cell r="E11052" t="str">
            <v>LUC-E00-440046-00</v>
          </cell>
          <cell r="F11052">
            <v>458171551783</v>
          </cell>
        </row>
        <row r="11053">
          <cell r="E11053" t="str">
            <v>LUC-E00-440048-00</v>
          </cell>
          <cell r="F11053">
            <v>458171551783</v>
          </cell>
        </row>
        <row r="11054">
          <cell r="E11054" t="str">
            <v>LUC-EZZ-440032-00</v>
          </cell>
          <cell r="F11054">
            <v>458171551783</v>
          </cell>
        </row>
        <row r="11055">
          <cell r="E11055" t="str">
            <v>LUC-E00-440077-02</v>
          </cell>
          <cell r="F11055">
            <v>458171551783</v>
          </cell>
        </row>
        <row r="11056">
          <cell r="E11056" t="str">
            <v>LUC-E00-440051-01</v>
          </cell>
          <cell r="F11056">
            <v>458171551783</v>
          </cell>
        </row>
        <row r="11057">
          <cell r="E11057" t="str">
            <v>EF-45056862.X.X</v>
          </cell>
          <cell r="F11057">
            <v>445170475266</v>
          </cell>
        </row>
        <row r="11058">
          <cell r="E11058" t="str">
            <v>PUR-21-0036-00</v>
          </cell>
          <cell r="F11058">
            <v>466522105214</v>
          </cell>
        </row>
        <row r="11059">
          <cell r="E11059" t="str">
            <v>LUC-E00-420027-05</v>
          </cell>
          <cell r="F11059">
            <v>470033120519</v>
          </cell>
        </row>
        <row r="11060">
          <cell r="E11060" t="str">
            <v>EF-45232580</v>
          </cell>
          <cell r="F11060">
            <v>470033191691</v>
          </cell>
        </row>
        <row r="11061">
          <cell r="E11061" t="str">
            <v>LUC-P11-K18000-00</v>
          </cell>
          <cell r="F11061">
            <v>469208634303</v>
          </cell>
        </row>
        <row r="11062">
          <cell r="E11062" t="str">
            <v>122-004370</v>
          </cell>
          <cell r="F11062">
            <v>469208634303</v>
          </cell>
        </row>
        <row r="11063">
          <cell r="E11063" t="str">
            <v>AIC-122-004448</v>
          </cell>
          <cell r="F11063">
            <v>469208634303</v>
          </cell>
        </row>
        <row r="11064">
          <cell r="E11064" t="str">
            <v>AIC-MP-00002543-000</v>
          </cell>
          <cell r="F11064">
            <v>469208634303</v>
          </cell>
        </row>
        <row r="11065">
          <cell r="E11065" t="str">
            <v>LUC-E00-540019-00</v>
          </cell>
          <cell r="F11065">
            <v>469208634303</v>
          </cell>
        </row>
        <row r="11066">
          <cell r="E11066" t="str">
            <v>LUC-E00-470127-00</v>
          </cell>
          <cell r="F11066">
            <v>469208634303</v>
          </cell>
        </row>
        <row r="11067">
          <cell r="E11067" t="str">
            <v>LUC-EZZ-450152-00</v>
          </cell>
          <cell r="F11067">
            <v>469208634303</v>
          </cell>
        </row>
        <row r="11068">
          <cell r="E11068" t="str">
            <v>PUR-15-0151-00</v>
          </cell>
          <cell r="F11068">
            <v>469208634303</v>
          </cell>
        </row>
        <row r="11069">
          <cell r="E11069" t="str">
            <v>AIC-MP-00000271-000</v>
          </cell>
          <cell r="F11069">
            <v>469208634303</v>
          </cell>
        </row>
        <row r="11070">
          <cell r="E11070" t="str">
            <v>AIC-MP-00000773-000</v>
          </cell>
          <cell r="F11070">
            <v>469208634303</v>
          </cell>
        </row>
        <row r="11071">
          <cell r="E11071" t="str">
            <v>122-004369</v>
          </cell>
          <cell r="F11071">
            <v>469208634303</v>
          </cell>
        </row>
        <row r="11072">
          <cell r="E11072" t="str">
            <v>LUC-EZZ-400211-00</v>
          </cell>
          <cell r="F11072">
            <v>119209614728</v>
          </cell>
        </row>
        <row r="11073">
          <cell r="E11073" t="str">
            <v>HLOB-24-0028-00</v>
          </cell>
          <cell r="F11073">
            <v>119209614728</v>
          </cell>
        </row>
        <row r="11074">
          <cell r="E11074" t="str">
            <v>PUR-09-0427-00</v>
          </cell>
          <cell r="F11074">
            <v>119209614728</v>
          </cell>
        </row>
        <row r="11075">
          <cell r="E11075" t="str">
            <v>PUR-09-0427-00</v>
          </cell>
          <cell r="F11075">
            <v>119209614728</v>
          </cell>
        </row>
        <row r="11076">
          <cell r="E11076" t="str">
            <v>LUC-E00-450060-00</v>
          </cell>
          <cell r="F11076">
            <v>119209614728</v>
          </cell>
        </row>
        <row r="11077">
          <cell r="E11077" t="str">
            <v>LUC-E00-450149-01</v>
          </cell>
          <cell r="F11077">
            <v>119209614728</v>
          </cell>
        </row>
        <row r="11078">
          <cell r="E11078" t="str">
            <v>PUR-09-0427-00</v>
          </cell>
          <cell r="F11078">
            <v>119209614728</v>
          </cell>
        </row>
        <row r="11079">
          <cell r="E11079" t="str">
            <v>PUR-09-0427-00</v>
          </cell>
          <cell r="F11079">
            <v>119209614728</v>
          </cell>
        </row>
        <row r="11080">
          <cell r="E11080" t="str">
            <v>PUR-09-0256-00</v>
          </cell>
          <cell r="F11080">
            <v>119209614728</v>
          </cell>
        </row>
        <row r="11081">
          <cell r="E11081" t="str">
            <v>AGI-410-50002-01</v>
          </cell>
          <cell r="F11081">
            <v>119209614728</v>
          </cell>
        </row>
        <row r="11082">
          <cell r="E11082" t="str">
            <v>AGI-410-50002-01</v>
          </cell>
          <cell r="F11082">
            <v>119209614728</v>
          </cell>
        </row>
        <row r="11083">
          <cell r="E11083" t="str">
            <v>LUC-EZZ-471023-00</v>
          </cell>
          <cell r="F11083">
            <v>119209614728</v>
          </cell>
        </row>
        <row r="11084">
          <cell r="E11084" t="str">
            <v>LUC-P11-K41E00-01</v>
          </cell>
          <cell r="F11084">
            <v>119209614728</v>
          </cell>
        </row>
        <row r="11085">
          <cell r="E11085" t="str">
            <v>AIC-MP-IC007000-S01</v>
          </cell>
          <cell r="F11085">
            <v>470859339661</v>
          </cell>
        </row>
        <row r="11086">
          <cell r="E11086" t="str">
            <v>AIC-MP-IC007000-S01</v>
          </cell>
          <cell r="F11086">
            <v>470859339661</v>
          </cell>
        </row>
        <row r="11087">
          <cell r="E11087" t="str">
            <v>AIC-MP-IC007003-S01</v>
          </cell>
          <cell r="F11087">
            <v>470859339661</v>
          </cell>
        </row>
        <row r="11088">
          <cell r="E11088" t="str">
            <v>LUC-E00-470263-00</v>
          </cell>
          <cell r="F11088">
            <v>730610853222</v>
          </cell>
        </row>
        <row r="11089">
          <cell r="E11089" t="str">
            <v>120-000257.X.X</v>
          </cell>
          <cell r="F11089">
            <v>719546658553</v>
          </cell>
        </row>
        <row r="11090">
          <cell r="E11090" t="str">
            <v>LUC-E00-440012-00</v>
          </cell>
          <cell r="F11090">
            <v>409298792460</v>
          </cell>
        </row>
        <row r="11091">
          <cell r="E11091" t="str">
            <v>LUC-EZZ-440073-00</v>
          </cell>
          <cell r="F11091">
            <v>409298792460</v>
          </cell>
        </row>
        <row r="11092">
          <cell r="E11092" t="str">
            <v>LUC-EZZ-440073-00</v>
          </cell>
          <cell r="F11092">
            <v>409298792460</v>
          </cell>
        </row>
        <row r="11093">
          <cell r="E11093" t="str">
            <v>LUC-EZZ-420101-00</v>
          </cell>
          <cell r="F11093">
            <v>409298792460</v>
          </cell>
        </row>
        <row r="11094">
          <cell r="E11094" t="str">
            <v>LUC-E00-420060-03</v>
          </cell>
          <cell r="F11094">
            <v>409298792460</v>
          </cell>
        </row>
        <row r="11095">
          <cell r="E11095" t="str">
            <v>LUC-EZZ-420100-00</v>
          </cell>
          <cell r="F11095">
            <v>409298792460</v>
          </cell>
        </row>
        <row r="11096">
          <cell r="E11096" t="str">
            <v>LUC-EZZ-420100-00</v>
          </cell>
          <cell r="F11096">
            <v>409298792460</v>
          </cell>
        </row>
        <row r="11097">
          <cell r="E11097" t="str">
            <v>LUC-EZZ-400675-00</v>
          </cell>
          <cell r="F11097">
            <v>409298792460</v>
          </cell>
        </row>
        <row r="11098">
          <cell r="E11098" t="str">
            <v>EF-45225702</v>
          </cell>
          <cell r="F11098">
            <v>461244036215</v>
          </cell>
        </row>
        <row r="11099">
          <cell r="E11099" t="str">
            <v>EF-45225702</v>
          </cell>
          <cell r="F11099">
            <v>461244036215</v>
          </cell>
        </row>
        <row r="11100">
          <cell r="E11100" t="str">
            <v>LUC-E00-440045-00</v>
          </cell>
          <cell r="F11100">
            <v>390891472253</v>
          </cell>
        </row>
        <row r="11101">
          <cell r="E11101" t="str">
            <v>LUC-E00-440045-00</v>
          </cell>
          <cell r="F11101">
            <v>390891472253</v>
          </cell>
        </row>
        <row r="11102">
          <cell r="E11102" t="str">
            <v>LUC-E00-690032-00</v>
          </cell>
          <cell r="F11102">
            <v>390925999987</v>
          </cell>
        </row>
        <row r="11103">
          <cell r="E11103" t="str">
            <v>LUC-E00-690011-00</v>
          </cell>
          <cell r="F11103">
            <v>390925999987</v>
          </cell>
        </row>
        <row r="11104">
          <cell r="E11104" t="str">
            <v>LUC-E00-420002-00</v>
          </cell>
          <cell r="F11104">
            <v>434611766131</v>
          </cell>
        </row>
        <row r="11105">
          <cell r="E11105" t="str">
            <v>LUC-E00-420037-03</v>
          </cell>
          <cell r="F11105">
            <v>434611766131</v>
          </cell>
        </row>
        <row r="11106">
          <cell r="E11106" t="str">
            <v>PUR-13-0166-00</v>
          </cell>
          <cell r="F11106">
            <v>434611766131</v>
          </cell>
        </row>
        <row r="11107">
          <cell r="E11107" t="str">
            <v>HLOB-13-0238-00</v>
          </cell>
          <cell r="F11107">
            <v>434611766131</v>
          </cell>
        </row>
        <row r="11108">
          <cell r="E11108" t="str">
            <v>HLOB-13-0002-00</v>
          </cell>
          <cell r="F11108">
            <v>434611766131</v>
          </cell>
        </row>
        <row r="11109">
          <cell r="E11109" t="str">
            <v>HLOB-13-0002-00</v>
          </cell>
          <cell r="F11109">
            <v>434611766131</v>
          </cell>
        </row>
        <row r="11110">
          <cell r="E11110" t="str">
            <v>HLOB-13-0002-00</v>
          </cell>
          <cell r="F11110">
            <v>434611766131</v>
          </cell>
        </row>
        <row r="11111">
          <cell r="E11111" t="str">
            <v>HLOB-13-0002-00</v>
          </cell>
          <cell r="F11111">
            <v>434611766131</v>
          </cell>
        </row>
        <row r="11112">
          <cell r="E11112" t="str">
            <v>HLOB-13-0002-00</v>
          </cell>
          <cell r="F11112">
            <v>434611766131</v>
          </cell>
        </row>
        <row r="11113">
          <cell r="E11113" t="str">
            <v>HLOB-13-0002-00</v>
          </cell>
          <cell r="F11113">
            <v>434611766131</v>
          </cell>
        </row>
        <row r="11114">
          <cell r="E11114" t="str">
            <v>PURET-13-0007-00</v>
          </cell>
          <cell r="F11114">
            <v>434611766131</v>
          </cell>
        </row>
        <row r="11115">
          <cell r="E11115" t="str">
            <v>PUR-13-0161-00</v>
          </cell>
          <cell r="F11115">
            <v>434611766131</v>
          </cell>
        </row>
        <row r="11116">
          <cell r="E11116" t="str">
            <v>PUR-13-0157-00</v>
          </cell>
          <cell r="F11116">
            <v>434611766131</v>
          </cell>
        </row>
        <row r="11117">
          <cell r="E11117" t="str">
            <v>HLOB-13-0066-00</v>
          </cell>
          <cell r="F11117">
            <v>434611766131</v>
          </cell>
        </row>
        <row r="11118">
          <cell r="E11118" t="str">
            <v>PURET-13-0066-00</v>
          </cell>
          <cell r="F11118">
            <v>434611766131</v>
          </cell>
        </row>
        <row r="11119">
          <cell r="E11119" t="str">
            <v>HLOB-13-0155-00</v>
          </cell>
          <cell r="F11119">
            <v>434611766131</v>
          </cell>
        </row>
        <row r="11120">
          <cell r="E11120" t="str">
            <v>PUR-13-0160-00</v>
          </cell>
          <cell r="F11120">
            <v>434611766131</v>
          </cell>
        </row>
        <row r="11121">
          <cell r="E11121" t="str">
            <v>HLOB-13-0022-00</v>
          </cell>
          <cell r="F11121">
            <v>434611766131</v>
          </cell>
        </row>
        <row r="11122">
          <cell r="E11122" t="str">
            <v>HLOB-13-0022-00</v>
          </cell>
          <cell r="F11122">
            <v>434611766131</v>
          </cell>
        </row>
        <row r="11123">
          <cell r="E11123" t="str">
            <v>LUC-EZZ-420125-00</v>
          </cell>
          <cell r="F11123">
            <v>434611766131</v>
          </cell>
        </row>
        <row r="11124">
          <cell r="E11124" t="str">
            <v>HLOB-13-0069-00</v>
          </cell>
          <cell r="F11124">
            <v>434611766131</v>
          </cell>
        </row>
        <row r="11125">
          <cell r="E11125" t="str">
            <v>LUC-E00-690030-02</v>
          </cell>
          <cell r="F11125">
            <v>456450708764</v>
          </cell>
        </row>
        <row r="11126">
          <cell r="E11126" t="str">
            <v>130-001590</v>
          </cell>
          <cell r="F11126">
            <v>882690268947</v>
          </cell>
        </row>
        <row r="11127">
          <cell r="E11127" t="str">
            <v>LUC-P00-F134CG-00</v>
          </cell>
          <cell r="F11127">
            <v>882694181579</v>
          </cell>
        </row>
        <row r="11128">
          <cell r="E11128" t="str">
            <v>PURET-13-0028-00</v>
          </cell>
          <cell r="F11128">
            <v>882693448435</v>
          </cell>
        </row>
        <row r="11129">
          <cell r="E11129" t="str">
            <v>PURET-13-0028-00</v>
          </cell>
          <cell r="F11129">
            <v>882693448435</v>
          </cell>
        </row>
        <row r="11130">
          <cell r="E11130" t="str">
            <v>EF-45057846.X.X</v>
          </cell>
          <cell r="F11130">
            <v>882693448435</v>
          </cell>
        </row>
        <row r="11131">
          <cell r="E11131" t="str">
            <v>EF-45057846.X.X</v>
          </cell>
          <cell r="F11131">
            <v>882693448435</v>
          </cell>
        </row>
        <row r="11132">
          <cell r="E11132" t="str">
            <v>EF-45057846.X.X</v>
          </cell>
          <cell r="F11132">
            <v>882693448435</v>
          </cell>
        </row>
        <row r="11133">
          <cell r="E11133" t="str">
            <v>EF-45057846.X.X</v>
          </cell>
          <cell r="F11133">
            <v>882693448435</v>
          </cell>
        </row>
        <row r="11134">
          <cell r="E11134" t="str">
            <v>PUR-13-0153-00</v>
          </cell>
          <cell r="F11134">
            <v>882693448435</v>
          </cell>
        </row>
        <row r="11135">
          <cell r="E11135" t="str">
            <v>PUR-13-0153-00</v>
          </cell>
          <cell r="F11135">
            <v>882693448435</v>
          </cell>
        </row>
        <row r="11136">
          <cell r="E11136" t="str">
            <v>LUC-EZZ-470358-00</v>
          </cell>
          <cell r="F11136">
            <v>882693448435</v>
          </cell>
        </row>
        <row r="11137">
          <cell r="E11137" t="str">
            <v>EF-45027595</v>
          </cell>
          <cell r="F11137">
            <v>882693448435</v>
          </cell>
        </row>
        <row r="11138">
          <cell r="E11138" t="str">
            <v>EF-45058007.X.X</v>
          </cell>
          <cell r="F11138">
            <v>882693448435</v>
          </cell>
        </row>
        <row r="11139">
          <cell r="E11139" t="str">
            <v>EF-45188276</v>
          </cell>
          <cell r="F11139">
            <v>882693448435</v>
          </cell>
        </row>
        <row r="11140">
          <cell r="E11140" t="str">
            <v>PUR-13-0148-00</v>
          </cell>
          <cell r="F11140">
            <v>882693448435</v>
          </cell>
        </row>
        <row r="11141">
          <cell r="E11141" t="str">
            <v>PUR-13-0150-00</v>
          </cell>
          <cell r="F11141">
            <v>882693448435</v>
          </cell>
        </row>
        <row r="11142">
          <cell r="E11142" t="str">
            <v>PUR-13-0152-00</v>
          </cell>
          <cell r="F11142">
            <v>882693448435</v>
          </cell>
        </row>
        <row r="11143">
          <cell r="E11143" t="str">
            <v>EF-45058007.X.X</v>
          </cell>
          <cell r="F11143">
            <v>882693448435</v>
          </cell>
        </row>
        <row r="11144">
          <cell r="E11144" t="str">
            <v>PUR-13-0244-00</v>
          </cell>
          <cell r="F11144">
            <v>882693448435</v>
          </cell>
        </row>
        <row r="11145">
          <cell r="E11145" t="str">
            <v>EF-45043536.X.X</v>
          </cell>
          <cell r="F11145">
            <v>882693448435</v>
          </cell>
        </row>
        <row r="11146">
          <cell r="E11146" t="str">
            <v>EF-45090819</v>
          </cell>
          <cell r="F11146">
            <v>882693448435</v>
          </cell>
        </row>
        <row r="11147">
          <cell r="E11147" t="str">
            <v>PUR-13-0152-00</v>
          </cell>
          <cell r="F11147">
            <v>882693448435</v>
          </cell>
        </row>
        <row r="11148">
          <cell r="E11148" t="str">
            <v>EF-45122009</v>
          </cell>
          <cell r="F11148">
            <v>882693448435</v>
          </cell>
        </row>
        <row r="11149">
          <cell r="E11149" t="str">
            <v>EF-45122009</v>
          </cell>
          <cell r="F11149">
            <v>882693448435</v>
          </cell>
        </row>
        <row r="11150">
          <cell r="E11150" t="str">
            <v>PUR-13-0150-00</v>
          </cell>
          <cell r="F11150">
            <v>882693448435</v>
          </cell>
        </row>
        <row r="11151">
          <cell r="E11151" t="str">
            <v>EF-45090819</v>
          </cell>
          <cell r="F11151">
            <v>882693448435</v>
          </cell>
        </row>
        <row r="11152">
          <cell r="E11152" t="str">
            <v>PUR-03-0091-02</v>
          </cell>
          <cell r="F11152">
            <v>467700485217</v>
          </cell>
        </row>
        <row r="11153">
          <cell r="E11153" t="str">
            <v>PUR-03-0091-02</v>
          </cell>
          <cell r="F11153">
            <v>467700485217</v>
          </cell>
        </row>
        <row r="11154">
          <cell r="E11154" t="str">
            <v>LUC-EZZ-490307-01</v>
          </cell>
          <cell r="F11154">
            <v>1515943</v>
          </cell>
        </row>
        <row r="11155">
          <cell r="E11155" t="str">
            <v>LUC-EZZ-490307-01</v>
          </cell>
          <cell r="F11155">
            <v>1515943</v>
          </cell>
        </row>
        <row r="11156">
          <cell r="E11156" t="str">
            <v>LUC-EZZ-490310-04</v>
          </cell>
          <cell r="F11156">
            <v>1515943</v>
          </cell>
        </row>
        <row r="11157">
          <cell r="E11157" t="str">
            <v>AIC-MP-00004582-000</v>
          </cell>
          <cell r="F11157">
            <v>882784508730</v>
          </cell>
        </row>
        <row r="11158">
          <cell r="E11158" t="str">
            <v>AIC-MP-00005346-000</v>
          </cell>
          <cell r="F11158">
            <v>882753009079</v>
          </cell>
        </row>
        <row r="11159">
          <cell r="E11159" t="str">
            <v>AIC-MP-CP006773-S02</v>
          </cell>
          <cell r="F11159">
            <v>882753009079</v>
          </cell>
        </row>
        <row r="11160">
          <cell r="E11160" t="str">
            <v>AIC-126-002378</v>
          </cell>
          <cell r="F11160">
            <v>882753009079</v>
          </cell>
        </row>
        <row r="11161">
          <cell r="E11161" t="str">
            <v>AIC-122-004443</v>
          </cell>
          <cell r="F11161">
            <v>882753009079</v>
          </cell>
        </row>
        <row r="11162">
          <cell r="E11162" t="str">
            <v>AIC-122-004445</v>
          </cell>
          <cell r="F11162">
            <v>882753009079</v>
          </cell>
        </row>
        <row r="11163">
          <cell r="E11163" t="str">
            <v>AIC-122-004446</v>
          </cell>
          <cell r="F11163">
            <v>882753009079</v>
          </cell>
        </row>
        <row r="11164">
          <cell r="E11164" t="str">
            <v>AIC-MP-IC001301-S02</v>
          </cell>
          <cell r="F11164">
            <v>882753009079</v>
          </cell>
        </row>
        <row r="11165">
          <cell r="E11165" t="str">
            <v>AIC-MP-IC005582-S03</v>
          </cell>
          <cell r="F11165">
            <v>882753009079</v>
          </cell>
        </row>
        <row r="11166">
          <cell r="E11166" t="str">
            <v>AIC-MP-00005821-000</v>
          </cell>
          <cell r="F11166">
            <v>882753009079</v>
          </cell>
        </row>
        <row r="11167">
          <cell r="E11167" t="str">
            <v>AIC-MP-00005844-000</v>
          </cell>
          <cell r="F11167">
            <v>882753009079</v>
          </cell>
        </row>
        <row r="11168">
          <cell r="E11168" t="str">
            <v>AIC-MP-00006264-000</v>
          </cell>
          <cell r="F11168">
            <v>882753009079</v>
          </cell>
        </row>
        <row r="11169">
          <cell r="E11169" t="str">
            <v>AIC-MP-00006703-000</v>
          </cell>
          <cell r="F11169">
            <v>882753009079</v>
          </cell>
        </row>
        <row r="11170">
          <cell r="E11170" t="str">
            <v>AIC-MP-IC006863-S01</v>
          </cell>
          <cell r="F11170">
            <v>882753009079</v>
          </cell>
        </row>
        <row r="11171">
          <cell r="E11171" t="str">
            <v>AIC-MP-00006956-000</v>
          </cell>
          <cell r="F11171">
            <v>882753009079</v>
          </cell>
        </row>
        <row r="11172">
          <cell r="E11172" t="str">
            <v>AIC-MP-00007035-000</v>
          </cell>
          <cell r="F11172">
            <v>882753009079</v>
          </cell>
        </row>
        <row r="11173">
          <cell r="E11173" t="str">
            <v>AIC-MP-00007065-000</v>
          </cell>
          <cell r="F11173">
            <v>882753009079</v>
          </cell>
        </row>
        <row r="11174">
          <cell r="E11174" t="str">
            <v>AIC-MP-00007135-000</v>
          </cell>
          <cell r="F11174">
            <v>882753009079</v>
          </cell>
        </row>
        <row r="11175">
          <cell r="E11175" t="str">
            <v>AIC-MP-00007161-000</v>
          </cell>
          <cell r="F11175">
            <v>882753009079</v>
          </cell>
        </row>
        <row r="11176">
          <cell r="E11176" t="str">
            <v>AIC-MP-00007185-000</v>
          </cell>
          <cell r="F11176">
            <v>882753009079</v>
          </cell>
        </row>
        <row r="11177">
          <cell r="E11177" t="str">
            <v>AIC-133-001106</v>
          </cell>
          <cell r="F11177">
            <v>882753009079</v>
          </cell>
        </row>
        <row r="11178">
          <cell r="E11178" t="str">
            <v>AIC-169-001037</v>
          </cell>
          <cell r="F11178">
            <v>882753009079</v>
          </cell>
        </row>
        <row r="11179">
          <cell r="E11179" t="str">
            <v>AIC-MP-00006750-000</v>
          </cell>
          <cell r="F11179">
            <v>882753009079</v>
          </cell>
        </row>
        <row r="11180">
          <cell r="E11180" t="str">
            <v>AIC-MP-OT006848-S01</v>
          </cell>
          <cell r="F11180">
            <v>882753009079</v>
          </cell>
        </row>
        <row r="11181">
          <cell r="E11181" t="str">
            <v>AIC-MP-OT006847-S01</v>
          </cell>
          <cell r="F11181">
            <v>882753009079</v>
          </cell>
        </row>
        <row r="11182">
          <cell r="E11182" t="str">
            <v>AIC-MP-CN007103-S01</v>
          </cell>
          <cell r="F11182">
            <v>882753009079</v>
          </cell>
        </row>
        <row r="11183">
          <cell r="E11183" t="str">
            <v>AIC-120-012788</v>
          </cell>
          <cell r="F11183">
            <v>882753009079</v>
          </cell>
        </row>
        <row r="11184">
          <cell r="E11184" t="str">
            <v>AIC-120-012790</v>
          </cell>
          <cell r="F11184">
            <v>882753009079</v>
          </cell>
        </row>
        <row r="11185">
          <cell r="E11185" t="str">
            <v>AIC-MP-00007185-000</v>
          </cell>
          <cell r="F11185">
            <v>882753009079</v>
          </cell>
        </row>
        <row r="11186">
          <cell r="E11186" t="str">
            <v>AIC-186-001797</v>
          </cell>
          <cell r="F11186">
            <v>882753009079</v>
          </cell>
        </row>
        <row r="11187">
          <cell r="E11187" t="str">
            <v>AIC-MP-00006812-000</v>
          </cell>
          <cell r="F11187">
            <v>882753009079</v>
          </cell>
        </row>
        <row r="11188">
          <cell r="E11188" t="str">
            <v>AIC-MP-IC006838-S01</v>
          </cell>
          <cell r="F11188">
            <v>882753009079</v>
          </cell>
        </row>
        <row r="11189">
          <cell r="E11189" t="str">
            <v>AIC-MP-IC006983-S01</v>
          </cell>
          <cell r="F11189">
            <v>882753009079</v>
          </cell>
        </row>
        <row r="11190">
          <cell r="E11190" t="str">
            <v>AIC-MP-00006264-000</v>
          </cell>
          <cell r="F11190">
            <v>882753009079</v>
          </cell>
        </row>
        <row r="11191">
          <cell r="E11191" t="str">
            <v>AIC-MP-IC007085-S01</v>
          </cell>
          <cell r="F11191">
            <v>882753009079</v>
          </cell>
        </row>
        <row r="11192">
          <cell r="E11192" t="str">
            <v>AIC-MP-00006917-000</v>
          </cell>
          <cell r="F11192">
            <v>882753009079</v>
          </cell>
        </row>
        <row r="11193">
          <cell r="E11193" t="str">
            <v>AIC-MP-IC007265-S01</v>
          </cell>
          <cell r="F11193">
            <v>882753009079</v>
          </cell>
        </row>
        <row r="11194">
          <cell r="E11194" t="str">
            <v>AIC-MP-IC006862-S02</v>
          </cell>
          <cell r="F11194">
            <v>882753009079</v>
          </cell>
        </row>
        <row r="11195">
          <cell r="E11195" t="str">
            <v>AIC-132-001529</v>
          </cell>
          <cell r="F11195">
            <v>882753009079</v>
          </cell>
        </row>
        <row r="11196">
          <cell r="E11196" t="str">
            <v>AIC-MP-00006701-000</v>
          </cell>
          <cell r="F11196">
            <v>882753009079</v>
          </cell>
        </row>
        <row r="11197">
          <cell r="E11197" t="str">
            <v>AIC-MP-00006956-000</v>
          </cell>
          <cell r="F11197">
            <v>882753009079</v>
          </cell>
        </row>
        <row r="11198">
          <cell r="E11198" t="str">
            <v>AIC-MP-IC006865-S01</v>
          </cell>
          <cell r="F11198">
            <v>882753009079</v>
          </cell>
        </row>
        <row r="11199">
          <cell r="E11199" t="str">
            <v>AIC-MP-IC007004-S01</v>
          </cell>
          <cell r="F11199">
            <v>882753009079</v>
          </cell>
        </row>
        <row r="11200">
          <cell r="E11200" t="str">
            <v>AIC-MP-00006791-000</v>
          </cell>
          <cell r="F11200">
            <v>882753009079</v>
          </cell>
        </row>
        <row r="11201">
          <cell r="E11201" t="str">
            <v>AIC-MP-IC005574-S01</v>
          </cell>
          <cell r="F11201">
            <v>882753009079</v>
          </cell>
        </row>
        <row r="11202">
          <cell r="E11202" t="str">
            <v>AIC-MP-00005844-000</v>
          </cell>
          <cell r="F11202">
            <v>882753009079</v>
          </cell>
        </row>
        <row r="11203">
          <cell r="E11203" t="str">
            <v>AIC-MP-00007043-000</v>
          </cell>
          <cell r="F11203">
            <v>882753009079</v>
          </cell>
        </row>
        <row r="11204">
          <cell r="E11204" t="str">
            <v>AIC-MP-00007135-000</v>
          </cell>
          <cell r="F11204">
            <v>882753009079</v>
          </cell>
        </row>
        <row r="11205">
          <cell r="E11205" t="str">
            <v>AIC-MP-00007025-000</v>
          </cell>
          <cell r="F11205">
            <v>882753009079</v>
          </cell>
        </row>
        <row r="11206">
          <cell r="E11206" t="str">
            <v>AIC-MP-IC004565-S01</v>
          </cell>
          <cell r="F11206">
            <v>882753009079</v>
          </cell>
        </row>
        <row r="11207">
          <cell r="E11207" t="str">
            <v>AIC-MP-IC005827-S02</v>
          </cell>
          <cell r="F11207">
            <v>882753009079</v>
          </cell>
        </row>
        <row r="11208">
          <cell r="E11208" t="str">
            <v>AIC-MP-00007057-000</v>
          </cell>
          <cell r="F11208">
            <v>882753009079</v>
          </cell>
        </row>
        <row r="11209">
          <cell r="E11209" t="str">
            <v>AIC-MP-00006139-000</v>
          </cell>
          <cell r="F11209">
            <v>882753009079</v>
          </cell>
        </row>
        <row r="11210">
          <cell r="E11210" t="str">
            <v>AIC-MP-ID006485-S01</v>
          </cell>
          <cell r="F11210">
            <v>882753009079</v>
          </cell>
        </row>
        <row r="11211">
          <cell r="E11211" t="str">
            <v>AIC-MP-00006919-000</v>
          </cell>
          <cell r="F11211">
            <v>882753009079</v>
          </cell>
        </row>
        <row r="11212">
          <cell r="E11212" t="str">
            <v>AIC-MP-ID007274-S01</v>
          </cell>
          <cell r="F11212">
            <v>882753009079</v>
          </cell>
        </row>
        <row r="11213">
          <cell r="E11213" t="str">
            <v>AIC-123-001934</v>
          </cell>
          <cell r="F11213">
            <v>882753009079</v>
          </cell>
        </row>
        <row r="11214">
          <cell r="E11214" t="str">
            <v>AIC-MP-ID007219-S01</v>
          </cell>
          <cell r="F11214">
            <v>882753009079</v>
          </cell>
        </row>
        <row r="11215">
          <cell r="E11215" t="str">
            <v>AIC-MP-00006920-000</v>
          </cell>
          <cell r="F11215">
            <v>882753009079</v>
          </cell>
        </row>
        <row r="11216">
          <cell r="E11216" t="str">
            <v>AIC-109-001575</v>
          </cell>
          <cell r="F11216">
            <v>882753009079</v>
          </cell>
        </row>
        <row r="11217">
          <cell r="E11217" t="str">
            <v>AIC-MP-00001298-000</v>
          </cell>
          <cell r="F11217">
            <v>882753009079</v>
          </cell>
        </row>
        <row r="11218">
          <cell r="E11218" t="str">
            <v>AIC-MP-00006337-000</v>
          </cell>
          <cell r="F11218">
            <v>882753009079</v>
          </cell>
        </row>
        <row r="11219">
          <cell r="E11219" t="str">
            <v>AIC-111-001500</v>
          </cell>
          <cell r="F11219">
            <v>882753009079</v>
          </cell>
        </row>
        <row r="11220">
          <cell r="E11220" t="str">
            <v>AIC-MP-00006744-000</v>
          </cell>
          <cell r="F11220">
            <v>882753009079</v>
          </cell>
        </row>
        <row r="11221">
          <cell r="E11221" t="str">
            <v>AIC-132-001532</v>
          </cell>
          <cell r="F11221">
            <v>882753009079</v>
          </cell>
        </row>
        <row r="11222">
          <cell r="E11222" t="str">
            <v>AIC-MP-00004220-000</v>
          </cell>
          <cell r="F11222">
            <v>882753009079</v>
          </cell>
        </row>
        <row r="11223">
          <cell r="E11223" t="str">
            <v>AIC-MP-00005449-000</v>
          </cell>
          <cell r="F11223">
            <v>882753009079</v>
          </cell>
        </row>
        <row r="11224">
          <cell r="E11224" t="str">
            <v>AIC-MP-00004186-000</v>
          </cell>
          <cell r="F11224">
            <v>882753009079</v>
          </cell>
        </row>
        <row r="11225">
          <cell r="E11225" t="str">
            <v>AIC-133-001104</v>
          </cell>
          <cell r="F11225">
            <v>882753009079</v>
          </cell>
        </row>
        <row r="11226">
          <cell r="E11226" t="str">
            <v>AIC-MP-IC005582-S03</v>
          </cell>
          <cell r="F11226">
            <v>882753009079</v>
          </cell>
        </row>
        <row r="11227">
          <cell r="E11227" t="str">
            <v>AIC-123-001952</v>
          </cell>
          <cell r="F11227">
            <v>882753009079</v>
          </cell>
        </row>
        <row r="11228">
          <cell r="E11228" t="str">
            <v>AIC-120-012803</v>
          </cell>
          <cell r="F11228">
            <v>882753009079</v>
          </cell>
        </row>
        <row r="11229">
          <cell r="E11229" t="str">
            <v>AIC-111-001507</v>
          </cell>
          <cell r="F11229">
            <v>882753009079</v>
          </cell>
        </row>
        <row r="11230">
          <cell r="E11230" t="str">
            <v>AIC-MP-CN007105-S01</v>
          </cell>
          <cell r="F11230">
            <v>882753009079</v>
          </cell>
        </row>
        <row r="11231">
          <cell r="E11231" t="str">
            <v>AIC-MP-CN006846-S01</v>
          </cell>
          <cell r="F11231">
            <v>882753009079</v>
          </cell>
        </row>
        <row r="11232">
          <cell r="E11232" t="str">
            <v>AIC-120-012786</v>
          </cell>
          <cell r="F11232">
            <v>882753009079</v>
          </cell>
        </row>
        <row r="11233">
          <cell r="E11233" t="str">
            <v>AIC-120-012789</v>
          </cell>
          <cell r="F11233">
            <v>882753009079</v>
          </cell>
        </row>
        <row r="11234">
          <cell r="E11234" t="str">
            <v>AIC-MP-00002155-000</v>
          </cell>
          <cell r="F11234">
            <v>882753009079</v>
          </cell>
        </row>
        <row r="11235">
          <cell r="E11235" t="str">
            <v>AIC-MP-IC007287-S01</v>
          </cell>
          <cell r="F11235">
            <v>882753009079</v>
          </cell>
        </row>
        <row r="11236">
          <cell r="E11236" t="str">
            <v>AIC-MP-IC006477-S01</v>
          </cell>
          <cell r="F11236">
            <v>882753009079</v>
          </cell>
        </row>
        <row r="11237">
          <cell r="E11237" t="str">
            <v>AIC-MP-IC007047-P01</v>
          </cell>
          <cell r="F11237">
            <v>882753009079</v>
          </cell>
        </row>
        <row r="11238">
          <cell r="E11238" t="str">
            <v>AIC-MP-IC006563-S01</v>
          </cell>
          <cell r="F11238">
            <v>882753009079</v>
          </cell>
        </row>
        <row r="11239">
          <cell r="E11239" t="str">
            <v>AIC-MP-00005554-000</v>
          </cell>
          <cell r="F11239">
            <v>882753009079</v>
          </cell>
        </row>
        <row r="11240">
          <cell r="E11240" t="str">
            <v>AIC-MP-00006827-000</v>
          </cell>
          <cell r="F11240">
            <v>882753009079</v>
          </cell>
        </row>
        <row r="11241">
          <cell r="E11241" t="str">
            <v>AIC-MP-00007226-000</v>
          </cell>
          <cell r="F11241">
            <v>882753009079</v>
          </cell>
        </row>
        <row r="11242">
          <cell r="E11242" t="str">
            <v>AIC-MP-00007220-000</v>
          </cell>
          <cell r="F11242">
            <v>882753009079</v>
          </cell>
        </row>
        <row r="11243">
          <cell r="E11243" t="str">
            <v>AIC-MP-00007328-000</v>
          </cell>
          <cell r="F11243">
            <v>882753009079</v>
          </cell>
        </row>
        <row r="11244">
          <cell r="E11244" t="str">
            <v>AIC-MP-DE007118-S01</v>
          </cell>
          <cell r="F11244">
            <v>882753009079</v>
          </cell>
        </row>
        <row r="11245">
          <cell r="E11245" t="str">
            <v>AIC-MP-FS007096-S01</v>
          </cell>
          <cell r="F11245">
            <v>882753009079</v>
          </cell>
        </row>
        <row r="11246">
          <cell r="E11246" t="str">
            <v>AIC-MP-OT007308-S01</v>
          </cell>
          <cell r="F11246">
            <v>882753009079</v>
          </cell>
        </row>
        <row r="11247">
          <cell r="E11247" t="str">
            <v>AIC-MP-00007086-000</v>
          </cell>
          <cell r="F11247">
            <v>882753009079</v>
          </cell>
        </row>
        <row r="11248">
          <cell r="E11248" t="str">
            <v>AIC-MP-OT007295-S01</v>
          </cell>
          <cell r="F11248">
            <v>882753009079</v>
          </cell>
        </row>
        <row r="11249">
          <cell r="E11249" t="str">
            <v>AIC-MP-00007014-000</v>
          </cell>
          <cell r="F11249">
            <v>882753009079</v>
          </cell>
        </row>
        <row r="11250">
          <cell r="E11250" t="str">
            <v>AIC-MP-00006918-000</v>
          </cell>
          <cell r="F11250">
            <v>882753009079</v>
          </cell>
        </row>
        <row r="11251">
          <cell r="E11251" t="str">
            <v>AIC-MP-00004843-000</v>
          </cell>
          <cell r="F11251">
            <v>882753009079</v>
          </cell>
        </row>
        <row r="11252">
          <cell r="E11252" t="str">
            <v>AIC-MP-00006913-000</v>
          </cell>
          <cell r="F11252">
            <v>882753009079</v>
          </cell>
        </row>
        <row r="11253">
          <cell r="E11253" t="str">
            <v>AIC-120-012792</v>
          </cell>
          <cell r="F11253">
            <v>882753009079</v>
          </cell>
        </row>
        <row r="11254">
          <cell r="E11254" t="str">
            <v>AIC-MP-CN007149-S01</v>
          </cell>
          <cell r="F11254">
            <v>882753009079</v>
          </cell>
        </row>
        <row r="11255">
          <cell r="E11255" t="str">
            <v>AIC-MP-00006827-000</v>
          </cell>
          <cell r="F11255">
            <v>882753009079</v>
          </cell>
        </row>
        <row r="11256">
          <cell r="E11256" t="str">
            <v>AIC-MP-IC001301-S02</v>
          </cell>
          <cell r="F11256">
            <v>882753009079</v>
          </cell>
        </row>
        <row r="11257">
          <cell r="E11257" t="str">
            <v>AIC-MP-IC007047-P01</v>
          </cell>
          <cell r="F11257">
            <v>882753009079</v>
          </cell>
        </row>
        <row r="11258">
          <cell r="E11258" t="str">
            <v>AIC-132-001520</v>
          </cell>
          <cell r="F11258">
            <v>882753009079</v>
          </cell>
        </row>
        <row r="11259">
          <cell r="E11259" t="str">
            <v>AIC-MP-IC006862-S02</v>
          </cell>
          <cell r="F11259">
            <v>882753009079</v>
          </cell>
        </row>
        <row r="11260">
          <cell r="E11260" t="str">
            <v>AIC-MP-IC006956-S01</v>
          </cell>
          <cell r="F11260">
            <v>882753009079</v>
          </cell>
        </row>
        <row r="11261">
          <cell r="E11261" t="str">
            <v>AIC-MP-IC007025-S01</v>
          </cell>
          <cell r="F11261">
            <v>882753009079</v>
          </cell>
        </row>
        <row r="11262">
          <cell r="E11262" t="str">
            <v>AIC-MP-IC005582-S03</v>
          </cell>
          <cell r="F11262">
            <v>882753009079</v>
          </cell>
        </row>
        <row r="11263">
          <cell r="E11263" t="str">
            <v>AIC-MP-IC005844-S01</v>
          </cell>
          <cell r="F11263">
            <v>882753009079</v>
          </cell>
        </row>
        <row r="11264">
          <cell r="E11264" t="str">
            <v>AIC-MP-IC006917-S01</v>
          </cell>
          <cell r="F11264">
            <v>882753009079</v>
          </cell>
        </row>
        <row r="11265">
          <cell r="E11265" t="str">
            <v>AIC-MP-OC005121-S01</v>
          </cell>
          <cell r="F11265">
            <v>882753009079</v>
          </cell>
        </row>
        <row r="11266">
          <cell r="E11266" t="str">
            <v>AIC-186-001797</v>
          </cell>
          <cell r="F11266">
            <v>882753009079</v>
          </cell>
        </row>
        <row r="11267">
          <cell r="E11267" t="str">
            <v>AIC-MP-00007185-000</v>
          </cell>
          <cell r="F11267">
            <v>882753009079</v>
          </cell>
        </row>
        <row r="11268">
          <cell r="E11268" t="str">
            <v>AIC-126-002326</v>
          </cell>
          <cell r="F11268">
            <v>882753009079</v>
          </cell>
        </row>
        <row r="11269">
          <cell r="E11269" t="str">
            <v>AIC-126-002325</v>
          </cell>
          <cell r="F11269">
            <v>882753009079</v>
          </cell>
        </row>
        <row r="11270">
          <cell r="E11270" t="str">
            <v>AIC-MP-IC005582-S05</v>
          </cell>
          <cell r="F11270">
            <v>882753009079</v>
          </cell>
        </row>
        <row r="11271">
          <cell r="E11271" t="str">
            <v>AIC-132-001543</v>
          </cell>
          <cell r="F11271">
            <v>882753009079</v>
          </cell>
        </row>
        <row r="11272">
          <cell r="E11272" t="str">
            <v>LUC-EZZ-510031-00</v>
          </cell>
          <cell r="F11272">
            <v>390909381993</v>
          </cell>
        </row>
        <row r="11273">
          <cell r="E11273" t="str">
            <v>LUC-E00-470028-00</v>
          </cell>
          <cell r="F11273">
            <v>445170477383</v>
          </cell>
        </row>
        <row r="11274">
          <cell r="E11274" t="str">
            <v>LUC-E00-400003-43</v>
          </cell>
          <cell r="F11274">
            <v>445170477280</v>
          </cell>
        </row>
        <row r="11275">
          <cell r="E11275" t="str">
            <v>PUR-09-0255-00</v>
          </cell>
          <cell r="F11275">
            <v>445170478048</v>
          </cell>
        </row>
        <row r="11276">
          <cell r="E11276" t="str">
            <v>LUC-E00-420071-00</v>
          </cell>
          <cell r="F11276">
            <v>445170476446</v>
          </cell>
        </row>
        <row r="11277">
          <cell r="E11277" t="str">
            <v>LUC-EZZ-400225-00</v>
          </cell>
          <cell r="F11277">
            <v>445170478221</v>
          </cell>
        </row>
        <row r="11278">
          <cell r="E11278" t="str">
            <v>HLOB-09-0050-00</v>
          </cell>
          <cell r="F11278">
            <v>445170477545</v>
          </cell>
        </row>
        <row r="11279">
          <cell r="E11279" t="str">
            <v>LUC-E00-400067-036</v>
          </cell>
          <cell r="F11279">
            <v>445170478232</v>
          </cell>
        </row>
        <row r="11280">
          <cell r="E11280" t="str">
            <v>LUC-E00-400010-021</v>
          </cell>
          <cell r="F11280">
            <v>445170478357</v>
          </cell>
        </row>
        <row r="11281">
          <cell r="E11281" t="str">
            <v>LUC-E00-400067-036</v>
          </cell>
          <cell r="F11281">
            <v>445170479798</v>
          </cell>
        </row>
        <row r="11282">
          <cell r="E11282" t="str">
            <v>HLOB-09-0279-00</v>
          </cell>
          <cell r="F11282">
            <v>445170478622</v>
          </cell>
        </row>
        <row r="11283">
          <cell r="E11283" t="str">
            <v>LUC-EZZ-691595-00</v>
          </cell>
          <cell r="F11283">
            <v>4110326391</v>
          </cell>
        </row>
        <row r="11284">
          <cell r="E11284" t="str">
            <v>HLOB-03-0113-00</v>
          </cell>
          <cell r="F11284" t="str">
            <v>8TV6658</v>
          </cell>
        </row>
        <row r="11285">
          <cell r="E11285" t="str">
            <v>HLOB-03-0113-00</v>
          </cell>
          <cell r="F11285" t="str">
            <v>8TV6659</v>
          </cell>
        </row>
        <row r="11286">
          <cell r="E11286" t="str">
            <v>HLOB-03-0113-00</v>
          </cell>
          <cell r="F11286" t="str">
            <v>8TV6660</v>
          </cell>
        </row>
        <row r="11287">
          <cell r="E11287" t="str">
            <v>HLOB-03-0113-00</v>
          </cell>
          <cell r="F11287" t="str">
            <v>8TV6661</v>
          </cell>
        </row>
        <row r="11288">
          <cell r="E11288" t="str">
            <v>HLOB-03-0113-00</v>
          </cell>
          <cell r="F11288" t="str">
            <v>8TV6662</v>
          </cell>
        </row>
        <row r="11289">
          <cell r="E11289" t="str">
            <v>HLOB-03-0113-00</v>
          </cell>
          <cell r="F11289" t="str">
            <v>8TV6663</v>
          </cell>
        </row>
        <row r="11290">
          <cell r="E11290" t="str">
            <v>HLOB-03-0113-00</v>
          </cell>
          <cell r="F11290" t="str">
            <v>8TV6664</v>
          </cell>
        </row>
        <row r="11291">
          <cell r="E11291" t="str">
            <v>HLOB-03-0113-00</v>
          </cell>
          <cell r="F11291" t="str">
            <v>8TV6665</v>
          </cell>
        </row>
        <row r="11292">
          <cell r="E11292" t="str">
            <v>PUR-03-0074-02</v>
          </cell>
          <cell r="F11292" t="str">
            <v>8TV6684</v>
          </cell>
        </row>
        <row r="11293">
          <cell r="E11293" t="str">
            <v>PUR-03-0074-02</v>
          </cell>
          <cell r="F11293" t="str">
            <v>8TV6685</v>
          </cell>
        </row>
        <row r="11294">
          <cell r="E11294" t="str">
            <v>LUC-EZZ-400606-00</v>
          </cell>
          <cell r="F11294">
            <v>391064856053</v>
          </cell>
        </row>
        <row r="11295">
          <cell r="E11295" t="str">
            <v>PUR-05-0032-00</v>
          </cell>
          <cell r="F11295">
            <v>3455709810</v>
          </cell>
        </row>
        <row r="11296">
          <cell r="E11296" t="str">
            <v>122-004372</v>
          </cell>
          <cell r="F11296">
            <v>882817534983</v>
          </cell>
        </row>
        <row r="11297">
          <cell r="E11297" t="str">
            <v>PUR-17-0314-02</v>
          </cell>
          <cell r="F11297">
            <v>882746609603</v>
          </cell>
        </row>
        <row r="11298">
          <cell r="E11298" t="str">
            <v>PUR-17-0314-02</v>
          </cell>
          <cell r="F11298">
            <v>882746609603</v>
          </cell>
        </row>
        <row r="11299">
          <cell r="E11299" t="str">
            <v>PUR-17-0312-02</v>
          </cell>
          <cell r="F11299">
            <v>882746609603</v>
          </cell>
        </row>
        <row r="11300">
          <cell r="E11300" t="str">
            <v>AIC-MP-00006346-000</v>
          </cell>
          <cell r="F11300">
            <v>445131412264</v>
          </cell>
        </row>
        <row r="11301">
          <cell r="E11301" t="str">
            <v>AIC-MP-XT005048-S01</v>
          </cell>
          <cell r="F11301">
            <v>445131412264</v>
          </cell>
        </row>
        <row r="11302">
          <cell r="E11302" t="str">
            <v>AIC-MP-XT006266-S01</v>
          </cell>
          <cell r="F11302">
            <v>445131412264</v>
          </cell>
        </row>
        <row r="11303">
          <cell r="E11303" t="str">
            <v>AIC-134-001627</v>
          </cell>
          <cell r="F11303">
            <v>445131412264</v>
          </cell>
        </row>
        <row r="11304">
          <cell r="E11304" t="str">
            <v>AIC-MP-00006132-000</v>
          </cell>
          <cell r="F11304">
            <v>445131412264</v>
          </cell>
        </row>
        <row r="11305">
          <cell r="E11305" t="str">
            <v>AIC-MP-00006918-000</v>
          </cell>
          <cell r="F11305">
            <v>448135870310</v>
          </cell>
        </row>
        <row r="11306">
          <cell r="E11306" t="str">
            <v>122-001672</v>
          </cell>
          <cell r="F11306">
            <v>448135870310</v>
          </cell>
        </row>
        <row r="11307">
          <cell r="E11307" t="str">
            <v>AIC-MP-00006506-000</v>
          </cell>
          <cell r="F11307">
            <v>448135870310</v>
          </cell>
        </row>
        <row r="11308">
          <cell r="E11308" t="str">
            <v>AIC-MP-IC006982-S01</v>
          </cell>
          <cell r="F11308">
            <v>448135870310</v>
          </cell>
        </row>
        <row r="11309">
          <cell r="E11309" t="str">
            <v>AIC-MP-00006987-000</v>
          </cell>
          <cell r="F11309">
            <v>448135870310</v>
          </cell>
        </row>
        <row r="11310">
          <cell r="E11310" t="str">
            <v>AIC-MP-00006919-000</v>
          </cell>
          <cell r="F11310">
            <v>448135870310</v>
          </cell>
        </row>
        <row r="11311">
          <cell r="E11311" t="str">
            <v>AIC-MP-00005032-000</v>
          </cell>
          <cell r="F11311">
            <v>448135870310</v>
          </cell>
        </row>
        <row r="11312">
          <cell r="E11312" t="str">
            <v>AIC-MP-00004104-000</v>
          </cell>
          <cell r="F11312">
            <v>448135870310</v>
          </cell>
        </row>
        <row r="11313">
          <cell r="E11313" t="str">
            <v>AIC-111-001499</v>
          </cell>
          <cell r="F11313">
            <v>448135870310</v>
          </cell>
        </row>
        <row r="11314">
          <cell r="E11314" t="str">
            <v>119-001192</v>
          </cell>
          <cell r="F11314">
            <v>448135870310</v>
          </cell>
        </row>
        <row r="11315">
          <cell r="E11315" t="str">
            <v>AIC-MP-00007012-000</v>
          </cell>
          <cell r="F11315">
            <v>448135870310</v>
          </cell>
        </row>
        <row r="11316">
          <cell r="E11316" t="str">
            <v>AIC-MP-00005644-000</v>
          </cell>
          <cell r="F11316">
            <v>448135870310</v>
          </cell>
        </row>
        <row r="11317">
          <cell r="E11317" t="str">
            <v>AIC-132-001521</v>
          </cell>
          <cell r="F11317">
            <v>448135870310</v>
          </cell>
        </row>
        <row r="11318">
          <cell r="E11318" t="str">
            <v>AIC-MP-XS002198-S01</v>
          </cell>
          <cell r="F11318">
            <v>448135870310</v>
          </cell>
        </row>
        <row r="11319">
          <cell r="E11319" t="str">
            <v>AIC-MP-DE000247-S02</v>
          </cell>
          <cell r="F11319">
            <v>448135870310</v>
          </cell>
        </row>
        <row r="11320">
          <cell r="E11320" t="str">
            <v>EF-45051531.X.X</v>
          </cell>
          <cell r="F11320">
            <v>448135870310</v>
          </cell>
        </row>
        <row r="11321">
          <cell r="E11321" t="str">
            <v>LUC-EZZ-510200-00</v>
          </cell>
          <cell r="F11321">
            <v>448135870310</v>
          </cell>
        </row>
        <row r="11322">
          <cell r="E11322" t="str">
            <v>AIC-MP-00006913-000</v>
          </cell>
          <cell r="F11322">
            <v>882746786637</v>
          </cell>
        </row>
        <row r="11323">
          <cell r="E11323" t="str">
            <v>AIC-MP-00006913-000</v>
          </cell>
          <cell r="F11323">
            <v>882746786637</v>
          </cell>
        </row>
        <row r="11324">
          <cell r="E11324" t="str">
            <v>HLOB-07-0315-00</v>
          </cell>
          <cell r="F11324">
            <v>882821057089</v>
          </cell>
        </row>
        <row r="11325">
          <cell r="E11325" t="str">
            <v>120-010350.X.X</v>
          </cell>
          <cell r="F11325">
            <v>741993628397</v>
          </cell>
        </row>
        <row r="11326">
          <cell r="E11326" t="str">
            <v>AIC-119-001262</v>
          </cell>
          <cell r="F11326">
            <v>912489529474</v>
          </cell>
        </row>
        <row r="11327">
          <cell r="E11327" t="str">
            <v>AIC-MP-00007035-000</v>
          </cell>
          <cell r="F11327">
            <v>469774260760</v>
          </cell>
        </row>
        <row r="11328">
          <cell r="E11328" t="str">
            <v>AIC-MP-00007035-000</v>
          </cell>
          <cell r="F11328">
            <v>469774260760</v>
          </cell>
        </row>
        <row r="11329">
          <cell r="E11329" t="str">
            <v>AIC-MP-00006260-000</v>
          </cell>
          <cell r="F11329">
            <v>470859339960</v>
          </cell>
        </row>
        <row r="11330">
          <cell r="E11330" t="str">
            <v>LUC-E00-470109-00</v>
          </cell>
          <cell r="F11330">
            <v>453074969140</v>
          </cell>
        </row>
        <row r="11331">
          <cell r="E11331" t="str">
            <v>LUC-E00-460015-01</v>
          </cell>
          <cell r="F11331">
            <v>7731317915</v>
          </cell>
        </row>
        <row r="11332">
          <cell r="E11332" t="str">
            <v>LUC-E00-400010-007</v>
          </cell>
          <cell r="F11332">
            <v>7731317915</v>
          </cell>
        </row>
        <row r="11333">
          <cell r="E11333" t="str">
            <v>LUC-E00-400001-010</v>
          </cell>
          <cell r="F11333">
            <v>7731317915</v>
          </cell>
        </row>
        <row r="11334">
          <cell r="E11334" t="str">
            <v>LUC-EZZ-420281-00</v>
          </cell>
          <cell r="F11334">
            <v>7731317915</v>
          </cell>
        </row>
        <row r="11335">
          <cell r="E11335" t="str">
            <v>LUC-E00-400010-044</v>
          </cell>
          <cell r="F11335">
            <v>7731317915</v>
          </cell>
        </row>
        <row r="11336">
          <cell r="E11336" t="str">
            <v>LUC-EZZ-400454-01</v>
          </cell>
          <cell r="F11336">
            <v>7731317915</v>
          </cell>
        </row>
        <row r="11337">
          <cell r="E11337" t="str">
            <v>LUC-E00-400010-021</v>
          </cell>
          <cell r="F11337">
            <v>7731317915</v>
          </cell>
        </row>
        <row r="11338">
          <cell r="E11338" t="str">
            <v>LUC-EZZ-450149-00</v>
          </cell>
          <cell r="F11338">
            <v>7731317915</v>
          </cell>
        </row>
        <row r="11339">
          <cell r="E11339" t="str">
            <v>EF-45130963</v>
          </cell>
          <cell r="F11339">
            <v>7731317915</v>
          </cell>
        </row>
        <row r="11340">
          <cell r="E11340" t="str">
            <v>LUC-EZZ-510640-00</v>
          </cell>
          <cell r="F11340">
            <v>7731317915</v>
          </cell>
        </row>
        <row r="11341">
          <cell r="E11341" t="str">
            <v>LUC-EZZ-510640-00</v>
          </cell>
          <cell r="F11341">
            <v>7731317915</v>
          </cell>
        </row>
        <row r="11342">
          <cell r="E11342" t="str">
            <v>LUC-EZZ-510640-00</v>
          </cell>
          <cell r="F11342">
            <v>7731317915</v>
          </cell>
        </row>
        <row r="11343">
          <cell r="E11343" t="str">
            <v>LUC-E00-400010-021</v>
          </cell>
          <cell r="F11343">
            <v>7731317915</v>
          </cell>
        </row>
        <row r="11344">
          <cell r="E11344" t="str">
            <v>LUC-E00-470047-00</v>
          </cell>
          <cell r="F11344">
            <v>7731317915</v>
          </cell>
        </row>
        <row r="11345">
          <cell r="E11345" t="str">
            <v>LUC-E00-470047-00</v>
          </cell>
          <cell r="F11345">
            <v>7731317915</v>
          </cell>
        </row>
        <row r="11346">
          <cell r="E11346" t="str">
            <v>LUC-E00-470047-00</v>
          </cell>
          <cell r="F11346">
            <v>7731317915</v>
          </cell>
        </row>
        <row r="11347">
          <cell r="E11347" t="str">
            <v>LUC-EZZ-420120-00</v>
          </cell>
          <cell r="F11347">
            <v>7731317915</v>
          </cell>
        </row>
        <row r="11348">
          <cell r="E11348" t="str">
            <v>LUC-EZZ-421706-00</v>
          </cell>
          <cell r="F11348">
            <v>7731317915</v>
          </cell>
        </row>
        <row r="11349">
          <cell r="E11349" t="str">
            <v>LUC-EZZ-421298-00</v>
          </cell>
          <cell r="F11349">
            <v>7731317915</v>
          </cell>
        </row>
        <row r="11350">
          <cell r="E11350" t="str">
            <v>LUC-E00-420055-00</v>
          </cell>
          <cell r="F11350">
            <v>7731317915</v>
          </cell>
        </row>
        <row r="11351">
          <cell r="E11351" t="str">
            <v>LUC-E00-420027-04</v>
          </cell>
          <cell r="F11351">
            <v>7731317915</v>
          </cell>
        </row>
        <row r="11352">
          <cell r="E11352" t="str">
            <v>LUC-E00-470122-01</v>
          </cell>
          <cell r="F11352">
            <v>7731317915</v>
          </cell>
        </row>
        <row r="11353">
          <cell r="E11353" t="str">
            <v>LUC-E00-470122-01</v>
          </cell>
          <cell r="F11353">
            <v>7731317915</v>
          </cell>
        </row>
        <row r="11354">
          <cell r="E11354" t="str">
            <v>LUC-E00-470122-01</v>
          </cell>
          <cell r="F11354">
            <v>7731317915</v>
          </cell>
        </row>
        <row r="11355">
          <cell r="E11355" t="str">
            <v>LUC-E00-510093-00</v>
          </cell>
          <cell r="F11355">
            <v>7731317915</v>
          </cell>
        </row>
        <row r="11356">
          <cell r="E11356" t="str">
            <v>LUC-E00-510093-00</v>
          </cell>
          <cell r="F11356">
            <v>7731317915</v>
          </cell>
        </row>
        <row r="11357">
          <cell r="E11357" t="str">
            <v>LUC-E00-420015-00</v>
          </cell>
          <cell r="F11357">
            <v>7731317915</v>
          </cell>
        </row>
        <row r="11358">
          <cell r="E11358" t="str">
            <v>LUC-E00-470047-00</v>
          </cell>
          <cell r="F11358">
            <v>7731317915</v>
          </cell>
        </row>
        <row r="11359">
          <cell r="E11359" t="str">
            <v>LUC-E00-470047-00</v>
          </cell>
          <cell r="F11359">
            <v>7731317915</v>
          </cell>
        </row>
        <row r="11360">
          <cell r="E11360" t="str">
            <v>LUC-E00-450044-00</v>
          </cell>
          <cell r="F11360">
            <v>7731317915</v>
          </cell>
        </row>
        <row r="11361">
          <cell r="E11361" t="str">
            <v>LUC-E00-450044-00</v>
          </cell>
          <cell r="F11361">
            <v>7731317915</v>
          </cell>
        </row>
        <row r="11362">
          <cell r="E11362" t="str">
            <v>LUC-E00-450044-00</v>
          </cell>
          <cell r="F11362">
            <v>7731317915</v>
          </cell>
        </row>
        <row r="11363">
          <cell r="E11363" t="str">
            <v>LUC-EZZ-420507-00</v>
          </cell>
          <cell r="F11363">
            <v>7731317915</v>
          </cell>
        </row>
        <row r="11364">
          <cell r="E11364" t="str">
            <v>LUC-EZZ-420507-00</v>
          </cell>
          <cell r="F11364">
            <v>7731317915</v>
          </cell>
        </row>
        <row r="11365">
          <cell r="E11365" t="str">
            <v>LUC-EZZ-420507-00</v>
          </cell>
          <cell r="F11365">
            <v>7731317915</v>
          </cell>
        </row>
        <row r="11366">
          <cell r="E11366" t="str">
            <v>LUC-EZZ-420507-00</v>
          </cell>
          <cell r="F11366">
            <v>7731317915</v>
          </cell>
        </row>
        <row r="11367">
          <cell r="E11367" t="str">
            <v>LUC-E00-450028-00</v>
          </cell>
          <cell r="F11367">
            <v>7731317915</v>
          </cell>
        </row>
        <row r="11368">
          <cell r="E11368" t="str">
            <v>LUC-E00-450028-00</v>
          </cell>
          <cell r="F11368">
            <v>7731317915</v>
          </cell>
        </row>
        <row r="11369">
          <cell r="E11369" t="str">
            <v>LUC-E00-470059-00</v>
          </cell>
          <cell r="F11369">
            <v>7731317915</v>
          </cell>
        </row>
        <row r="11370">
          <cell r="E11370" t="str">
            <v>LUC-E00-470048-00</v>
          </cell>
          <cell r="F11370">
            <v>7731317915</v>
          </cell>
        </row>
        <row r="11371">
          <cell r="E11371" t="str">
            <v>LUC-E00-420055-12</v>
          </cell>
          <cell r="F11371">
            <v>7731317915</v>
          </cell>
        </row>
        <row r="11372">
          <cell r="E11372" t="str">
            <v>LUC-EZZ-470431-00</v>
          </cell>
          <cell r="F11372">
            <v>7731317915</v>
          </cell>
        </row>
        <row r="11373">
          <cell r="E11373" t="str">
            <v>LUC-EZZ-470431-00</v>
          </cell>
          <cell r="F11373">
            <v>7731317915</v>
          </cell>
        </row>
        <row r="11374">
          <cell r="E11374" t="str">
            <v>LUC-E00-540004-00</v>
          </cell>
          <cell r="F11374">
            <v>7731317915</v>
          </cell>
        </row>
        <row r="11375">
          <cell r="E11375" t="str">
            <v>LUC-E00-480008-00</v>
          </cell>
          <cell r="F11375">
            <v>7731317915</v>
          </cell>
        </row>
        <row r="11376">
          <cell r="E11376" t="str">
            <v>LUC-EZZ-440176-00</v>
          </cell>
          <cell r="F11376">
            <v>7731317915</v>
          </cell>
        </row>
        <row r="11377">
          <cell r="E11377" t="str">
            <v>LUC-E00-540004-00</v>
          </cell>
          <cell r="F11377">
            <v>7731317915</v>
          </cell>
        </row>
        <row r="11378">
          <cell r="E11378" t="str">
            <v>LUC-E00-480008-00</v>
          </cell>
          <cell r="F11378">
            <v>7731317915</v>
          </cell>
        </row>
        <row r="11379">
          <cell r="E11379" t="str">
            <v>LUC-EZZ-440176-00</v>
          </cell>
          <cell r="F11379">
            <v>7731317915</v>
          </cell>
        </row>
        <row r="11380">
          <cell r="E11380" t="str">
            <v>LUC-E00-510015-00</v>
          </cell>
          <cell r="F11380">
            <v>7731317915</v>
          </cell>
        </row>
        <row r="11381">
          <cell r="E11381" t="str">
            <v>LUC-E00-470330-00</v>
          </cell>
          <cell r="F11381">
            <v>7731317915</v>
          </cell>
        </row>
        <row r="11382">
          <cell r="E11382" t="str">
            <v>LUC-E00-510015-00</v>
          </cell>
          <cell r="F11382">
            <v>7731317915</v>
          </cell>
        </row>
        <row r="11383">
          <cell r="E11383" t="str">
            <v>LUC-E00-470330-00</v>
          </cell>
          <cell r="F11383">
            <v>7731317915</v>
          </cell>
        </row>
        <row r="11384">
          <cell r="E11384" t="str">
            <v>LUC-E00-510045-00</v>
          </cell>
          <cell r="F11384">
            <v>7731317915</v>
          </cell>
        </row>
        <row r="11385">
          <cell r="E11385" t="str">
            <v>LUC-E00-420060-00</v>
          </cell>
          <cell r="F11385">
            <v>7731317915</v>
          </cell>
        </row>
        <row r="11386">
          <cell r="E11386" t="str">
            <v>LUC-E00-420069-00</v>
          </cell>
          <cell r="F11386">
            <v>7731317915</v>
          </cell>
        </row>
        <row r="11387">
          <cell r="E11387" t="str">
            <v>LUC-E00-440026-00</v>
          </cell>
          <cell r="F11387">
            <v>7731317915</v>
          </cell>
        </row>
        <row r="11388">
          <cell r="E11388" t="str">
            <v>LUC-E00-440026-00</v>
          </cell>
          <cell r="F11388">
            <v>7731317915</v>
          </cell>
        </row>
        <row r="11389">
          <cell r="E11389" t="str">
            <v>LUC-E00-510014-00</v>
          </cell>
          <cell r="F11389">
            <v>7731317915</v>
          </cell>
        </row>
        <row r="11390">
          <cell r="E11390" t="str">
            <v>LUC-E00-510014-00</v>
          </cell>
          <cell r="F11390">
            <v>7731317915</v>
          </cell>
        </row>
        <row r="11391">
          <cell r="E11391" t="str">
            <v>LUC-E00-510014-00</v>
          </cell>
          <cell r="F11391">
            <v>7731317915</v>
          </cell>
        </row>
        <row r="11392">
          <cell r="E11392" t="str">
            <v>LUC-E00-420057-00</v>
          </cell>
          <cell r="F11392">
            <v>7731317915</v>
          </cell>
        </row>
        <row r="11393">
          <cell r="E11393" t="str">
            <v>LUC-E00-440029-00</v>
          </cell>
          <cell r="F11393">
            <v>7731317915</v>
          </cell>
        </row>
        <row r="11394">
          <cell r="E11394" t="str">
            <v>LUC-EZZ-511370-00</v>
          </cell>
          <cell r="F11394">
            <v>7731317915</v>
          </cell>
        </row>
        <row r="11395">
          <cell r="E11395" t="str">
            <v>LUC-E00-450043-00</v>
          </cell>
          <cell r="F11395">
            <v>7731317915</v>
          </cell>
        </row>
        <row r="11396">
          <cell r="E11396" t="str">
            <v>LUC-EZZ-511370-00</v>
          </cell>
          <cell r="F11396">
            <v>7731317915</v>
          </cell>
        </row>
        <row r="11397">
          <cell r="E11397" t="str">
            <v>LUC-E00-510027-00</v>
          </cell>
          <cell r="F11397">
            <v>7731317915</v>
          </cell>
        </row>
        <row r="11398">
          <cell r="E11398" t="str">
            <v>LUC-EZZ-420121-00</v>
          </cell>
          <cell r="F11398">
            <v>7731317915</v>
          </cell>
        </row>
        <row r="11399">
          <cell r="E11399" t="str">
            <v>LUC-EZZ-420490-00</v>
          </cell>
          <cell r="F11399">
            <v>7731317915</v>
          </cell>
        </row>
        <row r="11400">
          <cell r="E11400" t="str">
            <v>LUC-E00-400001-010</v>
          </cell>
          <cell r="F11400">
            <v>7731317915</v>
          </cell>
        </row>
        <row r="11401">
          <cell r="E11401" t="str">
            <v>LUC-E00-420050-00</v>
          </cell>
          <cell r="F11401">
            <v>7731317915</v>
          </cell>
        </row>
        <row r="11402">
          <cell r="E11402" t="str">
            <v>LUC-E00-470032-00</v>
          </cell>
          <cell r="F11402">
            <v>7731317915</v>
          </cell>
        </row>
        <row r="11403">
          <cell r="E11403" t="str">
            <v>LUC-E00-400048-00</v>
          </cell>
          <cell r="F11403">
            <v>7731317915</v>
          </cell>
        </row>
        <row r="11404">
          <cell r="E11404" t="str">
            <v>LUC-E00-420116-01</v>
          </cell>
          <cell r="F11404">
            <v>7731317915</v>
          </cell>
        </row>
        <row r="11405">
          <cell r="E11405" t="str">
            <v>LUC-E00-470123-00</v>
          </cell>
          <cell r="F11405">
            <v>7731317915</v>
          </cell>
        </row>
        <row r="11406">
          <cell r="E11406" t="str">
            <v>LUC-E00-470123-00</v>
          </cell>
          <cell r="F11406">
            <v>7731317915</v>
          </cell>
        </row>
        <row r="11407">
          <cell r="E11407" t="str">
            <v>LUC-E00-420060-00</v>
          </cell>
          <cell r="F11407">
            <v>7731317915</v>
          </cell>
        </row>
        <row r="11408">
          <cell r="E11408" t="str">
            <v>LUC-E00-420069-00</v>
          </cell>
          <cell r="F11408">
            <v>7731317915</v>
          </cell>
        </row>
        <row r="11409">
          <cell r="E11409" t="str">
            <v>LUC-E00-450056-00</v>
          </cell>
          <cell r="F11409">
            <v>7731317915</v>
          </cell>
        </row>
        <row r="11410">
          <cell r="E11410" t="str">
            <v>LUC-E00-460008-00</v>
          </cell>
          <cell r="F11410">
            <v>7731317915</v>
          </cell>
        </row>
        <row r="11411">
          <cell r="E11411" t="str">
            <v>LUC-E00-470095-00</v>
          </cell>
          <cell r="F11411">
            <v>7731317915</v>
          </cell>
        </row>
        <row r="11412">
          <cell r="E11412" t="str">
            <v>LUC-E00-470119-00</v>
          </cell>
          <cell r="F11412">
            <v>7731317915</v>
          </cell>
        </row>
        <row r="11413">
          <cell r="E11413" t="str">
            <v>LUC-E00-470120-00</v>
          </cell>
          <cell r="F11413">
            <v>7731317915</v>
          </cell>
        </row>
        <row r="11414">
          <cell r="E11414" t="str">
            <v>LUC-E00-420020-03</v>
          </cell>
          <cell r="F11414">
            <v>7731317915</v>
          </cell>
        </row>
        <row r="11415">
          <cell r="E11415" t="str">
            <v>LUC-E00-470087-00</v>
          </cell>
          <cell r="F11415">
            <v>7731317915</v>
          </cell>
        </row>
        <row r="11416">
          <cell r="E11416" t="str">
            <v>LUC-E00-450148-01</v>
          </cell>
          <cell r="F11416">
            <v>7731317915</v>
          </cell>
        </row>
        <row r="11417">
          <cell r="E11417" t="str">
            <v>LUC-E00-470123-00</v>
          </cell>
          <cell r="F11417">
            <v>7731317915</v>
          </cell>
        </row>
        <row r="11418">
          <cell r="E11418" t="str">
            <v>LUC-EZZ-470431-00</v>
          </cell>
          <cell r="F11418">
            <v>7731317915</v>
          </cell>
        </row>
        <row r="11419">
          <cell r="E11419" t="str">
            <v>LUC-EZZ-470464-00</v>
          </cell>
          <cell r="F11419">
            <v>7731317915</v>
          </cell>
        </row>
        <row r="11420">
          <cell r="E11420" t="str">
            <v>LUC-E00-400048-00</v>
          </cell>
          <cell r="F11420">
            <v>7731317915</v>
          </cell>
        </row>
        <row r="11421">
          <cell r="E11421" t="str">
            <v>LUC-E00-400048-00</v>
          </cell>
          <cell r="F11421">
            <v>7731317915</v>
          </cell>
        </row>
        <row r="11422">
          <cell r="E11422" t="str">
            <v>LUC-E00-450036-00</v>
          </cell>
          <cell r="F11422">
            <v>7731317915</v>
          </cell>
        </row>
        <row r="11423">
          <cell r="E11423" t="str">
            <v>LUC-E00-450036-00</v>
          </cell>
          <cell r="F11423">
            <v>7731317915</v>
          </cell>
        </row>
        <row r="11424">
          <cell r="E11424" t="str">
            <v>LUC-E00-460008-00</v>
          </cell>
          <cell r="F11424">
            <v>7731317915</v>
          </cell>
        </row>
        <row r="11425">
          <cell r="E11425" t="str">
            <v>LUC-E00-460008-00</v>
          </cell>
          <cell r="F11425">
            <v>7731317915</v>
          </cell>
        </row>
        <row r="11426">
          <cell r="E11426" t="str">
            <v>LUC-EZZ-470464-00</v>
          </cell>
          <cell r="F11426">
            <v>7731317915</v>
          </cell>
        </row>
        <row r="11427">
          <cell r="E11427" t="str">
            <v>LUC-EZZ-420046-00</v>
          </cell>
          <cell r="F11427">
            <v>7731317915</v>
          </cell>
        </row>
        <row r="11428">
          <cell r="E11428" t="str">
            <v>LUC-E00-4700104-00</v>
          </cell>
          <cell r="F11428">
            <v>7731317915</v>
          </cell>
        </row>
        <row r="11429">
          <cell r="E11429" t="str">
            <v>LUC-E00-400056-00</v>
          </cell>
          <cell r="F11429">
            <v>7731317915</v>
          </cell>
        </row>
        <row r="11430">
          <cell r="E11430" t="str">
            <v>LUC-E00-450052-00</v>
          </cell>
          <cell r="F11430">
            <v>7731317915</v>
          </cell>
        </row>
        <row r="11431">
          <cell r="E11431" t="str">
            <v>LUC-E00-480006-00</v>
          </cell>
          <cell r="F11431">
            <v>7731317915</v>
          </cell>
        </row>
        <row r="11432">
          <cell r="E11432" t="str">
            <v>LUC-E00-420241-00</v>
          </cell>
          <cell r="F11432">
            <v>7731317915</v>
          </cell>
        </row>
        <row r="11433">
          <cell r="E11433" t="str">
            <v>LUC-E00-690020-00</v>
          </cell>
          <cell r="F11433">
            <v>7731317915</v>
          </cell>
        </row>
        <row r="11434">
          <cell r="E11434" t="str">
            <v>LUC-E00-690020-00</v>
          </cell>
          <cell r="F11434">
            <v>7731317915</v>
          </cell>
        </row>
        <row r="11435">
          <cell r="E11435" t="str">
            <v>LUC-E00-690020-00</v>
          </cell>
          <cell r="F11435">
            <v>7731317915</v>
          </cell>
        </row>
        <row r="11436">
          <cell r="E11436" t="str">
            <v>LUC-EZZ-470136-00</v>
          </cell>
          <cell r="F11436">
            <v>7731317915</v>
          </cell>
        </row>
        <row r="11437">
          <cell r="E11437" t="str">
            <v>LUC-E00-470379-00</v>
          </cell>
          <cell r="F11437">
            <v>7731317915</v>
          </cell>
        </row>
        <row r="11438">
          <cell r="E11438" t="str">
            <v>LUC-E00-470379-00</v>
          </cell>
          <cell r="F11438">
            <v>7731317915</v>
          </cell>
        </row>
        <row r="11439">
          <cell r="E11439" t="str">
            <v>LUC-E00-470020-01</v>
          </cell>
          <cell r="F11439">
            <v>7731317915</v>
          </cell>
        </row>
        <row r="11440">
          <cell r="E11440" t="str">
            <v>LUC-E00-470047-00</v>
          </cell>
          <cell r="F11440">
            <v>7731317915</v>
          </cell>
        </row>
        <row r="11441">
          <cell r="E11441" t="str">
            <v>LUC-E00-470032-00</v>
          </cell>
          <cell r="F11441">
            <v>7731317915</v>
          </cell>
        </row>
        <row r="11442">
          <cell r="E11442" t="str">
            <v>LUC-E00-460034-00</v>
          </cell>
          <cell r="F11442">
            <v>7731317915</v>
          </cell>
        </row>
        <row r="11443">
          <cell r="E11443" t="str">
            <v>LUC-E00-510066-00</v>
          </cell>
          <cell r="F11443">
            <v>7731317915</v>
          </cell>
        </row>
        <row r="11444">
          <cell r="E11444" t="str">
            <v>LUC-EZZ-471623-00</v>
          </cell>
          <cell r="F11444">
            <v>7731317915</v>
          </cell>
        </row>
        <row r="11445">
          <cell r="E11445" t="str">
            <v>LUC-EZZ-440176-00</v>
          </cell>
          <cell r="F11445">
            <v>7731317915</v>
          </cell>
        </row>
        <row r="11446">
          <cell r="E11446" t="str">
            <v>LUC-EZZ-440176-00</v>
          </cell>
          <cell r="F11446">
            <v>7731317915</v>
          </cell>
        </row>
        <row r="11447">
          <cell r="E11447" t="str">
            <v>LUC-E00-470047-00</v>
          </cell>
          <cell r="F11447">
            <v>7731317915</v>
          </cell>
        </row>
        <row r="11448">
          <cell r="E11448" t="str">
            <v>LUC-E00-420059-03</v>
          </cell>
          <cell r="F11448">
            <v>7731317915</v>
          </cell>
        </row>
        <row r="11449">
          <cell r="E11449" t="str">
            <v>LUC-E00-420054-04</v>
          </cell>
          <cell r="F11449">
            <v>7731317915</v>
          </cell>
        </row>
        <row r="11450">
          <cell r="E11450" t="str">
            <v>AIC-MP-IC006863-S02</v>
          </cell>
          <cell r="F11450">
            <v>7731317915</v>
          </cell>
        </row>
        <row r="11451">
          <cell r="E11451" t="str">
            <v>LUC-E00-470080-00</v>
          </cell>
          <cell r="F11451">
            <v>7731317915</v>
          </cell>
        </row>
        <row r="11452">
          <cell r="E11452" t="str">
            <v>LUC-EZZ-420136-00</v>
          </cell>
          <cell r="F11452">
            <v>7731317915</v>
          </cell>
        </row>
        <row r="11453">
          <cell r="E11453" t="str">
            <v>LUC-E00-420050-00</v>
          </cell>
          <cell r="F11453">
            <v>7731317915</v>
          </cell>
        </row>
        <row r="11454">
          <cell r="E11454" t="str">
            <v>LUC-E00-420054-00</v>
          </cell>
          <cell r="F11454">
            <v>7731317915</v>
          </cell>
        </row>
        <row r="11455">
          <cell r="E11455" t="str">
            <v>LUC-E00-420054-00</v>
          </cell>
          <cell r="F11455">
            <v>7731317915</v>
          </cell>
        </row>
        <row r="11456">
          <cell r="E11456" t="str">
            <v>LUC-E00-420054-00</v>
          </cell>
          <cell r="F11456">
            <v>7731317915</v>
          </cell>
        </row>
        <row r="11457">
          <cell r="E11457" t="str">
            <v>LUC-E00-470033-00</v>
          </cell>
          <cell r="F11457">
            <v>7731317915</v>
          </cell>
        </row>
        <row r="11458">
          <cell r="E11458" t="str">
            <v>LUC-E00-470033-00</v>
          </cell>
          <cell r="F11458">
            <v>7731317915</v>
          </cell>
        </row>
        <row r="11459">
          <cell r="E11459" t="str">
            <v>LUC-E00-470047-00</v>
          </cell>
          <cell r="F11459">
            <v>7731317915</v>
          </cell>
        </row>
        <row r="11460">
          <cell r="E11460" t="str">
            <v>LUC-E00-470047-00</v>
          </cell>
          <cell r="F11460">
            <v>7731317915</v>
          </cell>
        </row>
        <row r="11461">
          <cell r="E11461" t="str">
            <v>LUC-E00-470032-00</v>
          </cell>
          <cell r="F11461">
            <v>7731317915</v>
          </cell>
        </row>
        <row r="11462">
          <cell r="E11462" t="str">
            <v>LUC-E00-470032-00</v>
          </cell>
          <cell r="F11462">
            <v>7731317915</v>
          </cell>
        </row>
        <row r="11463">
          <cell r="E11463" t="str">
            <v>LUC-E00-470059-00</v>
          </cell>
          <cell r="F11463">
            <v>7731317915</v>
          </cell>
        </row>
        <row r="11464">
          <cell r="E11464" t="str">
            <v>LUC-E00-470090-00</v>
          </cell>
          <cell r="F11464">
            <v>7731317915</v>
          </cell>
        </row>
        <row r="11465">
          <cell r="E11465" t="str">
            <v>LUC-E00-510066-00</v>
          </cell>
          <cell r="F11465">
            <v>7731317915</v>
          </cell>
        </row>
        <row r="11466">
          <cell r="E11466" t="str">
            <v>LUC-E00-400010-036</v>
          </cell>
          <cell r="F11466">
            <v>7731317915</v>
          </cell>
        </row>
        <row r="11467">
          <cell r="E11467" t="str">
            <v>LUC-EZZ-420121-00</v>
          </cell>
          <cell r="F11467">
            <v>7731317915</v>
          </cell>
        </row>
        <row r="11468">
          <cell r="E11468" t="str">
            <v>LUC-E00-420057-01</v>
          </cell>
          <cell r="F11468">
            <v>7731317915</v>
          </cell>
        </row>
        <row r="11469">
          <cell r="E11469" t="str">
            <v>LUC-E00-400048-00</v>
          </cell>
          <cell r="F11469">
            <v>7731317915</v>
          </cell>
        </row>
        <row r="11470">
          <cell r="E11470" t="str">
            <v>LUC-E00-420057-01</v>
          </cell>
          <cell r="F11470">
            <v>7731317915</v>
          </cell>
        </row>
        <row r="11471">
          <cell r="E11471" t="str">
            <v>LUC-EZZ-420089-00</v>
          </cell>
          <cell r="F11471">
            <v>7731317915</v>
          </cell>
        </row>
        <row r="11472">
          <cell r="E11472" t="str">
            <v>LUC-EZZ-421706-00</v>
          </cell>
          <cell r="F11472">
            <v>7731317915</v>
          </cell>
        </row>
        <row r="11473">
          <cell r="E11473" t="str">
            <v>LUC-EZZ-420089-00</v>
          </cell>
          <cell r="F11473">
            <v>7731317915</v>
          </cell>
        </row>
        <row r="11474">
          <cell r="E11474" t="str">
            <v>LUC-EZZ-421706-00</v>
          </cell>
          <cell r="F11474">
            <v>7731317915</v>
          </cell>
        </row>
        <row r="11475">
          <cell r="E11475" t="str">
            <v>LUC-E00-470089-00</v>
          </cell>
          <cell r="F11475">
            <v>7731317915</v>
          </cell>
        </row>
        <row r="11476">
          <cell r="E11476" t="str">
            <v>LUC-E00-470343-00</v>
          </cell>
          <cell r="F11476">
            <v>7731317915</v>
          </cell>
        </row>
        <row r="11477">
          <cell r="E11477" t="str">
            <v>LUC-E00-470343-00</v>
          </cell>
          <cell r="F11477">
            <v>7731317915</v>
          </cell>
        </row>
        <row r="11478">
          <cell r="E11478" t="str">
            <v>LUC-E00-470004-00</v>
          </cell>
          <cell r="F11478">
            <v>7731317915</v>
          </cell>
        </row>
        <row r="11479">
          <cell r="E11479" t="str">
            <v>LUC-E00-470301-00</v>
          </cell>
          <cell r="F11479">
            <v>7731317915</v>
          </cell>
        </row>
        <row r="11480">
          <cell r="E11480" t="str">
            <v>LUC-E00-420037-09</v>
          </cell>
          <cell r="F11480">
            <v>7731317915</v>
          </cell>
        </row>
        <row r="11481">
          <cell r="E11481" t="str">
            <v>LUC-E00-440026-00</v>
          </cell>
          <cell r="F11481">
            <v>7731317915</v>
          </cell>
        </row>
        <row r="11482">
          <cell r="E11482" t="str">
            <v>LUC-EZZ-420320-00</v>
          </cell>
          <cell r="F11482">
            <v>7731317915</v>
          </cell>
        </row>
        <row r="11483">
          <cell r="E11483" t="str">
            <v>LUC-E00-470330-00</v>
          </cell>
          <cell r="F11483">
            <v>7731317915</v>
          </cell>
        </row>
        <row r="11484">
          <cell r="E11484" t="str">
            <v>LUC-EZZ-400387-00</v>
          </cell>
          <cell r="F11484">
            <v>7731317915</v>
          </cell>
        </row>
        <row r="11485">
          <cell r="E11485" t="str">
            <v>LUC-EZZ-420002-00</v>
          </cell>
          <cell r="F11485">
            <v>7731317915</v>
          </cell>
        </row>
        <row r="11486">
          <cell r="E11486" t="str">
            <v>LUC-EZZ-420002-00</v>
          </cell>
          <cell r="F11486">
            <v>7731317915</v>
          </cell>
        </row>
        <row r="11487">
          <cell r="E11487" t="str">
            <v>LUC-E00-510016-00</v>
          </cell>
          <cell r="F11487">
            <v>7731317915</v>
          </cell>
        </row>
        <row r="11488">
          <cell r="E11488" t="str">
            <v>LUC-E00-460001-01</v>
          </cell>
          <cell r="F11488">
            <v>7731317915</v>
          </cell>
        </row>
        <row r="11489">
          <cell r="E11489" t="str">
            <v>LUC-E00-420241-00</v>
          </cell>
          <cell r="F11489">
            <v>7731317915</v>
          </cell>
        </row>
        <row r="11490">
          <cell r="E11490" t="str">
            <v>LUC-E00-420019-00</v>
          </cell>
          <cell r="F11490">
            <v>7731317915</v>
          </cell>
        </row>
        <row r="11491">
          <cell r="E11491" t="str">
            <v>LUC-E00-420019-00</v>
          </cell>
          <cell r="F11491">
            <v>7731317915</v>
          </cell>
        </row>
        <row r="11492">
          <cell r="E11492" t="str">
            <v>LUC-E00-420019-00</v>
          </cell>
          <cell r="F11492">
            <v>7731317915</v>
          </cell>
        </row>
        <row r="11493">
          <cell r="E11493" t="str">
            <v>LUC-E00-420054-01</v>
          </cell>
          <cell r="F11493">
            <v>7731317915</v>
          </cell>
        </row>
        <row r="11494">
          <cell r="E11494" t="str">
            <v>LUC-E00-420054-01</v>
          </cell>
          <cell r="F11494">
            <v>7731317915</v>
          </cell>
        </row>
        <row r="11495">
          <cell r="E11495" t="str">
            <v>LUC-E00-420054-01</v>
          </cell>
          <cell r="F11495">
            <v>7731317915</v>
          </cell>
        </row>
        <row r="11496">
          <cell r="E11496" t="str">
            <v>LUC-E00-510037-00</v>
          </cell>
          <cell r="F11496">
            <v>7731317915</v>
          </cell>
        </row>
        <row r="11497">
          <cell r="E11497" t="str">
            <v>LUC-EZZ-420002-00</v>
          </cell>
          <cell r="F11497">
            <v>7731317915</v>
          </cell>
        </row>
        <row r="11498">
          <cell r="E11498" t="str">
            <v>LUC-E00-470020-01</v>
          </cell>
          <cell r="F11498">
            <v>7731317915</v>
          </cell>
        </row>
        <row r="11499">
          <cell r="E11499" t="str">
            <v>LUC-E00-470047-00</v>
          </cell>
          <cell r="F11499">
            <v>7731317915</v>
          </cell>
        </row>
        <row r="11500">
          <cell r="E11500" t="str">
            <v>LUC-EZZ-510014-00</v>
          </cell>
          <cell r="F11500">
            <v>7731317915</v>
          </cell>
        </row>
        <row r="11501">
          <cell r="E11501" t="str">
            <v>LUC-P11-K2B300-03</v>
          </cell>
          <cell r="F11501" t="str">
            <v>PSHPH2570034</v>
          </cell>
        </row>
        <row r="11502">
          <cell r="E11502" t="str">
            <v>LUC-P11-K2B400-02</v>
          </cell>
          <cell r="F11502" t="str">
            <v>PSHPH2570034</v>
          </cell>
        </row>
        <row r="11503">
          <cell r="E11503" t="str">
            <v>PUR-31-0061-02</v>
          </cell>
          <cell r="F11503" t="str">
            <v>PSHPH2570059</v>
          </cell>
        </row>
        <row r="11504">
          <cell r="E11504" t="str">
            <v>PUR-31-0066-02</v>
          </cell>
          <cell r="F11504" t="str">
            <v>PSHPH2570059</v>
          </cell>
        </row>
        <row r="11505">
          <cell r="E11505" t="str">
            <v>PUR-31-0066-02</v>
          </cell>
          <cell r="F11505" t="str">
            <v>PSHPH2570059</v>
          </cell>
        </row>
        <row r="11506">
          <cell r="E11506" t="str">
            <v>PUR-17-0158-00</v>
          </cell>
          <cell r="F11506" t="str">
            <v>PSHPH2570059</v>
          </cell>
        </row>
        <row r="11507">
          <cell r="E11507" t="str">
            <v>PUR-17-0152-01</v>
          </cell>
          <cell r="F11507" t="str">
            <v>PSHPH2570059</v>
          </cell>
        </row>
        <row r="11508">
          <cell r="E11508" t="str">
            <v>PUR-17-0153-01</v>
          </cell>
          <cell r="F11508" t="str">
            <v>PSHPH2570059</v>
          </cell>
        </row>
        <row r="11509">
          <cell r="E11509" t="str">
            <v>PUR-17-0150-01</v>
          </cell>
          <cell r="F11509" t="str">
            <v>PSHPH2570059</v>
          </cell>
        </row>
        <row r="11510">
          <cell r="E11510" t="str">
            <v>PUR-17-0174-01</v>
          </cell>
          <cell r="F11510" t="str">
            <v>PSHPH2570059</v>
          </cell>
        </row>
        <row r="11511">
          <cell r="E11511" t="str">
            <v>LUC-EZZ-421298-00</v>
          </cell>
          <cell r="F11511">
            <v>3088063790</v>
          </cell>
        </row>
        <row r="11512">
          <cell r="E11512" t="str">
            <v>174-000055.X.X</v>
          </cell>
          <cell r="F11512">
            <v>3088063790</v>
          </cell>
        </row>
        <row r="11513">
          <cell r="E11513" t="str">
            <v>LUC-E00-400010-003</v>
          </cell>
          <cell r="F11513">
            <v>3088063790</v>
          </cell>
        </row>
        <row r="11514">
          <cell r="E11514" t="str">
            <v>PUR-21-0021-00</v>
          </cell>
          <cell r="F11514">
            <v>3088063790</v>
          </cell>
        </row>
        <row r="11515">
          <cell r="E11515" t="str">
            <v>LUC-E00-420037-02</v>
          </cell>
          <cell r="F11515">
            <v>3088063790</v>
          </cell>
        </row>
        <row r="11516">
          <cell r="E11516" t="str">
            <v>LUC-EZZ-400205-00</v>
          </cell>
          <cell r="F11516">
            <v>3088063790</v>
          </cell>
        </row>
        <row r="11517">
          <cell r="E11517" t="str">
            <v>LUC-EZZ-400588-00</v>
          </cell>
          <cell r="F11517">
            <v>3088063790</v>
          </cell>
        </row>
        <row r="11518">
          <cell r="E11518" t="str">
            <v>LUC-EZZ-400593-00</v>
          </cell>
          <cell r="F11518">
            <v>3088063790</v>
          </cell>
        </row>
        <row r="11519">
          <cell r="E11519" t="str">
            <v>EF-45051531.X.X</v>
          </cell>
          <cell r="F11519">
            <v>3088063790</v>
          </cell>
        </row>
        <row r="11520">
          <cell r="E11520" t="str">
            <v>LUC-E00-440154-00</v>
          </cell>
          <cell r="F11520">
            <v>470033232905</v>
          </cell>
        </row>
        <row r="11521">
          <cell r="E11521" t="str">
            <v>AIC-MP-00000331-000</v>
          </cell>
          <cell r="F11521">
            <v>882786228531</v>
          </cell>
        </row>
        <row r="11522">
          <cell r="E11522" t="str">
            <v>AIC-MP-CN003770-S01</v>
          </cell>
          <cell r="F11522">
            <v>882786228531</v>
          </cell>
        </row>
        <row r="11523">
          <cell r="E11523" t="str">
            <v>AIC-MP-CN004121-S01</v>
          </cell>
          <cell r="F11523">
            <v>882786228531</v>
          </cell>
        </row>
        <row r="11524">
          <cell r="E11524" t="str">
            <v>AIC-MP-CN004286-S01</v>
          </cell>
          <cell r="F11524">
            <v>882786228531</v>
          </cell>
        </row>
        <row r="11525">
          <cell r="E11525" t="str">
            <v>AIC-MP-00004287-000</v>
          </cell>
          <cell r="F11525">
            <v>882786228531</v>
          </cell>
        </row>
        <row r="11526">
          <cell r="E11526" t="str">
            <v>AIC-MP-CN004517-S01</v>
          </cell>
          <cell r="F11526">
            <v>882786228531</v>
          </cell>
        </row>
        <row r="11527">
          <cell r="E11527" t="str">
            <v>AIC-MP-00004595-000</v>
          </cell>
          <cell r="F11527">
            <v>882786228531</v>
          </cell>
        </row>
        <row r="11528">
          <cell r="E11528" t="str">
            <v>AIC-MP-CN005479-S01</v>
          </cell>
          <cell r="F11528">
            <v>882786228531</v>
          </cell>
        </row>
        <row r="11529">
          <cell r="E11529" t="str">
            <v>AIC-MP-00007078-000</v>
          </cell>
          <cell r="F11529">
            <v>882786228531</v>
          </cell>
        </row>
        <row r="11530">
          <cell r="E11530" t="str">
            <v>AIC-MP-CN007082-S01</v>
          </cell>
          <cell r="F11530">
            <v>882786228531</v>
          </cell>
        </row>
        <row r="11531">
          <cell r="E11531" t="str">
            <v>AIC-MP-00004595-000</v>
          </cell>
          <cell r="F11531">
            <v>882786228531</v>
          </cell>
        </row>
        <row r="11532">
          <cell r="E11532" t="str">
            <v>AIC-MP-00007172-000</v>
          </cell>
          <cell r="F11532">
            <v>882786228531</v>
          </cell>
        </row>
        <row r="11533">
          <cell r="E11533" t="str">
            <v>AIC-120-012792</v>
          </cell>
          <cell r="F11533">
            <v>882786228531</v>
          </cell>
        </row>
        <row r="11534">
          <cell r="E11534" t="str">
            <v>AIC-MP-CN007149-S01</v>
          </cell>
          <cell r="F11534">
            <v>882786228531</v>
          </cell>
        </row>
        <row r="11535">
          <cell r="E11535" t="str">
            <v>HLOB-09-0213-00</v>
          </cell>
          <cell r="F11535">
            <v>445170481824</v>
          </cell>
        </row>
        <row r="11536">
          <cell r="E11536" t="str">
            <v>PUR-09-0213-00</v>
          </cell>
          <cell r="F11536">
            <v>445170481846</v>
          </cell>
        </row>
        <row r="11537">
          <cell r="E11537" t="str">
            <v>HLOB-13-0235-00</v>
          </cell>
          <cell r="F11537">
            <v>445170482636</v>
          </cell>
        </row>
        <row r="11538">
          <cell r="E11538" t="str">
            <v>AIC-124-002805</v>
          </cell>
          <cell r="F11538">
            <v>882783097710</v>
          </cell>
        </row>
        <row r="11539">
          <cell r="E11539" t="str">
            <v>LUC-P11-J67400-02</v>
          </cell>
          <cell r="F11539">
            <v>912489529577</v>
          </cell>
        </row>
        <row r="11540">
          <cell r="E11540" t="str">
            <v>LUC-P11-J67400-02</v>
          </cell>
          <cell r="F11540">
            <v>912489529577</v>
          </cell>
        </row>
        <row r="11541">
          <cell r="E11541" t="str">
            <v>LUC-P11-J67400-02</v>
          </cell>
          <cell r="F11541">
            <v>912489529577</v>
          </cell>
        </row>
        <row r="11542">
          <cell r="E11542" t="str">
            <v>LUC-P11-J67400-02</v>
          </cell>
          <cell r="F11542">
            <v>912489529577</v>
          </cell>
        </row>
        <row r="11543">
          <cell r="E11543" t="str">
            <v>PUR-13-0153-00</v>
          </cell>
          <cell r="F11543">
            <v>882814835165</v>
          </cell>
        </row>
        <row r="11544">
          <cell r="E11544" t="str">
            <v>PUR-13-0153-00</v>
          </cell>
          <cell r="F11544">
            <v>882814835165</v>
          </cell>
        </row>
        <row r="11545">
          <cell r="E11545" t="str">
            <v>LUC-EZZ-400071-00</v>
          </cell>
          <cell r="F11545">
            <v>882814835165</v>
          </cell>
        </row>
        <row r="11546">
          <cell r="E11546" t="str">
            <v>LUC-E00-400012-001</v>
          </cell>
          <cell r="F11546">
            <v>882814835165</v>
          </cell>
        </row>
        <row r="11547">
          <cell r="E11547" t="str">
            <v>LUC-E00-400012-18</v>
          </cell>
          <cell r="F11547">
            <v>882814835165</v>
          </cell>
        </row>
        <row r="11548">
          <cell r="E11548" t="str">
            <v>LUC-EZZ-440037-00</v>
          </cell>
          <cell r="F11548">
            <v>882814835165</v>
          </cell>
        </row>
        <row r="11549">
          <cell r="E11549" t="str">
            <v>LUC-EZZ-440037-00</v>
          </cell>
          <cell r="F11549">
            <v>882814835165</v>
          </cell>
        </row>
        <row r="11550">
          <cell r="E11550" t="str">
            <v>122-001674</v>
          </cell>
          <cell r="F11550">
            <v>423264391983</v>
          </cell>
        </row>
        <row r="11551">
          <cell r="E11551" t="str">
            <v>121-000520.X.X</v>
          </cell>
          <cell r="F11551">
            <v>423264391983</v>
          </cell>
        </row>
        <row r="11552">
          <cell r="E11552" t="str">
            <v>121-000747.X.X</v>
          </cell>
          <cell r="F11552">
            <v>423264391983</v>
          </cell>
        </row>
        <row r="11553">
          <cell r="E11553" t="str">
            <v>AIC-MP-00002256-000</v>
          </cell>
          <cell r="F11553">
            <v>423264391983</v>
          </cell>
        </row>
        <row r="11554">
          <cell r="E11554" t="str">
            <v>AIC-MP-00002399-000</v>
          </cell>
          <cell r="F11554">
            <v>423264391983</v>
          </cell>
        </row>
        <row r="11555">
          <cell r="E11555" t="str">
            <v>AIC-MP-RS003208-S01</v>
          </cell>
          <cell r="F11555">
            <v>423264391983</v>
          </cell>
        </row>
        <row r="11556">
          <cell r="E11556" t="str">
            <v>AIC-122-004452</v>
          </cell>
          <cell r="F11556">
            <v>423264391983</v>
          </cell>
        </row>
        <row r="11557">
          <cell r="E11557" t="str">
            <v>AIC-122-004451</v>
          </cell>
          <cell r="F11557">
            <v>423264391983</v>
          </cell>
        </row>
        <row r="11558">
          <cell r="E11558" t="str">
            <v>AIC-122-004383</v>
          </cell>
          <cell r="F11558">
            <v>423264391983</v>
          </cell>
        </row>
        <row r="11559">
          <cell r="E11559" t="str">
            <v>AIC-MP-00003346-000</v>
          </cell>
          <cell r="F11559">
            <v>423264391983</v>
          </cell>
        </row>
        <row r="11560">
          <cell r="E11560" t="str">
            <v>AIC-122-004444</v>
          </cell>
          <cell r="F11560">
            <v>423264391983</v>
          </cell>
        </row>
        <row r="11561">
          <cell r="E11561" t="str">
            <v>AIC-122-004336</v>
          </cell>
          <cell r="F11561">
            <v>423264391983</v>
          </cell>
        </row>
        <row r="11562">
          <cell r="E11562" t="str">
            <v>AIC-MP-00003286-000</v>
          </cell>
          <cell r="F11562">
            <v>423264391983</v>
          </cell>
        </row>
        <row r="11563">
          <cell r="E11563" t="str">
            <v>AIC-MP-00006729-000</v>
          </cell>
          <cell r="F11563">
            <v>423264391983</v>
          </cell>
        </row>
        <row r="11564">
          <cell r="E11564" t="str">
            <v>AIC-MP-00007226-000</v>
          </cell>
          <cell r="F11564">
            <v>423264391983</v>
          </cell>
        </row>
        <row r="11565">
          <cell r="E11565" t="str">
            <v>AGI-510-40088-01</v>
          </cell>
          <cell r="F11565">
            <v>423264391983</v>
          </cell>
        </row>
        <row r="11566">
          <cell r="E11566" t="str">
            <v>AIC-MP-00003333-000</v>
          </cell>
          <cell r="F11566">
            <v>423264391983</v>
          </cell>
        </row>
        <row r="11567">
          <cell r="E11567" t="str">
            <v>122-000293.X.X</v>
          </cell>
          <cell r="F11567">
            <v>423264391983</v>
          </cell>
        </row>
        <row r="11568">
          <cell r="E11568" t="str">
            <v>PUR-13-0156-00</v>
          </cell>
          <cell r="F11568">
            <v>423264391983</v>
          </cell>
        </row>
        <row r="11569">
          <cell r="E11569" t="str">
            <v>AGI-500-40106-01</v>
          </cell>
          <cell r="F11569">
            <v>423264391983</v>
          </cell>
        </row>
        <row r="11570">
          <cell r="E11570" t="str">
            <v>LUC-EZZ-400042-00</v>
          </cell>
          <cell r="F11570">
            <v>423264391983</v>
          </cell>
        </row>
        <row r="11571">
          <cell r="E11571" t="str">
            <v>HLOB-12-0297-00</v>
          </cell>
          <cell r="F11571">
            <v>423264391983</v>
          </cell>
        </row>
        <row r="11572">
          <cell r="E11572" t="str">
            <v>AIC-MP-00002405-000</v>
          </cell>
          <cell r="F11572">
            <v>423264391983</v>
          </cell>
        </row>
        <row r="11573">
          <cell r="E11573" t="str">
            <v>AIC-MP-00002401-000</v>
          </cell>
          <cell r="F11573">
            <v>423264391983</v>
          </cell>
        </row>
        <row r="11574">
          <cell r="E11574" t="str">
            <v>PUR-12-0259-00</v>
          </cell>
          <cell r="F11574">
            <v>423264391983</v>
          </cell>
        </row>
        <row r="11575">
          <cell r="E11575" t="str">
            <v>AIC-MP-00002474-000</v>
          </cell>
          <cell r="F11575">
            <v>423264391983</v>
          </cell>
        </row>
        <row r="11576">
          <cell r="E11576" t="str">
            <v>AIC-MP-00002475-000</v>
          </cell>
          <cell r="F11576">
            <v>423264391983</v>
          </cell>
        </row>
        <row r="11577">
          <cell r="E11577" t="str">
            <v>AIC-MP-00002604-000</v>
          </cell>
          <cell r="F11577">
            <v>423264391983</v>
          </cell>
        </row>
        <row r="11578">
          <cell r="E11578" t="str">
            <v>HLOB-12-0304-00</v>
          </cell>
          <cell r="F11578">
            <v>423264391983</v>
          </cell>
        </row>
        <row r="11579">
          <cell r="E11579" t="str">
            <v>AIC-121-006066</v>
          </cell>
          <cell r="F11579">
            <v>423264391983</v>
          </cell>
        </row>
        <row r="11580">
          <cell r="E11580" t="str">
            <v>HLOB-12-0423-00</v>
          </cell>
          <cell r="F11580">
            <v>423264391983</v>
          </cell>
        </row>
        <row r="11581">
          <cell r="E11581" t="str">
            <v>HLOB-12-0297-00</v>
          </cell>
          <cell r="F11581">
            <v>423264391983</v>
          </cell>
        </row>
        <row r="11582">
          <cell r="E11582" t="str">
            <v>PUR-14-0051-00</v>
          </cell>
          <cell r="F11582">
            <v>423264391983</v>
          </cell>
        </row>
        <row r="11583">
          <cell r="E11583" t="str">
            <v>PUR-14-0051-00</v>
          </cell>
          <cell r="F11583">
            <v>423264391983</v>
          </cell>
        </row>
        <row r="11584">
          <cell r="E11584" t="str">
            <v>AIC-MP-00002359-000</v>
          </cell>
          <cell r="F11584">
            <v>423264391983</v>
          </cell>
        </row>
        <row r="11585">
          <cell r="E11585" t="str">
            <v>122-001046</v>
          </cell>
          <cell r="F11585">
            <v>423264391983</v>
          </cell>
        </row>
        <row r="11586">
          <cell r="E11586" t="str">
            <v>121-000100.X.X</v>
          </cell>
          <cell r="F11586">
            <v>423264391983</v>
          </cell>
        </row>
        <row r="11587">
          <cell r="E11587" t="str">
            <v>AIC-MP-00006539-000</v>
          </cell>
          <cell r="F11587">
            <v>423264391983</v>
          </cell>
        </row>
        <row r="11588">
          <cell r="E11588" t="str">
            <v>AGI-500-40221-01</v>
          </cell>
          <cell r="F11588">
            <v>423264391983</v>
          </cell>
        </row>
        <row r="11589">
          <cell r="E11589" t="str">
            <v>AGI-500-40228-01</v>
          </cell>
          <cell r="F11589">
            <v>423264391983</v>
          </cell>
        </row>
        <row r="11590">
          <cell r="E11590" t="str">
            <v>HLOB-07-0167-00</v>
          </cell>
          <cell r="F11590">
            <v>4914912331</v>
          </cell>
        </row>
        <row r="11591">
          <cell r="E11591" t="str">
            <v>HLOB-07-0167-00</v>
          </cell>
          <cell r="F11591">
            <v>4914912331</v>
          </cell>
        </row>
        <row r="11592">
          <cell r="E11592" t="str">
            <v>HLOB-07-0167-00</v>
          </cell>
          <cell r="F11592">
            <v>4914912331</v>
          </cell>
        </row>
        <row r="11593">
          <cell r="E11593" t="str">
            <v>HLOB-07-0315-00</v>
          </cell>
          <cell r="F11593">
            <v>4914912331</v>
          </cell>
        </row>
        <row r="11594">
          <cell r="E11594" t="str">
            <v>HLOB-07-0315-00</v>
          </cell>
          <cell r="F11594">
            <v>4914912331</v>
          </cell>
        </row>
        <row r="11595">
          <cell r="E11595" t="str">
            <v>HLOB-07-0315-00</v>
          </cell>
          <cell r="F11595">
            <v>4914912331</v>
          </cell>
        </row>
        <row r="11596">
          <cell r="E11596" t="str">
            <v>PUR-07-0292-00</v>
          </cell>
          <cell r="F11596">
            <v>4914912331</v>
          </cell>
        </row>
        <row r="11597">
          <cell r="E11597" t="str">
            <v>PUR-07-0292-00</v>
          </cell>
          <cell r="F11597">
            <v>4914912331</v>
          </cell>
        </row>
        <row r="11598">
          <cell r="E11598" t="str">
            <v>AIC-122-004384</v>
          </cell>
          <cell r="F11598">
            <v>3088064615</v>
          </cell>
        </row>
        <row r="11599">
          <cell r="E11599" t="str">
            <v>LUC-EZZ-440021-00</v>
          </cell>
          <cell r="F11599">
            <v>3088064615</v>
          </cell>
        </row>
        <row r="11600">
          <cell r="E11600" t="str">
            <v>PUR-11-0106-05</v>
          </cell>
          <cell r="F11600" t="str">
            <v>LSZHPH2507843</v>
          </cell>
        </row>
        <row r="11601">
          <cell r="E11601" t="str">
            <v>HLOB-11-0106-05</v>
          </cell>
          <cell r="F11601" t="str">
            <v>LSZHPH2507843</v>
          </cell>
        </row>
        <row r="11602">
          <cell r="E11602" t="str">
            <v>PUR-11-0106-05</v>
          </cell>
          <cell r="F11602" t="str">
            <v>LSZHPH2507843</v>
          </cell>
        </row>
        <row r="11603">
          <cell r="E11603" t="str">
            <v>HLOB-11-0106-05</v>
          </cell>
          <cell r="F11603" t="str">
            <v>LSZHPH2507843</v>
          </cell>
        </row>
        <row r="11604">
          <cell r="E11604" t="str">
            <v>PUR-11-0106-05</v>
          </cell>
          <cell r="F11604" t="str">
            <v>LSZHPH2507843</v>
          </cell>
        </row>
        <row r="11605">
          <cell r="E11605" t="str">
            <v>HLOB-12-0468-00</v>
          </cell>
          <cell r="F11605">
            <v>3455720951</v>
          </cell>
        </row>
        <row r="11606">
          <cell r="E11606" t="str">
            <v>LUC-EZZ-510030-00</v>
          </cell>
          <cell r="F11606">
            <v>3455720951</v>
          </cell>
        </row>
        <row r="11607">
          <cell r="E11607" t="str">
            <v>AIC-MP-00004401-000</v>
          </cell>
          <cell r="F11607">
            <v>3455720951</v>
          </cell>
        </row>
        <row r="11608">
          <cell r="E11608" t="str">
            <v>PUR-14-0076-00</v>
          </cell>
          <cell r="F11608">
            <v>3455720951</v>
          </cell>
        </row>
        <row r="11609">
          <cell r="E11609" t="str">
            <v>PUR-14-0076-00</v>
          </cell>
          <cell r="F11609">
            <v>3455720951</v>
          </cell>
        </row>
        <row r="11610">
          <cell r="E11610" t="str">
            <v>PUR-09-0329-00</v>
          </cell>
          <cell r="F11610">
            <v>3455720951</v>
          </cell>
        </row>
        <row r="11611">
          <cell r="E11611" t="str">
            <v>HLOB-14-0076-00</v>
          </cell>
          <cell r="F11611">
            <v>3455720951</v>
          </cell>
        </row>
        <row r="11612">
          <cell r="E11612" t="str">
            <v>PUR-14-0077-00</v>
          </cell>
          <cell r="F11612">
            <v>3455720951</v>
          </cell>
        </row>
        <row r="11613">
          <cell r="E11613" t="str">
            <v>HLOB-14-0076-00</v>
          </cell>
          <cell r="F11613">
            <v>3455720951</v>
          </cell>
        </row>
        <row r="11614">
          <cell r="E11614" t="str">
            <v>HLOB-14-0076-00</v>
          </cell>
          <cell r="F11614">
            <v>3455720951</v>
          </cell>
        </row>
        <row r="11615">
          <cell r="E11615" t="str">
            <v>HLOB-14-0076-00</v>
          </cell>
          <cell r="F11615">
            <v>3455720951</v>
          </cell>
        </row>
        <row r="11616">
          <cell r="E11616" t="str">
            <v>HLOB-12-0408-00</v>
          </cell>
          <cell r="F11616">
            <v>3455720951</v>
          </cell>
        </row>
        <row r="11617">
          <cell r="E11617" t="str">
            <v>HLOB-12-0468-00</v>
          </cell>
          <cell r="F11617">
            <v>3455720951</v>
          </cell>
        </row>
        <row r="11618">
          <cell r="E11618" t="str">
            <v>HLOB-14-0076-00</v>
          </cell>
          <cell r="F11618">
            <v>3455720951</v>
          </cell>
        </row>
        <row r="11619">
          <cell r="E11619" t="str">
            <v>PURET-24-0002-00</v>
          </cell>
          <cell r="F11619">
            <v>3455720951</v>
          </cell>
        </row>
        <row r="11620">
          <cell r="E11620" t="str">
            <v>PURET-24-0008-00</v>
          </cell>
          <cell r="F11620">
            <v>3455720951</v>
          </cell>
        </row>
        <row r="11621">
          <cell r="E11621" t="str">
            <v>AGI-410-50002-01</v>
          </cell>
          <cell r="F11621">
            <v>3455720951</v>
          </cell>
        </row>
        <row r="11622">
          <cell r="E11622" t="str">
            <v>LUC-EZZ-420151-00</v>
          </cell>
          <cell r="F11622">
            <v>3455720951</v>
          </cell>
        </row>
        <row r="11623">
          <cell r="E11623" t="str">
            <v>LUC-E00-420135-00</v>
          </cell>
          <cell r="F11623">
            <v>3455720951</v>
          </cell>
        </row>
        <row r="11624">
          <cell r="E11624" t="str">
            <v>LUC-EZZ-400801-00</v>
          </cell>
          <cell r="F11624">
            <v>3455720951</v>
          </cell>
        </row>
        <row r="11625">
          <cell r="E11625" t="str">
            <v>LUC-EZZ-450249-00</v>
          </cell>
          <cell r="F11625">
            <v>3455720951</v>
          </cell>
        </row>
        <row r="11626">
          <cell r="E11626" t="str">
            <v>LUC-EZZ-690758-00</v>
          </cell>
          <cell r="F11626">
            <v>3455720951</v>
          </cell>
        </row>
        <row r="11627">
          <cell r="E11627" t="str">
            <v>LUC-EZZ-690758-00</v>
          </cell>
          <cell r="F11627">
            <v>3455720951</v>
          </cell>
        </row>
        <row r="11628">
          <cell r="E11628" t="str">
            <v>LUC-E00-450075-00</v>
          </cell>
          <cell r="F11628">
            <v>3455720951</v>
          </cell>
        </row>
        <row r="11629">
          <cell r="E11629" t="str">
            <v>EF-45098407</v>
          </cell>
          <cell r="F11629">
            <v>3455725523</v>
          </cell>
        </row>
        <row r="11630">
          <cell r="E11630" t="str">
            <v>LUC-E00-400001-003</v>
          </cell>
          <cell r="F11630">
            <v>3455725523</v>
          </cell>
        </row>
        <row r="11631">
          <cell r="E11631" t="str">
            <v>LUC-E00-460007-01</v>
          </cell>
          <cell r="F11631">
            <v>3455725523</v>
          </cell>
        </row>
        <row r="11632">
          <cell r="E11632" t="str">
            <v>LUC-E00-460007-01</v>
          </cell>
          <cell r="F11632">
            <v>3455725523</v>
          </cell>
        </row>
        <row r="11633">
          <cell r="E11633" t="str">
            <v>LUC-E00-460006-00</v>
          </cell>
          <cell r="F11633">
            <v>3455725523</v>
          </cell>
        </row>
        <row r="11634">
          <cell r="E11634" t="str">
            <v>LUC-E00-460006-00</v>
          </cell>
          <cell r="F11634">
            <v>3455725523</v>
          </cell>
        </row>
        <row r="11635">
          <cell r="E11635" t="str">
            <v>HLOB-12-0288-00</v>
          </cell>
          <cell r="F11635">
            <v>3455725523</v>
          </cell>
        </row>
        <row r="11636">
          <cell r="E11636" t="str">
            <v>LUC-E00-400024-04</v>
          </cell>
          <cell r="F11636">
            <v>3455725523</v>
          </cell>
        </row>
        <row r="11637">
          <cell r="E11637" t="str">
            <v>LUC-E00-400001-003</v>
          </cell>
          <cell r="F11637">
            <v>3455725523</v>
          </cell>
        </row>
        <row r="11638">
          <cell r="E11638" t="str">
            <v>AGI-530-40006-01</v>
          </cell>
          <cell r="F11638">
            <v>3455725523</v>
          </cell>
        </row>
        <row r="11639">
          <cell r="E11639" t="str">
            <v>LUC-E00-460006-00</v>
          </cell>
          <cell r="F11639">
            <v>3455725523</v>
          </cell>
        </row>
        <row r="11640">
          <cell r="E11640" t="str">
            <v>LUC-EZZ-690145-00</v>
          </cell>
          <cell r="F11640">
            <v>4110326392</v>
          </cell>
        </row>
        <row r="11641">
          <cell r="E11641" t="str">
            <v>LUC-EZZ-690241-00</v>
          </cell>
          <cell r="F11641">
            <v>4110326415</v>
          </cell>
        </row>
        <row r="11642">
          <cell r="E11642" t="str">
            <v>LUC-EZZ-420178-00</v>
          </cell>
          <cell r="F11642">
            <v>4812828235</v>
          </cell>
        </row>
        <row r="11643">
          <cell r="E11643" t="str">
            <v>LUC-EZZ-420527-00</v>
          </cell>
          <cell r="F11643">
            <v>4812828235</v>
          </cell>
        </row>
        <row r="11644">
          <cell r="E11644" t="str">
            <v>LUC-E00-420275-00</v>
          </cell>
          <cell r="F11644">
            <v>4812828235</v>
          </cell>
        </row>
        <row r="11645">
          <cell r="E11645" t="str">
            <v>LUC-EZZ-420118-00</v>
          </cell>
          <cell r="F11645">
            <v>4812828235</v>
          </cell>
        </row>
        <row r="11646">
          <cell r="E11646" t="str">
            <v>LUC-E00-420185-00</v>
          </cell>
          <cell r="F11646">
            <v>4812828235</v>
          </cell>
        </row>
        <row r="11647">
          <cell r="E11647" t="str">
            <v>HLOB-13-0212-00</v>
          </cell>
          <cell r="F11647">
            <v>4812828235</v>
          </cell>
        </row>
        <row r="11648">
          <cell r="E11648" t="str">
            <v>HLOB-13-0212-00</v>
          </cell>
          <cell r="F11648">
            <v>4812828235</v>
          </cell>
        </row>
        <row r="11649">
          <cell r="E11649" t="str">
            <v>PUR-13-0212-00</v>
          </cell>
          <cell r="F11649">
            <v>4812828235</v>
          </cell>
        </row>
        <row r="11650">
          <cell r="E11650" t="str">
            <v>HLOB-13-0238-00</v>
          </cell>
          <cell r="F11650">
            <v>4812828235</v>
          </cell>
        </row>
        <row r="11651">
          <cell r="E11651" t="str">
            <v>HLOB-13-0238-00</v>
          </cell>
          <cell r="F11651">
            <v>4812828235</v>
          </cell>
        </row>
        <row r="11652">
          <cell r="E11652" t="str">
            <v>HLOB-13-0238-00</v>
          </cell>
          <cell r="F11652">
            <v>4812828235</v>
          </cell>
        </row>
        <row r="11653">
          <cell r="E11653" t="str">
            <v>HLOB-13-0238-00</v>
          </cell>
          <cell r="F11653">
            <v>4812828235</v>
          </cell>
        </row>
        <row r="11654">
          <cell r="E11654" t="str">
            <v>HLOB-13-0138-00</v>
          </cell>
          <cell r="F11654">
            <v>4812828235</v>
          </cell>
        </row>
        <row r="11655">
          <cell r="E11655" t="str">
            <v>PUR-13-0196-00</v>
          </cell>
          <cell r="F11655">
            <v>4812828235</v>
          </cell>
        </row>
        <row r="11656">
          <cell r="E11656" t="str">
            <v>EF-45093266.X.X</v>
          </cell>
          <cell r="F11656">
            <v>4711868623</v>
          </cell>
        </row>
        <row r="11657">
          <cell r="E11657" t="str">
            <v>AIC-122-004327</v>
          </cell>
          <cell r="F11657">
            <v>4711868623</v>
          </cell>
        </row>
        <row r="11658">
          <cell r="E11658" t="str">
            <v>AIC-MP-00007275-000</v>
          </cell>
          <cell r="F11658">
            <v>4711868623</v>
          </cell>
        </row>
        <row r="11659">
          <cell r="E11659" t="str">
            <v>LUC-E00-420172-00</v>
          </cell>
          <cell r="F11659">
            <v>4711868623</v>
          </cell>
        </row>
        <row r="11660">
          <cell r="E11660" t="str">
            <v>PURET-13-0001-00</v>
          </cell>
          <cell r="F11660">
            <v>4711868623</v>
          </cell>
        </row>
        <row r="11661">
          <cell r="E11661" t="str">
            <v>LUC-EZZ-420331-00</v>
          </cell>
          <cell r="F11661">
            <v>4711868623</v>
          </cell>
        </row>
        <row r="11662">
          <cell r="E11662" t="str">
            <v>PUR-13-0154-00</v>
          </cell>
          <cell r="F11662">
            <v>4711868623</v>
          </cell>
        </row>
        <row r="11663">
          <cell r="E11663" t="str">
            <v>LUC-EZZ-420331-00</v>
          </cell>
          <cell r="F11663">
            <v>4711868623</v>
          </cell>
        </row>
        <row r="11664">
          <cell r="E11664" t="str">
            <v>LUC-EZZ-400200-00</v>
          </cell>
          <cell r="F11664">
            <v>4711868623</v>
          </cell>
        </row>
        <row r="11665">
          <cell r="E11665" t="str">
            <v>LUC-EZZ-400200-00</v>
          </cell>
          <cell r="F11665">
            <v>4711868623</v>
          </cell>
        </row>
        <row r="11666">
          <cell r="E11666" t="str">
            <v>LUC-EZZ-420331-00</v>
          </cell>
          <cell r="F11666">
            <v>4711868623</v>
          </cell>
        </row>
        <row r="11667">
          <cell r="E11667" t="str">
            <v>LUC-EZZ-400200-00</v>
          </cell>
          <cell r="F11667">
            <v>4711868623</v>
          </cell>
        </row>
        <row r="11668">
          <cell r="E11668" t="str">
            <v>LUC-EZZ-420482-00</v>
          </cell>
          <cell r="F11668">
            <v>4711868623</v>
          </cell>
        </row>
        <row r="11669">
          <cell r="E11669" t="str">
            <v>LUC-E00-400067-008</v>
          </cell>
          <cell r="F11669">
            <v>4711868623</v>
          </cell>
        </row>
        <row r="11670">
          <cell r="E11670" t="str">
            <v>LUC-E00-400025-01</v>
          </cell>
          <cell r="F11670">
            <v>4711868623</v>
          </cell>
        </row>
        <row r="11671">
          <cell r="E11671" t="str">
            <v>LUC-EZZ-440077-00</v>
          </cell>
          <cell r="F11671">
            <v>4711868623</v>
          </cell>
        </row>
        <row r="11672">
          <cell r="E11672" t="str">
            <v>LUC-E00-450154-00</v>
          </cell>
          <cell r="F11672">
            <v>4711868623</v>
          </cell>
        </row>
        <row r="11673">
          <cell r="E11673" t="str">
            <v>LUC-EZZ-420331-00</v>
          </cell>
          <cell r="F11673">
            <v>4711868623</v>
          </cell>
        </row>
        <row r="11674">
          <cell r="E11674" t="str">
            <v>LUC-EZZ-441297-00</v>
          </cell>
          <cell r="F11674">
            <v>4711868623</v>
          </cell>
        </row>
        <row r="11675">
          <cell r="E11675" t="str">
            <v>LUC-E00-450010-00</v>
          </cell>
          <cell r="F11675">
            <v>4711868623</v>
          </cell>
        </row>
        <row r="11676">
          <cell r="E11676" t="str">
            <v>PUR-13-0165-00</v>
          </cell>
          <cell r="F11676">
            <v>4711868623</v>
          </cell>
        </row>
        <row r="11677">
          <cell r="E11677" t="str">
            <v>HLOB-13-0237-00</v>
          </cell>
          <cell r="F11677">
            <v>4711868623</v>
          </cell>
        </row>
        <row r="11678">
          <cell r="E11678" t="str">
            <v>PUR-13-0237-00</v>
          </cell>
          <cell r="F11678">
            <v>4711868623</v>
          </cell>
        </row>
        <row r="11679">
          <cell r="E11679" t="str">
            <v>LUC-E00-440147-00</v>
          </cell>
          <cell r="F11679">
            <v>4711868623</v>
          </cell>
        </row>
        <row r="11680">
          <cell r="E11680" t="str">
            <v>LUC-EZZ-420252-00</v>
          </cell>
          <cell r="F11680">
            <v>4711868623</v>
          </cell>
        </row>
        <row r="11681">
          <cell r="E11681" t="str">
            <v>LUC-EZZ-420396-00</v>
          </cell>
          <cell r="F11681">
            <v>4711868623</v>
          </cell>
        </row>
        <row r="11682">
          <cell r="E11682" t="str">
            <v>LUC-EZZ-420252-00</v>
          </cell>
          <cell r="F11682">
            <v>4711868623</v>
          </cell>
        </row>
        <row r="11683">
          <cell r="E11683" t="str">
            <v>LUC-E00-420052-00</v>
          </cell>
          <cell r="F11683">
            <v>4711868623</v>
          </cell>
        </row>
        <row r="11684">
          <cell r="E11684" t="str">
            <v>PUR-13-0154-00</v>
          </cell>
          <cell r="F11684">
            <v>4711868623</v>
          </cell>
        </row>
        <row r="11685">
          <cell r="E11685" t="str">
            <v>LUC-EZZ-420396-00</v>
          </cell>
          <cell r="F11685">
            <v>4711868623</v>
          </cell>
        </row>
        <row r="11686">
          <cell r="E11686" t="str">
            <v>HLOB-14-0085-00</v>
          </cell>
          <cell r="F11686">
            <v>4711868623</v>
          </cell>
        </row>
        <row r="11687">
          <cell r="E11687" t="str">
            <v>PUR-14-0085-00</v>
          </cell>
          <cell r="F11687">
            <v>4711868623</v>
          </cell>
        </row>
        <row r="11688">
          <cell r="E11688" t="str">
            <v>HLOB-14-0085-00</v>
          </cell>
          <cell r="F11688">
            <v>4711868623</v>
          </cell>
        </row>
        <row r="11689">
          <cell r="E11689" t="str">
            <v>PUR-09-0408-00</v>
          </cell>
          <cell r="F11689">
            <v>4711868623</v>
          </cell>
        </row>
        <row r="11690">
          <cell r="E11690" t="str">
            <v>LUC-EZZ-440077-00</v>
          </cell>
          <cell r="F11690">
            <v>4711868623</v>
          </cell>
        </row>
        <row r="11691">
          <cell r="E11691" t="str">
            <v>HLOB-09-0408-00</v>
          </cell>
          <cell r="F11691">
            <v>4711868623</v>
          </cell>
        </row>
        <row r="11692">
          <cell r="E11692" t="str">
            <v>PUR-09-0346-00</v>
          </cell>
          <cell r="F11692">
            <v>4711868623</v>
          </cell>
        </row>
        <row r="11693">
          <cell r="E11693" t="str">
            <v>HLOB-13-0237-00</v>
          </cell>
          <cell r="F11693">
            <v>4711868623</v>
          </cell>
        </row>
        <row r="11694">
          <cell r="E11694" t="str">
            <v>LUC-EZZ-420195-00</v>
          </cell>
          <cell r="F11694">
            <v>4711868623</v>
          </cell>
        </row>
        <row r="11695">
          <cell r="E11695" t="str">
            <v>PUR-12-0412-00</v>
          </cell>
          <cell r="F11695">
            <v>882876380243</v>
          </cell>
        </row>
        <row r="11696">
          <cell r="E11696" t="str">
            <v>HLOB-12-0412-00</v>
          </cell>
          <cell r="F11696">
            <v>882876380243</v>
          </cell>
        </row>
        <row r="11697">
          <cell r="E11697" t="str">
            <v>HLOB-12-0420-00</v>
          </cell>
          <cell r="F11697">
            <v>882876380243</v>
          </cell>
        </row>
        <row r="11698">
          <cell r="E11698" t="str">
            <v>HLOB-12-0472-00</v>
          </cell>
          <cell r="F11698">
            <v>882876380243</v>
          </cell>
        </row>
        <row r="11699">
          <cell r="E11699" t="str">
            <v>EF-45055016</v>
          </cell>
          <cell r="F11699">
            <v>882876380243</v>
          </cell>
        </row>
        <row r="11700">
          <cell r="E11700" t="str">
            <v>PUR-12-0293-00</v>
          </cell>
          <cell r="F11700">
            <v>882876380243</v>
          </cell>
        </row>
        <row r="11701">
          <cell r="E11701" t="str">
            <v>PUR-12-0284-00</v>
          </cell>
          <cell r="F11701">
            <v>882876380243</v>
          </cell>
        </row>
        <row r="11702">
          <cell r="E11702" t="str">
            <v>HLOB-12-0412-00</v>
          </cell>
          <cell r="F11702">
            <v>882876380243</v>
          </cell>
        </row>
        <row r="11703">
          <cell r="E11703" t="str">
            <v>PUR-12-0322-00</v>
          </cell>
          <cell r="F11703">
            <v>882876380243</v>
          </cell>
        </row>
        <row r="11704">
          <cell r="E11704" t="str">
            <v>AIC-121-006065</v>
          </cell>
          <cell r="F11704">
            <v>882876380243</v>
          </cell>
        </row>
        <row r="11705">
          <cell r="E11705" t="str">
            <v>LUC-P11-K41300-00</v>
          </cell>
          <cell r="F11705">
            <v>414917179129</v>
          </cell>
        </row>
        <row r="11706">
          <cell r="E11706" t="str">
            <v>LUC-P11-K41300-00</v>
          </cell>
          <cell r="F11706">
            <v>414917179129</v>
          </cell>
        </row>
        <row r="11707">
          <cell r="E11707" t="str">
            <v>LUC-P11-K41300-00</v>
          </cell>
          <cell r="F11707">
            <v>414917179129</v>
          </cell>
        </row>
        <row r="11708">
          <cell r="E11708" t="str">
            <v>LUC-P11-K41300-00</v>
          </cell>
          <cell r="F11708">
            <v>414917179129</v>
          </cell>
        </row>
        <row r="11709">
          <cell r="E11709" t="str">
            <v>LUC-P11-K41300-00</v>
          </cell>
          <cell r="F11709">
            <v>414917179129</v>
          </cell>
        </row>
        <row r="11710">
          <cell r="E11710" t="str">
            <v>AIC-111-001500</v>
          </cell>
          <cell r="F11710">
            <v>391119503739</v>
          </cell>
        </row>
        <row r="11711">
          <cell r="E11711" t="str">
            <v>AIC-MP-IC004977-S01</v>
          </cell>
          <cell r="F11711">
            <v>391119503739</v>
          </cell>
        </row>
        <row r="11712">
          <cell r="E11712" t="str">
            <v>AIC-MP-IC005426-S01</v>
          </cell>
          <cell r="F11712">
            <v>391119503739</v>
          </cell>
        </row>
        <row r="11713">
          <cell r="E11713" t="str">
            <v>LUC-E00-470017-00</v>
          </cell>
          <cell r="F11713">
            <v>391119503739</v>
          </cell>
        </row>
        <row r="11714">
          <cell r="E11714" t="str">
            <v>EF-45120874.X.X</v>
          </cell>
          <cell r="F11714">
            <v>391119503739</v>
          </cell>
        </row>
        <row r="11715">
          <cell r="E11715" t="str">
            <v>PUR-03-0038-00</v>
          </cell>
          <cell r="F11715">
            <v>9509340886</v>
          </cell>
        </row>
        <row r="11716">
          <cell r="E11716" t="str">
            <v>PUR-03-0074-02</v>
          </cell>
          <cell r="F11716" t="str">
            <v>8TV6680</v>
          </cell>
        </row>
        <row r="11717">
          <cell r="E11717" t="str">
            <v>LUC-P11-J80300-00</v>
          </cell>
          <cell r="F11717" t="str">
            <v>LSHHPH2506123</v>
          </cell>
        </row>
        <row r="11718">
          <cell r="E11718" t="str">
            <v>LUC-P21-K3AB00-00</v>
          </cell>
          <cell r="F11718" t="str">
            <v>LSHHPH2506094</v>
          </cell>
        </row>
        <row r="11719">
          <cell r="E11719" t="str">
            <v>LUC-P21-K3AB00-00</v>
          </cell>
          <cell r="F11719" t="str">
            <v>LSHHPH2506094</v>
          </cell>
        </row>
        <row r="11720">
          <cell r="E11720" t="str">
            <v>LUC-P21-K3AT00-00</v>
          </cell>
          <cell r="F11720" t="str">
            <v>LSHHPH2506094</v>
          </cell>
        </row>
        <row r="11721">
          <cell r="E11721" t="str">
            <v>AIC-132-001525</v>
          </cell>
          <cell r="F11721">
            <v>470859340952</v>
          </cell>
        </row>
        <row r="11722">
          <cell r="E11722" t="str">
            <v>LUC-EZZ-690241-00</v>
          </cell>
          <cell r="F11722">
            <v>4110326517</v>
          </cell>
        </row>
        <row r="11723">
          <cell r="E11723" t="str">
            <v>LUC-EZZ-490231-06</v>
          </cell>
          <cell r="F11723">
            <v>7672209204</v>
          </cell>
        </row>
        <row r="11724">
          <cell r="E11724" t="str">
            <v>LUC-EZZ-490230-06</v>
          </cell>
          <cell r="F11724">
            <v>7672209204</v>
          </cell>
        </row>
        <row r="11725">
          <cell r="E11725" t="str">
            <v>HLOB-09-0256-00</v>
          </cell>
          <cell r="F11725">
            <v>470033255674</v>
          </cell>
        </row>
        <row r="11726">
          <cell r="E11726" t="str">
            <v>PUR-12-0407-00</v>
          </cell>
          <cell r="F11726">
            <v>470033263503</v>
          </cell>
        </row>
        <row r="11727">
          <cell r="E11727" t="str">
            <v>EF-45232580</v>
          </cell>
          <cell r="F11727">
            <v>470033263503</v>
          </cell>
        </row>
        <row r="11728">
          <cell r="E11728" t="str">
            <v>HLOB-09-0346-00</v>
          </cell>
          <cell r="F11728">
            <v>470033263503</v>
          </cell>
        </row>
        <row r="11729">
          <cell r="E11729" t="str">
            <v>PUR-12-0407-00</v>
          </cell>
          <cell r="F11729">
            <v>470033263503</v>
          </cell>
        </row>
        <row r="11730">
          <cell r="E11730" t="str">
            <v>HLOB-09-0434-00</v>
          </cell>
          <cell r="F11730">
            <v>470033263503</v>
          </cell>
        </row>
        <row r="11731">
          <cell r="E11731" t="str">
            <v>PUR-12-0407-00</v>
          </cell>
          <cell r="F11731">
            <v>470033263503</v>
          </cell>
        </row>
        <row r="11732">
          <cell r="E11732" t="str">
            <v>LUC-EZZ-400593-00</v>
          </cell>
          <cell r="F11732">
            <v>470033263503</v>
          </cell>
        </row>
        <row r="11733">
          <cell r="E11733" t="str">
            <v>HLOB-12-0407-00</v>
          </cell>
          <cell r="F11733">
            <v>470033270630</v>
          </cell>
        </row>
        <row r="11734">
          <cell r="E11734" t="str">
            <v>PUR-12-0407-00</v>
          </cell>
          <cell r="F11734">
            <v>470033270630</v>
          </cell>
        </row>
        <row r="11735">
          <cell r="E11735" t="str">
            <v>PUR-12-0407-00</v>
          </cell>
          <cell r="F11735">
            <v>470033270630</v>
          </cell>
        </row>
        <row r="11736">
          <cell r="E11736" t="str">
            <v>LUC-E00-450176-00</v>
          </cell>
          <cell r="F11736">
            <v>470033270630</v>
          </cell>
        </row>
        <row r="11737">
          <cell r="E11737" t="str">
            <v>HLOB-05-0031-00</v>
          </cell>
          <cell r="F11737">
            <v>3455732652</v>
          </cell>
        </row>
        <row r="11738">
          <cell r="E11738" t="str">
            <v>HLOB-05-0032-00</v>
          </cell>
          <cell r="F11738">
            <v>3455732652</v>
          </cell>
        </row>
        <row r="11739">
          <cell r="E11739" t="str">
            <v>HLOB-31-0103-01</v>
          </cell>
          <cell r="F11739" t="str">
            <v>KNQ10</v>
          </cell>
        </row>
        <row r="11740">
          <cell r="E11740" t="str">
            <v>HLOB-31-0103-01</v>
          </cell>
          <cell r="F11740" t="str">
            <v>KNQ10</v>
          </cell>
        </row>
        <row r="11741">
          <cell r="E11741" t="str">
            <v>HLOB-31-0103-01</v>
          </cell>
          <cell r="F11741" t="str">
            <v>KNQ10</v>
          </cell>
        </row>
        <row r="11742">
          <cell r="E11742" t="str">
            <v>LUC-EZZ-490306-00</v>
          </cell>
          <cell r="F11742" t="str">
            <v>SEBL25070074</v>
          </cell>
        </row>
        <row r="11743">
          <cell r="E11743" t="str">
            <v>LUC-EZZ-490315-02</v>
          </cell>
          <cell r="F11743" t="str">
            <v>SEBL25070074</v>
          </cell>
        </row>
        <row r="11744">
          <cell r="E11744" t="str">
            <v>LUC-EZZ-490315-02</v>
          </cell>
          <cell r="F11744" t="str">
            <v>SEBL25070074</v>
          </cell>
        </row>
        <row r="11745">
          <cell r="E11745" t="str">
            <v>LUC-EZZ-490310-04</v>
          </cell>
          <cell r="F11745" t="str">
            <v>SEBL25070074</v>
          </cell>
        </row>
        <row r="11746">
          <cell r="E11746" t="str">
            <v>LUC-P11-K35500-04</v>
          </cell>
          <cell r="F11746" t="str">
            <v>ST25071300</v>
          </cell>
        </row>
        <row r="11747">
          <cell r="E11747" t="str">
            <v>LUC-P11-K35400-03</v>
          </cell>
          <cell r="F11747" t="str">
            <v>ST25071300</v>
          </cell>
        </row>
        <row r="11748">
          <cell r="E11748" t="str">
            <v>LUC-P11-J81500-01</v>
          </cell>
          <cell r="F11748" t="str">
            <v>ST25071254</v>
          </cell>
        </row>
        <row r="11749">
          <cell r="E11749" t="str">
            <v>LUC-P11-J81300-01</v>
          </cell>
          <cell r="F11749" t="str">
            <v>ST25071254</v>
          </cell>
        </row>
        <row r="11750">
          <cell r="E11750" t="str">
            <v>LUC-EZZ-470211-00</v>
          </cell>
          <cell r="F11750">
            <v>391159184974</v>
          </cell>
        </row>
        <row r="11751">
          <cell r="E11751" t="str">
            <v>HLOB-09-0343-00</v>
          </cell>
          <cell r="F11751">
            <v>470197886879</v>
          </cell>
        </row>
        <row r="11752">
          <cell r="E11752" t="str">
            <v>HLOB-09-0343-00</v>
          </cell>
          <cell r="F11752">
            <v>470197886879</v>
          </cell>
        </row>
        <row r="11753">
          <cell r="E11753" t="str">
            <v>HLOB-09-0294-00</v>
          </cell>
          <cell r="F11753">
            <v>391221772818</v>
          </cell>
        </row>
        <row r="11754">
          <cell r="E11754" t="str">
            <v>PUR-09-0294-00</v>
          </cell>
          <cell r="F11754">
            <v>391221772818</v>
          </cell>
        </row>
        <row r="11755">
          <cell r="E11755" t="str">
            <v>AIC-MP-00003230-000</v>
          </cell>
          <cell r="F11755">
            <v>882873760633</v>
          </cell>
        </row>
        <row r="11756">
          <cell r="E11756" t="str">
            <v>AIC-MP-00004246-000</v>
          </cell>
          <cell r="F11756">
            <v>882873760633</v>
          </cell>
        </row>
        <row r="11757">
          <cell r="E11757" t="str">
            <v>AIC-MP-00000773-000</v>
          </cell>
          <cell r="F11757">
            <v>882873760633</v>
          </cell>
        </row>
        <row r="11758">
          <cell r="E11758" t="str">
            <v>AIC-MP-00000779-000</v>
          </cell>
          <cell r="F11758">
            <v>882873760633</v>
          </cell>
        </row>
        <row r="11759">
          <cell r="E11759" t="str">
            <v>AIC-109-001573</v>
          </cell>
          <cell r="F11759">
            <v>882873760633</v>
          </cell>
        </row>
        <row r="11760">
          <cell r="E11760" t="str">
            <v>AIC-121-006065</v>
          </cell>
          <cell r="F11760">
            <v>882873760633</v>
          </cell>
        </row>
        <row r="11761">
          <cell r="E11761" t="str">
            <v>AIC-121-006067</v>
          </cell>
          <cell r="F11761">
            <v>882873760633</v>
          </cell>
        </row>
        <row r="11762">
          <cell r="E11762" t="str">
            <v>LUC-EZZ-441177-00</v>
          </cell>
          <cell r="F11762">
            <v>412069749659</v>
          </cell>
        </row>
        <row r="11763">
          <cell r="E11763" t="str">
            <v>LUC-E00-400067-111</v>
          </cell>
          <cell r="F11763">
            <v>470033332025</v>
          </cell>
        </row>
        <row r="11764">
          <cell r="E11764" t="str">
            <v>LUC-E00-440057-00</v>
          </cell>
          <cell r="F11764">
            <v>470033288047</v>
          </cell>
        </row>
        <row r="11765">
          <cell r="E11765" t="str">
            <v>AIC-122-004390</v>
          </cell>
          <cell r="F11765">
            <v>119209616628</v>
          </cell>
        </row>
        <row r="11766">
          <cell r="E11766" t="str">
            <v>AIC-MP-DE000171-S01</v>
          </cell>
          <cell r="F11766">
            <v>119209616628</v>
          </cell>
        </row>
        <row r="11767">
          <cell r="E11767" t="str">
            <v>LUC-E00-690010-02</v>
          </cell>
          <cell r="F11767">
            <v>390981235520</v>
          </cell>
        </row>
        <row r="11768">
          <cell r="E11768" t="str">
            <v>LUC-E00-690010-02</v>
          </cell>
          <cell r="F11768">
            <v>390911527190</v>
          </cell>
        </row>
        <row r="11769">
          <cell r="E11769" t="str">
            <v>AIC-MP-CP005744-S01</v>
          </cell>
          <cell r="F11769">
            <v>391193458102</v>
          </cell>
        </row>
        <row r="11770">
          <cell r="E11770" t="str">
            <v>PUR-09-0213-00</v>
          </cell>
          <cell r="F11770">
            <v>445170481787</v>
          </cell>
        </row>
        <row r="11771">
          <cell r="E11771" t="str">
            <v>PUR-09-0213-00</v>
          </cell>
          <cell r="F11771">
            <v>445170481721</v>
          </cell>
        </row>
        <row r="11772">
          <cell r="E11772" t="str">
            <v>LUC-EZZ-470191-00</v>
          </cell>
          <cell r="F11772">
            <v>445170481927</v>
          </cell>
        </row>
        <row r="11773">
          <cell r="E11773" t="str">
            <v>PUR-09-0213-00</v>
          </cell>
          <cell r="F11773">
            <v>445170481802</v>
          </cell>
        </row>
        <row r="11774">
          <cell r="E11774" t="str">
            <v>HLOB-14-0087-00</v>
          </cell>
          <cell r="F11774">
            <v>445170482350</v>
          </cell>
        </row>
        <row r="11775">
          <cell r="E11775" t="str">
            <v>PUR-09-0424-00</v>
          </cell>
          <cell r="F11775">
            <v>445170482408</v>
          </cell>
        </row>
        <row r="11776">
          <cell r="E11776" t="str">
            <v>PUR-09-0322-00</v>
          </cell>
          <cell r="F11776">
            <v>445170483919</v>
          </cell>
        </row>
        <row r="11777">
          <cell r="E11777" t="str">
            <v>LUC-E00-460007-00</v>
          </cell>
          <cell r="F11777">
            <v>445170486620</v>
          </cell>
        </row>
        <row r="11778">
          <cell r="E11778" t="str">
            <v>LUC-E00-460007-00</v>
          </cell>
          <cell r="F11778">
            <v>445170486631</v>
          </cell>
        </row>
        <row r="11779">
          <cell r="E11779" t="str">
            <v>AIC-MP-IC007004-S01</v>
          </cell>
          <cell r="F11779">
            <v>470859340838</v>
          </cell>
        </row>
        <row r="11780">
          <cell r="E11780" t="str">
            <v>LUC-E00-420037-02</v>
          </cell>
          <cell r="F11780">
            <v>471090667329</v>
          </cell>
        </row>
        <row r="11781">
          <cell r="E11781" t="str">
            <v>LUC-EZZ-450176-00</v>
          </cell>
          <cell r="F11781">
            <v>471090667329</v>
          </cell>
        </row>
        <row r="11782">
          <cell r="E11782" t="str">
            <v>LUC-EZZ-420257-00</v>
          </cell>
          <cell r="F11782">
            <v>471090667329</v>
          </cell>
        </row>
        <row r="11783">
          <cell r="E11783" t="str">
            <v>LUC-EZZ-440200-00</v>
          </cell>
          <cell r="F11783">
            <v>471090667329</v>
          </cell>
        </row>
        <row r="11784">
          <cell r="E11784" t="str">
            <v>121-000492.X.X</v>
          </cell>
          <cell r="F11784">
            <v>471090667329</v>
          </cell>
        </row>
        <row r="11785">
          <cell r="E11785" t="str">
            <v>AIC-MP-IC005391-S01</v>
          </cell>
          <cell r="F11785">
            <v>471090667329</v>
          </cell>
        </row>
        <row r="11786">
          <cell r="E11786" t="str">
            <v>AIC-MP-DE005361-S01</v>
          </cell>
          <cell r="F11786">
            <v>471090667329</v>
          </cell>
        </row>
        <row r="11787">
          <cell r="E11787" t="str">
            <v>122-000378.X.X</v>
          </cell>
          <cell r="F11787">
            <v>471090667329</v>
          </cell>
        </row>
        <row r="11788">
          <cell r="E11788" t="str">
            <v>LUC-EZZ-510106-00</v>
          </cell>
          <cell r="F11788">
            <v>471090667329</v>
          </cell>
        </row>
        <row r="11789">
          <cell r="E11789" t="str">
            <v>HLOB-13-0227-00</v>
          </cell>
          <cell r="F11789">
            <v>882877457060</v>
          </cell>
        </row>
        <row r="11790">
          <cell r="E11790" t="str">
            <v>PUR-13-0227-00</v>
          </cell>
          <cell r="F11790">
            <v>882877457060</v>
          </cell>
        </row>
        <row r="11791">
          <cell r="E11791" t="str">
            <v>PUR-13-0227-00</v>
          </cell>
          <cell r="F11791">
            <v>882877457060</v>
          </cell>
        </row>
        <row r="11792">
          <cell r="E11792" t="str">
            <v>PUR-13-0227-00</v>
          </cell>
          <cell r="F11792">
            <v>882877457060</v>
          </cell>
        </row>
        <row r="11793">
          <cell r="E11793" t="str">
            <v>HLOB-13-0245-00</v>
          </cell>
          <cell r="F11793">
            <v>882877457060</v>
          </cell>
        </row>
        <row r="11794">
          <cell r="E11794" t="str">
            <v>HLOB-13-0159-00</v>
          </cell>
          <cell r="F11794">
            <v>882877457060</v>
          </cell>
        </row>
        <row r="11795">
          <cell r="E11795" t="str">
            <v>LUC-EZZ-400196-00</v>
          </cell>
          <cell r="F11795">
            <v>882877457060</v>
          </cell>
        </row>
        <row r="11796">
          <cell r="E11796" t="str">
            <v>PURET-13-0068-00</v>
          </cell>
          <cell r="F11796">
            <v>882877457060</v>
          </cell>
        </row>
        <row r="11797">
          <cell r="E11797" t="str">
            <v>PURET-13-0068-00</v>
          </cell>
          <cell r="F11797">
            <v>882877457060</v>
          </cell>
        </row>
        <row r="11798">
          <cell r="E11798" t="str">
            <v>PUR-13-0245-00</v>
          </cell>
          <cell r="F11798">
            <v>882877457060</v>
          </cell>
        </row>
        <row r="11799">
          <cell r="E11799" t="str">
            <v>HLOB-13-0068-00</v>
          </cell>
          <cell r="F11799">
            <v>882877457060</v>
          </cell>
        </row>
        <row r="11800">
          <cell r="E11800" t="str">
            <v>121-000519.X.X</v>
          </cell>
          <cell r="F11800">
            <v>882877457060</v>
          </cell>
        </row>
        <row r="11801">
          <cell r="E11801" t="str">
            <v>103-000216.X.X</v>
          </cell>
          <cell r="F11801">
            <v>730610853288</v>
          </cell>
        </row>
        <row r="11802">
          <cell r="E11802" t="str">
            <v>103-000216.X.X</v>
          </cell>
          <cell r="F11802">
            <v>730610853288</v>
          </cell>
        </row>
        <row r="11803">
          <cell r="E11803" t="str">
            <v>103-000216.X.X</v>
          </cell>
          <cell r="F11803">
            <v>730610853288</v>
          </cell>
        </row>
        <row r="11804">
          <cell r="E11804" t="str">
            <v>103-000216.X.X</v>
          </cell>
          <cell r="F11804">
            <v>730610853288</v>
          </cell>
        </row>
        <row r="11805">
          <cell r="E11805" t="str">
            <v>102-000424</v>
          </cell>
          <cell r="F11805">
            <v>882880578470</v>
          </cell>
        </row>
        <row r="11806">
          <cell r="E11806" t="str">
            <v>AIC-MP-ID003773-S01</v>
          </cell>
          <cell r="F11806">
            <v>391124590347</v>
          </cell>
        </row>
        <row r="11807">
          <cell r="E11807" t="str">
            <v>LUC-EZZ-440129-00</v>
          </cell>
          <cell r="F11807">
            <v>391126813730</v>
          </cell>
        </row>
        <row r="11808">
          <cell r="E11808" t="str">
            <v>LUC-E00-440012-00</v>
          </cell>
          <cell r="F11808">
            <v>409298793422</v>
          </cell>
        </row>
        <row r="11809">
          <cell r="E11809" t="str">
            <v>HLOB-12-0470-00</v>
          </cell>
          <cell r="F11809">
            <v>409298793422</v>
          </cell>
        </row>
        <row r="11810">
          <cell r="E11810" t="str">
            <v>LUC-E00-440030-00</v>
          </cell>
          <cell r="F11810">
            <v>409298793422</v>
          </cell>
        </row>
        <row r="11811">
          <cell r="E11811" t="str">
            <v>LUC-EZZ-420084-00</v>
          </cell>
          <cell r="F11811">
            <v>409298793422</v>
          </cell>
        </row>
        <row r="11812">
          <cell r="E11812" t="str">
            <v>LUC-EZZ-420084-00</v>
          </cell>
          <cell r="F11812">
            <v>409298793422</v>
          </cell>
        </row>
        <row r="11813">
          <cell r="E11813" t="str">
            <v>LUC-EZZ-420098-00</v>
          </cell>
          <cell r="F11813">
            <v>409298793422</v>
          </cell>
        </row>
        <row r="11814">
          <cell r="E11814" t="str">
            <v>LUC-EZZ-420101-00</v>
          </cell>
          <cell r="F11814">
            <v>409298793422</v>
          </cell>
        </row>
        <row r="11815">
          <cell r="E11815" t="str">
            <v>LUC-EZZ-420101-00</v>
          </cell>
          <cell r="F11815">
            <v>409298793422</v>
          </cell>
        </row>
        <row r="11816">
          <cell r="E11816" t="str">
            <v>LUC-EZZ-400609-00</v>
          </cell>
          <cell r="F11816">
            <v>409298793422</v>
          </cell>
        </row>
        <row r="11817">
          <cell r="E11817" t="str">
            <v>LUC-EZZ-420098-00</v>
          </cell>
          <cell r="F11817">
            <v>409298793422</v>
          </cell>
        </row>
        <row r="11818">
          <cell r="E11818" t="str">
            <v>LUC-EZZ-420098-00</v>
          </cell>
          <cell r="F11818">
            <v>409298793422</v>
          </cell>
        </row>
        <row r="11819">
          <cell r="E11819" t="str">
            <v>LUC-E00-440031-00</v>
          </cell>
          <cell r="F11819">
            <v>409298793422</v>
          </cell>
        </row>
        <row r="11820">
          <cell r="E11820" t="str">
            <v>LUC-E00-400010-004</v>
          </cell>
          <cell r="F11820">
            <v>409298793422</v>
          </cell>
        </row>
        <row r="11821">
          <cell r="E11821" t="str">
            <v>LUC-EZZ-420084-00</v>
          </cell>
          <cell r="F11821">
            <v>409298793422</v>
          </cell>
        </row>
        <row r="11822">
          <cell r="E11822" t="str">
            <v>LUC-EZZ-441177-00</v>
          </cell>
          <cell r="F11822">
            <v>409298793422</v>
          </cell>
        </row>
        <row r="11823">
          <cell r="E11823" t="str">
            <v>LUC-EZZ-420159-00</v>
          </cell>
          <cell r="F11823">
            <v>409298793422</v>
          </cell>
        </row>
        <row r="11824">
          <cell r="E11824" t="str">
            <v>LUC-EZZ-420159-00</v>
          </cell>
          <cell r="F11824">
            <v>409298793422</v>
          </cell>
        </row>
        <row r="11825">
          <cell r="E11825" t="str">
            <v>LUC-EZZ-420159-00</v>
          </cell>
          <cell r="F11825">
            <v>409298793422</v>
          </cell>
        </row>
        <row r="11826">
          <cell r="E11826" t="str">
            <v>LUC-EZZ-420193-00</v>
          </cell>
          <cell r="F11826">
            <v>409298793422</v>
          </cell>
        </row>
        <row r="11827">
          <cell r="E11827" t="str">
            <v>LUC-EZZ-420194-00</v>
          </cell>
          <cell r="F11827">
            <v>409298793422</v>
          </cell>
        </row>
        <row r="11828">
          <cell r="E11828" t="str">
            <v>LUC-EZZ-420289-00</v>
          </cell>
          <cell r="F11828">
            <v>409298793422</v>
          </cell>
        </row>
        <row r="11829">
          <cell r="E11829" t="str">
            <v>LUC-EZZ-420357-00</v>
          </cell>
          <cell r="F11829">
            <v>409298793422</v>
          </cell>
        </row>
        <row r="11830">
          <cell r="E11830" t="str">
            <v>LUC-EZZ-420440-00</v>
          </cell>
          <cell r="F11830">
            <v>409298793422</v>
          </cell>
        </row>
        <row r="11831">
          <cell r="E11831" t="str">
            <v>LUC-EZZ-441256-00</v>
          </cell>
          <cell r="F11831">
            <v>409298793422</v>
          </cell>
        </row>
        <row r="11832">
          <cell r="E11832" t="str">
            <v>LUC-EZZ-420392-00</v>
          </cell>
          <cell r="F11832">
            <v>409298793422</v>
          </cell>
        </row>
        <row r="11833">
          <cell r="E11833" t="str">
            <v>AIC-109-001576</v>
          </cell>
          <cell r="F11833">
            <v>882849112972</v>
          </cell>
        </row>
        <row r="11834">
          <cell r="E11834" t="str">
            <v>B85CSRCC 1.00</v>
          </cell>
          <cell r="F11834">
            <v>882878656011</v>
          </cell>
        </row>
        <row r="11835">
          <cell r="E11835" t="str">
            <v>AIC-122-004381</v>
          </cell>
          <cell r="F11835">
            <v>882924542840</v>
          </cell>
        </row>
        <row r="11836">
          <cell r="E11836" t="str">
            <v>AIC-MP-00005635-000</v>
          </cell>
          <cell r="F11836">
            <v>882924542840</v>
          </cell>
        </row>
        <row r="11837">
          <cell r="E11837" t="str">
            <v>AIC-MP-IC007306-S01</v>
          </cell>
          <cell r="F11837">
            <v>391158700982</v>
          </cell>
        </row>
        <row r="11838">
          <cell r="E11838" t="str">
            <v>AIC-MP-00000856-000</v>
          </cell>
          <cell r="F11838">
            <v>391158700982</v>
          </cell>
        </row>
        <row r="11839">
          <cell r="E11839" t="str">
            <v>PUR-37-0039-00</v>
          </cell>
          <cell r="F11839">
            <v>456450722643</v>
          </cell>
        </row>
        <row r="11840">
          <cell r="E11840" t="str">
            <v>LUC-E00-690200-01</v>
          </cell>
          <cell r="F11840">
            <v>456450719989</v>
          </cell>
        </row>
        <row r="11841">
          <cell r="E11841" t="str">
            <v>LUC-P21-K61200-02</v>
          </cell>
          <cell r="F11841">
            <v>882904335174</v>
          </cell>
        </row>
        <row r="11842">
          <cell r="E11842" t="str">
            <v>LUC-P21-K34600-02</v>
          </cell>
          <cell r="F11842">
            <v>882904335174</v>
          </cell>
        </row>
        <row r="11843">
          <cell r="E11843" t="str">
            <v>LUC-P21-K34200-00</v>
          </cell>
          <cell r="F11843">
            <v>882904335174</v>
          </cell>
        </row>
        <row r="11844">
          <cell r="E11844" t="str">
            <v>LUC-P21-K33200-02</v>
          </cell>
          <cell r="F11844">
            <v>882904335174</v>
          </cell>
        </row>
        <row r="11845">
          <cell r="E11845" t="str">
            <v>130-000513</v>
          </cell>
          <cell r="F11845">
            <v>462827327995</v>
          </cell>
        </row>
        <row r="11846">
          <cell r="E11846" t="str">
            <v>130-000513</v>
          </cell>
          <cell r="F11846">
            <v>462827327995</v>
          </cell>
        </row>
        <row r="11847">
          <cell r="E11847" t="str">
            <v>LUC-E00-690214-00</v>
          </cell>
          <cell r="F11847">
            <v>458925697780</v>
          </cell>
        </row>
        <row r="11848">
          <cell r="E11848" t="str">
            <v>AIC-MP-00007057-000</v>
          </cell>
          <cell r="F11848">
            <v>882923387188</v>
          </cell>
        </row>
        <row r="11849">
          <cell r="E11849" t="str">
            <v>AIC-MP-OT007180-S01</v>
          </cell>
          <cell r="F11849">
            <v>882873778500</v>
          </cell>
        </row>
        <row r="11850">
          <cell r="E11850" t="str">
            <v>AIC-MP-CN007144-S01</v>
          </cell>
          <cell r="F11850">
            <v>882873778500</v>
          </cell>
        </row>
        <row r="11851">
          <cell r="E11851" t="str">
            <v>AIC-MP-OT007145-S01</v>
          </cell>
          <cell r="F11851">
            <v>882873778500</v>
          </cell>
        </row>
        <row r="11852">
          <cell r="E11852" t="str">
            <v>AIC-MP-OT007146-S01</v>
          </cell>
          <cell r="F11852">
            <v>882873778500</v>
          </cell>
        </row>
        <row r="11853">
          <cell r="E11853" t="str">
            <v>AIC-MP-CN007172-S01</v>
          </cell>
          <cell r="F11853">
            <v>882873778500</v>
          </cell>
        </row>
        <row r="11854">
          <cell r="E11854" t="str">
            <v>AIC-MP-00006770-000</v>
          </cell>
          <cell r="F11854">
            <v>882873778500</v>
          </cell>
        </row>
        <row r="11855">
          <cell r="E11855" t="str">
            <v>AIC-MP-00007059-000</v>
          </cell>
          <cell r="F11855">
            <v>882873778500</v>
          </cell>
        </row>
        <row r="11856">
          <cell r="E11856" t="str">
            <v>AIC-MP-00006751-000</v>
          </cell>
          <cell r="F11856">
            <v>882873778500</v>
          </cell>
        </row>
        <row r="11857">
          <cell r="E11857" t="str">
            <v>AIC-MP-CN006777-S01</v>
          </cell>
          <cell r="F11857">
            <v>882873778500</v>
          </cell>
        </row>
        <row r="11858">
          <cell r="E11858" t="str">
            <v>AIC-MP-00007022-000</v>
          </cell>
          <cell r="F11858">
            <v>882873778500</v>
          </cell>
        </row>
        <row r="11859">
          <cell r="E11859" t="str">
            <v>LUC-E00-510014-00</v>
          </cell>
          <cell r="F11859">
            <v>470049415859</v>
          </cell>
        </row>
        <row r="11860">
          <cell r="E11860" t="str">
            <v>HLOB-09-0346-00</v>
          </cell>
          <cell r="F11860">
            <v>470049415859</v>
          </cell>
        </row>
        <row r="11861">
          <cell r="E11861" t="str">
            <v>PUR-03-0082-02</v>
          </cell>
          <cell r="F11861">
            <v>446841113177</v>
          </cell>
        </row>
        <row r="11862">
          <cell r="E11862" t="str">
            <v>PUR-03-0091-02</v>
          </cell>
          <cell r="F11862">
            <v>446841130033</v>
          </cell>
        </row>
        <row r="11863">
          <cell r="E11863" t="str">
            <v>PUR-03-0111-00</v>
          </cell>
          <cell r="F11863">
            <v>446841076032</v>
          </cell>
        </row>
        <row r="11864">
          <cell r="E11864" t="str">
            <v>LUC-E00-440003-01</v>
          </cell>
          <cell r="F11864">
            <v>458171552286</v>
          </cell>
        </row>
        <row r="11865">
          <cell r="E11865" t="str">
            <v>LUC-E00-440013-00</v>
          </cell>
          <cell r="F11865">
            <v>458171552286</v>
          </cell>
        </row>
        <row r="11866">
          <cell r="E11866" t="str">
            <v>LUC-E00-440013-01</v>
          </cell>
          <cell r="F11866">
            <v>458171552286</v>
          </cell>
        </row>
        <row r="11867">
          <cell r="E11867" t="str">
            <v>LUC-E00-440014-00</v>
          </cell>
          <cell r="F11867">
            <v>458171552286</v>
          </cell>
        </row>
        <row r="11868">
          <cell r="E11868" t="str">
            <v>LUC-E00-440014-01</v>
          </cell>
          <cell r="F11868">
            <v>458171552286</v>
          </cell>
        </row>
        <row r="11869">
          <cell r="E11869" t="str">
            <v>LUC-E00-440048-00</v>
          </cell>
          <cell r="F11869">
            <v>458171552286</v>
          </cell>
        </row>
        <row r="11870">
          <cell r="E11870" t="str">
            <v>LUC-E00-440124-00</v>
          </cell>
          <cell r="F11870">
            <v>458171552286</v>
          </cell>
        </row>
        <row r="11871">
          <cell r="E11871" t="str">
            <v>LUC-EZZ-440018-00</v>
          </cell>
          <cell r="F11871">
            <v>458171552286</v>
          </cell>
        </row>
        <row r="11872">
          <cell r="E11872" t="str">
            <v>LUC-EZZ-440028-00</v>
          </cell>
          <cell r="F11872">
            <v>458171552286</v>
          </cell>
        </row>
        <row r="11873">
          <cell r="E11873" t="str">
            <v>LUC-EZZ-440072-00</v>
          </cell>
          <cell r="F11873">
            <v>458171552286</v>
          </cell>
        </row>
        <row r="11874">
          <cell r="E11874" t="str">
            <v>LUC-EZZ-440078-01</v>
          </cell>
          <cell r="F11874">
            <v>458171552286</v>
          </cell>
        </row>
        <row r="11875">
          <cell r="E11875" t="str">
            <v>LUC-EZZ-440162-00</v>
          </cell>
          <cell r="F11875">
            <v>458171552286</v>
          </cell>
        </row>
        <row r="11876">
          <cell r="E11876" t="str">
            <v>LUC-EZZ-440911-00</v>
          </cell>
          <cell r="F11876">
            <v>458171552286</v>
          </cell>
        </row>
        <row r="11877">
          <cell r="E11877" t="str">
            <v>LUC-EZZ-440911-00</v>
          </cell>
          <cell r="F11877">
            <v>458171552286</v>
          </cell>
        </row>
        <row r="11878">
          <cell r="E11878" t="str">
            <v>LUC-E00-440051-01</v>
          </cell>
          <cell r="F11878">
            <v>458171552286</v>
          </cell>
        </row>
        <row r="11879">
          <cell r="E11879" t="str">
            <v>AIC-134-001628</v>
          </cell>
          <cell r="F11879">
            <v>445131414587</v>
          </cell>
        </row>
        <row r="11880">
          <cell r="E11880" t="str">
            <v>LUC-P00-F143AG-00</v>
          </cell>
          <cell r="F11880">
            <v>882923220667</v>
          </cell>
        </row>
        <row r="11881">
          <cell r="E11881" t="str">
            <v>LUC-P00-F134CG-00</v>
          </cell>
          <cell r="F11881">
            <v>882923220667</v>
          </cell>
        </row>
        <row r="11882">
          <cell r="E11882" t="str">
            <v>LUC-P00-F260CG-00</v>
          </cell>
          <cell r="F11882">
            <v>882923220667</v>
          </cell>
        </row>
        <row r="11883">
          <cell r="E11883" t="str">
            <v>LUC-P00-F189AG-00</v>
          </cell>
          <cell r="F11883">
            <v>882923220667</v>
          </cell>
        </row>
        <row r="11884">
          <cell r="E11884" t="str">
            <v>LUC-BNA-201-329</v>
          </cell>
          <cell r="F11884">
            <v>882923220667</v>
          </cell>
        </row>
        <row r="11885">
          <cell r="E11885" t="str">
            <v>LUC-BNA-201-329</v>
          </cell>
          <cell r="F11885">
            <v>882923220667</v>
          </cell>
        </row>
        <row r="11886">
          <cell r="E11886" t="str">
            <v>LUC-E00-470109-00</v>
          </cell>
          <cell r="F11886">
            <v>453074969173</v>
          </cell>
        </row>
        <row r="11887">
          <cell r="E11887" t="str">
            <v>AIC-MP-00006617-000</v>
          </cell>
          <cell r="F11887">
            <v>467038577606</v>
          </cell>
        </row>
        <row r="11888">
          <cell r="E11888" t="str">
            <v>LUC-EZZ-471743-00</v>
          </cell>
          <cell r="F11888">
            <v>467038577606</v>
          </cell>
        </row>
        <row r="11889">
          <cell r="E11889" t="str">
            <v>AIC-MP-00006987-000</v>
          </cell>
          <cell r="F11889">
            <v>467038577606</v>
          </cell>
        </row>
        <row r="11890">
          <cell r="E11890" t="str">
            <v>LUC-EZZ-470093-00</v>
          </cell>
          <cell r="F11890">
            <v>467038577606</v>
          </cell>
        </row>
        <row r="11891">
          <cell r="E11891" t="str">
            <v>LUC-EZZ-471743-00</v>
          </cell>
          <cell r="F11891">
            <v>467038577606</v>
          </cell>
        </row>
        <row r="11892">
          <cell r="E11892" t="str">
            <v>LUC-E00-400010-048</v>
          </cell>
          <cell r="F11892">
            <v>1465062185</v>
          </cell>
        </row>
        <row r="11893">
          <cell r="E11893" t="str">
            <v>LUC-E00-400010-048</v>
          </cell>
          <cell r="F11893">
            <v>1465062185</v>
          </cell>
        </row>
        <row r="11894">
          <cell r="E11894" t="str">
            <v>LUC-E00-400010-048</v>
          </cell>
          <cell r="F11894">
            <v>1465062185</v>
          </cell>
        </row>
        <row r="11895">
          <cell r="E11895" t="str">
            <v>LUC-EZZ-511370-00</v>
          </cell>
          <cell r="F11895">
            <v>1465062185</v>
          </cell>
        </row>
        <row r="11896">
          <cell r="E11896" t="str">
            <v>LUC-EZZ-511370-00</v>
          </cell>
          <cell r="F11896">
            <v>1465062185</v>
          </cell>
        </row>
        <row r="11897">
          <cell r="E11897" t="str">
            <v>LUC-E00-400010-048</v>
          </cell>
          <cell r="F11897">
            <v>1465062185</v>
          </cell>
        </row>
        <row r="11898">
          <cell r="E11898" t="str">
            <v>LUC-E00-470120-00</v>
          </cell>
          <cell r="F11898">
            <v>1465062185</v>
          </cell>
        </row>
        <row r="11899">
          <cell r="E11899" t="str">
            <v>LUC-E00-470119-00</v>
          </cell>
          <cell r="F11899">
            <v>1465062185</v>
          </cell>
        </row>
        <row r="11900">
          <cell r="E11900" t="str">
            <v>LUC-E00-470318-00</v>
          </cell>
          <cell r="F11900">
            <v>1465062185</v>
          </cell>
        </row>
        <row r="11901">
          <cell r="E11901" t="str">
            <v>LUC-E00-470318-00</v>
          </cell>
          <cell r="F11901">
            <v>1465062185</v>
          </cell>
        </row>
        <row r="11902">
          <cell r="E11902" t="str">
            <v>LUC-E00-470318-00</v>
          </cell>
          <cell r="F11902">
            <v>1465062185</v>
          </cell>
        </row>
        <row r="11903">
          <cell r="E11903" t="str">
            <v>LUC-EZZ-471023-00</v>
          </cell>
          <cell r="F11903">
            <v>1465062185</v>
          </cell>
        </row>
        <row r="11904">
          <cell r="E11904" t="str">
            <v>LUC-EZZ-440022-00</v>
          </cell>
          <cell r="F11904">
            <v>1465062185</v>
          </cell>
        </row>
        <row r="11905">
          <cell r="E11905" t="str">
            <v>LUC-EZZ-450112-00</v>
          </cell>
          <cell r="F11905">
            <v>1465062185</v>
          </cell>
        </row>
        <row r="11906">
          <cell r="E11906" t="str">
            <v>LUC-EZZ-420345-00</v>
          </cell>
          <cell r="F11906">
            <v>1465062185</v>
          </cell>
        </row>
        <row r="11907">
          <cell r="E11907" t="str">
            <v>LUC-EZZ-470961-00</v>
          </cell>
          <cell r="F11907">
            <v>1465062185</v>
          </cell>
        </row>
        <row r="11908">
          <cell r="E11908" t="str">
            <v>LUC-EZZ-420345-00</v>
          </cell>
          <cell r="F11908">
            <v>1465062185</v>
          </cell>
        </row>
        <row r="11909">
          <cell r="E11909" t="str">
            <v>LUC-EZZ-420352-00</v>
          </cell>
          <cell r="F11909">
            <v>1465062185</v>
          </cell>
        </row>
        <row r="11910">
          <cell r="E11910" t="str">
            <v>LUC-E00-470173-00</v>
          </cell>
          <cell r="F11910">
            <v>1465062185</v>
          </cell>
        </row>
        <row r="11911">
          <cell r="E11911" t="str">
            <v>LUC-EZZ-420352-00</v>
          </cell>
          <cell r="F11911">
            <v>1465062185</v>
          </cell>
        </row>
        <row r="11912">
          <cell r="E11912" t="str">
            <v>LUC-E00-420020-03</v>
          </cell>
          <cell r="F11912">
            <v>1465062185</v>
          </cell>
        </row>
        <row r="11913">
          <cell r="E11913" t="str">
            <v>LUC-EZZ-470424-00</v>
          </cell>
          <cell r="F11913">
            <v>1465062185</v>
          </cell>
        </row>
        <row r="11914">
          <cell r="E11914" t="str">
            <v>LUC-EZZ-420189-00</v>
          </cell>
          <cell r="F11914">
            <v>1465062185</v>
          </cell>
        </row>
        <row r="11915">
          <cell r="E11915" t="str">
            <v>LUC-EZZ-420090-00</v>
          </cell>
          <cell r="F11915">
            <v>1465062185</v>
          </cell>
        </row>
        <row r="11916">
          <cell r="E11916" t="str">
            <v>LUC-EZZ-510639-00</v>
          </cell>
          <cell r="F11916">
            <v>1465062185</v>
          </cell>
        </row>
        <row r="11917">
          <cell r="E11917" t="str">
            <v>LUC-E00-420037-10</v>
          </cell>
          <cell r="F11917">
            <v>1465062185</v>
          </cell>
        </row>
        <row r="11918">
          <cell r="E11918" t="str">
            <v>LUC-E00-470175-00</v>
          </cell>
          <cell r="F11918">
            <v>1465062185</v>
          </cell>
        </row>
        <row r="11919">
          <cell r="E11919" t="str">
            <v>LUC-EZZ-420172-00</v>
          </cell>
          <cell r="F11919">
            <v>1465062185</v>
          </cell>
        </row>
        <row r="11920">
          <cell r="E11920" t="str">
            <v>LUC-EZZ-450112-00</v>
          </cell>
          <cell r="F11920">
            <v>1465062185</v>
          </cell>
        </row>
        <row r="11921">
          <cell r="E11921" t="str">
            <v>LUC-EZZ-450112-00</v>
          </cell>
          <cell r="F11921">
            <v>1465062185</v>
          </cell>
        </row>
        <row r="11922">
          <cell r="E11922" t="str">
            <v>LUC-EZZ-470696-00</v>
          </cell>
          <cell r="F11922">
            <v>1465062185</v>
          </cell>
        </row>
        <row r="11923">
          <cell r="E11923" t="str">
            <v>LUC-EZZ-470464-00</v>
          </cell>
          <cell r="F11923">
            <v>1465062185</v>
          </cell>
        </row>
        <row r="11924">
          <cell r="E11924" t="str">
            <v>LUC-EZZ-420094-00</v>
          </cell>
          <cell r="F11924">
            <v>1465062185</v>
          </cell>
        </row>
        <row r="11925">
          <cell r="E11925" t="str">
            <v>LUC-EZZ-470192-00</v>
          </cell>
          <cell r="F11925">
            <v>1465062185</v>
          </cell>
        </row>
        <row r="11926">
          <cell r="E11926" t="str">
            <v>LUC-EZZ-440169-00</v>
          </cell>
          <cell r="F11926">
            <v>1465062185</v>
          </cell>
        </row>
        <row r="11927">
          <cell r="E11927" t="str">
            <v>LUC-EZZ-460737-00</v>
          </cell>
          <cell r="F11927">
            <v>1465062185</v>
          </cell>
        </row>
        <row r="11928">
          <cell r="E11928" t="str">
            <v>LUC-EZZ-400194-00</v>
          </cell>
          <cell r="F11928">
            <v>1465062185</v>
          </cell>
        </row>
        <row r="11929">
          <cell r="E11929" t="str">
            <v>LUC-EZZ-460737-00</v>
          </cell>
          <cell r="F11929">
            <v>1465062185</v>
          </cell>
        </row>
        <row r="11930">
          <cell r="E11930" t="str">
            <v>LUC-E00-400001-010</v>
          </cell>
          <cell r="F11930">
            <v>1465062185</v>
          </cell>
        </row>
        <row r="11931">
          <cell r="E11931" t="str">
            <v>LUC-EZZ-450835-00</v>
          </cell>
          <cell r="F11931">
            <v>1465062185</v>
          </cell>
        </row>
        <row r="11932">
          <cell r="E11932" t="str">
            <v>LUC-EZZ-420102-00</v>
          </cell>
          <cell r="F11932">
            <v>1465062185</v>
          </cell>
        </row>
        <row r="11933">
          <cell r="E11933" t="str">
            <v>LUC-E00-510031-00</v>
          </cell>
          <cell r="F11933">
            <v>1465062185</v>
          </cell>
        </row>
        <row r="11934">
          <cell r="E11934" t="str">
            <v>LUC-EZZ-420102-00</v>
          </cell>
          <cell r="F11934">
            <v>1465062185</v>
          </cell>
        </row>
        <row r="11935">
          <cell r="E11935" t="str">
            <v>LUC-E00-470077-00</v>
          </cell>
          <cell r="F11935">
            <v>1465062185</v>
          </cell>
        </row>
        <row r="11936">
          <cell r="E11936" t="str">
            <v>LUC-E00-470075-00</v>
          </cell>
          <cell r="F11936">
            <v>1465062185</v>
          </cell>
        </row>
        <row r="11937">
          <cell r="E11937" t="str">
            <v>LUC-EZZ-420281-00</v>
          </cell>
          <cell r="F11937">
            <v>1465062185</v>
          </cell>
        </row>
        <row r="11938">
          <cell r="E11938" t="str">
            <v>LUC-E00-420057-01</v>
          </cell>
          <cell r="F11938">
            <v>1465062185</v>
          </cell>
        </row>
        <row r="11939">
          <cell r="E11939" t="str">
            <v>LUC-EZZ-420172-00</v>
          </cell>
          <cell r="F11939">
            <v>1465062185</v>
          </cell>
        </row>
        <row r="11940">
          <cell r="E11940" t="str">
            <v>LUC-EZZ-440176-00</v>
          </cell>
          <cell r="F11940">
            <v>1465062185</v>
          </cell>
        </row>
        <row r="11941">
          <cell r="E11941" t="str">
            <v>LUC-EZZ-450476-00</v>
          </cell>
          <cell r="F11941">
            <v>1465062185</v>
          </cell>
        </row>
        <row r="11942">
          <cell r="E11942" t="str">
            <v>LUC-E00-420057-00</v>
          </cell>
          <cell r="F11942">
            <v>1465062185</v>
          </cell>
        </row>
        <row r="11943">
          <cell r="E11943" t="str">
            <v>AGI-534-40006-01</v>
          </cell>
          <cell r="F11943">
            <v>1465062185</v>
          </cell>
        </row>
        <row r="11944">
          <cell r="E11944" t="str">
            <v>LUC-E00-400010-046</v>
          </cell>
          <cell r="F11944">
            <v>1465062185</v>
          </cell>
        </row>
        <row r="11945">
          <cell r="E11945" t="str">
            <v>AIC-MP-00006304-000</v>
          </cell>
          <cell r="F11945">
            <v>1465062185</v>
          </cell>
        </row>
        <row r="11946">
          <cell r="E11946" t="str">
            <v>LUC-E00-420054-05</v>
          </cell>
          <cell r="F11946">
            <v>1465062185</v>
          </cell>
        </row>
        <row r="11947">
          <cell r="E11947" t="str">
            <v>LUC-E00-400010-048</v>
          </cell>
          <cell r="F11947">
            <v>1465062185</v>
          </cell>
        </row>
        <row r="11948">
          <cell r="E11948" t="str">
            <v>LUC-EZZ-470464-00</v>
          </cell>
          <cell r="F11948">
            <v>1465062185</v>
          </cell>
        </row>
        <row r="11949">
          <cell r="E11949" t="str">
            <v>LUC-E00-450148-01</v>
          </cell>
          <cell r="F11949">
            <v>1465062185</v>
          </cell>
        </row>
        <row r="11950">
          <cell r="E11950" t="str">
            <v>LUC-E00-510028-00</v>
          </cell>
          <cell r="F11950">
            <v>1465062185</v>
          </cell>
        </row>
        <row r="11951">
          <cell r="E11951" t="str">
            <v>LUC-E00-450043-00</v>
          </cell>
          <cell r="F11951">
            <v>1465062185</v>
          </cell>
        </row>
        <row r="11952">
          <cell r="E11952" t="str">
            <v>LUC-E00-460015-01</v>
          </cell>
          <cell r="F11952">
            <v>1465062185</v>
          </cell>
        </row>
        <row r="11953">
          <cell r="E11953" t="str">
            <v>LUC-EZZ-420399-00</v>
          </cell>
          <cell r="F11953">
            <v>1465062185</v>
          </cell>
        </row>
        <row r="11954">
          <cell r="E11954" t="str">
            <v>LUC-EZZ-420399-00</v>
          </cell>
          <cell r="F11954">
            <v>1465062185</v>
          </cell>
        </row>
        <row r="11955">
          <cell r="E11955" t="str">
            <v>LUC-E00-450043-00</v>
          </cell>
          <cell r="F11955">
            <v>1465062185</v>
          </cell>
        </row>
        <row r="11956">
          <cell r="E11956" t="str">
            <v>LUC-E00-450043-00</v>
          </cell>
          <cell r="F11956">
            <v>1465062185</v>
          </cell>
        </row>
        <row r="11957">
          <cell r="E11957" t="str">
            <v>LUC-E00-470080-00</v>
          </cell>
          <cell r="F11957">
            <v>1465062185</v>
          </cell>
        </row>
        <row r="11958">
          <cell r="E11958" t="str">
            <v>LUC-E00-470080-00</v>
          </cell>
          <cell r="F11958">
            <v>1465062185</v>
          </cell>
        </row>
        <row r="11959">
          <cell r="E11959" t="str">
            <v>LUC-E00-400010-035</v>
          </cell>
          <cell r="F11959">
            <v>1465062185</v>
          </cell>
        </row>
        <row r="11960">
          <cell r="E11960" t="str">
            <v>LUC-EZZ-420002-00</v>
          </cell>
          <cell r="F11960">
            <v>1465062185</v>
          </cell>
        </row>
        <row r="11961">
          <cell r="E11961" t="str">
            <v>LUC-E00-450052-00</v>
          </cell>
          <cell r="F11961">
            <v>1465062185</v>
          </cell>
        </row>
        <row r="11962">
          <cell r="E11962" t="str">
            <v>LUC-E00-420241-00</v>
          </cell>
          <cell r="F11962">
            <v>1465062185</v>
          </cell>
        </row>
        <row r="11963">
          <cell r="E11963" t="str">
            <v>LUC-E00-510037-00</v>
          </cell>
          <cell r="F11963">
            <v>1465062185</v>
          </cell>
        </row>
        <row r="11964">
          <cell r="E11964" t="str">
            <v>LUC-EZZ-420046-00</v>
          </cell>
          <cell r="F11964">
            <v>1465062185</v>
          </cell>
        </row>
        <row r="11965">
          <cell r="E11965" t="str">
            <v>LUC-E00-450052-00</v>
          </cell>
          <cell r="F11965">
            <v>1465062185</v>
          </cell>
        </row>
        <row r="11966">
          <cell r="E11966" t="str">
            <v>LUC-E00-420241-00</v>
          </cell>
          <cell r="F11966">
            <v>1465062185</v>
          </cell>
        </row>
        <row r="11967">
          <cell r="E11967" t="str">
            <v>LUC-E00-450036-00</v>
          </cell>
          <cell r="F11967">
            <v>1465062185</v>
          </cell>
        </row>
        <row r="11968">
          <cell r="E11968" t="str">
            <v>LUC-E00-470379-00</v>
          </cell>
          <cell r="F11968">
            <v>1465062185</v>
          </cell>
        </row>
        <row r="11969">
          <cell r="E11969" t="str">
            <v>LUC-E00-470379-00</v>
          </cell>
          <cell r="F11969">
            <v>1465062185</v>
          </cell>
        </row>
        <row r="11970">
          <cell r="E11970" t="str">
            <v>LUC-EZZ-440042-00</v>
          </cell>
          <cell r="F11970">
            <v>1465062185</v>
          </cell>
        </row>
        <row r="11971">
          <cell r="E11971" t="str">
            <v>LUC-E00-470379-00</v>
          </cell>
          <cell r="F11971">
            <v>1465062185</v>
          </cell>
        </row>
        <row r="11972">
          <cell r="E11972" t="str">
            <v>LUC-E00-470379-00</v>
          </cell>
          <cell r="F11972">
            <v>1465062185</v>
          </cell>
        </row>
        <row r="11973">
          <cell r="E11973" t="str">
            <v>LUC-E00-420057-01</v>
          </cell>
          <cell r="F11973">
            <v>1465062185</v>
          </cell>
        </row>
        <row r="11974">
          <cell r="E11974" t="str">
            <v>LUC-EZZ-400226-00</v>
          </cell>
          <cell r="F11974">
            <v>1465062185</v>
          </cell>
        </row>
        <row r="11975">
          <cell r="E11975" t="str">
            <v>LUC-E00-420027-03</v>
          </cell>
          <cell r="F11975">
            <v>1465062185</v>
          </cell>
        </row>
        <row r="11976">
          <cell r="E11976" t="str">
            <v>LUC-E00-470265-00</v>
          </cell>
          <cell r="F11976">
            <v>1465062185</v>
          </cell>
        </row>
        <row r="11977">
          <cell r="E11977" t="str">
            <v>LUC-EZZ-420136-00</v>
          </cell>
          <cell r="F11977">
            <v>1465062185</v>
          </cell>
        </row>
        <row r="11978">
          <cell r="E11978" t="str">
            <v>LUC-EZZ-420399-00</v>
          </cell>
          <cell r="F11978">
            <v>1465062185</v>
          </cell>
        </row>
        <row r="11979">
          <cell r="E11979" t="str">
            <v>LUC-EZZ-480029-00</v>
          </cell>
          <cell r="F11979">
            <v>1465062185</v>
          </cell>
        </row>
        <row r="11980">
          <cell r="E11980" t="str">
            <v>LUC-EZZ-480029-00</v>
          </cell>
          <cell r="F11980">
            <v>1465062185</v>
          </cell>
        </row>
        <row r="11981">
          <cell r="E11981" t="str">
            <v>LUC-EZZ-420399-00</v>
          </cell>
          <cell r="F11981">
            <v>1465062185</v>
          </cell>
        </row>
        <row r="11982">
          <cell r="E11982" t="str">
            <v>LUC-EZZ-420399-00</v>
          </cell>
          <cell r="F11982">
            <v>1465062185</v>
          </cell>
        </row>
        <row r="11983">
          <cell r="E11983" t="str">
            <v>LUC-E00-400044-00</v>
          </cell>
          <cell r="F11983">
            <v>1465062185</v>
          </cell>
        </row>
        <row r="11984">
          <cell r="E11984" t="str">
            <v>LUC-EZZ-400606-00</v>
          </cell>
          <cell r="F11984">
            <v>1465062185</v>
          </cell>
        </row>
        <row r="11985">
          <cell r="E11985" t="str">
            <v>LUC-EZZ-400606-00</v>
          </cell>
          <cell r="F11985">
            <v>1465062185</v>
          </cell>
        </row>
        <row r="11986">
          <cell r="E11986" t="str">
            <v>LUC-EZZ-400606-00</v>
          </cell>
          <cell r="F11986">
            <v>1465062185</v>
          </cell>
        </row>
        <row r="11987">
          <cell r="E11987" t="str">
            <v>LUC-E00-470004-00</v>
          </cell>
          <cell r="F11987">
            <v>1465062185</v>
          </cell>
        </row>
        <row r="11988">
          <cell r="E11988" t="str">
            <v>LUC-E00-470009-00</v>
          </cell>
          <cell r="F11988">
            <v>1465062185</v>
          </cell>
        </row>
        <row r="11989">
          <cell r="E11989" t="str">
            <v>LUC-E00-470009-00</v>
          </cell>
          <cell r="F11989">
            <v>1465062185</v>
          </cell>
        </row>
        <row r="11990">
          <cell r="E11990" t="str">
            <v>LUC-E00-510041-00</v>
          </cell>
          <cell r="F11990">
            <v>1465062185</v>
          </cell>
        </row>
        <row r="11991">
          <cell r="E11991" t="str">
            <v>LUC-EZZ-450113-00</v>
          </cell>
          <cell r="F11991">
            <v>1465062185</v>
          </cell>
        </row>
        <row r="11992">
          <cell r="E11992" t="str">
            <v>LUC-EZZ-450113-00</v>
          </cell>
          <cell r="F11992">
            <v>1465062185</v>
          </cell>
        </row>
        <row r="11993">
          <cell r="E11993" t="str">
            <v>LUC-EZZ-420665-00</v>
          </cell>
          <cell r="F11993">
            <v>1465062185</v>
          </cell>
        </row>
        <row r="11994">
          <cell r="E11994" t="str">
            <v>LUC-E00-510084-00</v>
          </cell>
          <cell r="F11994">
            <v>1465062185</v>
          </cell>
        </row>
        <row r="11995">
          <cell r="E11995" t="str">
            <v>LUC-E00-450132-00</v>
          </cell>
          <cell r="F11995">
            <v>1465062185</v>
          </cell>
        </row>
        <row r="11996">
          <cell r="E11996" t="str">
            <v>LUC-E00-400010-032</v>
          </cell>
          <cell r="F11996">
            <v>1465062185</v>
          </cell>
        </row>
        <row r="11997">
          <cell r="E11997" t="str">
            <v>AIC-132-001527</v>
          </cell>
          <cell r="F11997">
            <v>1465062185</v>
          </cell>
        </row>
        <row r="11998">
          <cell r="E11998" t="str">
            <v>LUC-EZZ-420023-00</v>
          </cell>
          <cell r="F11998">
            <v>1465062185</v>
          </cell>
        </row>
        <row r="11999">
          <cell r="E11999" t="str">
            <v>LUC-EZZ-490310-04</v>
          </cell>
          <cell r="F11999">
            <v>1515994</v>
          </cell>
        </row>
        <row r="12000">
          <cell r="E12000" t="str">
            <v>PUR-11-0106-05</v>
          </cell>
          <cell r="F12000" t="str">
            <v>PSHPH2570097</v>
          </cell>
        </row>
        <row r="12001">
          <cell r="E12001" t="str">
            <v>HLOB-11-0106-05</v>
          </cell>
          <cell r="F12001" t="str">
            <v>PSHPH2570097</v>
          </cell>
        </row>
        <row r="12002">
          <cell r="E12002" t="str">
            <v>HLOB-11-0106-05</v>
          </cell>
          <cell r="F12002" t="str">
            <v>PSHPH2570097</v>
          </cell>
        </row>
        <row r="12003">
          <cell r="E12003" t="str">
            <v>HLOB-11-0106-05</v>
          </cell>
          <cell r="F12003" t="str">
            <v>PSHPH2570097</v>
          </cell>
        </row>
        <row r="12004">
          <cell r="E12004" t="str">
            <v>HLOB-11-0106-05</v>
          </cell>
          <cell r="F12004" t="str">
            <v>PSHPH2570097</v>
          </cell>
        </row>
        <row r="12005">
          <cell r="E12005" t="str">
            <v>PUR-11-0104-05</v>
          </cell>
          <cell r="F12005" t="str">
            <v>PSHPH2570097</v>
          </cell>
        </row>
        <row r="12006">
          <cell r="E12006" t="str">
            <v>PUR-11-0104-05</v>
          </cell>
          <cell r="F12006" t="str">
            <v>PSHPH2570097</v>
          </cell>
        </row>
        <row r="12007">
          <cell r="E12007" t="str">
            <v>PUR-11-0104-05</v>
          </cell>
          <cell r="F12007" t="str">
            <v>PSHPH2570097</v>
          </cell>
        </row>
        <row r="12008">
          <cell r="E12008" t="str">
            <v>PUR-11-0104-05</v>
          </cell>
          <cell r="F12008" t="str">
            <v>PSHPH2570097</v>
          </cell>
        </row>
        <row r="12009">
          <cell r="E12009" t="str">
            <v>PUR-11-0104-05</v>
          </cell>
          <cell r="F12009" t="str">
            <v>PSHPH2570097</v>
          </cell>
        </row>
        <row r="12010">
          <cell r="E12010" t="str">
            <v>PUR-11-0104-05</v>
          </cell>
          <cell r="F12010" t="str">
            <v>PSHPH2570097</v>
          </cell>
        </row>
        <row r="12011">
          <cell r="E12011" t="str">
            <v>PUR-11-0104-05</v>
          </cell>
          <cell r="F12011" t="str">
            <v>PSHPH2570097</v>
          </cell>
        </row>
        <row r="12012">
          <cell r="E12012" t="str">
            <v>PUR-11-0104-05</v>
          </cell>
          <cell r="F12012" t="str">
            <v>PSHPH2570097</v>
          </cell>
        </row>
        <row r="12013">
          <cell r="E12013" t="str">
            <v>LUC-E00-690033-00</v>
          </cell>
          <cell r="F12013" t="str">
            <v>LSHHPH2506217</v>
          </cell>
        </row>
        <row r="12014">
          <cell r="E12014" t="str">
            <v>LUC-E00-690033-00</v>
          </cell>
          <cell r="F12014" t="str">
            <v>LSHHPH2506217</v>
          </cell>
        </row>
        <row r="12015">
          <cell r="E12015" t="str">
            <v>LUC-E00-690033-01</v>
          </cell>
          <cell r="F12015" t="str">
            <v>LSHHPH2506217</v>
          </cell>
        </row>
        <row r="12016">
          <cell r="E12016" t="str">
            <v>LUC-E00-690033-01</v>
          </cell>
          <cell r="F12016" t="str">
            <v>LSHHPH2506217</v>
          </cell>
        </row>
        <row r="12017">
          <cell r="E12017" t="str">
            <v>LUC-P11-JA2100-00</v>
          </cell>
          <cell r="F12017" t="str">
            <v>LSHHPH2506179</v>
          </cell>
        </row>
        <row r="12018">
          <cell r="E12018" t="str">
            <v>LUC-P11-JA2100-00</v>
          </cell>
          <cell r="F12018" t="str">
            <v>LSHHPH2506179</v>
          </cell>
        </row>
        <row r="12019">
          <cell r="E12019" t="str">
            <v>LUC-EZZ-690131-00</v>
          </cell>
          <cell r="F12019">
            <v>4110326547</v>
          </cell>
        </row>
        <row r="12020">
          <cell r="E12020" t="str">
            <v>LUC-EZZ-690131-00</v>
          </cell>
          <cell r="F12020">
            <v>4110326550</v>
          </cell>
        </row>
        <row r="12021">
          <cell r="E12021" t="str">
            <v>LUC-EZZ-690244-00</v>
          </cell>
          <cell r="F12021" t="str">
            <v>TXGHPHK25713</v>
          </cell>
        </row>
        <row r="12022">
          <cell r="E12022" t="str">
            <v>LUC-EZZ-690942-00</v>
          </cell>
          <cell r="F12022" t="str">
            <v>TXGHPHK25713</v>
          </cell>
        </row>
        <row r="12023">
          <cell r="E12023" t="str">
            <v>LUC-EZZ-510199-00</v>
          </cell>
          <cell r="F12023" t="str">
            <v>TXGHPHK25713</v>
          </cell>
        </row>
        <row r="12024">
          <cell r="E12024" t="str">
            <v>LUC-EZZ-510052-00</v>
          </cell>
          <cell r="F12024" t="str">
            <v>TXGHPHK25713</v>
          </cell>
        </row>
        <row r="12025">
          <cell r="E12025" t="str">
            <v>LUC-EZZ-510052-00</v>
          </cell>
          <cell r="F12025" t="str">
            <v>TXGHPHK25713</v>
          </cell>
        </row>
        <row r="12026">
          <cell r="E12026" t="str">
            <v>LUC-EZZ-510052-00</v>
          </cell>
          <cell r="F12026" t="str">
            <v>TXGHPHK25713</v>
          </cell>
        </row>
        <row r="12027">
          <cell r="E12027" t="str">
            <v>LUC-EZZ-450019-00</v>
          </cell>
          <cell r="F12027" t="str">
            <v>TXGHPHK25713</v>
          </cell>
        </row>
        <row r="12028">
          <cell r="E12028" t="str">
            <v>LUC-EZZ-470239-00</v>
          </cell>
          <cell r="F12028" t="str">
            <v>TXGHPHK25713</v>
          </cell>
        </row>
        <row r="12029">
          <cell r="E12029" t="str">
            <v>LUC-P11-K41900-00</v>
          </cell>
          <cell r="F12029" t="str">
            <v>TXGHPHK25713</v>
          </cell>
        </row>
        <row r="12030">
          <cell r="E12030" t="str">
            <v>LUC-P11-K41900-00</v>
          </cell>
          <cell r="F12030" t="str">
            <v>TXGHPHK25713</v>
          </cell>
        </row>
        <row r="12031">
          <cell r="E12031" t="str">
            <v>LUC-P11-K41900-00</v>
          </cell>
          <cell r="F12031" t="str">
            <v>TXGHPHK25713</v>
          </cell>
        </row>
        <row r="12032">
          <cell r="E12032" t="str">
            <v>LUC-P11-K41900-00</v>
          </cell>
          <cell r="F12032" t="str">
            <v>TXGHPHK25713</v>
          </cell>
        </row>
        <row r="12033">
          <cell r="E12033" t="str">
            <v>LUC-P11-K41900-00</v>
          </cell>
          <cell r="F12033" t="str">
            <v>TXGHPHK25713</v>
          </cell>
        </row>
        <row r="12034">
          <cell r="E12034" t="str">
            <v>LUC-P11-K41900-00</v>
          </cell>
          <cell r="F12034" t="str">
            <v>TXGHPHK25713</v>
          </cell>
        </row>
        <row r="12035">
          <cell r="E12035" t="str">
            <v>LUC-P11-K41900-00</v>
          </cell>
          <cell r="F12035" t="str">
            <v>TXGHPHK25713</v>
          </cell>
        </row>
        <row r="12036">
          <cell r="E12036" t="str">
            <v>LUC-P11-K41900-00</v>
          </cell>
          <cell r="F12036" t="str">
            <v>TXGHPHK25713</v>
          </cell>
        </row>
        <row r="12037">
          <cell r="E12037" t="str">
            <v>LUC-P11-K41900-00</v>
          </cell>
          <cell r="F12037" t="str">
            <v>TXGHPHK25713</v>
          </cell>
        </row>
        <row r="12038">
          <cell r="E12038" t="str">
            <v>LUC-P11-K41A00-00</v>
          </cell>
          <cell r="F12038" t="str">
            <v>TXGHPHK25713</v>
          </cell>
        </row>
        <row r="12039">
          <cell r="E12039" t="str">
            <v>LUC-P11-K41A00-00</v>
          </cell>
          <cell r="F12039" t="str">
            <v>TXGHPHK25713</v>
          </cell>
        </row>
        <row r="12040">
          <cell r="E12040" t="str">
            <v>LUC-P11-K41A00-00</v>
          </cell>
          <cell r="F12040" t="str">
            <v>TXGHPHK25713</v>
          </cell>
        </row>
        <row r="12041">
          <cell r="E12041" t="str">
            <v>LUC-P11-K41A00-00</v>
          </cell>
          <cell r="F12041" t="str">
            <v>TXGHPHK25713</v>
          </cell>
        </row>
        <row r="12042">
          <cell r="E12042" t="str">
            <v>LUC-P11-K41A00-00</v>
          </cell>
          <cell r="F12042" t="str">
            <v>TXGHPHK25713</v>
          </cell>
        </row>
        <row r="12043">
          <cell r="E12043" t="str">
            <v>LUC-P11-K41A00-00</v>
          </cell>
          <cell r="F12043" t="str">
            <v>TXGHPHK25713</v>
          </cell>
        </row>
        <row r="12044">
          <cell r="E12044" t="str">
            <v>LUC-P11-K41A00-00</v>
          </cell>
          <cell r="F12044" t="str">
            <v>TXGHPHK25713</v>
          </cell>
        </row>
        <row r="12045">
          <cell r="E12045" t="str">
            <v>LUC-P11-K41A00-00</v>
          </cell>
          <cell r="F12045" t="str">
            <v>TXGHPHK25713</v>
          </cell>
        </row>
        <row r="12046">
          <cell r="E12046" t="str">
            <v>LUC-P11-K41A00-00</v>
          </cell>
          <cell r="F12046" t="str">
            <v>TXGHPHK25713</v>
          </cell>
        </row>
        <row r="12047">
          <cell r="E12047" t="str">
            <v>LUC-P11-K41A00-00</v>
          </cell>
          <cell r="F12047" t="str">
            <v>TXGHPHK25713</v>
          </cell>
        </row>
        <row r="12048">
          <cell r="E12048" t="str">
            <v>LUC-P11-K41A00-00</v>
          </cell>
          <cell r="F12048" t="str">
            <v>TXGHPHK25713</v>
          </cell>
        </row>
        <row r="12049">
          <cell r="E12049" t="str">
            <v>LUC-P11-K41A00-00</v>
          </cell>
          <cell r="F12049" t="str">
            <v>TXGHPHK25713</v>
          </cell>
        </row>
        <row r="12050">
          <cell r="E12050" t="str">
            <v>LUC-P11-K41A00-00</v>
          </cell>
          <cell r="F12050" t="str">
            <v>TXGHPHK25713</v>
          </cell>
        </row>
        <row r="12051">
          <cell r="E12051" t="str">
            <v>LUC-P11-K41A00-00</v>
          </cell>
          <cell r="F12051" t="str">
            <v>TXGHPHK25713</v>
          </cell>
        </row>
        <row r="12052">
          <cell r="E12052" t="str">
            <v>LUC-P11-K41A00-00</v>
          </cell>
          <cell r="F12052" t="str">
            <v>TXGHPHK25713</v>
          </cell>
        </row>
        <row r="12053">
          <cell r="E12053" t="str">
            <v>LUC-P11-K41A00-00</v>
          </cell>
          <cell r="F12053" t="str">
            <v>TXGHPHK25713</v>
          </cell>
        </row>
        <row r="12054">
          <cell r="E12054" t="str">
            <v>LUC-P11-K41A00-00</v>
          </cell>
          <cell r="F12054" t="str">
            <v>TXGHPHK25713</v>
          </cell>
        </row>
        <row r="12055">
          <cell r="E12055" t="str">
            <v>LUC-P11-K41A00-00</v>
          </cell>
          <cell r="F12055" t="str">
            <v>TXGHPHK25713</v>
          </cell>
        </row>
        <row r="12056">
          <cell r="E12056" t="str">
            <v>LUC-P11-K41A00-00</v>
          </cell>
          <cell r="F12056" t="str">
            <v>TXGHPHK25713</v>
          </cell>
        </row>
        <row r="12057">
          <cell r="E12057" t="str">
            <v>LUC-P11-K41A00-00</v>
          </cell>
          <cell r="F12057" t="str">
            <v>TXGHPHK25713</v>
          </cell>
        </row>
        <row r="12058">
          <cell r="E12058" t="str">
            <v>LUC-P11-K41B00-00</v>
          </cell>
          <cell r="F12058" t="str">
            <v>TXGHPHK25713</v>
          </cell>
        </row>
        <row r="12059">
          <cell r="E12059" t="str">
            <v>LUC-P11-K41B00-00</v>
          </cell>
          <cell r="F12059" t="str">
            <v>TXGHPHK25713</v>
          </cell>
        </row>
        <row r="12060">
          <cell r="E12060" t="str">
            <v>LUC-P11-K41B00-00</v>
          </cell>
          <cell r="F12060" t="str">
            <v>TXGHPHK25713</v>
          </cell>
        </row>
        <row r="12061">
          <cell r="E12061" t="str">
            <v>LUC-P11-K41B00-00</v>
          </cell>
          <cell r="F12061" t="str">
            <v>TXGHPHK25713</v>
          </cell>
        </row>
        <row r="12062">
          <cell r="E12062" t="str">
            <v>LUC-P11-K41B00-00</v>
          </cell>
          <cell r="F12062" t="str">
            <v>TXGHPHK25713</v>
          </cell>
        </row>
        <row r="12063">
          <cell r="E12063" t="str">
            <v>LUC-P11-K41B00-00</v>
          </cell>
          <cell r="F12063" t="str">
            <v>TXGHPHK25713</v>
          </cell>
        </row>
        <row r="12064">
          <cell r="E12064" t="str">
            <v>LUC-P11-K41B00-00</v>
          </cell>
          <cell r="F12064" t="str">
            <v>TXGHPHK25713</v>
          </cell>
        </row>
        <row r="12065">
          <cell r="E12065" t="str">
            <v>LUC-P11-K41B00-00</v>
          </cell>
          <cell r="F12065" t="str">
            <v>TXGHPHK25713</v>
          </cell>
        </row>
        <row r="12066">
          <cell r="E12066" t="str">
            <v>LUC-P11-K41B00-00</v>
          </cell>
          <cell r="F12066" t="str">
            <v>TXGHPHK25713</v>
          </cell>
        </row>
        <row r="12067">
          <cell r="E12067" t="str">
            <v>LUC-P11-K41B00-00</v>
          </cell>
          <cell r="F12067" t="str">
            <v>TXGHPHK25713</v>
          </cell>
        </row>
        <row r="12068">
          <cell r="E12068" t="str">
            <v>LUC-EZZ-510052-00</v>
          </cell>
          <cell r="F12068" t="str">
            <v>TXGHPHK25713</v>
          </cell>
        </row>
        <row r="12069">
          <cell r="E12069" t="str">
            <v>LUC-EZZ-510052-00</v>
          </cell>
          <cell r="F12069" t="str">
            <v>TXGHPHK25713</v>
          </cell>
        </row>
        <row r="12070">
          <cell r="E12070" t="str">
            <v>LUC-EZZ-400278-00</v>
          </cell>
          <cell r="F12070" t="str">
            <v>TXGHPHK25713</v>
          </cell>
        </row>
        <row r="12071">
          <cell r="E12071" t="str">
            <v>LUC-EZZ-450060-00</v>
          </cell>
          <cell r="F12071" t="str">
            <v>TXGHPHK25713</v>
          </cell>
        </row>
        <row r="12072">
          <cell r="E12072" t="str">
            <v>LUC-EZZ-450060-00</v>
          </cell>
          <cell r="F12072" t="str">
            <v>TXGHPHK25713</v>
          </cell>
        </row>
        <row r="12073">
          <cell r="E12073" t="str">
            <v>LUC-EZZ-450060-00</v>
          </cell>
          <cell r="F12073" t="str">
            <v>TXGHPHK25713</v>
          </cell>
        </row>
        <row r="12074">
          <cell r="E12074" t="str">
            <v>LUC-EZZ-420118-00</v>
          </cell>
          <cell r="F12074" t="str">
            <v>TXGHPHK25713</v>
          </cell>
        </row>
        <row r="12075">
          <cell r="E12075" t="str">
            <v>LUC-EZZ-420493-00</v>
          </cell>
          <cell r="F12075" t="str">
            <v>TXGHPHK25713</v>
          </cell>
        </row>
        <row r="12076">
          <cell r="E12076" t="str">
            <v>LUC-EZZ-420095-00</v>
          </cell>
          <cell r="F12076" t="str">
            <v>TXGHPHK25713</v>
          </cell>
        </row>
        <row r="12077">
          <cell r="E12077" t="str">
            <v>LUC-EZZ-510031-01</v>
          </cell>
          <cell r="F12077" t="str">
            <v>TXGHPHK25714</v>
          </cell>
        </row>
        <row r="12078">
          <cell r="E12078" t="str">
            <v>LUC-EZZ-450189-00</v>
          </cell>
          <cell r="F12078" t="str">
            <v>TXGHPHK25714</v>
          </cell>
        </row>
        <row r="12079">
          <cell r="E12079" t="str">
            <v>LUC-E00-470137-00</v>
          </cell>
          <cell r="F12079" t="str">
            <v>TXGHPHK25714</v>
          </cell>
        </row>
        <row r="12080">
          <cell r="E12080" t="str">
            <v>LUC-EZZ-520021-00</v>
          </cell>
          <cell r="F12080" t="str">
            <v>TXGHPHK25714</v>
          </cell>
        </row>
        <row r="12081">
          <cell r="E12081" t="str">
            <v>LUC-EZZ-470362-00</v>
          </cell>
          <cell r="F12081" t="str">
            <v>TXGHPHK25714</v>
          </cell>
        </row>
        <row r="12082">
          <cell r="E12082" t="str">
            <v>LUC-P00-F962DZ-00</v>
          </cell>
          <cell r="F12082" t="str">
            <v>TXGHPHK25714</v>
          </cell>
        </row>
        <row r="12083">
          <cell r="E12083" t="str">
            <v>HLOB-09-0343-00</v>
          </cell>
          <cell r="F12083">
            <v>470197898780</v>
          </cell>
        </row>
        <row r="12084">
          <cell r="E12084" t="str">
            <v>HLOB-09-0343-00</v>
          </cell>
          <cell r="F12084">
            <v>470197898780</v>
          </cell>
        </row>
        <row r="12085">
          <cell r="E12085" t="str">
            <v>LUC-EZZ-470844-00</v>
          </cell>
          <cell r="F12085">
            <v>882929878277</v>
          </cell>
        </row>
        <row r="12086">
          <cell r="E12086" t="str">
            <v>LUC-EZZ-470336-00</v>
          </cell>
          <cell r="F12086">
            <v>882929878277</v>
          </cell>
        </row>
        <row r="12087">
          <cell r="E12087" t="str">
            <v>EF-45094074</v>
          </cell>
          <cell r="F12087">
            <v>445170488954</v>
          </cell>
        </row>
        <row r="12088">
          <cell r="E12088" t="str">
            <v>LUC-EZZ-400206-00</v>
          </cell>
          <cell r="F12088">
            <v>445170489207</v>
          </cell>
        </row>
        <row r="12089">
          <cell r="E12089" t="str">
            <v>LUC-EZZ-400206-00</v>
          </cell>
          <cell r="F12089">
            <v>445170489218</v>
          </cell>
        </row>
        <row r="12090">
          <cell r="E12090" t="str">
            <v>110-000101</v>
          </cell>
          <cell r="F12090">
            <v>448135891271</v>
          </cell>
        </row>
        <row r="12091">
          <cell r="E12091" t="str">
            <v>LUC-E00-400023-000</v>
          </cell>
          <cell r="F12091">
            <v>448135891271</v>
          </cell>
        </row>
        <row r="12092">
          <cell r="E12092" t="str">
            <v>LUC-EZZ-540018-00</v>
          </cell>
          <cell r="F12092">
            <v>448135891271</v>
          </cell>
        </row>
        <row r="12093">
          <cell r="E12093" t="str">
            <v>AIC-MP-IC007399-S01</v>
          </cell>
          <cell r="F12093">
            <v>448135891271</v>
          </cell>
        </row>
        <row r="12094">
          <cell r="E12094" t="str">
            <v>133-000039</v>
          </cell>
          <cell r="F12094">
            <v>448135891271</v>
          </cell>
        </row>
        <row r="12095">
          <cell r="E12095" t="str">
            <v>126-000282</v>
          </cell>
          <cell r="F12095">
            <v>448135891271</v>
          </cell>
        </row>
        <row r="12096">
          <cell r="E12096" t="str">
            <v>AIC-MP-DE007118-S01</v>
          </cell>
          <cell r="F12096">
            <v>448135891271</v>
          </cell>
        </row>
        <row r="12097">
          <cell r="E12097" t="str">
            <v>AIC-123-001962</v>
          </cell>
          <cell r="F12097">
            <v>448135891271</v>
          </cell>
        </row>
        <row r="12098">
          <cell r="E12098" t="str">
            <v>AIC-109-001572</v>
          </cell>
          <cell r="F12098">
            <v>448135891271</v>
          </cell>
        </row>
        <row r="12099">
          <cell r="E12099" t="str">
            <v>AIC-121-006057</v>
          </cell>
          <cell r="F12099">
            <v>448135891271</v>
          </cell>
        </row>
        <row r="12100">
          <cell r="E12100" t="str">
            <v>AIC-121-006067</v>
          </cell>
          <cell r="F12100">
            <v>448135891271</v>
          </cell>
        </row>
        <row r="12101">
          <cell r="E12101" t="str">
            <v>AIC-124-002788</v>
          </cell>
          <cell r="F12101">
            <v>448135891271</v>
          </cell>
        </row>
        <row r="12102">
          <cell r="E12102" t="str">
            <v>AIC-MP-DE005147-S01</v>
          </cell>
          <cell r="F12102">
            <v>448135891271</v>
          </cell>
        </row>
        <row r="12103">
          <cell r="E12103" t="str">
            <v>AIC-120-012847</v>
          </cell>
          <cell r="F12103">
            <v>448135891271</v>
          </cell>
        </row>
        <row r="12104">
          <cell r="E12104" t="str">
            <v>AIC-168-001169</v>
          </cell>
          <cell r="F12104">
            <v>448135891271</v>
          </cell>
        </row>
        <row r="12105">
          <cell r="E12105" t="str">
            <v>LUC-EZZ-400239-00</v>
          </cell>
          <cell r="F12105">
            <v>470177650664</v>
          </cell>
        </row>
        <row r="12106">
          <cell r="E12106" t="str">
            <v>LUC-EZZ-400542-00</v>
          </cell>
          <cell r="F12106">
            <v>470177650664</v>
          </cell>
        </row>
        <row r="12107">
          <cell r="E12107" t="str">
            <v>AIC-168-001169</v>
          </cell>
          <cell r="F12107">
            <v>471487224010</v>
          </cell>
        </row>
        <row r="12108">
          <cell r="E12108" t="str">
            <v>LUC-EZZ-400005-00</v>
          </cell>
          <cell r="F12108">
            <v>679486508284</v>
          </cell>
        </row>
        <row r="12109">
          <cell r="E12109" t="str">
            <v>LUC-E00-470137-00</v>
          </cell>
          <cell r="F12109">
            <v>882882144418</v>
          </cell>
        </row>
        <row r="12110">
          <cell r="E12110" t="str">
            <v>122-000673.X.X</v>
          </cell>
          <cell r="F12110">
            <v>423264395121</v>
          </cell>
        </row>
        <row r="12111">
          <cell r="E12111" t="str">
            <v>EF-45125131</v>
          </cell>
          <cell r="F12111">
            <v>423264395121</v>
          </cell>
        </row>
        <row r="12112">
          <cell r="E12112" t="str">
            <v>EF-45041208.X.X</v>
          </cell>
          <cell r="F12112">
            <v>423264395121</v>
          </cell>
        </row>
        <row r="12113">
          <cell r="E12113" t="str">
            <v>121-000357.X.X</v>
          </cell>
          <cell r="F12113">
            <v>423264395121</v>
          </cell>
        </row>
        <row r="12114">
          <cell r="E12114" t="str">
            <v>EF-45105218.X.X</v>
          </cell>
          <cell r="F12114">
            <v>423264395121</v>
          </cell>
        </row>
        <row r="12115">
          <cell r="E12115" t="str">
            <v>121-000520.X.X</v>
          </cell>
          <cell r="F12115">
            <v>423264395121</v>
          </cell>
        </row>
        <row r="12116">
          <cell r="E12116" t="str">
            <v>LUC-EZZ-420257-00</v>
          </cell>
          <cell r="F12116">
            <v>423264395121</v>
          </cell>
        </row>
        <row r="12117">
          <cell r="E12117" t="str">
            <v>LUC-EZZ-420148-00</v>
          </cell>
          <cell r="F12117">
            <v>423264395121</v>
          </cell>
        </row>
        <row r="12118">
          <cell r="E12118" t="str">
            <v>LUC-E00-420027-02</v>
          </cell>
          <cell r="F12118">
            <v>423264395121</v>
          </cell>
        </row>
        <row r="12119">
          <cell r="E12119" t="str">
            <v>LUC-EZZ-420148-00</v>
          </cell>
          <cell r="F12119">
            <v>423264395121</v>
          </cell>
        </row>
        <row r="12120">
          <cell r="E12120" t="str">
            <v>LUC-EZZ-420257-00</v>
          </cell>
          <cell r="F12120">
            <v>423264395121</v>
          </cell>
        </row>
        <row r="12121">
          <cell r="E12121" t="str">
            <v>LUC-E00-420027-02</v>
          </cell>
          <cell r="F12121">
            <v>423264395121</v>
          </cell>
        </row>
        <row r="12122">
          <cell r="E12122" t="str">
            <v>LUC-E00-420037-01</v>
          </cell>
          <cell r="F12122">
            <v>423264395121</v>
          </cell>
        </row>
        <row r="12123">
          <cell r="E12123" t="str">
            <v>LUC-E00-420037-01</v>
          </cell>
          <cell r="F12123">
            <v>423264395121</v>
          </cell>
        </row>
        <row r="12124">
          <cell r="E12124" t="str">
            <v>LUC-EZZ-420257-00</v>
          </cell>
          <cell r="F12124">
            <v>423264395121</v>
          </cell>
        </row>
        <row r="12125">
          <cell r="E12125" t="str">
            <v>122-000886.X.X</v>
          </cell>
          <cell r="F12125">
            <v>423264395121</v>
          </cell>
        </row>
        <row r="12126">
          <cell r="E12126" t="str">
            <v>AIC-MP-00002249-000</v>
          </cell>
          <cell r="F12126">
            <v>423264395121</v>
          </cell>
        </row>
        <row r="12127">
          <cell r="E12127" t="str">
            <v>PUR-09-0267-00</v>
          </cell>
          <cell r="F12127">
            <v>446841139589</v>
          </cell>
        </row>
        <row r="12128">
          <cell r="E12128" t="str">
            <v>LUC-E00-690201-00</v>
          </cell>
          <cell r="F12128">
            <v>882923355068</v>
          </cell>
        </row>
        <row r="12129">
          <cell r="E12129" t="str">
            <v>LUC-E00-690201-00</v>
          </cell>
          <cell r="F12129">
            <v>882923355068</v>
          </cell>
        </row>
        <row r="12130">
          <cell r="E12130" t="str">
            <v>LUC-E00-690030-03</v>
          </cell>
          <cell r="F12130">
            <v>445170489571</v>
          </cell>
        </row>
        <row r="12131">
          <cell r="E12131" t="str">
            <v>PUR-03-0096-02</v>
          </cell>
          <cell r="F12131" t="str">
            <v>8TV6705</v>
          </cell>
        </row>
        <row r="12132">
          <cell r="E12132" t="str">
            <v>PUR-03-0099-03</v>
          </cell>
          <cell r="F12132" t="str">
            <v>8TV6706</v>
          </cell>
        </row>
        <row r="12133">
          <cell r="E12133" t="str">
            <v>PUR-03-0096-02</v>
          </cell>
          <cell r="F12133" t="str">
            <v>8TV6704</v>
          </cell>
        </row>
        <row r="12134">
          <cell r="E12134" t="str">
            <v>HLOB-17-0283-02</v>
          </cell>
          <cell r="F12134" t="str">
            <v>KNQ11</v>
          </cell>
        </row>
        <row r="12135">
          <cell r="E12135" t="str">
            <v>EF-45225702</v>
          </cell>
          <cell r="F12135">
            <v>426080013260</v>
          </cell>
        </row>
        <row r="12136">
          <cell r="E12136">
            <v>45126100</v>
          </cell>
          <cell r="F12136">
            <v>426080013260</v>
          </cell>
        </row>
        <row r="12137">
          <cell r="E12137">
            <v>45247007</v>
          </cell>
          <cell r="F12137">
            <v>426080013260</v>
          </cell>
        </row>
        <row r="12138">
          <cell r="E12138" t="str">
            <v>EF-45112739</v>
          </cell>
          <cell r="F12138">
            <v>426080013260</v>
          </cell>
        </row>
        <row r="12139">
          <cell r="E12139" t="str">
            <v>LUC-E00-510043-00-R</v>
          </cell>
          <cell r="F12139">
            <v>426080013260</v>
          </cell>
        </row>
        <row r="12140">
          <cell r="E12140" t="str">
            <v>EF-45114290</v>
          </cell>
          <cell r="F12140">
            <v>426080013260</v>
          </cell>
        </row>
        <row r="12141">
          <cell r="E12141" t="str">
            <v>PUR-12-0288-00</v>
          </cell>
          <cell r="F12141">
            <v>426080013260</v>
          </cell>
        </row>
        <row r="12142">
          <cell r="E12142" t="str">
            <v>PUR-31-0061-02</v>
          </cell>
          <cell r="F12142">
            <v>426080013260</v>
          </cell>
        </row>
        <row r="12143">
          <cell r="E12143" t="str">
            <v>LUC-E00-470175-00-R</v>
          </cell>
          <cell r="F12143">
            <v>426080013260</v>
          </cell>
        </row>
        <row r="12144">
          <cell r="E12144" t="str">
            <v>EF-45060149.X.X</v>
          </cell>
          <cell r="F12144">
            <v>426080013260</v>
          </cell>
        </row>
        <row r="12145">
          <cell r="E12145" t="str">
            <v>LUC-E00-400010-020</v>
          </cell>
          <cell r="F12145">
            <v>8266293490</v>
          </cell>
        </row>
        <row r="12146">
          <cell r="E12146" t="str">
            <v>LUC-E00-400025-01</v>
          </cell>
          <cell r="F12146">
            <v>8266293490</v>
          </cell>
        </row>
        <row r="12147">
          <cell r="E12147" t="str">
            <v>AIC-122-004436</v>
          </cell>
          <cell r="F12147">
            <v>8266293490</v>
          </cell>
        </row>
        <row r="12148">
          <cell r="E12148" t="str">
            <v>LUC-EZZ-400238-00</v>
          </cell>
          <cell r="F12148">
            <v>8266293490</v>
          </cell>
        </row>
        <row r="12149">
          <cell r="E12149" t="str">
            <v>AIC-122-004448</v>
          </cell>
          <cell r="F12149">
            <v>8266293490</v>
          </cell>
        </row>
        <row r="12150">
          <cell r="E12150" t="str">
            <v>EF-45064823.X.X</v>
          </cell>
          <cell r="F12150">
            <v>8266293490</v>
          </cell>
        </row>
        <row r="12151">
          <cell r="E12151" t="str">
            <v>LUC-EZZ-400245-00</v>
          </cell>
          <cell r="F12151">
            <v>8266293490</v>
          </cell>
        </row>
        <row r="12152">
          <cell r="E12152" t="str">
            <v>LUC-EZZ-400205-00</v>
          </cell>
          <cell r="F12152">
            <v>8266293490</v>
          </cell>
        </row>
        <row r="12153">
          <cell r="E12153" t="str">
            <v>LUC-EZZ-400588-00</v>
          </cell>
          <cell r="F12153">
            <v>8266293490</v>
          </cell>
        </row>
        <row r="12154">
          <cell r="E12154" t="str">
            <v>LUC-EZZ-400592-00</v>
          </cell>
          <cell r="F12154">
            <v>8266293490</v>
          </cell>
        </row>
        <row r="12155">
          <cell r="E12155" t="str">
            <v>LUC-EZZ-400595-00</v>
          </cell>
          <cell r="F12155">
            <v>8266293490</v>
          </cell>
        </row>
        <row r="12156">
          <cell r="E12156" t="str">
            <v>LUC-EZZ-421298-00</v>
          </cell>
          <cell r="F12156">
            <v>8266293490</v>
          </cell>
        </row>
        <row r="12157">
          <cell r="E12157" t="str">
            <v>LUC-EZZ-400629-00</v>
          </cell>
          <cell r="F12157">
            <v>8266293490</v>
          </cell>
        </row>
        <row r="12158">
          <cell r="E12158" t="str">
            <v>LUC-E00-470024-00</v>
          </cell>
          <cell r="F12158">
            <v>4110326548</v>
          </cell>
        </row>
        <row r="12159">
          <cell r="E12159" t="str">
            <v>LUC-E00-470024-00</v>
          </cell>
          <cell r="F12159">
            <v>4110326549</v>
          </cell>
        </row>
        <row r="12160">
          <cell r="E12160" t="str">
            <v>LUC-EZZ-690131-00</v>
          </cell>
          <cell r="F12160">
            <v>4110326551</v>
          </cell>
        </row>
        <row r="12161">
          <cell r="E12161" t="str">
            <v>HLOB-12-0284-00</v>
          </cell>
          <cell r="F12161">
            <v>883018633330</v>
          </cell>
        </row>
        <row r="12162">
          <cell r="E12162" t="str">
            <v>LUC-E00-450046-00</v>
          </cell>
          <cell r="F12162">
            <v>883018633330</v>
          </cell>
        </row>
        <row r="12163">
          <cell r="E12163" t="str">
            <v>LUC-E00-450046-00</v>
          </cell>
          <cell r="F12163">
            <v>883018633330</v>
          </cell>
        </row>
        <row r="12164">
          <cell r="E12164" t="str">
            <v>LUC-E00-450046-00</v>
          </cell>
          <cell r="F12164">
            <v>883018633330</v>
          </cell>
        </row>
        <row r="12165">
          <cell r="E12165" t="str">
            <v>LUC-E00-420184-00</v>
          </cell>
          <cell r="F12165">
            <v>883018633330</v>
          </cell>
        </row>
        <row r="12166">
          <cell r="E12166" t="str">
            <v>EF-45083316.X.X</v>
          </cell>
          <cell r="F12166">
            <v>883018633330</v>
          </cell>
        </row>
        <row r="12167">
          <cell r="E12167" t="str">
            <v>AIC-121-005915</v>
          </cell>
          <cell r="F12167">
            <v>883018633330</v>
          </cell>
        </row>
        <row r="12168">
          <cell r="E12168" t="str">
            <v>AIC-122-004449</v>
          </cell>
          <cell r="F12168">
            <v>883018633330</v>
          </cell>
        </row>
        <row r="12169">
          <cell r="E12169" t="str">
            <v>AIC-121-005912</v>
          </cell>
          <cell r="F12169">
            <v>883018633330</v>
          </cell>
        </row>
        <row r="12170">
          <cell r="E12170" t="str">
            <v>AIC-MP-00000277-000</v>
          </cell>
          <cell r="F12170">
            <v>883018633330</v>
          </cell>
        </row>
        <row r="12171">
          <cell r="E12171" t="str">
            <v>AIC-MP-00000278-000</v>
          </cell>
          <cell r="F12171">
            <v>883018633330</v>
          </cell>
        </row>
        <row r="12172">
          <cell r="E12172" t="str">
            <v>EF-45037930.X.X</v>
          </cell>
          <cell r="F12172">
            <v>883018633330</v>
          </cell>
        </row>
        <row r="12173">
          <cell r="E12173" t="str">
            <v>AIC-121-006065</v>
          </cell>
          <cell r="F12173">
            <v>883018633330</v>
          </cell>
        </row>
        <row r="12174">
          <cell r="E12174" t="str">
            <v>PUR-12-0271-00</v>
          </cell>
          <cell r="F12174">
            <v>883023017450</v>
          </cell>
        </row>
        <row r="12175">
          <cell r="E12175" t="str">
            <v>PUR-12-0293-00</v>
          </cell>
          <cell r="F12175">
            <v>883023017450</v>
          </cell>
        </row>
        <row r="12176">
          <cell r="E12176" t="str">
            <v>HLOB-12-0460-00</v>
          </cell>
          <cell r="F12176">
            <v>883023017450</v>
          </cell>
        </row>
        <row r="12177">
          <cell r="E12177" t="str">
            <v>LUC-EZZ-440022-00</v>
          </cell>
          <cell r="F12177">
            <v>883023017450</v>
          </cell>
        </row>
        <row r="12178">
          <cell r="E12178" t="str">
            <v>LUC-EZZ-440022-00</v>
          </cell>
          <cell r="F12178">
            <v>883023017450</v>
          </cell>
        </row>
        <row r="12179">
          <cell r="E12179" t="str">
            <v>LUC-EZZ-440022-00</v>
          </cell>
          <cell r="F12179">
            <v>883023017450</v>
          </cell>
        </row>
        <row r="12180">
          <cell r="E12180" t="str">
            <v>PUR-12-0328-00</v>
          </cell>
          <cell r="F12180">
            <v>883023017450</v>
          </cell>
        </row>
        <row r="12181">
          <cell r="E12181" t="str">
            <v>PUR-12-0317-00</v>
          </cell>
          <cell r="F12181">
            <v>883023017450</v>
          </cell>
        </row>
        <row r="12182">
          <cell r="E12182" t="str">
            <v>PUR-12-0331-00</v>
          </cell>
          <cell r="F12182">
            <v>883023017450</v>
          </cell>
        </row>
        <row r="12183">
          <cell r="E12183" t="str">
            <v>AIC-MP-00000207-000</v>
          </cell>
          <cell r="F12183">
            <v>882957034688</v>
          </cell>
        </row>
        <row r="12184">
          <cell r="E12184" t="str">
            <v>LUC-E00-400010-034</v>
          </cell>
          <cell r="F12184">
            <v>882957034688</v>
          </cell>
        </row>
        <row r="12185">
          <cell r="E12185" t="str">
            <v>LUC-E00-470085-00</v>
          </cell>
          <cell r="F12185">
            <v>882957034688</v>
          </cell>
        </row>
        <row r="12186">
          <cell r="E12186" t="str">
            <v>LUC-E00-400010-034</v>
          </cell>
          <cell r="F12186">
            <v>882957034688</v>
          </cell>
        </row>
        <row r="12187">
          <cell r="E12187" t="str">
            <v>LUC-E00-420056-02</v>
          </cell>
          <cell r="F12187">
            <v>882957034688</v>
          </cell>
        </row>
        <row r="12188">
          <cell r="E12188" t="str">
            <v>LUC-E00-420028-00</v>
          </cell>
          <cell r="F12188">
            <v>882957034688</v>
          </cell>
        </row>
        <row r="12189">
          <cell r="E12189" t="str">
            <v>LUC-E00-420238-00</v>
          </cell>
          <cell r="F12189">
            <v>882957034688</v>
          </cell>
        </row>
        <row r="12190">
          <cell r="E12190" t="str">
            <v>EF-45118972</v>
          </cell>
          <cell r="F12190">
            <v>882957034688</v>
          </cell>
        </row>
        <row r="12191">
          <cell r="E12191" t="str">
            <v>LUC-E00-690030-03</v>
          </cell>
          <cell r="F12191">
            <v>471588722801</v>
          </cell>
        </row>
        <row r="12192">
          <cell r="E12192" t="str">
            <v>LUC-E00-690030-03</v>
          </cell>
          <cell r="F12192">
            <v>471588722801</v>
          </cell>
        </row>
        <row r="12193">
          <cell r="E12193" t="str">
            <v>HLOB-09-0477-00</v>
          </cell>
          <cell r="F12193">
            <v>445170492394</v>
          </cell>
        </row>
        <row r="12194">
          <cell r="E12194" t="str">
            <v>HLOB-09-0213-00</v>
          </cell>
          <cell r="F12194">
            <v>445170492567</v>
          </cell>
        </row>
        <row r="12195">
          <cell r="E12195" t="str">
            <v>102-000458</v>
          </cell>
          <cell r="F12195">
            <v>882988998855</v>
          </cell>
        </row>
        <row r="12196">
          <cell r="E12196" t="str">
            <v>HLOB-14-0086-00</v>
          </cell>
          <cell r="F12196">
            <v>471588722915</v>
          </cell>
        </row>
        <row r="12197">
          <cell r="E12197" t="str">
            <v>HLOB-09-0434-00</v>
          </cell>
          <cell r="F12197">
            <v>471588732099</v>
          </cell>
        </row>
        <row r="12198">
          <cell r="E12198" t="str">
            <v>LUC-EZZ-470433-00</v>
          </cell>
          <cell r="F12198">
            <v>471588732099</v>
          </cell>
        </row>
        <row r="12199">
          <cell r="E12199" t="str">
            <v>LUC-EZZ-440127-00</v>
          </cell>
          <cell r="F12199">
            <v>471588732099</v>
          </cell>
        </row>
        <row r="12200">
          <cell r="E12200" t="str">
            <v>LUC-E00-400010-014</v>
          </cell>
          <cell r="F12200">
            <v>471588732099</v>
          </cell>
        </row>
        <row r="12201">
          <cell r="E12201" t="str">
            <v>LUC-E00-460015-00</v>
          </cell>
          <cell r="F12201">
            <v>471588732099</v>
          </cell>
        </row>
        <row r="12202">
          <cell r="E12202" t="str">
            <v>LUC-EZZ-440204-00</v>
          </cell>
          <cell r="F12202">
            <v>471588732099</v>
          </cell>
        </row>
        <row r="12203">
          <cell r="E12203" t="str">
            <v>LUC-E00-460015-00</v>
          </cell>
          <cell r="F12203">
            <v>471588732099</v>
          </cell>
        </row>
        <row r="12204">
          <cell r="E12204" t="str">
            <v>LUC-EZZ-440204-00</v>
          </cell>
          <cell r="F12204">
            <v>471588732099</v>
          </cell>
        </row>
        <row r="12205">
          <cell r="E12205" t="str">
            <v>LUC-EZZ-400592-00</v>
          </cell>
          <cell r="F12205">
            <v>471588732099</v>
          </cell>
        </row>
        <row r="12206">
          <cell r="E12206" t="str">
            <v>AIC-MP-00007163-000</v>
          </cell>
          <cell r="F12206">
            <v>471588732099</v>
          </cell>
        </row>
        <row r="12207">
          <cell r="E12207" t="str">
            <v>LUC-EZZ-400766-00</v>
          </cell>
          <cell r="F12207">
            <v>471588732099</v>
          </cell>
        </row>
        <row r="12208">
          <cell r="E12208" t="str">
            <v>LUC-P21-KA3200-00</v>
          </cell>
          <cell r="F12208">
            <v>456450726204</v>
          </cell>
        </row>
        <row r="12209">
          <cell r="E12209" t="str">
            <v>AIC-MP-00000937-000</v>
          </cell>
          <cell r="F12209">
            <v>882955468180</v>
          </cell>
        </row>
        <row r="12210">
          <cell r="E12210" t="str">
            <v>123-001865</v>
          </cell>
          <cell r="F12210">
            <v>882988411275</v>
          </cell>
        </row>
        <row r="12211">
          <cell r="E12211" t="str">
            <v>123-001866</v>
          </cell>
          <cell r="F12211">
            <v>882988411275</v>
          </cell>
        </row>
        <row r="12212">
          <cell r="E12212" t="str">
            <v>LUC-EZZ-690708-00</v>
          </cell>
          <cell r="F12212">
            <v>456450726616</v>
          </cell>
        </row>
        <row r="12213">
          <cell r="E12213" t="str">
            <v>HLOB-03-0038-00</v>
          </cell>
          <cell r="F12213">
            <v>446841146580</v>
          </cell>
        </row>
        <row r="12214">
          <cell r="E12214" t="str">
            <v>HLOB-03-0038-00</v>
          </cell>
          <cell r="F12214">
            <v>446841154751</v>
          </cell>
        </row>
        <row r="12215">
          <cell r="E12215" t="str">
            <v>HLOB-03-0038-00</v>
          </cell>
          <cell r="F12215">
            <v>446841172213</v>
          </cell>
        </row>
        <row r="12216">
          <cell r="E12216" t="str">
            <v>LUC-EZZ-490201-07</v>
          </cell>
          <cell r="F12216" t="str">
            <v>ST25071732</v>
          </cell>
        </row>
        <row r="12217">
          <cell r="E12217" t="str">
            <v>LUC-EZZ-490201-07</v>
          </cell>
          <cell r="F12217" t="str">
            <v>ST25071732</v>
          </cell>
        </row>
        <row r="12218">
          <cell r="E12218" t="str">
            <v>HLOB-03-0113-00</v>
          </cell>
          <cell r="F12218" t="str">
            <v>8TV6720</v>
          </cell>
        </row>
        <row r="12219">
          <cell r="E12219" t="str">
            <v>HLOB-03-0113-00</v>
          </cell>
          <cell r="F12219" t="str">
            <v>8TV6721</v>
          </cell>
        </row>
        <row r="12220">
          <cell r="E12220" t="str">
            <v>LUC-EZZ-420536-00</v>
          </cell>
          <cell r="F12220">
            <v>8266294223</v>
          </cell>
        </row>
        <row r="12221">
          <cell r="E12221" t="str">
            <v>LUC-E00-400192-00</v>
          </cell>
          <cell r="F12221">
            <v>8266294223</v>
          </cell>
        </row>
        <row r="12222">
          <cell r="E12222" t="str">
            <v>LUC-EZZ-690942-00</v>
          </cell>
          <cell r="F12222">
            <v>4110326726</v>
          </cell>
        </row>
        <row r="12223">
          <cell r="E12223" t="str">
            <v>LUC-EZZ-691595-00</v>
          </cell>
          <cell r="F12223">
            <v>4110326741</v>
          </cell>
        </row>
        <row r="12224">
          <cell r="E12224" t="str">
            <v>LUC-EZZ-400244-00</v>
          </cell>
          <cell r="F12224">
            <v>412069751692</v>
          </cell>
        </row>
        <row r="12225">
          <cell r="E12225" t="str">
            <v>LUC-P11-K41C00-00</v>
          </cell>
          <cell r="F12225">
            <v>471117857919</v>
          </cell>
        </row>
        <row r="12226">
          <cell r="E12226" t="str">
            <v>PUR-03-0074-02</v>
          </cell>
          <cell r="F12226" t="str">
            <v>8TV6722</v>
          </cell>
        </row>
        <row r="12227">
          <cell r="E12227" t="str">
            <v>PUR-03-0092-03</v>
          </cell>
          <cell r="F12227" t="str">
            <v>8TV6722</v>
          </cell>
        </row>
        <row r="12228">
          <cell r="E12228" t="str">
            <v>PUR-03-0092-03</v>
          </cell>
          <cell r="F12228" t="str">
            <v>8TV6724</v>
          </cell>
        </row>
        <row r="12229">
          <cell r="E12229" t="str">
            <v>PUR-03-0092-03</v>
          </cell>
          <cell r="F12229" t="str">
            <v>8TV6723</v>
          </cell>
        </row>
        <row r="12230">
          <cell r="E12230" t="str">
            <v>PUR-03-0092-03</v>
          </cell>
          <cell r="F12230" t="str">
            <v>8TV6725</v>
          </cell>
        </row>
        <row r="12231">
          <cell r="E12231" t="str">
            <v>PUR-03-0092-03</v>
          </cell>
          <cell r="F12231" t="str">
            <v>8TV6726</v>
          </cell>
        </row>
        <row r="12232">
          <cell r="E12232" t="str">
            <v>PUR-03-0092-03</v>
          </cell>
          <cell r="F12232" t="str">
            <v>8TV6727</v>
          </cell>
        </row>
        <row r="12233">
          <cell r="E12233" t="str">
            <v>HLOB-03-0114-00</v>
          </cell>
          <cell r="F12233" t="str">
            <v>8TV6758</v>
          </cell>
        </row>
        <row r="12234">
          <cell r="E12234" t="str">
            <v>AIC-111-001502</v>
          </cell>
          <cell r="F12234">
            <v>883053922398</v>
          </cell>
        </row>
        <row r="12235">
          <cell r="E12235" t="str">
            <v>AIC-MP-00000207-000</v>
          </cell>
          <cell r="F12235">
            <v>883053922398</v>
          </cell>
        </row>
        <row r="12236">
          <cell r="E12236" t="str">
            <v>120-010522</v>
          </cell>
          <cell r="F12236">
            <v>883053922398</v>
          </cell>
        </row>
        <row r="12237">
          <cell r="E12237" t="str">
            <v>AIC-MP-00000882-000</v>
          </cell>
          <cell r="F12237">
            <v>883053922398</v>
          </cell>
        </row>
        <row r="12238">
          <cell r="E12238" t="str">
            <v>LUC-E00-440154-00</v>
          </cell>
          <cell r="F12238">
            <v>883053922398</v>
          </cell>
        </row>
        <row r="12239">
          <cell r="E12239" t="str">
            <v>LUC-EZZ-470336-00</v>
          </cell>
          <cell r="F12239">
            <v>883053922398</v>
          </cell>
        </row>
        <row r="12240">
          <cell r="E12240" t="str">
            <v>AIC-123-001935</v>
          </cell>
          <cell r="F12240">
            <v>883053922398</v>
          </cell>
        </row>
        <row r="12241">
          <cell r="E12241" t="str">
            <v>AIC-126-002388</v>
          </cell>
          <cell r="F12241">
            <v>391275689843</v>
          </cell>
        </row>
        <row r="12242">
          <cell r="E12242" t="str">
            <v>LUC-E00-470079-00</v>
          </cell>
          <cell r="F12242">
            <v>391275689843</v>
          </cell>
        </row>
        <row r="12243">
          <cell r="E12243" t="str">
            <v>AIC-MP-ID007394-S01</v>
          </cell>
          <cell r="F12243">
            <v>882991696666</v>
          </cell>
        </row>
        <row r="12244">
          <cell r="E12244" t="str">
            <v>LUC-P11-JA3200-00</v>
          </cell>
          <cell r="F12244">
            <v>883055235439</v>
          </cell>
        </row>
        <row r="12245">
          <cell r="E12245" t="str">
            <v>132-001545</v>
          </cell>
          <cell r="F12245">
            <v>883043808780</v>
          </cell>
        </row>
        <row r="12246">
          <cell r="E12246" t="str">
            <v>HLOB-11-0104-06</v>
          </cell>
          <cell r="F12246">
            <v>883050600628</v>
          </cell>
        </row>
        <row r="12247">
          <cell r="E12247" t="str">
            <v>HLOB-11-0104-06</v>
          </cell>
          <cell r="F12247">
            <v>883050600628</v>
          </cell>
        </row>
        <row r="12248">
          <cell r="E12248" t="str">
            <v>LUC-P11-KA6000-04</v>
          </cell>
          <cell r="F12248" t="str">
            <v>LSHHPH2506368</v>
          </cell>
        </row>
        <row r="12249">
          <cell r="E12249" t="str">
            <v>LUC-P11-J36100-03</v>
          </cell>
          <cell r="F12249">
            <v>4914928080</v>
          </cell>
        </row>
        <row r="12250">
          <cell r="E12250" t="str">
            <v>LUC-P11-J5R000-05</v>
          </cell>
          <cell r="F12250">
            <v>4914928080</v>
          </cell>
        </row>
        <row r="12251">
          <cell r="E12251" t="str">
            <v>LUC-P11-J5R000-05</v>
          </cell>
          <cell r="F12251">
            <v>4914928080</v>
          </cell>
        </row>
        <row r="12252">
          <cell r="E12252" t="str">
            <v>LUC-P11-K34000-03</v>
          </cell>
          <cell r="F12252">
            <v>4914928080</v>
          </cell>
        </row>
        <row r="12253">
          <cell r="E12253" t="str">
            <v>LUC-P11-K33800-04</v>
          </cell>
          <cell r="F12253">
            <v>4914928080</v>
          </cell>
        </row>
        <row r="12254">
          <cell r="E12254" t="str">
            <v>LUC-P11-L1AU00-02</v>
          </cell>
          <cell r="F12254" t="str">
            <v>LSHHPH2506361</v>
          </cell>
        </row>
        <row r="12255">
          <cell r="E12255" t="str">
            <v>LUC-P11-K41B00-00</v>
          </cell>
          <cell r="F12255">
            <v>471888616238</v>
          </cell>
        </row>
        <row r="12256">
          <cell r="E12256" t="str">
            <v>LUC-P11-K41A00-00</v>
          </cell>
          <cell r="F12256">
            <v>471888616238</v>
          </cell>
        </row>
        <row r="12257">
          <cell r="E12257" t="str">
            <v>LUC-P11-K41A00-00</v>
          </cell>
          <cell r="F12257">
            <v>471888642886</v>
          </cell>
        </row>
        <row r="12258">
          <cell r="E12258" t="str">
            <v>HLOB-07-0328-00</v>
          </cell>
          <cell r="F12258">
            <v>4914912343</v>
          </cell>
        </row>
        <row r="12259">
          <cell r="E12259" t="str">
            <v>HLOB-07-0328-00</v>
          </cell>
          <cell r="F12259">
            <v>4914912343</v>
          </cell>
        </row>
        <row r="12260">
          <cell r="E12260" t="str">
            <v>HLOB-07-0167-00</v>
          </cell>
          <cell r="F12260">
            <v>4914912343</v>
          </cell>
        </row>
        <row r="12261">
          <cell r="E12261" t="str">
            <v>HLOB-07-0167-00</v>
          </cell>
          <cell r="F12261">
            <v>4914912343</v>
          </cell>
        </row>
        <row r="12262">
          <cell r="E12262" t="str">
            <v>HLOB-07-0167-00</v>
          </cell>
          <cell r="F12262">
            <v>4914912343</v>
          </cell>
        </row>
        <row r="12263">
          <cell r="E12263" t="str">
            <v>HLOB-07-0328-00</v>
          </cell>
          <cell r="F12263">
            <v>4914912343</v>
          </cell>
        </row>
        <row r="12264">
          <cell r="E12264" t="str">
            <v>HLOB-07-0328-00</v>
          </cell>
          <cell r="F12264">
            <v>4914912343</v>
          </cell>
        </row>
        <row r="12265">
          <cell r="E12265" t="str">
            <v>HLOB-07-0328-00</v>
          </cell>
          <cell r="F12265">
            <v>4914912343</v>
          </cell>
        </row>
        <row r="12266">
          <cell r="E12266" t="str">
            <v>HLOB-07-0328-00</v>
          </cell>
          <cell r="F12266">
            <v>4914912343</v>
          </cell>
        </row>
        <row r="12267">
          <cell r="E12267" t="str">
            <v>HLOB-07-0328-00</v>
          </cell>
          <cell r="F12267">
            <v>4914912343</v>
          </cell>
        </row>
        <row r="12268">
          <cell r="E12268" t="str">
            <v>HLOB-07-0328-00</v>
          </cell>
          <cell r="F12268">
            <v>4914912343</v>
          </cell>
        </row>
        <row r="12269">
          <cell r="E12269" t="str">
            <v>HLOB-07-0328-00</v>
          </cell>
          <cell r="F12269">
            <v>4914912343</v>
          </cell>
        </row>
        <row r="12270">
          <cell r="E12270" t="str">
            <v>PUR-07-0210-00</v>
          </cell>
          <cell r="F12270">
            <v>4914912343</v>
          </cell>
        </row>
        <row r="12271">
          <cell r="E12271" t="str">
            <v>HLOB-12-0468-00</v>
          </cell>
          <cell r="F12271">
            <v>3455761540</v>
          </cell>
        </row>
        <row r="12272">
          <cell r="E12272" t="str">
            <v>AIC-MP-00000271-000</v>
          </cell>
          <cell r="F12272">
            <v>3455761540</v>
          </cell>
        </row>
        <row r="12273">
          <cell r="E12273" t="str">
            <v>PUR-14-0103-00</v>
          </cell>
          <cell r="F12273">
            <v>3455761540</v>
          </cell>
        </row>
        <row r="12274">
          <cell r="E12274" t="str">
            <v>PUR-12-0408-00</v>
          </cell>
          <cell r="F12274">
            <v>3455761540</v>
          </cell>
        </row>
        <row r="12275">
          <cell r="E12275" t="str">
            <v>PUR-12-0408-00</v>
          </cell>
          <cell r="F12275">
            <v>3455761540</v>
          </cell>
        </row>
        <row r="12276">
          <cell r="E12276" t="str">
            <v>HLOB-24-0002-00</v>
          </cell>
          <cell r="F12276">
            <v>3455761540</v>
          </cell>
        </row>
        <row r="12277">
          <cell r="E12277" t="str">
            <v>LUC-E00-470074-01</v>
          </cell>
          <cell r="F12277">
            <v>3455761540</v>
          </cell>
        </row>
        <row r="12278">
          <cell r="E12278" t="str">
            <v>HLOB-09-0444-00</v>
          </cell>
          <cell r="F12278">
            <v>3455761540</v>
          </cell>
        </row>
        <row r="12279">
          <cell r="E12279" t="str">
            <v>LUC-EZZ-510200-00</v>
          </cell>
          <cell r="F12279">
            <v>3455761540</v>
          </cell>
        </row>
        <row r="12280">
          <cell r="E12280" t="str">
            <v>AGI-532-40014-01</v>
          </cell>
          <cell r="F12280">
            <v>3455761540</v>
          </cell>
        </row>
        <row r="12281">
          <cell r="E12281" t="str">
            <v>AGI-532-40016-01</v>
          </cell>
          <cell r="F12281">
            <v>3455761540</v>
          </cell>
        </row>
        <row r="12282">
          <cell r="E12282" t="str">
            <v>LUC-E00-460009-00</v>
          </cell>
          <cell r="F12282">
            <v>3455761680</v>
          </cell>
        </row>
        <row r="12283">
          <cell r="E12283" t="str">
            <v>LUC-P11-K18000-00</v>
          </cell>
          <cell r="F12283">
            <v>3455761680</v>
          </cell>
        </row>
        <row r="12284">
          <cell r="E12284" t="str">
            <v>LUC-E00-460009-00</v>
          </cell>
          <cell r="F12284">
            <v>3455761680</v>
          </cell>
        </row>
        <row r="12285">
          <cell r="E12285" t="str">
            <v>LUC-E00-460009-00</v>
          </cell>
          <cell r="F12285">
            <v>3455761680</v>
          </cell>
        </row>
        <row r="12286">
          <cell r="E12286" t="str">
            <v>LUC-E00-460009-00</v>
          </cell>
          <cell r="F12286">
            <v>3455761680</v>
          </cell>
        </row>
        <row r="12287">
          <cell r="E12287" t="str">
            <v>EF-45139770</v>
          </cell>
          <cell r="F12287">
            <v>3455761680</v>
          </cell>
        </row>
        <row r="12288">
          <cell r="E12288" t="str">
            <v>LUC-E00-400069-00</v>
          </cell>
          <cell r="F12288">
            <v>3455761680</v>
          </cell>
        </row>
        <row r="12289">
          <cell r="E12289" t="str">
            <v>LUC-E00-400069-00</v>
          </cell>
          <cell r="F12289">
            <v>3455761680</v>
          </cell>
        </row>
        <row r="12290">
          <cell r="E12290" t="str">
            <v>LUC-EZZ-540018-00</v>
          </cell>
          <cell r="F12290">
            <v>3455761680</v>
          </cell>
        </row>
        <row r="12291">
          <cell r="E12291" t="str">
            <v>LUC-EZZ-540018-00</v>
          </cell>
          <cell r="F12291">
            <v>3455761680</v>
          </cell>
        </row>
        <row r="12292">
          <cell r="E12292" t="str">
            <v>HLOB-21-0036-00</v>
          </cell>
          <cell r="F12292">
            <v>3455761680</v>
          </cell>
        </row>
        <row r="12293">
          <cell r="E12293" t="str">
            <v>AIC-MP-DE000247-S02</v>
          </cell>
          <cell r="F12293">
            <v>3455761680</v>
          </cell>
        </row>
        <row r="12294">
          <cell r="E12294" t="str">
            <v>LUC-EZZ-400192-00</v>
          </cell>
          <cell r="F12294">
            <v>3455761680</v>
          </cell>
        </row>
        <row r="12295">
          <cell r="E12295" t="str">
            <v>LUC-E00-460007-01</v>
          </cell>
          <cell r="F12295">
            <v>3455761680</v>
          </cell>
        </row>
        <row r="12296">
          <cell r="E12296" t="str">
            <v>LUC-EZZ-400036-00</v>
          </cell>
          <cell r="F12296">
            <v>3455761680</v>
          </cell>
        </row>
        <row r="12297">
          <cell r="E12297" t="str">
            <v>LUC-E00-400001-003</v>
          </cell>
          <cell r="F12297">
            <v>3455761680</v>
          </cell>
        </row>
        <row r="12298">
          <cell r="E12298" t="str">
            <v>LUC-EZZ-450047-00</v>
          </cell>
          <cell r="F12298">
            <v>3455761680</v>
          </cell>
        </row>
        <row r="12299">
          <cell r="E12299" t="str">
            <v>PUR-21-0036-00</v>
          </cell>
          <cell r="F12299">
            <v>3455761680</v>
          </cell>
        </row>
        <row r="12300">
          <cell r="E12300" t="str">
            <v>HLOB-21-0036-00</v>
          </cell>
          <cell r="F12300">
            <v>3455761680</v>
          </cell>
        </row>
        <row r="12301">
          <cell r="E12301" t="str">
            <v>LUC-P11-J80200-00</v>
          </cell>
          <cell r="F12301" t="str">
            <v>LSHHPH2506394</v>
          </cell>
        </row>
        <row r="12302">
          <cell r="E12302" t="str">
            <v>HLOB-09-0294-00</v>
          </cell>
          <cell r="F12302">
            <v>391404241185</v>
          </cell>
        </row>
        <row r="12303">
          <cell r="E12303" t="str">
            <v>HLOB-09-0294-00</v>
          </cell>
          <cell r="F12303">
            <v>391404241185</v>
          </cell>
        </row>
        <row r="12304">
          <cell r="E12304" t="str">
            <v>HLOB-09-0294-00</v>
          </cell>
          <cell r="F12304">
            <v>391404241185</v>
          </cell>
        </row>
        <row r="12305">
          <cell r="E12305" t="str">
            <v>PUR-09-0256-00</v>
          </cell>
          <cell r="F12305">
            <v>470584100500</v>
          </cell>
        </row>
        <row r="12306">
          <cell r="E12306" t="str">
            <v>HLOB-24-0031-00</v>
          </cell>
          <cell r="F12306">
            <v>470584100500</v>
          </cell>
        </row>
        <row r="12307">
          <cell r="E12307" t="str">
            <v>LUC-E00-510032-00</v>
          </cell>
          <cell r="F12307">
            <v>470584100500</v>
          </cell>
        </row>
        <row r="12308">
          <cell r="E12308" t="str">
            <v>LUC-E00-510032-00</v>
          </cell>
          <cell r="F12308">
            <v>470584100500</v>
          </cell>
        </row>
        <row r="12309">
          <cell r="E12309" t="str">
            <v>LUC-E00-510032-00</v>
          </cell>
          <cell r="F12309">
            <v>470584100500</v>
          </cell>
        </row>
        <row r="12310">
          <cell r="E12310" t="str">
            <v>HLOB-09-0346-00</v>
          </cell>
          <cell r="F12310">
            <v>470584100500</v>
          </cell>
        </row>
        <row r="12311">
          <cell r="E12311" t="str">
            <v>LUC-E00-460018-00</v>
          </cell>
          <cell r="F12311">
            <v>470584100500</v>
          </cell>
        </row>
        <row r="12312">
          <cell r="E12312" t="str">
            <v>LUC-E00-400010-037</v>
          </cell>
          <cell r="F12312">
            <v>412069751648</v>
          </cell>
        </row>
        <row r="12313">
          <cell r="E12313" t="str">
            <v>LUC-E00-400035-07</v>
          </cell>
          <cell r="F12313">
            <v>412069751648</v>
          </cell>
        </row>
        <row r="12314">
          <cell r="E12314" t="str">
            <v>LUC-P21-KA3100-00</v>
          </cell>
          <cell r="F12314">
            <v>883022411847</v>
          </cell>
        </row>
        <row r="12315">
          <cell r="E12315" t="str">
            <v>LUC-P21-KA3100-00</v>
          </cell>
          <cell r="F12315">
            <v>883022411847</v>
          </cell>
        </row>
        <row r="12316">
          <cell r="E12316" t="str">
            <v>LUC-E00-400010-008</v>
          </cell>
          <cell r="F12316">
            <v>391359834805</v>
          </cell>
        </row>
        <row r="12317">
          <cell r="E12317" t="str">
            <v>AIC-MP-00006419-000</v>
          </cell>
          <cell r="F12317">
            <v>883050777025</v>
          </cell>
        </row>
        <row r="12318">
          <cell r="E12318" t="str">
            <v>LUC-E00-510043-00</v>
          </cell>
          <cell r="F12318">
            <v>391411657555</v>
          </cell>
        </row>
        <row r="12319">
          <cell r="E12319" t="str">
            <v>LUC-P11-K41E00-01</v>
          </cell>
          <cell r="F12319">
            <v>119209618870</v>
          </cell>
        </row>
        <row r="12320">
          <cell r="E12320" t="str">
            <v>LUC-P11-K41E00-01</v>
          </cell>
          <cell r="F12320">
            <v>119209618870</v>
          </cell>
        </row>
        <row r="12321">
          <cell r="E12321" t="str">
            <v>LUC-P11-K41E00-01</v>
          </cell>
          <cell r="F12321">
            <v>119209618870</v>
          </cell>
        </row>
        <row r="12322">
          <cell r="E12322" t="str">
            <v>LUC-EZZ-400209-00</v>
          </cell>
          <cell r="F12322">
            <v>119209618870</v>
          </cell>
        </row>
        <row r="12323">
          <cell r="E12323" t="str">
            <v>LUC-P11-K41E00-01</v>
          </cell>
          <cell r="F12323">
            <v>119209618870</v>
          </cell>
        </row>
        <row r="12324">
          <cell r="E12324" t="str">
            <v>LUC-E00-470432-00</v>
          </cell>
          <cell r="F12324">
            <v>119209618870</v>
          </cell>
        </row>
        <row r="12325">
          <cell r="E12325" t="str">
            <v>LUC-E00-470432-00</v>
          </cell>
          <cell r="F12325">
            <v>119209618870</v>
          </cell>
        </row>
        <row r="12326">
          <cell r="E12326" t="str">
            <v>LUC-E00-450030-00</v>
          </cell>
          <cell r="F12326">
            <v>119209618870</v>
          </cell>
        </row>
        <row r="12327">
          <cell r="E12327" t="str">
            <v>HLOB-24-0028-00</v>
          </cell>
          <cell r="F12327">
            <v>119209618870</v>
          </cell>
        </row>
        <row r="12328">
          <cell r="E12328" t="str">
            <v>HLOB-24-0028-00</v>
          </cell>
          <cell r="F12328">
            <v>119209618870</v>
          </cell>
        </row>
        <row r="12329">
          <cell r="E12329" t="str">
            <v>LUC-P11-K41F00-00</v>
          </cell>
          <cell r="F12329">
            <v>119209618870</v>
          </cell>
        </row>
        <row r="12330">
          <cell r="E12330" t="str">
            <v>HLOB-09-0477-00</v>
          </cell>
          <cell r="F12330">
            <v>445170491994</v>
          </cell>
        </row>
        <row r="12331">
          <cell r="E12331" t="str">
            <v>HLOB-09-0477-00</v>
          </cell>
          <cell r="F12331">
            <v>445170492383</v>
          </cell>
        </row>
        <row r="12332">
          <cell r="E12332" t="str">
            <v>HLOB-09-0477-00</v>
          </cell>
          <cell r="F12332">
            <v>445170492280</v>
          </cell>
        </row>
        <row r="12333">
          <cell r="E12333" t="str">
            <v>LUC-EZZ-470308-00</v>
          </cell>
          <cell r="F12333">
            <v>445170492008</v>
          </cell>
        </row>
        <row r="12334">
          <cell r="E12334" t="str">
            <v>HLOB-13-0235-00</v>
          </cell>
          <cell r="F12334">
            <v>445170492545</v>
          </cell>
        </row>
        <row r="12335">
          <cell r="E12335" t="str">
            <v>HLOB-09-0424-00</v>
          </cell>
          <cell r="F12335">
            <v>445170492615</v>
          </cell>
        </row>
        <row r="12336">
          <cell r="E12336" t="str">
            <v>LUC-E00-470031-00</v>
          </cell>
          <cell r="F12336">
            <v>445170492898</v>
          </cell>
        </row>
        <row r="12337">
          <cell r="E12337" t="str">
            <v>HLOB-09-0424-00</v>
          </cell>
          <cell r="F12337">
            <v>445170492648</v>
          </cell>
        </row>
        <row r="12338">
          <cell r="E12338" t="str">
            <v>PUR-09-0477-00</v>
          </cell>
          <cell r="F12338">
            <v>445170494537</v>
          </cell>
        </row>
        <row r="12339">
          <cell r="E12339" t="str">
            <v>LUC-EZZ-470359-00</v>
          </cell>
          <cell r="F12339">
            <v>445170494548</v>
          </cell>
        </row>
        <row r="12340">
          <cell r="E12340" t="str">
            <v>AIC-MP-IC006403-S01</v>
          </cell>
          <cell r="F12340">
            <v>643036767591</v>
          </cell>
        </row>
        <row r="12341">
          <cell r="E12341" t="str">
            <v>HLOB-12-0337-00</v>
          </cell>
          <cell r="F12341">
            <v>883021828685</v>
          </cell>
        </row>
        <row r="12342">
          <cell r="E12342" t="str">
            <v>LUC-E00-450009-00</v>
          </cell>
          <cell r="F12342">
            <v>883021828685</v>
          </cell>
        </row>
        <row r="12343">
          <cell r="E12343" t="str">
            <v>HLOB-13-0159-00</v>
          </cell>
          <cell r="F12343">
            <v>883021828685</v>
          </cell>
        </row>
        <row r="12344">
          <cell r="E12344" t="str">
            <v>HLOB-13-0159-00</v>
          </cell>
          <cell r="F12344">
            <v>883021828685</v>
          </cell>
        </row>
        <row r="12345">
          <cell r="E12345" t="str">
            <v>PUR-12-0314-00</v>
          </cell>
          <cell r="F12345">
            <v>883021828685</v>
          </cell>
        </row>
        <row r="12346">
          <cell r="E12346" t="str">
            <v>PURET-12-0011-00</v>
          </cell>
          <cell r="F12346">
            <v>883021828685</v>
          </cell>
        </row>
        <row r="12347">
          <cell r="E12347" t="str">
            <v>HLOB-13-0245-00</v>
          </cell>
          <cell r="F12347">
            <v>883021828685</v>
          </cell>
        </row>
        <row r="12348">
          <cell r="E12348" t="str">
            <v>PUR-12-0313-00</v>
          </cell>
          <cell r="F12348">
            <v>883021828685</v>
          </cell>
        </row>
        <row r="12349">
          <cell r="E12349" t="str">
            <v>PUR-12-0329-00</v>
          </cell>
          <cell r="F12349">
            <v>883021828685</v>
          </cell>
        </row>
        <row r="12350">
          <cell r="E12350" t="str">
            <v>AGI-500-40134-01</v>
          </cell>
          <cell r="F12350">
            <v>883021828685</v>
          </cell>
        </row>
        <row r="12351">
          <cell r="E12351" t="str">
            <v>LUC-P11-K41F00-00</v>
          </cell>
          <cell r="F12351">
            <v>471118132923</v>
          </cell>
        </row>
        <row r="12352">
          <cell r="E12352" t="str">
            <v>LUC-P11-K41B00-00</v>
          </cell>
          <cell r="F12352">
            <v>471118132923</v>
          </cell>
        </row>
        <row r="12353">
          <cell r="E12353" t="str">
            <v>LUC-P11-K41A00-00</v>
          </cell>
          <cell r="F12353">
            <v>471118132923</v>
          </cell>
        </row>
        <row r="12354">
          <cell r="E12354" t="str">
            <v>LUC-E00-420275-00</v>
          </cell>
          <cell r="F12354">
            <v>471797714505</v>
          </cell>
        </row>
        <row r="12355">
          <cell r="E12355" t="str">
            <v>LUC-EZZ-420261-00</v>
          </cell>
          <cell r="F12355">
            <v>471797714505</v>
          </cell>
        </row>
        <row r="12356">
          <cell r="E12356" t="str">
            <v>HLOB-13-0229-00</v>
          </cell>
          <cell r="F12356">
            <v>471797714505</v>
          </cell>
        </row>
        <row r="12357">
          <cell r="E12357" t="str">
            <v>HLOB-13-0155-00</v>
          </cell>
          <cell r="F12357">
            <v>471797714505</v>
          </cell>
        </row>
        <row r="12358">
          <cell r="E12358" t="str">
            <v>HLOB-13-0155-00</v>
          </cell>
          <cell r="F12358">
            <v>471797714505</v>
          </cell>
        </row>
        <row r="12359">
          <cell r="E12359" t="str">
            <v>HLOB-13-0155-00</v>
          </cell>
          <cell r="F12359">
            <v>471797714505</v>
          </cell>
        </row>
        <row r="12360">
          <cell r="E12360" t="str">
            <v>HLOB-13-0155-00</v>
          </cell>
          <cell r="F12360">
            <v>471797714505</v>
          </cell>
        </row>
        <row r="12361">
          <cell r="E12361" t="str">
            <v>HLOB-13-0155-00</v>
          </cell>
          <cell r="F12361">
            <v>471797714505</v>
          </cell>
        </row>
        <row r="12362">
          <cell r="E12362" t="str">
            <v>PUR-13-0160-00</v>
          </cell>
          <cell r="F12362">
            <v>471797714505</v>
          </cell>
        </row>
        <row r="12363">
          <cell r="E12363" t="str">
            <v>LUC-EZZ-420097-00</v>
          </cell>
          <cell r="F12363">
            <v>471797714505</v>
          </cell>
        </row>
        <row r="12364">
          <cell r="E12364" t="str">
            <v>LUC-EZZ-420118-00</v>
          </cell>
          <cell r="F12364">
            <v>471797714505</v>
          </cell>
        </row>
        <row r="12365">
          <cell r="E12365" t="str">
            <v>LUC-EZZ-420118-00</v>
          </cell>
          <cell r="F12365">
            <v>471797714505</v>
          </cell>
        </row>
        <row r="12366">
          <cell r="E12366" t="str">
            <v>LUC-E00-420037-06</v>
          </cell>
          <cell r="F12366">
            <v>471797714505</v>
          </cell>
        </row>
        <row r="12367">
          <cell r="E12367" t="str">
            <v>PUR-13-0161-00</v>
          </cell>
          <cell r="F12367">
            <v>471797714505</v>
          </cell>
        </row>
        <row r="12368">
          <cell r="E12368" t="str">
            <v>PUR-13-0157-00</v>
          </cell>
          <cell r="F12368">
            <v>471797714505</v>
          </cell>
        </row>
        <row r="12369">
          <cell r="E12369" t="str">
            <v>HLOB-13-0069-00</v>
          </cell>
          <cell r="F12369">
            <v>471797714505</v>
          </cell>
        </row>
        <row r="12370">
          <cell r="E12370" t="str">
            <v>HLOB-13-0069-00</v>
          </cell>
          <cell r="F12370">
            <v>471797714505</v>
          </cell>
        </row>
        <row r="12371">
          <cell r="E12371" t="str">
            <v>HLOB-13-0069-00</v>
          </cell>
          <cell r="F12371">
            <v>471797714505</v>
          </cell>
        </row>
        <row r="12372">
          <cell r="E12372" t="str">
            <v>HLOB-13-0022-00</v>
          </cell>
          <cell r="F12372">
            <v>471797714505</v>
          </cell>
        </row>
        <row r="12373">
          <cell r="E12373" t="str">
            <v>LUC-EZZ-420125-00</v>
          </cell>
          <cell r="F12373">
            <v>471797714505</v>
          </cell>
        </row>
        <row r="12374">
          <cell r="E12374" t="str">
            <v>LUC-EZZ-420527-00</v>
          </cell>
          <cell r="F12374">
            <v>471797714505</v>
          </cell>
        </row>
        <row r="12375">
          <cell r="E12375" t="str">
            <v>AIC-122-004338</v>
          </cell>
          <cell r="F12375">
            <v>471117950880</v>
          </cell>
        </row>
        <row r="12376">
          <cell r="E12376" t="str">
            <v>168-001166</v>
          </cell>
          <cell r="F12376">
            <v>471117950880</v>
          </cell>
        </row>
        <row r="12377">
          <cell r="E12377" t="str">
            <v>LUC-E00-420116-01</v>
          </cell>
          <cell r="F12377">
            <v>471117950880</v>
          </cell>
        </row>
        <row r="12378">
          <cell r="E12378" t="str">
            <v>AIC-MP-00006920-000</v>
          </cell>
          <cell r="F12378">
            <v>471117950880</v>
          </cell>
        </row>
        <row r="12379">
          <cell r="E12379" t="str">
            <v>132-000212.X.X</v>
          </cell>
          <cell r="F12379">
            <v>471117950880</v>
          </cell>
        </row>
        <row r="12380">
          <cell r="E12380" t="str">
            <v>122-000935.X.X</v>
          </cell>
          <cell r="F12380">
            <v>471117950880</v>
          </cell>
        </row>
        <row r="12381">
          <cell r="E12381" t="str">
            <v>LUC-E00-440144-00</v>
          </cell>
          <cell r="F12381">
            <v>471117950880</v>
          </cell>
        </row>
        <row r="12382">
          <cell r="E12382" t="str">
            <v>LUC-P11-K41D00-01</v>
          </cell>
          <cell r="F12382">
            <v>471117950880</v>
          </cell>
        </row>
        <row r="12383">
          <cell r="E12383" t="str">
            <v>PUR-15-0151-00</v>
          </cell>
          <cell r="F12383">
            <v>471117950880</v>
          </cell>
        </row>
        <row r="12384">
          <cell r="E12384" t="str">
            <v>121-000855.X.X</v>
          </cell>
          <cell r="F12384">
            <v>471117950880</v>
          </cell>
        </row>
        <row r="12385">
          <cell r="E12385" t="str">
            <v>LUC-E00-480005-00</v>
          </cell>
          <cell r="F12385">
            <v>444124035564</v>
          </cell>
        </row>
        <row r="12386">
          <cell r="E12386" t="str">
            <v>AIC-MP-IC006101-S01</v>
          </cell>
          <cell r="F12386">
            <v>883048879042</v>
          </cell>
        </row>
        <row r="12387">
          <cell r="E12387" t="str">
            <v>AIC-MP-00007065-000</v>
          </cell>
          <cell r="F12387">
            <v>883048879042</v>
          </cell>
        </row>
        <row r="12388">
          <cell r="E12388" t="str">
            <v>AIC-MP-00006293-000</v>
          </cell>
          <cell r="F12388">
            <v>883048879042</v>
          </cell>
        </row>
        <row r="12389">
          <cell r="E12389" t="str">
            <v>LUC-P21-KA3200-00</v>
          </cell>
          <cell r="F12389">
            <v>456450729681</v>
          </cell>
        </row>
        <row r="12390">
          <cell r="E12390" t="str">
            <v>AIC-MP-ID007274-S01</v>
          </cell>
          <cell r="F12390">
            <v>882990395161</v>
          </cell>
        </row>
        <row r="12391">
          <cell r="E12391" t="str">
            <v>PUR-09-0346-00</v>
          </cell>
          <cell r="F12391">
            <v>456705030784</v>
          </cell>
        </row>
        <row r="12392">
          <cell r="E12392" t="str">
            <v>EF-45092354.X.X</v>
          </cell>
          <cell r="F12392">
            <v>456705030784</v>
          </cell>
        </row>
        <row r="12393">
          <cell r="E12393" t="str">
            <v>LUC-E00-400025-01</v>
          </cell>
          <cell r="F12393">
            <v>456705030784</v>
          </cell>
        </row>
        <row r="12394">
          <cell r="E12394" t="str">
            <v>PURET-24-0001-00</v>
          </cell>
          <cell r="F12394">
            <v>456705030784</v>
          </cell>
        </row>
        <row r="12395">
          <cell r="E12395" t="str">
            <v>LUC-E00-400074-00</v>
          </cell>
          <cell r="F12395">
            <v>456705030784</v>
          </cell>
        </row>
        <row r="12396">
          <cell r="E12396" t="str">
            <v>LUC-E00-440022-00</v>
          </cell>
          <cell r="F12396">
            <v>456705030784</v>
          </cell>
        </row>
        <row r="12397">
          <cell r="E12397" t="str">
            <v>LUC-E00-420046-00</v>
          </cell>
          <cell r="F12397">
            <v>456705030784</v>
          </cell>
        </row>
        <row r="12398">
          <cell r="E12398" t="str">
            <v>LUC-E00-420172-00</v>
          </cell>
          <cell r="F12398">
            <v>456705030784</v>
          </cell>
        </row>
        <row r="12399">
          <cell r="E12399" t="str">
            <v>LUC-E00-420172-00</v>
          </cell>
          <cell r="F12399">
            <v>456705030784</v>
          </cell>
        </row>
        <row r="12400">
          <cell r="E12400" t="str">
            <v>LUC-E00-510029-00</v>
          </cell>
          <cell r="F12400">
            <v>456705030784</v>
          </cell>
        </row>
        <row r="12401">
          <cell r="E12401" t="str">
            <v>LUC-E00-510029-00</v>
          </cell>
          <cell r="F12401">
            <v>456705030784</v>
          </cell>
        </row>
        <row r="12402">
          <cell r="E12402" t="str">
            <v>LUC-E00-460005-00</v>
          </cell>
          <cell r="F12402">
            <v>456705030784</v>
          </cell>
        </row>
        <row r="12403">
          <cell r="E12403" t="str">
            <v>AIC-122-004448</v>
          </cell>
          <cell r="F12403">
            <v>456705030784</v>
          </cell>
        </row>
        <row r="12404">
          <cell r="E12404" t="str">
            <v>LUC-E00-480007-00</v>
          </cell>
          <cell r="F12404">
            <v>456705030784</v>
          </cell>
        </row>
        <row r="12405">
          <cell r="E12405" t="str">
            <v>LUC-E00-400011-000</v>
          </cell>
          <cell r="F12405">
            <v>456705030784</v>
          </cell>
        </row>
        <row r="12406">
          <cell r="E12406" t="str">
            <v>PUR-25-0003-00</v>
          </cell>
          <cell r="F12406">
            <v>456705030784</v>
          </cell>
        </row>
        <row r="12407">
          <cell r="E12407" t="str">
            <v>LUC-E00-420172-00</v>
          </cell>
          <cell r="F12407">
            <v>456705030784</v>
          </cell>
        </row>
        <row r="12408">
          <cell r="E12408" t="str">
            <v>AIC-MP-00007135-000</v>
          </cell>
          <cell r="F12408">
            <v>470859341249</v>
          </cell>
        </row>
        <row r="12409">
          <cell r="E12409" t="str">
            <v>HLOB-03-0038-00</v>
          </cell>
          <cell r="F12409">
            <v>446841172257</v>
          </cell>
        </row>
        <row r="12410">
          <cell r="E12410" t="str">
            <v>LUC-P00-F189AG-00</v>
          </cell>
          <cell r="F12410">
            <v>883053570105</v>
          </cell>
        </row>
        <row r="12411">
          <cell r="E12411" t="str">
            <v>LUC-P00-F189AG-00</v>
          </cell>
          <cell r="F12411">
            <v>883053570105</v>
          </cell>
        </row>
        <row r="12412">
          <cell r="E12412" t="str">
            <v>HLOB-03-0038-00</v>
          </cell>
          <cell r="F12412">
            <v>446841154660</v>
          </cell>
        </row>
        <row r="12413">
          <cell r="E12413" t="str">
            <v>PUR-03-0082-02</v>
          </cell>
          <cell r="F12413">
            <v>446841184434</v>
          </cell>
        </row>
        <row r="12414">
          <cell r="E12414" t="str">
            <v>HLOB-03-0038-00</v>
          </cell>
          <cell r="F12414">
            <v>446841202459</v>
          </cell>
        </row>
        <row r="12415">
          <cell r="E12415" t="str">
            <v>HLOB-03-0038-00</v>
          </cell>
          <cell r="F12415">
            <v>446841202459</v>
          </cell>
        </row>
        <row r="12416">
          <cell r="E12416" t="str">
            <v>HLOB-03-0038-00</v>
          </cell>
          <cell r="F12416">
            <v>446841202459</v>
          </cell>
        </row>
        <row r="12417">
          <cell r="E12417" t="str">
            <v>HLOB-03-0038-00</v>
          </cell>
          <cell r="F12417">
            <v>446841202459</v>
          </cell>
        </row>
        <row r="12418">
          <cell r="E12418" t="str">
            <v>LUC-E00-470252-00</v>
          </cell>
          <cell r="F12418">
            <v>882989698121</v>
          </cell>
        </row>
        <row r="12419">
          <cell r="E12419" t="str">
            <v>LUC-E00-440072-01</v>
          </cell>
          <cell r="F12419">
            <v>451257544867</v>
          </cell>
        </row>
        <row r="12420">
          <cell r="E12420" t="str">
            <v>LUC-EZZ-440028-00</v>
          </cell>
          <cell r="F12420">
            <v>451257544867</v>
          </cell>
        </row>
        <row r="12421">
          <cell r="E12421" t="str">
            <v>LUC-EZZ-440031-00</v>
          </cell>
          <cell r="F12421">
            <v>451257544867</v>
          </cell>
        </row>
        <row r="12422">
          <cell r="E12422" t="str">
            <v>LUC-EZZ-440162-00</v>
          </cell>
          <cell r="F12422">
            <v>451257544867</v>
          </cell>
        </row>
        <row r="12423">
          <cell r="E12423" t="str">
            <v>LUC-EZZ-440032-00</v>
          </cell>
          <cell r="F12423">
            <v>451257544867</v>
          </cell>
        </row>
        <row r="12424">
          <cell r="E12424" t="str">
            <v>LUC-E00-690003-00</v>
          </cell>
          <cell r="F12424">
            <v>409298794749</v>
          </cell>
        </row>
        <row r="12425">
          <cell r="E12425" t="str">
            <v>LUC-E00-440030-00</v>
          </cell>
          <cell r="F12425">
            <v>409298794749</v>
          </cell>
        </row>
        <row r="12426">
          <cell r="E12426" t="str">
            <v>HLOB-12-0467-00</v>
          </cell>
          <cell r="F12426">
            <v>409298794749</v>
          </cell>
        </row>
        <row r="12427">
          <cell r="E12427" t="str">
            <v>LUC-E00-460042-00</v>
          </cell>
          <cell r="F12427">
            <v>409298794749</v>
          </cell>
        </row>
        <row r="12428">
          <cell r="E12428" t="str">
            <v>LUC-E00-420002-07</v>
          </cell>
          <cell r="F12428">
            <v>409298794749</v>
          </cell>
        </row>
        <row r="12429">
          <cell r="E12429" t="str">
            <v>LUC-E00-420002-07</v>
          </cell>
          <cell r="F12429">
            <v>409298794749</v>
          </cell>
        </row>
        <row r="12430">
          <cell r="E12430" t="str">
            <v>LUC-E00-400022-000</v>
          </cell>
          <cell r="F12430">
            <v>409298794749</v>
          </cell>
        </row>
        <row r="12431">
          <cell r="E12431" t="str">
            <v>LUC-EZZ-420095-00</v>
          </cell>
          <cell r="F12431">
            <v>409298794749</v>
          </cell>
        </row>
        <row r="12432">
          <cell r="E12432" t="str">
            <v>LUC-EZZ-420095-00</v>
          </cell>
          <cell r="F12432">
            <v>409298794749</v>
          </cell>
        </row>
        <row r="12433">
          <cell r="E12433" t="str">
            <v>LUC-EZZ-420091-00</v>
          </cell>
          <cell r="F12433">
            <v>409298794749</v>
          </cell>
        </row>
        <row r="12434">
          <cell r="E12434" t="str">
            <v>LUC-EZZ-420091-00</v>
          </cell>
          <cell r="F12434">
            <v>409298794749</v>
          </cell>
        </row>
        <row r="12435">
          <cell r="E12435" t="str">
            <v>LUC-EZZ-420330-00</v>
          </cell>
          <cell r="F12435">
            <v>409298794749</v>
          </cell>
        </row>
        <row r="12436">
          <cell r="E12436" t="str">
            <v>LUC-EZZ-420175-00</v>
          </cell>
          <cell r="F12436">
            <v>409298794749</v>
          </cell>
        </row>
        <row r="12437">
          <cell r="E12437" t="str">
            <v>LUC-EZZ-420101-00</v>
          </cell>
          <cell r="F12437">
            <v>409298794749</v>
          </cell>
        </row>
        <row r="12438">
          <cell r="E12438" t="str">
            <v>LUC-EZZ-420101-00</v>
          </cell>
          <cell r="F12438">
            <v>409298794749</v>
          </cell>
        </row>
        <row r="12439">
          <cell r="E12439" t="str">
            <v>LUC-EZZ-420098-00</v>
          </cell>
          <cell r="F12439">
            <v>409298794749</v>
          </cell>
        </row>
        <row r="12440">
          <cell r="E12440" t="str">
            <v>LUC-EZZ-420098-00</v>
          </cell>
          <cell r="F12440">
            <v>409298794749</v>
          </cell>
        </row>
        <row r="12441">
          <cell r="E12441" t="str">
            <v>LUC-E00-440032-01</v>
          </cell>
          <cell r="F12441">
            <v>409298794749</v>
          </cell>
        </row>
        <row r="12442">
          <cell r="E12442" t="str">
            <v>LUC-E00-420060-03</v>
          </cell>
          <cell r="F12442">
            <v>409298794749</v>
          </cell>
        </row>
        <row r="12443">
          <cell r="E12443" t="str">
            <v>LUC-E00-420049-00</v>
          </cell>
          <cell r="F12443">
            <v>409298794749</v>
          </cell>
        </row>
        <row r="12444">
          <cell r="E12444" t="str">
            <v>LUC-EZZ-450236-00</v>
          </cell>
          <cell r="F12444">
            <v>409298794749</v>
          </cell>
        </row>
        <row r="12445">
          <cell r="E12445" t="str">
            <v>LUC-E00-420055-00</v>
          </cell>
          <cell r="F12445">
            <v>409298794749</v>
          </cell>
        </row>
        <row r="12446">
          <cell r="E12446" t="str">
            <v>LUC-E00-420033-00</v>
          </cell>
          <cell r="F12446">
            <v>409298794749</v>
          </cell>
        </row>
        <row r="12447">
          <cell r="E12447" t="str">
            <v>LUC-EZZ-420099-00</v>
          </cell>
          <cell r="F12447">
            <v>409298794749</v>
          </cell>
        </row>
        <row r="12448">
          <cell r="E12448" t="str">
            <v>LUC-EZZ-420099-00</v>
          </cell>
          <cell r="F12448">
            <v>409298794749</v>
          </cell>
        </row>
        <row r="12449">
          <cell r="E12449" t="str">
            <v>LUC-EZZ-420173-00</v>
          </cell>
          <cell r="F12449">
            <v>409298794749</v>
          </cell>
        </row>
        <row r="12450">
          <cell r="E12450" t="str">
            <v>LUC-EZZ-420330-00</v>
          </cell>
          <cell r="F12450">
            <v>409298794749</v>
          </cell>
        </row>
        <row r="12451">
          <cell r="E12451" t="str">
            <v>LUC-E00-420002-09</v>
          </cell>
          <cell r="F12451">
            <v>409298794749</v>
          </cell>
        </row>
        <row r="12452">
          <cell r="E12452" t="str">
            <v>LUC-E00-420002-09</v>
          </cell>
          <cell r="F12452">
            <v>409298794749</v>
          </cell>
        </row>
        <row r="12453">
          <cell r="E12453" t="str">
            <v>LUC-E00-420002-09</v>
          </cell>
          <cell r="F12453">
            <v>409298794749</v>
          </cell>
        </row>
        <row r="12454">
          <cell r="E12454" t="str">
            <v>LUC-E00-440024-00</v>
          </cell>
          <cell r="F12454">
            <v>409298794749</v>
          </cell>
        </row>
        <row r="12455">
          <cell r="E12455" t="str">
            <v>LUC-E00-440024-00</v>
          </cell>
          <cell r="F12455">
            <v>409298794749</v>
          </cell>
        </row>
        <row r="12456">
          <cell r="E12456" t="str">
            <v>LUC-E00-440024-00</v>
          </cell>
          <cell r="F12456">
            <v>409298794749</v>
          </cell>
        </row>
        <row r="12457">
          <cell r="E12457" t="str">
            <v>LUC-E00-400003-20</v>
          </cell>
          <cell r="F12457">
            <v>409298794749</v>
          </cell>
        </row>
        <row r="12458">
          <cell r="E12458" t="str">
            <v>LUC-E00-400022-000</v>
          </cell>
          <cell r="F12458">
            <v>409298794749</v>
          </cell>
        </row>
        <row r="12459">
          <cell r="E12459" t="str">
            <v>LUC-E00-420034-01</v>
          </cell>
          <cell r="F12459">
            <v>409298794749</v>
          </cell>
        </row>
        <row r="12460">
          <cell r="E12460" t="str">
            <v>LUC-E00-420016-00</v>
          </cell>
          <cell r="F12460">
            <v>409298794749</v>
          </cell>
        </row>
        <row r="12461">
          <cell r="E12461" t="str">
            <v>LUC-E00-420049-00</v>
          </cell>
          <cell r="F12461">
            <v>409298794749</v>
          </cell>
        </row>
        <row r="12462">
          <cell r="E12462" t="str">
            <v>LUC-E00-420011-00</v>
          </cell>
          <cell r="F12462">
            <v>409298794749</v>
          </cell>
        </row>
        <row r="12463">
          <cell r="E12463" t="str">
            <v>LUC-E00-420024-00</v>
          </cell>
          <cell r="F12463">
            <v>409298794749</v>
          </cell>
        </row>
        <row r="12464">
          <cell r="E12464" t="str">
            <v>LUC-EZZ-400475-00</v>
          </cell>
          <cell r="F12464">
            <v>409298794749</v>
          </cell>
        </row>
        <row r="12465">
          <cell r="E12465" t="str">
            <v>LUC-EZZ-420143-00</v>
          </cell>
          <cell r="F12465">
            <v>409298794749</v>
          </cell>
        </row>
        <row r="12466">
          <cell r="E12466" t="str">
            <v>LUC-E00-420047-02</v>
          </cell>
          <cell r="F12466">
            <v>409298794749</v>
          </cell>
        </row>
        <row r="12467">
          <cell r="E12467" t="str">
            <v>LUC-E00-420047-02</v>
          </cell>
          <cell r="F12467">
            <v>409298794749</v>
          </cell>
        </row>
        <row r="12468">
          <cell r="E12468" t="str">
            <v>LUC-EZZ-400454-01</v>
          </cell>
          <cell r="F12468">
            <v>409298794749</v>
          </cell>
        </row>
        <row r="12469">
          <cell r="E12469" t="str">
            <v>LUC-EZZ-420098-00</v>
          </cell>
          <cell r="F12469">
            <v>409298794749</v>
          </cell>
        </row>
        <row r="12470">
          <cell r="E12470" t="str">
            <v>AGI-500-40216-01</v>
          </cell>
          <cell r="F12470">
            <v>409298794749</v>
          </cell>
        </row>
        <row r="12471">
          <cell r="E12471" t="str">
            <v>LUC-E00-470030-00</v>
          </cell>
          <cell r="F12471">
            <v>445170492100</v>
          </cell>
        </row>
        <row r="12472">
          <cell r="E12472" t="str">
            <v>PUR-09-0294-00</v>
          </cell>
          <cell r="F12472">
            <v>445170494879</v>
          </cell>
        </row>
        <row r="12473">
          <cell r="E12473" t="str">
            <v>141-001538</v>
          </cell>
          <cell r="F12473">
            <v>883100700824</v>
          </cell>
        </row>
        <row r="12474">
          <cell r="E12474" t="str">
            <v>141-001484-02</v>
          </cell>
          <cell r="F12474">
            <v>883100700824</v>
          </cell>
        </row>
        <row r="12475">
          <cell r="E12475" t="str">
            <v>141-001484-02</v>
          </cell>
          <cell r="F12475">
            <v>883100700824</v>
          </cell>
        </row>
        <row r="12476">
          <cell r="E12476" t="str">
            <v>141-001532</v>
          </cell>
          <cell r="F12476">
            <v>883100700824</v>
          </cell>
        </row>
        <row r="12477">
          <cell r="E12477" t="str">
            <v>141-002792</v>
          </cell>
          <cell r="F12477">
            <v>883100700824</v>
          </cell>
        </row>
        <row r="12478">
          <cell r="E12478" t="str">
            <v>LUC-E00-400244-00</v>
          </cell>
          <cell r="F12478">
            <v>4093594083</v>
          </cell>
        </row>
        <row r="12479">
          <cell r="E12479" t="str">
            <v>LUC-E00-450132-00</v>
          </cell>
          <cell r="F12479">
            <v>4093594083</v>
          </cell>
        </row>
        <row r="12480">
          <cell r="E12480" t="str">
            <v>LUC-E00-420241-00</v>
          </cell>
          <cell r="F12480">
            <v>4093594083</v>
          </cell>
        </row>
        <row r="12481">
          <cell r="E12481" t="str">
            <v>LUC-E00-470379-00</v>
          </cell>
          <cell r="F12481">
            <v>4093594083</v>
          </cell>
        </row>
        <row r="12482">
          <cell r="E12482" t="str">
            <v>LUC-E00-470379-00</v>
          </cell>
          <cell r="F12482">
            <v>4093594083</v>
          </cell>
        </row>
        <row r="12483">
          <cell r="E12483" t="str">
            <v>LUC-E00-470379-00</v>
          </cell>
          <cell r="F12483">
            <v>4093594083</v>
          </cell>
        </row>
        <row r="12484">
          <cell r="E12484" t="str">
            <v>LUC-E00-470242-00</v>
          </cell>
          <cell r="F12484">
            <v>4093594083</v>
          </cell>
        </row>
        <row r="12485">
          <cell r="E12485" t="str">
            <v>LUC-E00-420027-03</v>
          </cell>
          <cell r="F12485">
            <v>4093594083</v>
          </cell>
        </row>
        <row r="12486">
          <cell r="E12486" t="str">
            <v>LUC-E00-470301-00</v>
          </cell>
          <cell r="F12486">
            <v>4093594083</v>
          </cell>
        </row>
        <row r="12487">
          <cell r="E12487" t="str">
            <v>AIC-MP-XS004280-S01</v>
          </cell>
          <cell r="F12487">
            <v>4093594083</v>
          </cell>
        </row>
        <row r="12488">
          <cell r="E12488" t="str">
            <v>LUC-EZZ-470192-00</v>
          </cell>
          <cell r="F12488">
            <v>4093594083</v>
          </cell>
        </row>
        <row r="12489">
          <cell r="E12489" t="str">
            <v>LUC-E00-400022-001</v>
          </cell>
          <cell r="F12489">
            <v>4093594083</v>
          </cell>
        </row>
        <row r="12490">
          <cell r="E12490" t="str">
            <v>LUC-E00-460023-00</v>
          </cell>
          <cell r="F12490">
            <v>4093594083</v>
          </cell>
        </row>
        <row r="12491">
          <cell r="E12491" t="str">
            <v>LUC-E00-460023-00</v>
          </cell>
          <cell r="F12491">
            <v>4093594083</v>
          </cell>
        </row>
        <row r="12492">
          <cell r="E12492" t="str">
            <v>LUC-E00-470024-00</v>
          </cell>
          <cell r="F12492">
            <v>4110326736</v>
          </cell>
        </row>
        <row r="12493">
          <cell r="E12493" t="str">
            <v>LUC-E00-470024-00</v>
          </cell>
          <cell r="F12493">
            <v>4110326737</v>
          </cell>
        </row>
        <row r="12494">
          <cell r="E12494" t="str">
            <v>LUC-E00-470024-00</v>
          </cell>
          <cell r="F12494">
            <v>4110326806</v>
          </cell>
        </row>
        <row r="12495">
          <cell r="E12495" t="str">
            <v>LUC-EZZ-690942-00</v>
          </cell>
          <cell r="F12495">
            <v>4110326807</v>
          </cell>
        </row>
        <row r="12496">
          <cell r="E12496" t="str">
            <v>LUC-P11-K2B300-03</v>
          </cell>
          <cell r="F12496" t="str">
            <v>PSHPH2570128</v>
          </cell>
        </row>
        <row r="12497">
          <cell r="E12497" t="str">
            <v>LUC-P11-K2B300-03</v>
          </cell>
          <cell r="F12497" t="str">
            <v>PSHPH2570128</v>
          </cell>
        </row>
        <row r="12498">
          <cell r="E12498" t="str">
            <v>LUC-P11-K2B400-02</v>
          </cell>
          <cell r="F12498" t="str">
            <v>PSHPH2570128</v>
          </cell>
        </row>
        <row r="12499">
          <cell r="E12499" t="str">
            <v>PUR-03-0038-00</v>
          </cell>
          <cell r="F12499">
            <v>1477857776</v>
          </cell>
        </row>
        <row r="12500">
          <cell r="E12500" t="str">
            <v>PUR-09-0213-00</v>
          </cell>
          <cell r="F12500">
            <v>445170492740</v>
          </cell>
        </row>
        <row r="12501">
          <cell r="E12501" t="str">
            <v>PUR-09-0424-00</v>
          </cell>
          <cell r="F12501">
            <v>445170498613</v>
          </cell>
        </row>
        <row r="12502">
          <cell r="E12502" t="str">
            <v>HLOB-21-0009-00</v>
          </cell>
          <cell r="F12502">
            <v>445170496172</v>
          </cell>
        </row>
        <row r="12503">
          <cell r="E12503" t="str">
            <v>AIC-132-001528</v>
          </cell>
          <cell r="F12503">
            <v>883131827329</v>
          </cell>
        </row>
        <row r="12504">
          <cell r="E12504" t="str">
            <v>AIC-MP-00003671-000</v>
          </cell>
          <cell r="F12504">
            <v>883131827329</v>
          </cell>
        </row>
        <row r="12505">
          <cell r="E12505" t="str">
            <v>HLOB-03-0038-00</v>
          </cell>
          <cell r="F12505">
            <v>446841193060</v>
          </cell>
        </row>
        <row r="12506">
          <cell r="E12506" t="str">
            <v>HLOB-03-0038-00</v>
          </cell>
          <cell r="F12506">
            <v>446841193060</v>
          </cell>
        </row>
        <row r="12507">
          <cell r="E12507" t="str">
            <v>HLOB-03-0038-00</v>
          </cell>
          <cell r="F12507">
            <v>446841193060</v>
          </cell>
        </row>
        <row r="12508">
          <cell r="E12508" t="str">
            <v>LUC-EZZ-470421-00</v>
          </cell>
          <cell r="F12508">
            <v>391519628780</v>
          </cell>
        </row>
        <row r="12509">
          <cell r="E12509" t="str">
            <v>AIC-126-002379</v>
          </cell>
          <cell r="F12509">
            <v>883096816256</v>
          </cell>
        </row>
        <row r="12510">
          <cell r="E12510" t="str">
            <v>AIC-MP-IC005391-S01</v>
          </cell>
          <cell r="F12510">
            <v>883096816256</v>
          </cell>
        </row>
        <row r="12511">
          <cell r="E12511" t="str">
            <v>122-001112</v>
          </cell>
          <cell r="F12511">
            <v>419341569026</v>
          </cell>
        </row>
        <row r="12512">
          <cell r="E12512" t="str">
            <v>PUR-09-0233-00</v>
          </cell>
          <cell r="F12512">
            <v>471782606795</v>
          </cell>
        </row>
        <row r="12513">
          <cell r="E12513" t="str">
            <v>PUR-09-0233-00</v>
          </cell>
          <cell r="F12513">
            <v>471782606795</v>
          </cell>
        </row>
        <row r="12514">
          <cell r="E12514" t="str">
            <v>LUC-EZZ-420178-00</v>
          </cell>
          <cell r="F12514">
            <v>618106368379</v>
          </cell>
        </row>
        <row r="12515">
          <cell r="E12515" t="str">
            <v>EF-45056968.X.X</v>
          </cell>
          <cell r="F12515">
            <v>445170499506</v>
          </cell>
        </row>
        <row r="12516">
          <cell r="E12516" t="str">
            <v>LUC-E00-400023-001</v>
          </cell>
          <cell r="F12516">
            <v>471588836190</v>
          </cell>
        </row>
        <row r="12517">
          <cell r="E12517" t="str">
            <v>LUC-P11-K41A00-00</v>
          </cell>
          <cell r="F12517">
            <v>471588843890</v>
          </cell>
        </row>
        <row r="12518">
          <cell r="E12518" t="str">
            <v>EF-45051532.X.X</v>
          </cell>
          <cell r="F12518">
            <v>448135910524</v>
          </cell>
        </row>
        <row r="12519">
          <cell r="E12519" t="str">
            <v>AIC-126-002389</v>
          </cell>
          <cell r="F12519">
            <v>448135910524</v>
          </cell>
        </row>
        <row r="12520">
          <cell r="E12520" t="str">
            <v>AIC-122-004334</v>
          </cell>
          <cell r="F12520">
            <v>448135910524</v>
          </cell>
        </row>
        <row r="12521">
          <cell r="E12521" t="str">
            <v>LUC-E00-400011-004</v>
          </cell>
          <cell r="F12521">
            <v>448135910524</v>
          </cell>
        </row>
        <row r="12522">
          <cell r="E12522" t="str">
            <v>AIC-110-001137</v>
          </cell>
          <cell r="F12522">
            <v>448135910524</v>
          </cell>
        </row>
        <row r="12523">
          <cell r="E12523" t="str">
            <v>LUC-EZZ-420213-00</v>
          </cell>
          <cell r="F12523">
            <v>448135910524</v>
          </cell>
        </row>
        <row r="12524">
          <cell r="E12524" t="str">
            <v>AIC-111-001503</v>
          </cell>
          <cell r="F12524">
            <v>448135910524</v>
          </cell>
        </row>
        <row r="12525">
          <cell r="E12525" t="str">
            <v>AIC-122-004326</v>
          </cell>
          <cell r="F12525">
            <v>448135910524</v>
          </cell>
        </row>
        <row r="12526">
          <cell r="E12526" t="str">
            <v>AIC-MP-IC005725-S01</v>
          </cell>
          <cell r="F12526">
            <v>448135910524</v>
          </cell>
        </row>
        <row r="12527">
          <cell r="E12527" t="str">
            <v>AIC-122-004382</v>
          </cell>
          <cell r="F12527">
            <v>448135910524</v>
          </cell>
        </row>
        <row r="12528">
          <cell r="E12528" t="str">
            <v>AIC-122-004385</v>
          </cell>
          <cell r="F12528">
            <v>448135910524</v>
          </cell>
        </row>
        <row r="12529">
          <cell r="E12529" t="str">
            <v>AIC-MP-XT006355-S01</v>
          </cell>
          <cell r="F12529">
            <v>448135910524</v>
          </cell>
        </row>
        <row r="12530">
          <cell r="E12530" t="str">
            <v>LUC-EZZ-420398-00</v>
          </cell>
          <cell r="F12530">
            <v>448135910524</v>
          </cell>
        </row>
        <row r="12531">
          <cell r="E12531" t="str">
            <v>AIC-MP-00007025-000</v>
          </cell>
          <cell r="F12531">
            <v>448135910524</v>
          </cell>
        </row>
        <row r="12532">
          <cell r="E12532" t="str">
            <v>AIC-MP-00000755-000</v>
          </cell>
          <cell r="F12532">
            <v>448135910524</v>
          </cell>
        </row>
        <row r="12533">
          <cell r="E12533" t="str">
            <v>LUC-EZZ-470350-00</v>
          </cell>
          <cell r="F12533">
            <v>448135910524</v>
          </cell>
        </row>
        <row r="12534">
          <cell r="E12534" t="str">
            <v>LUC-E00-420037-01</v>
          </cell>
          <cell r="F12534">
            <v>448135910524</v>
          </cell>
        </row>
        <row r="12535">
          <cell r="E12535" t="str">
            <v>AIC-MP-00007014-000</v>
          </cell>
          <cell r="F12535">
            <v>438775098836</v>
          </cell>
        </row>
        <row r="12536">
          <cell r="E12536" t="str">
            <v>AIC-MP-00007014-000</v>
          </cell>
          <cell r="F12536">
            <v>438775098836</v>
          </cell>
        </row>
        <row r="12537">
          <cell r="E12537" t="str">
            <v>AIC-MP-00006411-000</v>
          </cell>
          <cell r="F12537">
            <v>438775098836</v>
          </cell>
        </row>
        <row r="12538">
          <cell r="E12538" t="str">
            <v>LUC-P11-K41C00-00</v>
          </cell>
          <cell r="F12538">
            <v>471834330461</v>
          </cell>
        </row>
        <row r="12539">
          <cell r="E12539" t="str">
            <v>AIC-132-001544</v>
          </cell>
          <cell r="F12539">
            <v>740671454286</v>
          </cell>
        </row>
        <row r="12540">
          <cell r="E12540" t="str">
            <v>AIC-MP-00000755-000</v>
          </cell>
          <cell r="F12540">
            <v>740671454286</v>
          </cell>
        </row>
        <row r="12541">
          <cell r="E12541" t="str">
            <v>LUC-EZZ-470242-00</v>
          </cell>
          <cell r="F12541">
            <v>470062829143</v>
          </cell>
        </row>
        <row r="12542">
          <cell r="E12542" t="str">
            <v>LUC-EZZ-421242-00</v>
          </cell>
          <cell r="F12542">
            <v>883132431522</v>
          </cell>
        </row>
        <row r="12543">
          <cell r="E12543" t="str">
            <v>LUC-E00-420020-08</v>
          </cell>
          <cell r="F12543">
            <v>883132431522</v>
          </cell>
        </row>
        <row r="12544">
          <cell r="E12544" t="str">
            <v>LUC-E00-420038-01</v>
          </cell>
          <cell r="F12544">
            <v>883132431522</v>
          </cell>
        </row>
        <row r="12545">
          <cell r="E12545" t="str">
            <v>LUC-EZZ-400043-00</v>
          </cell>
          <cell r="F12545">
            <v>883132431522</v>
          </cell>
        </row>
        <row r="12546">
          <cell r="E12546" t="str">
            <v>LUC-E00-400012-06</v>
          </cell>
          <cell r="F12546">
            <v>883132431522</v>
          </cell>
        </row>
        <row r="12547">
          <cell r="E12547" t="str">
            <v>LUC-EZZ-440037-00</v>
          </cell>
          <cell r="F12547">
            <v>883132431522</v>
          </cell>
        </row>
        <row r="12548">
          <cell r="E12548" t="str">
            <v>LUC-E00-510020-00</v>
          </cell>
          <cell r="F12548">
            <v>883132431522</v>
          </cell>
        </row>
        <row r="12549">
          <cell r="E12549" t="str">
            <v>PURET-12-0035-00</v>
          </cell>
          <cell r="F12549">
            <v>883132431522</v>
          </cell>
        </row>
        <row r="12550">
          <cell r="E12550" t="str">
            <v>HLOB-12-0035-00</v>
          </cell>
          <cell r="F12550">
            <v>883132431522</v>
          </cell>
        </row>
        <row r="12551">
          <cell r="E12551" t="str">
            <v>HLOB-13-0028-00</v>
          </cell>
          <cell r="F12551">
            <v>883132431522</v>
          </cell>
        </row>
        <row r="12552">
          <cell r="E12552" t="str">
            <v>PURET-13-0028-00</v>
          </cell>
          <cell r="F12552">
            <v>883132431522</v>
          </cell>
        </row>
        <row r="12553">
          <cell r="E12553" t="str">
            <v>LUC-E00-420037-02</v>
          </cell>
          <cell r="F12553">
            <v>883132431522</v>
          </cell>
        </row>
        <row r="12554">
          <cell r="E12554" t="str">
            <v>LUC-E00-420037-02</v>
          </cell>
          <cell r="F12554">
            <v>883132431522</v>
          </cell>
        </row>
        <row r="12555">
          <cell r="E12555" t="str">
            <v>LUC-E00-420037-02</v>
          </cell>
          <cell r="F12555">
            <v>883132431522</v>
          </cell>
        </row>
        <row r="12556">
          <cell r="E12556" t="str">
            <v>LUC-E00-420037-02</v>
          </cell>
          <cell r="F12556">
            <v>883132431522</v>
          </cell>
        </row>
        <row r="12557">
          <cell r="E12557" t="str">
            <v>LUC-E00-400075-00</v>
          </cell>
          <cell r="F12557">
            <v>883132431522</v>
          </cell>
        </row>
        <row r="12558">
          <cell r="E12558" t="str">
            <v>PUR-09-0328-00</v>
          </cell>
          <cell r="F12558">
            <v>4711871339</v>
          </cell>
        </row>
        <row r="12559">
          <cell r="E12559" t="str">
            <v>LUC-E00-420019-01</v>
          </cell>
          <cell r="F12559">
            <v>4711871339</v>
          </cell>
        </row>
        <row r="12560">
          <cell r="E12560" t="str">
            <v>PUR-13-0164-00</v>
          </cell>
          <cell r="F12560">
            <v>4711871339</v>
          </cell>
        </row>
        <row r="12561">
          <cell r="E12561" t="str">
            <v>LUC-EZZ-420256-00</v>
          </cell>
          <cell r="F12561">
            <v>4711871339</v>
          </cell>
        </row>
        <row r="12562">
          <cell r="E12562" t="str">
            <v>HLOB-27-0024-00</v>
          </cell>
          <cell r="F12562">
            <v>4711871339</v>
          </cell>
        </row>
        <row r="12563">
          <cell r="E12563" t="str">
            <v>PUR-13-0131-00</v>
          </cell>
          <cell r="F12563">
            <v>4711871339</v>
          </cell>
        </row>
        <row r="12564">
          <cell r="E12564" t="str">
            <v>HLOB-21-0026-00</v>
          </cell>
          <cell r="F12564">
            <v>4711871339</v>
          </cell>
        </row>
        <row r="12565">
          <cell r="E12565" t="str">
            <v>HLOB-13-0131-00</v>
          </cell>
          <cell r="F12565">
            <v>4711871339</v>
          </cell>
        </row>
        <row r="12566">
          <cell r="E12566" t="str">
            <v>LUC-EZZ-440016-00</v>
          </cell>
          <cell r="F12566">
            <v>4711871339</v>
          </cell>
        </row>
        <row r="12567">
          <cell r="E12567" t="str">
            <v>PUR-13-0162-00</v>
          </cell>
          <cell r="F12567">
            <v>4711871339</v>
          </cell>
        </row>
        <row r="12568">
          <cell r="E12568" t="str">
            <v>LUC-EZZ-420124-00</v>
          </cell>
          <cell r="F12568">
            <v>4711871339</v>
          </cell>
        </row>
        <row r="12569">
          <cell r="E12569" t="str">
            <v>LUC-EZZ-440016-00</v>
          </cell>
          <cell r="F12569">
            <v>4711871339</v>
          </cell>
        </row>
        <row r="12570">
          <cell r="E12570" t="str">
            <v>PUR-27-0024-00</v>
          </cell>
          <cell r="F12570">
            <v>4711871339</v>
          </cell>
        </row>
        <row r="12571">
          <cell r="E12571" t="str">
            <v>LUC-EZZ-440016-00</v>
          </cell>
          <cell r="F12571">
            <v>4711871339</v>
          </cell>
        </row>
        <row r="12572">
          <cell r="E12572" t="str">
            <v>PUR-27-0024-00</v>
          </cell>
          <cell r="F12572">
            <v>4711871339</v>
          </cell>
        </row>
        <row r="12573">
          <cell r="E12573" t="str">
            <v>LUC-EZZ-440016-00</v>
          </cell>
          <cell r="F12573">
            <v>4711871339</v>
          </cell>
        </row>
        <row r="12574">
          <cell r="E12574" t="str">
            <v>LUC-E00-470389-00</v>
          </cell>
          <cell r="F12574">
            <v>4711871339</v>
          </cell>
        </row>
        <row r="12575">
          <cell r="E12575" t="str">
            <v>LUC-EZZ-440189-00</v>
          </cell>
          <cell r="F12575">
            <v>4711871339</v>
          </cell>
        </row>
        <row r="12576">
          <cell r="E12576" t="str">
            <v>PUR-13-0131-00</v>
          </cell>
          <cell r="F12576">
            <v>4711871339</v>
          </cell>
        </row>
        <row r="12577">
          <cell r="E12577" t="str">
            <v>LUC-EZZ-420005-00</v>
          </cell>
          <cell r="F12577">
            <v>4711871339</v>
          </cell>
        </row>
        <row r="12578">
          <cell r="E12578" t="str">
            <v>LUC-EZZ-420511-00</v>
          </cell>
          <cell r="F12578">
            <v>4711871339</v>
          </cell>
        </row>
        <row r="12579">
          <cell r="E12579" t="str">
            <v>HLOB-13-0131-00</v>
          </cell>
          <cell r="F12579">
            <v>4711871339</v>
          </cell>
        </row>
        <row r="12580">
          <cell r="E12580" t="str">
            <v>LUC-EZZ-440077-00</v>
          </cell>
          <cell r="F12580">
            <v>4711871339</v>
          </cell>
        </row>
        <row r="12581">
          <cell r="E12581" t="str">
            <v>LUC-EZZ-440077-00</v>
          </cell>
          <cell r="F12581">
            <v>4711871339</v>
          </cell>
        </row>
        <row r="12582">
          <cell r="E12582" t="str">
            <v>PUR-27-0019-00</v>
          </cell>
          <cell r="F12582">
            <v>4711871339</v>
          </cell>
        </row>
        <row r="12583">
          <cell r="E12583" t="str">
            <v>HLOB-09-0417-00</v>
          </cell>
          <cell r="F12583">
            <v>4711871339</v>
          </cell>
        </row>
        <row r="12584">
          <cell r="E12584" t="str">
            <v>LUC-EZZ-420665-00</v>
          </cell>
          <cell r="F12584">
            <v>4711871339</v>
          </cell>
        </row>
        <row r="12585">
          <cell r="E12585" t="str">
            <v>LUC-EZZ-420665-00</v>
          </cell>
          <cell r="F12585">
            <v>4711871339</v>
          </cell>
        </row>
        <row r="12586">
          <cell r="E12586" t="str">
            <v>HLOB-13-0119-00</v>
          </cell>
          <cell r="F12586">
            <v>4711871339</v>
          </cell>
        </row>
        <row r="12587">
          <cell r="E12587" t="str">
            <v>LUC-EZZ-420665-00</v>
          </cell>
          <cell r="F12587">
            <v>4711871339</v>
          </cell>
        </row>
        <row r="12588">
          <cell r="E12588" t="str">
            <v>LUC-EZZ-420665-00</v>
          </cell>
          <cell r="F12588">
            <v>4711871339</v>
          </cell>
        </row>
        <row r="12589">
          <cell r="E12589" t="str">
            <v>PURET-13-0119-00</v>
          </cell>
          <cell r="F12589">
            <v>4711871339</v>
          </cell>
        </row>
        <row r="12590">
          <cell r="E12590" t="str">
            <v>PURET-13-0119-00</v>
          </cell>
          <cell r="F12590">
            <v>4711871339</v>
          </cell>
        </row>
        <row r="12591">
          <cell r="E12591" t="str">
            <v>HLOB-13-0141-00</v>
          </cell>
          <cell r="F12591">
            <v>4711871339</v>
          </cell>
        </row>
        <row r="12592">
          <cell r="E12592" t="str">
            <v>LUC-EZZ-440189-00</v>
          </cell>
          <cell r="F12592">
            <v>4711871339</v>
          </cell>
        </row>
        <row r="12593">
          <cell r="E12593" t="str">
            <v>PUR-12-0430-00</v>
          </cell>
          <cell r="F12593">
            <v>4711871339</v>
          </cell>
        </row>
        <row r="12594">
          <cell r="E12594" t="str">
            <v>HLOB-13-0237-00</v>
          </cell>
          <cell r="F12594">
            <v>4711871339</v>
          </cell>
        </row>
        <row r="12595">
          <cell r="E12595" t="str">
            <v>PUR-09-0417-00</v>
          </cell>
          <cell r="F12595">
            <v>4711871339</v>
          </cell>
        </row>
        <row r="12596">
          <cell r="E12596" t="str">
            <v>LUC-EZZ-421554-00</v>
          </cell>
          <cell r="F12596">
            <v>4711871339</v>
          </cell>
        </row>
        <row r="12597">
          <cell r="E12597" t="str">
            <v>AGI-450-40128-01</v>
          </cell>
          <cell r="F12597">
            <v>4711871339</v>
          </cell>
        </row>
        <row r="12598">
          <cell r="E12598" t="str">
            <v>LUC-E00-400090-01</v>
          </cell>
          <cell r="F12598">
            <v>4711871339</v>
          </cell>
        </row>
        <row r="12599">
          <cell r="E12599" t="str">
            <v>LUC-E00-470252-00</v>
          </cell>
          <cell r="F12599">
            <v>4711871339</v>
          </cell>
        </row>
        <row r="12600">
          <cell r="E12600" t="str">
            <v>HLOB-09-0408-00</v>
          </cell>
          <cell r="F12600">
            <v>4711871339</v>
          </cell>
        </row>
        <row r="12601">
          <cell r="E12601" t="str">
            <v>LUC-E00-470389-00</v>
          </cell>
          <cell r="F12601">
            <v>4711871339</v>
          </cell>
        </row>
        <row r="12602">
          <cell r="E12602" t="str">
            <v>LUC-E00-470389-00</v>
          </cell>
          <cell r="F12602">
            <v>4711871339</v>
          </cell>
        </row>
        <row r="12603">
          <cell r="E12603" t="str">
            <v>LUC-EZZ-440036-00</v>
          </cell>
          <cell r="F12603">
            <v>4711871339</v>
          </cell>
        </row>
        <row r="12604">
          <cell r="E12604" t="str">
            <v>AIC-MP-IC005582-S03</v>
          </cell>
          <cell r="F12604">
            <v>4711871532</v>
          </cell>
        </row>
        <row r="12605">
          <cell r="E12605" t="str">
            <v>LUC-EZZ-400297-00</v>
          </cell>
          <cell r="F12605">
            <v>4711871532</v>
          </cell>
        </row>
        <row r="12606">
          <cell r="E12606" t="str">
            <v>AGI-510-40087-01</v>
          </cell>
          <cell r="F12606">
            <v>4711871532</v>
          </cell>
        </row>
        <row r="12607">
          <cell r="E12607" t="str">
            <v>AGI-510-40087-01</v>
          </cell>
          <cell r="F12607">
            <v>4711871532</v>
          </cell>
        </row>
        <row r="12608">
          <cell r="E12608" t="str">
            <v>LUC-EZZ-401043-00</v>
          </cell>
          <cell r="F12608">
            <v>4711871532</v>
          </cell>
        </row>
        <row r="12609">
          <cell r="E12609" t="str">
            <v>PURET-13-0028-00</v>
          </cell>
          <cell r="F12609">
            <v>4711871532</v>
          </cell>
        </row>
        <row r="12610">
          <cell r="E12610" t="str">
            <v>PURET-13-0028-00</v>
          </cell>
          <cell r="F12610">
            <v>4711871532</v>
          </cell>
        </row>
        <row r="12611">
          <cell r="E12611" t="str">
            <v>HLOB-13-0028-00</v>
          </cell>
          <cell r="F12611">
            <v>4711871532</v>
          </cell>
        </row>
        <row r="12612">
          <cell r="E12612" t="str">
            <v>PURET-13-0028-00</v>
          </cell>
          <cell r="F12612">
            <v>4711871532</v>
          </cell>
        </row>
        <row r="12613">
          <cell r="E12613" t="str">
            <v>PUR-15-0207-00</v>
          </cell>
          <cell r="F12613">
            <v>4711871532</v>
          </cell>
        </row>
        <row r="12614">
          <cell r="E12614" t="str">
            <v>PUR-15-0207-00</v>
          </cell>
          <cell r="F12614">
            <v>4711871532</v>
          </cell>
        </row>
        <row r="12615">
          <cell r="E12615" t="str">
            <v>HLOB-15-0207-00</v>
          </cell>
          <cell r="F12615">
            <v>4711871532</v>
          </cell>
        </row>
        <row r="12616">
          <cell r="E12616" t="str">
            <v>LUC-P11-K34A00-03</v>
          </cell>
          <cell r="F12616" t="str">
            <v>LSHHPH2506366</v>
          </cell>
        </row>
        <row r="12617">
          <cell r="E12617" t="str">
            <v>LUC-P11-K34900-02</v>
          </cell>
          <cell r="F12617" t="str">
            <v>LSHHPH2506366</v>
          </cell>
        </row>
        <row r="12618">
          <cell r="E12618" t="str">
            <v>LUC-P11-K35500-04</v>
          </cell>
          <cell r="F12618" t="str">
            <v>LSHHPH2506366</v>
          </cell>
        </row>
        <row r="12619">
          <cell r="E12619" t="str">
            <v>LUC-P11-K35400-03</v>
          </cell>
          <cell r="F12619" t="str">
            <v>LSHHPH2506366</v>
          </cell>
        </row>
        <row r="12620">
          <cell r="E12620" t="str">
            <v>LUC-E00-400025-01</v>
          </cell>
          <cell r="F12620">
            <v>1304609445</v>
          </cell>
        </row>
        <row r="12621">
          <cell r="E12621" t="str">
            <v>LUC-E00-400010-020</v>
          </cell>
          <cell r="F12621">
            <v>1304609445</v>
          </cell>
        </row>
        <row r="12622">
          <cell r="E12622" t="str">
            <v>LUC-E00-400244-00</v>
          </cell>
          <cell r="F12622">
            <v>1304609445</v>
          </cell>
        </row>
        <row r="12623">
          <cell r="E12623" t="str">
            <v>LUC-E00-400010-003</v>
          </cell>
          <cell r="F12623">
            <v>1304609445</v>
          </cell>
        </row>
        <row r="12624">
          <cell r="E12624" t="str">
            <v>LUC-EZZ-400231-00</v>
          </cell>
          <cell r="F12624">
            <v>1304609445</v>
          </cell>
        </row>
        <row r="12625">
          <cell r="E12625" t="str">
            <v>LUC-E00-400010-003</v>
          </cell>
          <cell r="F12625">
            <v>1304609445</v>
          </cell>
        </row>
        <row r="12626">
          <cell r="E12626" t="str">
            <v>LUC-EZZ-420536-00</v>
          </cell>
          <cell r="F12626">
            <v>1304609445</v>
          </cell>
        </row>
        <row r="12627">
          <cell r="E12627" t="str">
            <v>132-001545</v>
          </cell>
          <cell r="F12627" t="str">
            <v>SF3193801102707</v>
          </cell>
        </row>
        <row r="12628">
          <cell r="E12628" t="str">
            <v>132-001546</v>
          </cell>
          <cell r="F12628" t="str">
            <v>SF3193801102707</v>
          </cell>
        </row>
        <row r="12629">
          <cell r="E12629" t="str">
            <v>132-001546</v>
          </cell>
          <cell r="F12629" t="str">
            <v>SF3193801102707</v>
          </cell>
        </row>
        <row r="12630">
          <cell r="E12630" t="str">
            <v>132-001547</v>
          </cell>
          <cell r="F12630" t="str">
            <v>SF3193801102707</v>
          </cell>
        </row>
        <row r="12631">
          <cell r="E12631" t="str">
            <v>142-001151</v>
          </cell>
          <cell r="F12631" t="str">
            <v>SF3193801102707</v>
          </cell>
        </row>
        <row r="12632">
          <cell r="E12632" t="str">
            <v>PUR-13-0236-00</v>
          </cell>
          <cell r="F12632">
            <v>426080010043</v>
          </cell>
        </row>
        <row r="12633">
          <cell r="E12633" t="str">
            <v>PURET-09-0050-00</v>
          </cell>
          <cell r="F12633">
            <v>426080010043</v>
          </cell>
        </row>
        <row r="12634">
          <cell r="E12634" t="str">
            <v>PUR-09-0346-00</v>
          </cell>
          <cell r="F12634">
            <v>426080010043</v>
          </cell>
        </row>
        <row r="12635">
          <cell r="E12635" t="str">
            <v>LUC-EZZ-420151-00</v>
          </cell>
          <cell r="F12635">
            <v>426080010043</v>
          </cell>
        </row>
        <row r="12636">
          <cell r="E12636" t="str">
            <v>LUC-EZZ-470095-00</v>
          </cell>
          <cell r="F12636">
            <v>426080010043</v>
          </cell>
        </row>
        <row r="12637">
          <cell r="E12637" t="str">
            <v>130-001583</v>
          </cell>
          <cell r="F12637">
            <v>426080010043</v>
          </cell>
        </row>
        <row r="12638">
          <cell r="E12638" t="str">
            <v>PUR-09-0294-00</v>
          </cell>
          <cell r="F12638">
            <v>426080010043</v>
          </cell>
        </row>
        <row r="12639">
          <cell r="E12639" t="str">
            <v>PUR-09-0256-00</v>
          </cell>
          <cell r="F12639">
            <v>426080010043</v>
          </cell>
        </row>
        <row r="12640">
          <cell r="E12640" t="str">
            <v>LUC-E00-690010-02</v>
          </cell>
          <cell r="F12640">
            <v>426080010043</v>
          </cell>
        </row>
        <row r="12641">
          <cell r="E12641" t="str">
            <v>PUR-17-0283-02</v>
          </cell>
          <cell r="F12641">
            <v>426080010043</v>
          </cell>
        </row>
        <row r="12642">
          <cell r="E12642" t="str">
            <v>PURC-03-0104-02</v>
          </cell>
          <cell r="F12642">
            <v>426080010043</v>
          </cell>
        </row>
        <row r="12643">
          <cell r="E12643" t="str">
            <v>EF-45133505</v>
          </cell>
          <cell r="F12643">
            <v>426080010043</v>
          </cell>
        </row>
        <row r="12644">
          <cell r="E12644" t="str">
            <v>168-001091</v>
          </cell>
          <cell r="F12644">
            <v>426080010043</v>
          </cell>
        </row>
        <row r="12645">
          <cell r="E12645" t="str">
            <v>126-001831</v>
          </cell>
          <cell r="F12645">
            <v>426080010043</v>
          </cell>
        </row>
        <row r="12646">
          <cell r="E12646" t="str">
            <v>103-001641</v>
          </cell>
          <cell r="F12646">
            <v>426080010043</v>
          </cell>
        </row>
        <row r="12647">
          <cell r="E12647" t="str">
            <v>LUC-E00-470137-00</v>
          </cell>
          <cell r="F12647">
            <v>426080010043</v>
          </cell>
        </row>
        <row r="12648">
          <cell r="E12648" t="str">
            <v>PUR-09-0417-00</v>
          </cell>
          <cell r="F12648">
            <v>426080010043</v>
          </cell>
        </row>
        <row r="12649">
          <cell r="E12649" t="str">
            <v>PUR-13-0141-00</v>
          </cell>
          <cell r="F12649">
            <v>426080010043</v>
          </cell>
        </row>
        <row r="12650">
          <cell r="E12650" t="str">
            <v>PUR-24-0024-00</v>
          </cell>
          <cell r="F12650">
            <v>426080010043</v>
          </cell>
        </row>
        <row r="12651">
          <cell r="E12651" t="str">
            <v>EF-45016917</v>
          </cell>
          <cell r="F12651">
            <v>426080010043</v>
          </cell>
        </row>
        <row r="12652">
          <cell r="E12652" t="str">
            <v>120-010212.X.X</v>
          </cell>
          <cell r="F12652">
            <v>426080010043</v>
          </cell>
        </row>
        <row r="12653">
          <cell r="E12653" t="str">
            <v>LUC-EZZ-690138-00</v>
          </cell>
          <cell r="F12653">
            <v>426080010043</v>
          </cell>
        </row>
        <row r="12654">
          <cell r="E12654" t="str">
            <v>LUC-EZZ-690138-01</v>
          </cell>
          <cell r="F12654">
            <v>426080010043</v>
          </cell>
        </row>
        <row r="12655">
          <cell r="E12655" t="str">
            <v>LUC-EZZ-690138-02</v>
          </cell>
          <cell r="F12655">
            <v>426080010043</v>
          </cell>
        </row>
        <row r="12656">
          <cell r="E12656" t="str">
            <v>LUC-EZZ-690138-04</v>
          </cell>
          <cell r="F12656">
            <v>426080010043</v>
          </cell>
        </row>
        <row r="12657">
          <cell r="E12657" t="str">
            <v>LUC-P21-K61800-00</v>
          </cell>
          <cell r="F12657">
            <v>772593645674</v>
          </cell>
        </row>
        <row r="12658">
          <cell r="E12658" t="str">
            <v>LUC-P21-K61800-00</v>
          </cell>
          <cell r="F12658">
            <v>426080010282</v>
          </cell>
        </row>
        <row r="12659">
          <cell r="E12659" t="str">
            <v>LUC-P21-K61800-00</v>
          </cell>
          <cell r="F12659">
            <v>772787434590</v>
          </cell>
        </row>
        <row r="12660">
          <cell r="E12660" t="str">
            <v>PUR-09-0502-00</v>
          </cell>
          <cell r="F12660">
            <v>426080011040</v>
          </cell>
        </row>
        <row r="12661">
          <cell r="E12661" t="str">
            <v>EF-45113161</v>
          </cell>
          <cell r="F12661">
            <v>426080011040</v>
          </cell>
        </row>
        <row r="12662">
          <cell r="E12662" t="str">
            <v>LUC-E00-420043-01</v>
          </cell>
          <cell r="F12662">
            <v>426080011040</v>
          </cell>
        </row>
        <row r="12663">
          <cell r="E12663" t="str">
            <v>LUC-E00-470116-00</v>
          </cell>
          <cell r="F12663">
            <v>426080011040</v>
          </cell>
        </row>
        <row r="12664">
          <cell r="E12664" t="str">
            <v>LUC-EZZ-470424-00</v>
          </cell>
          <cell r="F12664">
            <v>426080011040</v>
          </cell>
        </row>
        <row r="12665">
          <cell r="E12665" t="str">
            <v>EF-45047557.X.X</v>
          </cell>
          <cell r="F12665">
            <v>426080011040</v>
          </cell>
        </row>
        <row r="12666">
          <cell r="E12666" t="str">
            <v>LUC-E00-470060-00</v>
          </cell>
          <cell r="F12666">
            <v>426080011040</v>
          </cell>
        </row>
        <row r="12667">
          <cell r="E12667" t="str">
            <v>LUC-E00-420055-02</v>
          </cell>
          <cell r="F12667">
            <v>426080011040</v>
          </cell>
        </row>
        <row r="12668">
          <cell r="E12668" t="str">
            <v>PURET-13-0119-00</v>
          </cell>
          <cell r="F12668">
            <v>426080012208</v>
          </cell>
        </row>
        <row r="12669">
          <cell r="E12669" t="str">
            <v>PUR-09-0417-00</v>
          </cell>
          <cell r="F12669">
            <v>426080012208</v>
          </cell>
        </row>
        <row r="12670">
          <cell r="E12670">
            <v>45126100</v>
          </cell>
          <cell r="F12670">
            <v>426080012208</v>
          </cell>
        </row>
        <row r="12671">
          <cell r="E12671" t="str">
            <v>PUR-14-0080-00</v>
          </cell>
          <cell r="F12671">
            <v>426080012208</v>
          </cell>
        </row>
        <row r="12672">
          <cell r="E12672" t="str">
            <v>PUR-03-0082-02</v>
          </cell>
          <cell r="F12672">
            <v>426080012208</v>
          </cell>
        </row>
        <row r="12673">
          <cell r="E12673" t="str">
            <v>PUR-14-0076-00</v>
          </cell>
          <cell r="F12673">
            <v>426080012208</v>
          </cell>
        </row>
        <row r="12674">
          <cell r="E12674" t="str">
            <v>PUR-12-0408-00</v>
          </cell>
          <cell r="F12674">
            <v>426080012208</v>
          </cell>
        </row>
        <row r="12675">
          <cell r="E12675" t="str">
            <v>EF-45046246.X.X</v>
          </cell>
          <cell r="F12675">
            <v>426080012208</v>
          </cell>
        </row>
        <row r="12676">
          <cell r="E12676" t="str">
            <v>LUC-EZZ-470844-00</v>
          </cell>
          <cell r="F12676">
            <v>426080012208</v>
          </cell>
        </row>
        <row r="12677">
          <cell r="E12677" t="str">
            <v>EF-45133864</v>
          </cell>
          <cell r="F12677">
            <v>426080012208</v>
          </cell>
        </row>
        <row r="12678">
          <cell r="E12678" t="str">
            <v>EF-45096772</v>
          </cell>
          <cell r="F12678">
            <v>426080012208</v>
          </cell>
        </row>
        <row r="12679">
          <cell r="E12679">
            <v>45252299</v>
          </cell>
          <cell r="F12679">
            <v>426080012208</v>
          </cell>
        </row>
        <row r="12680">
          <cell r="E12680" t="str">
            <v>122-003367</v>
          </cell>
          <cell r="F12680">
            <v>426080012208</v>
          </cell>
        </row>
        <row r="12681">
          <cell r="E12681" t="str">
            <v>PUR-15-0222-00</v>
          </cell>
          <cell r="F12681">
            <v>426080012208</v>
          </cell>
        </row>
        <row r="12682">
          <cell r="E12682" t="str">
            <v>PUR-07-0167-00</v>
          </cell>
          <cell r="F12682">
            <v>426080012208</v>
          </cell>
        </row>
        <row r="12683">
          <cell r="E12683" t="str">
            <v>PUR-07-0315-00</v>
          </cell>
          <cell r="F12683">
            <v>426080012208</v>
          </cell>
        </row>
        <row r="12684">
          <cell r="E12684" t="str">
            <v>PUR-13-0237-00</v>
          </cell>
          <cell r="F12684">
            <v>426080012208</v>
          </cell>
        </row>
        <row r="12685">
          <cell r="E12685" t="str">
            <v>PUR-07-0341-00</v>
          </cell>
          <cell r="F12685">
            <v>426080012208</v>
          </cell>
        </row>
        <row r="12686">
          <cell r="E12686" t="str">
            <v>121-000098.X.X</v>
          </cell>
          <cell r="F12686">
            <v>426080012208</v>
          </cell>
        </row>
        <row r="12687">
          <cell r="E12687" t="str">
            <v>PUR-10-0450-00</v>
          </cell>
          <cell r="F12687" t="str">
            <v>YFYJ-PUR 2505 SB 107</v>
          </cell>
        </row>
        <row r="12688">
          <cell r="E12688" t="str">
            <v>HLOB-10-0188-00</v>
          </cell>
          <cell r="F12688" t="str">
            <v>YFYJ-PUR 250501 JS 0000002</v>
          </cell>
        </row>
        <row r="12689">
          <cell r="E12689" t="str">
            <v>186-000311.X.X</v>
          </cell>
          <cell r="F12689" t="str">
            <v>00000553</v>
          </cell>
        </row>
        <row r="12690">
          <cell r="E12690" t="str">
            <v>186-000338.X.X</v>
          </cell>
          <cell r="F12690" t="str">
            <v>00000553</v>
          </cell>
        </row>
        <row r="12691">
          <cell r="E12691" t="str">
            <v>AGI-899-40043-01</v>
          </cell>
          <cell r="F12691" t="str">
            <v>00000553</v>
          </cell>
        </row>
        <row r="12692">
          <cell r="E12692" t="str">
            <v>EF-186-001754</v>
          </cell>
          <cell r="F12692" t="str">
            <v>00000553</v>
          </cell>
        </row>
        <row r="12693">
          <cell r="E12693" t="str">
            <v>HLOB-33-0018-00</v>
          </cell>
          <cell r="F12693" t="str">
            <v>00000553</v>
          </cell>
        </row>
        <row r="12694">
          <cell r="E12694" t="str">
            <v>LUC-LABEL-13x13</v>
          </cell>
          <cell r="F12694" t="str">
            <v>00000553</v>
          </cell>
        </row>
        <row r="12695">
          <cell r="E12695" t="str">
            <v>LUC-LABEL-13X6.5</v>
          </cell>
          <cell r="F12695" t="str">
            <v>00000553</v>
          </cell>
        </row>
        <row r="12696">
          <cell r="E12696" t="str">
            <v>LUC-LABEL-20x10</v>
          </cell>
          <cell r="F12696" t="str">
            <v>00000553</v>
          </cell>
        </row>
        <row r="12697">
          <cell r="E12697" t="str">
            <v>LUC-LABEL-50X25</v>
          </cell>
          <cell r="F12697" t="str">
            <v>00000553</v>
          </cell>
        </row>
        <row r="12698">
          <cell r="E12698" t="str">
            <v>LUC-LABEL-60X40-R</v>
          </cell>
          <cell r="F12698" t="str">
            <v>00000553</v>
          </cell>
        </row>
        <row r="12699">
          <cell r="E12699" t="str">
            <v>LUC-LABEL-60X40-V</v>
          </cell>
          <cell r="F12699" t="str">
            <v>00000553</v>
          </cell>
        </row>
        <row r="12700">
          <cell r="E12700" t="str">
            <v>PUR-33-0018-00</v>
          </cell>
          <cell r="F12700" t="str">
            <v>00000553</v>
          </cell>
        </row>
        <row r="12701">
          <cell r="E12701" t="str">
            <v>PUR-33-0025-00</v>
          </cell>
          <cell r="F12701" t="str">
            <v>00000553</v>
          </cell>
        </row>
        <row r="12702">
          <cell r="E12702" t="str">
            <v>PUR-07-0212-00</v>
          </cell>
          <cell r="F12702" t="str">
            <v>00000461</v>
          </cell>
        </row>
        <row r="12703">
          <cell r="E12703" t="str">
            <v>LUC-161-001420</v>
          </cell>
          <cell r="F12703" t="str">
            <v>00000420</v>
          </cell>
        </row>
        <row r="12704">
          <cell r="E12704" t="str">
            <v>LUC-161-001434</v>
          </cell>
          <cell r="F12704" t="str">
            <v>00000420</v>
          </cell>
        </row>
        <row r="12705">
          <cell r="E12705" t="str">
            <v>LUC-161-001436</v>
          </cell>
          <cell r="F12705" t="str">
            <v>00000420</v>
          </cell>
        </row>
        <row r="12706">
          <cell r="E12706" t="str">
            <v>LUC-161-001432</v>
          </cell>
          <cell r="F12706" t="str">
            <v>00000420</v>
          </cell>
        </row>
        <row r="12707">
          <cell r="E12707" t="str">
            <v>LUC-161-001433</v>
          </cell>
          <cell r="F12707" t="str">
            <v>00000420</v>
          </cell>
        </row>
        <row r="12708">
          <cell r="E12708" t="str">
            <v>LUC-161-001415</v>
          </cell>
          <cell r="F12708" t="str">
            <v>00000420</v>
          </cell>
        </row>
        <row r="12709">
          <cell r="E12709" t="str">
            <v>LUC-161-001475</v>
          </cell>
          <cell r="F12709" t="str">
            <v>00000420</v>
          </cell>
        </row>
        <row r="12710">
          <cell r="E12710" t="str">
            <v>EF-45198779</v>
          </cell>
          <cell r="F12710" t="str">
            <v>00000002</v>
          </cell>
        </row>
        <row r="12711">
          <cell r="E12711" t="str">
            <v>EF-45198782</v>
          </cell>
          <cell r="F12711" t="str">
            <v>00000002</v>
          </cell>
        </row>
        <row r="12712">
          <cell r="E12712" t="str">
            <v>HLOB-03-0113-00</v>
          </cell>
          <cell r="F12712" t="str">
            <v>8TV6549</v>
          </cell>
        </row>
        <row r="12713">
          <cell r="E12713" t="str">
            <v>HLOB-03-0113-00</v>
          </cell>
          <cell r="F12713" t="str">
            <v>8TV6551</v>
          </cell>
        </row>
        <row r="12714">
          <cell r="E12714" t="str">
            <v>LUC-161-001418</v>
          </cell>
          <cell r="F12714">
            <v>758</v>
          </cell>
        </row>
        <row r="12715">
          <cell r="E12715" t="str">
            <v>LUC-161-001419</v>
          </cell>
          <cell r="F12715">
            <v>758</v>
          </cell>
        </row>
        <row r="12716">
          <cell r="E12716" t="str">
            <v>PUR-10-0334-00</v>
          </cell>
          <cell r="F12716" t="str">
            <v>YFYJ-PUR 2506.23 GS 00000376</v>
          </cell>
        </row>
        <row r="12717">
          <cell r="E12717" t="str">
            <v>PUR-10-0188-00</v>
          </cell>
          <cell r="F12717" t="str">
            <v>YFYJ-PUR 250624 JS 00000003</v>
          </cell>
        </row>
        <row r="12718">
          <cell r="E12718" t="str">
            <v>PUR-10-0342-00</v>
          </cell>
          <cell r="F12718" t="str">
            <v>YFYJ-PUR 2506.24 PF 364</v>
          </cell>
        </row>
        <row r="12719">
          <cell r="E12719" t="str">
            <v>PUR-10-0312-00</v>
          </cell>
          <cell r="F12719" t="str">
            <v>YFYJ-PUR 2506.23 TV 81</v>
          </cell>
        </row>
        <row r="12720">
          <cell r="E12720" t="str">
            <v>PUR-10-0312-00</v>
          </cell>
          <cell r="F12720" t="str">
            <v>YFYJ-PUR 2506.23 TV 81</v>
          </cell>
        </row>
        <row r="12721">
          <cell r="E12721" t="str">
            <v>PUR-10-0313-00</v>
          </cell>
          <cell r="F12721" t="str">
            <v>YFYJ-PUR 2506.23 TV 81</v>
          </cell>
        </row>
        <row r="12722">
          <cell r="E12722" t="str">
            <v>161-000022.X.X</v>
          </cell>
          <cell r="F12722" t="str">
            <v>00000755</v>
          </cell>
        </row>
        <row r="12723">
          <cell r="E12723" t="str">
            <v>186-000047.X.X</v>
          </cell>
          <cell r="F12723" t="str">
            <v>00000755</v>
          </cell>
        </row>
        <row r="12724">
          <cell r="E12724" t="str">
            <v>186-000311.X.X</v>
          </cell>
          <cell r="F12724" t="str">
            <v>00000755</v>
          </cell>
        </row>
        <row r="12725">
          <cell r="E12725" t="str">
            <v>186-000338.X.X</v>
          </cell>
          <cell r="F12725" t="str">
            <v>00000755</v>
          </cell>
        </row>
        <row r="12726">
          <cell r="E12726" t="str">
            <v>186-000541.X.X</v>
          </cell>
          <cell r="F12726" t="str">
            <v>00000755</v>
          </cell>
        </row>
        <row r="12727">
          <cell r="E12727" t="str">
            <v>186-001788</v>
          </cell>
          <cell r="F12727" t="str">
            <v>00000755</v>
          </cell>
        </row>
        <row r="12728">
          <cell r="E12728" t="str">
            <v>AGI-899-40009-01</v>
          </cell>
          <cell r="F12728" t="str">
            <v>00000755</v>
          </cell>
        </row>
        <row r="12729">
          <cell r="E12729" t="str">
            <v>AGI-899-40013-01</v>
          </cell>
          <cell r="F12729" t="str">
            <v>00000755</v>
          </cell>
        </row>
        <row r="12730">
          <cell r="E12730" t="str">
            <v>AGI-899-40030-01</v>
          </cell>
          <cell r="F12730" t="str">
            <v>00000755</v>
          </cell>
        </row>
        <row r="12731">
          <cell r="E12731" t="str">
            <v>AGI-899-40034-01</v>
          </cell>
          <cell r="F12731" t="str">
            <v>00000755</v>
          </cell>
        </row>
        <row r="12732">
          <cell r="E12732" t="str">
            <v>AGI-899-50003-01</v>
          </cell>
          <cell r="F12732" t="str">
            <v>00000755</v>
          </cell>
        </row>
        <row r="12733">
          <cell r="E12733" t="str">
            <v>AIC-186-001785</v>
          </cell>
          <cell r="F12733" t="str">
            <v>00000755</v>
          </cell>
        </row>
        <row r="12734">
          <cell r="E12734" t="str">
            <v>AIC-186-001787</v>
          </cell>
          <cell r="F12734" t="str">
            <v>00000755</v>
          </cell>
        </row>
        <row r="12735">
          <cell r="E12735" t="str">
            <v>HLOB-33-0018-00</v>
          </cell>
          <cell r="F12735" t="str">
            <v>00000755</v>
          </cell>
        </row>
        <row r="12736">
          <cell r="E12736" t="str">
            <v>LUC-186-001786</v>
          </cell>
          <cell r="F12736" t="str">
            <v>00000755</v>
          </cell>
        </row>
        <row r="12737">
          <cell r="E12737" t="str">
            <v>LUC-LABEL-25X25</v>
          </cell>
          <cell r="F12737" t="str">
            <v>00000755</v>
          </cell>
        </row>
        <row r="12738">
          <cell r="E12738" t="str">
            <v>LUC-LABEL-60X40-N</v>
          </cell>
          <cell r="F12738" t="str">
            <v>00000755</v>
          </cell>
        </row>
        <row r="12739">
          <cell r="E12739" t="str">
            <v>LUC-LABEL-60X40-V</v>
          </cell>
          <cell r="F12739" t="str">
            <v>00000755</v>
          </cell>
        </row>
        <row r="12740">
          <cell r="E12740" t="str">
            <v>PUR-18-0410-00</v>
          </cell>
          <cell r="F12740" t="str">
            <v>00000755</v>
          </cell>
        </row>
        <row r="12741">
          <cell r="E12741" t="str">
            <v>PUR-18-0480-00</v>
          </cell>
          <cell r="F12741" t="str">
            <v>00000755</v>
          </cell>
        </row>
        <row r="12742">
          <cell r="E12742" t="str">
            <v>PUR-18-0484-00</v>
          </cell>
          <cell r="F12742" t="str">
            <v>00000755</v>
          </cell>
        </row>
        <row r="12743">
          <cell r="E12743" t="str">
            <v>PUR-18-0504-00</v>
          </cell>
          <cell r="F12743" t="str">
            <v>00000755</v>
          </cell>
        </row>
        <row r="12744">
          <cell r="E12744" t="str">
            <v>PUR-33-0010-00</v>
          </cell>
          <cell r="F12744" t="str">
            <v>00000755</v>
          </cell>
        </row>
        <row r="12745">
          <cell r="E12745" t="str">
            <v>PUR-33-0018-00</v>
          </cell>
          <cell r="F12745" t="str">
            <v>00000755</v>
          </cell>
        </row>
        <row r="12746">
          <cell r="E12746" t="str">
            <v>PURET-18-0187-00</v>
          </cell>
          <cell r="F12746" t="str">
            <v>00000755</v>
          </cell>
        </row>
        <row r="12747">
          <cell r="E12747" t="str">
            <v>LUC-161-001426</v>
          </cell>
          <cell r="F12747" t="str">
            <v>00000511</v>
          </cell>
        </row>
        <row r="12748">
          <cell r="E12748" t="str">
            <v>LUC-161-001485</v>
          </cell>
          <cell r="F12748" t="str">
            <v>00000511</v>
          </cell>
        </row>
        <row r="12749">
          <cell r="E12749" t="str">
            <v xml:space="preserve">161-001396 </v>
          </cell>
          <cell r="F12749" t="str">
            <v>00000511</v>
          </cell>
        </row>
        <row r="12750">
          <cell r="E12750" t="str">
            <v>LUC-161-001493</v>
          </cell>
          <cell r="F12750" t="str">
            <v>00000511</v>
          </cell>
        </row>
        <row r="12751">
          <cell r="E12751" t="str">
            <v>LUC-161-001492</v>
          </cell>
          <cell r="F12751" t="str">
            <v>00000511</v>
          </cell>
        </row>
        <row r="12752">
          <cell r="E12752" t="str">
            <v>LUC-161-001422</v>
          </cell>
          <cell r="F12752" t="str">
            <v>00000511</v>
          </cell>
        </row>
        <row r="12753">
          <cell r="E12753" t="str">
            <v>LUC-161-001430</v>
          </cell>
          <cell r="F12753" t="str">
            <v>00000511</v>
          </cell>
        </row>
        <row r="12754">
          <cell r="E12754" t="str">
            <v>LUC-161-001431</v>
          </cell>
          <cell r="F12754" t="str">
            <v>00000511</v>
          </cell>
        </row>
        <row r="12755">
          <cell r="E12755" t="str">
            <v>LUC-161-001421</v>
          </cell>
          <cell r="F12755" t="str">
            <v>00000511</v>
          </cell>
        </row>
        <row r="12756">
          <cell r="E12756" t="str">
            <v>LUC-161-001416</v>
          </cell>
          <cell r="F12756" t="str">
            <v>00000511</v>
          </cell>
        </row>
        <row r="12757">
          <cell r="E12757" t="str">
            <v>LUC-161-001414</v>
          </cell>
          <cell r="F12757" t="str">
            <v>00000511</v>
          </cell>
        </row>
        <row r="12758">
          <cell r="E12758" t="str">
            <v>LUC-161-001414</v>
          </cell>
          <cell r="F12758" t="str">
            <v>00000511</v>
          </cell>
        </row>
        <row r="12759">
          <cell r="E12759" t="str">
            <v>LUC-161-001420</v>
          </cell>
          <cell r="F12759" t="str">
            <v>00000511</v>
          </cell>
        </row>
        <row r="12760">
          <cell r="E12760" t="str">
            <v>LUC-161-001420</v>
          </cell>
          <cell r="F12760" t="str">
            <v>00000511</v>
          </cell>
        </row>
        <row r="12761">
          <cell r="E12761" t="str">
            <v>LUC-161-001425</v>
          </cell>
          <cell r="F12761" t="str">
            <v>00000511</v>
          </cell>
        </row>
        <row r="12762">
          <cell r="E12762" t="str">
            <v>LUC-161-001425</v>
          </cell>
          <cell r="F12762" t="str">
            <v>00000511</v>
          </cell>
        </row>
        <row r="12763">
          <cell r="E12763" t="str">
            <v>LUC-161-001425</v>
          </cell>
          <cell r="F12763" t="str">
            <v>00000511</v>
          </cell>
        </row>
        <row r="12764">
          <cell r="E12764" t="str">
            <v>LUC-161-001425</v>
          </cell>
          <cell r="F12764" t="str">
            <v>00000511</v>
          </cell>
        </row>
        <row r="12765">
          <cell r="E12765" t="str">
            <v>184-000025.X.X</v>
          </cell>
          <cell r="F12765" t="str">
            <v>00000822</v>
          </cell>
        </row>
        <row r="12766">
          <cell r="E12766" t="str">
            <v>161-000291</v>
          </cell>
          <cell r="F12766" t="str">
            <v>00002535</v>
          </cell>
        </row>
        <row r="12767">
          <cell r="E12767" t="str">
            <v>161-000110.X.X</v>
          </cell>
          <cell r="F12767" t="str">
            <v>00002535</v>
          </cell>
        </row>
        <row r="12768">
          <cell r="E12768" t="str">
            <v>186-001798</v>
          </cell>
          <cell r="F12768" t="str">
            <v>00000937</v>
          </cell>
        </row>
        <row r="12769">
          <cell r="E12769" t="str">
            <v>PURET-18-0079-00</v>
          </cell>
          <cell r="F12769" t="str">
            <v>00000937</v>
          </cell>
        </row>
        <row r="12770">
          <cell r="E12770" t="str">
            <v>PUR-33-0010-00</v>
          </cell>
          <cell r="F12770" t="str">
            <v>00000937</v>
          </cell>
        </row>
        <row r="12771">
          <cell r="E12771" t="str">
            <v>LUC-LABEL-60X40-V</v>
          </cell>
          <cell r="F12771" t="str">
            <v>00000937</v>
          </cell>
        </row>
        <row r="12772">
          <cell r="E12772" t="str">
            <v>AIC-186-001783</v>
          </cell>
          <cell r="F12772" t="str">
            <v>00000937</v>
          </cell>
        </row>
        <row r="12773">
          <cell r="E12773" t="str">
            <v>186-000541.X.X</v>
          </cell>
          <cell r="F12773" t="str">
            <v>00000937</v>
          </cell>
        </row>
        <row r="12774">
          <cell r="E12774" t="str">
            <v>LUC-LABEL-13x13</v>
          </cell>
          <cell r="F12774" t="str">
            <v>00000937</v>
          </cell>
        </row>
        <row r="12775">
          <cell r="E12775" t="str">
            <v>PUR-33-0025-00</v>
          </cell>
          <cell r="F12775" t="str">
            <v>00000937</v>
          </cell>
        </row>
        <row r="12776">
          <cell r="E12776" t="str">
            <v>PUR-33-0012-00</v>
          </cell>
          <cell r="F12776" t="str">
            <v>00000937</v>
          </cell>
        </row>
        <row r="12777">
          <cell r="E12777" t="str">
            <v>HLOB-33-0018-00</v>
          </cell>
          <cell r="F12777" t="str">
            <v>00000937</v>
          </cell>
        </row>
        <row r="12778">
          <cell r="E12778" t="str">
            <v>LUC-LABEL-20x10</v>
          </cell>
          <cell r="F12778" t="str">
            <v>00000937</v>
          </cell>
        </row>
        <row r="12779">
          <cell r="E12779" t="str">
            <v>LUC-LABEL-60X40-B</v>
          </cell>
          <cell r="F12779" t="str">
            <v>00000937</v>
          </cell>
        </row>
        <row r="12780">
          <cell r="E12780" t="str">
            <v>LUC-P11-K2BC00-01</v>
          </cell>
          <cell r="F12780">
            <v>1305</v>
          </cell>
        </row>
        <row r="12781">
          <cell r="E12781" t="str">
            <v>EF-45198780</v>
          </cell>
          <cell r="F12781" t="str">
            <v>00000003</v>
          </cell>
        </row>
        <row r="12782">
          <cell r="E12782" t="str">
            <v>EF-45198781</v>
          </cell>
          <cell r="F12782" t="str">
            <v>00000003</v>
          </cell>
        </row>
        <row r="12783">
          <cell r="E12783" t="str">
            <v>PUR-10-0334-00</v>
          </cell>
          <cell r="F12783" t="str">
            <v>YFYJ-PUR 2507 GS 00000483</v>
          </cell>
        </row>
        <row r="12784">
          <cell r="E12784" t="str">
            <v>PUR-10-0334-00</v>
          </cell>
          <cell r="F12784" t="str">
            <v>YFYJ-PUR 2507 GS 00000483</v>
          </cell>
        </row>
        <row r="12785">
          <cell r="E12785" t="str">
            <v>PUR-10-0342-00</v>
          </cell>
          <cell r="F12785" t="str">
            <v>YFYJ-PUR-2507 PF 444</v>
          </cell>
        </row>
        <row r="12786">
          <cell r="E12786" t="str">
            <v>PUR-10-0342-00</v>
          </cell>
          <cell r="F12786" t="str">
            <v>YFYJ-PUR-2507 PF 444</v>
          </cell>
        </row>
        <row r="12787">
          <cell r="E12787" t="str">
            <v>PUR-10-0312-00</v>
          </cell>
          <cell r="F12787" t="str">
            <v>YFYJ-PUR 2507 TV 92</v>
          </cell>
        </row>
        <row r="12788">
          <cell r="E12788" t="str">
            <v>PUR-10-0312-00</v>
          </cell>
          <cell r="F12788" t="str">
            <v>YFYJ-PUR 2507 TV 92</v>
          </cell>
        </row>
        <row r="12789">
          <cell r="E12789" t="str">
            <v>PUR-10-0313-00</v>
          </cell>
          <cell r="F12789" t="str">
            <v>YFYJ-PUR 2507 TV 92</v>
          </cell>
        </row>
        <row r="12790">
          <cell r="E12790" t="str">
            <v>184-000025.X.X</v>
          </cell>
          <cell r="F12790" t="str">
            <v>00000982</v>
          </cell>
        </row>
        <row r="12791">
          <cell r="E12791" t="str">
            <v>LUC-161-001414</v>
          </cell>
          <cell r="F12791" t="str">
            <v>00000605</v>
          </cell>
        </row>
        <row r="12792">
          <cell r="E12792" t="str">
            <v>LUC-161-001414</v>
          </cell>
          <cell r="F12792" t="str">
            <v>00000605</v>
          </cell>
        </row>
        <row r="12793">
          <cell r="E12793" t="str">
            <v>LUC-161-001414</v>
          </cell>
          <cell r="F12793" t="str">
            <v>00000605</v>
          </cell>
        </row>
        <row r="12794">
          <cell r="E12794" t="str">
            <v>LUC-161-001415</v>
          </cell>
          <cell r="F12794" t="str">
            <v>00000605</v>
          </cell>
        </row>
        <row r="12795">
          <cell r="E12795" t="str">
            <v>LUC-161-001415</v>
          </cell>
          <cell r="F12795" t="str">
            <v>00000605</v>
          </cell>
        </row>
        <row r="12796">
          <cell r="E12796" t="str">
            <v>LUC-161-001415</v>
          </cell>
          <cell r="F12796" t="str">
            <v>00000605</v>
          </cell>
        </row>
        <row r="12797">
          <cell r="E12797" t="str">
            <v>LUC-161-001415</v>
          </cell>
          <cell r="F12797" t="str">
            <v>00000605</v>
          </cell>
        </row>
        <row r="12798">
          <cell r="E12798" t="str">
            <v>LUC-161-001416</v>
          </cell>
          <cell r="F12798" t="str">
            <v>00000605</v>
          </cell>
        </row>
        <row r="12799">
          <cell r="E12799" t="str">
            <v>LUC-161-001416</v>
          </cell>
          <cell r="F12799" t="str">
            <v>00000605</v>
          </cell>
        </row>
        <row r="12800">
          <cell r="E12800" t="str">
            <v>LUC-161-001417</v>
          </cell>
          <cell r="F12800" t="str">
            <v>00000605</v>
          </cell>
        </row>
        <row r="12801">
          <cell r="E12801" t="str">
            <v>LUC-161-001420</v>
          </cell>
          <cell r="F12801" t="str">
            <v>00000605</v>
          </cell>
        </row>
        <row r="12802">
          <cell r="E12802" t="str">
            <v>LUC-161-001421</v>
          </cell>
          <cell r="F12802" t="str">
            <v>00000605</v>
          </cell>
        </row>
        <row r="12803">
          <cell r="E12803" t="str">
            <v>LUC-161-001421</v>
          </cell>
          <cell r="F12803" t="str">
            <v>00000605</v>
          </cell>
        </row>
        <row r="12804">
          <cell r="E12804" t="str">
            <v>LUC-161-001422</v>
          </cell>
          <cell r="F12804" t="str">
            <v>00000605</v>
          </cell>
        </row>
        <row r="12805">
          <cell r="E12805" t="str">
            <v>LUC-161-001422</v>
          </cell>
          <cell r="F12805" t="str">
            <v>00000605</v>
          </cell>
        </row>
        <row r="12806">
          <cell r="E12806" t="str">
            <v>LUC-161-001425</v>
          </cell>
          <cell r="F12806" t="str">
            <v>00000605</v>
          </cell>
        </row>
        <row r="12807">
          <cell r="E12807" t="str">
            <v>LUC-161-001425</v>
          </cell>
          <cell r="F12807" t="str">
            <v>00000605</v>
          </cell>
        </row>
        <row r="12808">
          <cell r="E12808" t="str">
            <v>LUC-161-001428</v>
          </cell>
          <cell r="F12808" t="str">
            <v>00000605</v>
          </cell>
        </row>
        <row r="12809">
          <cell r="E12809" t="str">
            <v>LUC-161-001429</v>
          </cell>
          <cell r="F12809" t="str">
            <v>00000605</v>
          </cell>
        </row>
        <row r="12810">
          <cell r="E12810" t="str">
            <v>LUC-161-001430</v>
          </cell>
          <cell r="F12810" t="str">
            <v>00000605</v>
          </cell>
        </row>
        <row r="12811">
          <cell r="E12811" t="str">
            <v>LUC-161-001431</v>
          </cell>
          <cell r="F12811" t="str">
            <v>00000605</v>
          </cell>
        </row>
        <row r="12812">
          <cell r="E12812" t="str">
            <v>LUC-161-001432</v>
          </cell>
          <cell r="F12812" t="str">
            <v>00000605</v>
          </cell>
        </row>
        <row r="12813">
          <cell r="E12813" t="str">
            <v>LUC-161-001434</v>
          </cell>
          <cell r="F12813" t="str">
            <v>00000605</v>
          </cell>
        </row>
        <row r="12814">
          <cell r="E12814" t="str">
            <v>LUC-161-001435</v>
          </cell>
          <cell r="F12814" t="str">
            <v>00000605</v>
          </cell>
        </row>
        <row r="12815">
          <cell r="E12815" t="str">
            <v>LUC-161-001436</v>
          </cell>
          <cell r="F12815" t="str">
            <v>00000605</v>
          </cell>
        </row>
        <row r="12816">
          <cell r="E12816" t="str">
            <v>LUC-161-001437</v>
          </cell>
          <cell r="F12816" t="str">
            <v>00000605</v>
          </cell>
        </row>
        <row r="12817">
          <cell r="E12817" t="str">
            <v>LUC-161-001438</v>
          </cell>
          <cell r="F12817" t="str">
            <v>00000605</v>
          </cell>
        </row>
        <row r="12818">
          <cell r="E12818" t="str">
            <v>LUC-161-001439</v>
          </cell>
          <cell r="F12818" t="str">
            <v>00000605</v>
          </cell>
        </row>
        <row r="12819">
          <cell r="E12819" t="str">
            <v>LUC-161-001440</v>
          </cell>
          <cell r="F12819" t="str">
            <v>00000605</v>
          </cell>
        </row>
        <row r="12820">
          <cell r="E12820" t="str">
            <v>LUC-161-001441</v>
          </cell>
          <cell r="F12820" t="str">
            <v>00000605</v>
          </cell>
        </row>
        <row r="12821">
          <cell r="E12821" t="str">
            <v>LUC-161-001474</v>
          </cell>
          <cell r="F12821" t="str">
            <v>00000605</v>
          </cell>
        </row>
        <row r="12822">
          <cell r="E12822" t="str">
            <v>LUC-161-001474</v>
          </cell>
          <cell r="F12822" t="str">
            <v>00000605</v>
          </cell>
        </row>
        <row r="12823">
          <cell r="E12823" t="str">
            <v>LUC-161-001475</v>
          </cell>
          <cell r="F12823" t="str">
            <v>00000605</v>
          </cell>
        </row>
        <row r="12824">
          <cell r="E12824" t="str">
            <v>LUC-161-001475</v>
          </cell>
          <cell r="F12824" t="str">
            <v>00000605</v>
          </cell>
        </row>
        <row r="12825">
          <cell r="E12825" t="str">
            <v>LUC-161-001485</v>
          </cell>
          <cell r="F12825" t="str">
            <v>00000605</v>
          </cell>
        </row>
        <row r="12826">
          <cell r="E12826" t="str">
            <v>LUC-161-001486</v>
          </cell>
          <cell r="F12826" t="str">
            <v>00000605</v>
          </cell>
        </row>
        <row r="12827">
          <cell r="E12827" t="str">
            <v>LUC-161-001487</v>
          </cell>
          <cell r="F12827" t="str">
            <v>00000605</v>
          </cell>
        </row>
        <row r="12828">
          <cell r="E12828" t="str">
            <v>LUC-161-001490</v>
          </cell>
          <cell r="F12828" t="str">
            <v>00000605</v>
          </cell>
        </row>
        <row r="12829">
          <cell r="E12829" t="str">
            <v>LUC-161-001491</v>
          </cell>
          <cell r="F12829" t="str">
            <v>00000605</v>
          </cell>
        </row>
        <row r="12830">
          <cell r="E12830" t="str">
            <v>LUC-161-001492</v>
          </cell>
          <cell r="F12830" t="str">
            <v>00000605</v>
          </cell>
        </row>
        <row r="12831">
          <cell r="E12831" t="str">
            <v>LUC-161-001492</v>
          </cell>
          <cell r="F12831" t="str">
            <v>00000605</v>
          </cell>
        </row>
        <row r="12832">
          <cell r="E12832" t="str">
            <v>LUC-161-001493</v>
          </cell>
          <cell r="F12832" t="str">
            <v>00000605</v>
          </cell>
        </row>
        <row r="12833">
          <cell r="E12833" t="str">
            <v>LUC-161-001493</v>
          </cell>
          <cell r="F12833" t="str">
            <v>00000605</v>
          </cell>
        </row>
        <row r="12834">
          <cell r="E12834" t="str">
            <v>102-001541</v>
          </cell>
          <cell r="F12834" t="str">
            <v>HDLCA100141</v>
          </cell>
        </row>
        <row r="12835">
          <cell r="E12835" t="str">
            <v>LUC-P11-K35000-02</v>
          </cell>
          <cell r="F12835">
            <v>883167687775</v>
          </cell>
        </row>
        <row r="12836">
          <cell r="E12836" t="str">
            <v>LUC-E00-690030-02</v>
          </cell>
          <cell r="F12836">
            <v>462141378990</v>
          </cell>
        </row>
        <row r="12837">
          <cell r="E12837" t="str">
            <v>LUC-E00-690157-01</v>
          </cell>
          <cell r="F12837">
            <v>462141378795</v>
          </cell>
        </row>
        <row r="12838">
          <cell r="E12838" t="str">
            <v>HLOB-15-0207-00</v>
          </cell>
          <cell r="F12838">
            <v>883165054991</v>
          </cell>
        </row>
        <row r="12839">
          <cell r="E12839" t="str">
            <v>PUR-15-0207-00</v>
          </cell>
          <cell r="F12839">
            <v>883165054991</v>
          </cell>
        </row>
        <row r="12840">
          <cell r="E12840" t="str">
            <v>LUC-E00-420086-00</v>
          </cell>
          <cell r="F12840">
            <v>466395482195</v>
          </cell>
        </row>
        <row r="12841">
          <cell r="E12841" t="str">
            <v>AIC-MP-00002331-000</v>
          </cell>
          <cell r="F12841">
            <v>471783716578</v>
          </cell>
        </row>
        <row r="12842">
          <cell r="E12842" t="str">
            <v>AIC-MP-00002333-000</v>
          </cell>
          <cell r="F12842">
            <v>471783716578</v>
          </cell>
        </row>
        <row r="12843">
          <cell r="E12843" t="str">
            <v>AIC-MP-00002307-000</v>
          </cell>
          <cell r="F12843">
            <v>471783716578</v>
          </cell>
        </row>
        <row r="12844">
          <cell r="E12844" t="str">
            <v>AIC-MP-00002417-000</v>
          </cell>
          <cell r="F12844">
            <v>471783716578</v>
          </cell>
        </row>
        <row r="12845">
          <cell r="E12845" t="str">
            <v>121-000519.X.X</v>
          </cell>
          <cell r="F12845">
            <v>471783716578</v>
          </cell>
        </row>
        <row r="12846">
          <cell r="E12846" t="str">
            <v>AIC-MP-00002396-000</v>
          </cell>
          <cell r="F12846">
            <v>471783716578</v>
          </cell>
        </row>
        <row r="12847">
          <cell r="E12847" t="str">
            <v>AIC-MP-00002413-000</v>
          </cell>
          <cell r="F12847">
            <v>471783716578</v>
          </cell>
        </row>
        <row r="12848">
          <cell r="E12848" t="str">
            <v>AIC-MP-00002126-000</v>
          </cell>
          <cell r="F12848">
            <v>471783716578</v>
          </cell>
        </row>
        <row r="12849">
          <cell r="E12849" t="str">
            <v>EF-45125129</v>
          </cell>
          <cell r="F12849">
            <v>471783716578</v>
          </cell>
        </row>
        <row r="12850">
          <cell r="E12850" t="str">
            <v>EF-45037085.X.X</v>
          </cell>
          <cell r="F12850">
            <v>471783716578</v>
          </cell>
        </row>
        <row r="12851">
          <cell r="E12851" t="str">
            <v>AIC-MP-00004575-000</v>
          </cell>
          <cell r="F12851">
            <v>471783716578</v>
          </cell>
        </row>
        <row r="12852">
          <cell r="E12852" t="str">
            <v>AIC-MP-00004727-000</v>
          </cell>
          <cell r="F12852">
            <v>471783716578</v>
          </cell>
        </row>
        <row r="12853">
          <cell r="E12853" t="str">
            <v>AIC-MP-00006337-000</v>
          </cell>
          <cell r="F12853">
            <v>471783716578</v>
          </cell>
        </row>
        <row r="12854">
          <cell r="E12854" t="str">
            <v>AIC-MP-00002618-000</v>
          </cell>
          <cell r="F12854">
            <v>471783716578</v>
          </cell>
        </row>
        <row r="12855">
          <cell r="E12855" t="str">
            <v>EF-45043496.X.X</v>
          </cell>
          <cell r="F12855">
            <v>471783716578</v>
          </cell>
        </row>
        <row r="12856">
          <cell r="E12856" t="str">
            <v>AIC-MP-00002248-000</v>
          </cell>
          <cell r="F12856">
            <v>471783716578</v>
          </cell>
        </row>
        <row r="12857">
          <cell r="E12857" t="str">
            <v>AIC-MP-00002804-000</v>
          </cell>
          <cell r="F12857">
            <v>471783716578</v>
          </cell>
        </row>
        <row r="12858">
          <cell r="E12858" t="str">
            <v>HLOB-12-0423-00</v>
          </cell>
          <cell r="F12858">
            <v>471783716578</v>
          </cell>
        </row>
        <row r="12859">
          <cell r="E12859" t="str">
            <v>HLOB-12-0423-00</v>
          </cell>
          <cell r="F12859">
            <v>471783716578</v>
          </cell>
        </row>
        <row r="12860">
          <cell r="E12860" t="str">
            <v>121-000520.X.X</v>
          </cell>
          <cell r="F12860">
            <v>471783716578</v>
          </cell>
        </row>
        <row r="12861">
          <cell r="E12861" t="str">
            <v>121-000254.X.X</v>
          </cell>
          <cell r="F12861">
            <v>471783716578</v>
          </cell>
        </row>
        <row r="12862">
          <cell r="E12862" t="str">
            <v>121-000520.X.X</v>
          </cell>
          <cell r="F12862">
            <v>471783716578</v>
          </cell>
        </row>
        <row r="12863">
          <cell r="E12863" t="str">
            <v>121-000519.X.X</v>
          </cell>
          <cell r="F12863">
            <v>471783716578</v>
          </cell>
        </row>
        <row r="12864">
          <cell r="E12864" t="str">
            <v>121-000254.X.X</v>
          </cell>
          <cell r="F12864">
            <v>471783716578</v>
          </cell>
        </row>
        <row r="12865">
          <cell r="E12865" t="str">
            <v>AIC-MP-00002589-000</v>
          </cell>
          <cell r="F12865">
            <v>471783716578</v>
          </cell>
        </row>
        <row r="12866">
          <cell r="E12866" t="str">
            <v>122-000673.X.X</v>
          </cell>
          <cell r="F12866">
            <v>471783716578</v>
          </cell>
        </row>
        <row r="12867">
          <cell r="E12867" t="str">
            <v>122-000453.X.X</v>
          </cell>
          <cell r="F12867">
            <v>471783716578</v>
          </cell>
        </row>
        <row r="12868">
          <cell r="E12868" t="str">
            <v>122-000821.X.X</v>
          </cell>
          <cell r="F12868">
            <v>471783716578</v>
          </cell>
        </row>
        <row r="12869">
          <cell r="E12869" t="str">
            <v>122-000293.X.X</v>
          </cell>
          <cell r="F12869">
            <v>471783716578</v>
          </cell>
        </row>
        <row r="12870">
          <cell r="E12870" t="str">
            <v>122-000673.X.X</v>
          </cell>
          <cell r="F12870">
            <v>471783716578</v>
          </cell>
        </row>
        <row r="12871">
          <cell r="E12871" t="str">
            <v>122-000453.X.X</v>
          </cell>
          <cell r="F12871">
            <v>471783716578</v>
          </cell>
        </row>
        <row r="12872">
          <cell r="E12872" t="str">
            <v>122-000453.X.X</v>
          </cell>
          <cell r="F12872">
            <v>471783716578</v>
          </cell>
        </row>
        <row r="12873">
          <cell r="E12873" t="str">
            <v>122-001674</v>
          </cell>
          <cell r="F12873">
            <v>471783716578</v>
          </cell>
        </row>
        <row r="12874">
          <cell r="E12874" t="str">
            <v>LUC-EZZ-420148-00</v>
          </cell>
          <cell r="F12874">
            <v>471783716578</v>
          </cell>
        </row>
        <row r="12875">
          <cell r="E12875" t="str">
            <v>HLOB-13-0001-00</v>
          </cell>
          <cell r="F12875">
            <v>471783716578</v>
          </cell>
        </row>
        <row r="12876">
          <cell r="E12876" t="str">
            <v>121-000359.X.X</v>
          </cell>
          <cell r="F12876">
            <v>471783716578</v>
          </cell>
        </row>
        <row r="12877">
          <cell r="E12877" t="str">
            <v>122-000701.X.X</v>
          </cell>
          <cell r="F12877">
            <v>471783716578</v>
          </cell>
        </row>
        <row r="12878">
          <cell r="E12878" t="str">
            <v>121-000253.X.X</v>
          </cell>
          <cell r="F12878">
            <v>471783716578</v>
          </cell>
        </row>
        <row r="12879">
          <cell r="E12879" t="str">
            <v>AIC-MP-00002543-000</v>
          </cell>
          <cell r="F12879">
            <v>471783716578</v>
          </cell>
        </row>
        <row r="12880">
          <cell r="E12880" t="str">
            <v>LUC-E00-400020-000</v>
          </cell>
          <cell r="F12880">
            <v>471783716578</v>
          </cell>
        </row>
        <row r="12881">
          <cell r="E12881" t="str">
            <v>PUR-09-0434-00</v>
          </cell>
          <cell r="F12881">
            <v>445170492795</v>
          </cell>
        </row>
        <row r="12882">
          <cell r="E12882" t="str">
            <v>HLOB-09-0294-00</v>
          </cell>
          <cell r="F12882">
            <v>391564105182</v>
          </cell>
        </row>
        <row r="12883">
          <cell r="E12883" t="str">
            <v>PUR-09-0294-00</v>
          </cell>
          <cell r="F12883">
            <v>391564105182</v>
          </cell>
        </row>
        <row r="12884">
          <cell r="E12884" t="str">
            <v>HLOB-09-0294-00</v>
          </cell>
          <cell r="F12884">
            <v>391564105182</v>
          </cell>
        </row>
        <row r="12885">
          <cell r="E12885" t="str">
            <v>PUR-09-0294-00</v>
          </cell>
          <cell r="F12885">
            <v>391564105182</v>
          </cell>
        </row>
        <row r="12886">
          <cell r="E12886" t="str">
            <v>PUR-09-0294-00</v>
          </cell>
          <cell r="F12886">
            <v>391564105182</v>
          </cell>
        </row>
        <row r="12887">
          <cell r="E12887" t="str">
            <v>PUR-09-0294-00</v>
          </cell>
          <cell r="F12887">
            <v>391564105182</v>
          </cell>
        </row>
        <row r="12888">
          <cell r="E12888" t="str">
            <v>AIC-MP-00007057-000</v>
          </cell>
          <cell r="F12888">
            <v>883133113451</v>
          </cell>
        </row>
        <row r="12889">
          <cell r="E12889" t="str">
            <v>LUC-E00-400010-055</v>
          </cell>
          <cell r="F12889">
            <v>972682038037</v>
          </cell>
        </row>
        <row r="12890">
          <cell r="E12890" t="str">
            <v>AIC-BPM-UPG0002-B01</v>
          </cell>
          <cell r="F12890">
            <v>7673787225</v>
          </cell>
        </row>
        <row r="12891">
          <cell r="E12891" t="str">
            <v>LUC-EZZ-490231-06</v>
          </cell>
          <cell r="F12891">
            <v>7673781426</v>
          </cell>
        </row>
        <row r="12892">
          <cell r="E12892" t="str">
            <v>PUR-03-0038-00</v>
          </cell>
          <cell r="F12892">
            <v>9664581592</v>
          </cell>
        </row>
        <row r="12893">
          <cell r="E12893" t="str">
            <v>PUR-03-0038-00</v>
          </cell>
          <cell r="F12893">
            <v>9664588975</v>
          </cell>
        </row>
        <row r="12894">
          <cell r="E12894" t="str">
            <v>LUC-EZZ-400010-00</v>
          </cell>
          <cell r="F12894" t="str">
            <v>AOF25909340</v>
          </cell>
        </row>
        <row r="12895">
          <cell r="E12895" t="str">
            <v>LUC-EZZ-400596-00</v>
          </cell>
          <cell r="F12895" t="str">
            <v>AOF25909340</v>
          </cell>
        </row>
        <row r="12896">
          <cell r="E12896" t="str">
            <v>LUC-EZZ-420192-00</v>
          </cell>
          <cell r="F12896" t="str">
            <v>AOF25909340</v>
          </cell>
        </row>
        <row r="12897">
          <cell r="E12897" t="str">
            <v>LUC-EZZ-420354-00</v>
          </cell>
          <cell r="F12897" t="str">
            <v>AOF25909340</v>
          </cell>
        </row>
        <row r="12898">
          <cell r="E12898" t="str">
            <v>LUC-EZZ-450050-00</v>
          </cell>
          <cell r="F12898" t="str">
            <v>AOF25909340</v>
          </cell>
        </row>
        <row r="12899">
          <cell r="E12899" t="str">
            <v>LUC-EZZ-440193-00</v>
          </cell>
          <cell r="F12899" t="str">
            <v>AOF25909340</v>
          </cell>
        </row>
        <row r="12900">
          <cell r="E12900" t="str">
            <v>LUC-EZZ-421554-00</v>
          </cell>
          <cell r="F12900" t="str">
            <v>AOF25909340</v>
          </cell>
        </row>
        <row r="12901">
          <cell r="E12901" t="str">
            <v>LUC-EZZ-470235-00</v>
          </cell>
          <cell r="F12901" t="str">
            <v>AOF25909340</v>
          </cell>
        </row>
        <row r="12902">
          <cell r="E12902" t="str">
            <v>LUC-EZZ-470136-00</v>
          </cell>
          <cell r="F12902" t="str">
            <v>AOF25909340</v>
          </cell>
        </row>
        <row r="12903">
          <cell r="E12903" t="str">
            <v>LUC-P11-K33P00-00</v>
          </cell>
          <cell r="F12903" t="str">
            <v>AOF25909340</v>
          </cell>
        </row>
        <row r="12904">
          <cell r="E12904" t="str">
            <v>LUC-P11-K33C00-02</v>
          </cell>
          <cell r="F12904" t="str">
            <v>AOF25909340</v>
          </cell>
        </row>
        <row r="12905">
          <cell r="E12905" t="str">
            <v>LUC-EZZ-490225-05</v>
          </cell>
          <cell r="F12905" t="str">
            <v>AOF25909340</v>
          </cell>
        </row>
        <row r="12906">
          <cell r="E12906" t="str">
            <v>LUC-EZZ-490225-05</v>
          </cell>
          <cell r="F12906" t="str">
            <v>AOF25909340</v>
          </cell>
        </row>
        <row r="12907">
          <cell r="E12907" t="str">
            <v>LUC-EZZ-470136-00</v>
          </cell>
          <cell r="F12907" t="str">
            <v>AOF25909340</v>
          </cell>
        </row>
        <row r="12908">
          <cell r="E12908" t="str">
            <v>LUC-P11-K41A00-00</v>
          </cell>
          <cell r="F12908" t="str">
            <v>AOF25909340</v>
          </cell>
        </row>
        <row r="12909">
          <cell r="E12909" t="str">
            <v>LUC-EZZ-400263-00</v>
          </cell>
          <cell r="F12909" t="str">
            <v>AOF25909340</v>
          </cell>
        </row>
        <row r="12910">
          <cell r="E12910" t="str">
            <v>LUC-E00-470017-00</v>
          </cell>
          <cell r="F12910" t="str">
            <v>AOF25909340</v>
          </cell>
        </row>
        <row r="12911">
          <cell r="E12911" t="str">
            <v>LUC-E00-450037-00</v>
          </cell>
          <cell r="F12911" t="str">
            <v>AOF25909340</v>
          </cell>
        </row>
        <row r="12912">
          <cell r="E12912" t="str">
            <v>LUC-EZZ-470094-00</v>
          </cell>
          <cell r="F12912" t="str">
            <v>AOF25909340</v>
          </cell>
        </row>
        <row r="12913">
          <cell r="E12913" t="str">
            <v>LUC-EZZ-400579-00</v>
          </cell>
          <cell r="F12913" t="str">
            <v>AOF25909340</v>
          </cell>
        </row>
        <row r="12914">
          <cell r="E12914" t="str">
            <v>LUC-EZZ-400917-00</v>
          </cell>
          <cell r="F12914" t="str">
            <v>AOF25909340</v>
          </cell>
        </row>
        <row r="12915">
          <cell r="E12915" t="str">
            <v>LUC-EZZ-400588-00</v>
          </cell>
          <cell r="F12915" t="str">
            <v>AOF25909340</v>
          </cell>
        </row>
        <row r="12916">
          <cell r="E12916" t="str">
            <v>LUC-EZZ-400411-00</v>
          </cell>
          <cell r="F12916" t="str">
            <v>AOF25909340</v>
          </cell>
        </row>
        <row r="12917">
          <cell r="E12917" t="str">
            <v>LUC-EZZ-400736-00</v>
          </cell>
          <cell r="F12917" t="str">
            <v>AOF25909340</v>
          </cell>
        </row>
        <row r="12918">
          <cell r="E12918" t="str">
            <v>LUC-EZZ-510049-00</v>
          </cell>
          <cell r="F12918" t="str">
            <v>AOF25909340</v>
          </cell>
        </row>
        <row r="12919">
          <cell r="E12919" t="str">
            <v>LUC-E00-470039-00</v>
          </cell>
          <cell r="F12919" t="str">
            <v>AOF25909340</v>
          </cell>
        </row>
        <row r="12920">
          <cell r="E12920" t="str">
            <v>LUC-E00-470039-00</v>
          </cell>
          <cell r="F12920" t="str">
            <v>AOF25909340</v>
          </cell>
        </row>
        <row r="12921">
          <cell r="E12921" t="str">
            <v>LUC-E00-690062-01</v>
          </cell>
          <cell r="F12921" t="str">
            <v>AOF25909340</v>
          </cell>
        </row>
        <row r="12922">
          <cell r="E12922" t="str">
            <v>LUC-E00-690062-01</v>
          </cell>
          <cell r="F12922" t="str">
            <v>AOF25909340</v>
          </cell>
        </row>
        <row r="12923">
          <cell r="E12923" t="str">
            <v>LUC-E00-690062-01</v>
          </cell>
          <cell r="F12923" t="str">
            <v>AOF25909340</v>
          </cell>
        </row>
        <row r="12924">
          <cell r="E12924" t="str">
            <v>LUC-EZZ-451368-00</v>
          </cell>
          <cell r="F12924" t="str">
            <v>AOF25909340</v>
          </cell>
        </row>
        <row r="12925">
          <cell r="E12925" t="str">
            <v>LUC-EZZ-510102-00</v>
          </cell>
          <cell r="F12925" t="str">
            <v>AOF25909340</v>
          </cell>
        </row>
        <row r="12926">
          <cell r="E12926" t="str">
            <v>LUC-EZZ-400005-00</v>
          </cell>
          <cell r="F12926" t="str">
            <v>AOF25909340</v>
          </cell>
        </row>
        <row r="12927">
          <cell r="E12927" t="str">
            <v>LUC-E00-440012-00</v>
          </cell>
          <cell r="F12927" t="str">
            <v>AOF25909340</v>
          </cell>
        </row>
        <row r="12928">
          <cell r="E12928" t="str">
            <v>LUC-EZZ-440073-00</v>
          </cell>
          <cell r="F12928" t="str">
            <v>AOF25909340</v>
          </cell>
        </row>
        <row r="12929">
          <cell r="E12929" t="str">
            <v>LUC-P11-K35000-02</v>
          </cell>
          <cell r="F12929" t="str">
            <v>AOF25909340</v>
          </cell>
        </row>
        <row r="12930">
          <cell r="E12930" t="str">
            <v>LUC-EZZ-400336-00</v>
          </cell>
          <cell r="F12930" t="str">
            <v>AOF25909340</v>
          </cell>
        </row>
        <row r="12931">
          <cell r="E12931" t="str">
            <v>LUC-E00-470037-00</v>
          </cell>
          <cell r="F12931" t="str">
            <v>AOF25909340</v>
          </cell>
        </row>
        <row r="12932">
          <cell r="E12932" t="str">
            <v>LUC-E00-470037-00</v>
          </cell>
          <cell r="F12932" t="str">
            <v>AOF25909340</v>
          </cell>
        </row>
        <row r="12933">
          <cell r="E12933" t="str">
            <v>LUC-EZZ-400709-00</v>
          </cell>
          <cell r="F12933" t="str">
            <v>AOF25909340</v>
          </cell>
        </row>
        <row r="12934">
          <cell r="E12934" t="str">
            <v>LUC-P11-JA3400-00</v>
          </cell>
          <cell r="F12934" t="str">
            <v>AOF25909340</v>
          </cell>
        </row>
        <row r="12935">
          <cell r="E12935" t="str">
            <v>LUC-P11-JA3300-00</v>
          </cell>
          <cell r="F12935" t="str">
            <v>AOF25909340</v>
          </cell>
        </row>
        <row r="12936">
          <cell r="E12936" t="str">
            <v>LUC-P11-JA3300-00</v>
          </cell>
          <cell r="F12936" t="str">
            <v>AOF25909340</v>
          </cell>
        </row>
        <row r="12937">
          <cell r="E12937" t="str">
            <v>LUC-EZZ-510070-00</v>
          </cell>
          <cell r="F12937" t="str">
            <v>AOF25909340</v>
          </cell>
        </row>
        <row r="12938">
          <cell r="E12938" t="str">
            <v>LUC-E00-690217-01</v>
          </cell>
          <cell r="F12938">
            <v>4110326921</v>
          </cell>
        </row>
        <row r="12939">
          <cell r="E12939" t="str">
            <v>LUC-E00-400010-009</v>
          </cell>
          <cell r="F12939">
            <v>4197768805</v>
          </cell>
        </row>
        <row r="12940">
          <cell r="E12940" t="str">
            <v>HLOB-09-0050-00</v>
          </cell>
          <cell r="F12940">
            <v>3455791080</v>
          </cell>
        </row>
        <row r="12941">
          <cell r="E12941" t="str">
            <v>PUR-13-0125-00</v>
          </cell>
          <cell r="F12941">
            <v>3455791080</v>
          </cell>
        </row>
        <row r="12942">
          <cell r="E12942" t="str">
            <v>PUR-13-0125-00</v>
          </cell>
          <cell r="F12942">
            <v>3455791080</v>
          </cell>
        </row>
        <row r="12943">
          <cell r="E12943" t="str">
            <v>HLOB-13-0125-00</v>
          </cell>
          <cell r="F12943">
            <v>3455791080</v>
          </cell>
        </row>
        <row r="12944">
          <cell r="E12944" t="str">
            <v>HLOB-13-0125-00</v>
          </cell>
          <cell r="F12944">
            <v>3455791080</v>
          </cell>
        </row>
        <row r="12945">
          <cell r="E12945" t="str">
            <v>HLOB-09-0050-00</v>
          </cell>
          <cell r="F12945">
            <v>3455791080</v>
          </cell>
        </row>
        <row r="12946">
          <cell r="E12946" t="str">
            <v>HLOB-09-0050-00</v>
          </cell>
          <cell r="F12946">
            <v>3455791080</v>
          </cell>
        </row>
        <row r="12947">
          <cell r="E12947" t="str">
            <v>HLOB-09-0050-00</v>
          </cell>
          <cell r="F12947">
            <v>3455791080</v>
          </cell>
        </row>
        <row r="12948">
          <cell r="E12948" t="str">
            <v>HLOB-09-0050-00</v>
          </cell>
          <cell r="F12948">
            <v>3455791080</v>
          </cell>
        </row>
        <row r="12949">
          <cell r="E12949" t="str">
            <v>HLOB-09-0050-00</v>
          </cell>
          <cell r="F12949">
            <v>3455791080</v>
          </cell>
        </row>
        <row r="12950">
          <cell r="E12950" t="str">
            <v>AIC-MP-00004954-000</v>
          </cell>
          <cell r="F12950">
            <v>3455791345</v>
          </cell>
        </row>
        <row r="12951">
          <cell r="E12951" t="str">
            <v>LUC-E00-400067-211</v>
          </cell>
          <cell r="F12951">
            <v>3455793353</v>
          </cell>
        </row>
        <row r="12952">
          <cell r="E12952" t="str">
            <v>AIC-124-002779</v>
          </cell>
          <cell r="F12952">
            <v>3455793353</v>
          </cell>
        </row>
        <row r="12953">
          <cell r="E12953" t="str">
            <v>LUC-E00-400028-13</v>
          </cell>
          <cell r="F12953">
            <v>3455793353</v>
          </cell>
        </row>
        <row r="12954">
          <cell r="E12954" t="str">
            <v>LUC-E00-400069-00</v>
          </cell>
          <cell r="F12954">
            <v>3455793353</v>
          </cell>
        </row>
        <row r="12955">
          <cell r="E12955" t="str">
            <v>LUC-E00-400069-00</v>
          </cell>
          <cell r="F12955">
            <v>3455793353</v>
          </cell>
        </row>
        <row r="12956">
          <cell r="E12956" t="str">
            <v>LUC-E00-400069-00</v>
          </cell>
          <cell r="F12956">
            <v>3455793353</v>
          </cell>
        </row>
        <row r="12957">
          <cell r="E12957" t="str">
            <v>LUC-E00-400069-00</v>
          </cell>
          <cell r="F12957">
            <v>3455793353</v>
          </cell>
        </row>
        <row r="12958">
          <cell r="E12958" t="str">
            <v>LUC-P11-K33N00-00</v>
          </cell>
          <cell r="F12958">
            <v>883231914243</v>
          </cell>
        </row>
        <row r="12959">
          <cell r="E12959" t="str">
            <v>PUR-09-0294-00</v>
          </cell>
          <cell r="F12959">
            <v>391648117929</v>
          </cell>
        </row>
        <row r="12960">
          <cell r="E12960" t="str">
            <v>AIC-MP-00006264-000</v>
          </cell>
          <cell r="F12960">
            <v>883230214524</v>
          </cell>
        </row>
        <row r="12961">
          <cell r="E12961" t="str">
            <v>PUR-09-0343-00</v>
          </cell>
          <cell r="F12961">
            <v>883216800119</v>
          </cell>
        </row>
        <row r="12962">
          <cell r="E12962" t="str">
            <v>LUC-E00-690029-00</v>
          </cell>
          <cell r="F12962">
            <v>883168871414</v>
          </cell>
        </row>
        <row r="12963">
          <cell r="E12963" t="str">
            <v>LUC-E00-400010-007</v>
          </cell>
          <cell r="F12963">
            <v>471588882317</v>
          </cell>
        </row>
        <row r="12964">
          <cell r="E12964" t="str">
            <v>AIC-MP-IC007085-S01</v>
          </cell>
          <cell r="F12964">
            <v>471588882317</v>
          </cell>
        </row>
        <row r="12965">
          <cell r="E12965" t="str">
            <v>HLOB-09-0434-00</v>
          </cell>
          <cell r="F12965">
            <v>471588882317</v>
          </cell>
        </row>
        <row r="12966">
          <cell r="E12966" t="str">
            <v>LUC-E00-470110-00</v>
          </cell>
          <cell r="F12966">
            <v>471588882317</v>
          </cell>
        </row>
        <row r="12967">
          <cell r="E12967" t="str">
            <v>LUC-E00-400010-021</v>
          </cell>
          <cell r="F12967">
            <v>471588882317</v>
          </cell>
        </row>
        <row r="12968">
          <cell r="E12968" t="str">
            <v>AIC-122-004334</v>
          </cell>
          <cell r="F12968">
            <v>471588882317</v>
          </cell>
        </row>
        <row r="12969">
          <cell r="E12969" t="str">
            <v>LUC-E00-460015-00</v>
          </cell>
          <cell r="F12969">
            <v>445170505012</v>
          </cell>
        </row>
        <row r="12970">
          <cell r="E12970" t="str">
            <v>PUR-16-0051-00</v>
          </cell>
          <cell r="F12970" t="str">
            <v>HKHPG250812</v>
          </cell>
        </row>
        <row r="12971">
          <cell r="E12971" t="str">
            <v>HLOB-16-0049-01</v>
          </cell>
          <cell r="F12971" t="str">
            <v>HKHPG250812</v>
          </cell>
        </row>
        <row r="12972">
          <cell r="E12972" t="str">
            <v>PUR-16-0035-00</v>
          </cell>
          <cell r="F12972" t="str">
            <v>HKHPG250812</v>
          </cell>
        </row>
        <row r="12973">
          <cell r="E12973" t="str">
            <v>PUR-13-0236-00</v>
          </cell>
          <cell r="F12973">
            <v>4914928093</v>
          </cell>
        </row>
        <row r="12974">
          <cell r="E12974" t="str">
            <v>HLOB-13-0236-00</v>
          </cell>
          <cell r="F12974">
            <v>4914928093</v>
          </cell>
        </row>
        <row r="12975">
          <cell r="E12975" t="str">
            <v>HLOB-13-0236-00</v>
          </cell>
          <cell r="F12975">
            <v>4914928093</v>
          </cell>
        </row>
        <row r="12976">
          <cell r="E12976" t="str">
            <v>PUR-13-0195-00</v>
          </cell>
          <cell r="F12976">
            <v>4914928093</v>
          </cell>
        </row>
        <row r="12977">
          <cell r="E12977" t="str">
            <v>141-001484-02</v>
          </cell>
          <cell r="F12977">
            <v>4914928100</v>
          </cell>
        </row>
        <row r="12978">
          <cell r="E12978" t="str">
            <v>HLOB-07-0167-00</v>
          </cell>
          <cell r="F12978">
            <v>4914928094</v>
          </cell>
        </row>
        <row r="12979">
          <cell r="E12979" t="str">
            <v>HLOB-07-0167-00</v>
          </cell>
          <cell r="F12979">
            <v>4914928094</v>
          </cell>
        </row>
        <row r="12980">
          <cell r="E12980" t="str">
            <v>HLOB-07-0167-00</v>
          </cell>
          <cell r="F12980">
            <v>4914928094</v>
          </cell>
        </row>
        <row r="12981">
          <cell r="E12981" t="str">
            <v>HLOB-07-0315-00</v>
          </cell>
          <cell r="F12981">
            <v>4914928094</v>
          </cell>
        </row>
        <row r="12982">
          <cell r="E12982" t="str">
            <v>HLOB-07-0315-00</v>
          </cell>
          <cell r="F12982">
            <v>4914928094</v>
          </cell>
        </row>
        <row r="12983">
          <cell r="E12983" t="str">
            <v>LUC-E00-690030-02</v>
          </cell>
          <cell r="F12983">
            <v>462141380832</v>
          </cell>
        </row>
        <row r="12984">
          <cell r="E12984" t="str">
            <v>LUC-E00-690032-00</v>
          </cell>
          <cell r="F12984">
            <v>391552009090</v>
          </cell>
        </row>
        <row r="12985">
          <cell r="E12985" t="str">
            <v>LUC-E00-690011-00</v>
          </cell>
          <cell r="F12985">
            <v>391552009090</v>
          </cell>
        </row>
        <row r="12986">
          <cell r="E12986" t="str">
            <v>AGI-450-40087-01</v>
          </cell>
          <cell r="F12986">
            <v>883229948469</v>
          </cell>
        </row>
        <row r="12987">
          <cell r="E12987" t="str">
            <v>HLOB-16-0049-01</v>
          </cell>
          <cell r="F12987" t="str">
            <v>MNN/HPH/00926</v>
          </cell>
        </row>
        <row r="12988">
          <cell r="E12988" t="str">
            <v>HLOB-16-0049-01</v>
          </cell>
          <cell r="F12988" t="str">
            <v>MNN/HPH/00926</v>
          </cell>
        </row>
        <row r="12989">
          <cell r="E12989" t="str">
            <v>PUR-16-0044-01</v>
          </cell>
          <cell r="F12989" t="str">
            <v>MNN/HPH/00926</v>
          </cell>
        </row>
        <row r="12990">
          <cell r="E12990" t="str">
            <v>PUR-16-0044-01</v>
          </cell>
          <cell r="F12990" t="str">
            <v>MNN/HPH/00926</v>
          </cell>
        </row>
        <row r="12991">
          <cell r="E12991" t="str">
            <v>PUR-16-0046-01</v>
          </cell>
          <cell r="F12991" t="str">
            <v>MNN/HPH/00926</v>
          </cell>
        </row>
        <row r="12992">
          <cell r="E12992" t="str">
            <v>PUR-16-0046-01</v>
          </cell>
          <cell r="F12992" t="str">
            <v>MNN/HPH/00926</v>
          </cell>
        </row>
        <row r="12993">
          <cell r="E12993" t="str">
            <v>EF-45174899</v>
          </cell>
          <cell r="F12993">
            <v>426080013535</v>
          </cell>
        </row>
        <row r="12994">
          <cell r="E12994" t="str">
            <v>102-000439</v>
          </cell>
          <cell r="F12994">
            <v>426080013535</v>
          </cell>
        </row>
        <row r="12995">
          <cell r="E12995" t="str">
            <v>141-001563</v>
          </cell>
          <cell r="F12995">
            <v>426080013535</v>
          </cell>
        </row>
        <row r="12996">
          <cell r="E12996" t="str">
            <v>LUC-EZZ-400414-00</v>
          </cell>
          <cell r="F12996">
            <v>426080013535</v>
          </cell>
        </row>
        <row r="12997">
          <cell r="E12997" t="str">
            <v>PUR-13-0236-00</v>
          </cell>
          <cell r="F12997">
            <v>426080013535</v>
          </cell>
        </row>
        <row r="12998">
          <cell r="E12998" t="str">
            <v>PUR-09-0444-00</v>
          </cell>
          <cell r="F12998">
            <v>426080013535</v>
          </cell>
        </row>
        <row r="12999">
          <cell r="E12999" t="str">
            <v>122-001457</v>
          </cell>
          <cell r="F12999">
            <v>426080013535</v>
          </cell>
        </row>
        <row r="13000">
          <cell r="E13000" t="str">
            <v>134-000528</v>
          </cell>
          <cell r="F13000">
            <v>426080013535</v>
          </cell>
        </row>
        <row r="13001">
          <cell r="E13001" t="str">
            <v>PURC-16-0085-00</v>
          </cell>
          <cell r="F13001">
            <v>883195224405</v>
          </cell>
        </row>
        <row r="13002">
          <cell r="E13002" t="str">
            <v>PURC-16-0086-00</v>
          </cell>
          <cell r="F13002">
            <v>883195224405</v>
          </cell>
        </row>
        <row r="13003">
          <cell r="E13003" t="str">
            <v>PURC-16-0087-00</v>
          </cell>
          <cell r="F13003">
            <v>883195224405</v>
          </cell>
        </row>
        <row r="13004">
          <cell r="E13004" t="str">
            <v>PURC-16-0088-00</v>
          </cell>
          <cell r="F13004">
            <v>883195224405</v>
          </cell>
        </row>
        <row r="13005">
          <cell r="E13005" t="str">
            <v>PURC-17-0357-00</v>
          </cell>
          <cell r="F13005">
            <v>883195224405</v>
          </cell>
        </row>
        <row r="13006">
          <cell r="E13006" t="str">
            <v>PURC-17-0358-00</v>
          </cell>
          <cell r="F13006">
            <v>883195224405</v>
          </cell>
        </row>
        <row r="13007">
          <cell r="E13007" t="str">
            <v>LUC-P11-KA4000-00</v>
          </cell>
          <cell r="F13007">
            <v>883167844469</v>
          </cell>
        </row>
        <row r="13008">
          <cell r="E13008" t="str">
            <v>HLOB-09-0343-00</v>
          </cell>
          <cell r="F13008">
            <v>471782609577</v>
          </cell>
        </row>
        <row r="13009">
          <cell r="E13009" t="str">
            <v>EF-45156843</v>
          </cell>
          <cell r="F13009">
            <v>461596521818</v>
          </cell>
        </row>
        <row r="13010">
          <cell r="E13010" t="str">
            <v>PUR-11-0104-05</v>
          </cell>
          <cell r="F13010">
            <v>883165404038</v>
          </cell>
        </row>
        <row r="13011">
          <cell r="E13011" t="str">
            <v>PUR-11-0104-05</v>
          </cell>
          <cell r="F13011">
            <v>883165404038</v>
          </cell>
        </row>
        <row r="13012">
          <cell r="E13012" t="str">
            <v>HLOB-11-0104-06</v>
          </cell>
          <cell r="F13012">
            <v>4812833436</v>
          </cell>
        </row>
        <row r="13013">
          <cell r="E13013" t="str">
            <v>HLOB-11-0104-06</v>
          </cell>
          <cell r="F13013">
            <v>4812833436</v>
          </cell>
        </row>
        <row r="13014">
          <cell r="E13014" t="str">
            <v>LUC-E00-440003-02</v>
          </cell>
          <cell r="F13014">
            <v>883234934370</v>
          </cell>
        </row>
        <row r="13015">
          <cell r="E13015" t="str">
            <v>LUC-E00-440003-02</v>
          </cell>
          <cell r="F13015">
            <v>883234934370</v>
          </cell>
        </row>
        <row r="13016">
          <cell r="E13016" t="str">
            <v>LUC-P11-K33800-04</v>
          </cell>
          <cell r="F13016" t="str">
            <v>HKHPG250822</v>
          </cell>
        </row>
        <row r="13017">
          <cell r="E13017" t="str">
            <v>LUC-P11-K34000-03</v>
          </cell>
          <cell r="F13017" t="str">
            <v>HKHPG250822</v>
          </cell>
        </row>
        <row r="13018">
          <cell r="E13018" t="str">
            <v>LUC-P11-K34000-03</v>
          </cell>
          <cell r="F13018" t="str">
            <v>HKHPG250822</v>
          </cell>
        </row>
        <row r="13019">
          <cell r="E13019" t="str">
            <v>LUC-P11-K33800-04</v>
          </cell>
          <cell r="F13019" t="str">
            <v>HKHPG250822</v>
          </cell>
        </row>
        <row r="13020">
          <cell r="E13020" t="str">
            <v>EF-45146844</v>
          </cell>
          <cell r="F13020" t="str">
            <v>BSJSZ0086335D</v>
          </cell>
        </row>
        <row r="13021">
          <cell r="E13021" t="str">
            <v>EF-45105056</v>
          </cell>
          <cell r="F13021" t="str">
            <v>BSJSZ0086335D</v>
          </cell>
        </row>
        <row r="13022">
          <cell r="E13022" t="str">
            <v>EF-45102320</v>
          </cell>
          <cell r="F13022" t="str">
            <v>BSJSZ0086335D</v>
          </cell>
        </row>
        <row r="13023">
          <cell r="E13023" t="str">
            <v>EF-45146844</v>
          </cell>
          <cell r="F13023" t="str">
            <v>BSJSZ0086335D</v>
          </cell>
        </row>
        <row r="13024">
          <cell r="E13024" t="str">
            <v>EF-45131277</v>
          </cell>
          <cell r="F13024" t="str">
            <v>BSJSZ0086335D</v>
          </cell>
        </row>
        <row r="13025">
          <cell r="E13025" t="str">
            <v>EF-45131276</v>
          </cell>
          <cell r="F13025" t="str">
            <v>BSJSZ0086335D</v>
          </cell>
        </row>
        <row r="13026">
          <cell r="E13026" t="str">
            <v>EF-45146844</v>
          </cell>
          <cell r="F13026" t="str">
            <v>BSJSZ0086335D</v>
          </cell>
        </row>
        <row r="13027">
          <cell r="E13027" t="str">
            <v>LUC-EZZ-490315-02</v>
          </cell>
          <cell r="F13027" t="str">
            <v>SEBL25070122</v>
          </cell>
        </row>
        <row r="13028">
          <cell r="E13028" t="str">
            <v>LUC-EZZ-490315-02</v>
          </cell>
          <cell r="F13028" t="str">
            <v>SEBL25070122</v>
          </cell>
        </row>
        <row r="13029">
          <cell r="E13029" t="str">
            <v>HLOB-09-0343-00</v>
          </cell>
          <cell r="F13029">
            <v>470197937781</v>
          </cell>
        </row>
        <row r="13030">
          <cell r="E13030" t="str">
            <v>AIC-MP-00006750-000</v>
          </cell>
          <cell r="F13030">
            <v>883232454880</v>
          </cell>
        </row>
        <row r="13031">
          <cell r="E13031" t="str">
            <v>AIC-MP-IC007047-P01</v>
          </cell>
          <cell r="F13031">
            <v>883232454880</v>
          </cell>
        </row>
        <row r="13032">
          <cell r="E13032" t="str">
            <v>AIC-MP-00006791-000</v>
          </cell>
          <cell r="F13032">
            <v>883232454880</v>
          </cell>
        </row>
        <row r="13033">
          <cell r="E13033" t="str">
            <v>AIC-MP-00005554-000</v>
          </cell>
          <cell r="F13033">
            <v>883232454880</v>
          </cell>
        </row>
        <row r="13034">
          <cell r="E13034" t="str">
            <v>AIC-MP-00007035-000</v>
          </cell>
          <cell r="F13034">
            <v>883232454880</v>
          </cell>
        </row>
        <row r="13035">
          <cell r="E13035" t="str">
            <v>AIC-MP-IC004977-S01</v>
          </cell>
          <cell r="F13035">
            <v>883232454880</v>
          </cell>
        </row>
        <row r="13036">
          <cell r="E13036" t="str">
            <v>AIC-MP-00005851-000</v>
          </cell>
          <cell r="F13036">
            <v>883232454880</v>
          </cell>
        </row>
        <row r="13037">
          <cell r="E13037" t="str">
            <v>AIC-123-001957</v>
          </cell>
          <cell r="F13037">
            <v>883228840860</v>
          </cell>
        </row>
        <row r="13038">
          <cell r="E13038" t="str">
            <v>AIC-120-012779</v>
          </cell>
          <cell r="F13038">
            <v>883228840860</v>
          </cell>
        </row>
        <row r="13039">
          <cell r="E13039" t="str">
            <v>AIC-120-012821</v>
          </cell>
          <cell r="F13039">
            <v>883228840860</v>
          </cell>
        </row>
        <row r="13040">
          <cell r="E13040" t="str">
            <v>AIC-120-012778</v>
          </cell>
          <cell r="F13040">
            <v>883228840860</v>
          </cell>
        </row>
        <row r="13041">
          <cell r="E13041" t="str">
            <v>LUC-E00-400074-00</v>
          </cell>
          <cell r="F13041">
            <v>412069753515</v>
          </cell>
        </row>
        <row r="13042">
          <cell r="E13042" t="str">
            <v>LUC-E00-470519-00</v>
          </cell>
          <cell r="F13042">
            <v>883201317324</v>
          </cell>
        </row>
        <row r="13043">
          <cell r="E13043" t="str">
            <v>LUC-EZZ-470297-00</v>
          </cell>
          <cell r="F13043">
            <v>883201317324</v>
          </cell>
        </row>
        <row r="13044">
          <cell r="E13044" t="str">
            <v>LUC-E00-690001-00</v>
          </cell>
          <cell r="F13044">
            <v>883201317324</v>
          </cell>
        </row>
        <row r="13045">
          <cell r="E13045" t="str">
            <v>LUC-E00-470036-00</v>
          </cell>
          <cell r="F13045">
            <v>883201317324</v>
          </cell>
        </row>
        <row r="13046">
          <cell r="E13046" t="str">
            <v>LUC-EZZ-470138-00</v>
          </cell>
          <cell r="F13046">
            <v>883201317324</v>
          </cell>
        </row>
        <row r="13047">
          <cell r="E13047" t="str">
            <v>LUC-E00-400011-005</v>
          </cell>
          <cell r="F13047">
            <v>883201317324</v>
          </cell>
        </row>
        <row r="13048">
          <cell r="E13048" t="str">
            <v>LUC-E00-420011-04</v>
          </cell>
          <cell r="F13048">
            <v>883201317324</v>
          </cell>
        </row>
        <row r="13049">
          <cell r="E13049" t="str">
            <v>LUC-EZZ-470138-00</v>
          </cell>
          <cell r="F13049">
            <v>883201317324</v>
          </cell>
        </row>
        <row r="13050">
          <cell r="E13050" t="str">
            <v>EF-45118972</v>
          </cell>
          <cell r="F13050">
            <v>883201317324</v>
          </cell>
        </row>
        <row r="13051">
          <cell r="E13051" t="str">
            <v>LUC-EZZ-470138-00</v>
          </cell>
          <cell r="F13051">
            <v>883201317324</v>
          </cell>
        </row>
        <row r="13052">
          <cell r="E13052" t="str">
            <v>LUC-E00-470001-00</v>
          </cell>
          <cell r="F13052">
            <v>883201317324</v>
          </cell>
        </row>
        <row r="13053">
          <cell r="E13053" t="str">
            <v>LUC-E00-470039-00</v>
          </cell>
          <cell r="F13053">
            <v>883201317324</v>
          </cell>
        </row>
        <row r="13054">
          <cell r="E13054" t="str">
            <v>LUC-E00-470085-00</v>
          </cell>
          <cell r="F13054">
            <v>883201317324</v>
          </cell>
        </row>
        <row r="13055">
          <cell r="E13055" t="str">
            <v>LUC-E00-470388-00</v>
          </cell>
          <cell r="F13055">
            <v>883201317324</v>
          </cell>
        </row>
        <row r="13056">
          <cell r="E13056" t="str">
            <v>LUC-E00-400035-07</v>
          </cell>
          <cell r="F13056">
            <v>883201317324</v>
          </cell>
        </row>
        <row r="13057">
          <cell r="E13057" t="str">
            <v>LUC-E00-420011-04</v>
          </cell>
          <cell r="F13057">
            <v>883201317324</v>
          </cell>
        </row>
        <row r="13058">
          <cell r="E13058" t="str">
            <v>LUC-E00-440124-00</v>
          </cell>
          <cell r="F13058">
            <v>451257545028</v>
          </cell>
        </row>
        <row r="13059">
          <cell r="E13059" t="str">
            <v>LUC-EZZ-440028-00</v>
          </cell>
          <cell r="F13059">
            <v>451257545028</v>
          </cell>
        </row>
        <row r="13060">
          <cell r="E13060" t="str">
            <v>LUC-EZZ-440911-00</v>
          </cell>
          <cell r="F13060">
            <v>451257545028</v>
          </cell>
        </row>
        <row r="13061">
          <cell r="E13061" t="str">
            <v>PUR-11-0065-06</v>
          </cell>
          <cell r="F13061">
            <v>883164830371</v>
          </cell>
        </row>
        <row r="13062">
          <cell r="E13062" t="str">
            <v>PUR-11-0066-05</v>
          </cell>
          <cell r="F13062">
            <v>883164830371</v>
          </cell>
        </row>
        <row r="13063">
          <cell r="E13063" t="str">
            <v>PUR-11-0066-05</v>
          </cell>
          <cell r="F13063">
            <v>883164830371</v>
          </cell>
        </row>
        <row r="13064">
          <cell r="E13064" t="str">
            <v>LUC-EZZ-470095-00</v>
          </cell>
          <cell r="F13064">
            <v>445170504645</v>
          </cell>
        </row>
        <row r="13065">
          <cell r="E13065" t="str">
            <v>HLOB-24-0028-00</v>
          </cell>
          <cell r="F13065">
            <v>445170509658</v>
          </cell>
        </row>
        <row r="13066">
          <cell r="E13066" t="str">
            <v>PUR-09-0427-00</v>
          </cell>
          <cell r="F13066">
            <v>119209621248</v>
          </cell>
        </row>
        <row r="13067">
          <cell r="E13067" t="str">
            <v>LUC-EZZ-450177-00</v>
          </cell>
          <cell r="F13067">
            <v>119209621248</v>
          </cell>
        </row>
        <row r="13068">
          <cell r="E13068" t="str">
            <v>LUC-E00-400028-000</v>
          </cell>
          <cell r="F13068">
            <v>119209621248</v>
          </cell>
        </row>
        <row r="13069">
          <cell r="E13069" t="str">
            <v>LUC-EZZ-450047-00</v>
          </cell>
          <cell r="F13069">
            <v>119209621248</v>
          </cell>
        </row>
        <row r="13070">
          <cell r="E13070" t="str">
            <v>EF-45232580</v>
          </cell>
          <cell r="F13070">
            <v>445170504840</v>
          </cell>
        </row>
        <row r="13071">
          <cell r="E13071" t="str">
            <v>LUC-EZZ-470248-02</v>
          </cell>
          <cell r="F13071">
            <v>472996026137</v>
          </cell>
        </row>
        <row r="13072">
          <cell r="E13072" t="str">
            <v>AIC-132-001544</v>
          </cell>
          <cell r="F13072">
            <v>740672001634</v>
          </cell>
        </row>
        <row r="13073">
          <cell r="E13073" t="str">
            <v>AIC-MP-00000755-000</v>
          </cell>
          <cell r="F13073">
            <v>740672001634</v>
          </cell>
        </row>
        <row r="13074">
          <cell r="E13074" t="str">
            <v>LUC-EZZ-400283-00</v>
          </cell>
          <cell r="F13074">
            <v>740672001634</v>
          </cell>
        </row>
        <row r="13075">
          <cell r="E13075" t="str">
            <v>LUC-EZZ-400466-00</v>
          </cell>
          <cell r="F13075">
            <v>740672001634</v>
          </cell>
        </row>
        <row r="13076">
          <cell r="E13076" t="str">
            <v>AIC-MP-00007328-000</v>
          </cell>
          <cell r="F13076">
            <v>740672001634</v>
          </cell>
        </row>
        <row r="13077">
          <cell r="E13077" t="str">
            <v>LUC-E00-400067-344</v>
          </cell>
          <cell r="F13077">
            <v>740672001634</v>
          </cell>
        </row>
        <row r="13078">
          <cell r="E13078" t="str">
            <v>LUC-E00-440012-00</v>
          </cell>
          <cell r="F13078">
            <v>742783534139</v>
          </cell>
        </row>
        <row r="13079">
          <cell r="E13079" t="str">
            <v>PUR-03-0038-00</v>
          </cell>
          <cell r="F13079">
            <v>472856687404</v>
          </cell>
        </row>
        <row r="13080">
          <cell r="E13080" t="str">
            <v>122-000453.X.X</v>
          </cell>
          <cell r="F13080">
            <v>883230237569</v>
          </cell>
        </row>
        <row r="13081">
          <cell r="E13081" t="str">
            <v>HLOB-13-0068-00</v>
          </cell>
          <cell r="F13081">
            <v>883230237569</v>
          </cell>
        </row>
        <row r="13082">
          <cell r="E13082" t="str">
            <v>AIC-MP-00003327-000</v>
          </cell>
          <cell r="F13082">
            <v>883230237569</v>
          </cell>
        </row>
        <row r="13083">
          <cell r="E13083" t="str">
            <v>121-000519.X.X</v>
          </cell>
          <cell r="F13083">
            <v>883230237569</v>
          </cell>
        </row>
        <row r="13084">
          <cell r="E13084" t="str">
            <v>122-000453.X.X</v>
          </cell>
          <cell r="F13084">
            <v>883230237569</v>
          </cell>
        </row>
        <row r="13085">
          <cell r="E13085" t="str">
            <v>PUR-12-0265-00</v>
          </cell>
          <cell r="F13085">
            <v>883230237569</v>
          </cell>
        </row>
        <row r="13086">
          <cell r="E13086" t="str">
            <v>PURET-12-0011-00</v>
          </cell>
          <cell r="F13086">
            <v>883230237569</v>
          </cell>
        </row>
        <row r="13087">
          <cell r="E13087" t="str">
            <v>122-000453.X.X</v>
          </cell>
          <cell r="F13087">
            <v>883230237569</v>
          </cell>
        </row>
        <row r="13088">
          <cell r="E13088" t="str">
            <v>LUC-EZZ-440073-00</v>
          </cell>
          <cell r="F13088">
            <v>742783534286</v>
          </cell>
        </row>
        <row r="13089">
          <cell r="E13089" t="str">
            <v>AIC-MP-ID007244-S01</v>
          </cell>
          <cell r="F13089">
            <v>883230610909</v>
          </cell>
        </row>
        <row r="13090">
          <cell r="E13090" t="str">
            <v>AIC-MP-ID007219-S01</v>
          </cell>
          <cell r="F13090">
            <v>883230610909</v>
          </cell>
        </row>
        <row r="13091">
          <cell r="E13091" t="str">
            <v>LUC-E00-400010-028</v>
          </cell>
          <cell r="F13091">
            <v>679486509946</v>
          </cell>
        </row>
        <row r="13092">
          <cell r="E13092" t="str">
            <v>PUR-12-0472-00</v>
          </cell>
          <cell r="F13092">
            <v>409298795425</v>
          </cell>
        </row>
        <row r="13093">
          <cell r="E13093" t="str">
            <v>LUC-EZZ-440073-00</v>
          </cell>
          <cell r="F13093">
            <v>409298795425</v>
          </cell>
        </row>
        <row r="13094">
          <cell r="E13094" t="str">
            <v>LUC-EZZ-420095-00</v>
          </cell>
          <cell r="F13094">
            <v>409298795425</v>
          </cell>
        </row>
        <row r="13095">
          <cell r="E13095" t="str">
            <v>LUC-EZZ-420175-00</v>
          </cell>
          <cell r="F13095">
            <v>409298795425</v>
          </cell>
        </row>
        <row r="13096">
          <cell r="E13096" t="str">
            <v>LUC-EZZ-400609-00</v>
          </cell>
          <cell r="F13096">
            <v>409298795425</v>
          </cell>
        </row>
        <row r="13097">
          <cell r="E13097" t="str">
            <v>LUC-EZZ-420101-00</v>
          </cell>
          <cell r="F13097">
            <v>409298795425</v>
          </cell>
        </row>
        <row r="13098">
          <cell r="E13098" t="str">
            <v>LUC-E00-690003-00</v>
          </cell>
          <cell r="F13098">
            <v>409298795425</v>
          </cell>
        </row>
        <row r="13099">
          <cell r="E13099" t="str">
            <v>LUC-E00-420055-05</v>
          </cell>
          <cell r="F13099">
            <v>409298795425</v>
          </cell>
        </row>
        <row r="13100">
          <cell r="E13100" t="str">
            <v>LUC-E00-440144-00</v>
          </cell>
          <cell r="F13100">
            <v>409298795425</v>
          </cell>
        </row>
        <row r="13101">
          <cell r="E13101" t="str">
            <v>LUC-E00-420049-01</v>
          </cell>
          <cell r="F13101">
            <v>409298795425</v>
          </cell>
        </row>
        <row r="13102">
          <cell r="E13102" t="str">
            <v>LUC-E00-420047-00</v>
          </cell>
          <cell r="F13102">
            <v>409298795425</v>
          </cell>
        </row>
        <row r="13103">
          <cell r="E13103" t="str">
            <v>LUC-E00-420033-00</v>
          </cell>
          <cell r="F13103">
            <v>409298795425</v>
          </cell>
        </row>
        <row r="13104">
          <cell r="E13104" t="str">
            <v>LUC-E00-420033-00</v>
          </cell>
          <cell r="F13104">
            <v>409298795425</v>
          </cell>
        </row>
        <row r="13105">
          <cell r="E13105" t="str">
            <v>LUC-EZZ-400609-00</v>
          </cell>
          <cell r="F13105">
            <v>409298795425</v>
          </cell>
        </row>
        <row r="13106">
          <cell r="E13106" t="str">
            <v>LUC-E00-440031-00</v>
          </cell>
          <cell r="F13106">
            <v>409298795425</v>
          </cell>
        </row>
        <row r="13107">
          <cell r="E13107" t="str">
            <v>LUC-E00-440031-00</v>
          </cell>
          <cell r="F13107">
            <v>409298795425</v>
          </cell>
        </row>
        <row r="13108">
          <cell r="E13108" t="str">
            <v>LUC-E00-440024-00</v>
          </cell>
          <cell r="F13108">
            <v>409298795425</v>
          </cell>
        </row>
        <row r="13109">
          <cell r="E13109" t="str">
            <v>LUC-E00-440024-00</v>
          </cell>
          <cell r="F13109">
            <v>409298795425</v>
          </cell>
        </row>
        <row r="13110">
          <cell r="E13110" t="str">
            <v>LUC-E00-420002-03</v>
          </cell>
          <cell r="F13110">
            <v>409298795425</v>
          </cell>
        </row>
        <row r="13111">
          <cell r="E13111" t="str">
            <v>LUC-E00-400022-000</v>
          </cell>
          <cell r="F13111">
            <v>409298795425</v>
          </cell>
        </row>
        <row r="13112">
          <cell r="E13112" t="str">
            <v>LUC-E00-420016-00</v>
          </cell>
          <cell r="F13112">
            <v>409298795425</v>
          </cell>
        </row>
        <row r="13113">
          <cell r="E13113" t="str">
            <v>LUC-E00-420016-00</v>
          </cell>
          <cell r="F13113">
            <v>409298795425</v>
          </cell>
        </row>
        <row r="13114">
          <cell r="E13114" t="str">
            <v>LUC-E00-420024-00</v>
          </cell>
          <cell r="F13114">
            <v>409298795425</v>
          </cell>
        </row>
        <row r="13115">
          <cell r="E13115" t="str">
            <v>LUC-E00-440031-00</v>
          </cell>
          <cell r="F13115">
            <v>409298795425</v>
          </cell>
        </row>
        <row r="13116">
          <cell r="E13116" t="str">
            <v>LUC-EZZ-420179-00</v>
          </cell>
          <cell r="F13116">
            <v>409298795425</v>
          </cell>
        </row>
        <row r="13117">
          <cell r="E13117" t="str">
            <v>LUC-E00-440031-00</v>
          </cell>
          <cell r="F13117">
            <v>409298795425</v>
          </cell>
        </row>
        <row r="13118">
          <cell r="E13118" t="str">
            <v>LUC-E00-420011-12</v>
          </cell>
          <cell r="F13118">
            <v>409298795425</v>
          </cell>
        </row>
        <row r="13119">
          <cell r="E13119" t="str">
            <v>LUC-E00-440012-00</v>
          </cell>
          <cell r="F13119">
            <v>409298795425</v>
          </cell>
        </row>
        <row r="13120">
          <cell r="E13120" t="str">
            <v>LUC-EZZ-400260-00</v>
          </cell>
          <cell r="F13120">
            <v>409298795425</v>
          </cell>
        </row>
        <row r="13121">
          <cell r="E13121" t="str">
            <v>LUC-EZZ-400454-00</v>
          </cell>
          <cell r="F13121">
            <v>409298795425</v>
          </cell>
        </row>
        <row r="13122">
          <cell r="E13122" t="str">
            <v>AIC-MP-00003861-000</v>
          </cell>
          <cell r="F13122">
            <v>883170433880</v>
          </cell>
        </row>
        <row r="13123">
          <cell r="E13123" t="str">
            <v>AIC-MP-00002120-000</v>
          </cell>
          <cell r="F13123">
            <v>883170433880</v>
          </cell>
        </row>
        <row r="13124">
          <cell r="E13124" t="str">
            <v>AIC-MP-ID000937-S01</v>
          </cell>
          <cell r="F13124">
            <v>883227924068</v>
          </cell>
        </row>
        <row r="13125">
          <cell r="E13125" t="str">
            <v>AIC-MP-ID000767-S01</v>
          </cell>
          <cell r="F13125">
            <v>883227924068</v>
          </cell>
        </row>
        <row r="13126">
          <cell r="E13126" t="str">
            <v>EF-45151753</v>
          </cell>
          <cell r="F13126">
            <v>883196857292</v>
          </cell>
        </row>
        <row r="13127">
          <cell r="E13127" t="str">
            <v>LUC-EZZ-470423-00</v>
          </cell>
          <cell r="F13127">
            <v>453074978535</v>
          </cell>
        </row>
        <row r="13128">
          <cell r="E13128" t="str">
            <v>HLOB-03-0038-00</v>
          </cell>
          <cell r="F13128">
            <v>446841294059</v>
          </cell>
        </row>
        <row r="13129">
          <cell r="E13129" t="str">
            <v>102-001599</v>
          </cell>
          <cell r="F13129" t="str">
            <v>MHKGA2500979</v>
          </cell>
        </row>
        <row r="13130">
          <cell r="E13130" t="str">
            <v>LUC-P21-K2C400-01</v>
          </cell>
          <cell r="F13130" t="str">
            <v>BSJZJ0086385</v>
          </cell>
        </row>
        <row r="13131">
          <cell r="E13131" t="str">
            <v>LUC-P21-K2C400-01</v>
          </cell>
          <cell r="F13131" t="str">
            <v>BSJZJ0086385</v>
          </cell>
        </row>
        <row r="13132">
          <cell r="E13132" t="str">
            <v>LUC-P21-K2C400-01</v>
          </cell>
          <cell r="F13132" t="str">
            <v>BSJZJ0086385</v>
          </cell>
        </row>
        <row r="13133">
          <cell r="E13133" t="str">
            <v>LUC-P21-K61100-02</v>
          </cell>
          <cell r="F13133" t="str">
            <v>BSJZJ0086385</v>
          </cell>
        </row>
        <row r="13134">
          <cell r="E13134" t="str">
            <v>LUC-E00-470060-00</v>
          </cell>
          <cell r="F13134">
            <v>471588887271</v>
          </cell>
        </row>
        <row r="13135">
          <cell r="E13135" t="str">
            <v>AIC-160-001207</v>
          </cell>
          <cell r="F13135">
            <v>471588887271</v>
          </cell>
        </row>
        <row r="13136">
          <cell r="E13136" t="str">
            <v>LUC-EZZ-490259-00</v>
          </cell>
          <cell r="F13136">
            <v>1516079</v>
          </cell>
        </row>
        <row r="13137">
          <cell r="E13137" t="str">
            <v>LUC-EZZ-490310-04</v>
          </cell>
          <cell r="F13137">
            <v>1516079</v>
          </cell>
        </row>
        <row r="13138">
          <cell r="E13138" t="str">
            <v>LUC-EZZ-490307-01</v>
          </cell>
          <cell r="F13138">
            <v>1516079</v>
          </cell>
        </row>
        <row r="13139">
          <cell r="E13139" t="str">
            <v>LUC-EZZ-490230-05</v>
          </cell>
          <cell r="F13139">
            <v>1516079</v>
          </cell>
        </row>
        <row r="13140">
          <cell r="E13140" t="str">
            <v>LUC-EZZ-490231-05</v>
          </cell>
          <cell r="F13140">
            <v>1516079</v>
          </cell>
        </row>
        <row r="13141">
          <cell r="E13141" t="str">
            <v>AIC-MP-CP005744-S01</v>
          </cell>
          <cell r="F13141">
            <v>4812833454</v>
          </cell>
        </row>
        <row r="13142">
          <cell r="E13142" t="str">
            <v>HLOB-13-0009-00</v>
          </cell>
          <cell r="F13142">
            <v>4812833454</v>
          </cell>
        </row>
        <row r="13143">
          <cell r="E13143" t="str">
            <v>PURET-13-0009-00</v>
          </cell>
          <cell r="F13143">
            <v>4812833454</v>
          </cell>
        </row>
        <row r="13144">
          <cell r="E13144" t="str">
            <v>HLOB-13-0138-00</v>
          </cell>
          <cell r="F13144">
            <v>4812833454</v>
          </cell>
        </row>
        <row r="13145">
          <cell r="E13145" t="str">
            <v>PUR-13-0147-00</v>
          </cell>
          <cell r="F13145">
            <v>4812833454</v>
          </cell>
        </row>
        <row r="13146">
          <cell r="E13146" t="str">
            <v>AIC-122-004382</v>
          </cell>
          <cell r="F13146">
            <v>4812833454</v>
          </cell>
        </row>
        <row r="13147">
          <cell r="E13147" t="str">
            <v>PUR-13-0160-00</v>
          </cell>
          <cell r="F13147">
            <v>4812833454</v>
          </cell>
        </row>
        <row r="13148">
          <cell r="E13148" t="str">
            <v>LUC-E00-420275-00</v>
          </cell>
          <cell r="F13148">
            <v>4812833454</v>
          </cell>
        </row>
        <row r="13149">
          <cell r="E13149" t="str">
            <v>LUC-EZZ-420118-00</v>
          </cell>
          <cell r="F13149">
            <v>4812833454</v>
          </cell>
        </row>
        <row r="13150">
          <cell r="E13150" t="str">
            <v>LUC-EZZ-420118-00</v>
          </cell>
          <cell r="F13150">
            <v>4812833454</v>
          </cell>
        </row>
        <row r="13151">
          <cell r="E13151" t="str">
            <v>LUC-EZZ-420118-00</v>
          </cell>
          <cell r="F13151">
            <v>4812833454</v>
          </cell>
        </row>
        <row r="13152">
          <cell r="E13152" t="str">
            <v>LUC-EZZ-420539-00</v>
          </cell>
          <cell r="F13152">
            <v>4812833454</v>
          </cell>
        </row>
        <row r="13153">
          <cell r="E13153" t="str">
            <v>HLOB-13-0009-00</v>
          </cell>
          <cell r="F13153">
            <v>4812833454</v>
          </cell>
        </row>
        <row r="13154">
          <cell r="E13154" t="str">
            <v>PURET-13-0007-00</v>
          </cell>
          <cell r="F13154">
            <v>4812833454</v>
          </cell>
        </row>
        <row r="13155">
          <cell r="E13155" t="str">
            <v>LUC-E00-420072-01</v>
          </cell>
          <cell r="F13155">
            <v>4812833454</v>
          </cell>
        </row>
        <row r="13156">
          <cell r="E13156" t="str">
            <v>LUC-E00-420048-00</v>
          </cell>
          <cell r="F13156">
            <v>4812833454</v>
          </cell>
        </row>
        <row r="13157">
          <cell r="E13157" t="str">
            <v>LUC-E00-420037-03</v>
          </cell>
          <cell r="F13157">
            <v>4812833454</v>
          </cell>
        </row>
        <row r="13158">
          <cell r="E13158" t="str">
            <v>LUC-E00-420002-00</v>
          </cell>
          <cell r="F13158">
            <v>4812833454</v>
          </cell>
        </row>
        <row r="13159">
          <cell r="E13159" t="str">
            <v>LUC-P21-K61200-02</v>
          </cell>
          <cell r="F13159" t="str">
            <v>LSHHPH2506701</v>
          </cell>
        </row>
        <row r="13160">
          <cell r="E13160" t="str">
            <v>LUC-P21-K61200-02</v>
          </cell>
          <cell r="F13160" t="str">
            <v>LSHHPH2506701</v>
          </cell>
        </row>
        <row r="13161">
          <cell r="E13161" t="str">
            <v>AIC-MP-00000331-000</v>
          </cell>
          <cell r="F13161">
            <v>883231799979</v>
          </cell>
        </row>
        <row r="13162">
          <cell r="E13162" t="str">
            <v>AIC-MP-CN007078-S02</v>
          </cell>
          <cell r="F13162">
            <v>883231799979</v>
          </cell>
        </row>
        <row r="13163">
          <cell r="E13163" t="str">
            <v>AIC-MP-CN007082-S01</v>
          </cell>
          <cell r="F13163">
            <v>883231799979</v>
          </cell>
        </row>
        <row r="13164">
          <cell r="E13164" t="str">
            <v>PUR-13-0235-00</v>
          </cell>
          <cell r="F13164">
            <v>445170503546</v>
          </cell>
        </row>
        <row r="13165">
          <cell r="E13165" t="str">
            <v>PUR-09-0424-00</v>
          </cell>
          <cell r="F13165">
            <v>445170504884</v>
          </cell>
        </row>
        <row r="13166">
          <cell r="E13166" t="str">
            <v>LUC-EZZ-400248-00</v>
          </cell>
          <cell r="F13166">
            <v>445170507004</v>
          </cell>
        </row>
        <row r="13167">
          <cell r="E13167" t="str">
            <v>PUR-21-0036-00</v>
          </cell>
          <cell r="F13167">
            <v>472181957700</v>
          </cell>
        </row>
        <row r="13168">
          <cell r="E13168" t="str">
            <v>EF-45051532.X.X</v>
          </cell>
          <cell r="F13168">
            <v>472181957700</v>
          </cell>
        </row>
        <row r="13169">
          <cell r="E13169" t="str">
            <v>LUC-EZZ-440021-00</v>
          </cell>
          <cell r="F13169">
            <v>472181957700</v>
          </cell>
        </row>
        <row r="13170">
          <cell r="E13170" t="str">
            <v>LUC-EZZ-440021-00</v>
          </cell>
          <cell r="F13170">
            <v>472181957700</v>
          </cell>
        </row>
        <row r="13171">
          <cell r="E13171" t="str">
            <v>AIC-MP-00005772-000</v>
          </cell>
          <cell r="F13171">
            <v>472181957700</v>
          </cell>
        </row>
        <row r="13172">
          <cell r="E13172" t="str">
            <v>LUC-EZZ-400248-00</v>
          </cell>
          <cell r="F13172">
            <v>445170507471</v>
          </cell>
        </row>
        <row r="13173">
          <cell r="E13173" t="str">
            <v>LUC-EZZ-400248-00</v>
          </cell>
          <cell r="F13173">
            <v>445170508798</v>
          </cell>
        </row>
        <row r="13174">
          <cell r="E13174" t="str">
            <v>LUC-EZZ-450070-00</v>
          </cell>
          <cell r="F13174">
            <v>445170509051</v>
          </cell>
        </row>
        <row r="13175">
          <cell r="E13175" t="str">
            <v>EF-45241780</v>
          </cell>
          <cell r="F13175">
            <v>445170509420</v>
          </cell>
        </row>
        <row r="13176">
          <cell r="E13176" t="str">
            <v>LUC-E00-440140-01</v>
          </cell>
          <cell r="F13176">
            <v>391666284891</v>
          </cell>
        </row>
        <row r="13177">
          <cell r="E13177" t="str">
            <v>LUC-E00-440140-01</v>
          </cell>
          <cell r="F13177">
            <v>391666284891</v>
          </cell>
        </row>
        <row r="13178">
          <cell r="E13178" t="str">
            <v>LUC-E00-440140-01</v>
          </cell>
          <cell r="F13178">
            <v>391666284891</v>
          </cell>
        </row>
        <row r="13179">
          <cell r="E13179" t="str">
            <v>LUC-EZZ-420179-00</v>
          </cell>
          <cell r="F13179">
            <v>409298795940</v>
          </cell>
        </row>
        <row r="13180">
          <cell r="E13180" t="str">
            <v>LUC-E00-690214-00</v>
          </cell>
          <cell r="F13180">
            <v>470438006560</v>
          </cell>
        </row>
        <row r="13181">
          <cell r="E13181" t="str">
            <v>141-002768</v>
          </cell>
          <cell r="F13181">
            <v>642108556390</v>
          </cell>
        </row>
        <row r="13182">
          <cell r="E13182" t="str">
            <v>LUC-P00-F189AG-00</v>
          </cell>
          <cell r="F13182">
            <v>883277166733</v>
          </cell>
        </row>
        <row r="13183">
          <cell r="E13183" t="str">
            <v>LUC-EZZ-470138-00</v>
          </cell>
          <cell r="F13183">
            <v>391686845425</v>
          </cell>
        </row>
        <row r="13184">
          <cell r="E13184" t="str">
            <v>AIC-MP-IC005426-S01</v>
          </cell>
          <cell r="F13184">
            <v>391686845425</v>
          </cell>
        </row>
        <row r="13185">
          <cell r="E13185" t="str">
            <v>AIC-MP-IC007306-S01</v>
          </cell>
          <cell r="F13185">
            <v>391686845425</v>
          </cell>
        </row>
        <row r="13186">
          <cell r="E13186" t="str">
            <v>AIC-MP-IC000856-S01</v>
          </cell>
          <cell r="F13186">
            <v>391686845425</v>
          </cell>
        </row>
        <row r="13187">
          <cell r="E13187" t="str">
            <v>AIC-MP-IC006506-S01</v>
          </cell>
          <cell r="F13187">
            <v>391686845425</v>
          </cell>
        </row>
        <row r="13188">
          <cell r="E13188" t="str">
            <v>HLOB-03-0038-00</v>
          </cell>
          <cell r="F13188">
            <v>446841294883</v>
          </cell>
        </row>
        <row r="13189">
          <cell r="E13189" t="str">
            <v>HLOB-03-0038-00</v>
          </cell>
          <cell r="F13189">
            <v>446841294883</v>
          </cell>
        </row>
        <row r="13190">
          <cell r="E13190" t="str">
            <v>AIC-MP-IC007265-S01</v>
          </cell>
          <cell r="F13190">
            <v>469774300080</v>
          </cell>
        </row>
        <row r="13191">
          <cell r="E13191" t="str">
            <v>AIC-MP-00007031-000</v>
          </cell>
          <cell r="F13191">
            <v>469774300080</v>
          </cell>
        </row>
        <row r="13192">
          <cell r="E13192" t="str">
            <v>AIC-MP-00007034-000</v>
          </cell>
          <cell r="F13192">
            <v>469774300080</v>
          </cell>
        </row>
        <row r="13193">
          <cell r="E13193" t="str">
            <v>AIC-MP-00005844-000</v>
          </cell>
          <cell r="F13193">
            <v>469774300080</v>
          </cell>
        </row>
        <row r="13194">
          <cell r="E13194" t="str">
            <v>LUC-P11-K33R00-01</v>
          </cell>
          <cell r="F13194">
            <v>4812833224</v>
          </cell>
        </row>
        <row r="13195">
          <cell r="E13195" t="str">
            <v>LUC-P11-K33A00-02</v>
          </cell>
          <cell r="F13195">
            <v>4812833224</v>
          </cell>
        </row>
        <row r="13196">
          <cell r="E13196" t="str">
            <v>LUC-P11-K33B00-02</v>
          </cell>
          <cell r="F13196">
            <v>4812833224</v>
          </cell>
        </row>
        <row r="13197">
          <cell r="E13197" t="str">
            <v>LUC-P11-K33900-02</v>
          </cell>
          <cell r="F13197">
            <v>4812833224</v>
          </cell>
        </row>
        <row r="13198">
          <cell r="E13198" t="str">
            <v>LUC-EZZ-690138-04</v>
          </cell>
          <cell r="F13198">
            <v>4812833224</v>
          </cell>
        </row>
        <row r="13199">
          <cell r="E13199" t="str">
            <v>LUC-EZZ-690138-04</v>
          </cell>
          <cell r="F13199">
            <v>4812833224</v>
          </cell>
        </row>
        <row r="13200">
          <cell r="E13200" t="str">
            <v>LUC-EZZ-690138-00</v>
          </cell>
          <cell r="F13200">
            <v>4812833224</v>
          </cell>
        </row>
        <row r="13201">
          <cell r="E13201" t="str">
            <v>LUC-EZZ-690138-00</v>
          </cell>
          <cell r="F13201">
            <v>4812833224</v>
          </cell>
        </row>
        <row r="13202">
          <cell r="E13202" t="str">
            <v>LUC-EZZ-690138-01</v>
          </cell>
          <cell r="F13202">
            <v>4812833224</v>
          </cell>
        </row>
        <row r="13203">
          <cell r="E13203" t="str">
            <v>LUC-EZZ-690138-02</v>
          </cell>
          <cell r="F13203">
            <v>4812833224</v>
          </cell>
        </row>
        <row r="13204">
          <cell r="E13204" t="str">
            <v>LUC-P11-K82200-02</v>
          </cell>
          <cell r="F13204">
            <v>22126989</v>
          </cell>
        </row>
        <row r="13205">
          <cell r="E13205" t="str">
            <v>LUC-P11-K82200-02</v>
          </cell>
          <cell r="F13205">
            <v>22126989</v>
          </cell>
        </row>
        <row r="13206">
          <cell r="E13206" t="str">
            <v>LUC-P11-K82300-00</v>
          </cell>
          <cell r="F13206">
            <v>22126989</v>
          </cell>
        </row>
        <row r="13207">
          <cell r="E13207" t="str">
            <v>LUC-P11-K82300-00</v>
          </cell>
          <cell r="F13207">
            <v>22126989</v>
          </cell>
        </row>
        <row r="13208">
          <cell r="E13208" t="str">
            <v>LUC-EZZ-490071-06</v>
          </cell>
          <cell r="F13208">
            <v>7674591676</v>
          </cell>
        </row>
        <row r="13209">
          <cell r="E13209" t="str">
            <v>LUC-EZZ-490071-06</v>
          </cell>
          <cell r="F13209">
            <v>7674591676</v>
          </cell>
        </row>
        <row r="13210">
          <cell r="E13210" t="str">
            <v>LUC-EZZ-690242-00</v>
          </cell>
          <cell r="F13210">
            <v>391587851413</v>
          </cell>
        </row>
        <row r="13211">
          <cell r="E13211" t="str">
            <v>EF-45241780</v>
          </cell>
          <cell r="F13211">
            <v>445170511165</v>
          </cell>
        </row>
        <row r="13212">
          <cell r="E13212" t="str">
            <v>LUC-E00-420071-00</v>
          </cell>
          <cell r="F13212">
            <v>445170511280</v>
          </cell>
        </row>
        <row r="13213">
          <cell r="E13213" t="str">
            <v>LUC-E00-420071-00</v>
          </cell>
          <cell r="F13213">
            <v>445170511290</v>
          </cell>
        </row>
        <row r="13214">
          <cell r="E13214" t="str">
            <v>HLOB-09-0279-00</v>
          </cell>
          <cell r="F13214">
            <v>445170511820</v>
          </cell>
        </row>
        <row r="13215">
          <cell r="E13215" t="str">
            <v>PUR-09-0253-00</v>
          </cell>
          <cell r="F13215">
            <v>445170512058</v>
          </cell>
        </row>
        <row r="13216">
          <cell r="E13216" t="str">
            <v>LUC-EZZ-470181-00</v>
          </cell>
          <cell r="F13216">
            <v>445170511989</v>
          </cell>
        </row>
        <row r="13217">
          <cell r="E13217" t="str">
            <v>LUC-E00-400035-06</v>
          </cell>
          <cell r="F13217">
            <v>474391621044</v>
          </cell>
        </row>
        <row r="13218">
          <cell r="E13218" t="str">
            <v>LUC-EZZ-400218-00</v>
          </cell>
          <cell r="F13218">
            <v>474391621044</v>
          </cell>
        </row>
        <row r="13219">
          <cell r="E13219" t="str">
            <v>LUC-GF1500-00-60-50CC</v>
          </cell>
          <cell r="F13219">
            <v>474391621044</v>
          </cell>
        </row>
        <row r="13220">
          <cell r="E13220" t="str">
            <v>AIC-MP-IC004670-S01</v>
          </cell>
          <cell r="F13220">
            <v>472996068372</v>
          </cell>
        </row>
        <row r="13221">
          <cell r="E13221" t="str">
            <v>AIC-MP-00006920-000</v>
          </cell>
          <cell r="F13221">
            <v>474397454358</v>
          </cell>
        </row>
        <row r="13222">
          <cell r="E13222" t="str">
            <v>LUC-P21-K33900-00</v>
          </cell>
          <cell r="F13222">
            <v>883282503740</v>
          </cell>
        </row>
        <row r="13223">
          <cell r="E13223" t="str">
            <v>AIC-MP-IC001321-S01</v>
          </cell>
          <cell r="F13223">
            <v>643036769208</v>
          </cell>
        </row>
        <row r="13224">
          <cell r="E13224" t="str">
            <v>LUC-E00-470060-00</v>
          </cell>
          <cell r="F13224">
            <v>643036769208</v>
          </cell>
        </row>
        <row r="13225">
          <cell r="E13225" t="str">
            <v>LUC-E00-470060-00</v>
          </cell>
          <cell r="F13225">
            <v>643036769208</v>
          </cell>
        </row>
        <row r="13226">
          <cell r="E13226" t="str">
            <v>EF-45043246.X.X</v>
          </cell>
          <cell r="F13226">
            <v>741993676789</v>
          </cell>
        </row>
        <row r="13227">
          <cell r="E13227" t="str">
            <v>PUR-31-0066-02</v>
          </cell>
          <cell r="F13227" t="str">
            <v>PSHPH2580008</v>
          </cell>
        </row>
        <row r="13228">
          <cell r="E13228" t="str">
            <v>PUR-17-0158-00</v>
          </cell>
          <cell r="F13228" t="str">
            <v>PSHPH2580008</v>
          </cell>
        </row>
        <row r="13229">
          <cell r="E13229" t="str">
            <v>PUR-17-0158-00</v>
          </cell>
          <cell r="F13229" t="str">
            <v>PSHPH2580008</v>
          </cell>
        </row>
        <row r="13230">
          <cell r="E13230" t="str">
            <v>PUR-17-0152-01</v>
          </cell>
          <cell r="F13230" t="str">
            <v>PSHPH2580008</v>
          </cell>
        </row>
        <row r="13231">
          <cell r="E13231" t="str">
            <v>PUR-17-0153-01</v>
          </cell>
          <cell r="F13231" t="str">
            <v>PSHPH2580008</v>
          </cell>
        </row>
        <row r="13232">
          <cell r="E13232" t="str">
            <v>PUR-17-0150-01</v>
          </cell>
          <cell r="F13232" t="str">
            <v>PSHPH2580008</v>
          </cell>
        </row>
        <row r="13233">
          <cell r="E13233" t="str">
            <v>PUR-17-0174-01</v>
          </cell>
          <cell r="F13233" t="str">
            <v>PSHPH2580008</v>
          </cell>
        </row>
        <row r="13234">
          <cell r="E13234" t="str">
            <v>HLOB-11-0104-06</v>
          </cell>
          <cell r="F13234" t="str">
            <v>PSHPH2580009</v>
          </cell>
        </row>
        <row r="13235">
          <cell r="E13235" t="str">
            <v>HLOB-11-0104-06</v>
          </cell>
          <cell r="F13235" t="str">
            <v>PSHPH2580009</v>
          </cell>
        </row>
        <row r="13236">
          <cell r="E13236" t="str">
            <v>HLOB-11-0104-06</v>
          </cell>
          <cell r="F13236" t="str">
            <v>PSHPH2580009</v>
          </cell>
        </row>
        <row r="13237">
          <cell r="E13237" t="str">
            <v>HLOB-11-0104-06</v>
          </cell>
          <cell r="F13237" t="str">
            <v>PSHPH2580009</v>
          </cell>
        </row>
        <row r="13238">
          <cell r="E13238" t="str">
            <v>HLOB-11-0104-06</v>
          </cell>
          <cell r="F13238" t="str">
            <v>PSHPH2580009</v>
          </cell>
        </row>
        <row r="13239">
          <cell r="E13239" t="str">
            <v>HLOB-11-0104-06</v>
          </cell>
          <cell r="F13239" t="str">
            <v>PSHPH2580009</v>
          </cell>
        </row>
        <row r="13240">
          <cell r="E13240" t="str">
            <v>HLOB-11-0104-06</v>
          </cell>
          <cell r="F13240" t="str">
            <v>PSHPH2580009</v>
          </cell>
        </row>
        <row r="13241">
          <cell r="E13241" t="str">
            <v>LUC-E00-420086-00</v>
          </cell>
          <cell r="F13241">
            <v>4197772202</v>
          </cell>
        </row>
        <row r="13242">
          <cell r="E13242" t="str">
            <v>LUC-E00-400018-000</v>
          </cell>
          <cell r="F13242">
            <v>4197772202</v>
          </cell>
        </row>
        <row r="13243">
          <cell r="E13243" t="str">
            <v>LUC-E00-400010-026</v>
          </cell>
          <cell r="F13243">
            <v>4197772202</v>
          </cell>
        </row>
        <row r="13244">
          <cell r="E13244" t="str">
            <v>LUC-E00-400010-003</v>
          </cell>
          <cell r="F13244">
            <v>4197772202</v>
          </cell>
        </row>
        <row r="13245">
          <cell r="E13245" t="str">
            <v>AIC-122-004388</v>
          </cell>
          <cell r="F13245">
            <v>4197772202</v>
          </cell>
        </row>
        <row r="13246">
          <cell r="E13246" t="str">
            <v>HLOB-13-0134-00</v>
          </cell>
          <cell r="F13246">
            <v>4197772202</v>
          </cell>
        </row>
        <row r="13247">
          <cell r="E13247" t="str">
            <v>LUC-E00-400010-043</v>
          </cell>
          <cell r="F13247">
            <v>4197772202</v>
          </cell>
        </row>
        <row r="13248">
          <cell r="E13248" t="str">
            <v>LUC-E00-690033-02</v>
          </cell>
          <cell r="F13248" t="str">
            <v>LSHHPH2506761</v>
          </cell>
        </row>
        <row r="13249">
          <cell r="E13249" t="str">
            <v>LUC-E00-690033-03</v>
          </cell>
          <cell r="F13249" t="str">
            <v>LSHHPH2506761</v>
          </cell>
        </row>
        <row r="13250">
          <cell r="E13250" t="str">
            <v>LUC-EZZ-490050-03</v>
          </cell>
          <cell r="F13250">
            <v>1516121</v>
          </cell>
        </row>
        <row r="13251">
          <cell r="E13251" t="str">
            <v>HLOB-09-0294-00</v>
          </cell>
          <cell r="F13251">
            <v>391814132146</v>
          </cell>
        </row>
        <row r="13252">
          <cell r="E13252" t="str">
            <v>LUC-E00-440149-00</v>
          </cell>
          <cell r="F13252">
            <v>472996095630</v>
          </cell>
        </row>
        <row r="13253">
          <cell r="E13253" t="str">
            <v>AIC-MP-00002405-000</v>
          </cell>
          <cell r="F13253">
            <v>471783719316</v>
          </cell>
        </row>
        <row r="13254">
          <cell r="E13254" t="str">
            <v>121-000254.X.X</v>
          </cell>
          <cell r="F13254">
            <v>471783719316</v>
          </cell>
        </row>
        <row r="13255">
          <cell r="E13255" t="str">
            <v>HLOB-13-0226-00</v>
          </cell>
          <cell r="F13255">
            <v>471783719316</v>
          </cell>
        </row>
        <row r="13256">
          <cell r="E13256" t="str">
            <v>122-000673.X.X</v>
          </cell>
          <cell r="F13256">
            <v>471783719316</v>
          </cell>
        </row>
        <row r="13257">
          <cell r="E13257" t="str">
            <v>122-000453.X.X</v>
          </cell>
          <cell r="F13257">
            <v>471783719316</v>
          </cell>
        </row>
        <row r="13258">
          <cell r="E13258" t="str">
            <v>EF-45043368</v>
          </cell>
          <cell r="F13258">
            <v>471783719316</v>
          </cell>
        </row>
        <row r="13259">
          <cell r="E13259" t="str">
            <v>PUR-13-0156-00</v>
          </cell>
          <cell r="F13259">
            <v>471783719316</v>
          </cell>
        </row>
        <row r="13260">
          <cell r="E13260" t="str">
            <v>PUR-12-0333-00</v>
          </cell>
          <cell r="F13260">
            <v>471783719316</v>
          </cell>
        </row>
        <row r="13261">
          <cell r="E13261" t="str">
            <v>HLOB-12-0212-00</v>
          </cell>
          <cell r="F13261">
            <v>471783719316</v>
          </cell>
        </row>
        <row r="13262">
          <cell r="E13262" t="str">
            <v>AIC-MP-00002358-000</v>
          </cell>
          <cell r="F13262">
            <v>471783719316</v>
          </cell>
        </row>
        <row r="13263">
          <cell r="E13263" t="str">
            <v>AIC-MP-00002317-000</v>
          </cell>
          <cell r="F13263">
            <v>471783719316</v>
          </cell>
        </row>
        <row r="13264">
          <cell r="E13264" t="str">
            <v>PUR-12-0323-00</v>
          </cell>
          <cell r="F13264">
            <v>471783719316</v>
          </cell>
        </row>
        <row r="13265">
          <cell r="E13265" t="str">
            <v>AIC-MP-00002401-000</v>
          </cell>
          <cell r="F13265">
            <v>471783719316</v>
          </cell>
        </row>
        <row r="13266">
          <cell r="E13266" t="str">
            <v>AIC-MP-00002463-000</v>
          </cell>
          <cell r="F13266">
            <v>471783719316</v>
          </cell>
        </row>
        <row r="13267">
          <cell r="E13267" t="str">
            <v>PUR-12-0272-00</v>
          </cell>
          <cell r="F13267">
            <v>471783719316</v>
          </cell>
        </row>
        <row r="13268">
          <cell r="E13268" t="str">
            <v>HLOB-12-0304-00</v>
          </cell>
          <cell r="F13268">
            <v>471783719316</v>
          </cell>
        </row>
        <row r="13269">
          <cell r="E13269" t="str">
            <v>HLOB-12-0297-00</v>
          </cell>
          <cell r="F13269">
            <v>471783719316</v>
          </cell>
        </row>
        <row r="13270">
          <cell r="E13270" t="str">
            <v>LUC-E00-420037-01</v>
          </cell>
          <cell r="F13270">
            <v>471783719316</v>
          </cell>
        </row>
        <row r="13271">
          <cell r="E13271" t="str">
            <v>122-000673.X.X</v>
          </cell>
          <cell r="F13271">
            <v>471783719316</v>
          </cell>
        </row>
        <row r="13272">
          <cell r="E13272" t="str">
            <v>LUC-E00-420025-04</v>
          </cell>
          <cell r="F13272">
            <v>471783719316</v>
          </cell>
        </row>
        <row r="13273">
          <cell r="E13273" t="str">
            <v>HLOB-13-0001-00</v>
          </cell>
          <cell r="F13273">
            <v>471783719316</v>
          </cell>
        </row>
        <row r="13274">
          <cell r="E13274" t="str">
            <v>HLOB-13-0001-00</v>
          </cell>
          <cell r="F13274">
            <v>471783719316</v>
          </cell>
        </row>
        <row r="13275">
          <cell r="E13275" t="str">
            <v>PUR-14-0051-00</v>
          </cell>
          <cell r="F13275">
            <v>471783719316</v>
          </cell>
        </row>
        <row r="13276">
          <cell r="E13276" t="str">
            <v>LUC-E00-420037-01</v>
          </cell>
          <cell r="F13276">
            <v>471783719316</v>
          </cell>
        </row>
        <row r="13277">
          <cell r="E13277" t="str">
            <v>AIC-MP-IC001321-S01</v>
          </cell>
          <cell r="F13277">
            <v>469774301710</v>
          </cell>
        </row>
        <row r="13278">
          <cell r="E13278" t="str">
            <v>LUC-P00-F116CF-00</v>
          </cell>
          <cell r="F13278">
            <v>883347499490</v>
          </cell>
        </row>
        <row r="13279">
          <cell r="E13279" t="str">
            <v>LUC-E00-400023-000</v>
          </cell>
          <cell r="F13279">
            <v>473838394791</v>
          </cell>
        </row>
        <row r="13280">
          <cell r="E13280" t="str">
            <v>LUC-E00-400023-000</v>
          </cell>
          <cell r="F13280">
            <v>473838394791</v>
          </cell>
        </row>
        <row r="13281">
          <cell r="E13281" t="str">
            <v>AIC-MP-00006920-000</v>
          </cell>
          <cell r="F13281">
            <v>473838394791</v>
          </cell>
        </row>
        <row r="13282">
          <cell r="E13282" t="str">
            <v>LUC-E00-400023-000</v>
          </cell>
          <cell r="F13282">
            <v>473838394791</v>
          </cell>
        </row>
        <row r="13283">
          <cell r="E13283" t="str">
            <v>EF-45043833.X.X</v>
          </cell>
          <cell r="F13283">
            <v>883379133120</v>
          </cell>
        </row>
        <row r="13284">
          <cell r="E13284" t="str">
            <v>EF-45111902</v>
          </cell>
          <cell r="F13284">
            <v>883379133120</v>
          </cell>
        </row>
        <row r="13285">
          <cell r="E13285" t="str">
            <v>LUC-EZZ-400196-00</v>
          </cell>
          <cell r="F13285">
            <v>883379133120</v>
          </cell>
        </row>
        <row r="13286">
          <cell r="E13286" t="str">
            <v>LUC-E00-450009-00</v>
          </cell>
          <cell r="F13286">
            <v>883379133120</v>
          </cell>
        </row>
        <row r="13287">
          <cell r="E13287" t="str">
            <v>HLOB-12-0343-00</v>
          </cell>
          <cell r="F13287">
            <v>883379133120</v>
          </cell>
        </row>
        <row r="13288">
          <cell r="E13288" t="str">
            <v>PUR-12-0337-00</v>
          </cell>
          <cell r="F13288">
            <v>883379133120</v>
          </cell>
        </row>
        <row r="13289">
          <cell r="E13289" t="str">
            <v>HLOB-12-0337-00</v>
          </cell>
          <cell r="F13289">
            <v>883379133120</v>
          </cell>
        </row>
        <row r="13290">
          <cell r="E13290" t="str">
            <v>HLOB-12-0343-00</v>
          </cell>
          <cell r="F13290">
            <v>883379133120</v>
          </cell>
        </row>
        <row r="13291">
          <cell r="E13291" t="str">
            <v>HLOB-12-0337-00</v>
          </cell>
          <cell r="F13291">
            <v>883379133120</v>
          </cell>
        </row>
        <row r="13292">
          <cell r="E13292" t="str">
            <v>EF-45044048.X.X</v>
          </cell>
          <cell r="F13292">
            <v>883379133120</v>
          </cell>
        </row>
        <row r="13293">
          <cell r="E13293" t="str">
            <v>EF-45044048.X.X</v>
          </cell>
          <cell r="F13293">
            <v>883379133120</v>
          </cell>
        </row>
        <row r="13294">
          <cell r="E13294" t="str">
            <v>EF-45129267</v>
          </cell>
          <cell r="F13294">
            <v>883379133120</v>
          </cell>
        </row>
        <row r="13295">
          <cell r="E13295" t="str">
            <v>HLOB-13-0159-00</v>
          </cell>
          <cell r="F13295">
            <v>883379133120</v>
          </cell>
        </row>
        <row r="13296">
          <cell r="E13296" t="str">
            <v>122-001191</v>
          </cell>
          <cell r="F13296">
            <v>883379133120</v>
          </cell>
        </row>
        <row r="13297">
          <cell r="E13297" t="str">
            <v>AIC-MP-00001112-000</v>
          </cell>
          <cell r="F13297">
            <v>883379133120</v>
          </cell>
        </row>
        <row r="13298">
          <cell r="E13298" t="str">
            <v>AIC-MP-00003255-000</v>
          </cell>
          <cell r="F13298">
            <v>883379133120</v>
          </cell>
        </row>
        <row r="13299">
          <cell r="E13299" t="str">
            <v>121-000519.X.X</v>
          </cell>
          <cell r="F13299">
            <v>883379133120</v>
          </cell>
        </row>
        <row r="13300">
          <cell r="E13300" t="str">
            <v>122-000293.X.X</v>
          </cell>
          <cell r="F13300">
            <v>883379133120</v>
          </cell>
        </row>
        <row r="13301">
          <cell r="E13301" t="str">
            <v>122-000293.X.X</v>
          </cell>
          <cell r="F13301">
            <v>883379133120</v>
          </cell>
        </row>
        <row r="13302">
          <cell r="E13302" t="str">
            <v>LUC-P11-J81500-01</v>
          </cell>
          <cell r="F13302" t="str">
            <v>LSHHPH2506776</v>
          </cell>
        </row>
        <row r="13303">
          <cell r="E13303" t="str">
            <v>LUC-P11-J81300-01</v>
          </cell>
          <cell r="F13303" t="str">
            <v>LSHHPH2506776</v>
          </cell>
        </row>
        <row r="13304">
          <cell r="E13304" t="str">
            <v>LUC-P11-J81300-01</v>
          </cell>
          <cell r="F13304" t="str">
            <v>LSHHPH2506776</v>
          </cell>
        </row>
        <row r="13305">
          <cell r="E13305" t="str">
            <v>134-001619</v>
          </cell>
          <cell r="F13305">
            <v>883377257193</v>
          </cell>
        </row>
        <row r="13306">
          <cell r="E13306" t="str">
            <v>LUC-E00-690010-03</v>
          </cell>
          <cell r="F13306">
            <v>391687110358</v>
          </cell>
        </row>
        <row r="13307">
          <cell r="E13307" t="str">
            <v>LUC-E00-690010-01</v>
          </cell>
          <cell r="F13307">
            <v>391713062857</v>
          </cell>
        </row>
        <row r="13308">
          <cell r="E13308" t="str">
            <v>LUC-P11-JA3300-00</v>
          </cell>
          <cell r="F13308">
            <v>472187324217</v>
          </cell>
        </row>
        <row r="13309">
          <cell r="E13309" t="str">
            <v>LUC-EZZ-690131-00</v>
          </cell>
          <cell r="F13309">
            <v>4110327193</v>
          </cell>
        </row>
        <row r="13310">
          <cell r="E13310" t="str">
            <v>LUC-EZZ-690020-00</v>
          </cell>
          <cell r="F13310">
            <v>4110327221</v>
          </cell>
        </row>
        <row r="13311">
          <cell r="E13311" t="str">
            <v>AIC-122-004338</v>
          </cell>
          <cell r="F13311">
            <v>3455837910</v>
          </cell>
        </row>
        <row r="13312">
          <cell r="E13312" t="str">
            <v>AIC-MP-00004401-000</v>
          </cell>
          <cell r="F13312">
            <v>3455832752</v>
          </cell>
        </row>
        <row r="13313">
          <cell r="E13313" t="str">
            <v>HLOB-12-0084-00</v>
          </cell>
          <cell r="F13313">
            <v>3455832752</v>
          </cell>
        </row>
        <row r="13314">
          <cell r="E13314" t="str">
            <v>HLOB-24-0024-00</v>
          </cell>
          <cell r="F13314">
            <v>3455832752</v>
          </cell>
        </row>
        <row r="13315">
          <cell r="E13315" t="str">
            <v>EF-45072100.X.X</v>
          </cell>
          <cell r="F13315">
            <v>3455832752</v>
          </cell>
        </row>
        <row r="13316">
          <cell r="E13316" t="str">
            <v>LUC-E00-400049-00</v>
          </cell>
          <cell r="F13316">
            <v>3455832752</v>
          </cell>
        </row>
        <row r="13317">
          <cell r="E13317" t="str">
            <v>LUC-E00-400069-00</v>
          </cell>
          <cell r="F13317">
            <v>3455832752</v>
          </cell>
        </row>
        <row r="13318">
          <cell r="E13318" t="str">
            <v>LUC-EZZ-510200-00</v>
          </cell>
          <cell r="F13318">
            <v>3455832752</v>
          </cell>
        </row>
        <row r="13319">
          <cell r="E13319" t="str">
            <v>LUC-E00-400049-00</v>
          </cell>
          <cell r="F13319">
            <v>3455832752</v>
          </cell>
        </row>
        <row r="13320">
          <cell r="E13320" t="str">
            <v>LUC-E00-400049-00</v>
          </cell>
          <cell r="F13320">
            <v>3455832752</v>
          </cell>
        </row>
        <row r="13321">
          <cell r="E13321" t="str">
            <v>HLOB-14-0087-00</v>
          </cell>
          <cell r="F13321">
            <v>3455832752</v>
          </cell>
        </row>
        <row r="13322">
          <cell r="E13322" t="str">
            <v>LUC-E00-460009-00</v>
          </cell>
          <cell r="F13322">
            <v>3455832752</v>
          </cell>
        </row>
        <row r="13323">
          <cell r="E13323" t="str">
            <v>LUC-E00-460009-00</v>
          </cell>
          <cell r="F13323">
            <v>3455832752</v>
          </cell>
        </row>
        <row r="13324">
          <cell r="E13324" t="str">
            <v>LUC-E00-460007-01</v>
          </cell>
          <cell r="F13324">
            <v>3455832752</v>
          </cell>
        </row>
        <row r="13325">
          <cell r="E13325" t="str">
            <v>LUC-E00-460007-01</v>
          </cell>
          <cell r="F13325">
            <v>3455832752</v>
          </cell>
        </row>
        <row r="13326">
          <cell r="E13326" t="str">
            <v>LUC-EZZ-540018-00</v>
          </cell>
          <cell r="F13326">
            <v>3455832752</v>
          </cell>
        </row>
        <row r="13327">
          <cell r="E13327" t="str">
            <v>LUC-EZZ-400005-00</v>
          </cell>
          <cell r="F13327">
            <v>3455832752</v>
          </cell>
        </row>
        <row r="13328">
          <cell r="E13328" t="str">
            <v>HLOB-14-0083-00</v>
          </cell>
          <cell r="F13328">
            <v>3455832752</v>
          </cell>
        </row>
        <row r="13329">
          <cell r="E13329" t="str">
            <v>PUR-14-0083-00</v>
          </cell>
          <cell r="F13329">
            <v>3455832752</v>
          </cell>
        </row>
        <row r="13330">
          <cell r="E13330" t="str">
            <v>PUR-14-0077-00</v>
          </cell>
          <cell r="F13330">
            <v>3455832752</v>
          </cell>
        </row>
        <row r="13331">
          <cell r="E13331" t="str">
            <v>HLOB-09-0444-00</v>
          </cell>
          <cell r="F13331">
            <v>3455832752</v>
          </cell>
        </row>
        <row r="13332">
          <cell r="E13332" t="str">
            <v>EF-45108861.X.X</v>
          </cell>
          <cell r="F13332">
            <v>3455832752</v>
          </cell>
        </row>
        <row r="13333">
          <cell r="E13333" t="str">
            <v>HLOB-24-0002-00</v>
          </cell>
          <cell r="F13333">
            <v>3455832752</v>
          </cell>
        </row>
        <row r="13334">
          <cell r="E13334" t="str">
            <v>LUC-EZZ-400831-00</v>
          </cell>
          <cell r="F13334">
            <v>3455832752</v>
          </cell>
        </row>
        <row r="13335">
          <cell r="E13335" t="str">
            <v>LUC-E00-420135-00</v>
          </cell>
          <cell r="F13335">
            <v>3455832752</v>
          </cell>
        </row>
        <row r="13336">
          <cell r="E13336" t="str">
            <v>HLOB-12-0288-00</v>
          </cell>
          <cell r="F13336">
            <v>3455832752</v>
          </cell>
        </row>
        <row r="13337">
          <cell r="E13337" t="str">
            <v>LUC-E00-460007-01</v>
          </cell>
          <cell r="F13337">
            <v>3455832752</v>
          </cell>
        </row>
        <row r="13338">
          <cell r="E13338" t="str">
            <v>EF-45108861.X.X</v>
          </cell>
          <cell r="F13338">
            <v>3455832752</v>
          </cell>
        </row>
        <row r="13339">
          <cell r="E13339" t="str">
            <v>EF-45108861.X.X</v>
          </cell>
          <cell r="F13339">
            <v>3455832752</v>
          </cell>
        </row>
        <row r="13340">
          <cell r="E13340" t="str">
            <v>HLOB-24-0008-00</v>
          </cell>
          <cell r="F13340">
            <v>3455832752</v>
          </cell>
        </row>
        <row r="13341">
          <cell r="E13341" t="str">
            <v>LUC-EZZ-490216-01</v>
          </cell>
          <cell r="F13341">
            <v>7675047623</v>
          </cell>
        </row>
        <row r="13342">
          <cell r="E13342" t="str">
            <v>LUC-EZZ-490121-06</v>
          </cell>
          <cell r="F13342">
            <v>7675047623</v>
          </cell>
        </row>
        <row r="13343">
          <cell r="E13343" t="str">
            <v>LUC-EZZ-490121-06</v>
          </cell>
          <cell r="F13343">
            <v>7675047623</v>
          </cell>
        </row>
        <row r="13344">
          <cell r="E13344" t="str">
            <v>LUC-EZZ-490216-01</v>
          </cell>
          <cell r="F13344">
            <v>7675047623</v>
          </cell>
        </row>
        <row r="13345">
          <cell r="E13345" t="str">
            <v>LUC-EZZ-490121-06</v>
          </cell>
          <cell r="F13345">
            <v>7675047623</v>
          </cell>
        </row>
        <row r="13346">
          <cell r="E13346" t="str">
            <v>LUC-EZZ-490200-07</v>
          </cell>
          <cell r="F13346">
            <v>7675047623</v>
          </cell>
        </row>
        <row r="13347">
          <cell r="E13347" t="str">
            <v>HLOB-03-0113-00</v>
          </cell>
          <cell r="F13347" t="str">
            <v>8TV8647</v>
          </cell>
        </row>
        <row r="13348">
          <cell r="E13348" t="str">
            <v>HLOB-03-0113-00</v>
          </cell>
          <cell r="F13348" t="str">
            <v>8TV8648</v>
          </cell>
        </row>
        <row r="13349">
          <cell r="E13349" t="str">
            <v>HLOB-03-0113-00</v>
          </cell>
          <cell r="F13349" t="str">
            <v>8TV8649</v>
          </cell>
        </row>
        <row r="13350">
          <cell r="E13350" t="str">
            <v>PUR-03-0092-03</v>
          </cell>
          <cell r="F13350" t="str">
            <v>8TV8613</v>
          </cell>
        </row>
        <row r="13351">
          <cell r="E13351" t="str">
            <v>PUR-03-0092-03</v>
          </cell>
          <cell r="F13351" t="str">
            <v>8TV8615</v>
          </cell>
        </row>
        <row r="13352">
          <cell r="E13352" t="str">
            <v>PUR-03-0099-03</v>
          </cell>
          <cell r="F13352" t="str">
            <v>8TV8615</v>
          </cell>
        </row>
        <row r="13353">
          <cell r="E13353" t="str">
            <v>PUR-03-0092-03</v>
          </cell>
          <cell r="F13353" t="str">
            <v>8TV8614</v>
          </cell>
        </row>
        <row r="13354">
          <cell r="E13354" t="str">
            <v>PUR-03-0096-02</v>
          </cell>
          <cell r="F13354" t="str">
            <v>8TV8638</v>
          </cell>
        </row>
        <row r="13355">
          <cell r="E13355" t="str">
            <v>PUR-03-0074-02</v>
          </cell>
          <cell r="F13355" t="str">
            <v>8TV8608</v>
          </cell>
        </row>
        <row r="13356">
          <cell r="E13356" t="str">
            <v>PUR-03-0092-03</v>
          </cell>
          <cell r="F13356" t="str">
            <v>8TV8611</v>
          </cell>
        </row>
        <row r="13357">
          <cell r="E13357" t="str">
            <v>PUR-03-0092-03</v>
          </cell>
          <cell r="F13357" t="str">
            <v>8TV8610</v>
          </cell>
        </row>
        <row r="13358">
          <cell r="E13358" t="str">
            <v>PUR-12-0505-00</v>
          </cell>
          <cell r="F13358">
            <v>883409891470</v>
          </cell>
        </row>
        <row r="13359">
          <cell r="E13359" t="str">
            <v>EF-45133864</v>
          </cell>
          <cell r="F13359">
            <v>883409891470</v>
          </cell>
        </row>
        <row r="13360">
          <cell r="E13360" t="str">
            <v>HLOB-12-0284-00</v>
          </cell>
          <cell r="F13360">
            <v>883409891470</v>
          </cell>
        </row>
        <row r="13361">
          <cell r="E13361" t="str">
            <v>HLOB-12-0293-00</v>
          </cell>
          <cell r="F13361">
            <v>883409891470</v>
          </cell>
        </row>
        <row r="13362">
          <cell r="E13362" t="str">
            <v>PUR-12-0431-00</v>
          </cell>
          <cell r="F13362">
            <v>883409891470</v>
          </cell>
        </row>
        <row r="13363">
          <cell r="E13363" t="str">
            <v>PUR-12-0460-00</v>
          </cell>
          <cell r="F13363">
            <v>883409891470</v>
          </cell>
        </row>
        <row r="13364">
          <cell r="E13364" t="str">
            <v>PUR-12-0460-00</v>
          </cell>
          <cell r="F13364">
            <v>883409891470</v>
          </cell>
        </row>
        <row r="13365">
          <cell r="E13365" t="str">
            <v>HLOB-12-0483-00</v>
          </cell>
          <cell r="F13365">
            <v>883409891470</v>
          </cell>
        </row>
        <row r="13366">
          <cell r="E13366" t="str">
            <v>HLOB-12-0170-00</v>
          </cell>
          <cell r="F13366">
            <v>883409891470</v>
          </cell>
        </row>
        <row r="13367">
          <cell r="E13367" t="str">
            <v>EF-45043446.X.X</v>
          </cell>
          <cell r="F13367">
            <v>883409891470</v>
          </cell>
        </row>
        <row r="13368">
          <cell r="E13368" t="str">
            <v>EF-45036483.X.X</v>
          </cell>
          <cell r="F13368">
            <v>883409891470</v>
          </cell>
        </row>
        <row r="13369">
          <cell r="E13369" t="str">
            <v>EF-45108860</v>
          </cell>
          <cell r="F13369">
            <v>883409891470</v>
          </cell>
        </row>
        <row r="13370">
          <cell r="E13370" t="str">
            <v>EF-45036826</v>
          </cell>
          <cell r="F13370">
            <v>883409891470</v>
          </cell>
        </row>
        <row r="13371">
          <cell r="E13371" t="str">
            <v>EF-45036468.X.X</v>
          </cell>
          <cell r="F13371">
            <v>883409891470</v>
          </cell>
        </row>
        <row r="13372">
          <cell r="E13372" t="str">
            <v>PUR-12-0365-00</v>
          </cell>
          <cell r="F13372">
            <v>883409891470</v>
          </cell>
        </row>
        <row r="13373">
          <cell r="E13373" t="str">
            <v>EF-45037930.X.X</v>
          </cell>
          <cell r="F13373">
            <v>883409891470</v>
          </cell>
        </row>
        <row r="13374">
          <cell r="E13374" t="str">
            <v>AIC-120-012847</v>
          </cell>
          <cell r="F13374">
            <v>448135936833</v>
          </cell>
        </row>
        <row r="13375">
          <cell r="E13375" t="str">
            <v>AIC-126-002389</v>
          </cell>
          <cell r="F13375">
            <v>448135936833</v>
          </cell>
        </row>
        <row r="13376">
          <cell r="E13376" t="str">
            <v>AIC-MP-RS007397-S01</v>
          </cell>
          <cell r="F13376">
            <v>448135936833</v>
          </cell>
        </row>
        <row r="13377">
          <cell r="E13377" t="str">
            <v>AIC-MP-00005182-000</v>
          </cell>
          <cell r="F13377">
            <v>448135936833</v>
          </cell>
        </row>
        <row r="13378">
          <cell r="E13378" t="str">
            <v>AIC-132-001521</v>
          </cell>
          <cell r="F13378">
            <v>448135936833</v>
          </cell>
        </row>
        <row r="13379">
          <cell r="E13379" t="str">
            <v>AIC-MP-00007060-000</v>
          </cell>
          <cell r="F13379">
            <v>448135936833</v>
          </cell>
        </row>
        <row r="13380">
          <cell r="E13380" t="str">
            <v>AIC-MP-IC001321-S01</v>
          </cell>
          <cell r="F13380">
            <v>448135940869</v>
          </cell>
        </row>
        <row r="13381">
          <cell r="E13381" t="str">
            <v>AIC-MP-00005644-000</v>
          </cell>
          <cell r="F13381">
            <v>448135940869</v>
          </cell>
        </row>
        <row r="13382">
          <cell r="E13382" t="str">
            <v>AIC-MP-00000755-000</v>
          </cell>
          <cell r="F13382">
            <v>448135940869</v>
          </cell>
        </row>
        <row r="13383">
          <cell r="E13383" t="str">
            <v>AIC-122-004326</v>
          </cell>
          <cell r="F13383">
            <v>448135940869</v>
          </cell>
        </row>
        <row r="13384">
          <cell r="E13384" t="str">
            <v>AIC-MP-IC006982-S01</v>
          </cell>
          <cell r="F13384">
            <v>448135940869</v>
          </cell>
        </row>
        <row r="13385">
          <cell r="E13385" t="str">
            <v>AIC-MP-00001212-000</v>
          </cell>
          <cell r="F13385">
            <v>448135940869</v>
          </cell>
        </row>
        <row r="13386">
          <cell r="E13386" t="str">
            <v>PUR-09-0260-00</v>
          </cell>
          <cell r="F13386">
            <v>448135940869</v>
          </cell>
        </row>
        <row r="13387">
          <cell r="E13387" t="str">
            <v>AIC-MP-00007012-000</v>
          </cell>
          <cell r="F13387">
            <v>475883761524</v>
          </cell>
        </row>
        <row r="13388">
          <cell r="E13388" t="str">
            <v>AIC-MP-IC006865-S01</v>
          </cell>
          <cell r="F13388">
            <v>475883761524</v>
          </cell>
        </row>
        <row r="13389">
          <cell r="E13389" t="str">
            <v>AIC-MP-XS002198-S01</v>
          </cell>
          <cell r="F13389">
            <v>472181998147</v>
          </cell>
        </row>
        <row r="13390">
          <cell r="E13390" t="str">
            <v>LUC-E00-420027-04</v>
          </cell>
          <cell r="F13390">
            <v>472181998147</v>
          </cell>
        </row>
        <row r="13391">
          <cell r="E13391" t="str">
            <v>LUC-EZZ-421345-00</v>
          </cell>
          <cell r="F13391">
            <v>472181998147</v>
          </cell>
        </row>
        <row r="13392">
          <cell r="E13392" t="str">
            <v>AIC-MP-00006304-000</v>
          </cell>
          <cell r="F13392">
            <v>471898685640</v>
          </cell>
        </row>
        <row r="13393">
          <cell r="E13393" t="str">
            <v>PUR-03-0092-03</v>
          </cell>
          <cell r="F13393" t="str">
            <v>8TV8612</v>
          </cell>
        </row>
        <row r="13394">
          <cell r="E13394" t="str">
            <v>LUC-E00-690037-00</v>
          </cell>
          <cell r="F13394">
            <v>4110327222</v>
          </cell>
        </row>
        <row r="13395">
          <cell r="E13395" t="str">
            <v>LUC-E00-420054-06</v>
          </cell>
          <cell r="F13395">
            <v>4711873545</v>
          </cell>
        </row>
        <row r="13396">
          <cell r="E13396" t="str">
            <v>LUC-EZZ-420195-00</v>
          </cell>
          <cell r="F13396">
            <v>4711873545</v>
          </cell>
        </row>
        <row r="13397">
          <cell r="E13397" t="str">
            <v>LUC-EZZ-440036-00</v>
          </cell>
          <cell r="F13397">
            <v>4711873545</v>
          </cell>
        </row>
        <row r="13398">
          <cell r="E13398" t="str">
            <v>LUC-E00-420084-00</v>
          </cell>
          <cell r="F13398">
            <v>4711873545</v>
          </cell>
        </row>
        <row r="13399">
          <cell r="E13399" t="str">
            <v>LUC-E00-400050-01</v>
          </cell>
          <cell r="F13399">
            <v>4711873545</v>
          </cell>
        </row>
        <row r="13400">
          <cell r="E13400" t="str">
            <v>LUC-E00-420054-03</v>
          </cell>
          <cell r="F13400">
            <v>4711873545</v>
          </cell>
        </row>
        <row r="13401">
          <cell r="E13401" t="str">
            <v>LUC-E00-400050-01</v>
          </cell>
          <cell r="F13401">
            <v>4711873545</v>
          </cell>
        </row>
        <row r="13402">
          <cell r="E13402" t="str">
            <v>HLOB-21-0026-00</v>
          </cell>
          <cell r="F13402">
            <v>4711873545</v>
          </cell>
        </row>
        <row r="13403">
          <cell r="E13403" t="str">
            <v>PUR-13-0165-00</v>
          </cell>
          <cell r="F13403">
            <v>4711873545</v>
          </cell>
        </row>
        <row r="13404">
          <cell r="E13404" t="str">
            <v>LUC-EZZ-420695-01</v>
          </cell>
          <cell r="F13404">
            <v>4711873545</v>
          </cell>
        </row>
        <row r="13405">
          <cell r="E13405" t="str">
            <v>PUR-13-0165-00</v>
          </cell>
          <cell r="F13405">
            <v>4711873545</v>
          </cell>
        </row>
        <row r="13406">
          <cell r="E13406" t="str">
            <v>LUC-EZZ-441297-00</v>
          </cell>
          <cell r="F13406">
            <v>4711873545</v>
          </cell>
        </row>
        <row r="13407">
          <cell r="E13407" t="str">
            <v>EF-45155438</v>
          </cell>
          <cell r="F13407">
            <v>4711873545</v>
          </cell>
        </row>
        <row r="13408">
          <cell r="E13408" t="str">
            <v>AIC-122-004389</v>
          </cell>
          <cell r="F13408">
            <v>4711873545</v>
          </cell>
        </row>
        <row r="13409">
          <cell r="E13409" t="str">
            <v>LUC-EZZ-400010-00</v>
          </cell>
          <cell r="F13409">
            <v>4711873545</v>
          </cell>
        </row>
        <row r="13410">
          <cell r="E13410" t="str">
            <v>LUC-EZZ-450152-00</v>
          </cell>
          <cell r="F13410">
            <v>4711873545</v>
          </cell>
        </row>
        <row r="13411">
          <cell r="E13411" t="str">
            <v>PUR-25-0009-00</v>
          </cell>
          <cell r="F13411">
            <v>4711873545</v>
          </cell>
        </row>
        <row r="13412">
          <cell r="E13412" t="str">
            <v>LUC-E00-440154-00</v>
          </cell>
          <cell r="F13412">
            <v>4711873545</v>
          </cell>
        </row>
        <row r="13413">
          <cell r="E13413" t="str">
            <v>LUC-E00-440154-00</v>
          </cell>
          <cell r="F13413">
            <v>4711873545</v>
          </cell>
        </row>
        <row r="13414">
          <cell r="E13414" t="str">
            <v>LUC-EZZ-440189-00</v>
          </cell>
          <cell r="F13414">
            <v>4711873545</v>
          </cell>
        </row>
        <row r="13415">
          <cell r="E13415" t="str">
            <v>LUC-EZZ-421267-00</v>
          </cell>
          <cell r="F13415">
            <v>4711873545</v>
          </cell>
        </row>
        <row r="13416">
          <cell r="E13416" t="str">
            <v>HLOB-09-0408-00</v>
          </cell>
          <cell r="F13416">
            <v>4711873545</v>
          </cell>
        </row>
        <row r="13417">
          <cell r="E13417" t="str">
            <v>LUC-EZZ-420695-01</v>
          </cell>
          <cell r="F13417">
            <v>4711873545</v>
          </cell>
        </row>
        <row r="13418">
          <cell r="E13418" t="str">
            <v>LUC-EZZ-440189-00</v>
          </cell>
          <cell r="F13418">
            <v>4711873545</v>
          </cell>
        </row>
        <row r="13419">
          <cell r="E13419" t="str">
            <v>PUR-13-0158-00</v>
          </cell>
          <cell r="F13419">
            <v>4711873545</v>
          </cell>
        </row>
        <row r="13420">
          <cell r="E13420" t="str">
            <v>LUC-EZZ-421554-00</v>
          </cell>
          <cell r="F13420">
            <v>4711873545</v>
          </cell>
        </row>
        <row r="13421">
          <cell r="E13421" t="str">
            <v>AGI-510-40067-01</v>
          </cell>
          <cell r="F13421">
            <v>4711873545</v>
          </cell>
        </row>
        <row r="13422">
          <cell r="E13422" t="str">
            <v>LUC-EZZ-421554-00</v>
          </cell>
          <cell r="F13422">
            <v>4711873545</v>
          </cell>
        </row>
        <row r="13423">
          <cell r="E13423" t="str">
            <v>LUC-EZZ-450176-00</v>
          </cell>
          <cell r="F13423">
            <v>4711873545</v>
          </cell>
        </row>
        <row r="13424">
          <cell r="E13424" t="str">
            <v>LUC-EZZ-441297-00</v>
          </cell>
          <cell r="F13424">
            <v>4711873545</v>
          </cell>
        </row>
        <row r="13425">
          <cell r="E13425" t="str">
            <v>LUC-E00-440154-00</v>
          </cell>
          <cell r="F13425">
            <v>4711873545</v>
          </cell>
        </row>
        <row r="13426">
          <cell r="E13426" t="str">
            <v>HLOB-09-0346-00</v>
          </cell>
          <cell r="F13426">
            <v>4711873545</v>
          </cell>
        </row>
        <row r="13427">
          <cell r="E13427" t="str">
            <v>LUC-EZZ-441297-00</v>
          </cell>
          <cell r="F13427">
            <v>4711873545</v>
          </cell>
        </row>
        <row r="13428">
          <cell r="E13428" t="str">
            <v>HLOB-13-0119-00</v>
          </cell>
          <cell r="F13428">
            <v>4711873545</v>
          </cell>
        </row>
        <row r="13429">
          <cell r="E13429" t="str">
            <v>HLOB-13-0119-00</v>
          </cell>
          <cell r="F13429">
            <v>4711873545</v>
          </cell>
        </row>
        <row r="13430">
          <cell r="E13430" t="str">
            <v>HLOB-13-0119-00</v>
          </cell>
          <cell r="F13430">
            <v>4711873545</v>
          </cell>
        </row>
        <row r="13431">
          <cell r="E13431" t="str">
            <v>LUC-E00-420054-06</v>
          </cell>
          <cell r="F13431">
            <v>4711873545</v>
          </cell>
        </row>
        <row r="13432">
          <cell r="E13432" t="str">
            <v>LUC-EZZ-400783-00</v>
          </cell>
          <cell r="F13432">
            <v>4711873584</v>
          </cell>
        </row>
        <row r="13433">
          <cell r="E13433" t="str">
            <v>LUC-EZZ-450050-00</v>
          </cell>
          <cell r="F13433">
            <v>4711873584</v>
          </cell>
        </row>
        <row r="13434">
          <cell r="E13434" t="str">
            <v>LUC-EZZ-450050-00</v>
          </cell>
          <cell r="F13434">
            <v>4711873584</v>
          </cell>
        </row>
        <row r="13435">
          <cell r="E13435" t="str">
            <v>LUC-EZZ-420049-00</v>
          </cell>
          <cell r="F13435">
            <v>4711873584</v>
          </cell>
        </row>
        <row r="13436">
          <cell r="E13436" t="str">
            <v>LUC-EZZ-420049-00</v>
          </cell>
          <cell r="F13436">
            <v>4711873584</v>
          </cell>
        </row>
        <row r="13437">
          <cell r="E13437" t="str">
            <v>LUC-EZZ-420049-00</v>
          </cell>
          <cell r="F13437">
            <v>4711873584</v>
          </cell>
        </row>
        <row r="13438">
          <cell r="E13438" t="str">
            <v>LUC-EZZ-420488-00</v>
          </cell>
          <cell r="F13438">
            <v>4711873584</v>
          </cell>
        </row>
        <row r="13439">
          <cell r="E13439" t="str">
            <v>HLOB-13-0028-00</v>
          </cell>
          <cell r="F13439">
            <v>4711873584</v>
          </cell>
        </row>
        <row r="13440">
          <cell r="E13440" t="str">
            <v>LUC-EZZ-421242-00</v>
          </cell>
          <cell r="F13440">
            <v>4711873584</v>
          </cell>
        </row>
        <row r="13441">
          <cell r="E13441" t="str">
            <v>LUC-EZZ-421242-00</v>
          </cell>
          <cell r="F13441">
            <v>4711873584</v>
          </cell>
        </row>
        <row r="13442">
          <cell r="E13442" t="str">
            <v>LUC-E00-420020-08</v>
          </cell>
          <cell r="F13442">
            <v>4711873584</v>
          </cell>
        </row>
        <row r="13443">
          <cell r="E13443" t="str">
            <v>LUC-E00-420038-01</v>
          </cell>
          <cell r="F13443">
            <v>4711873584</v>
          </cell>
        </row>
        <row r="13444">
          <cell r="E13444" t="str">
            <v>LUC-E00-420045-00</v>
          </cell>
          <cell r="F13444">
            <v>4711873584</v>
          </cell>
        </row>
        <row r="13445">
          <cell r="E13445" t="str">
            <v>PUR-13-0153-00</v>
          </cell>
          <cell r="F13445">
            <v>4711873584</v>
          </cell>
        </row>
        <row r="13446">
          <cell r="E13446" t="str">
            <v>HLOB-13-0028-00</v>
          </cell>
          <cell r="F13446">
            <v>4711873584</v>
          </cell>
        </row>
        <row r="13447">
          <cell r="E13447" t="str">
            <v>EF-45059919.X.X</v>
          </cell>
          <cell r="F13447">
            <v>4711873584</v>
          </cell>
        </row>
        <row r="13448">
          <cell r="E13448" t="str">
            <v>EF-45059919.X.X</v>
          </cell>
          <cell r="F13448">
            <v>4711873584</v>
          </cell>
        </row>
        <row r="13449">
          <cell r="E13449" t="str">
            <v>LUC-E00-510020-00</v>
          </cell>
          <cell r="F13449">
            <v>4711873584</v>
          </cell>
        </row>
        <row r="13450">
          <cell r="E13450" t="str">
            <v>LUC-EZZ-440037-00</v>
          </cell>
          <cell r="F13450">
            <v>4711873584</v>
          </cell>
        </row>
        <row r="13451">
          <cell r="E13451" t="str">
            <v>LUC-EZZ-440037-00</v>
          </cell>
          <cell r="F13451">
            <v>4711873584</v>
          </cell>
        </row>
        <row r="13452">
          <cell r="E13452" t="str">
            <v>LUC-EZZ-400297-00</v>
          </cell>
          <cell r="F13452">
            <v>4711873584</v>
          </cell>
        </row>
        <row r="13453">
          <cell r="E13453" t="str">
            <v>LUC-EZZ-400178-00</v>
          </cell>
          <cell r="F13453">
            <v>4711873584</v>
          </cell>
        </row>
        <row r="13454">
          <cell r="E13454" t="str">
            <v>PURET-12-0004-00</v>
          </cell>
          <cell r="F13454">
            <v>4711873584</v>
          </cell>
        </row>
        <row r="13455">
          <cell r="E13455" t="str">
            <v>LUC-EZZ-400283-00</v>
          </cell>
          <cell r="F13455">
            <v>4711873584</v>
          </cell>
        </row>
        <row r="13456">
          <cell r="E13456" t="str">
            <v>PURET-12-0024-00</v>
          </cell>
          <cell r="F13456">
            <v>4711873584</v>
          </cell>
        </row>
        <row r="13457">
          <cell r="E13457" t="str">
            <v>EF-45057846.X.X</v>
          </cell>
          <cell r="F13457">
            <v>4711873584</v>
          </cell>
        </row>
        <row r="13458">
          <cell r="E13458" t="str">
            <v>HLOB-12-0029-00</v>
          </cell>
          <cell r="F13458">
            <v>4711873584</v>
          </cell>
        </row>
        <row r="13459">
          <cell r="E13459" t="str">
            <v>HLOB-12-0029-00</v>
          </cell>
          <cell r="F13459">
            <v>4711873584</v>
          </cell>
        </row>
        <row r="13460">
          <cell r="E13460" t="str">
            <v>PUR-09-0294-00</v>
          </cell>
          <cell r="F13460">
            <v>391855286057</v>
          </cell>
        </row>
        <row r="13461">
          <cell r="E13461" t="str">
            <v>PUR-09-0294-00</v>
          </cell>
          <cell r="F13461">
            <v>391855286057</v>
          </cell>
        </row>
        <row r="13462">
          <cell r="E13462" t="str">
            <v>PUR-09-0294-00</v>
          </cell>
          <cell r="F13462">
            <v>391855286057</v>
          </cell>
        </row>
        <row r="13463">
          <cell r="E13463" t="str">
            <v>AIC-MP-00007185-000</v>
          </cell>
          <cell r="F13463">
            <v>883408651876</v>
          </cell>
        </row>
        <row r="13464">
          <cell r="E13464" t="str">
            <v>AIC-132-001543</v>
          </cell>
          <cell r="F13464">
            <v>883408651876</v>
          </cell>
        </row>
        <row r="13465">
          <cell r="E13465" t="str">
            <v>AIC-MP-00006917-000</v>
          </cell>
          <cell r="F13465">
            <v>883408651876</v>
          </cell>
        </row>
        <row r="13466">
          <cell r="E13466" t="str">
            <v>LUC-E00-470060-00</v>
          </cell>
          <cell r="F13466">
            <v>883383264970</v>
          </cell>
        </row>
        <row r="13467">
          <cell r="E13467" t="str">
            <v>LUC-E00-440057-00</v>
          </cell>
          <cell r="F13467">
            <v>883383264970</v>
          </cell>
        </row>
        <row r="13468">
          <cell r="E13468" t="str">
            <v>PUR-09-0294-00</v>
          </cell>
          <cell r="F13468">
            <v>391895297172</v>
          </cell>
        </row>
        <row r="13469">
          <cell r="E13469" t="str">
            <v>LUC-E00-400010-002</v>
          </cell>
          <cell r="F13469">
            <v>412069755253</v>
          </cell>
        </row>
        <row r="13470">
          <cell r="E13470" t="str">
            <v>LUC-E00-400010-037</v>
          </cell>
          <cell r="F13470">
            <v>412069755253</v>
          </cell>
        </row>
        <row r="13471">
          <cell r="E13471" t="str">
            <v>AIC-BPM-UPG0002-B01</v>
          </cell>
          <cell r="F13471">
            <v>7675105992</v>
          </cell>
        </row>
        <row r="13472">
          <cell r="E13472" t="str">
            <v>AIC-MP-XT006355-S01</v>
          </cell>
          <cell r="F13472">
            <v>469369158080</v>
          </cell>
        </row>
        <row r="13473">
          <cell r="E13473" t="str">
            <v>HLOB-09-0427-00</v>
          </cell>
          <cell r="F13473">
            <v>119209623023</v>
          </cell>
        </row>
        <row r="13474">
          <cell r="E13474" t="str">
            <v>PUR-13-0250-00</v>
          </cell>
          <cell r="F13474">
            <v>119209623023</v>
          </cell>
        </row>
        <row r="13475">
          <cell r="E13475" t="str">
            <v>LUC-E00-450149-01</v>
          </cell>
          <cell r="F13475">
            <v>119209623023</v>
          </cell>
        </row>
        <row r="13476">
          <cell r="E13476" t="str">
            <v>HLOB-14-0087-00</v>
          </cell>
          <cell r="F13476">
            <v>119209623023</v>
          </cell>
        </row>
        <row r="13477">
          <cell r="E13477" t="str">
            <v>LUC-E00-450060-00</v>
          </cell>
          <cell r="F13477">
            <v>119209623023</v>
          </cell>
        </row>
        <row r="13478">
          <cell r="E13478" t="str">
            <v>LUC-EZZ-440192-00</v>
          </cell>
          <cell r="F13478">
            <v>119209623023</v>
          </cell>
        </row>
        <row r="13479">
          <cell r="E13479" t="str">
            <v>EF-45129741</v>
          </cell>
          <cell r="F13479">
            <v>119209623023</v>
          </cell>
        </row>
        <row r="13480">
          <cell r="E13480" t="str">
            <v>LUC-EZZ-400246-00</v>
          </cell>
          <cell r="F13480">
            <v>412069755518</v>
          </cell>
        </row>
        <row r="13481">
          <cell r="E13481" t="str">
            <v>LUC-EZZ-400291-00</v>
          </cell>
          <cell r="F13481">
            <v>391806477347</v>
          </cell>
        </row>
        <row r="13482">
          <cell r="E13482" t="str">
            <v>LUC-E00-690010-02</v>
          </cell>
          <cell r="F13482">
            <v>391812415723</v>
          </cell>
        </row>
        <row r="13483">
          <cell r="E13483" t="str">
            <v>LUC-E00-470083-00</v>
          </cell>
          <cell r="F13483">
            <v>445170515701</v>
          </cell>
        </row>
        <row r="13484">
          <cell r="E13484" t="str">
            <v>LUC-E00-470112-00</v>
          </cell>
          <cell r="F13484">
            <v>445170516101</v>
          </cell>
        </row>
        <row r="13485">
          <cell r="E13485" t="str">
            <v>LUC-EZZ-470171-00</v>
          </cell>
          <cell r="F13485">
            <v>445170519291</v>
          </cell>
        </row>
        <row r="13486">
          <cell r="E13486" t="str">
            <v>LUC-EZZ-470092-00</v>
          </cell>
          <cell r="F13486">
            <v>445170519291</v>
          </cell>
        </row>
        <row r="13487">
          <cell r="E13487" t="str">
            <v>LUC-EZZ-400248-00</v>
          </cell>
          <cell r="F13487">
            <v>445170508651</v>
          </cell>
        </row>
        <row r="13488">
          <cell r="E13488" t="str">
            <v>LUC-E00-470112-00</v>
          </cell>
          <cell r="F13488">
            <v>445170522416</v>
          </cell>
        </row>
        <row r="13489">
          <cell r="E13489" t="str">
            <v>EF-45091073.X.X</v>
          </cell>
          <cell r="F13489">
            <v>445170522747</v>
          </cell>
        </row>
        <row r="13490">
          <cell r="E13490" t="str">
            <v>LUC-E00-440013-00</v>
          </cell>
          <cell r="F13490">
            <v>451257545495</v>
          </cell>
        </row>
        <row r="13491">
          <cell r="E13491" t="str">
            <v>LUC-EZZ-440162-00</v>
          </cell>
          <cell r="F13491">
            <v>451257545495</v>
          </cell>
        </row>
        <row r="13492">
          <cell r="E13492" t="str">
            <v>LUC-EZZ-440911-00</v>
          </cell>
          <cell r="F13492">
            <v>451257545495</v>
          </cell>
        </row>
        <row r="13493">
          <cell r="E13493" t="str">
            <v>LUC-EZZ-440030-00</v>
          </cell>
          <cell r="F13493">
            <v>451257545495</v>
          </cell>
        </row>
        <row r="13494">
          <cell r="E13494" t="str">
            <v>LUC-EZZ-440090-00</v>
          </cell>
          <cell r="F13494">
            <v>451257545495</v>
          </cell>
        </row>
        <row r="13495">
          <cell r="E13495" t="str">
            <v>AIC-169-001037</v>
          </cell>
          <cell r="F13495">
            <v>470843701946</v>
          </cell>
        </row>
        <row r="13496">
          <cell r="E13496" t="str">
            <v>EF-45241780</v>
          </cell>
          <cell r="F13496">
            <v>445170524095</v>
          </cell>
        </row>
        <row r="13497">
          <cell r="E13497" t="str">
            <v>HLOB-15-0220-00</v>
          </cell>
          <cell r="F13497">
            <v>902348928340</v>
          </cell>
        </row>
        <row r="13498">
          <cell r="E13498" t="str">
            <v>LUC-E00-470060-00</v>
          </cell>
          <cell r="F13498">
            <v>474397862130</v>
          </cell>
        </row>
        <row r="13499">
          <cell r="E13499" t="str">
            <v>AIC-121-006057</v>
          </cell>
          <cell r="F13499">
            <v>474397862130</v>
          </cell>
        </row>
        <row r="13500">
          <cell r="E13500" t="str">
            <v>AIC-132-001544</v>
          </cell>
          <cell r="F13500">
            <v>474397862130</v>
          </cell>
        </row>
        <row r="13501">
          <cell r="E13501" t="str">
            <v>AIC-122-004388</v>
          </cell>
          <cell r="F13501">
            <v>474397862130</v>
          </cell>
        </row>
        <row r="13502">
          <cell r="E13502" t="str">
            <v>AIC-134-001637</v>
          </cell>
          <cell r="F13502">
            <v>474397862130</v>
          </cell>
        </row>
        <row r="13503">
          <cell r="E13503" t="str">
            <v>AIC-MP-IC004670-S01</v>
          </cell>
          <cell r="F13503">
            <v>474397862130</v>
          </cell>
        </row>
        <row r="13504">
          <cell r="E13504" t="str">
            <v>LUC-E00-400067-344</v>
          </cell>
          <cell r="F13504">
            <v>474397862130</v>
          </cell>
        </row>
        <row r="13505">
          <cell r="E13505" t="str">
            <v>AIC-MP-00000240-000</v>
          </cell>
          <cell r="F13505">
            <v>474397862130</v>
          </cell>
        </row>
        <row r="13506">
          <cell r="E13506" t="str">
            <v>EF-45046948.X.X</v>
          </cell>
          <cell r="F13506">
            <v>409298796774</v>
          </cell>
        </row>
        <row r="13507">
          <cell r="E13507" t="str">
            <v>LUC-E00-420235-00</v>
          </cell>
          <cell r="F13507">
            <v>409298796774</v>
          </cell>
        </row>
        <row r="13508">
          <cell r="E13508" t="str">
            <v>LUC-EZZ-420403-00</v>
          </cell>
          <cell r="F13508">
            <v>409298796774</v>
          </cell>
        </row>
        <row r="13509">
          <cell r="E13509" t="str">
            <v>LUC-E00-440030-00</v>
          </cell>
          <cell r="F13509">
            <v>409298796774</v>
          </cell>
        </row>
        <row r="13510">
          <cell r="E13510" t="str">
            <v>LUC-EZZ-420289-00</v>
          </cell>
          <cell r="F13510">
            <v>409298796774</v>
          </cell>
        </row>
        <row r="13511">
          <cell r="E13511" t="str">
            <v>LUC-E00-690030-02</v>
          </cell>
          <cell r="F13511">
            <v>462141392825</v>
          </cell>
        </row>
        <row r="13512">
          <cell r="E13512" t="str">
            <v>PUR-07-0295-00</v>
          </cell>
          <cell r="F13512">
            <v>883349012722</v>
          </cell>
        </row>
        <row r="13513">
          <cell r="E13513" t="str">
            <v>PUR-07-0295-00</v>
          </cell>
          <cell r="F13513">
            <v>883349012722</v>
          </cell>
        </row>
        <row r="13514">
          <cell r="E13514" t="str">
            <v>AGI-530-40013-01</v>
          </cell>
          <cell r="F13514">
            <v>475938855988</v>
          </cell>
        </row>
        <row r="13515">
          <cell r="E13515" t="str">
            <v>AGI-530-40013-01</v>
          </cell>
          <cell r="F13515">
            <v>475938855988</v>
          </cell>
        </row>
        <row r="13516">
          <cell r="E13516" t="str">
            <v>AIC-MP-00005048-000</v>
          </cell>
          <cell r="F13516">
            <v>883377043700</v>
          </cell>
        </row>
        <row r="13517">
          <cell r="E13517" t="str">
            <v>AIC-132-001530</v>
          </cell>
          <cell r="F13517">
            <v>470859345439</v>
          </cell>
        </row>
        <row r="13518">
          <cell r="E13518" t="str">
            <v>PUR-03-0095-00</v>
          </cell>
          <cell r="F13518">
            <v>474594082397</v>
          </cell>
        </row>
        <row r="13519">
          <cell r="E13519" t="str">
            <v>PUR-28-0009-00</v>
          </cell>
          <cell r="F13519">
            <v>474737869817</v>
          </cell>
        </row>
        <row r="13520">
          <cell r="E13520" t="str">
            <v>LUC-E00-510032-00</v>
          </cell>
          <cell r="F13520">
            <v>474737869817</v>
          </cell>
        </row>
        <row r="13521">
          <cell r="E13521" t="str">
            <v>LUC-E00-510032-00</v>
          </cell>
          <cell r="F13521">
            <v>474737869817</v>
          </cell>
        </row>
        <row r="13522">
          <cell r="E13522" t="str">
            <v>LUC-E00-510032-00</v>
          </cell>
          <cell r="F13522">
            <v>474737869817</v>
          </cell>
        </row>
        <row r="13523">
          <cell r="E13523" t="str">
            <v>LUC-E00-510032-00</v>
          </cell>
          <cell r="F13523">
            <v>474737869817</v>
          </cell>
        </row>
        <row r="13524">
          <cell r="E13524" t="str">
            <v>LUC-E00-460018-00</v>
          </cell>
          <cell r="F13524">
            <v>474737869817</v>
          </cell>
        </row>
        <row r="13525">
          <cell r="E13525" t="str">
            <v>HLOB-03-0038-00</v>
          </cell>
          <cell r="F13525">
            <v>474594170606</v>
          </cell>
        </row>
        <row r="13526">
          <cell r="E13526" t="str">
            <v>HLOB-03-0038-00</v>
          </cell>
          <cell r="F13526">
            <v>474594085570</v>
          </cell>
        </row>
        <row r="13527">
          <cell r="E13527" t="str">
            <v>HLOB-03-0038-00</v>
          </cell>
          <cell r="F13527">
            <v>474594085570</v>
          </cell>
        </row>
        <row r="13528">
          <cell r="E13528" t="str">
            <v>HLOB-09-0343-00</v>
          </cell>
          <cell r="F13528">
            <v>470197957235</v>
          </cell>
        </row>
        <row r="13529">
          <cell r="E13529" t="str">
            <v>HLOB-09-0343-00</v>
          </cell>
          <cell r="F13529">
            <v>470197957235</v>
          </cell>
        </row>
        <row r="13530">
          <cell r="E13530" t="str">
            <v>HLOB-12-0482-00</v>
          </cell>
          <cell r="F13530">
            <v>883407849485</v>
          </cell>
        </row>
        <row r="13531">
          <cell r="E13531" t="str">
            <v>LUC-E00-420184-00</v>
          </cell>
          <cell r="F13531">
            <v>883407849485</v>
          </cell>
        </row>
        <row r="13532">
          <cell r="E13532" t="str">
            <v>HLOB-13-0246-00</v>
          </cell>
          <cell r="F13532">
            <v>883407849485</v>
          </cell>
        </row>
        <row r="13533">
          <cell r="E13533" t="str">
            <v>PUR-12-0482-00</v>
          </cell>
          <cell r="F13533">
            <v>883407849485</v>
          </cell>
        </row>
        <row r="13534">
          <cell r="E13534" t="str">
            <v>EF-45061095</v>
          </cell>
          <cell r="F13534">
            <v>883407849485</v>
          </cell>
        </row>
        <row r="13535">
          <cell r="E13535" t="str">
            <v>PUR-12-0286-00</v>
          </cell>
          <cell r="F13535">
            <v>883407849485</v>
          </cell>
        </row>
        <row r="13536">
          <cell r="E13536" t="str">
            <v>PUR-24-0031-00</v>
          </cell>
          <cell r="F13536">
            <v>883407849485</v>
          </cell>
        </row>
        <row r="13537">
          <cell r="E13537" t="str">
            <v>AIC-MP-00004300-000</v>
          </cell>
          <cell r="F13537">
            <v>883407849485</v>
          </cell>
        </row>
        <row r="13538">
          <cell r="E13538" t="str">
            <v>LUC-E00-470083-00</v>
          </cell>
          <cell r="F13538">
            <v>445170515572</v>
          </cell>
        </row>
        <row r="13539">
          <cell r="E13539" t="str">
            <v>LUC-E00-470083-00</v>
          </cell>
          <cell r="F13539">
            <v>445170524154</v>
          </cell>
        </row>
        <row r="13540">
          <cell r="E13540" t="str">
            <v>LUC-EZZ-440200-00</v>
          </cell>
          <cell r="F13540">
            <v>883415635117</v>
          </cell>
        </row>
        <row r="13541">
          <cell r="E13541" t="str">
            <v>AIC-MP-DE004411-S01</v>
          </cell>
          <cell r="F13541">
            <v>883415635117</v>
          </cell>
        </row>
        <row r="13542">
          <cell r="E13542" t="str">
            <v>AIC-MP-00007025-000</v>
          </cell>
          <cell r="F13542">
            <v>883415635117</v>
          </cell>
        </row>
        <row r="13543">
          <cell r="E13543" t="str">
            <v>LUC-EZZ-470093-00</v>
          </cell>
          <cell r="F13543">
            <v>883415635117</v>
          </cell>
        </row>
        <row r="13544">
          <cell r="E13544" t="str">
            <v>LUC-E00-470519-00</v>
          </cell>
          <cell r="F13544">
            <v>883415635117</v>
          </cell>
        </row>
        <row r="13545">
          <cell r="E13545" t="str">
            <v>PUR-09-0220-00</v>
          </cell>
          <cell r="F13545">
            <v>445170524213</v>
          </cell>
        </row>
        <row r="13546">
          <cell r="E13546" t="str">
            <v>LUC-E00-400010-053</v>
          </cell>
          <cell r="F13546">
            <v>445170524316</v>
          </cell>
        </row>
        <row r="13547">
          <cell r="E13547" t="str">
            <v>LUC-E00-420071-00</v>
          </cell>
          <cell r="F13547">
            <v>445170524257</v>
          </cell>
        </row>
        <row r="13548">
          <cell r="E13548" t="str">
            <v>LUC-E00-420275-00</v>
          </cell>
          <cell r="F13548">
            <v>471797716118</v>
          </cell>
        </row>
        <row r="13549">
          <cell r="E13549" t="str">
            <v>LUC-E00-400059-098</v>
          </cell>
          <cell r="F13549">
            <v>471797716118</v>
          </cell>
        </row>
        <row r="13550">
          <cell r="E13550" t="str">
            <v>LUC-E00-400059-098</v>
          </cell>
          <cell r="F13550">
            <v>471797716118</v>
          </cell>
        </row>
        <row r="13551">
          <cell r="E13551" t="str">
            <v>HLOB-13-0212-00</v>
          </cell>
          <cell r="F13551">
            <v>471797716118</v>
          </cell>
        </row>
        <row r="13552">
          <cell r="E13552" t="str">
            <v>HLOB-13-0138-00</v>
          </cell>
          <cell r="F13552">
            <v>471797716118</v>
          </cell>
        </row>
        <row r="13553">
          <cell r="E13553" t="str">
            <v>HLOB-13-0138-00</v>
          </cell>
          <cell r="F13553">
            <v>471797716118</v>
          </cell>
        </row>
        <row r="13554">
          <cell r="E13554" t="str">
            <v>PURET-13-0069-00</v>
          </cell>
          <cell r="F13554">
            <v>471797716118</v>
          </cell>
        </row>
        <row r="13555">
          <cell r="E13555" t="str">
            <v>LUC-EZZ-420527-00</v>
          </cell>
          <cell r="F13555">
            <v>471797716118</v>
          </cell>
        </row>
        <row r="13556">
          <cell r="E13556" t="str">
            <v>HLOB-13-0212-00</v>
          </cell>
          <cell r="F13556">
            <v>471797716118</v>
          </cell>
        </row>
        <row r="13557">
          <cell r="E13557" t="str">
            <v>PUR-13-0167-00</v>
          </cell>
          <cell r="F13557">
            <v>471797716118</v>
          </cell>
        </row>
        <row r="13558">
          <cell r="E13558" t="str">
            <v>LUC-EZZ-401059-00</v>
          </cell>
          <cell r="F13558">
            <v>445170524496</v>
          </cell>
        </row>
        <row r="13559">
          <cell r="E13559" t="str">
            <v>AIC-109-001576</v>
          </cell>
          <cell r="F13559">
            <v>883408209404</v>
          </cell>
        </row>
        <row r="13560">
          <cell r="E13560" t="str">
            <v>LUC-EZZ-470095-00</v>
          </cell>
          <cell r="F13560">
            <v>445170524338</v>
          </cell>
        </row>
        <row r="13561">
          <cell r="E13561" t="str">
            <v>AIC-MP-CN006846-S01</v>
          </cell>
          <cell r="F13561">
            <v>883405757010</v>
          </cell>
        </row>
        <row r="13562">
          <cell r="E13562" t="str">
            <v>AIC-MP-OT006847-S01</v>
          </cell>
          <cell r="F13562">
            <v>883405757010</v>
          </cell>
        </row>
        <row r="13563">
          <cell r="E13563" t="str">
            <v>AIC-MP-00007088-000</v>
          </cell>
          <cell r="F13563">
            <v>883438359058</v>
          </cell>
        </row>
        <row r="13564">
          <cell r="E13564" t="str">
            <v>AIC-MP-00007086-000</v>
          </cell>
          <cell r="F13564">
            <v>883438359058</v>
          </cell>
        </row>
        <row r="13565">
          <cell r="E13565" t="str">
            <v>AIC-MP-00007087-000</v>
          </cell>
          <cell r="F13565">
            <v>883438359058</v>
          </cell>
        </row>
        <row r="13566">
          <cell r="E13566" t="str">
            <v>AIC-MP-00007088-000</v>
          </cell>
          <cell r="F13566">
            <v>883438359058</v>
          </cell>
        </row>
        <row r="13567">
          <cell r="E13567" t="str">
            <v>LUC-E00-400010-003</v>
          </cell>
          <cell r="F13567">
            <v>412069754990</v>
          </cell>
        </row>
        <row r="13568">
          <cell r="E13568" t="str">
            <v>LUC-E00-470096-00</v>
          </cell>
          <cell r="F13568">
            <v>883459553329</v>
          </cell>
        </row>
        <row r="13569">
          <cell r="E13569" t="str">
            <v>LUC-E00-470096-00</v>
          </cell>
          <cell r="F13569">
            <v>883459553329</v>
          </cell>
        </row>
        <row r="13570">
          <cell r="E13570" t="str">
            <v>LUC-E00-470111-00</v>
          </cell>
          <cell r="F13570">
            <v>883459553329</v>
          </cell>
        </row>
        <row r="13571">
          <cell r="E13571" t="str">
            <v>LUC-E00-470111-00</v>
          </cell>
          <cell r="F13571">
            <v>883459553329</v>
          </cell>
        </row>
        <row r="13572">
          <cell r="E13572" t="str">
            <v>LUC-E00-470111-00</v>
          </cell>
          <cell r="F13572">
            <v>883459553329</v>
          </cell>
        </row>
        <row r="13573">
          <cell r="E13573" t="str">
            <v>LUC-EZZ-401043-00</v>
          </cell>
          <cell r="F13573">
            <v>5383638083</v>
          </cell>
        </row>
        <row r="13574">
          <cell r="E13574" t="str">
            <v>LUC-EZZ-450177-00</v>
          </cell>
          <cell r="F13574">
            <v>5383638083</v>
          </cell>
        </row>
        <row r="13575">
          <cell r="E13575" t="str">
            <v>LUC-E00-470118-00</v>
          </cell>
          <cell r="F13575">
            <v>5383638083</v>
          </cell>
        </row>
        <row r="13576">
          <cell r="E13576" t="str">
            <v>LUC-EZZ-510640-00</v>
          </cell>
          <cell r="F13576">
            <v>5383638083</v>
          </cell>
        </row>
        <row r="13577">
          <cell r="E13577" t="str">
            <v>LUC-EZZ-510640-00</v>
          </cell>
          <cell r="F13577">
            <v>5383638083</v>
          </cell>
        </row>
        <row r="13578">
          <cell r="E13578" t="str">
            <v>LUC-EZZ-420121-00</v>
          </cell>
          <cell r="F13578">
            <v>5383638083</v>
          </cell>
        </row>
        <row r="13579">
          <cell r="E13579" t="str">
            <v>LUC-E00-400048-00</v>
          </cell>
          <cell r="F13579">
            <v>5383638083</v>
          </cell>
        </row>
        <row r="13580">
          <cell r="E13580" t="str">
            <v>LUC-EZZ-420090-00</v>
          </cell>
          <cell r="F13580">
            <v>5383638083</v>
          </cell>
        </row>
        <row r="13581">
          <cell r="E13581" t="str">
            <v>LUC-E00-400010-048</v>
          </cell>
          <cell r="F13581">
            <v>5383638083</v>
          </cell>
        </row>
        <row r="13582">
          <cell r="E13582" t="str">
            <v>LUC-E00-460015-01</v>
          </cell>
          <cell r="F13582">
            <v>5383638083</v>
          </cell>
        </row>
        <row r="13583">
          <cell r="E13583" t="str">
            <v>LUC-EZZ-490316-02</v>
          </cell>
          <cell r="F13583">
            <v>1516166</v>
          </cell>
        </row>
        <row r="13584">
          <cell r="E13584" t="str">
            <v>LUC-EZZ-490317-04</v>
          </cell>
          <cell r="F13584">
            <v>1516166</v>
          </cell>
        </row>
        <row r="13585">
          <cell r="E13585" t="str">
            <v>LUC-EZZ-490304-04</v>
          </cell>
          <cell r="F13585">
            <v>1516166</v>
          </cell>
        </row>
        <row r="13586">
          <cell r="E13586" t="str">
            <v>LUC-EZZ-490316-02</v>
          </cell>
          <cell r="F13586">
            <v>1516166</v>
          </cell>
        </row>
        <row r="13587">
          <cell r="E13587" t="str">
            <v>LUC-EZZ-490230-05</v>
          </cell>
          <cell r="F13587">
            <v>1516166</v>
          </cell>
        </row>
        <row r="13588">
          <cell r="E13588" t="str">
            <v>LUC-EZZ-490231-05</v>
          </cell>
          <cell r="F13588">
            <v>1516166</v>
          </cell>
        </row>
        <row r="13589">
          <cell r="E13589" t="str">
            <v>EF-45141425</v>
          </cell>
          <cell r="F13589" t="str">
            <v>ASPHPHE14467317</v>
          </cell>
        </row>
        <row r="13590">
          <cell r="E13590" t="str">
            <v>EF-45171576</v>
          </cell>
          <cell r="F13590" t="str">
            <v>ASPHPHE14467317</v>
          </cell>
        </row>
        <row r="13591">
          <cell r="E13591" t="str">
            <v>HLOB-09-0324-00</v>
          </cell>
          <cell r="F13591">
            <v>445170508700</v>
          </cell>
        </row>
        <row r="13592">
          <cell r="E13592" t="str">
            <v>HLOB-09-0434-00</v>
          </cell>
          <cell r="F13592">
            <v>445170515540</v>
          </cell>
        </row>
        <row r="13593">
          <cell r="E13593" t="str">
            <v>LUC-E00-470038-00</v>
          </cell>
          <cell r="F13593">
            <v>445170517575</v>
          </cell>
        </row>
        <row r="13594">
          <cell r="E13594" t="str">
            <v>HLOB-21-0036-00</v>
          </cell>
          <cell r="F13594">
            <v>445170519361</v>
          </cell>
        </row>
        <row r="13595">
          <cell r="E13595" t="str">
            <v>HLOB-09-0424-00</v>
          </cell>
          <cell r="F13595">
            <v>445170518608</v>
          </cell>
        </row>
        <row r="13596">
          <cell r="E13596" t="str">
            <v>LUC-EZZ-470480-00</v>
          </cell>
          <cell r="F13596">
            <v>445170519306</v>
          </cell>
        </row>
        <row r="13597">
          <cell r="E13597" t="str">
            <v>HLOB-14-0087-00</v>
          </cell>
          <cell r="F13597">
            <v>445170519648</v>
          </cell>
        </row>
        <row r="13598">
          <cell r="E13598" t="str">
            <v>PUR-14-0087-00</v>
          </cell>
          <cell r="F13598">
            <v>445170519670</v>
          </cell>
        </row>
        <row r="13599">
          <cell r="E13599" t="str">
            <v>LUC-EZZ-470095-00</v>
          </cell>
          <cell r="F13599">
            <v>445170519740</v>
          </cell>
        </row>
        <row r="13600">
          <cell r="E13600" t="str">
            <v>HLOB-09-0424-00</v>
          </cell>
          <cell r="F13600">
            <v>445170519898</v>
          </cell>
        </row>
        <row r="13601">
          <cell r="E13601" t="str">
            <v>LUC-E00-420071-00</v>
          </cell>
          <cell r="F13601">
            <v>445170519979</v>
          </cell>
        </row>
        <row r="13602">
          <cell r="E13602" t="str">
            <v>LUC-E00-420071-00</v>
          </cell>
          <cell r="F13602">
            <v>445170520001</v>
          </cell>
        </row>
        <row r="13603">
          <cell r="E13603" t="str">
            <v>LUC-EZZ-471621-00</v>
          </cell>
          <cell r="F13603">
            <v>445170520045</v>
          </cell>
        </row>
        <row r="13604">
          <cell r="E13604" t="str">
            <v>HLOB-09-0422-00</v>
          </cell>
          <cell r="F13604">
            <v>445170520126</v>
          </cell>
        </row>
        <row r="13605">
          <cell r="E13605" t="str">
            <v>PUR-09-0294-00</v>
          </cell>
          <cell r="F13605">
            <v>445170520229</v>
          </cell>
        </row>
        <row r="13606">
          <cell r="E13606" t="str">
            <v>LUC-E00-470083-00</v>
          </cell>
          <cell r="F13606">
            <v>445170520240</v>
          </cell>
        </row>
        <row r="13607">
          <cell r="E13607" t="str">
            <v>PUR-14-0087-00</v>
          </cell>
          <cell r="F13607">
            <v>445170522817</v>
          </cell>
        </row>
        <row r="13608">
          <cell r="E13608" t="str">
            <v>PUR-14-0087-00</v>
          </cell>
          <cell r="F13608">
            <v>445170522828</v>
          </cell>
        </row>
        <row r="13609">
          <cell r="E13609" t="str">
            <v>PUR-14-0087-00</v>
          </cell>
          <cell r="F13609">
            <v>445170523022</v>
          </cell>
        </row>
        <row r="13610">
          <cell r="E13610" t="str">
            <v>PUR-14-0087-00</v>
          </cell>
          <cell r="F13610">
            <v>445170523434</v>
          </cell>
        </row>
        <row r="13611">
          <cell r="E13611" t="str">
            <v>HLOB-33-0027-00</v>
          </cell>
          <cell r="F13611">
            <v>883456384702</v>
          </cell>
        </row>
        <row r="13612">
          <cell r="E13612" t="str">
            <v>PUR-18-0562-00</v>
          </cell>
          <cell r="F13612">
            <v>883456384702</v>
          </cell>
        </row>
        <row r="13613">
          <cell r="E13613" t="str">
            <v>141-001629</v>
          </cell>
          <cell r="F13613">
            <v>883458520125</v>
          </cell>
        </row>
        <row r="13614">
          <cell r="E13614" t="str">
            <v>141-001629</v>
          </cell>
          <cell r="F13614">
            <v>883458520125</v>
          </cell>
        </row>
        <row r="13615">
          <cell r="E13615" t="str">
            <v>EF-45079903.X.X</v>
          </cell>
          <cell r="F13615">
            <v>461244038023</v>
          </cell>
        </row>
        <row r="13616">
          <cell r="E13616" t="str">
            <v>EF-45224843</v>
          </cell>
          <cell r="F13616">
            <v>461244038023</v>
          </cell>
        </row>
        <row r="13617">
          <cell r="E13617" t="str">
            <v>EF-45224843</v>
          </cell>
          <cell r="F13617">
            <v>461244038023</v>
          </cell>
        </row>
        <row r="13618">
          <cell r="E13618" t="str">
            <v>HLOB-13-0028-00</v>
          </cell>
          <cell r="F13618">
            <v>883454979041</v>
          </cell>
        </row>
        <row r="13619">
          <cell r="E13619" t="str">
            <v>PUR-13-0244-00</v>
          </cell>
          <cell r="F13619">
            <v>883454979041</v>
          </cell>
        </row>
        <row r="13620">
          <cell r="E13620" t="str">
            <v>LUC-E00-510020-00</v>
          </cell>
          <cell r="F13620">
            <v>883454979041</v>
          </cell>
        </row>
        <row r="13621">
          <cell r="E13621" t="str">
            <v>LUC-EZZ-421242-00</v>
          </cell>
          <cell r="F13621">
            <v>883454979041</v>
          </cell>
        </row>
        <row r="13622">
          <cell r="E13622" t="str">
            <v>LUC-EZZ-421242-00</v>
          </cell>
          <cell r="F13622">
            <v>883454979041</v>
          </cell>
        </row>
        <row r="13623">
          <cell r="E13623" t="str">
            <v>LUC-E00-420020-08</v>
          </cell>
          <cell r="F13623">
            <v>883454979041</v>
          </cell>
        </row>
        <row r="13624">
          <cell r="E13624" t="str">
            <v>LUC-E00-420037-14</v>
          </cell>
          <cell r="F13624">
            <v>883454979041</v>
          </cell>
        </row>
        <row r="13625">
          <cell r="E13625" t="str">
            <v>LUC-E00-420038-01</v>
          </cell>
          <cell r="F13625">
            <v>883454979041</v>
          </cell>
        </row>
        <row r="13626">
          <cell r="E13626" t="str">
            <v>LUC-E00-420038-01</v>
          </cell>
          <cell r="F13626">
            <v>883454979041</v>
          </cell>
        </row>
        <row r="13627">
          <cell r="E13627" t="str">
            <v>PURET-12-0004-00</v>
          </cell>
          <cell r="F13627">
            <v>883454979041</v>
          </cell>
        </row>
        <row r="13628">
          <cell r="E13628" t="str">
            <v>AIC-MP-00000882-000</v>
          </cell>
          <cell r="F13628">
            <v>883454979041</v>
          </cell>
        </row>
        <row r="13629">
          <cell r="E13629" t="str">
            <v>AIC-MP-00004843-000</v>
          </cell>
          <cell r="F13629">
            <v>883454979041</v>
          </cell>
        </row>
        <row r="13630">
          <cell r="E13630" t="str">
            <v>AIC-MP-IC006838-S01</v>
          </cell>
          <cell r="F13630">
            <v>883454979041</v>
          </cell>
        </row>
        <row r="13631">
          <cell r="E13631" t="str">
            <v>LUC-EZZ-420097-00</v>
          </cell>
          <cell r="F13631">
            <v>618106368508</v>
          </cell>
        </row>
        <row r="13632">
          <cell r="E13632" t="str">
            <v>LUC-E00-420002-09</v>
          </cell>
          <cell r="F13632">
            <v>618106368508</v>
          </cell>
        </row>
        <row r="13633">
          <cell r="E13633" t="str">
            <v>LUC-E00-420011-12</v>
          </cell>
          <cell r="F13633">
            <v>618106368508</v>
          </cell>
        </row>
        <row r="13634">
          <cell r="E13634" t="str">
            <v>LUC-EZZ-420085-00</v>
          </cell>
          <cell r="F13634">
            <v>618106368508</v>
          </cell>
        </row>
        <row r="13635">
          <cell r="E13635" t="str">
            <v>LUC-EZZ-420085-00</v>
          </cell>
          <cell r="F13635">
            <v>618106368508</v>
          </cell>
        </row>
        <row r="13636">
          <cell r="E13636" t="str">
            <v>LUC-EZZ-420219-00</v>
          </cell>
          <cell r="F13636">
            <v>618106368508</v>
          </cell>
        </row>
        <row r="13637">
          <cell r="E13637" t="str">
            <v>LUC-EZZ-420091-00</v>
          </cell>
          <cell r="F13637">
            <v>618106368508</v>
          </cell>
        </row>
        <row r="13638">
          <cell r="E13638" t="str">
            <v>LUC-E00-420011-02</v>
          </cell>
          <cell r="F13638">
            <v>618106368508</v>
          </cell>
        </row>
        <row r="13639">
          <cell r="E13639" t="str">
            <v>LUC-E00-420014-03</v>
          </cell>
          <cell r="F13639">
            <v>618106368508</v>
          </cell>
        </row>
        <row r="13640">
          <cell r="E13640" t="str">
            <v>LUC-E00-420014-03</v>
          </cell>
          <cell r="F13640">
            <v>618106368508</v>
          </cell>
        </row>
        <row r="13641">
          <cell r="E13641" t="str">
            <v>LUC-EZZ-420217-00</v>
          </cell>
          <cell r="F13641">
            <v>618106368508</v>
          </cell>
        </row>
        <row r="13642">
          <cell r="E13642" t="str">
            <v>LUC-E00-470265-00</v>
          </cell>
          <cell r="F13642">
            <v>618106368519</v>
          </cell>
        </row>
        <row r="13643">
          <cell r="E13643" t="str">
            <v>LUC-E00-510064-00</v>
          </cell>
          <cell r="F13643">
            <v>618106368519</v>
          </cell>
        </row>
        <row r="13644">
          <cell r="E13644" t="str">
            <v>LUC-E00-690030-03</v>
          </cell>
          <cell r="F13644">
            <v>445170508445</v>
          </cell>
        </row>
        <row r="13645">
          <cell r="E13645" t="str">
            <v>HLOB-14-0087-00</v>
          </cell>
          <cell r="F13645">
            <v>445170525573</v>
          </cell>
        </row>
        <row r="13646">
          <cell r="E13646" t="str">
            <v>LUC-EZZ-690708-00</v>
          </cell>
          <cell r="F13646">
            <v>4110327355</v>
          </cell>
        </row>
        <row r="13647">
          <cell r="E13647" t="str">
            <v>LUC-EZZ-691595-00</v>
          </cell>
          <cell r="F13647">
            <v>4110327356</v>
          </cell>
        </row>
        <row r="13648">
          <cell r="E13648" t="str">
            <v>LUC-P11-J80300-00</v>
          </cell>
          <cell r="F13648" t="str">
            <v>LSHHPH2506944</v>
          </cell>
        </row>
        <row r="13649">
          <cell r="E13649" t="str">
            <v>LUC-P11-J80300-00</v>
          </cell>
          <cell r="F13649" t="str">
            <v>LSHHPH2506944</v>
          </cell>
        </row>
        <row r="13650">
          <cell r="E13650" t="str">
            <v>LUC-E00-690032-00</v>
          </cell>
          <cell r="F13650" t="str">
            <v>1Z5707636613663705</v>
          </cell>
        </row>
        <row r="13651">
          <cell r="E13651" t="str">
            <v>LUC-EZZ-470423-00</v>
          </cell>
          <cell r="F13651">
            <v>619345527421</v>
          </cell>
        </row>
        <row r="13652">
          <cell r="E13652" t="str">
            <v>LUC-EZZ-470423-00</v>
          </cell>
          <cell r="F13652">
            <v>619345527421</v>
          </cell>
        </row>
        <row r="13653">
          <cell r="E13653" t="str">
            <v>LUC-EZZ-470423-00</v>
          </cell>
          <cell r="F13653">
            <v>619345527421</v>
          </cell>
        </row>
        <row r="13654">
          <cell r="E13654" t="str">
            <v>LUC-EZZ-470423-00</v>
          </cell>
          <cell r="F13654">
            <v>619345527421</v>
          </cell>
        </row>
        <row r="13655">
          <cell r="E13655" t="str">
            <v>LUC-EZZ-470423-00</v>
          </cell>
          <cell r="F13655">
            <v>619345527421</v>
          </cell>
        </row>
        <row r="13656">
          <cell r="E13656" t="str">
            <v>LUC-EZZ-470423-00</v>
          </cell>
          <cell r="F13656">
            <v>619345527421</v>
          </cell>
        </row>
        <row r="13657">
          <cell r="E13657" t="str">
            <v>LUC-EZZ-470423-00</v>
          </cell>
          <cell r="F13657">
            <v>619345527421</v>
          </cell>
        </row>
        <row r="13658">
          <cell r="E13658" t="str">
            <v>LUC-P21-K3AB00-00</v>
          </cell>
          <cell r="F13658" t="str">
            <v>LSHHPH2506940</v>
          </cell>
        </row>
        <row r="13659">
          <cell r="E13659" t="str">
            <v>LUC-P21-K3AT00-00</v>
          </cell>
          <cell r="F13659" t="str">
            <v>LSHHPH2506940</v>
          </cell>
        </row>
        <row r="13660">
          <cell r="E13660" t="str">
            <v>HLOB-09-0343-00</v>
          </cell>
          <cell r="F13660">
            <v>471782616215</v>
          </cell>
        </row>
        <row r="13661">
          <cell r="E13661" t="str">
            <v>HLOB-09-0343-00</v>
          </cell>
          <cell r="F13661">
            <v>471782617520</v>
          </cell>
        </row>
        <row r="13662">
          <cell r="E13662" t="str">
            <v>LUC-E00-690010-02</v>
          </cell>
          <cell r="F13662">
            <v>391896618021</v>
          </cell>
        </row>
        <row r="13663">
          <cell r="E13663" t="str">
            <v>HLOB-09-0424-00</v>
          </cell>
          <cell r="F13663">
            <v>445170519832</v>
          </cell>
        </row>
        <row r="13664">
          <cell r="E13664" t="str">
            <v>EF-45092460.X.X</v>
          </cell>
          <cell r="F13664">
            <v>475883961460</v>
          </cell>
        </row>
        <row r="13665">
          <cell r="E13665" t="str">
            <v>EF-45092460.X.X</v>
          </cell>
          <cell r="F13665">
            <v>475883961460</v>
          </cell>
        </row>
        <row r="13666">
          <cell r="E13666" t="str">
            <v>110-000101</v>
          </cell>
          <cell r="F13666">
            <v>475883961460</v>
          </cell>
        </row>
        <row r="13667">
          <cell r="E13667" t="str">
            <v>LUC-E00-400067-211</v>
          </cell>
          <cell r="F13667">
            <v>475883961460</v>
          </cell>
        </row>
        <row r="13668">
          <cell r="E13668" t="str">
            <v>LUC-EZZ-400426-00</v>
          </cell>
          <cell r="F13668">
            <v>475883961460</v>
          </cell>
        </row>
        <row r="13669">
          <cell r="E13669" t="str">
            <v>LUC-GF1500-00-60-50CC</v>
          </cell>
          <cell r="F13669">
            <v>475883961460</v>
          </cell>
        </row>
        <row r="13670">
          <cell r="E13670" t="str">
            <v>EF-45114287</v>
          </cell>
          <cell r="F13670">
            <v>475883961460</v>
          </cell>
        </row>
        <row r="13671">
          <cell r="E13671" t="str">
            <v>LUC-E00-440144-00</v>
          </cell>
          <cell r="F13671">
            <v>643036769723</v>
          </cell>
        </row>
        <row r="13672">
          <cell r="E13672" t="str">
            <v>AIC-MP-00007014-000</v>
          </cell>
          <cell r="F13672">
            <v>438775100520</v>
          </cell>
        </row>
        <row r="13673">
          <cell r="E13673" t="str">
            <v>AIC-MP-00007014-000</v>
          </cell>
          <cell r="F13673">
            <v>438775100520</v>
          </cell>
        </row>
        <row r="13674">
          <cell r="E13674" t="str">
            <v>AIC-MP-00007015-000</v>
          </cell>
          <cell r="F13674">
            <v>438775100520</v>
          </cell>
        </row>
        <row r="13675">
          <cell r="E13675" t="str">
            <v>AIC-MP-IC006477-S01</v>
          </cell>
          <cell r="F13675">
            <v>883492894164</v>
          </cell>
        </row>
        <row r="13676">
          <cell r="E13676" t="str">
            <v>LUC-E00-470137-00</v>
          </cell>
          <cell r="F13676">
            <v>883409575535</v>
          </cell>
        </row>
        <row r="13677">
          <cell r="E13677" t="str">
            <v>HLOB-13-0226-00</v>
          </cell>
          <cell r="F13677">
            <v>471783719989</v>
          </cell>
        </row>
        <row r="13678">
          <cell r="E13678" t="str">
            <v>EF-45043851.X.X</v>
          </cell>
          <cell r="F13678">
            <v>471783719989</v>
          </cell>
        </row>
        <row r="13679">
          <cell r="E13679" t="str">
            <v>EF-45043352.X.X</v>
          </cell>
          <cell r="F13679">
            <v>471783719989</v>
          </cell>
        </row>
        <row r="13680">
          <cell r="E13680" t="str">
            <v>HLOB-13-0006-00</v>
          </cell>
          <cell r="F13680">
            <v>471783719989</v>
          </cell>
        </row>
        <row r="13681">
          <cell r="E13681" t="str">
            <v>EF-45046619.X.X</v>
          </cell>
          <cell r="F13681">
            <v>471783719989</v>
          </cell>
        </row>
        <row r="13682">
          <cell r="E13682" t="str">
            <v>HLOB-12-0212-00</v>
          </cell>
          <cell r="F13682">
            <v>471783719989</v>
          </cell>
        </row>
        <row r="13683">
          <cell r="E13683" t="str">
            <v>AGI-500-40065-01</v>
          </cell>
          <cell r="F13683">
            <v>471783719989</v>
          </cell>
        </row>
        <row r="13684">
          <cell r="E13684" t="str">
            <v>EF-45036764.X.X</v>
          </cell>
          <cell r="F13684">
            <v>471783719989</v>
          </cell>
        </row>
        <row r="13685">
          <cell r="E13685" t="str">
            <v>EF-45050177</v>
          </cell>
          <cell r="F13685">
            <v>471783719989</v>
          </cell>
        </row>
        <row r="13686">
          <cell r="E13686" t="str">
            <v>AIC-MP-00002393-000</v>
          </cell>
          <cell r="F13686">
            <v>471783719989</v>
          </cell>
        </row>
        <row r="13687">
          <cell r="E13687" t="str">
            <v>EF-45098519.X.X</v>
          </cell>
          <cell r="F13687">
            <v>471783719989</v>
          </cell>
        </row>
        <row r="13688">
          <cell r="E13688" t="str">
            <v>EF-45055025.X.X</v>
          </cell>
          <cell r="F13688">
            <v>471783719989</v>
          </cell>
        </row>
        <row r="13689">
          <cell r="E13689" t="str">
            <v>HLOB-12-0304-00</v>
          </cell>
          <cell r="F13689">
            <v>471783719989</v>
          </cell>
        </row>
        <row r="13690">
          <cell r="E13690" t="str">
            <v>AGI-500-40074-01</v>
          </cell>
          <cell r="F13690">
            <v>471783719989</v>
          </cell>
        </row>
        <row r="13691">
          <cell r="E13691" t="str">
            <v>EF-45044094.X.X</v>
          </cell>
          <cell r="F13691">
            <v>471783719989</v>
          </cell>
        </row>
        <row r="13692">
          <cell r="E13692" t="str">
            <v>AGI-500-40107-01</v>
          </cell>
          <cell r="F13692">
            <v>471783719989</v>
          </cell>
        </row>
        <row r="13693">
          <cell r="E13693" t="str">
            <v>AGI-500-40228-01</v>
          </cell>
          <cell r="F13693">
            <v>471783719989</v>
          </cell>
        </row>
        <row r="13694">
          <cell r="E13694" t="str">
            <v>AGI-500-40228-01</v>
          </cell>
          <cell r="F13694">
            <v>471783719989</v>
          </cell>
        </row>
        <row r="13695">
          <cell r="E13695" t="str">
            <v>AGI-500-40213-01</v>
          </cell>
          <cell r="F13695">
            <v>471783719989</v>
          </cell>
        </row>
        <row r="13696">
          <cell r="E13696" t="str">
            <v>PUR-12-0423-00</v>
          </cell>
          <cell r="F13696">
            <v>471783719989</v>
          </cell>
        </row>
        <row r="13697">
          <cell r="E13697" t="str">
            <v>HLOB-12-0297-00</v>
          </cell>
          <cell r="F13697">
            <v>471783719989</v>
          </cell>
        </row>
        <row r="13698">
          <cell r="E13698" t="str">
            <v>LUC-EZZ-420501-00</v>
          </cell>
          <cell r="F13698">
            <v>471783719989</v>
          </cell>
        </row>
        <row r="13699">
          <cell r="E13699" t="str">
            <v>LUC-EZZ-420822-00</v>
          </cell>
          <cell r="F13699">
            <v>471783719989</v>
          </cell>
        </row>
        <row r="13700">
          <cell r="E13700" t="str">
            <v>LUC-EZZ-421132-00</v>
          </cell>
          <cell r="F13700">
            <v>471783719989</v>
          </cell>
        </row>
        <row r="13701">
          <cell r="E13701" t="str">
            <v>LUC-EZZ-421132-00</v>
          </cell>
          <cell r="F13701">
            <v>471783719989</v>
          </cell>
        </row>
        <row r="13702">
          <cell r="E13702" t="str">
            <v>LUC-EZZ-420148-00</v>
          </cell>
          <cell r="F13702">
            <v>471783719989</v>
          </cell>
        </row>
        <row r="13703">
          <cell r="E13703" t="str">
            <v>AIC-MP-00006701-000</v>
          </cell>
          <cell r="F13703">
            <v>883496238601</v>
          </cell>
        </row>
        <row r="13704">
          <cell r="E13704" t="str">
            <v>AIC-186-001797</v>
          </cell>
          <cell r="F13704">
            <v>883496238601</v>
          </cell>
        </row>
        <row r="13705">
          <cell r="E13705" t="str">
            <v>LUC-E00-420051-02</v>
          </cell>
          <cell r="F13705">
            <v>4711874033</v>
          </cell>
        </row>
        <row r="13706">
          <cell r="E13706" t="str">
            <v>LUC-E00-420084-00</v>
          </cell>
          <cell r="F13706">
            <v>4711874033</v>
          </cell>
        </row>
        <row r="13707">
          <cell r="E13707" t="str">
            <v>LUC-E00-420054-03</v>
          </cell>
          <cell r="F13707">
            <v>4711874033</v>
          </cell>
        </row>
        <row r="13708">
          <cell r="E13708" t="str">
            <v>LUC-E00-400011-000</v>
          </cell>
          <cell r="F13708">
            <v>4711874033</v>
          </cell>
        </row>
        <row r="13709">
          <cell r="E13709" t="str">
            <v>LUC-E00-400011-000</v>
          </cell>
          <cell r="F13709">
            <v>4711874033</v>
          </cell>
        </row>
        <row r="13710">
          <cell r="E13710" t="str">
            <v>LUC-EZZ-420695-01</v>
          </cell>
          <cell r="F13710">
            <v>4711874033</v>
          </cell>
        </row>
        <row r="13711">
          <cell r="E13711" t="str">
            <v>EF-45093036</v>
          </cell>
          <cell r="F13711">
            <v>4711874033</v>
          </cell>
        </row>
        <row r="13712">
          <cell r="E13712" t="str">
            <v>LUC-E00-510018-00</v>
          </cell>
          <cell r="F13712">
            <v>4711874033</v>
          </cell>
        </row>
        <row r="13713">
          <cell r="E13713" t="str">
            <v>AIC-MP-00006918-000</v>
          </cell>
          <cell r="F13713">
            <v>4711874033</v>
          </cell>
        </row>
        <row r="13714">
          <cell r="E13714" t="str">
            <v>LUC-EZZ-440036-00</v>
          </cell>
          <cell r="F13714">
            <v>4711874033</v>
          </cell>
        </row>
        <row r="13715">
          <cell r="E13715" t="str">
            <v>LUC-E00-420019-01</v>
          </cell>
          <cell r="F13715">
            <v>4711874033</v>
          </cell>
        </row>
        <row r="13716">
          <cell r="E13716" t="str">
            <v>AIC-MP-00006921-000</v>
          </cell>
          <cell r="F13716">
            <v>4711874033</v>
          </cell>
        </row>
        <row r="13717">
          <cell r="E13717" t="str">
            <v>AGI-510-40067-01</v>
          </cell>
          <cell r="F13717">
            <v>4711874033</v>
          </cell>
        </row>
        <row r="13718">
          <cell r="E13718" t="str">
            <v>LUC-E00-510018-00</v>
          </cell>
          <cell r="F13718">
            <v>4711874033</v>
          </cell>
        </row>
        <row r="13719">
          <cell r="E13719" t="str">
            <v>AIC-MP-00006922-000</v>
          </cell>
          <cell r="F13719">
            <v>4711874033</v>
          </cell>
        </row>
        <row r="13720">
          <cell r="E13720" t="str">
            <v>HLOB-13-0119-00</v>
          </cell>
          <cell r="F13720">
            <v>4711874033</v>
          </cell>
        </row>
        <row r="13721">
          <cell r="E13721" t="str">
            <v>AGI-510-40042-01</v>
          </cell>
          <cell r="F13721">
            <v>4711874033</v>
          </cell>
        </row>
        <row r="13722">
          <cell r="E13722" t="str">
            <v>LUC-E00-510018-00</v>
          </cell>
          <cell r="F13722">
            <v>4711874033</v>
          </cell>
        </row>
        <row r="13723">
          <cell r="E13723" t="str">
            <v>EF-45047557.X.X</v>
          </cell>
          <cell r="F13723">
            <v>4711874033</v>
          </cell>
        </row>
        <row r="13724">
          <cell r="E13724" t="str">
            <v>LUC-E00-480007-00</v>
          </cell>
          <cell r="F13724">
            <v>4711874033</v>
          </cell>
        </row>
        <row r="13725">
          <cell r="E13725" t="str">
            <v>HLOB-14-0085-00</v>
          </cell>
          <cell r="F13725">
            <v>4711874033</v>
          </cell>
        </row>
        <row r="13726">
          <cell r="E13726" t="str">
            <v>AIC-111-001502</v>
          </cell>
          <cell r="F13726">
            <v>4711874033</v>
          </cell>
        </row>
        <row r="13727">
          <cell r="E13727" t="str">
            <v>LUC-EZZ-420665-00</v>
          </cell>
          <cell r="F13727">
            <v>4711874033</v>
          </cell>
        </row>
        <row r="13728">
          <cell r="E13728" t="str">
            <v>HLOB-09-0417-00</v>
          </cell>
          <cell r="F13728">
            <v>4711874033</v>
          </cell>
        </row>
        <row r="13729">
          <cell r="E13729" t="str">
            <v>LUC-EZZ-420665-00</v>
          </cell>
          <cell r="F13729">
            <v>4711874033</v>
          </cell>
        </row>
        <row r="13730">
          <cell r="E13730" t="str">
            <v>LUC-E00-420046-00</v>
          </cell>
          <cell r="F13730">
            <v>4711874033</v>
          </cell>
        </row>
        <row r="13731">
          <cell r="E13731" t="str">
            <v>AIC-122-004381</v>
          </cell>
          <cell r="F13731">
            <v>4711874033</v>
          </cell>
        </row>
        <row r="13732">
          <cell r="E13732" t="str">
            <v>PUR-13-0165-00</v>
          </cell>
          <cell r="F13732">
            <v>4711874033</v>
          </cell>
        </row>
        <row r="13733">
          <cell r="E13733" t="str">
            <v>LUC-E00-420172-00</v>
          </cell>
          <cell r="F13733">
            <v>4711874033</v>
          </cell>
        </row>
        <row r="13734">
          <cell r="E13734" t="str">
            <v>PUR-09-0408-00</v>
          </cell>
          <cell r="F13734">
            <v>4711874033</v>
          </cell>
        </row>
        <row r="13735">
          <cell r="E13735" t="str">
            <v>LUC-E00-420051-02</v>
          </cell>
          <cell r="F13735">
            <v>4711874033</v>
          </cell>
        </row>
        <row r="13736">
          <cell r="E13736" t="str">
            <v>AIC-MP-00006265-000</v>
          </cell>
          <cell r="F13736">
            <v>4711874033</v>
          </cell>
        </row>
        <row r="13737">
          <cell r="E13737" t="str">
            <v>AIC-MP-00006265-000</v>
          </cell>
          <cell r="F13737">
            <v>4711874033</v>
          </cell>
        </row>
        <row r="13738">
          <cell r="E13738" t="str">
            <v>PUR-14-0087-00</v>
          </cell>
          <cell r="F13738">
            <v>445170522791</v>
          </cell>
        </row>
        <row r="13739">
          <cell r="E13739" t="str">
            <v>LUC-E00-420086-00</v>
          </cell>
          <cell r="F13739">
            <v>9794750416</v>
          </cell>
        </row>
        <row r="13740">
          <cell r="E13740" t="str">
            <v>PUR-03-0092-03</v>
          </cell>
          <cell r="F13740" t="str">
            <v>8TV8609</v>
          </cell>
        </row>
        <row r="13741">
          <cell r="E13741" t="str">
            <v>LUC-E00-400035-00</v>
          </cell>
          <cell r="F13741">
            <v>3455859142</v>
          </cell>
        </row>
        <row r="13742">
          <cell r="E13742" t="str">
            <v>LUC-E00-460009-00</v>
          </cell>
          <cell r="F13742">
            <v>3455859142</v>
          </cell>
        </row>
        <row r="13743">
          <cell r="E13743" t="str">
            <v>LUC-E00-400022-001</v>
          </cell>
          <cell r="F13743">
            <v>3455859142</v>
          </cell>
        </row>
        <row r="13744">
          <cell r="E13744" t="str">
            <v>LUC-EZZ-470276-00</v>
          </cell>
          <cell r="F13744">
            <v>3455859142</v>
          </cell>
        </row>
        <row r="13745">
          <cell r="E13745" t="str">
            <v>LUC-EZZ-450112-00</v>
          </cell>
          <cell r="F13745">
            <v>3455859142</v>
          </cell>
        </row>
        <row r="13746">
          <cell r="E13746" t="str">
            <v>HLOB-09-0050-00</v>
          </cell>
          <cell r="F13746">
            <v>3455859142</v>
          </cell>
        </row>
        <row r="13747">
          <cell r="E13747" t="str">
            <v>PURET-12-0257-00</v>
          </cell>
          <cell r="F13747">
            <v>3455859142</v>
          </cell>
        </row>
        <row r="13748">
          <cell r="E13748" t="str">
            <v>PUR-12-0288-00</v>
          </cell>
          <cell r="F13748">
            <v>3455859142</v>
          </cell>
        </row>
        <row r="13749">
          <cell r="E13749" t="str">
            <v>LUC-EZZ-420151-00</v>
          </cell>
          <cell r="F13749">
            <v>3455859142</v>
          </cell>
        </row>
        <row r="13750">
          <cell r="E13750" t="str">
            <v>LUC-EZZ-420151-00</v>
          </cell>
          <cell r="F13750">
            <v>3455859142</v>
          </cell>
        </row>
        <row r="13751">
          <cell r="E13751" t="str">
            <v>LUC-E00-400028-06</v>
          </cell>
          <cell r="F13751">
            <v>3455859142</v>
          </cell>
        </row>
        <row r="13752">
          <cell r="E13752" t="str">
            <v>LUC-E00-400024-04</v>
          </cell>
          <cell r="F13752">
            <v>3455859142</v>
          </cell>
        </row>
        <row r="13753">
          <cell r="E13753" t="str">
            <v>LUC-E00-400028-08</v>
          </cell>
          <cell r="F13753">
            <v>3455859142</v>
          </cell>
        </row>
        <row r="13754">
          <cell r="E13754" t="str">
            <v>LUC-EZZ-400192-00</v>
          </cell>
          <cell r="F13754">
            <v>3455859142</v>
          </cell>
        </row>
        <row r="13755">
          <cell r="E13755" t="str">
            <v>LUC-EZZ-400238-00</v>
          </cell>
          <cell r="F13755">
            <v>3455859142</v>
          </cell>
        </row>
        <row r="13756">
          <cell r="E13756" t="str">
            <v>LUC-E00-470074-01</v>
          </cell>
          <cell r="F13756">
            <v>3455859142</v>
          </cell>
        </row>
        <row r="13757">
          <cell r="E13757" t="str">
            <v>LUC-E00-400067-162</v>
          </cell>
          <cell r="F13757">
            <v>3455859142</v>
          </cell>
        </row>
        <row r="13758">
          <cell r="E13758" t="str">
            <v>EF-45046246.X.X</v>
          </cell>
          <cell r="F13758">
            <v>3455859142</v>
          </cell>
        </row>
        <row r="13759">
          <cell r="E13759" t="str">
            <v>EF-45046246.X.X</v>
          </cell>
          <cell r="F13759">
            <v>3455859142</v>
          </cell>
        </row>
        <row r="13760">
          <cell r="E13760" t="str">
            <v>LUC-EZZ-400801-00</v>
          </cell>
          <cell r="F13760">
            <v>3455859142</v>
          </cell>
        </row>
        <row r="13761">
          <cell r="E13761" t="str">
            <v>EF-45046347.X.X</v>
          </cell>
          <cell r="F13761">
            <v>3455859142</v>
          </cell>
        </row>
        <row r="13762">
          <cell r="E13762" t="str">
            <v>LUC-E00-450075-00</v>
          </cell>
          <cell r="F13762">
            <v>3455859142</v>
          </cell>
        </row>
        <row r="13763">
          <cell r="E13763" t="str">
            <v>LUC-EZZ-400801-00</v>
          </cell>
          <cell r="F13763">
            <v>3455859142</v>
          </cell>
        </row>
        <row r="13764">
          <cell r="E13764" t="str">
            <v>EF-45044114.X.X</v>
          </cell>
          <cell r="F13764">
            <v>3455859142</v>
          </cell>
        </row>
        <row r="13765">
          <cell r="E13765" t="str">
            <v>EF-45108861.X.X</v>
          </cell>
          <cell r="F13765">
            <v>3455859142</v>
          </cell>
        </row>
        <row r="13766">
          <cell r="E13766" t="str">
            <v>LUC-EZZ-400239-00</v>
          </cell>
          <cell r="F13766">
            <v>3455859142</v>
          </cell>
        </row>
        <row r="13767">
          <cell r="E13767" t="str">
            <v>EF-45072100.X.X</v>
          </cell>
          <cell r="F13767">
            <v>3455859142</v>
          </cell>
        </row>
        <row r="13768">
          <cell r="E13768" t="str">
            <v>EF-45072100.X.X</v>
          </cell>
          <cell r="F13768">
            <v>3455859142</v>
          </cell>
        </row>
        <row r="13769">
          <cell r="E13769" t="str">
            <v>LUC-E00-460006-00</v>
          </cell>
          <cell r="F13769">
            <v>3455859142</v>
          </cell>
        </row>
        <row r="13770">
          <cell r="E13770" t="str">
            <v>LUC-E00-460009-00</v>
          </cell>
          <cell r="F13770">
            <v>3455859142</v>
          </cell>
        </row>
        <row r="13771">
          <cell r="E13771" t="str">
            <v>EF-45044050.X.X</v>
          </cell>
          <cell r="F13771">
            <v>3455859142</v>
          </cell>
        </row>
        <row r="13772">
          <cell r="E13772" t="str">
            <v>LUC-E00-400243-00</v>
          </cell>
          <cell r="F13772">
            <v>3455859142</v>
          </cell>
        </row>
        <row r="13773">
          <cell r="E13773" t="str">
            <v>LUC-E00-400001-003</v>
          </cell>
          <cell r="F13773">
            <v>3455859142</v>
          </cell>
        </row>
        <row r="13774">
          <cell r="E13774" t="str">
            <v>HLOB-09-0050-00</v>
          </cell>
          <cell r="F13774">
            <v>3455859142</v>
          </cell>
        </row>
        <row r="13775">
          <cell r="E13775" t="str">
            <v>HLOB-13-0125-00</v>
          </cell>
          <cell r="F13775">
            <v>3455859142</v>
          </cell>
        </row>
        <row r="13776">
          <cell r="E13776" t="str">
            <v>EF-45093131.X.X</v>
          </cell>
          <cell r="F13776">
            <v>419341572559</v>
          </cell>
        </row>
        <row r="13777">
          <cell r="E13777" t="str">
            <v>AGI-500-40179-01</v>
          </cell>
          <cell r="F13777">
            <v>419341572559</v>
          </cell>
        </row>
        <row r="13778">
          <cell r="E13778" t="str">
            <v>EF-45093131.X.X</v>
          </cell>
          <cell r="F13778">
            <v>419341572559</v>
          </cell>
        </row>
        <row r="13779">
          <cell r="E13779" t="str">
            <v>EF-45093131.X.X</v>
          </cell>
          <cell r="F13779">
            <v>419341572559</v>
          </cell>
        </row>
        <row r="13780">
          <cell r="E13780" t="str">
            <v>EF-45093131.X.X</v>
          </cell>
          <cell r="F13780">
            <v>419341572559</v>
          </cell>
        </row>
        <row r="13781">
          <cell r="E13781" t="str">
            <v>EF-45093131.X.X</v>
          </cell>
          <cell r="F13781">
            <v>419341572559</v>
          </cell>
        </row>
        <row r="13782">
          <cell r="E13782" t="str">
            <v>EF-45057064.X.X</v>
          </cell>
          <cell r="F13782">
            <v>419341572559</v>
          </cell>
        </row>
        <row r="13783">
          <cell r="E13783" t="str">
            <v>LUC-E00-690010-02</v>
          </cell>
          <cell r="F13783">
            <v>391814819700</v>
          </cell>
        </row>
        <row r="13784">
          <cell r="E13784" t="str">
            <v>LUC-EZZ-690242-00</v>
          </cell>
          <cell r="F13784">
            <v>391814819700</v>
          </cell>
        </row>
        <row r="13785">
          <cell r="E13785" t="str">
            <v>LUC-EZZ-690243-00</v>
          </cell>
          <cell r="F13785">
            <v>391814819700</v>
          </cell>
        </row>
        <row r="13786">
          <cell r="E13786" t="str">
            <v>LUC-E00-690010-02</v>
          </cell>
          <cell r="F13786">
            <v>391814820222</v>
          </cell>
        </row>
        <row r="13787">
          <cell r="E13787" t="str">
            <v>LUC-E00-690010-01</v>
          </cell>
          <cell r="F13787">
            <v>391814820222</v>
          </cell>
        </row>
        <row r="13788">
          <cell r="E13788" t="str">
            <v>LUC-E00-690010-01</v>
          </cell>
          <cell r="F13788">
            <v>391814820222</v>
          </cell>
        </row>
        <row r="13789">
          <cell r="E13789" t="str">
            <v>LUC-E00-690010-01</v>
          </cell>
          <cell r="F13789">
            <v>391814820222</v>
          </cell>
        </row>
        <row r="13790">
          <cell r="E13790" t="str">
            <v>LUC-E00-470083-00</v>
          </cell>
          <cell r="F13790">
            <v>445170527153</v>
          </cell>
        </row>
        <row r="13791">
          <cell r="E13791" t="str">
            <v>LUC-E00-400010-000</v>
          </cell>
          <cell r="F13791">
            <v>445170526801</v>
          </cell>
        </row>
        <row r="13792">
          <cell r="E13792" t="str">
            <v>LUC-E00-510046-00</v>
          </cell>
          <cell r="F13792">
            <v>448135961466</v>
          </cell>
        </row>
        <row r="13793">
          <cell r="E13793" t="str">
            <v>LUC-E00-420072-01</v>
          </cell>
          <cell r="F13793">
            <v>448135961466</v>
          </cell>
        </row>
        <row r="13794">
          <cell r="E13794" t="str">
            <v>LUC-E00-440012-00-R</v>
          </cell>
          <cell r="F13794">
            <v>448135961466</v>
          </cell>
        </row>
        <row r="13795">
          <cell r="E13795" t="str">
            <v>LUC-E00-440172-00</v>
          </cell>
          <cell r="F13795">
            <v>472996221370</v>
          </cell>
        </row>
        <row r="13796">
          <cell r="E13796" t="str">
            <v>LUC-EZZ-470811-00</v>
          </cell>
          <cell r="F13796">
            <v>472996221370</v>
          </cell>
        </row>
        <row r="13797">
          <cell r="E13797" t="str">
            <v>LUC-EZZ-400244-00</v>
          </cell>
          <cell r="F13797">
            <v>472996221370</v>
          </cell>
        </row>
        <row r="13798">
          <cell r="E13798" t="str">
            <v>LUC-E00-400010-014</v>
          </cell>
          <cell r="F13798">
            <v>472996221370</v>
          </cell>
        </row>
        <row r="13799">
          <cell r="E13799" t="str">
            <v>HLOB-09-0434-00</v>
          </cell>
          <cell r="F13799">
            <v>472996221370</v>
          </cell>
        </row>
        <row r="13800">
          <cell r="E13800" t="str">
            <v>LUC-EZZ-400244-00</v>
          </cell>
          <cell r="F13800">
            <v>472996221370</v>
          </cell>
        </row>
        <row r="13801">
          <cell r="E13801" t="str">
            <v>LUC-E00-400010-014</v>
          </cell>
          <cell r="F13801">
            <v>472996221370</v>
          </cell>
        </row>
        <row r="13802">
          <cell r="E13802" t="str">
            <v>LUC-E00-400010-014</v>
          </cell>
          <cell r="F13802">
            <v>472996221370</v>
          </cell>
        </row>
        <row r="13803">
          <cell r="E13803" t="str">
            <v>LUC-E00-470021-00</v>
          </cell>
          <cell r="F13803">
            <v>472996221370</v>
          </cell>
        </row>
        <row r="13804">
          <cell r="E13804" t="str">
            <v>LUC-EZZ-400244-00</v>
          </cell>
          <cell r="F13804">
            <v>472996221370</v>
          </cell>
        </row>
        <row r="13805">
          <cell r="E13805" t="str">
            <v>EF-45074500.X.X</v>
          </cell>
          <cell r="F13805">
            <v>472996221370</v>
          </cell>
        </row>
        <row r="13806">
          <cell r="E13806" t="str">
            <v>LUC-EZZ-400244-00</v>
          </cell>
          <cell r="F13806">
            <v>472996221370</v>
          </cell>
        </row>
        <row r="13807">
          <cell r="E13807" t="str">
            <v>EF-45074500.X.X</v>
          </cell>
          <cell r="F13807">
            <v>472996221370</v>
          </cell>
        </row>
        <row r="13808">
          <cell r="E13808" t="str">
            <v>LUC-EZZ-400595-00</v>
          </cell>
          <cell r="F13808">
            <v>472996221370</v>
          </cell>
        </row>
        <row r="13809">
          <cell r="E13809" t="str">
            <v>LUC-EZZ-400244-00</v>
          </cell>
          <cell r="F13809">
            <v>472996221370</v>
          </cell>
        </row>
        <row r="13810">
          <cell r="E13810" t="str">
            <v>LUC-E00-470137-00</v>
          </cell>
          <cell r="F13810">
            <v>883462409175</v>
          </cell>
        </row>
        <row r="13811">
          <cell r="E13811" t="str">
            <v>LUC-EZZ-401295-00</v>
          </cell>
          <cell r="F13811">
            <v>972682040770</v>
          </cell>
        </row>
        <row r="13812">
          <cell r="E13812" t="str">
            <v>LUC-EZZ-400218-00</v>
          </cell>
          <cell r="F13812">
            <v>972682040770</v>
          </cell>
        </row>
        <row r="13813">
          <cell r="E13813" t="str">
            <v>LUC-E00-440140-01</v>
          </cell>
          <cell r="F13813">
            <v>391985915118</v>
          </cell>
        </row>
        <row r="13814">
          <cell r="E13814" t="str">
            <v>PUR-03-0082-02</v>
          </cell>
          <cell r="F13814">
            <v>476474635043</v>
          </cell>
        </row>
        <row r="13815">
          <cell r="E13815" t="str">
            <v>LUC-E00-690011-00</v>
          </cell>
          <cell r="F13815">
            <v>392066234110</v>
          </cell>
        </row>
        <row r="13816">
          <cell r="E13816" t="str">
            <v>LUC-E00-400010-050</v>
          </cell>
          <cell r="F13816">
            <v>445170527360</v>
          </cell>
        </row>
        <row r="13817">
          <cell r="E13817" t="str">
            <v>LUC-E00-470123-00</v>
          </cell>
          <cell r="F13817">
            <v>4198378472</v>
          </cell>
        </row>
        <row r="13818">
          <cell r="E13818" t="str">
            <v>LUC-E00-470059-00</v>
          </cell>
          <cell r="F13818">
            <v>4198378472</v>
          </cell>
        </row>
        <row r="13819">
          <cell r="E13819" t="str">
            <v>LUC-E00-470330-00</v>
          </cell>
          <cell r="F13819">
            <v>4198378472</v>
          </cell>
        </row>
        <row r="13820">
          <cell r="E13820" t="str">
            <v>LUC-E00-470123-00</v>
          </cell>
          <cell r="F13820">
            <v>4198378472</v>
          </cell>
        </row>
        <row r="13821">
          <cell r="E13821" t="str">
            <v>LUC-E00-470082-00</v>
          </cell>
          <cell r="F13821">
            <v>4198378472</v>
          </cell>
        </row>
        <row r="13822">
          <cell r="E13822" t="str">
            <v>LUC-E00-510084-00</v>
          </cell>
          <cell r="F13822">
            <v>4198378472</v>
          </cell>
        </row>
        <row r="13823">
          <cell r="E13823" t="str">
            <v>LUC-E00-420241-00</v>
          </cell>
          <cell r="F13823">
            <v>4198378472</v>
          </cell>
        </row>
        <row r="13824">
          <cell r="E13824" t="str">
            <v>LUC-EZZ-420046-00</v>
          </cell>
          <cell r="F13824">
            <v>4198378472</v>
          </cell>
        </row>
        <row r="13825">
          <cell r="E13825" t="str">
            <v>LUC-E00-450056-00</v>
          </cell>
          <cell r="F13825">
            <v>4198378472</v>
          </cell>
        </row>
        <row r="13826">
          <cell r="E13826" t="str">
            <v>LUC-EZZ-451368-00</v>
          </cell>
          <cell r="F13826">
            <v>4198378472</v>
          </cell>
        </row>
        <row r="13827">
          <cell r="E13827" t="str">
            <v>LUC-E00-400056-01</v>
          </cell>
          <cell r="F13827">
            <v>4198378472</v>
          </cell>
        </row>
        <row r="13828">
          <cell r="E13828" t="str">
            <v>LUC-EZZ-420002-00</v>
          </cell>
          <cell r="F13828">
            <v>4198378472</v>
          </cell>
        </row>
        <row r="13829">
          <cell r="E13829" t="str">
            <v>LUC-E00-450052-00</v>
          </cell>
          <cell r="F13829">
            <v>4198378472</v>
          </cell>
        </row>
        <row r="13830">
          <cell r="E13830" t="str">
            <v>LUC-E00-510021-00</v>
          </cell>
          <cell r="F13830">
            <v>4198378472</v>
          </cell>
        </row>
        <row r="13831">
          <cell r="E13831" t="str">
            <v>LUC-E00-420241-00</v>
          </cell>
          <cell r="F13831">
            <v>4198378472</v>
          </cell>
        </row>
        <row r="13832">
          <cell r="E13832" t="str">
            <v>LUC-E00-420076-00</v>
          </cell>
          <cell r="F13832">
            <v>4198378472</v>
          </cell>
        </row>
        <row r="13833">
          <cell r="E13833" t="str">
            <v>LUC-E00-510061-01</v>
          </cell>
          <cell r="F13833">
            <v>4198378472</v>
          </cell>
        </row>
        <row r="13834">
          <cell r="E13834" t="str">
            <v>LUC-E00-420054-01</v>
          </cell>
          <cell r="F13834">
            <v>4198378472</v>
          </cell>
        </row>
        <row r="13835">
          <cell r="E13835" t="str">
            <v>LUC-E00-420045-02</v>
          </cell>
          <cell r="F13835">
            <v>4198378472</v>
          </cell>
        </row>
        <row r="13836">
          <cell r="E13836" t="str">
            <v>LUC-E00-420045-02</v>
          </cell>
          <cell r="F13836">
            <v>4198378472</v>
          </cell>
        </row>
        <row r="13837">
          <cell r="E13837" t="str">
            <v>LUC-E00-420045-02</v>
          </cell>
          <cell r="F13837">
            <v>4198378472</v>
          </cell>
        </row>
        <row r="13838">
          <cell r="E13838" t="str">
            <v>LUC-E00-420045-02</v>
          </cell>
          <cell r="F13838">
            <v>4198378472</v>
          </cell>
        </row>
        <row r="13839">
          <cell r="E13839" t="str">
            <v>LUC-E00-420045-02</v>
          </cell>
          <cell r="F13839">
            <v>4198378472</v>
          </cell>
        </row>
        <row r="13840">
          <cell r="E13840" t="str">
            <v>LUC-E00-510021-00</v>
          </cell>
          <cell r="F13840">
            <v>4198378472</v>
          </cell>
        </row>
        <row r="13841">
          <cell r="E13841" t="str">
            <v>LUC-EZZ-420252-00</v>
          </cell>
          <cell r="F13841">
            <v>4198378472</v>
          </cell>
        </row>
        <row r="13842">
          <cell r="E13842" t="str">
            <v>LUC-E00-400010-023</v>
          </cell>
          <cell r="F13842">
            <v>4198378472</v>
          </cell>
        </row>
        <row r="13843">
          <cell r="E13843" t="str">
            <v>LUC-E00-400010-023</v>
          </cell>
          <cell r="F13843">
            <v>4198378472</v>
          </cell>
        </row>
        <row r="13844">
          <cell r="E13844" t="str">
            <v>LUC-EZZ-421047-00</v>
          </cell>
          <cell r="F13844">
            <v>4198378472</v>
          </cell>
        </row>
        <row r="13845">
          <cell r="E13845" t="str">
            <v>LUC-E00-470044-00</v>
          </cell>
          <cell r="F13845">
            <v>4198378472</v>
          </cell>
        </row>
        <row r="13846">
          <cell r="E13846" t="str">
            <v>LUC-EZZ-520045-00</v>
          </cell>
          <cell r="F13846">
            <v>4198378472</v>
          </cell>
        </row>
        <row r="13847">
          <cell r="E13847" t="str">
            <v>LUC-E00-420045-02</v>
          </cell>
          <cell r="F13847">
            <v>4198378472</v>
          </cell>
        </row>
        <row r="13848">
          <cell r="E13848" t="str">
            <v>LUC-E00-420045-02</v>
          </cell>
          <cell r="F13848">
            <v>4198378472</v>
          </cell>
        </row>
        <row r="13849">
          <cell r="E13849" t="str">
            <v>LUC-E00-460038-00</v>
          </cell>
          <cell r="F13849">
            <v>4198378472</v>
          </cell>
        </row>
        <row r="13850">
          <cell r="E13850" t="str">
            <v>LUC-E00-420045-02</v>
          </cell>
          <cell r="F13850">
            <v>4198378472</v>
          </cell>
        </row>
        <row r="13851">
          <cell r="E13851" t="str">
            <v>LUC-E00-420045-02</v>
          </cell>
          <cell r="F13851">
            <v>4198378472</v>
          </cell>
        </row>
        <row r="13852">
          <cell r="E13852" t="str">
            <v>LUC-E00-420045-02</v>
          </cell>
          <cell r="F13852">
            <v>4198378472</v>
          </cell>
        </row>
        <row r="13853">
          <cell r="E13853" t="str">
            <v>LUC-E00-420045-02</v>
          </cell>
          <cell r="F13853">
            <v>4198378472</v>
          </cell>
        </row>
        <row r="13854">
          <cell r="E13854" t="str">
            <v>LUC-EZZ-470136-00</v>
          </cell>
          <cell r="F13854">
            <v>4198378472</v>
          </cell>
        </row>
        <row r="13855">
          <cell r="E13855" t="str">
            <v>LUC-E00-690020-00</v>
          </cell>
          <cell r="F13855">
            <v>4198378472</v>
          </cell>
        </row>
        <row r="13856">
          <cell r="E13856" t="str">
            <v>LUC-E00-690020-00</v>
          </cell>
          <cell r="F13856">
            <v>4198378472</v>
          </cell>
        </row>
        <row r="13857">
          <cell r="E13857" t="str">
            <v>LUC-E00-690020-00</v>
          </cell>
          <cell r="F13857">
            <v>4198378472</v>
          </cell>
        </row>
        <row r="13858">
          <cell r="E13858" t="str">
            <v>LUC-E00-400010-007</v>
          </cell>
          <cell r="F13858">
            <v>4198378472</v>
          </cell>
        </row>
        <row r="13859">
          <cell r="E13859" t="str">
            <v>LUC-E00-470379-00</v>
          </cell>
          <cell r="F13859">
            <v>4198378472</v>
          </cell>
        </row>
        <row r="13860">
          <cell r="E13860" t="str">
            <v>LUC-E00-450148-01</v>
          </cell>
          <cell r="F13860">
            <v>4198378472</v>
          </cell>
        </row>
        <row r="13861">
          <cell r="E13861" t="str">
            <v>LUC-E00-450148-01</v>
          </cell>
          <cell r="F13861">
            <v>4198378472</v>
          </cell>
        </row>
        <row r="13862">
          <cell r="E13862" t="str">
            <v>LUC-E00-510021-00</v>
          </cell>
          <cell r="F13862">
            <v>4198378472</v>
          </cell>
        </row>
        <row r="13863">
          <cell r="E13863" t="str">
            <v>LUC-EZZ-510640-00</v>
          </cell>
          <cell r="F13863">
            <v>4198378472</v>
          </cell>
        </row>
        <row r="13864">
          <cell r="E13864" t="str">
            <v>LUC-E00-470033-00</v>
          </cell>
          <cell r="F13864">
            <v>4198378472</v>
          </cell>
        </row>
        <row r="13865">
          <cell r="E13865" t="str">
            <v>LUC-E00-420025-05</v>
          </cell>
          <cell r="F13865">
            <v>4198378472</v>
          </cell>
        </row>
        <row r="13866">
          <cell r="E13866" t="str">
            <v>LUC-E00-420025-05</v>
          </cell>
          <cell r="F13866">
            <v>4198378472</v>
          </cell>
        </row>
        <row r="13867">
          <cell r="E13867" t="str">
            <v>LUC-E00-420025-05</v>
          </cell>
          <cell r="F13867">
            <v>4198378472</v>
          </cell>
        </row>
        <row r="13868">
          <cell r="E13868" t="str">
            <v>LUC-E00-400010-032</v>
          </cell>
          <cell r="F13868">
            <v>4198378472</v>
          </cell>
        </row>
        <row r="13869">
          <cell r="E13869" t="str">
            <v>LUC-EZZ-420281-00</v>
          </cell>
          <cell r="F13869">
            <v>4198378472</v>
          </cell>
        </row>
        <row r="13870">
          <cell r="E13870" t="str">
            <v>LUC-E00-470361-00</v>
          </cell>
          <cell r="F13870">
            <v>4198378472</v>
          </cell>
        </row>
        <row r="13871">
          <cell r="E13871" t="str">
            <v>LUC-EZZ-420136-00</v>
          </cell>
          <cell r="F13871">
            <v>4198378472</v>
          </cell>
        </row>
        <row r="13872">
          <cell r="E13872" t="str">
            <v>LUC-EZZ-420136-00</v>
          </cell>
          <cell r="F13872">
            <v>4198378472</v>
          </cell>
        </row>
        <row r="13873">
          <cell r="E13873" t="str">
            <v>LUC-E00-440029-00</v>
          </cell>
          <cell r="F13873">
            <v>4198378472</v>
          </cell>
        </row>
        <row r="13874">
          <cell r="E13874" t="str">
            <v>LUC-E00-440029-00</v>
          </cell>
          <cell r="F13874">
            <v>4198378472</v>
          </cell>
        </row>
        <row r="13875">
          <cell r="E13875" t="str">
            <v>LUC-EZZ-470274-00</v>
          </cell>
          <cell r="F13875">
            <v>4198378472</v>
          </cell>
        </row>
        <row r="13876">
          <cell r="E13876" t="str">
            <v>LUC-EZZ-510638-00</v>
          </cell>
          <cell r="F13876">
            <v>4198378472</v>
          </cell>
        </row>
        <row r="13877">
          <cell r="E13877" t="str">
            <v>LUC-EZZ-450113-00</v>
          </cell>
          <cell r="F13877">
            <v>4198378472</v>
          </cell>
        </row>
        <row r="13878">
          <cell r="E13878" t="str">
            <v>LUC-E00-510001-00</v>
          </cell>
          <cell r="F13878">
            <v>4198378472</v>
          </cell>
        </row>
        <row r="13879">
          <cell r="E13879" t="str">
            <v>LUC-EZZ-450113-00</v>
          </cell>
          <cell r="F13879">
            <v>4198378472</v>
          </cell>
        </row>
        <row r="13880">
          <cell r="E13880" t="str">
            <v>LUC-E00-510021-00</v>
          </cell>
          <cell r="F13880">
            <v>4198378472</v>
          </cell>
        </row>
        <row r="13881">
          <cell r="E13881" t="str">
            <v>LUC-E00-510021-00</v>
          </cell>
          <cell r="F13881">
            <v>4198378472</v>
          </cell>
        </row>
        <row r="13882">
          <cell r="E13882" t="str">
            <v>LUC-E00-470080-00</v>
          </cell>
          <cell r="F13882">
            <v>4198378472</v>
          </cell>
        </row>
        <row r="13883">
          <cell r="E13883" t="str">
            <v>EF-45096952</v>
          </cell>
          <cell r="F13883">
            <v>4198378472</v>
          </cell>
        </row>
        <row r="13884">
          <cell r="E13884" t="str">
            <v>LUC-EZZ-420345-00</v>
          </cell>
          <cell r="F13884">
            <v>4198378472</v>
          </cell>
        </row>
        <row r="13885">
          <cell r="E13885" t="str">
            <v>LUC-EZZ-420345-00</v>
          </cell>
          <cell r="F13885">
            <v>4198378472</v>
          </cell>
        </row>
        <row r="13886">
          <cell r="E13886" t="str">
            <v>LUC-E00-400010-047</v>
          </cell>
          <cell r="F13886">
            <v>4198378472</v>
          </cell>
        </row>
        <row r="13887">
          <cell r="E13887" t="str">
            <v>LUC-E00-470049-00</v>
          </cell>
          <cell r="F13887">
            <v>4198378472</v>
          </cell>
        </row>
        <row r="13888">
          <cell r="E13888" t="str">
            <v>LUC-E00-470049-00</v>
          </cell>
          <cell r="F13888">
            <v>4198378472</v>
          </cell>
        </row>
        <row r="13889">
          <cell r="E13889" t="str">
            <v>LUC-EZZ-470961-00</v>
          </cell>
          <cell r="F13889">
            <v>4198378472</v>
          </cell>
        </row>
        <row r="13890">
          <cell r="E13890" t="str">
            <v>LUC-E00-440028-00</v>
          </cell>
          <cell r="F13890">
            <v>4198378472</v>
          </cell>
        </row>
        <row r="13891">
          <cell r="E13891" t="str">
            <v>LUC-EZZ-420102-00</v>
          </cell>
          <cell r="F13891">
            <v>4198378472</v>
          </cell>
        </row>
        <row r="13892">
          <cell r="E13892" t="str">
            <v>LUC-E00-420116-01</v>
          </cell>
          <cell r="F13892">
            <v>4198378472</v>
          </cell>
        </row>
        <row r="13893">
          <cell r="E13893" t="str">
            <v>LUC-EZZ-470136-00</v>
          </cell>
          <cell r="F13893">
            <v>4198378472</v>
          </cell>
        </row>
        <row r="13894">
          <cell r="E13894" t="str">
            <v>LUC-EZZ-450108-00</v>
          </cell>
          <cell r="F13894">
            <v>4198378472</v>
          </cell>
        </row>
        <row r="13895">
          <cell r="E13895" t="str">
            <v>LUC-EZZ-450108-00</v>
          </cell>
          <cell r="F13895">
            <v>4198378472</v>
          </cell>
        </row>
        <row r="13896">
          <cell r="E13896" t="str">
            <v>LUC-EZZ-510014-00</v>
          </cell>
          <cell r="F13896">
            <v>4198378472</v>
          </cell>
        </row>
        <row r="13897">
          <cell r="E13897" t="str">
            <v>LUC-E00-510041-00</v>
          </cell>
          <cell r="F13897">
            <v>4198378472</v>
          </cell>
        </row>
        <row r="13898">
          <cell r="E13898" t="str">
            <v>AIC-BPM-UPG0002-B01</v>
          </cell>
          <cell r="F13898">
            <v>7675383601</v>
          </cell>
        </row>
        <row r="13899">
          <cell r="E13899" t="str">
            <v>LUC-EZZ-490316-02</v>
          </cell>
          <cell r="F13899">
            <v>7675717184</v>
          </cell>
        </row>
        <row r="13900">
          <cell r="E13900" t="str">
            <v>LUC-EZZ-490201-07</v>
          </cell>
          <cell r="F13900">
            <v>7675717184</v>
          </cell>
        </row>
        <row r="13901">
          <cell r="E13901" t="str">
            <v>LUC-EZZ-490317-04</v>
          </cell>
          <cell r="F13901">
            <v>7675717184</v>
          </cell>
        </row>
        <row r="13902">
          <cell r="E13902" t="str">
            <v>LUC-EZZ-490050-03</v>
          </cell>
          <cell r="F13902">
            <v>7675721863</v>
          </cell>
        </row>
        <row r="13903">
          <cell r="E13903" t="str">
            <v>PUR-15-0220-00</v>
          </cell>
          <cell r="F13903">
            <v>4914933958</v>
          </cell>
        </row>
        <row r="13904">
          <cell r="E13904" t="str">
            <v>PUR-15-0220-00</v>
          </cell>
          <cell r="F13904">
            <v>4914933958</v>
          </cell>
        </row>
        <row r="13905">
          <cell r="E13905" t="str">
            <v>PUR-15-0220-00</v>
          </cell>
          <cell r="F13905">
            <v>4914933958</v>
          </cell>
        </row>
        <row r="13906">
          <cell r="E13906" t="str">
            <v>PUR-15-0220-00</v>
          </cell>
          <cell r="F13906">
            <v>4914933958</v>
          </cell>
        </row>
        <row r="13907">
          <cell r="E13907" t="str">
            <v>HLOB-15-0220-00</v>
          </cell>
          <cell r="F13907">
            <v>4914933958</v>
          </cell>
        </row>
        <row r="13908">
          <cell r="E13908" t="str">
            <v>HLOB-15-0220-00</v>
          </cell>
          <cell r="F13908">
            <v>4914933958</v>
          </cell>
        </row>
        <row r="13909">
          <cell r="E13909" t="str">
            <v>HLOB-15-0220-00</v>
          </cell>
          <cell r="F13909">
            <v>4914933958</v>
          </cell>
        </row>
        <row r="13910">
          <cell r="E13910" t="str">
            <v>HLOB-15-0220-00</v>
          </cell>
          <cell r="F13910">
            <v>4914933958</v>
          </cell>
        </row>
        <row r="13911">
          <cell r="E13911" t="str">
            <v>HLOB-15-0220-00</v>
          </cell>
          <cell r="F13911">
            <v>4914933958</v>
          </cell>
        </row>
        <row r="13912">
          <cell r="E13912" t="str">
            <v>HLOB-16-0049-01</v>
          </cell>
          <cell r="F13912" t="str">
            <v>HKHPG250877</v>
          </cell>
        </row>
        <row r="13913">
          <cell r="E13913" t="str">
            <v>PUR-16-0049-01</v>
          </cell>
          <cell r="F13913" t="str">
            <v>HKHPG250877</v>
          </cell>
        </row>
        <row r="13914">
          <cell r="E13914" t="str">
            <v>HLOB-16-0049-01</v>
          </cell>
          <cell r="F13914" t="str">
            <v>HKHPG250877</v>
          </cell>
        </row>
        <row r="13915">
          <cell r="E13915" t="str">
            <v>PUR-16-0035-00</v>
          </cell>
          <cell r="F13915" t="str">
            <v>HKHPG250877</v>
          </cell>
        </row>
        <row r="13916">
          <cell r="E13916" t="str">
            <v>LUC-EZZ-690131-00</v>
          </cell>
          <cell r="F13916">
            <v>4110327426</v>
          </cell>
        </row>
        <row r="13917">
          <cell r="E13917" t="str">
            <v>LUC-EZZ-690942-00</v>
          </cell>
          <cell r="F13917">
            <v>4110327529</v>
          </cell>
        </row>
        <row r="13918">
          <cell r="E13918" t="str">
            <v>LUC-E00-690217-01</v>
          </cell>
          <cell r="F13918">
            <v>4110327530</v>
          </cell>
        </row>
        <row r="13919">
          <cell r="E13919" t="str">
            <v>LUC-EZZ-690241-00</v>
          </cell>
          <cell r="F13919">
            <v>4110327531</v>
          </cell>
        </row>
        <row r="13920">
          <cell r="E13920" t="str">
            <v>LUC-P11-K33900-02</v>
          </cell>
          <cell r="F13920" t="str">
            <v>LNBHPH254391</v>
          </cell>
        </row>
        <row r="13921">
          <cell r="E13921" t="str">
            <v>LUC-P11-K33A00-02</v>
          </cell>
          <cell r="F13921" t="str">
            <v>LNBHPH254391</v>
          </cell>
        </row>
        <row r="13922">
          <cell r="E13922" t="str">
            <v>LUC-P11-K33B00-02</v>
          </cell>
          <cell r="F13922" t="str">
            <v>LNBHPH254391</v>
          </cell>
        </row>
        <row r="13923">
          <cell r="E13923" t="str">
            <v>LUC-P11-K33R00-01</v>
          </cell>
          <cell r="F13923" t="str">
            <v>LNBHPH254391</v>
          </cell>
        </row>
        <row r="13924">
          <cell r="E13924" t="str">
            <v>HLOB-12-0420-00</v>
          </cell>
          <cell r="F13924">
            <v>883587096732</v>
          </cell>
        </row>
        <row r="13925">
          <cell r="E13925" t="str">
            <v>HLOB-12-0432-00</v>
          </cell>
          <cell r="F13925">
            <v>883587096732</v>
          </cell>
        </row>
        <row r="13926">
          <cell r="E13926" t="str">
            <v>HLOB-12-0412-00</v>
          </cell>
          <cell r="F13926">
            <v>883587096732</v>
          </cell>
        </row>
        <row r="13927">
          <cell r="E13927" t="str">
            <v>HLOB-12-0412-00</v>
          </cell>
          <cell r="F13927">
            <v>883587096732</v>
          </cell>
        </row>
        <row r="13928">
          <cell r="E13928" t="str">
            <v>HLOB-12-0475-00</v>
          </cell>
          <cell r="F13928">
            <v>883587096732</v>
          </cell>
        </row>
        <row r="13929">
          <cell r="E13929" t="str">
            <v>HLOB-12-0460-00</v>
          </cell>
          <cell r="F13929">
            <v>883587096732</v>
          </cell>
        </row>
        <row r="13930">
          <cell r="E13930" t="str">
            <v>HLOB-12-0460-00</v>
          </cell>
          <cell r="F13930">
            <v>883587096732</v>
          </cell>
        </row>
        <row r="13931">
          <cell r="E13931" t="str">
            <v>HLOB-12-0056-00</v>
          </cell>
          <cell r="F13931">
            <v>883587096732</v>
          </cell>
        </row>
        <row r="13932">
          <cell r="E13932" t="str">
            <v>HLOB-12-0088-00</v>
          </cell>
          <cell r="F13932">
            <v>883587096732</v>
          </cell>
        </row>
        <row r="13933">
          <cell r="E13933" t="str">
            <v>HLOB-12-0284-00</v>
          </cell>
          <cell r="F13933">
            <v>883587096732</v>
          </cell>
        </row>
        <row r="13934">
          <cell r="E13934" t="str">
            <v>HLOB-12-0284-00</v>
          </cell>
          <cell r="F13934">
            <v>883587096732</v>
          </cell>
        </row>
        <row r="13935">
          <cell r="E13935" t="str">
            <v>LUC-E00-690215-00</v>
          </cell>
          <cell r="F13935">
            <v>742783536440</v>
          </cell>
        </row>
        <row r="13936">
          <cell r="E13936" t="str">
            <v>EF-45116564.X.X</v>
          </cell>
          <cell r="F13936">
            <v>437723131700</v>
          </cell>
        </row>
        <row r="13937">
          <cell r="E13937" t="str">
            <v>PURET-13-0022-00</v>
          </cell>
          <cell r="F13937">
            <v>4812836742</v>
          </cell>
        </row>
        <row r="13938">
          <cell r="E13938" t="str">
            <v>PUR-13-0134-00</v>
          </cell>
          <cell r="F13938">
            <v>4812836742</v>
          </cell>
        </row>
        <row r="13939">
          <cell r="E13939" t="str">
            <v>HLOB-13-0009-00</v>
          </cell>
          <cell r="F13939">
            <v>4812836742</v>
          </cell>
        </row>
        <row r="13940">
          <cell r="E13940" t="str">
            <v>HLOB-13-0009-00</v>
          </cell>
          <cell r="F13940">
            <v>4812836742</v>
          </cell>
        </row>
        <row r="13941">
          <cell r="E13941" t="str">
            <v>HLOB-13-0009-00</v>
          </cell>
          <cell r="F13941">
            <v>4812836742</v>
          </cell>
        </row>
        <row r="13942">
          <cell r="E13942" t="str">
            <v>HLOB-13-0009-00</v>
          </cell>
          <cell r="F13942">
            <v>4812836742</v>
          </cell>
        </row>
        <row r="13943">
          <cell r="E13943" t="str">
            <v>PURET-13-0009-00</v>
          </cell>
          <cell r="F13943">
            <v>4812836742</v>
          </cell>
        </row>
        <row r="13944">
          <cell r="E13944" t="str">
            <v>LUC-E00-420275-00</v>
          </cell>
          <cell r="F13944">
            <v>4812836742</v>
          </cell>
        </row>
        <row r="13945">
          <cell r="E13945" t="str">
            <v>AIC-122-004338</v>
          </cell>
          <cell r="F13945">
            <v>4812836742</v>
          </cell>
        </row>
        <row r="13946">
          <cell r="E13946" t="str">
            <v>AIC-MP-00003427-000</v>
          </cell>
          <cell r="F13946">
            <v>4812836742</v>
          </cell>
        </row>
        <row r="13947">
          <cell r="E13947" t="str">
            <v>LUC-E00-420002-00</v>
          </cell>
          <cell r="F13947">
            <v>4812836742</v>
          </cell>
        </row>
        <row r="13948">
          <cell r="E13948" t="str">
            <v>LUC-EZZ-420133-00</v>
          </cell>
          <cell r="F13948">
            <v>4812836742</v>
          </cell>
        </row>
        <row r="13949">
          <cell r="E13949" t="str">
            <v>HLOB-13-0212-00</v>
          </cell>
          <cell r="F13949">
            <v>4812836742</v>
          </cell>
        </row>
        <row r="13950">
          <cell r="E13950" t="str">
            <v>AGI-510-40082-01</v>
          </cell>
          <cell r="F13950">
            <v>4812836742</v>
          </cell>
        </row>
        <row r="13951">
          <cell r="E13951" t="str">
            <v>AGI-510-40082-01</v>
          </cell>
          <cell r="F13951">
            <v>4812836742</v>
          </cell>
        </row>
        <row r="13952">
          <cell r="E13952" t="str">
            <v>AGI-510-40082-01</v>
          </cell>
          <cell r="F13952">
            <v>4812836742</v>
          </cell>
        </row>
        <row r="13953">
          <cell r="E13953" t="str">
            <v>LUC-EZZ-470855-00</v>
          </cell>
          <cell r="F13953">
            <v>883593584500</v>
          </cell>
        </row>
        <row r="13954">
          <cell r="E13954" t="str">
            <v>LUC-E00-470073-00</v>
          </cell>
          <cell r="F13954">
            <v>883593584500</v>
          </cell>
        </row>
        <row r="13955">
          <cell r="E13955" t="str">
            <v>LUC-E00-470072-00</v>
          </cell>
          <cell r="F13955">
            <v>883593584500</v>
          </cell>
        </row>
        <row r="13956">
          <cell r="E13956" t="str">
            <v>LUC-E00-470001-00</v>
          </cell>
          <cell r="F13956">
            <v>883593584500</v>
          </cell>
        </row>
        <row r="13957">
          <cell r="E13957" t="str">
            <v>LUC-E00-470039-00</v>
          </cell>
          <cell r="F13957">
            <v>883593584500</v>
          </cell>
        </row>
        <row r="13958">
          <cell r="E13958" t="str">
            <v>LUC-E00-470086-00</v>
          </cell>
          <cell r="F13958">
            <v>883593584500</v>
          </cell>
        </row>
        <row r="13959">
          <cell r="E13959" t="str">
            <v>LUC-E00-470001-00</v>
          </cell>
          <cell r="F13959">
            <v>883593584500</v>
          </cell>
        </row>
        <row r="13960">
          <cell r="E13960" t="str">
            <v>LUC-EZZ-510030-00</v>
          </cell>
          <cell r="F13960">
            <v>883593584500</v>
          </cell>
        </row>
        <row r="13961">
          <cell r="E13961" t="str">
            <v>LUC-E00-510034-00</v>
          </cell>
          <cell r="F13961">
            <v>883593584500</v>
          </cell>
        </row>
        <row r="13962">
          <cell r="E13962" t="str">
            <v>LUC-EZZ-400011-00</v>
          </cell>
          <cell r="F13962">
            <v>883593584500</v>
          </cell>
        </row>
        <row r="13963">
          <cell r="E13963" t="str">
            <v>LUC-E00-420028-00</v>
          </cell>
          <cell r="F13963">
            <v>883593584500</v>
          </cell>
        </row>
        <row r="13964">
          <cell r="E13964" t="str">
            <v>LUC-E00-400040-01</v>
          </cell>
          <cell r="F13964">
            <v>883593584500</v>
          </cell>
        </row>
        <row r="13965">
          <cell r="E13965" t="str">
            <v>LUC-P11-J5R000-05</v>
          </cell>
          <cell r="F13965" t="str">
            <v>HKHPG2508153</v>
          </cell>
        </row>
        <row r="13966">
          <cell r="E13966" t="str">
            <v>LUC-P11-J5R000-05</v>
          </cell>
          <cell r="F13966" t="str">
            <v>HKHPG2508153</v>
          </cell>
        </row>
        <row r="13967">
          <cell r="E13967" t="str">
            <v>LUC-P11-J36100-03</v>
          </cell>
          <cell r="F13967" t="str">
            <v>HKHPG2508153</v>
          </cell>
        </row>
        <row r="13968">
          <cell r="E13968" t="str">
            <v>LUC-P11-K33800-04</v>
          </cell>
          <cell r="F13968" t="str">
            <v>HKHPG2508153</v>
          </cell>
        </row>
        <row r="13969">
          <cell r="E13969" t="str">
            <v>LUC-P11-K34000-03</v>
          </cell>
          <cell r="F13969" t="str">
            <v>HKHPG2508153</v>
          </cell>
        </row>
        <row r="13970">
          <cell r="E13970" t="str">
            <v>LUC-P11-K33800-04</v>
          </cell>
          <cell r="F13970" t="str">
            <v>HKHPG2508153</v>
          </cell>
        </row>
        <row r="13971">
          <cell r="E13971" t="str">
            <v>LUC-P11-K34000-03</v>
          </cell>
          <cell r="F13971" t="str">
            <v>HKHPG2508153</v>
          </cell>
        </row>
        <row r="13972">
          <cell r="E13972" t="str">
            <v>LUC-P11-JA3100-00</v>
          </cell>
          <cell r="F13972">
            <v>472187575441</v>
          </cell>
        </row>
        <row r="13973">
          <cell r="E13973" t="str">
            <v>LUC-E00-470161-01</v>
          </cell>
          <cell r="F13973">
            <v>392144883488</v>
          </cell>
        </row>
        <row r="13974">
          <cell r="E13974" t="str">
            <v>LUC-EZZ-470211-00</v>
          </cell>
          <cell r="F13974">
            <v>392145109317</v>
          </cell>
        </row>
        <row r="13975">
          <cell r="E13975" t="str">
            <v>HLOB-09-0343-00</v>
          </cell>
          <cell r="F13975">
            <v>471782618446</v>
          </cell>
        </row>
        <row r="13976">
          <cell r="E13976" t="str">
            <v>LUC-E00-470013-00</v>
          </cell>
          <cell r="F13976">
            <v>470049421604</v>
          </cell>
        </row>
        <row r="13977">
          <cell r="E13977" t="str">
            <v>LUC-EZZ-510031-00</v>
          </cell>
          <cell r="F13977">
            <v>470049421604</v>
          </cell>
        </row>
        <row r="13978">
          <cell r="E13978" t="str">
            <v>HLOB-09-0343-00</v>
          </cell>
          <cell r="F13978">
            <v>471782620814</v>
          </cell>
        </row>
        <row r="13979">
          <cell r="E13979" t="str">
            <v>HLOB-12-0482-00</v>
          </cell>
          <cell r="F13979">
            <v>883591200274</v>
          </cell>
        </row>
        <row r="13980">
          <cell r="E13980" t="str">
            <v>LUC-E00-450046-00</v>
          </cell>
          <cell r="F13980">
            <v>883591200274</v>
          </cell>
        </row>
        <row r="13981">
          <cell r="E13981" t="str">
            <v>HLOB-13-0235-00</v>
          </cell>
          <cell r="F13981">
            <v>883591200274</v>
          </cell>
        </row>
        <row r="13982">
          <cell r="E13982" t="str">
            <v>PUR-13-0235-00</v>
          </cell>
          <cell r="F13982">
            <v>883591200274</v>
          </cell>
        </row>
        <row r="13983">
          <cell r="E13983" t="str">
            <v>AIC-MP-00006732-000</v>
          </cell>
          <cell r="F13983">
            <v>883591200274</v>
          </cell>
        </row>
        <row r="13984">
          <cell r="E13984" t="str">
            <v>AIC-MP-00000276-000</v>
          </cell>
          <cell r="F13984">
            <v>883591200274</v>
          </cell>
        </row>
        <row r="13985">
          <cell r="E13985" t="str">
            <v>PUR-13-0235-00</v>
          </cell>
          <cell r="F13985">
            <v>883591200274</v>
          </cell>
        </row>
        <row r="13986">
          <cell r="E13986" t="str">
            <v>PUR-24-0031-00</v>
          </cell>
          <cell r="F13986">
            <v>883591200274</v>
          </cell>
        </row>
        <row r="13987">
          <cell r="E13987" t="str">
            <v>AGI-510-40077-01</v>
          </cell>
          <cell r="F13987">
            <v>883591200274</v>
          </cell>
        </row>
        <row r="13988">
          <cell r="E13988" t="str">
            <v>AGI-510-40077-01</v>
          </cell>
          <cell r="F13988">
            <v>883591200274</v>
          </cell>
        </row>
        <row r="13989">
          <cell r="E13989" t="str">
            <v>AGI-510-40077-01</v>
          </cell>
          <cell r="F13989">
            <v>883591200274</v>
          </cell>
        </row>
        <row r="13990">
          <cell r="E13990" t="str">
            <v>AIC-122-004386</v>
          </cell>
          <cell r="F13990">
            <v>883591200274</v>
          </cell>
        </row>
        <row r="13991">
          <cell r="E13991" t="str">
            <v>PUR-13-0235-00</v>
          </cell>
          <cell r="F13991">
            <v>883591200274</v>
          </cell>
        </row>
        <row r="13992">
          <cell r="E13992" t="str">
            <v>LUC-E00-450070-00</v>
          </cell>
          <cell r="F13992">
            <v>472996226474</v>
          </cell>
        </row>
        <row r="13993">
          <cell r="E13993" t="str">
            <v>LUC-EZZ-450234-00</v>
          </cell>
          <cell r="F13993">
            <v>472996226474</v>
          </cell>
        </row>
        <row r="13994">
          <cell r="E13994" t="str">
            <v>LUC-E00-400074-00</v>
          </cell>
          <cell r="F13994">
            <v>412069756823</v>
          </cell>
        </row>
        <row r="13995">
          <cell r="E13995" t="str">
            <v>LUC-LABEL-60X40-G</v>
          </cell>
          <cell r="F13995">
            <v>883590190593</v>
          </cell>
        </row>
        <row r="13996">
          <cell r="E13996" t="str">
            <v>LUC-EZZ-690244-00</v>
          </cell>
          <cell r="F13996">
            <v>391997785189</v>
          </cell>
        </row>
        <row r="13997">
          <cell r="E13997" t="str">
            <v>LUC-EZZ-690242-00</v>
          </cell>
          <cell r="F13997">
            <v>391907779196</v>
          </cell>
        </row>
        <row r="13998">
          <cell r="E13998" t="str">
            <v>LUC-EZZ-690242-00</v>
          </cell>
          <cell r="F13998">
            <v>391907779196</v>
          </cell>
        </row>
        <row r="13999">
          <cell r="E13999" t="str">
            <v>LUC-E00-450060-00</v>
          </cell>
          <cell r="F13999">
            <v>119209625070</v>
          </cell>
        </row>
        <row r="14000">
          <cell r="E14000" t="str">
            <v>LUC-E00-470432-00</v>
          </cell>
          <cell r="F14000">
            <v>119209625070</v>
          </cell>
        </row>
        <row r="14001">
          <cell r="E14001" t="str">
            <v>LUC-EZZ-400246-00</v>
          </cell>
          <cell r="F14001">
            <v>119209625070</v>
          </cell>
        </row>
        <row r="14002">
          <cell r="E14002" t="str">
            <v>LUC-E00-400067-035</v>
          </cell>
          <cell r="F14002">
            <v>119209625070</v>
          </cell>
        </row>
        <row r="14003">
          <cell r="E14003" t="str">
            <v>LUC-EZZ-400455-00</v>
          </cell>
          <cell r="F14003">
            <v>119209625070</v>
          </cell>
        </row>
        <row r="14004">
          <cell r="E14004" t="str">
            <v>LUC-EZZ-470181-00</v>
          </cell>
          <cell r="F14004">
            <v>445170526569</v>
          </cell>
        </row>
        <row r="14005">
          <cell r="E14005" t="str">
            <v>LUC-E00-470083-00</v>
          </cell>
          <cell r="F14005">
            <v>445170532645</v>
          </cell>
        </row>
        <row r="14006">
          <cell r="E14006" t="str">
            <v>LUC-E00-470083-00</v>
          </cell>
          <cell r="F14006">
            <v>445170527142</v>
          </cell>
        </row>
        <row r="14007">
          <cell r="E14007" t="str">
            <v>HLOB-14-0087-00</v>
          </cell>
          <cell r="F14007">
            <v>445170527896</v>
          </cell>
        </row>
        <row r="14008">
          <cell r="E14008" t="str">
            <v>LUC-E00-470083-00</v>
          </cell>
          <cell r="F14008">
            <v>445170526422</v>
          </cell>
        </row>
        <row r="14009">
          <cell r="E14009" t="str">
            <v>LUC-E00-470083-00</v>
          </cell>
          <cell r="F14009">
            <v>445170532910</v>
          </cell>
        </row>
        <row r="14010">
          <cell r="E14010" t="str">
            <v>LUC-EZZ-470248-02</v>
          </cell>
          <cell r="F14010">
            <v>445170527977</v>
          </cell>
        </row>
        <row r="14011">
          <cell r="E14011" t="str">
            <v>LUC-EZZ-440021-00</v>
          </cell>
          <cell r="F14011">
            <v>472182040533</v>
          </cell>
        </row>
        <row r="14012">
          <cell r="E14012" t="str">
            <v>LUC-EZZ-440021-00</v>
          </cell>
          <cell r="F14012">
            <v>472182040533</v>
          </cell>
        </row>
        <row r="14013">
          <cell r="E14013" t="str">
            <v>LUC-E00-440003-00</v>
          </cell>
          <cell r="F14013">
            <v>458171554212</v>
          </cell>
        </row>
        <row r="14014">
          <cell r="E14014" t="str">
            <v>LUC-E00-440003-02</v>
          </cell>
          <cell r="F14014">
            <v>458171554212</v>
          </cell>
        </row>
        <row r="14015">
          <cell r="E14015" t="str">
            <v>LUC-E00-440003-02</v>
          </cell>
          <cell r="F14015">
            <v>458171554212</v>
          </cell>
        </row>
        <row r="14016">
          <cell r="E14016" t="str">
            <v>LUC-E00-440013-00</v>
          </cell>
          <cell r="F14016">
            <v>458171554212</v>
          </cell>
        </row>
        <row r="14017">
          <cell r="E14017" t="str">
            <v>LUC-E00-440014-00</v>
          </cell>
          <cell r="F14017">
            <v>458171554212</v>
          </cell>
        </row>
        <row r="14018">
          <cell r="E14018" t="str">
            <v>LUC-E00-440046-00</v>
          </cell>
          <cell r="F14018">
            <v>458171554212</v>
          </cell>
        </row>
        <row r="14019">
          <cell r="E14019" t="str">
            <v>LUC-EZZ-440028-00</v>
          </cell>
          <cell r="F14019">
            <v>458171554212</v>
          </cell>
        </row>
        <row r="14020">
          <cell r="E14020" t="str">
            <v>LUC-EZZ-440069-00</v>
          </cell>
          <cell r="F14020">
            <v>458171554212</v>
          </cell>
        </row>
        <row r="14021">
          <cell r="E14021" t="str">
            <v>LUC-EZZ-440911-00</v>
          </cell>
          <cell r="F14021">
            <v>458171554212</v>
          </cell>
        </row>
        <row r="14022">
          <cell r="E14022" t="str">
            <v>LUC-EZZ-440099-00</v>
          </cell>
          <cell r="F14022">
            <v>458171554212</v>
          </cell>
        </row>
        <row r="14023">
          <cell r="E14023" t="str">
            <v>LUC-EZZ-440100-00</v>
          </cell>
          <cell r="F14023">
            <v>458171554212</v>
          </cell>
        </row>
        <row r="14024">
          <cell r="E14024" t="str">
            <v>LUC-E00-440148-00</v>
          </cell>
          <cell r="F14024">
            <v>464002357046</v>
          </cell>
        </row>
        <row r="14025">
          <cell r="E14025" t="str">
            <v>141-001484-02</v>
          </cell>
          <cell r="F14025">
            <v>883590951495</v>
          </cell>
        </row>
        <row r="14026">
          <cell r="E14026" t="str">
            <v>141-002729</v>
          </cell>
          <cell r="F14026">
            <v>883590951495</v>
          </cell>
        </row>
        <row r="14027">
          <cell r="E14027" t="str">
            <v>141-002729</v>
          </cell>
          <cell r="F14027">
            <v>883590951495</v>
          </cell>
        </row>
        <row r="14028">
          <cell r="E14028" t="str">
            <v>141-001265-01.X.X</v>
          </cell>
          <cell r="F14028">
            <v>883590951495</v>
          </cell>
        </row>
        <row r="14029">
          <cell r="E14029" t="str">
            <v>141-001265-01.X.X</v>
          </cell>
          <cell r="F14029">
            <v>883590951495</v>
          </cell>
        </row>
        <row r="14030">
          <cell r="E14030" t="str">
            <v>LUC-EZZ-400010-00</v>
          </cell>
          <cell r="F14030">
            <v>476862577088</v>
          </cell>
        </row>
        <row r="14031">
          <cell r="E14031" t="str">
            <v>LUC-EZZ-400246-00</v>
          </cell>
          <cell r="F14031">
            <v>476862589552</v>
          </cell>
        </row>
        <row r="14032">
          <cell r="E14032" t="str">
            <v>LUC-EZZ-400554-00</v>
          </cell>
          <cell r="F14032">
            <v>476862589552</v>
          </cell>
        </row>
        <row r="14033">
          <cell r="E14033" t="str">
            <v>LUC-E00-400010-039</v>
          </cell>
          <cell r="F14033">
            <v>476862589552</v>
          </cell>
        </row>
        <row r="14034">
          <cell r="E14034" t="str">
            <v>LUC-E00-400010-047</v>
          </cell>
          <cell r="F14034">
            <v>476862589552</v>
          </cell>
        </row>
        <row r="14035">
          <cell r="E14035" t="str">
            <v>AIC-MP-CN007103-S01</v>
          </cell>
          <cell r="F14035">
            <v>883586485122</v>
          </cell>
        </row>
        <row r="14036">
          <cell r="E14036" t="str">
            <v>HLOB-12-0337-00</v>
          </cell>
          <cell r="F14036">
            <v>883561289747</v>
          </cell>
        </row>
        <row r="14037">
          <cell r="E14037" t="str">
            <v>PURET-13-0068-00</v>
          </cell>
          <cell r="F14037">
            <v>883561289747</v>
          </cell>
        </row>
        <row r="14038">
          <cell r="E14038" t="str">
            <v>PUR-13-0159-00</v>
          </cell>
          <cell r="F14038">
            <v>883561289747</v>
          </cell>
        </row>
        <row r="14039">
          <cell r="E14039" t="str">
            <v>HLOB-13-0245-00</v>
          </cell>
          <cell r="F14039">
            <v>883561289747</v>
          </cell>
        </row>
        <row r="14040">
          <cell r="E14040" t="str">
            <v>LUC-EZZ-510102-00</v>
          </cell>
          <cell r="F14040">
            <v>883561289747</v>
          </cell>
        </row>
        <row r="14041">
          <cell r="E14041" t="str">
            <v>AGI-530-40004-01</v>
          </cell>
          <cell r="F14041">
            <v>883561289747</v>
          </cell>
        </row>
        <row r="14042">
          <cell r="E14042" t="str">
            <v>AIC-MP-00006408-000</v>
          </cell>
          <cell r="F14042">
            <v>883561289747</v>
          </cell>
        </row>
        <row r="14043">
          <cell r="E14043" t="str">
            <v>122-000453.X.X</v>
          </cell>
          <cell r="F14043">
            <v>883561289747</v>
          </cell>
        </row>
        <row r="14044">
          <cell r="E14044" t="str">
            <v>LUC-E00-470263-00</v>
          </cell>
          <cell r="F14044">
            <v>475751030609</v>
          </cell>
        </row>
        <row r="14045">
          <cell r="E14045" t="str">
            <v>LUC-E00-690032-00</v>
          </cell>
          <cell r="F14045">
            <v>392133373729</v>
          </cell>
        </row>
        <row r="14046">
          <cell r="E14046" t="str">
            <v>AGI-530-40013-01</v>
          </cell>
          <cell r="F14046">
            <v>475938860818</v>
          </cell>
        </row>
        <row r="14047">
          <cell r="E14047" t="str">
            <v>AGI-530-40013-01</v>
          </cell>
          <cell r="F14047">
            <v>475938860818</v>
          </cell>
        </row>
        <row r="14048">
          <cell r="E14048" t="str">
            <v>LUC-P21-KA3200-00</v>
          </cell>
          <cell r="F14048">
            <v>462141404053</v>
          </cell>
        </row>
        <row r="14049">
          <cell r="E14049" t="str">
            <v>LUC-E00-400059-054</v>
          </cell>
          <cell r="F14049">
            <v>472663643000</v>
          </cell>
        </row>
        <row r="14050">
          <cell r="E14050" t="str">
            <v>LUC-E00-440140-01</v>
          </cell>
          <cell r="F14050">
            <v>392121500151</v>
          </cell>
        </row>
        <row r="14051">
          <cell r="E14051" t="str">
            <v>LUC-E00-470083-00</v>
          </cell>
          <cell r="F14051">
            <v>445170536802</v>
          </cell>
        </row>
        <row r="14052">
          <cell r="E14052" t="str">
            <v>HLOB-03-0038-00</v>
          </cell>
          <cell r="F14052">
            <v>476474775922</v>
          </cell>
        </row>
        <row r="14053">
          <cell r="E14053" t="str">
            <v>HLOB-03-0038-00</v>
          </cell>
          <cell r="F14053">
            <v>476474775922</v>
          </cell>
        </row>
        <row r="14054">
          <cell r="E14054" t="str">
            <v>HLOB-03-0038-00</v>
          </cell>
          <cell r="F14054">
            <v>476474775922</v>
          </cell>
        </row>
        <row r="14055">
          <cell r="E14055" t="str">
            <v>HLOB-03-0038-00</v>
          </cell>
          <cell r="F14055">
            <v>476474775922</v>
          </cell>
        </row>
        <row r="14056">
          <cell r="E14056" t="str">
            <v>HLOB-03-0038-00</v>
          </cell>
          <cell r="F14056">
            <v>476474624230</v>
          </cell>
        </row>
        <row r="14057">
          <cell r="E14057" t="str">
            <v>HLOB-03-0038-00</v>
          </cell>
          <cell r="F14057">
            <v>476474624230</v>
          </cell>
        </row>
        <row r="14058">
          <cell r="E14058" t="str">
            <v>LUC-E00-400022-000</v>
          </cell>
          <cell r="F14058">
            <v>409298797737</v>
          </cell>
        </row>
        <row r="14059">
          <cell r="E14059" t="str">
            <v>LUC-EZZ-420084-00</v>
          </cell>
          <cell r="F14059">
            <v>409298797737</v>
          </cell>
        </row>
        <row r="14060">
          <cell r="E14060" t="str">
            <v>LUC-EZZ-440073-00</v>
          </cell>
          <cell r="F14060">
            <v>409298797737</v>
          </cell>
        </row>
        <row r="14061">
          <cell r="E14061" t="str">
            <v>LUC-EZZ-420095-00</v>
          </cell>
          <cell r="F14061">
            <v>409298797737</v>
          </cell>
        </row>
        <row r="14062">
          <cell r="E14062" t="str">
            <v>LUC-EZZ-420188-00</v>
          </cell>
          <cell r="F14062">
            <v>409298797737</v>
          </cell>
        </row>
        <row r="14063">
          <cell r="E14063" t="str">
            <v>LUC-EZZ-420188-00</v>
          </cell>
          <cell r="F14063">
            <v>409298797737</v>
          </cell>
        </row>
        <row r="14064">
          <cell r="E14064" t="str">
            <v>LUC-EZZ-420084-00</v>
          </cell>
          <cell r="F14064">
            <v>409298797737</v>
          </cell>
        </row>
        <row r="14065">
          <cell r="E14065" t="str">
            <v>LUC-EZZ-420175-00</v>
          </cell>
          <cell r="F14065">
            <v>409298797737</v>
          </cell>
        </row>
        <row r="14066">
          <cell r="E14066" t="str">
            <v>LUC-EZZ-420179-00</v>
          </cell>
          <cell r="F14066">
            <v>409298797737</v>
          </cell>
        </row>
        <row r="14067">
          <cell r="E14067" t="str">
            <v>LUC-E00-440032-01</v>
          </cell>
          <cell r="F14067">
            <v>409298797737</v>
          </cell>
        </row>
        <row r="14068">
          <cell r="E14068" t="str">
            <v>LUC-EZZ-450236-00</v>
          </cell>
          <cell r="F14068">
            <v>409298797737</v>
          </cell>
        </row>
        <row r="14069">
          <cell r="E14069" t="str">
            <v>LUC-E00-420047-00</v>
          </cell>
          <cell r="F14069">
            <v>409298797737</v>
          </cell>
        </row>
        <row r="14070">
          <cell r="E14070" t="str">
            <v>LUC-E00-420055-00</v>
          </cell>
          <cell r="F14070">
            <v>409298797737</v>
          </cell>
        </row>
        <row r="14071">
          <cell r="E14071" t="str">
            <v>LUC-EZZ-420330-00</v>
          </cell>
          <cell r="F14071">
            <v>409298797737</v>
          </cell>
        </row>
        <row r="14072">
          <cell r="E14072" t="str">
            <v>LUC-E00-420011-05</v>
          </cell>
          <cell r="F14072">
            <v>409298797737</v>
          </cell>
        </row>
        <row r="14073">
          <cell r="E14073" t="str">
            <v>LUC-E00-440011-00</v>
          </cell>
          <cell r="F14073">
            <v>409298797737</v>
          </cell>
        </row>
        <row r="14074">
          <cell r="E14074" t="str">
            <v>LUC-E00-420011-00</v>
          </cell>
          <cell r="F14074">
            <v>409298797737</v>
          </cell>
        </row>
        <row r="14075">
          <cell r="E14075" t="str">
            <v>LUC-E00-420024-00</v>
          </cell>
          <cell r="F14075">
            <v>409298797737</v>
          </cell>
        </row>
        <row r="14076">
          <cell r="E14076" t="str">
            <v>HLOB-12-0470-00</v>
          </cell>
          <cell r="F14076">
            <v>409298797737</v>
          </cell>
        </row>
        <row r="14077">
          <cell r="E14077" t="str">
            <v>LUC-E00-420047-02</v>
          </cell>
          <cell r="F14077">
            <v>409298797737</v>
          </cell>
        </row>
        <row r="14078">
          <cell r="E14078" t="str">
            <v>LUC-EZZ-420330-00</v>
          </cell>
          <cell r="F14078">
            <v>409298797737</v>
          </cell>
        </row>
        <row r="14079">
          <cell r="E14079" t="str">
            <v>LUC-E00-440024-00</v>
          </cell>
          <cell r="F14079">
            <v>409298797737</v>
          </cell>
        </row>
        <row r="14080">
          <cell r="E14080" t="str">
            <v>LUC-EZZ-470241-00</v>
          </cell>
          <cell r="F14080">
            <v>445170532954</v>
          </cell>
        </row>
        <row r="14081">
          <cell r="E14081" t="str">
            <v>LUC-EZZ-470114-00</v>
          </cell>
          <cell r="F14081">
            <v>445170532954</v>
          </cell>
        </row>
        <row r="14082">
          <cell r="E14082" t="str">
            <v>LUC-EZZ-471621-00</v>
          </cell>
          <cell r="F14082">
            <v>445170533284</v>
          </cell>
        </row>
        <row r="14083">
          <cell r="E14083" t="str">
            <v>HLOB-09-0324-00</v>
          </cell>
          <cell r="F14083">
            <v>445170534751</v>
          </cell>
        </row>
        <row r="14084">
          <cell r="E14084" t="str">
            <v>AIC-MP-00006956-000</v>
          </cell>
          <cell r="F14084">
            <v>445170535162</v>
          </cell>
        </row>
        <row r="14085">
          <cell r="E14085" t="str">
            <v>HLOB-03-0038-00</v>
          </cell>
          <cell r="F14085">
            <v>476474777947</v>
          </cell>
        </row>
        <row r="14086">
          <cell r="E14086" t="str">
            <v>HLOB-03-0038-00</v>
          </cell>
          <cell r="F14086">
            <v>476474777947</v>
          </cell>
        </row>
        <row r="14087">
          <cell r="E14087" t="str">
            <v>LUC-P21-K33R00-01</v>
          </cell>
          <cell r="F14087">
            <v>883523448958</v>
          </cell>
        </row>
        <row r="14088">
          <cell r="E14088" t="str">
            <v>HLOB-09-0424-00</v>
          </cell>
          <cell r="F14088">
            <v>445170534762</v>
          </cell>
        </row>
        <row r="14089">
          <cell r="E14089" t="str">
            <v>AIC-MP-00004184-000</v>
          </cell>
          <cell r="F14089">
            <v>883555730320</v>
          </cell>
        </row>
        <row r="14090">
          <cell r="E14090" t="str">
            <v>AIC-MP-00000219-000</v>
          </cell>
          <cell r="F14090">
            <v>883555730320</v>
          </cell>
        </row>
        <row r="14091">
          <cell r="E14091" t="str">
            <v>AIC-MP-00000220-000</v>
          </cell>
          <cell r="F14091">
            <v>883555730320</v>
          </cell>
        </row>
        <row r="14092">
          <cell r="E14092" t="str">
            <v>AIC-MP-00004185-000</v>
          </cell>
          <cell r="F14092">
            <v>883555730320</v>
          </cell>
        </row>
        <row r="14093">
          <cell r="E14093" t="str">
            <v>AIC-MP-00001508-000</v>
          </cell>
          <cell r="F14093">
            <v>883555730320</v>
          </cell>
        </row>
        <row r="14094">
          <cell r="E14094" t="str">
            <v>AIC-MP-00005080-000</v>
          </cell>
          <cell r="F14094">
            <v>883555730320</v>
          </cell>
        </row>
        <row r="14095">
          <cell r="E14095" t="str">
            <v>AIC-MP-00000703-000</v>
          </cell>
          <cell r="F14095">
            <v>883555730320</v>
          </cell>
        </row>
        <row r="14096">
          <cell r="E14096" t="str">
            <v>AIC-120-012784</v>
          </cell>
          <cell r="F14096">
            <v>883555730320</v>
          </cell>
        </row>
        <row r="14097">
          <cell r="E14097" t="str">
            <v>102-001672</v>
          </cell>
          <cell r="F14097">
            <v>416885661639</v>
          </cell>
        </row>
        <row r="14098">
          <cell r="E14098" t="str">
            <v>HLOB-14-0087-00</v>
          </cell>
          <cell r="F14098">
            <v>445170522910</v>
          </cell>
        </row>
        <row r="14099">
          <cell r="E14099" t="str">
            <v>LUC-EZZ-400259-00</v>
          </cell>
          <cell r="F14099">
            <v>476503257264</v>
          </cell>
        </row>
        <row r="14100">
          <cell r="E14100" t="str">
            <v>LUC-P11-K41E00-01</v>
          </cell>
          <cell r="F14100">
            <v>476503257264</v>
          </cell>
        </row>
        <row r="14101">
          <cell r="E14101" t="str">
            <v>LUC-EZZ-401556-00</v>
          </cell>
          <cell r="F14101">
            <v>476503257264</v>
          </cell>
        </row>
        <row r="14102">
          <cell r="E14102" t="str">
            <v>LUC-E00-510029-00</v>
          </cell>
          <cell r="F14102">
            <v>476503257264</v>
          </cell>
        </row>
        <row r="14103">
          <cell r="E14103" t="str">
            <v>121-000854.X.X</v>
          </cell>
          <cell r="F14103">
            <v>476503257264</v>
          </cell>
        </row>
        <row r="14104">
          <cell r="E14104" t="str">
            <v>HLOB-13-0236-00</v>
          </cell>
          <cell r="F14104">
            <v>4914939500</v>
          </cell>
        </row>
        <row r="14105">
          <cell r="E14105" t="str">
            <v>LUC-P11-K2B300-03</v>
          </cell>
          <cell r="F14105" t="str">
            <v>PSHPH2580051</v>
          </cell>
        </row>
        <row r="14106">
          <cell r="E14106" t="str">
            <v>LUC-P11-K2B300-03</v>
          </cell>
          <cell r="F14106" t="str">
            <v>PSHPH2580051</v>
          </cell>
        </row>
        <row r="14107">
          <cell r="E14107" t="str">
            <v>LUC-P11-K2B400-02</v>
          </cell>
          <cell r="F14107" t="str">
            <v>PSHPH2580051</v>
          </cell>
        </row>
        <row r="14108">
          <cell r="E14108" t="str">
            <v>PUR-31-0061-02</v>
          </cell>
          <cell r="F14108" t="str">
            <v>PSHPH2580077</v>
          </cell>
        </row>
        <row r="14109">
          <cell r="E14109" t="str">
            <v>PUR-31-0061-02</v>
          </cell>
          <cell r="F14109" t="str">
            <v>PSHPH2580077</v>
          </cell>
        </row>
        <row r="14110">
          <cell r="E14110" t="str">
            <v>LUC-P11-K82200-02</v>
          </cell>
          <cell r="F14110" t="str">
            <v>DEER20250858855</v>
          </cell>
        </row>
        <row r="14111">
          <cell r="E14111" t="str">
            <v>LUC-P11-K82200-02</v>
          </cell>
          <cell r="F14111" t="str">
            <v>DEER20250858855</v>
          </cell>
        </row>
        <row r="14112">
          <cell r="E14112" t="str">
            <v>LUC-P11-K82300-00</v>
          </cell>
          <cell r="F14112" t="str">
            <v>DEER20250858855</v>
          </cell>
        </row>
        <row r="14113">
          <cell r="E14113" t="str">
            <v>LUC-P11-K82300-00</v>
          </cell>
          <cell r="F14113" t="str">
            <v>DEER20250858855</v>
          </cell>
        </row>
        <row r="14114">
          <cell r="E14114" t="str">
            <v>LUC-EZZ-690241-00</v>
          </cell>
          <cell r="F14114">
            <v>4110327560</v>
          </cell>
        </row>
        <row r="14115">
          <cell r="E14115" t="str">
            <v>HLOB-05-0032-00</v>
          </cell>
          <cell r="F14115">
            <v>3455875485</v>
          </cell>
        </row>
        <row r="14116">
          <cell r="E14116" t="str">
            <v>HLOB-09-0343-00</v>
          </cell>
          <cell r="F14116">
            <v>471782621887</v>
          </cell>
        </row>
        <row r="14117">
          <cell r="E14117" t="str">
            <v>LUC-E00-470121-01</v>
          </cell>
          <cell r="F14117">
            <v>392206953089</v>
          </cell>
        </row>
        <row r="14118">
          <cell r="E14118" t="str">
            <v>HLOB-09-0294-00</v>
          </cell>
          <cell r="F14118">
            <v>392206953089</v>
          </cell>
        </row>
        <row r="14119">
          <cell r="E14119" t="str">
            <v>LUC-E00-400010-000</v>
          </cell>
          <cell r="F14119">
            <v>445170532450</v>
          </cell>
        </row>
        <row r="14120">
          <cell r="E14120" t="str">
            <v>EF-45225755</v>
          </cell>
          <cell r="F14120">
            <v>417969476786</v>
          </cell>
        </row>
        <row r="14121">
          <cell r="E14121" t="str">
            <v>HLOB-09-0434-00</v>
          </cell>
          <cell r="F14121">
            <v>445170534740</v>
          </cell>
        </row>
        <row r="14122">
          <cell r="E14122" t="str">
            <v>EF-45110600.X.X</v>
          </cell>
          <cell r="F14122">
            <v>445170534795</v>
          </cell>
        </row>
        <row r="14123">
          <cell r="E14123" t="str">
            <v>LUC-E00-460007-00</v>
          </cell>
          <cell r="F14123">
            <v>445170535107</v>
          </cell>
        </row>
        <row r="14124">
          <cell r="E14124" t="str">
            <v>PUR-21-0024-00</v>
          </cell>
          <cell r="F14124">
            <v>445170535140</v>
          </cell>
        </row>
        <row r="14125">
          <cell r="E14125" t="str">
            <v>LUC-E00-460007-00</v>
          </cell>
          <cell r="F14125">
            <v>445170536743</v>
          </cell>
        </row>
        <row r="14126">
          <cell r="E14126" t="str">
            <v>LUC-EZZ-400201-00</v>
          </cell>
          <cell r="F14126">
            <v>445170536880</v>
          </cell>
        </row>
        <row r="14127">
          <cell r="E14127" t="str">
            <v>HLOB-09-0324-00</v>
          </cell>
          <cell r="F14127">
            <v>445170536938</v>
          </cell>
        </row>
        <row r="14128">
          <cell r="E14128" t="str">
            <v>LUC-EZZ-421002-00</v>
          </cell>
          <cell r="F14128">
            <v>445170537030</v>
          </cell>
        </row>
        <row r="14129">
          <cell r="E14129" t="str">
            <v>LUC-E00-400010-021</v>
          </cell>
          <cell r="F14129">
            <v>445170537051</v>
          </cell>
        </row>
        <row r="14130">
          <cell r="E14130" t="str">
            <v>HLOB-21-0009-00</v>
          </cell>
          <cell r="F14130">
            <v>445170537062</v>
          </cell>
        </row>
        <row r="14131">
          <cell r="E14131" t="str">
            <v>HLOB-09-0279-00</v>
          </cell>
          <cell r="F14131">
            <v>445170537121</v>
          </cell>
        </row>
        <row r="14132">
          <cell r="E14132" t="str">
            <v>PURC-11-0138-04</v>
          </cell>
          <cell r="F14132">
            <v>586385858092</v>
          </cell>
        </row>
        <row r="14133">
          <cell r="E14133" t="str">
            <v>AIC-MP-00006545-000</v>
          </cell>
          <cell r="F14133">
            <v>883638021511</v>
          </cell>
        </row>
        <row r="14134">
          <cell r="E14134" t="str">
            <v>AIC-MP-00006746-000</v>
          </cell>
          <cell r="F14134">
            <v>883638021511</v>
          </cell>
        </row>
        <row r="14135">
          <cell r="E14135" t="str">
            <v>AIC-MP-00007060-000</v>
          </cell>
          <cell r="F14135">
            <v>476503582024</v>
          </cell>
        </row>
        <row r="14136">
          <cell r="E14136" t="str">
            <v>LUC-P11-K34A00-03</v>
          </cell>
          <cell r="F14136" t="str">
            <v>SHHPH25016596</v>
          </cell>
        </row>
        <row r="14137">
          <cell r="E14137" t="str">
            <v>LUC-P11-K34900-02</v>
          </cell>
          <cell r="F14137" t="str">
            <v>SHHPH25016596</v>
          </cell>
        </row>
        <row r="14138">
          <cell r="E14138" t="str">
            <v>LUC-P11-K35500-04</v>
          </cell>
          <cell r="F14138" t="str">
            <v>SHHPH25016596</v>
          </cell>
        </row>
        <row r="14139">
          <cell r="E14139" t="str">
            <v>LUC-P11-K35400-03</v>
          </cell>
          <cell r="F14139" t="str">
            <v>SHHPH25016596</v>
          </cell>
        </row>
        <row r="14140">
          <cell r="E14140" t="str">
            <v>PUR-12-0430-00</v>
          </cell>
          <cell r="F14140">
            <v>4711876147</v>
          </cell>
        </row>
        <row r="14141">
          <cell r="E14141" t="str">
            <v>PUR-12-0430-00</v>
          </cell>
          <cell r="F14141">
            <v>4711876147</v>
          </cell>
        </row>
        <row r="14142">
          <cell r="E14142" t="str">
            <v>LUC-E00-400067-344</v>
          </cell>
          <cell r="F14142">
            <v>4711876147</v>
          </cell>
        </row>
        <row r="14143">
          <cell r="E14143" t="str">
            <v>HLOB-21-0026-00</v>
          </cell>
          <cell r="F14143">
            <v>4711876147</v>
          </cell>
        </row>
        <row r="14144">
          <cell r="E14144" t="str">
            <v>PUR-13-0158-00</v>
          </cell>
          <cell r="F14144">
            <v>4711876147</v>
          </cell>
        </row>
        <row r="14145">
          <cell r="E14145" t="str">
            <v>AGI-510-40067-01</v>
          </cell>
          <cell r="F14145">
            <v>4711876147</v>
          </cell>
        </row>
        <row r="14146">
          <cell r="E14146" t="str">
            <v>AGI-510-40067-01</v>
          </cell>
          <cell r="F14146">
            <v>4711876147</v>
          </cell>
        </row>
        <row r="14147">
          <cell r="E14147" t="str">
            <v>PUR-13-0162-00</v>
          </cell>
          <cell r="F14147">
            <v>4711876147</v>
          </cell>
        </row>
        <row r="14148">
          <cell r="E14148" t="str">
            <v>HLOB-14-0085-00</v>
          </cell>
          <cell r="F14148">
            <v>4711876147</v>
          </cell>
        </row>
        <row r="14149">
          <cell r="E14149" t="str">
            <v>HLOB-21-0026-00</v>
          </cell>
          <cell r="F14149">
            <v>4711876147</v>
          </cell>
        </row>
        <row r="14150">
          <cell r="E14150" t="str">
            <v>LUC-EZZ-520030-00</v>
          </cell>
          <cell r="F14150">
            <v>4711876147</v>
          </cell>
        </row>
        <row r="14151">
          <cell r="E14151" t="str">
            <v>LUC-E00-420055-08</v>
          </cell>
          <cell r="F14151">
            <v>4711876147</v>
          </cell>
        </row>
        <row r="14152">
          <cell r="E14152" t="str">
            <v>LUC-E00-450154-00</v>
          </cell>
          <cell r="F14152">
            <v>4711876147</v>
          </cell>
        </row>
        <row r="14153">
          <cell r="E14153" t="str">
            <v>AGI-510-40042-01</v>
          </cell>
          <cell r="F14153">
            <v>4711876147</v>
          </cell>
        </row>
        <row r="14154">
          <cell r="E14154" t="str">
            <v>PUR-13-0154-00</v>
          </cell>
          <cell r="F14154">
            <v>4711876147</v>
          </cell>
        </row>
        <row r="14155">
          <cell r="E14155" t="str">
            <v>LUC-E00-440147-00</v>
          </cell>
          <cell r="F14155">
            <v>4711876147</v>
          </cell>
        </row>
        <row r="14156">
          <cell r="E14156" t="str">
            <v>PURET-13-0001-00</v>
          </cell>
          <cell r="F14156">
            <v>4711876147</v>
          </cell>
        </row>
        <row r="14157">
          <cell r="E14157" t="str">
            <v>HLOB-13-0001-00</v>
          </cell>
          <cell r="F14157">
            <v>4711876147</v>
          </cell>
        </row>
        <row r="14158">
          <cell r="E14158" t="str">
            <v>HLOB-13-0131-00</v>
          </cell>
          <cell r="F14158">
            <v>4711876147</v>
          </cell>
        </row>
        <row r="14159">
          <cell r="E14159" t="str">
            <v>AGI-510-40081-01</v>
          </cell>
          <cell r="F14159">
            <v>4711876147</v>
          </cell>
        </row>
        <row r="14160">
          <cell r="E14160" t="str">
            <v>LUC-E00-420068-00</v>
          </cell>
          <cell r="F14160">
            <v>4711876147</v>
          </cell>
        </row>
        <row r="14161">
          <cell r="E14161" t="str">
            <v>122-003641</v>
          </cell>
          <cell r="F14161">
            <v>4711876147</v>
          </cell>
        </row>
        <row r="14162">
          <cell r="E14162" t="str">
            <v>HLOB-14-0085-00</v>
          </cell>
          <cell r="F14162">
            <v>4711876147</v>
          </cell>
        </row>
        <row r="14163">
          <cell r="E14163" t="str">
            <v>LUC-E00-420172-00</v>
          </cell>
          <cell r="F14163">
            <v>4711876147</v>
          </cell>
        </row>
        <row r="14164">
          <cell r="E14164" t="str">
            <v>LUC-E00-420068-00</v>
          </cell>
          <cell r="F14164">
            <v>4711876147</v>
          </cell>
        </row>
        <row r="14165">
          <cell r="E14165" t="str">
            <v>LUC-E00-420046-00</v>
          </cell>
          <cell r="F14165">
            <v>4711876147</v>
          </cell>
        </row>
        <row r="14166">
          <cell r="E14166" t="str">
            <v>PUR-25-0009-00</v>
          </cell>
          <cell r="F14166">
            <v>4711876147</v>
          </cell>
        </row>
        <row r="14167">
          <cell r="E14167" t="str">
            <v>LUC-E00-420046-00</v>
          </cell>
          <cell r="F14167">
            <v>4711876147</v>
          </cell>
        </row>
        <row r="14168">
          <cell r="E14168" t="str">
            <v>LUC-E00-420046-00</v>
          </cell>
          <cell r="F14168">
            <v>4711876147</v>
          </cell>
        </row>
        <row r="14169">
          <cell r="E14169" t="str">
            <v>HLOB-25-0009-00</v>
          </cell>
          <cell r="F14169">
            <v>4711876147</v>
          </cell>
        </row>
        <row r="14170">
          <cell r="E14170" t="str">
            <v>HLOB-25-0009-00</v>
          </cell>
          <cell r="F14170">
            <v>4711876147</v>
          </cell>
        </row>
        <row r="14171">
          <cell r="E14171" t="str">
            <v>HLOB-13-0001-00</v>
          </cell>
          <cell r="F14171">
            <v>4711876147</v>
          </cell>
        </row>
        <row r="14172">
          <cell r="E14172" t="str">
            <v>HLOB-21-0026-00</v>
          </cell>
          <cell r="F14172">
            <v>4711876147</v>
          </cell>
        </row>
        <row r="14173">
          <cell r="E14173" t="str">
            <v>HLOB-13-0001-00</v>
          </cell>
          <cell r="F14173">
            <v>4711876147</v>
          </cell>
        </row>
        <row r="14174">
          <cell r="E14174" t="str">
            <v>HLOB-21-0026-00</v>
          </cell>
          <cell r="F14174">
            <v>4711876147</v>
          </cell>
        </row>
        <row r="14175">
          <cell r="E14175" t="str">
            <v>HLOB-21-0026-00</v>
          </cell>
          <cell r="F14175">
            <v>4711876147</v>
          </cell>
        </row>
        <row r="14176">
          <cell r="E14176" t="str">
            <v>PUR-14-0085-00</v>
          </cell>
          <cell r="F14176">
            <v>4711876147</v>
          </cell>
        </row>
        <row r="14177">
          <cell r="E14177" t="str">
            <v>HLOB-13-0119-00</v>
          </cell>
          <cell r="F14177">
            <v>4711876147</v>
          </cell>
        </row>
        <row r="14178">
          <cell r="E14178" t="str">
            <v>LUC-EZZ-400291-00</v>
          </cell>
          <cell r="F14178">
            <v>6460149323</v>
          </cell>
        </row>
        <row r="14179">
          <cell r="E14179" t="str">
            <v>LUC-E00-470122-01</v>
          </cell>
          <cell r="F14179">
            <v>6460149323</v>
          </cell>
        </row>
        <row r="14180">
          <cell r="E14180" t="str">
            <v>LUC-E00-470122-01</v>
          </cell>
          <cell r="F14180">
            <v>6460149323</v>
          </cell>
        </row>
        <row r="14181">
          <cell r="E14181" t="str">
            <v>LUC-EZZ-490317-02</v>
          </cell>
          <cell r="F14181">
            <v>1516208</v>
          </cell>
        </row>
        <row r="14182">
          <cell r="E14182" t="str">
            <v>LUC-EZZ-490315-02</v>
          </cell>
          <cell r="F14182">
            <v>1516208</v>
          </cell>
        </row>
        <row r="14183">
          <cell r="E14183" t="str">
            <v>LUC-EZZ-490535-00</v>
          </cell>
          <cell r="F14183">
            <v>1516208</v>
          </cell>
        </row>
        <row r="14184">
          <cell r="E14184" t="str">
            <v>LUC-EZZ-490310-04</v>
          </cell>
          <cell r="F14184">
            <v>1516208</v>
          </cell>
        </row>
        <row r="14185">
          <cell r="E14185" t="str">
            <v>LUC-EZZ-490310-04</v>
          </cell>
          <cell r="F14185">
            <v>1516208</v>
          </cell>
        </row>
        <row r="14186">
          <cell r="E14186" t="str">
            <v>LUC-EZZ-490225-05</v>
          </cell>
          <cell r="F14186">
            <v>1516208</v>
          </cell>
        </row>
        <row r="14187">
          <cell r="E14187" t="str">
            <v>LUC-EZZ-490306-00</v>
          </cell>
          <cell r="F14187">
            <v>1516208</v>
          </cell>
        </row>
        <row r="14188">
          <cell r="E14188" t="str">
            <v>LUC-EZZ-490259-00</v>
          </cell>
          <cell r="F14188">
            <v>1516208</v>
          </cell>
        </row>
        <row r="14189">
          <cell r="E14189" t="str">
            <v>LUC-EZZ-490304-04</v>
          </cell>
          <cell r="F14189">
            <v>1516208</v>
          </cell>
        </row>
        <row r="14190">
          <cell r="E14190" t="str">
            <v>LUC-EZZ-490071-06</v>
          </cell>
          <cell r="F14190">
            <v>1516208</v>
          </cell>
        </row>
        <row r="14191">
          <cell r="E14191" t="str">
            <v>LUC-EZZ-490200-07</v>
          </cell>
          <cell r="F14191">
            <v>1516208</v>
          </cell>
        </row>
        <row r="14192">
          <cell r="E14192" t="str">
            <v>LUC-EZZ-490200-07</v>
          </cell>
          <cell r="F14192">
            <v>1516208</v>
          </cell>
        </row>
        <row r="14193">
          <cell r="E14193" t="str">
            <v>LUC-E00-690033-02</v>
          </cell>
          <cell r="F14193" t="str">
            <v>LSHHPH2507251</v>
          </cell>
        </row>
        <row r="14194">
          <cell r="E14194" t="str">
            <v>LUC-E00-690033-02</v>
          </cell>
          <cell r="F14194" t="str">
            <v>LSHHPH2507251</v>
          </cell>
        </row>
        <row r="14195">
          <cell r="E14195" t="str">
            <v>LUC-E00-690033-03</v>
          </cell>
          <cell r="F14195" t="str">
            <v>LSHHPH2507251</v>
          </cell>
        </row>
        <row r="14196">
          <cell r="E14196" t="str">
            <v>LUC-E00-690033-03</v>
          </cell>
          <cell r="F14196" t="str">
            <v>LSHHPH2507251</v>
          </cell>
        </row>
        <row r="14197">
          <cell r="E14197" t="str">
            <v>LUC-EZZ-490259-00</v>
          </cell>
          <cell r="F14197">
            <v>1516186</v>
          </cell>
        </row>
        <row r="14198">
          <cell r="E14198" t="str">
            <v>LUC-EZZ-490225-05</v>
          </cell>
          <cell r="F14198">
            <v>1516186</v>
          </cell>
        </row>
        <row r="14199">
          <cell r="E14199" t="str">
            <v>LUC-EZZ-490225-05</v>
          </cell>
          <cell r="F14199">
            <v>1516186</v>
          </cell>
        </row>
        <row r="14200">
          <cell r="E14200" t="str">
            <v>LUC-P21-K81001-01</v>
          </cell>
          <cell r="F14200" t="str">
            <v>LSHHPH2507117</v>
          </cell>
        </row>
        <row r="14201">
          <cell r="E14201" t="str">
            <v>LUC-P21-K81100-01</v>
          </cell>
          <cell r="F14201" t="str">
            <v>LSHHPH2507117</v>
          </cell>
        </row>
        <row r="14202">
          <cell r="E14202" t="str">
            <v>LUC-P21-K81101-01</v>
          </cell>
          <cell r="F14202" t="str">
            <v>LSHHPH2507117</v>
          </cell>
        </row>
        <row r="14203">
          <cell r="E14203" t="str">
            <v>LUC-P21-K33600-02</v>
          </cell>
          <cell r="F14203" t="str">
            <v>FLK2508191401</v>
          </cell>
        </row>
        <row r="14204">
          <cell r="E14204" t="str">
            <v>LUC-P21-K33600-02</v>
          </cell>
          <cell r="F14204" t="str">
            <v>FLK2508191401</v>
          </cell>
        </row>
        <row r="14205">
          <cell r="E14205" t="str">
            <v>LUC-P21-K33200-02</v>
          </cell>
          <cell r="F14205" t="str">
            <v>FLK2508191401</v>
          </cell>
        </row>
        <row r="14206">
          <cell r="E14206" t="str">
            <v>LUC-EZZ-490315-02</v>
          </cell>
          <cell r="F14206">
            <v>1516217</v>
          </cell>
        </row>
        <row r="14207">
          <cell r="E14207" t="str">
            <v>LUC-EZZ-490315-02</v>
          </cell>
          <cell r="F14207">
            <v>1516217</v>
          </cell>
        </row>
        <row r="14208">
          <cell r="E14208" t="str">
            <v>LUC-EZZ-490315-02</v>
          </cell>
          <cell r="F14208">
            <v>1516217</v>
          </cell>
        </row>
        <row r="14209">
          <cell r="E14209" t="str">
            <v>LUC-EZZ-490315-02</v>
          </cell>
          <cell r="F14209">
            <v>1516217</v>
          </cell>
        </row>
        <row r="14210">
          <cell r="E14210" t="str">
            <v>LUC-EZZ-490315-02</v>
          </cell>
          <cell r="F14210">
            <v>1516217</v>
          </cell>
        </row>
        <row r="14211">
          <cell r="E14211" t="str">
            <v>LUC-EZZ-490315-02</v>
          </cell>
          <cell r="F14211">
            <v>1516217</v>
          </cell>
        </row>
        <row r="14212">
          <cell r="E14212" t="str">
            <v>LUC-EZZ-490216-01</v>
          </cell>
          <cell r="F14212">
            <v>1516217</v>
          </cell>
        </row>
        <row r="14213">
          <cell r="E14213" t="str">
            <v>LUC-EZZ-490071-06</v>
          </cell>
          <cell r="F14213">
            <v>1516217</v>
          </cell>
        </row>
        <row r="14214">
          <cell r="E14214" t="str">
            <v>LUC-EZZ-490307-01</v>
          </cell>
          <cell r="F14214">
            <v>1516217</v>
          </cell>
        </row>
        <row r="14215">
          <cell r="E14215" t="str">
            <v>LUC-P00-F185AG-00</v>
          </cell>
          <cell r="F14215">
            <v>4720742605</v>
          </cell>
        </row>
        <row r="14216">
          <cell r="E14216" t="str">
            <v>LUC-P00-F853AY-00</v>
          </cell>
          <cell r="F14216">
            <v>4720742605</v>
          </cell>
        </row>
        <row r="14217">
          <cell r="E14217" t="str">
            <v>LUC-P00-F856AY-01</v>
          </cell>
          <cell r="F14217">
            <v>4720742605</v>
          </cell>
        </row>
        <row r="14218">
          <cell r="E14218" t="str">
            <v>LUC-P00-F187DG-00</v>
          </cell>
          <cell r="F14218">
            <v>4720742605</v>
          </cell>
        </row>
        <row r="14219">
          <cell r="E14219" t="str">
            <v>LUC-P21-K2B300-00</v>
          </cell>
          <cell r="F14219">
            <v>4720742605</v>
          </cell>
        </row>
        <row r="14220">
          <cell r="E14220" t="str">
            <v>LUC-P00-F143AG-00</v>
          </cell>
          <cell r="F14220">
            <v>4720742605</v>
          </cell>
        </row>
        <row r="14221">
          <cell r="E14221" t="str">
            <v>LUC-P00-F189AG-00</v>
          </cell>
          <cell r="F14221">
            <v>4720742605</v>
          </cell>
        </row>
        <row r="14222">
          <cell r="E14222" t="str">
            <v>HLOB-09-0294-00</v>
          </cell>
          <cell r="F14222">
            <v>392264111315</v>
          </cell>
        </row>
        <row r="14223">
          <cell r="E14223" t="str">
            <v>LUC-E00-470093-00</v>
          </cell>
          <cell r="F14223">
            <v>392264111315</v>
          </cell>
        </row>
        <row r="14224">
          <cell r="E14224" t="str">
            <v>LUC-E00-470093-00</v>
          </cell>
          <cell r="F14224">
            <v>392264111315</v>
          </cell>
        </row>
        <row r="14225">
          <cell r="E14225" t="str">
            <v>LUC-E00-470093-00</v>
          </cell>
          <cell r="F14225">
            <v>392264111315</v>
          </cell>
        </row>
        <row r="14226">
          <cell r="E14226" t="str">
            <v>LUC-E00-470093-00</v>
          </cell>
          <cell r="F14226">
            <v>392264111315</v>
          </cell>
        </row>
        <row r="14227">
          <cell r="E14227" t="str">
            <v>LUC-EZZ-470336-00</v>
          </cell>
          <cell r="F14227">
            <v>392264111315</v>
          </cell>
        </row>
        <row r="14228">
          <cell r="E14228" t="str">
            <v>LUC-E00-470093-00</v>
          </cell>
          <cell r="F14228">
            <v>392264111315</v>
          </cell>
        </row>
        <row r="14229">
          <cell r="E14229" t="str">
            <v>LUC-E00-470093-00</v>
          </cell>
          <cell r="F14229">
            <v>392264111315</v>
          </cell>
        </row>
        <row r="14230">
          <cell r="E14230" t="str">
            <v>EF-45166123-9</v>
          </cell>
          <cell r="F14230">
            <v>461596522045</v>
          </cell>
        </row>
        <row r="14231">
          <cell r="E14231" t="str">
            <v>PUR-12-0525-00</v>
          </cell>
          <cell r="F14231">
            <v>448135983769</v>
          </cell>
        </row>
        <row r="14232">
          <cell r="E14232" t="str">
            <v>PUR-12-0517-00</v>
          </cell>
          <cell r="F14232">
            <v>448135983769</v>
          </cell>
        </row>
        <row r="14233">
          <cell r="E14233" t="str">
            <v>PUR-14-0109-00</v>
          </cell>
          <cell r="F14233">
            <v>448135983769</v>
          </cell>
        </row>
        <row r="14234">
          <cell r="E14234" t="str">
            <v>LUC-E00-690003-00</v>
          </cell>
          <cell r="F14234">
            <v>448135983769</v>
          </cell>
        </row>
        <row r="14235">
          <cell r="E14235" t="str">
            <v>LUC-E00-480014-00</v>
          </cell>
          <cell r="F14235">
            <v>448135983769</v>
          </cell>
        </row>
        <row r="14236">
          <cell r="E14236" t="str">
            <v>LUC-E00-470085-00</v>
          </cell>
          <cell r="F14236">
            <v>448135983769</v>
          </cell>
        </row>
        <row r="14237">
          <cell r="E14237" t="str">
            <v>LUC-E00-470085-00</v>
          </cell>
          <cell r="F14237">
            <v>448135983769</v>
          </cell>
        </row>
        <row r="14238">
          <cell r="E14238" t="str">
            <v>LUC-E00-400010-010</v>
          </cell>
          <cell r="F14238">
            <v>448135983769</v>
          </cell>
        </row>
        <row r="14239">
          <cell r="E14239" t="str">
            <v>AIC-MP-DE005147-S01</v>
          </cell>
          <cell r="F14239">
            <v>448135983769</v>
          </cell>
        </row>
        <row r="14240">
          <cell r="E14240" t="str">
            <v>AIC-MP-DE005361-S01</v>
          </cell>
          <cell r="F14240">
            <v>448135983769</v>
          </cell>
        </row>
        <row r="14241">
          <cell r="E14241" t="str">
            <v>AIC-168-001169</v>
          </cell>
          <cell r="F14241">
            <v>448135983769</v>
          </cell>
        </row>
        <row r="14242">
          <cell r="E14242" t="str">
            <v>AIC-MP-IC007287-S01</v>
          </cell>
          <cell r="F14242">
            <v>448135983769</v>
          </cell>
        </row>
        <row r="14243">
          <cell r="E14243" t="str">
            <v>AIC-MP-00006744-000</v>
          </cell>
          <cell r="F14243">
            <v>448135983769</v>
          </cell>
        </row>
        <row r="14244">
          <cell r="E14244" t="str">
            <v>AIC-MP-DE007118-S01</v>
          </cell>
          <cell r="F14244">
            <v>448135983769</v>
          </cell>
        </row>
        <row r="14245">
          <cell r="E14245" t="str">
            <v>LUC-E00-690010-00</v>
          </cell>
          <cell r="F14245">
            <v>392103643310</v>
          </cell>
        </row>
        <row r="14246">
          <cell r="E14246" t="str">
            <v>LUC-E00-690010-01</v>
          </cell>
          <cell r="F14246">
            <v>392103643310</v>
          </cell>
        </row>
        <row r="14247">
          <cell r="E14247" t="str">
            <v>LUC-EZZ-470358-00</v>
          </cell>
          <cell r="F14247">
            <v>619345528336</v>
          </cell>
        </row>
        <row r="14248">
          <cell r="E14248" t="str">
            <v>LUC-EZZ-480029-00</v>
          </cell>
          <cell r="F14248">
            <v>619345528336</v>
          </cell>
        </row>
        <row r="14249">
          <cell r="E14249" t="str">
            <v>LUC-EZZ-420257-00</v>
          </cell>
          <cell r="F14249">
            <v>619345528336</v>
          </cell>
        </row>
        <row r="14250">
          <cell r="E14250" t="str">
            <v>LUC-EZZ-420194-00</v>
          </cell>
          <cell r="F14250">
            <v>619345528336</v>
          </cell>
        </row>
        <row r="14251">
          <cell r="E14251" t="str">
            <v>LUC-EZZ-420014-00</v>
          </cell>
          <cell r="F14251">
            <v>619345528336</v>
          </cell>
        </row>
        <row r="14252">
          <cell r="E14252" t="str">
            <v>LUC-EZZ-440206-00</v>
          </cell>
          <cell r="F14252">
            <v>619345528336</v>
          </cell>
        </row>
        <row r="14253">
          <cell r="E14253" t="str">
            <v>LUC-P11-K2BC00-01</v>
          </cell>
          <cell r="F14253">
            <v>619345528336</v>
          </cell>
        </row>
        <row r="14254">
          <cell r="E14254" t="str">
            <v>LUC-EZZ-470153-00</v>
          </cell>
          <cell r="F14254">
            <v>619345528336</v>
          </cell>
        </row>
        <row r="14255">
          <cell r="E14255" t="str">
            <v>LUC-EZZ-470276-00</v>
          </cell>
          <cell r="F14255">
            <v>619345528336</v>
          </cell>
        </row>
        <row r="14256">
          <cell r="E14256" t="str">
            <v>LUC-EZZ-690758-00</v>
          </cell>
          <cell r="F14256">
            <v>619345528336</v>
          </cell>
        </row>
        <row r="14257">
          <cell r="E14257" t="str">
            <v>LUC-EZZ-450006-00</v>
          </cell>
          <cell r="F14257">
            <v>619345528336</v>
          </cell>
        </row>
        <row r="14258">
          <cell r="E14258" t="str">
            <v>LUC-EZZ-450006-00</v>
          </cell>
          <cell r="F14258">
            <v>619345528336</v>
          </cell>
        </row>
        <row r="14259">
          <cell r="E14259" t="str">
            <v>LUC-P11-J67400-02</v>
          </cell>
          <cell r="F14259">
            <v>619345528336</v>
          </cell>
        </row>
        <row r="14260">
          <cell r="E14260" t="str">
            <v>LUC-P11-J67400-02</v>
          </cell>
          <cell r="F14260">
            <v>619345528336</v>
          </cell>
        </row>
        <row r="14261">
          <cell r="E14261" t="str">
            <v>LUC-P11-J67400-02</v>
          </cell>
          <cell r="F14261">
            <v>619345528336</v>
          </cell>
        </row>
        <row r="14262">
          <cell r="E14262" t="str">
            <v>120-000257.X.X</v>
          </cell>
          <cell r="F14262">
            <v>719546660152</v>
          </cell>
        </row>
        <row r="14263">
          <cell r="E14263" t="str">
            <v>LUC-EZZ-450070-00</v>
          </cell>
          <cell r="F14263">
            <v>619345528391</v>
          </cell>
        </row>
        <row r="14264">
          <cell r="E14264" t="str">
            <v>LUC-EZZ-450070-00</v>
          </cell>
          <cell r="F14264">
            <v>619345528391</v>
          </cell>
        </row>
        <row r="14265">
          <cell r="E14265" t="str">
            <v>LUC-EZZ-450070-00</v>
          </cell>
          <cell r="F14265">
            <v>619345528391</v>
          </cell>
        </row>
        <row r="14266">
          <cell r="E14266" t="str">
            <v>LUC-EZZ-450070-00</v>
          </cell>
          <cell r="F14266">
            <v>619345528391</v>
          </cell>
        </row>
        <row r="14267">
          <cell r="E14267" t="str">
            <v>LUC-EZZ-450070-00</v>
          </cell>
          <cell r="F14267">
            <v>619345528391</v>
          </cell>
        </row>
        <row r="14268">
          <cell r="E14268" t="str">
            <v>LUC-EZZ-450070-00</v>
          </cell>
          <cell r="F14268">
            <v>619345528391</v>
          </cell>
        </row>
        <row r="14269">
          <cell r="E14269" t="str">
            <v>LUC-EZZ-440189-00</v>
          </cell>
          <cell r="F14269">
            <v>619345528391</v>
          </cell>
        </row>
        <row r="14270">
          <cell r="E14270" t="str">
            <v>LUC-EZZ-401060-00</v>
          </cell>
          <cell r="F14270">
            <v>619345528391</v>
          </cell>
        </row>
        <row r="14271">
          <cell r="E14271" t="str">
            <v>LUC-EZZ-470249-00</v>
          </cell>
          <cell r="F14271">
            <v>619345528391</v>
          </cell>
        </row>
        <row r="14272">
          <cell r="E14272" t="str">
            <v>LUC-EZZ-470093-00</v>
          </cell>
          <cell r="F14272">
            <v>619345528391</v>
          </cell>
        </row>
        <row r="14273">
          <cell r="E14273" t="str">
            <v>LUC-EZZ-470093-00</v>
          </cell>
          <cell r="F14273">
            <v>619345528391</v>
          </cell>
        </row>
        <row r="14274">
          <cell r="E14274" t="str">
            <v>LUC-EZZ-470181-00</v>
          </cell>
          <cell r="F14274">
            <v>619345528391</v>
          </cell>
        </row>
        <row r="14275">
          <cell r="E14275" t="str">
            <v>LUC-EZZ-450149-00</v>
          </cell>
          <cell r="F14275">
            <v>619345528391</v>
          </cell>
        </row>
        <row r="14276">
          <cell r="E14276" t="str">
            <v>LUC-EZZ-540018-00</v>
          </cell>
          <cell r="F14276">
            <v>619345528391</v>
          </cell>
        </row>
        <row r="14277">
          <cell r="E14277" t="str">
            <v>LUC-P11-K18000-00</v>
          </cell>
          <cell r="F14277">
            <v>619345528391</v>
          </cell>
        </row>
        <row r="14278">
          <cell r="E14278" t="str">
            <v>LUC-P11-K18000-00</v>
          </cell>
          <cell r="F14278">
            <v>619345528391</v>
          </cell>
        </row>
        <row r="14279">
          <cell r="E14279" t="str">
            <v>LUC-EZZ-690244-00</v>
          </cell>
          <cell r="F14279">
            <v>619345528391</v>
          </cell>
        </row>
        <row r="14280">
          <cell r="E14280" t="str">
            <v>LUC-EZZ-470369-00</v>
          </cell>
          <cell r="F14280">
            <v>619345528391</v>
          </cell>
        </row>
        <row r="14281">
          <cell r="E14281" t="str">
            <v>LUC-EZZ-470422-00</v>
          </cell>
          <cell r="F14281">
            <v>619345528391</v>
          </cell>
        </row>
        <row r="14282">
          <cell r="E14282" t="str">
            <v>LUC-EZZ-470422-00</v>
          </cell>
          <cell r="F14282">
            <v>619345528391</v>
          </cell>
        </row>
        <row r="14283">
          <cell r="E14283" t="str">
            <v>LUC-EZZ-511304-00</v>
          </cell>
          <cell r="F14283">
            <v>619345528391</v>
          </cell>
        </row>
        <row r="14284">
          <cell r="E14284" t="str">
            <v>LUC-EZZ-511304-00</v>
          </cell>
          <cell r="F14284">
            <v>619345528391</v>
          </cell>
        </row>
        <row r="14285">
          <cell r="E14285" t="str">
            <v>LUC-EZZ-510058-00</v>
          </cell>
          <cell r="F14285">
            <v>619345528391</v>
          </cell>
        </row>
        <row r="14286">
          <cell r="E14286" t="str">
            <v>LUC-EZZ-510030-00</v>
          </cell>
          <cell r="F14286">
            <v>619345528391</v>
          </cell>
        </row>
        <row r="14287">
          <cell r="E14287" t="str">
            <v>LUC-EZZ-510080-00</v>
          </cell>
          <cell r="F14287">
            <v>619345528391</v>
          </cell>
        </row>
        <row r="14288">
          <cell r="E14288" t="str">
            <v>LUC-EZZ-450237-00</v>
          </cell>
          <cell r="F14288">
            <v>619345528391</v>
          </cell>
        </row>
        <row r="14289">
          <cell r="E14289" t="str">
            <v>LUC-EZZ-400245-00</v>
          </cell>
          <cell r="F14289">
            <v>619345528391</v>
          </cell>
        </row>
        <row r="14290">
          <cell r="E14290" t="str">
            <v>LUC-EZZ-400831-00</v>
          </cell>
          <cell r="F14290">
            <v>619345528391</v>
          </cell>
        </row>
        <row r="14291">
          <cell r="E14291" t="str">
            <v>LUC-EZZ-401720-00</v>
          </cell>
          <cell r="F14291">
            <v>619345528391</v>
          </cell>
        </row>
        <row r="14292">
          <cell r="E14292" t="str">
            <v>LUC-EZZ-400568-00</v>
          </cell>
          <cell r="F14292">
            <v>619345528391</v>
          </cell>
        </row>
        <row r="14293">
          <cell r="E14293" t="str">
            <v>LUC-P11-K41800-00</v>
          </cell>
          <cell r="F14293">
            <v>619345528391</v>
          </cell>
        </row>
        <row r="14294">
          <cell r="E14294" t="str">
            <v>LUC-EZZ-450093-00</v>
          </cell>
          <cell r="F14294">
            <v>619345528391</v>
          </cell>
        </row>
        <row r="14295">
          <cell r="E14295" t="str">
            <v>EF-45193108</v>
          </cell>
          <cell r="F14295">
            <v>883641567796</v>
          </cell>
        </row>
        <row r="14296">
          <cell r="E14296" t="str">
            <v>LUC-E00-690011-00</v>
          </cell>
          <cell r="F14296">
            <v>392275376646</v>
          </cell>
        </row>
        <row r="14297">
          <cell r="E14297" t="str">
            <v>LUC-E00-690011-00</v>
          </cell>
          <cell r="F14297">
            <v>392275376646</v>
          </cell>
        </row>
        <row r="14298">
          <cell r="E14298" t="str">
            <v>PUR-11-0104-05</v>
          </cell>
          <cell r="F14298">
            <v>883633530426</v>
          </cell>
        </row>
        <row r="14299">
          <cell r="E14299" t="str">
            <v>130-000513</v>
          </cell>
          <cell r="F14299">
            <v>476994388776</v>
          </cell>
        </row>
        <row r="14300">
          <cell r="E14300" t="str">
            <v>130-000513</v>
          </cell>
          <cell r="F14300">
            <v>476994388776</v>
          </cell>
        </row>
        <row r="14301">
          <cell r="E14301" t="str">
            <v>130-000513</v>
          </cell>
          <cell r="F14301">
            <v>476994388776</v>
          </cell>
        </row>
        <row r="14302">
          <cell r="E14302" t="str">
            <v>130-000513</v>
          </cell>
          <cell r="F14302">
            <v>476994388776</v>
          </cell>
        </row>
        <row r="14303">
          <cell r="E14303" t="str">
            <v>LUC-EZZ-400554-00</v>
          </cell>
          <cell r="F14303">
            <v>8445497325</v>
          </cell>
        </row>
        <row r="14304">
          <cell r="E14304" t="str">
            <v>LUC-EZZ-400213-00</v>
          </cell>
          <cell r="F14304">
            <v>8445497325</v>
          </cell>
        </row>
        <row r="14305">
          <cell r="E14305" t="str">
            <v>LUC-E00-400067-294</v>
          </cell>
          <cell r="F14305">
            <v>8445497325</v>
          </cell>
        </row>
        <row r="14306">
          <cell r="E14306" t="str">
            <v>LUC-E00-400001-013</v>
          </cell>
          <cell r="F14306">
            <v>8445497325</v>
          </cell>
        </row>
        <row r="14307">
          <cell r="E14307" t="str">
            <v>174-000139</v>
          </cell>
          <cell r="F14307">
            <v>8445497325</v>
          </cell>
        </row>
        <row r="14308">
          <cell r="E14308" t="str">
            <v>LUC-EZZ-400231-00</v>
          </cell>
          <cell r="F14308">
            <v>8445497325</v>
          </cell>
        </row>
        <row r="14309">
          <cell r="E14309" t="str">
            <v>LUC-E00-400028-06</v>
          </cell>
          <cell r="F14309">
            <v>8445497325</v>
          </cell>
        </row>
        <row r="14310">
          <cell r="E14310" t="str">
            <v>LUC-E00-400010-000</v>
          </cell>
          <cell r="F14310">
            <v>8445497325</v>
          </cell>
        </row>
        <row r="14311">
          <cell r="E14311" t="str">
            <v>LUC-EZZ-400205-00</v>
          </cell>
          <cell r="F14311">
            <v>8445497325</v>
          </cell>
        </row>
        <row r="14312">
          <cell r="E14312" t="str">
            <v>LUC-E00-400067-458</v>
          </cell>
          <cell r="F14312">
            <v>8445497325</v>
          </cell>
        </row>
        <row r="14313">
          <cell r="E14313" t="str">
            <v>LUC-E00-400010-009</v>
          </cell>
          <cell r="F14313">
            <v>8445497325</v>
          </cell>
        </row>
        <row r="14314">
          <cell r="E14314" t="str">
            <v>LUC-EZZ-400334-00</v>
          </cell>
          <cell r="F14314">
            <v>8445497325</v>
          </cell>
        </row>
        <row r="14315">
          <cell r="E14315" t="str">
            <v>LUC-EZZ-400426-00</v>
          </cell>
          <cell r="F14315">
            <v>8445497325</v>
          </cell>
        </row>
        <row r="14316">
          <cell r="E14316" t="str">
            <v>HLOB-27-0028-00</v>
          </cell>
          <cell r="F14316">
            <v>8445497325</v>
          </cell>
        </row>
        <row r="14317">
          <cell r="E14317" t="str">
            <v>HLOB-27-0028-00</v>
          </cell>
          <cell r="F14317">
            <v>8445497325</v>
          </cell>
        </row>
        <row r="14318">
          <cell r="E14318" t="str">
            <v>LUC-EZZ-420536-00</v>
          </cell>
          <cell r="F14318">
            <v>8445497325</v>
          </cell>
        </row>
        <row r="14319">
          <cell r="E14319" t="str">
            <v>LUC-EZZ-420536-00</v>
          </cell>
          <cell r="F14319">
            <v>8445497325</v>
          </cell>
        </row>
        <row r="14320">
          <cell r="E14320" t="str">
            <v>LUC-EZZ-490050-03</v>
          </cell>
          <cell r="F14320">
            <v>1516230</v>
          </cell>
        </row>
        <row r="14321">
          <cell r="E14321" t="str">
            <v>AIC-BPM-UPG0002-B01</v>
          </cell>
          <cell r="F14321">
            <v>1516230</v>
          </cell>
        </row>
        <row r="14322">
          <cell r="E14322" t="str">
            <v>LUC-EZZ-490071-06</v>
          </cell>
          <cell r="F14322">
            <v>1516230</v>
          </cell>
        </row>
        <row r="14323">
          <cell r="E14323" t="str">
            <v>PUR-03-0038-00</v>
          </cell>
          <cell r="F14323">
            <v>4888130155</v>
          </cell>
        </row>
        <row r="14324">
          <cell r="E14324" t="str">
            <v>LUC-E00-470071-01</v>
          </cell>
          <cell r="F14324">
            <v>2006086084</v>
          </cell>
        </row>
        <row r="14325">
          <cell r="E14325" t="str">
            <v>LUC-EZZ-470208-00</v>
          </cell>
          <cell r="F14325">
            <v>2006086084</v>
          </cell>
        </row>
        <row r="14326">
          <cell r="E14326" t="str">
            <v>LUC-E00-470045-00</v>
          </cell>
          <cell r="F14326">
            <v>2006086084</v>
          </cell>
        </row>
        <row r="14327">
          <cell r="E14327" t="str">
            <v>PUR-09-0471-00</v>
          </cell>
          <cell r="F14327">
            <v>2006086084</v>
          </cell>
        </row>
        <row r="14328">
          <cell r="E14328" t="str">
            <v>HLOB-12-0293-00</v>
          </cell>
          <cell r="F14328">
            <v>883741155176</v>
          </cell>
        </row>
        <row r="14329">
          <cell r="E14329" t="str">
            <v>PUR-12-0512-00</v>
          </cell>
          <cell r="F14329">
            <v>883741155176</v>
          </cell>
        </row>
        <row r="14330">
          <cell r="E14330" t="str">
            <v>PUR-12-0293-00</v>
          </cell>
          <cell r="F14330">
            <v>883741155176</v>
          </cell>
        </row>
        <row r="14331">
          <cell r="E14331" t="str">
            <v>HLOB-12-0474-00</v>
          </cell>
          <cell r="F14331">
            <v>883741155176</v>
          </cell>
        </row>
        <row r="14332">
          <cell r="E14332" t="str">
            <v>HLOB-12-0431-00</v>
          </cell>
          <cell r="F14332">
            <v>883741155176</v>
          </cell>
        </row>
        <row r="14333">
          <cell r="E14333" t="str">
            <v>HLOB-12-0483-00</v>
          </cell>
          <cell r="F14333">
            <v>883741155176</v>
          </cell>
        </row>
        <row r="14334">
          <cell r="E14334" t="str">
            <v>HLOB-12-0257-00</v>
          </cell>
          <cell r="F14334">
            <v>883741155176</v>
          </cell>
        </row>
        <row r="14335">
          <cell r="E14335" t="str">
            <v>HLOB-12-0294-00</v>
          </cell>
          <cell r="F14335">
            <v>883741155176</v>
          </cell>
        </row>
        <row r="14336">
          <cell r="E14336" t="str">
            <v>PUR-12-0293-00</v>
          </cell>
          <cell r="F14336">
            <v>883741155176</v>
          </cell>
        </row>
        <row r="14337">
          <cell r="E14337" t="str">
            <v>EF-45037930.X.X</v>
          </cell>
          <cell r="F14337">
            <v>883741155176</v>
          </cell>
        </row>
        <row r="14338">
          <cell r="E14338" t="str">
            <v>EF-45050173</v>
          </cell>
          <cell r="F14338">
            <v>883741155176</v>
          </cell>
        </row>
        <row r="14339">
          <cell r="E14339" t="str">
            <v>HLOB-12-0065-00</v>
          </cell>
          <cell r="F14339">
            <v>883741155176</v>
          </cell>
        </row>
        <row r="14340">
          <cell r="E14340" t="str">
            <v>PUR-12-0310-00</v>
          </cell>
          <cell r="F14340">
            <v>883741155176</v>
          </cell>
        </row>
        <row r="14341">
          <cell r="E14341" t="str">
            <v>EF-45036461.X.X</v>
          </cell>
          <cell r="F14341">
            <v>883741155176</v>
          </cell>
        </row>
        <row r="14342">
          <cell r="E14342" t="str">
            <v>EF-45224584</v>
          </cell>
          <cell r="F14342">
            <v>461596522295</v>
          </cell>
        </row>
        <row r="14343">
          <cell r="E14343" t="str">
            <v>LUC-E00-510043-00</v>
          </cell>
          <cell r="F14343">
            <v>392232492550</v>
          </cell>
        </row>
        <row r="14344">
          <cell r="E14344" t="str">
            <v>LUC-E00-420055-06</v>
          </cell>
          <cell r="F14344">
            <v>476862664378</v>
          </cell>
        </row>
        <row r="14345">
          <cell r="E14345" t="str">
            <v>LUC-EZZ-440204-00</v>
          </cell>
          <cell r="F14345">
            <v>476862664378</v>
          </cell>
        </row>
        <row r="14346">
          <cell r="E14346" t="str">
            <v>LUC-EZZ-400542-00</v>
          </cell>
          <cell r="F14346">
            <v>476862664378</v>
          </cell>
        </row>
        <row r="14347">
          <cell r="E14347" t="str">
            <v>LUC-EZZ-400542-00</v>
          </cell>
          <cell r="F14347">
            <v>476862664378</v>
          </cell>
        </row>
        <row r="14348">
          <cell r="E14348" t="str">
            <v>LUC-EZZ-400542-00</v>
          </cell>
          <cell r="F14348">
            <v>476862664378</v>
          </cell>
        </row>
        <row r="14349">
          <cell r="E14349" t="str">
            <v>HLOB-27-0017-00</v>
          </cell>
          <cell r="F14349">
            <v>476862664378</v>
          </cell>
        </row>
        <row r="14350">
          <cell r="E14350" t="str">
            <v>LUC-EZZ-400542-00</v>
          </cell>
          <cell r="F14350">
            <v>476862664378</v>
          </cell>
        </row>
        <row r="14351">
          <cell r="E14351" t="str">
            <v>HLOB-14-0086-00</v>
          </cell>
          <cell r="F14351">
            <v>476862650875</v>
          </cell>
        </row>
        <row r="14352">
          <cell r="E14352" t="str">
            <v>LUC-E00-470383-00</v>
          </cell>
          <cell r="F14352">
            <v>883707654373</v>
          </cell>
        </row>
        <row r="14353">
          <cell r="E14353" t="str">
            <v>AIC-MP-00004186-000</v>
          </cell>
          <cell r="F14353">
            <v>883707288197</v>
          </cell>
        </row>
        <row r="14354">
          <cell r="E14354" t="str">
            <v>LUC-E00-690200-01</v>
          </cell>
          <cell r="F14354">
            <v>462141418016</v>
          </cell>
        </row>
        <row r="14355">
          <cell r="E14355" t="str">
            <v>HLOB-03-0038-00</v>
          </cell>
          <cell r="F14355">
            <v>476474822623</v>
          </cell>
        </row>
        <row r="14356">
          <cell r="E14356" t="str">
            <v>LUC-E00-420034-01</v>
          </cell>
          <cell r="F14356">
            <v>409298798023</v>
          </cell>
        </row>
        <row r="14357">
          <cell r="E14357" t="str">
            <v>LUC-EZZ-420099-00</v>
          </cell>
          <cell r="F14357">
            <v>409298798023</v>
          </cell>
        </row>
        <row r="14358">
          <cell r="E14358" t="str">
            <v>LUC-E00-420235-00</v>
          </cell>
          <cell r="F14358">
            <v>409298798023</v>
          </cell>
        </row>
        <row r="14359">
          <cell r="E14359" t="str">
            <v>LUC-EZZ-420493-00</v>
          </cell>
          <cell r="F14359">
            <v>409298798023</v>
          </cell>
        </row>
        <row r="14360">
          <cell r="E14360" t="str">
            <v>LUC-EZZ-420493-00</v>
          </cell>
          <cell r="F14360">
            <v>409298798023</v>
          </cell>
        </row>
        <row r="14361">
          <cell r="E14361" t="str">
            <v>LUC-EZZ-420493-00</v>
          </cell>
          <cell r="F14361">
            <v>409298798023</v>
          </cell>
        </row>
        <row r="14362">
          <cell r="E14362" t="str">
            <v>LUC-EZZ-420493-00</v>
          </cell>
          <cell r="F14362">
            <v>409298798023</v>
          </cell>
        </row>
        <row r="14363">
          <cell r="E14363" t="str">
            <v>LUC-EZZ-420493-00</v>
          </cell>
          <cell r="F14363">
            <v>409298798023</v>
          </cell>
        </row>
        <row r="14364">
          <cell r="E14364" t="str">
            <v>LUC-EZZ-420493-00</v>
          </cell>
          <cell r="F14364">
            <v>409298798023</v>
          </cell>
        </row>
        <row r="14365">
          <cell r="E14365" t="str">
            <v>LUC-EZZ-420091-00</v>
          </cell>
          <cell r="F14365">
            <v>409298798023</v>
          </cell>
        </row>
        <row r="14366">
          <cell r="E14366" t="str">
            <v>LUC-EZZ-420179-00</v>
          </cell>
          <cell r="F14366">
            <v>409298798023</v>
          </cell>
        </row>
        <row r="14367">
          <cell r="E14367" t="str">
            <v>LUC-EZZ-420179-00</v>
          </cell>
          <cell r="F14367">
            <v>409298798023</v>
          </cell>
        </row>
        <row r="14368">
          <cell r="E14368" t="str">
            <v>LUC-EZZ-420188-00</v>
          </cell>
          <cell r="F14368">
            <v>409298798023</v>
          </cell>
        </row>
        <row r="14369">
          <cell r="E14369" t="str">
            <v>LUC-E00-420235-00</v>
          </cell>
          <cell r="F14369">
            <v>409298798023</v>
          </cell>
        </row>
        <row r="14370">
          <cell r="E14370" t="str">
            <v>LUC-E00-420033-00</v>
          </cell>
          <cell r="F14370">
            <v>409298798023</v>
          </cell>
        </row>
        <row r="14371">
          <cell r="E14371" t="str">
            <v>LUC-E00-420033-00</v>
          </cell>
          <cell r="F14371">
            <v>409298798023</v>
          </cell>
        </row>
        <row r="14372">
          <cell r="E14372" t="str">
            <v>LUC-EZZ-420099-00</v>
          </cell>
          <cell r="F14372">
            <v>409298798023</v>
          </cell>
        </row>
        <row r="14373">
          <cell r="E14373" t="str">
            <v>LUC-EZZ-420099-00</v>
          </cell>
          <cell r="F14373">
            <v>409298798023</v>
          </cell>
        </row>
        <row r="14374">
          <cell r="E14374" t="str">
            <v>LUC-EZZ-420099-00</v>
          </cell>
          <cell r="F14374">
            <v>409298798023</v>
          </cell>
        </row>
        <row r="14375">
          <cell r="E14375" t="str">
            <v>LUC-E00-420002-09</v>
          </cell>
          <cell r="F14375">
            <v>409298798023</v>
          </cell>
        </row>
        <row r="14376">
          <cell r="E14376" t="str">
            <v>LUC-E00-420002-09</v>
          </cell>
          <cell r="F14376">
            <v>409298798023</v>
          </cell>
        </row>
        <row r="14377">
          <cell r="E14377" t="str">
            <v>LUC-E00-420059-00</v>
          </cell>
          <cell r="F14377">
            <v>409298798023</v>
          </cell>
        </row>
        <row r="14378">
          <cell r="E14378" t="str">
            <v>LUC-E00-420059-00</v>
          </cell>
          <cell r="F14378">
            <v>409298798023</v>
          </cell>
        </row>
        <row r="14379">
          <cell r="E14379" t="str">
            <v>LUC-E00-420011-02</v>
          </cell>
          <cell r="F14379">
            <v>409298798023</v>
          </cell>
        </row>
        <row r="14380">
          <cell r="E14380" t="str">
            <v>LUC-E00-420011-02</v>
          </cell>
          <cell r="F14380">
            <v>409298798023</v>
          </cell>
        </row>
        <row r="14381">
          <cell r="E14381" t="str">
            <v>LUC-E00-420024-00</v>
          </cell>
          <cell r="F14381">
            <v>409298798023</v>
          </cell>
        </row>
        <row r="14382">
          <cell r="E14382" t="str">
            <v>LUC-EZZ-441177-00</v>
          </cell>
          <cell r="F14382">
            <v>409298798023</v>
          </cell>
        </row>
        <row r="14383">
          <cell r="E14383" t="str">
            <v>LUC-E00-440031-00</v>
          </cell>
          <cell r="F14383">
            <v>409298798023</v>
          </cell>
        </row>
        <row r="14384">
          <cell r="E14384" t="str">
            <v>LUC-EZZ-420091-00</v>
          </cell>
          <cell r="F14384">
            <v>409298798023</v>
          </cell>
        </row>
        <row r="14385">
          <cell r="E14385" t="str">
            <v>LUC-E00-420002-07</v>
          </cell>
          <cell r="F14385">
            <v>409298798023</v>
          </cell>
        </row>
        <row r="14386">
          <cell r="E14386" t="str">
            <v>LUC-E00-420002-07</v>
          </cell>
          <cell r="F14386">
            <v>409298798023</v>
          </cell>
        </row>
        <row r="14387">
          <cell r="E14387" t="str">
            <v>LUC-E00-420070-00</v>
          </cell>
          <cell r="F14387">
            <v>409298798023</v>
          </cell>
        </row>
        <row r="14388">
          <cell r="E14388" t="str">
            <v>LUC-E00-420070-00</v>
          </cell>
          <cell r="F14388">
            <v>409298798023</v>
          </cell>
        </row>
        <row r="14389">
          <cell r="E14389" t="str">
            <v>LUC-E00-420011-12</v>
          </cell>
          <cell r="F14389">
            <v>409298798023</v>
          </cell>
        </row>
        <row r="14390">
          <cell r="E14390" t="str">
            <v>LUC-E00-420011-12</v>
          </cell>
          <cell r="F14390">
            <v>409298798023</v>
          </cell>
        </row>
        <row r="14391">
          <cell r="E14391" t="str">
            <v>LUC-EZZ-400260-00</v>
          </cell>
          <cell r="F14391">
            <v>409298798023</v>
          </cell>
        </row>
        <row r="14392">
          <cell r="E14392" t="str">
            <v>LUC-EZZ-400260-00</v>
          </cell>
          <cell r="F14392">
            <v>409298798023</v>
          </cell>
        </row>
        <row r="14393">
          <cell r="E14393" t="str">
            <v>LUC-EZZ-421653-00</v>
          </cell>
          <cell r="F14393">
            <v>471783723466</v>
          </cell>
        </row>
        <row r="14394">
          <cell r="E14394" t="str">
            <v>121-000256.X.X</v>
          </cell>
          <cell r="F14394">
            <v>471783723466</v>
          </cell>
        </row>
        <row r="14395">
          <cell r="E14395" t="str">
            <v>121-001610</v>
          </cell>
          <cell r="F14395">
            <v>471783723466</v>
          </cell>
        </row>
        <row r="14396">
          <cell r="E14396" t="str">
            <v>EF-45045387.X.X</v>
          </cell>
          <cell r="F14396">
            <v>471783723466</v>
          </cell>
        </row>
        <row r="14397">
          <cell r="E14397" t="str">
            <v>PUR-13-0249-00</v>
          </cell>
          <cell r="F14397">
            <v>471783723466</v>
          </cell>
        </row>
        <row r="14398">
          <cell r="E14398" t="str">
            <v>HLOB-13-0226-00</v>
          </cell>
          <cell r="F14398">
            <v>471783723466</v>
          </cell>
        </row>
        <row r="14399">
          <cell r="E14399" t="str">
            <v>HLOB-13-0226-00</v>
          </cell>
          <cell r="F14399">
            <v>471783723466</v>
          </cell>
        </row>
        <row r="14400">
          <cell r="E14400" t="str">
            <v>122-000673.X.X</v>
          </cell>
          <cell r="F14400">
            <v>471783723466</v>
          </cell>
        </row>
        <row r="14401">
          <cell r="E14401" t="str">
            <v>122-000673.X.X</v>
          </cell>
          <cell r="F14401">
            <v>471783723466</v>
          </cell>
        </row>
        <row r="14402">
          <cell r="E14402" t="str">
            <v>AGI-510-40085-01</v>
          </cell>
          <cell r="F14402">
            <v>471783723466</v>
          </cell>
        </row>
        <row r="14403">
          <cell r="E14403" t="str">
            <v>EF-45043352.X.X</v>
          </cell>
          <cell r="F14403">
            <v>471783723466</v>
          </cell>
        </row>
        <row r="14404">
          <cell r="E14404" t="str">
            <v>HLOB-13-0006-00</v>
          </cell>
          <cell r="F14404">
            <v>471783723466</v>
          </cell>
        </row>
        <row r="14405">
          <cell r="E14405" t="str">
            <v>HLOB-13-0006-00</v>
          </cell>
          <cell r="F14405">
            <v>471783723466</v>
          </cell>
        </row>
        <row r="14406">
          <cell r="E14406" t="str">
            <v>EF-45061095</v>
          </cell>
          <cell r="F14406">
            <v>471783723466</v>
          </cell>
        </row>
        <row r="14407">
          <cell r="E14407" t="str">
            <v>EF-45108860</v>
          </cell>
          <cell r="F14407">
            <v>471783723466</v>
          </cell>
        </row>
        <row r="14408">
          <cell r="E14408" t="str">
            <v>LUC-EZZ-400042-00</v>
          </cell>
          <cell r="F14408">
            <v>471783723466</v>
          </cell>
        </row>
        <row r="14409">
          <cell r="E14409" t="str">
            <v>LUC-E00-400035-04</v>
          </cell>
          <cell r="F14409">
            <v>471783723466</v>
          </cell>
        </row>
        <row r="14410">
          <cell r="E14410" t="str">
            <v>LUC-EZZ-400035-00</v>
          </cell>
          <cell r="F14410">
            <v>471783723466</v>
          </cell>
        </row>
        <row r="14411">
          <cell r="E14411" t="str">
            <v>LUC-EZZ-400035-00</v>
          </cell>
          <cell r="F14411">
            <v>471783723466</v>
          </cell>
        </row>
        <row r="14412">
          <cell r="E14412" t="str">
            <v>LUC-EZZ-400035-00</v>
          </cell>
          <cell r="F14412">
            <v>471783723466</v>
          </cell>
        </row>
        <row r="14413">
          <cell r="E14413" t="str">
            <v>LUC-EZZ-400035-00</v>
          </cell>
          <cell r="F14413">
            <v>471783723466</v>
          </cell>
        </row>
        <row r="14414">
          <cell r="E14414" t="str">
            <v>HLOB-12-0212-00</v>
          </cell>
          <cell r="F14414">
            <v>471783723466</v>
          </cell>
        </row>
        <row r="14415">
          <cell r="E14415" t="str">
            <v>HLOB-12-0212-00</v>
          </cell>
          <cell r="F14415">
            <v>471783723466</v>
          </cell>
        </row>
        <row r="14416">
          <cell r="E14416" t="str">
            <v>PURET-12-0212-00</v>
          </cell>
          <cell r="F14416">
            <v>471783723466</v>
          </cell>
        </row>
        <row r="14417">
          <cell r="E14417" t="str">
            <v>EF-45060797.X.X</v>
          </cell>
          <cell r="F14417">
            <v>471783723466</v>
          </cell>
        </row>
        <row r="14418">
          <cell r="E14418" t="str">
            <v>HLOB-12-0304-00</v>
          </cell>
          <cell r="F14418">
            <v>471783723466</v>
          </cell>
        </row>
        <row r="14419">
          <cell r="E14419" t="str">
            <v>HLOB-12-0304-00</v>
          </cell>
          <cell r="F14419">
            <v>471783723466</v>
          </cell>
        </row>
        <row r="14420">
          <cell r="E14420" t="str">
            <v>AGI-500-40136-01</v>
          </cell>
          <cell r="F14420">
            <v>471783723466</v>
          </cell>
        </row>
        <row r="14421">
          <cell r="E14421" t="str">
            <v>EF-45043496.X.X</v>
          </cell>
          <cell r="F14421">
            <v>471783723466</v>
          </cell>
        </row>
        <row r="14422">
          <cell r="E14422" t="str">
            <v>EF-45043491.X.X</v>
          </cell>
          <cell r="F14422">
            <v>471783723466</v>
          </cell>
        </row>
        <row r="14423">
          <cell r="E14423" t="str">
            <v>EF-45043827.X.X</v>
          </cell>
          <cell r="F14423">
            <v>471783723466</v>
          </cell>
        </row>
        <row r="14424">
          <cell r="E14424" t="str">
            <v>EF-45045621</v>
          </cell>
          <cell r="F14424">
            <v>471783723466</v>
          </cell>
        </row>
        <row r="14425">
          <cell r="E14425" t="str">
            <v>EF-45043446.X.X</v>
          </cell>
          <cell r="F14425">
            <v>471783723466</v>
          </cell>
        </row>
        <row r="14426">
          <cell r="E14426" t="str">
            <v>AGI-500-40228-01</v>
          </cell>
          <cell r="F14426">
            <v>471783723466</v>
          </cell>
        </row>
        <row r="14427">
          <cell r="E14427" t="str">
            <v>AGI-500-40228-01</v>
          </cell>
          <cell r="F14427">
            <v>471783723466</v>
          </cell>
        </row>
        <row r="14428">
          <cell r="E14428" t="str">
            <v>HLOB-12-0423-00</v>
          </cell>
          <cell r="F14428">
            <v>471783723466</v>
          </cell>
        </row>
        <row r="14429">
          <cell r="E14429" t="str">
            <v>121-000520.X.X</v>
          </cell>
          <cell r="F14429">
            <v>471783723466</v>
          </cell>
        </row>
        <row r="14430">
          <cell r="E14430" t="str">
            <v>HLOB-12-0297-00</v>
          </cell>
          <cell r="F14430">
            <v>471783723466</v>
          </cell>
        </row>
        <row r="14431">
          <cell r="E14431" t="str">
            <v>HLOB-12-0297-00</v>
          </cell>
          <cell r="F14431">
            <v>471783723466</v>
          </cell>
        </row>
        <row r="14432">
          <cell r="E14432" t="str">
            <v>AGI-500-40015-01</v>
          </cell>
          <cell r="F14432">
            <v>471783723466</v>
          </cell>
        </row>
        <row r="14433">
          <cell r="E14433" t="str">
            <v>LUC-E00-420274-00</v>
          </cell>
          <cell r="F14433">
            <v>471783723466</v>
          </cell>
        </row>
        <row r="14434">
          <cell r="E14434" t="str">
            <v>LUC-EZZ-420501-00</v>
          </cell>
          <cell r="F14434">
            <v>471783723466</v>
          </cell>
        </row>
        <row r="14435">
          <cell r="E14435" t="str">
            <v>LUC-EZZ-420501-00</v>
          </cell>
          <cell r="F14435">
            <v>471783723466</v>
          </cell>
        </row>
        <row r="14436">
          <cell r="E14436" t="str">
            <v>LUC-EZZ-420501-00</v>
          </cell>
          <cell r="F14436">
            <v>471783723466</v>
          </cell>
        </row>
        <row r="14437">
          <cell r="E14437" t="str">
            <v>LUC-EZZ-420257-00</v>
          </cell>
          <cell r="F14437">
            <v>471783723466</v>
          </cell>
        </row>
        <row r="14438">
          <cell r="E14438" t="str">
            <v>LUC-EZZ-420257-00</v>
          </cell>
          <cell r="F14438">
            <v>471783723466</v>
          </cell>
        </row>
        <row r="14439">
          <cell r="E14439" t="str">
            <v>LUC-EZZ-420257-00</v>
          </cell>
          <cell r="F14439">
            <v>471783723466</v>
          </cell>
        </row>
        <row r="14440">
          <cell r="E14440" t="str">
            <v>LUC-EZZ-420257-00</v>
          </cell>
          <cell r="F14440">
            <v>471783723466</v>
          </cell>
        </row>
        <row r="14441">
          <cell r="E14441" t="str">
            <v>LUC-EZZ-420257-00</v>
          </cell>
          <cell r="F14441">
            <v>471783723466</v>
          </cell>
        </row>
        <row r="14442">
          <cell r="E14442" t="str">
            <v>LUC-EZZ-421132-00</v>
          </cell>
          <cell r="F14442">
            <v>471783723466</v>
          </cell>
        </row>
        <row r="14443">
          <cell r="E14443" t="str">
            <v>LUC-EZZ-420148-00</v>
          </cell>
          <cell r="F14443">
            <v>471783723466</v>
          </cell>
        </row>
        <row r="14444">
          <cell r="E14444" t="str">
            <v>LUC-E00-420027-02</v>
          </cell>
          <cell r="F14444">
            <v>471783723466</v>
          </cell>
        </row>
        <row r="14445">
          <cell r="E14445" t="str">
            <v>LUC-EZZ-420148-00</v>
          </cell>
          <cell r="F14445">
            <v>471783723466</v>
          </cell>
        </row>
        <row r="14446">
          <cell r="E14446" t="str">
            <v>LUC-EZZ-420148-00</v>
          </cell>
          <cell r="F14446">
            <v>471783723466</v>
          </cell>
        </row>
        <row r="14447">
          <cell r="E14447" t="str">
            <v>LUC-EZZ-420148-00</v>
          </cell>
          <cell r="F14447">
            <v>471783723466</v>
          </cell>
        </row>
        <row r="14448">
          <cell r="E14448" t="str">
            <v>LUC-EZZ-420148-00</v>
          </cell>
          <cell r="F14448">
            <v>471783723466</v>
          </cell>
        </row>
        <row r="14449">
          <cell r="E14449" t="str">
            <v>LUC-EZZ-421132-00</v>
          </cell>
          <cell r="F14449">
            <v>471783723466</v>
          </cell>
        </row>
        <row r="14450">
          <cell r="E14450" t="str">
            <v>LUC-EZZ-420257-00</v>
          </cell>
          <cell r="F14450">
            <v>471783723466</v>
          </cell>
        </row>
        <row r="14451">
          <cell r="E14451" t="str">
            <v>LUC-EZZ-420257-00</v>
          </cell>
          <cell r="F14451">
            <v>471783723466</v>
          </cell>
        </row>
        <row r="14452">
          <cell r="E14452" t="str">
            <v>LUC-EZZ-420148-00</v>
          </cell>
          <cell r="F14452">
            <v>471783723466</v>
          </cell>
        </row>
        <row r="14453">
          <cell r="E14453" t="str">
            <v>EF-45103947.X.X</v>
          </cell>
          <cell r="F14453">
            <v>471783723466</v>
          </cell>
        </row>
        <row r="14454">
          <cell r="E14454" t="str">
            <v>LUC-EZZ-420029-00</v>
          </cell>
          <cell r="F14454">
            <v>471783723466</v>
          </cell>
        </row>
        <row r="14455">
          <cell r="E14455" t="str">
            <v>LUC-EZZ-420029-00</v>
          </cell>
          <cell r="F14455">
            <v>471783723466</v>
          </cell>
        </row>
        <row r="14456">
          <cell r="E14456" t="str">
            <v>LUC-E00-420037-01</v>
          </cell>
          <cell r="F14456">
            <v>471783723466</v>
          </cell>
        </row>
        <row r="14457">
          <cell r="E14457" t="str">
            <v>LUC-E00-420025-03</v>
          </cell>
          <cell r="F14457">
            <v>471783723466</v>
          </cell>
        </row>
        <row r="14458">
          <cell r="E14458" t="str">
            <v>LUC-E00-420025-03</v>
          </cell>
          <cell r="F14458">
            <v>471783723466</v>
          </cell>
        </row>
        <row r="14459">
          <cell r="E14459" t="str">
            <v>LUC-E00-420025-03</v>
          </cell>
          <cell r="F14459">
            <v>471783723466</v>
          </cell>
        </row>
        <row r="14460">
          <cell r="E14460" t="str">
            <v>LUC-E00-420025-03</v>
          </cell>
          <cell r="F14460">
            <v>471783723466</v>
          </cell>
        </row>
        <row r="14461">
          <cell r="E14461" t="str">
            <v>LUC-EZZ-420822-00</v>
          </cell>
          <cell r="F14461">
            <v>471783723466</v>
          </cell>
        </row>
        <row r="14462">
          <cell r="E14462" t="str">
            <v>LUC-EZZ-420822-00</v>
          </cell>
          <cell r="F14462">
            <v>471783723466</v>
          </cell>
        </row>
        <row r="14463">
          <cell r="E14463" t="str">
            <v>LUC-EZZ-420822-00</v>
          </cell>
          <cell r="F14463">
            <v>471783723466</v>
          </cell>
        </row>
        <row r="14464">
          <cell r="E14464" t="str">
            <v>AIC-133-001104</v>
          </cell>
          <cell r="F14464">
            <v>883708705320</v>
          </cell>
        </row>
        <row r="14465">
          <cell r="E14465" t="str">
            <v>AIC-120-012787</v>
          </cell>
          <cell r="F14465">
            <v>883708705320</v>
          </cell>
        </row>
        <row r="14466">
          <cell r="E14466" t="str">
            <v>AIC-MP-IC006983-S01</v>
          </cell>
          <cell r="F14466">
            <v>883708705320</v>
          </cell>
        </row>
        <row r="14467">
          <cell r="E14467" t="str">
            <v>AIC-MP-IC005827-S02</v>
          </cell>
          <cell r="F14467">
            <v>883708705320</v>
          </cell>
        </row>
        <row r="14468">
          <cell r="E14468" t="str">
            <v>AIC-MP-00003273-000</v>
          </cell>
          <cell r="F14468">
            <v>883766379323</v>
          </cell>
        </row>
        <row r="14469">
          <cell r="E14469" t="str">
            <v>AIC-134-001640</v>
          </cell>
          <cell r="F14469">
            <v>883766379323</v>
          </cell>
        </row>
        <row r="14470">
          <cell r="E14470" t="str">
            <v>LUC-E00-510061-01</v>
          </cell>
          <cell r="F14470">
            <v>4551958401</v>
          </cell>
        </row>
        <row r="14471">
          <cell r="E14471" t="str">
            <v>LUC-EZZ-400265-00</v>
          </cell>
          <cell r="F14471">
            <v>4551958401</v>
          </cell>
        </row>
        <row r="14472">
          <cell r="E14472" t="str">
            <v>LUC-E00-420037-09</v>
          </cell>
          <cell r="F14472">
            <v>4551958401</v>
          </cell>
        </row>
        <row r="14473">
          <cell r="E14473" t="str">
            <v>LUC-E00-420019-00</v>
          </cell>
          <cell r="F14473">
            <v>4551958401</v>
          </cell>
        </row>
        <row r="14474">
          <cell r="E14474" t="str">
            <v>LUC-EZZ-400342-00</v>
          </cell>
          <cell r="F14474">
            <v>4551958401</v>
          </cell>
        </row>
        <row r="14475">
          <cell r="E14475" t="str">
            <v>LUC-E00-400067-111</v>
          </cell>
          <cell r="F14475">
            <v>4551958401</v>
          </cell>
        </row>
        <row r="14476">
          <cell r="E14476" t="str">
            <v>LUC-EZZ-400427-00</v>
          </cell>
          <cell r="F14476">
            <v>4551958401</v>
          </cell>
        </row>
        <row r="14477">
          <cell r="E14477" t="str">
            <v>LUC-E00-400067-111</v>
          </cell>
          <cell r="F14477">
            <v>4551958401</v>
          </cell>
        </row>
        <row r="14478">
          <cell r="E14478" t="str">
            <v>LUC-EZZ-400269-00</v>
          </cell>
          <cell r="F14478">
            <v>4551958401</v>
          </cell>
        </row>
        <row r="14479">
          <cell r="E14479" t="str">
            <v>LUC-EZZ-400269-00</v>
          </cell>
          <cell r="F14479">
            <v>4551958401</v>
          </cell>
        </row>
        <row r="14480">
          <cell r="E14480" t="str">
            <v>LUC-E00-400010-009</v>
          </cell>
          <cell r="F14480">
            <v>4551958401</v>
          </cell>
        </row>
        <row r="14481">
          <cell r="E14481" t="str">
            <v>LUC-E00-400010-009</v>
          </cell>
          <cell r="F14481">
            <v>4551958401</v>
          </cell>
        </row>
        <row r="14482">
          <cell r="E14482" t="str">
            <v>LUC-E00-400010-009</v>
          </cell>
          <cell r="F14482">
            <v>4551958401</v>
          </cell>
        </row>
        <row r="14483">
          <cell r="E14483" t="str">
            <v>LUC-E00-400010-007</v>
          </cell>
          <cell r="F14483">
            <v>4551958401</v>
          </cell>
        </row>
        <row r="14484">
          <cell r="E14484" t="str">
            <v>LUC-EZZ-400588-00</v>
          </cell>
          <cell r="F14484">
            <v>4551958401</v>
          </cell>
        </row>
        <row r="14485">
          <cell r="E14485" t="str">
            <v>LUC-E00-460023-00</v>
          </cell>
          <cell r="F14485">
            <v>4551958401</v>
          </cell>
        </row>
        <row r="14486">
          <cell r="E14486" t="str">
            <v>LUC-E00-460023-00</v>
          </cell>
          <cell r="F14486">
            <v>4551958401</v>
          </cell>
        </row>
        <row r="14487">
          <cell r="E14487" t="str">
            <v>LUC-EZZ-450113-00</v>
          </cell>
          <cell r="F14487">
            <v>4551958401</v>
          </cell>
        </row>
        <row r="14488">
          <cell r="E14488" t="str">
            <v>LUC-E00-450056-00</v>
          </cell>
          <cell r="F14488">
            <v>4551958401</v>
          </cell>
        </row>
        <row r="14489">
          <cell r="E14489" t="str">
            <v>LUC-E00-450056-00</v>
          </cell>
          <cell r="F14489">
            <v>4551958401</v>
          </cell>
        </row>
        <row r="14490">
          <cell r="E14490" t="str">
            <v>LUC-E00-450056-00</v>
          </cell>
          <cell r="F14490">
            <v>4551958401</v>
          </cell>
        </row>
        <row r="14491">
          <cell r="E14491" t="str">
            <v>LUC-E00-400067-368</v>
          </cell>
          <cell r="F14491">
            <v>4551958401</v>
          </cell>
        </row>
        <row r="14492">
          <cell r="E14492" t="str">
            <v>LUC-E00-440029-00</v>
          </cell>
          <cell r="F14492">
            <v>4551958401</v>
          </cell>
        </row>
        <row r="14493">
          <cell r="E14493" t="str">
            <v>LUC-EZZ-450246-00</v>
          </cell>
          <cell r="F14493">
            <v>4551958401</v>
          </cell>
        </row>
        <row r="14494">
          <cell r="E14494" t="str">
            <v>LUC-EZZ-450246-00</v>
          </cell>
          <cell r="F14494">
            <v>4551958401</v>
          </cell>
        </row>
        <row r="14495">
          <cell r="E14495" t="str">
            <v>LUC-E00-420050-00</v>
          </cell>
          <cell r="F14495">
            <v>4551958401</v>
          </cell>
        </row>
        <row r="14496">
          <cell r="E14496" t="str">
            <v>LUC-E00-420054-00</v>
          </cell>
          <cell r="F14496">
            <v>4551958401</v>
          </cell>
        </row>
        <row r="14497">
          <cell r="E14497" t="str">
            <v>LUC-EZZ-470136-00</v>
          </cell>
          <cell r="F14497">
            <v>4551958401</v>
          </cell>
        </row>
        <row r="14498">
          <cell r="E14498" t="str">
            <v>LUC-E00-470020-01</v>
          </cell>
          <cell r="F14498">
            <v>4551958401</v>
          </cell>
        </row>
        <row r="14499">
          <cell r="E14499" t="str">
            <v>LUC-E00-420027-04</v>
          </cell>
          <cell r="F14499">
            <v>4551958401</v>
          </cell>
        </row>
        <row r="14500">
          <cell r="E14500" t="str">
            <v>LUC-E00-420015-00</v>
          </cell>
          <cell r="F14500">
            <v>4551958401</v>
          </cell>
        </row>
        <row r="14501">
          <cell r="E14501" t="str">
            <v>LUC-E00-400010-037</v>
          </cell>
          <cell r="F14501">
            <v>4551958401</v>
          </cell>
        </row>
        <row r="14502">
          <cell r="E14502" t="str">
            <v>LUC-E00-400010-020</v>
          </cell>
          <cell r="F14502">
            <v>4551958401</v>
          </cell>
        </row>
        <row r="14503">
          <cell r="E14503" t="str">
            <v>LUC-E00-400010-020</v>
          </cell>
          <cell r="F14503">
            <v>4551958401</v>
          </cell>
        </row>
        <row r="14504">
          <cell r="E14504" t="str">
            <v>LUC-EZZ-420345-00</v>
          </cell>
          <cell r="F14504">
            <v>4551958401</v>
          </cell>
        </row>
        <row r="14505">
          <cell r="E14505" t="str">
            <v>LUC-EZZ-400245-00</v>
          </cell>
          <cell r="F14505">
            <v>4551958401</v>
          </cell>
        </row>
        <row r="14506">
          <cell r="E14506" t="str">
            <v>LUC-EZZ-400245-00</v>
          </cell>
          <cell r="F14506">
            <v>4551958401</v>
          </cell>
        </row>
        <row r="14507">
          <cell r="E14507" t="str">
            <v>LUC-E00-400010-020</v>
          </cell>
          <cell r="F14507">
            <v>4551958401</v>
          </cell>
        </row>
        <row r="14508">
          <cell r="E14508" t="str">
            <v>LUC-E00-470131-00</v>
          </cell>
          <cell r="F14508">
            <v>4551958401</v>
          </cell>
        </row>
        <row r="14509">
          <cell r="E14509" t="str">
            <v>LUC-E00-400010-037</v>
          </cell>
          <cell r="F14509">
            <v>4551958401</v>
          </cell>
        </row>
        <row r="14510">
          <cell r="E14510" t="str">
            <v>LUC-E00-400010-037</v>
          </cell>
          <cell r="F14510">
            <v>4551958401</v>
          </cell>
        </row>
        <row r="14511">
          <cell r="E14511" t="str">
            <v>LUC-E00-400010-037</v>
          </cell>
          <cell r="F14511">
            <v>4551958401</v>
          </cell>
        </row>
        <row r="14512">
          <cell r="E14512" t="str">
            <v>LUC-E00-460015-01</v>
          </cell>
          <cell r="F14512">
            <v>4551958401</v>
          </cell>
        </row>
        <row r="14513">
          <cell r="E14513" t="str">
            <v>LUC-EZZ-420507-00</v>
          </cell>
          <cell r="F14513">
            <v>4551958401</v>
          </cell>
        </row>
        <row r="14514">
          <cell r="E14514" t="str">
            <v>LUC-EZZ-471023-00</v>
          </cell>
          <cell r="F14514">
            <v>4551958401</v>
          </cell>
        </row>
        <row r="14515">
          <cell r="E14515" t="str">
            <v>LUC-E00-470175-00</v>
          </cell>
          <cell r="F14515">
            <v>4551958401</v>
          </cell>
        </row>
        <row r="14516">
          <cell r="E14516" t="str">
            <v>LUC-EZZ-420089-00</v>
          </cell>
          <cell r="F14516">
            <v>4551958401</v>
          </cell>
        </row>
        <row r="14517">
          <cell r="E14517" t="str">
            <v>LUC-EZZ-421706-00</v>
          </cell>
          <cell r="F14517">
            <v>4551958401</v>
          </cell>
        </row>
        <row r="14518">
          <cell r="E14518" t="str">
            <v>LUC-EZZ-420089-00</v>
          </cell>
          <cell r="F14518">
            <v>4551958401</v>
          </cell>
        </row>
        <row r="14519">
          <cell r="E14519" t="str">
            <v>LUC-E00-400010-035</v>
          </cell>
          <cell r="F14519">
            <v>4551958401</v>
          </cell>
        </row>
        <row r="14520">
          <cell r="E14520" t="str">
            <v>LUC-EZZ-450835-00</v>
          </cell>
          <cell r="F14520">
            <v>4551958401</v>
          </cell>
        </row>
        <row r="14521">
          <cell r="E14521" t="str">
            <v>LUC-E00-470061-00</v>
          </cell>
          <cell r="F14521">
            <v>4551958401</v>
          </cell>
        </row>
        <row r="14522">
          <cell r="E14522" t="str">
            <v>LUC-E00-400001-010</v>
          </cell>
          <cell r="F14522">
            <v>4551958401</v>
          </cell>
        </row>
        <row r="14523">
          <cell r="E14523" t="str">
            <v>LUC-EZZ-420189-00</v>
          </cell>
          <cell r="F14523">
            <v>4551958401</v>
          </cell>
        </row>
        <row r="14524">
          <cell r="E14524" t="str">
            <v>LUC-EZZ-510640-00</v>
          </cell>
          <cell r="F14524">
            <v>4551958401</v>
          </cell>
        </row>
        <row r="14525">
          <cell r="E14525" t="str">
            <v>LUC-EZZ-440169-00</v>
          </cell>
          <cell r="F14525">
            <v>4551958401</v>
          </cell>
        </row>
        <row r="14526">
          <cell r="E14526" t="str">
            <v>LUC-EZZ-440176-00</v>
          </cell>
          <cell r="F14526">
            <v>4551958401</v>
          </cell>
        </row>
        <row r="14527">
          <cell r="E14527" t="str">
            <v>LUC-E00-470119-00</v>
          </cell>
          <cell r="F14527">
            <v>4551958401</v>
          </cell>
        </row>
        <row r="14528">
          <cell r="E14528" t="str">
            <v>LUC-E00-470120-00</v>
          </cell>
          <cell r="F14528">
            <v>4551958401</v>
          </cell>
        </row>
        <row r="14529">
          <cell r="E14529" t="str">
            <v>LUC-EZZ-420172-00</v>
          </cell>
          <cell r="F14529">
            <v>4551958401</v>
          </cell>
        </row>
        <row r="14530">
          <cell r="E14530" t="str">
            <v>LUC-EZZ-420136-00</v>
          </cell>
          <cell r="F14530">
            <v>4551958401</v>
          </cell>
        </row>
        <row r="14531">
          <cell r="E14531" t="str">
            <v>LUC-EZZ-420174-00</v>
          </cell>
          <cell r="F14531">
            <v>4551958401</v>
          </cell>
        </row>
        <row r="14532">
          <cell r="E14532" t="str">
            <v>LUC-E00-420020-03</v>
          </cell>
          <cell r="F14532">
            <v>4551958401</v>
          </cell>
        </row>
        <row r="14533">
          <cell r="E14533" t="str">
            <v>LUC-EZZ-420507-00</v>
          </cell>
          <cell r="F14533">
            <v>4551958401</v>
          </cell>
        </row>
        <row r="14534">
          <cell r="E14534" t="str">
            <v>LUC-E00-420058-00</v>
          </cell>
          <cell r="F14534">
            <v>4551958401</v>
          </cell>
        </row>
        <row r="14535">
          <cell r="E14535" t="str">
            <v>LUC-EZZ-510080-00</v>
          </cell>
          <cell r="F14535">
            <v>4551958401</v>
          </cell>
        </row>
        <row r="14536">
          <cell r="E14536" t="str">
            <v>LUC-EZZ-480029-00</v>
          </cell>
          <cell r="F14536">
            <v>4551958401</v>
          </cell>
        </row>
        <row r="14537">
          <cell r="E14537" t="str">
            <v>AGI-534-40006-01</v>
          </cell>
          <cell r="F14537">
            <v>4551958401</v>
          </cell>
        </row>
        <row r="14538">
          <cell r="E14538" t="str">
            <v>AGI-534-40007-01</v>
          </cell>
          <cell r="F14538">
            <v>4551958401</v>
          </cell>
        </row>
        <row r="14539">
          <cell r="E14539" t="str">
            <v>LUC-E00-400067-368</v>
          </cell>
          <cell r="F14539">
            <v>4551958401</v>
          </cell>
        </row>
        <row r="14540">
          <cell r="E14540" t="str">
            <v>LUC-E00-400003-21</v>
          </cell>
          <cell r="F14540">
            <v>4551958401</v>
          </cell>
        </row>
        <row r="14541">
          <cell r="E14541" t="str">
            <v>LUC-E00-400023-04</v>
          </cell>
          <cell r="F14541">
            <v>4551958401</v>
          </cell>
        </row>
        <row r="14542">
          <cell r="E14542" t="str">
            <v>LUC-E00-470009-00</v>
          </cell>
          <cell r="F14542">
            <v>4551958401</v>
          </cell>
        </row>
        <row r="14543">
          <cell r="E14543" t="str">
            <v>LUC-EZZ-420046-00</v>
          </cell>
          <cell r="F14543">
            <v>4551958401</v>
          </cell>
        </row>
        <row r="14544">
          <cell r="E14544" t="str">
            <v>EF-45171679</v>
          </cell>
          <cell r="F14544">
            <v>4551958401</v>
          </cell>
        </row>
        <row r="14545">
          <cell r="E14545" t="str">
            <v>LUC-EZZ-450053-00</v>
          </cell>
          <cell r="F14545">
            <v>4551958401</v>
          </cell>
        </row>
        <row r="14546">
          <cell r="E14546" t="str">
            <v>LUC-EZZ-450053-00</v>
          </cell>
          <cell r="F14546">
            <v>4551958401</v>
          </cell>
        </row>
        <row r="14547">
          <cell r="E14547" t="str">
            <v>EF-45122009</v>
          </cell>
          <cell r="F14547">
            <v>4711876150</v>
          </cell>
        </row>
        <row r="14548">
          <cell r="E14548" t="str">
            <v>LUC-EZZ-421242-00</v>
          </cell>
          <cell r="F14548">
            <v>4711876150</v>
          </cell>
        </row>
        <row r="14549">
          <cell r="E14549" t="str">
            <v>LUC-EZZ-421242-00</v>
          </cell>
          <cell r="F14549">
            <v>4711876150</v>
          </cell>
        </row>
        <row r="14550">
          <cell r="E14550" t="str">
            <v>EF-45057846.X.X</v>
          </cell>
          <cell r="F14550">
            <v>4711876150</v>
          </cell>
        </row>
        <row r="14551">
          <cell r="E14551" t="str">
            <v>EF-45076937</v>
          </cell>
          <cell r="F14551">
            <v>4711876150</v>
          </cell>
        </row>
        <row r="14552">
          <cell r="E14552" t="str">
            <v>LUC-E00-420045-01</v>
          </cell>
          <cell r="F14552">
            <v>4711876150</v>
          </cell>
        </row>
        <row r="14553">
          <cell r="E14553" t="str">
            <v>LUC-E00-420045-00</v>
          </cell>
          <cell r="F14553">
            <v>4711876150</v>
          </cell>
        </row>
        <row r="14554">
          <cell r="E14554" t="str">
            <v>AIC-MP-00005853-000</v>
          </cell>
          <cell r="F14554">
            <v>4711876150</v>
          </cell>
        </row>
        <row r="14555">
          <cell r="E14555" t="str">
            <v>AIC-MP-00005105-000</v>
          </cell>
          <cell r="F14555">
            <v>4711876150</v>
          </cell>
        </row>
        <row r="14556">
          <cell r="E14556" t="str">
            <v>AIC-MP-00005105-000</v>
          </cell>
          <cell r="F14556">
            <v>4711876150</v>
          </cell>
        </row>
        <row r="14557">
          <cell r="E14557" t="str">
            <v>PUR-13-0153-00</v>
          </cell>
          <cell r="F14557">
            <v>4711876150</v>
          </cell>
        </row>
        <row r="14558">
          <cell r="E14558" t="str">
            <v>AGI-510-50002-01</v>
          </cell>
          <cell r="F14558">
            <v>4711876150</v>
          </cell>
        </row>
        <row r="14559">
          <cell r="E14559" t="str">
            <v>AGI-510-50008-01</v>
          </cell>
          <cell r="F14559">
            <v>4711876150</v>
          </cell>
        </row>
        <row r="14560">
          <cell r="E14560" t="str">
            <v>LUC-EZZ-400078-00</v>
          </cell>
          <cell r="F14560">
            <v>4711876150</v>
          </cell>
        </row>
        <row r="14561">
          <cell r="E14561" t="str">
            <v>LUC-E00-400012-02</v>
          </cell>
          <cell r="F14561">
            <v>4711876150</v>
          </cell>
        </row>
        <row r="14562">
          <cell r="E14562" t="str">
            <v>LUC-E00-400012-15</v>
          </cell>
          <cell r="F14562">
            <v>4711876150</v>
          </cell>
        </row>
        <row r="14563">
          <cell r="E14563" t="str">
            <v>LUC-EZZ-400071-00</v>
          </cell>
          <cell r="F14563">
            <v>4711876150</v>
          </cell>
        </row>
        <row r="14564">
          <cell r="E14564" t="str">
            <v>LUC-EZZ-401662-00</v>
          </cell>
          <cell r="F14564">
            <v>4711876150</v>
          </cell>
        </row>
        <row r="14565">
          <cell r="E14565" t="str">
            <v>LUC-E00-400012-17</v>
          </cell>
          <cell r="F14565">
            <v>4711876150</v>
          </cell>
        </row>
        <row r="14566">
          <cell r="E14566" t="str">
            <v>LUC-E00-400012-19</v>
          </cell>
          <cell r="F14566">
            <v>4711876150</v>
          </cell>
        </row>
        <row r="14567">
          <cell r="E14567" t="str">
            <v>LUC-EZZ-420049-00</v>
          </cell>
          <cell r="F14567">
            <v>4711876150</v>
          </cell>
        </row>
        <row r="14568">
          <cell r="E14568" t="str">
            <v>LUC-EZZ-420049-00</v>
          </cell>
          <cell r="F14568">
            <v>4711876150</v>
          </cell>
        </row>
        <row r="14569">
          <cell r="E14569" t="str">
            <v>LUC-EZZ-420049-00</v>
          </cell>
          <cell r="F14569">
            <v>4711876150</v>
          </cell>
        </row>
        <row r="14570">
          <cell r="E14570" t="str">
            <v>AGI-500-40220-01</v>
          </cell>
          <cell r="F14570">
            <v>4711876150</v>
          </cell>
        </row>
        <row r="14571">
          <cell r="E14571" t="str">
            <v>AIC-MP-00007322-000</v>
          </cell>
          <cell r="F14571">
            <v>4711876150</v>
          </cell>
        </row>
        <row r="14572">
          <cell r="E14572" t="str">
            <v>LUC-E00-690157-01</v>
          </cell>
          <cell r="F14572">
            <v>4110327641</v>
          </cell>
        </row>
        <row r="14573">
          <cell r="E14573" t="str">
            <v>PUR-11-0065-06</v>
          </cell>
          <cell r="F14573" t="str">
            <v>LSZHPH2509364</v>
          </cell>
        </row>
        <row r="14574">
          <cell r="E14574" t="str">
            <v>PUR-11-0065-06</v>
          </cell>
          <cell r="F14574" t="str">
            <v>LSZHPH2509364</v>
          </cell>
        </row>
        <row r="14575">
          <cell r="E14575" t="str">
            <v>PUR-11-0065-06</v>
          </cell>
          <cell r="F14575" t="str">
            <v>LSZHPH2509364</v>
          </cell>
        </row>
        <row r="14576">
          <cell r="E14576" t="str">
            <v>LUC-P21-K33200-02</v>
          </cell>
          <cell r="F14576" t="str">
            <v>BSJSH086794</v>
          </cell>
        </row>
        <row r="14577">
          <cell r="E14577" t="str">
            <v>LUC-P21-K34200-00</v>
          </cell>
          <cell r="F14577" t="str">
            <v>BSJSH086794</v>
          </cell>
        </row>
        <row r="14578">
          <cell r="E14578" t="str">
            <v>PUR-03-0099-03</v>
          </cell>
          <cell r="F14578" t="str">
            <v>8TV8718</v>
          </cell>
        </row>
        <row r="14579">
          <cell r="E14579" t="str">
            <v>PUR-03-0099-03</v>
          </cell>
          <cell r="F14579" t="str">
            <v>8TV8697</v>
          </cell>
        </row>
        <row r="14580">
          <cell r="E14580" t="str">
            <v>PUR-03-0096-02</v>
          </cell>
          <cell r="F14580" t="str">
            <v>8TV8676</v>
          </cell>
        </row>
        <row r="14581">
          <cell r="E14581" t="str">
            <v>HLOB-03-0113-00</v>
          </cell>
          <cell r="F14581" t="str">
            <v>8TV8690</v>
          </cell>
        </row>
        <row r="14582">
          <cell r="E14582" t="str">
            <v>HLOB-03-0113-00</v>
          </cell>
          <cell r="F14582" t="str">
            <v>8TV8689</v>
          </cell>
        </row>
        <row r="14583">
          <cell r="E14583" t="str">
            <v>HLOB-03-0113-00</v>
          </cell>
          <cell r="F14583" t="str">
            <v>8TV8693</v>
          </cell>
        </row>
        <row r="14584">
          <cell r="E14584" t="str">
            <v>HLOB-03-0113-00</v>
          </cell>
          <cell r="F14584" t="str">
            <v>8TV8694</v>
          </cell>
        </row>
        <row r="14585">
          <cell r="E14585" t="str">
            <v>HLOB-03-0113-00</v>
          </cell>
          <cell r="F14585" t="str">
            <v>8TV8686</v>
          </cell>
        </row>
        <row r="14586">
          <cell r="E14586" t="str">
            <v>HLOB-03-0113-00</v>
          </cell>
          <cell r="F14586" t="str">
            <v>8TV8691</v>
          </cell>
        </row>
        <row r="14587">
          <cell r="E14587" t="str">
            <v>HLOB-03-0113-00</v>
          </cell>
          <cell r="F14587" t="str">
            <v>8TV8688</v>
          </cell>
        </row>
        <row r="14588">
          <cell r="E14588" t="str">
            <v>HLOB-03-0113-00</v>
          </cell>
          <cell r="F14588" t="str">
            <v>8TV8687</v>
          </cell>
        </row>
        <row r="14589">
          <cell r="E14589" t="str">
            <v>HLOB-03-0113-00</v>
          </cell>
          <cell r="F14589" t="str">
            <v>8TV8683</v>
          </cell>
        </row>
        <row r="14590">
          <cell r="E14590" t="str">
            <v>HLOB-03-0113-00</v>
          </cell>
          <cell r="F14590" t="str">
            <v>8TV8684</v>
          </cell>
        </row>
        <row r="14591">
          <cell r="E14591" t="str">
            <v>HLOB-03-0113-00</v>
          </cell>
          <cell r="F14591" t="str">
            <v>8TV8682</v>
          </cell>
        </row>
        <row r="14592">
          <cell r="E14592" t="str">
            <v>HLOB-03-0113-00</v>
          </cell>
          <cell r="F14592" t="str">
            <v>8TV8685</v>
          </cell>
        </row>
        <row r="14593">
          <cell r="E14593" t="str">
            <v>HLOB-03-0113-00</v>
          </cell>
          <cell r="F14593" t="str">
            <v>8TV8692</v>
          </cell>
        </row>
        <row r="14594">
          <cell r="E14594" t="str">
            <v>LUC-EZZ-400608-00</v>
          </cell>
          <cell r="F14594">
            <v>883771958217</v>
          </cell>
        </row>
        <row r="14595">
          <cell r="E14595" t="str">
            <v>LUC-E00-440003-00</v>
          </cell>
          <cell r="F14595">
            <v>883771958217</v>
          </cell>
        </row>
        <row r="14596">
          <cell r="E14596" t="str">
            <v>LUC-E00-440003-00</v>
          </cell>
          <cell r="F14596">
            <v>883771958217</v>
          </cell>
        </row>
        <row r="14597">
          <cell r="E14597" t="str">
            <v>LUC-E00-440003-00</v>
          </cell>
          <cell r="F14597">
            <v>883771958217</v>
          </cell>
        </row>
        <row r="14598">
          <cell r="E14598" t="str">
            <v>LUC-EZZ-470480-00</v>
          </cell>
          <cell r="F14598">
            <v>476862681727</v>
          </cell>
        </row>
        <row r="14599">
          <cell r="E14599" t="str">
            <v>LUC-E00-420071-00</v>
          </cell>
          <cell r="F14599">
            <v>445170539102</v>
          </cell>
        </row>
        <row r="14600">
          <cell r="E14600" t="str">
            <v>PUR-09-0255-00</v>
          </cell>
          <cell r="F14600">
            <v>445170544318</v>
          </cell>
        </row>
        <row r="14601">
          <cell r="E14601" t="str">
            <v>LUC-E00-690011-00</v>
          </cell>
          <cell r="F14601">
            <v>392396917450</v>
          </cell>
        </row>
        <row r="14602">
          <cell r="E14602" t="str">
            <v>PURC-11-0137-03</v>
          </cell>
          <cell r="F14602">
            <v>883768100794</v>
          </cell>
        </row>
        <row r="14603">
          <cell r="E14603" t="str">
            <v>PUR-03-0082-02</v>
          </cell>
          <cell r="F14603">
            <v>478058639136</v>
          </cell>
        </row>
        <row r="14604">
          <cell r="E14604" t="str">
            <v>EF-45236388</v>
          </cell>
          <cell r="F14604">
            <v>476513842523</v>
          </cell>
        </row>
        <row r="14605">
          <cell r="E14605" t="str">
            <v>LUC-E00-470096-00</v>
          </cell>
          <cell r="F14605">
            <v>4110327661</v>
          </cell>
        </row>
        <row r="14606">
          <cell r="E14606" t="str">
            <v>LUC-E00-470096-00</v>
          </cell>
          <cell r="F14606">
            <v>4110327663</v>
          </cell>
        </row>
        <row r="14607">
          <cell r="E14607" t="str">
            <v>LUC-E00-690217-01</v>
          </cell>
          <cell r="F14607">
            <v>4110327664</v>
          </cell>
        </row>
        <row r="14608">
          <cell r="E14608" t="str">
            <v>LUC-EZZ-690942-00</v>
          </cell>
          <cell r="F14608">
            <v>4110327665</v>
          </cell>
        </row>
        <row r="14609">
          <cell r="E14609" t="str">
            <v>LUC-EZZ-691595-00</v>
          </cell>
          <cell r="F14609">
            <v>4110327707</v>
          </cell>
        </row>
        <row r="14610">
          <cell r="E14610" t="str">
            <v>LUC-EZZ-690241-00</v>
          </cell>
          <cell r="F14610">
            <v>4110327708</v>
          </cell>
        </row>
        <row r="14611">
          <cell r="E14611">
            <v>45253067</v>
          </cell>
          <cell r="F14611">
            <v>426080013899</v>
          </cell>
        </row>
        <row r="14612">
          <cell r="E14612">
            <v>45252299</v>
          </cell>
          <cell r="F14612">
            <v>426080013899</v>
          </cell>
        </row>
        <row r="14613">
          <cell r="E14613" t="str">
            <v>LUC-P21-K61800-00</v>
          </cell>
          <cell r="F14613">
            <v>426080013899</v>
          </cell>
        </row>
        <row r="14614">
          <cell r="E14614" t="str">
            <v>PUR-18-0640-00</v>
          </cell>
          <cell r="F14614">
            <v>426080013899</v>
          </cell>
        </row>
        <row r="14615">
          <cell r="E14615" t="str">
            <v>LUC-E00-480014-00</v>
          </cell>
          <cell r="F14615">
            <v>426080013899</v>
          </cell>
        </row>
        <row r="14616">
          <cell r="E14616" t="str">
            <v>LUC-EZZ-400553-00</v>
          </cell>
          <cell r="F14616">
            <v>426080013899</v>
          </cell>
        </row>
        <row r="14617">
          <cell r="E14617" t="str">
            <v>EF-45193409</v>
          </cell>
          <cell r="F14617">
            <v>426080013899</v>
          </cell>
        </row>
        <row r="14618">
          <cell r="E14618" t="str">
            <v>121-001610</v>
          </cell>
          <cell r="F14618">
            <v>426080013899</v>
          </cell>
        </row>
        <row r="14619">
          <cell r="E14619" t="str">
            <v>PUR-13-0259-00</v>
          </cell>
          <cell r="F14619">
            <v>426080013899</v>
          </cell>
        </row>
        <row r="14620">
          <cell r="E14620" t="str">
            <v>PUR-12-0518-00</v>
          </cell>
          <cell r="F14620">
            <v>426080013899</v>
          </cell>
        </row>
        <row r="14621">
          <cell r="E14621" t="str">
            <v>PUR-09-0502-00</v>
          </cell>
          <cell r="F14621">
            <v>426080013899</v>
          </cell>
        </row>
        <row r="14622">
          <cell r="E14622" t="str">
            <v>LUC-E00-450132-00</v>
          </cell>
          <cell r="F14622">
            <v>420858985060</v>
          </cell>
        </row>
        <row r="14623">
          <cell r="E14623" t="str">
            <v>LUC-E00-400032-466</v>
          </cell>
          <cell r="F14623">
            <v>476862735444</v>
          </cell>
        </row>
        <row r="14624">
          <cell r="E14624" t="str">
            <v>HLOB-09-0444-00</v>
          </cell>
          <cell r="F14624">
            <v>3455904211</v>
          </cell>
        </row>
        <row r="14625">
          <cell r="E14625" t="str">
            <v>HLOB-24-0024-00</v>
          </cell>
          <cell r="F14625">
            <v>3455904211</v>
          </cell>
        </row>
        <row r="14626">
          <cell r="E14626" t="str">
            <v>AIC-123-001935</v>
          </cell>
          <cell r="F14626">
            <v>3455904211</v>
          </cell>
        </row>
        <row r="14627">
          <cell r="E14627" t="str">
            <v>HLOB-24-0002-00</v>
          </cell>
          <cell r="F14627">
            <v>3455904211</v>
          </cell>
        </row>
        <row r="14628">
          <cell r="E14628" t="str">
            <v>PURET-24-0002-00</v>
          </cell>
          <cell r="F14628">
            <v>3455904211</v>
          </cell>
        </row>
        <row r="14629">
          <cell r="E14629" t="str">
            <v>PUR-14-0083-00</v>
          </cell>
          <cell r="F14629">
            <v>3455904211</v>
          </cell>
        </row>
        <row r="14630">
          <cell r="E14630" t="str">
            <v>HLOB-14-0083-00</v>
          </cell>
          <cell r="F14630">
            <v>3455904211</v>
          </cell>
        </row>
        <row r="14631">
          <cell r="E14631" t="str">
            <v>HLOB-14-0083-00</v>
          </cell>
          <cell r="F14631">
            <v>3455904211</v>
          </cell>
        </row>
        <row r="14632">
          <cell r="E14632" t="str">
            <v>HLOB-14-0083-00</v>
          </cell>
          <cell r="F14632">
            <v>3455904211</v>
          </cell>
        </row>
        <row r="14633">
          <cell r="E14633" t="str">
            <v>HLOB-14-0083-00</v>
          </cell>
          <cell r="F14633">
            <v>3455904211</v>
          </cell>
        </row>
        <row r="14634">
          <cell r="E14634" t="str">
            <v>PURET-24-0002-00</v>
          </cell>
          <cell r="F14634">
            <v>3455904211</v>
          </cell>
        </row>
        <row r="14635">
          <cell r="E14635" t="str">
            <v>HLOB-24-0002-00</v>
          </cell>
          <cell r="F14635">
            <v>3455904211</v>
          </cell>
        </row>
        <row r="14636">
          <cell r="E14636" t="str">
            <v>PUR-14-0095-00</v>
          </cell>
          <cell r="F14636">
            <v>3455904211</v>
          </cell>
        </row>
        <row r="14637">
          <cell r="E14637" t="str">
            <v>HLOB-12-0084-00</v>
          </cell>
          <cell r="F14637">
            <v>3455904211</v>
          </cell>
        </row>
        <row r="14638">
          <cell r="E14638" t="str">
            <v>PUR-24-0024-00</v>
          </cell>
          <cell r="F14638">
            <v>3455904211</v>
          </cell>
        </row>
        <row r="14639">
          <cell r="E14639" t="str">
            <v>HLOB-09-0444-00</v>
          </cell>
          <cell r="F14639">
            <v>3455904211</v>
          </cell>
        </row>
        <row r="14640">
          <cell r="E14640" t="str">
            <v>PURET-24-0002-00</v>
          </cell>
          <cell r="F14640">
            <v>3455904211</v>
          </cell>
        </row>
        <row r="14641">
          <cell r="E14641" t="str">
            <v>HLOB-13-0215-00</v>
          </cell>
          <cell r="F14641">
            <v>3455904211</v>
          </cell>
        </row>
        <row r="14642">
          <cell r="E14642" t="str">
            <v>HLOB-13-0215-00</v>
          </cell>
          <cell r="F14642">
            <v>3455904211</v>
          </cell>
        </row>
        <row r="14643">
          <cell r="E14643" t="str">
            <v>HLOB-13-0215-00</v>
          </cell>
          <cell r="F14643">
            <v>3455904211</v>
          </cell>
        </row>
        <row r="14644">
          <cell r="E14644" t="str">
            <v>PUR-13-0215-00</v>
          </cell>
          <cell r="F14644">
            <v>3455904211</v>
          </cell>
        </row>
        <row r="14645">
          <cell r="E14645" t="str">
            <v>HLOB-13-0215-00</v>
          </cell>
          <cell r="F14645">
            <v>3455904211</v>
          </cell>
        </row>
        <row r="14646">
          <cell r="E14646" t="str">
            <v>HLOB-24-0002-00</v>
          </cell>
          <cell r="F14646">
            <v>3455904211</v>
          </cell>
        </row>
        <row r="14647">
          <cell r="E14647" t="str">
            <v>PURET-24-0002-00</v>
          </cell>
          <cell r="F14647">
            <v>3455904211</v>
          </cell>
        </row>
        <row r="14648">
          <cell r="E14648" t="str">
            <v>PURET-24-0002-00</v>
          </cell>
          <cell r="F14648">
            <v>3455904211</v>
          </cell>
        </row>
        <row r="14649">
          <cell r="E14649" t="str">
            <v>HLOB-24-0008-00</v>
          </cell>
          <cell r="F14649">
            <v>3455904211</v>
          </cell>
        </row>
        <row r="14650">
          <cell r="E14650" t="str">
            <v>PUR-13-0215-00</v>
          </cell>
          <cell r="F14650">
            <v>3455904211</v>
          </cell>
        </row>
        <row r="14651">
          <cell r="E14651" t="str">
            <v>HLOB-13-0215-00</v>
          </cell>
          <cell r="F14651">
            <v>3455904211</v>
          </cell>
        </row>
        <row r="14652">
          <cell r="E14652" t="str">
            <v>PUR-13-0215-00</v>
          </cell>
          <cell r="F14652">
            <v>3455904211</v>
          </cell>
        </row>
        <row r="14653">
          <cell r="E14653" t="str">
            <v>PUR-13-0215-00</v>
          </cell>
          <cell r="F14653">
            <v>3455904211</v>
          </cell>
        </row>
        <row r="14654">
          <cell r="E14654" t="str">
            <v>HLOB-24-0002-00</v>
          </cell>
          <cell r="F14654">
            <v>3455904211</v>
          </cell>
        </row>
        <row r="14655">
          <cell r="E14655" t="str">
            <v>AGI-532-40016-01</v>
          </cell>
          <cell r="F14655">
            <v>3455904211</v>
          </cell>
        </row>
        <row r="14656">
          <cell r="E14656" t="str">
            <v>HLOB-14-0077-00</v>
          </cell>
          <cell r="F14656">
            <v>3455904211</v>
          </cell>
        </row>
        <row r="14657">
          <cell r="E14657" t="str">
            <v>EF-45113161</v>
          </cell>
          <cell r="F14657">
            <v>3455904211</v>
          </cell>
        </row>
        <row r="14658">
          <cell r="E14658" t="str">
            <v>LUC-E00-470074-01</v>
          </cell>
          <cell r="F14658">
            <v>3455904211</v>
          </cell>
        </row>
        <row r="14659">
          <cell r="E14659" t="str">
            <v>LUC-E00-420135-00</v>
          </cell>
          <cell r="F14659">
            <v>3455904211</v>
          </cell>
        </row>
        <row r="14660">
          <cell r="E14660" t="str">
            <v>LUC-EZZ-420151-00</v>
          </cell>
          <cell r="F14660">
            <v>3455904211</v>
          </cell>
        </row>
        <row r="14661">
          <cell r="E14661" t="str">
            <v>LUC-EZZ-420151-00</v>
          </cell>
          <cell r="F14661">
            <v>3455904211</v>
          </cell>
        </row>
        <row r="14662">
          <cell r="E14662" t="str">
            <v>122-000113.X.X</v>
          </cell>
          <cell r="F14662">
            <v>3455904211</v>
          </cell>
        </row>
        <row r="14663">
          <cell r="E14663" t="str">
            <v>LUC-EZZ-400801-00</v>
          </cell>
          <cell r="F14663">
            <v>3455904211</v>
          </cell>
        </row>
        <row r="14664">
          <cell r="E14664" t="str">
            <v>EF-45046920</v>
          </cell>
          <cell r="F14664">
            <v>3455904211</v>
          </cell>
        </row>
        <row r="14665">
          <cell r="E14665" t="str">
            <v>HLOB-09-0329-00</v>
          </cell>
          <cell r="F14665">
            <v>3455904211</v>
          </cell>
        </row>
        <row r="14666">
          <cell r="E14666" t="str">
            <v>LUC-EZZ-400801-00</v>
          </cell>
          <cell r="F14666">
            <v>3455904211</v>
          </cell>
        </row>
        <row r="14667">
          <cell r="E14667" t="str">
            <v>LUC-EZZ-470162-00</v>
          </cell>
          <cell r="F14667">
            <v>3455904211</v>
          </cell>
        </row>
        <row r="14668">
          <cell r="E14668" t="str">
            <v>EF-45082209.X.X</v>
          </cell>
          <cell r="F14668">
            <v>3455904211</v>
          </cell>
        </row>
        <row r="14669">
          <cell r="E14669" t="str">
            <v>EF-45113161</v>
          </cell>
          <cell r="F14669">
            <v>3455904211</v>
          </cell>
        </row>
        <row r="14670">
          <cell r="E14670" t="str">
            <v>EF-45046920</v>
          </cell>
          <cell r="F14670">
            <v>3455904211</v>
          </cell>
        </row>
        <row r="14671">
          <cell r="E14671" t="str">
            <v>PURET-12-0084-00</v>
          </cell>
          <cell r="F14671">
            <v>3455904211</v>
          </cell>
        </row>
        <row r="14672">
          <cell r="E14672" t="str">
            <v>HLOB-24-0002-00</v>
          </cell>
          <cell r="F14672">
            <v>3455904211</v>
          </cell>
        </row>
        <row r="14673">
          <cell r="E14673" t="str">
            <v>AGI-532-40016-01</v>
          </cell>
          <cell r="F14673">
            <v>3455904211</v>
          </cell>
        </row>
        <row r="14674">
          <cell r="E14674" t="str">
            <v>LUC-EZZ-400485-00</v>
          </cell>
          <cell r="F14674">
            <v>3455907976</v>
          </cell>
        </row>
        <row r="14675">
          <cell r="E14675" t="str">
            <v>LUC-EZZ-400485-00</v>
          </cell>
          <cell r="F14675">
            <v>3455907976</v>
          </cell>
        </row>
        <row r="14676">
          <cell r="E14676" t="str">
            <v>HLOB-12-0430-00</v>
          </cell>
          <cell r="F14676">
            <v>3455907976</v>
          </cell>
        </row>
        <row r="14677">
          <cell r="E14677" t="str">
            <v>LUC-E00-400049-00</v>
          </cell>
          <cell r="F14677">
            <v>3455907976</v>
          </cell>
        </row>
        <row r="14678">
          <cell r="E14678" t="str">
            <v>LUC-E00-400049-00</v>
          </cell>
          <cell r="F14678">
            <v>3455907976</v>
          </cell>
        </row>
        <row r="14679">
          <cell r="E14679" t="str">
            <v>LUC-E00-400049-00</v>
          </cell>
          <cell r="F14679">
            <v>3455907976</v>
          </cell>
        </row>
        <row r="14680">
          <cell r="E14680" t="str">
            <v>AGI-530-40013-01</v>
          </cell>
          <cell r="F14680">
            <v>3455907976</v>
          </cell>
        </row>
        <row r="14681">
          <cell r="E14681" t="str">
            <v>HLOB-12-0430-00</v>
          </cell>
          <cell r="F14681">
            <v>3455907976</v>
          </cell>
        </row>
        <row r="14682">
          <cell r="E14682" t="str">
            <v>PUR-21-0036-00</v>
          </cell>
          <cell r="F14682">
            <v>3455907976</v>
          </cell>
        </row>
        <row r="14683">
          <cell r="E14683" t="str">
            <v>LUC-EZZ-400036-00</v>
          </cell>
          <cell r="F14683">
            <v>3455907976</v>
          </cell>
        </row>
        <row r="14684">
          <cell r="E14684" t="str">
            <v>AGI-500-40192-01</v>
          </cell>
          <cell r="F14684">
            <v>3455907976</v>
          </cell>
        </row>
        <row r="14685">
          <cell r="E14685" t="str">
            <v>LUC-E00-400024-04</v>
          </cell>
          <cell r="F14685">
            <v>3455907976</v>
          </cell>
        </row>
        <row r="14686">
          <cell r="E14686" t="str">
            <v>HLOB-12-0288-00</v>
          </cell>
          <cell r="F14686">
            <v>3455907976</v>
          </cell>
        </row>
        <row r="14687">
          <cell r="E14687" t="str">
            <v>LUC-E00-400001-003</v>
          </cell>
          <cell r="F14687">
            <v>3455907976</v>
          </cell>
        </row>
        <row r="14688">
          <cell r="E14688" t="str">
            <v>LUC-EZZ-540018-00</v>
          </cell>
          <cell r="F14688">
            <v>3455907976</v>
          </cell>
        </row>
        <row r="14689">
          <cell r="E14689" t="str">
            <v>AGI-532-40014-01</v>
          </cell>
          <cell r="F14689">
            <v>3455907976</v>
          </cell>
        </row>
        <row r="14690">
          <cell r="E14690" t="str">
            <v>LUC-P11-J80300-00</v>
          </cell>
          <cell r="F14690" t="str">
            <v>LSHHPH2507544</v>
          </cell>
        </row>
        <row r="14691">
          <cell r="E14691" t="str">
            <v>LUC-E00-690033-02</v>
          </cell>
          <cell r="F14691" t="str">
            <v>LSHHPH2507473</v>
          </cell>
        </row>
        <row r="14692">
          <cell r="E14692" t="str">
            <v>LUC-E00-690033-03</v>
          </cell>
          <cell r="F14692" t="str">
            <v>LSHHPH2507473</v>
          </cell>
        </row>
        <row r="14693">
          <cell r="E14693" t="str">
            <v>HLOB-09-0294-00</v>
          </cell>
          <cell r="F14693">
            <v>392351651337</v>
          </cell>
        </row>
        <row r="14694">
          <cell r="E14694" t="str">
            <v>LUC-E00-470121-01</v>
          </cell>
          <cell r="F14694">
            <v>392457892116</v>
          </cell>
        </row>
        <row r="14695">
          <cell r="E14695" t="str">
            <v>AGI-450-40077-01</v>
          </cell>
          <cell r="F14695">
            <v>476862621798</v>
          </cell>
        </row>
        <row r="14696">
          <cell r="E14696" t="str">
            <v>HLOB-09-0343-00</v>
          </cell>
          <cell r="F14696">
            <v>471782623342</v>
          </cell>
        </row>
        <row r="14697">
          <cell r="E14697" t="str">
            <v>LUC-E00-400010-003</v>
          </cell>
          <cell r="F14697">
            <v>476862656998</v>
          </cell>
        </row>
        <row r="14698">
          <cell r="E14698" t="str">
            <v>LUC-EZZ-510085-00</v>
          </cell>
          <cell r="F14698">
            <v>476862656998</v>
          </cell>
        </row>
        <row r="14699">
          <cell r="E14699" t="str">
            <v>LUC-E00-440057-00</v>
          </cell>
          <cell r="F14699">
            <v>476862656998</v>
          </cell>
        </row>
        <row r="14700">
          <cell r="E14700" t="str">
            <v>LUC-E00-690010-00</v>
          </cell>
          <cell r="F14700">
            <v>392105163722</v>
          </cell>
        </row>
        <row r="14701">
          <cell r="E14701" t="str">
            <v>PUR-330-000056</v>
          </cell>
          <cell r="F14701">
            <v>883743396807</v>
          </cell>
        </row>
        <row r="14702">
          <cell r="E14702" t="str">
            <v>LUC-E00-690055-00</v>
          </cell>
          <cell r="F14702">
            <v>392132222762</v>
          </cell>
        </row>
        <row r="14703">
          <cell r="E14703" t="str">
            <v>LUC-E00-690010-01</v>
          </cell>
          <cell r="F14703">
            <v>392226851383</v>
          </cell>
        </row>
        <row r="14704">
          <cell r="E14704" t="str">
            <v>LUC-EZZ-690243-00</v>
          </cell>
          <cell r="F14704">
            <v>392226851383</v>
          </cell>
        </row>
        <row r="14705">
          <cell r="E14705" t="str">
            <v>LUC-EZZ-690244-00</v>
          </cell>
          <cell r="F14705">
            <v>392226851383</v>
          </cell>
        </row>
        <row r="14706">
          <cell r="E14706" t="str">
            <v>HLOB-13-0236-00</v>
          </cell>
          <cell r="F14706">
            <v>421281418262</v>
          </cell>
        </row>
        <row r="14707">
          <cell r="E14707" t="str">
            <v>LUC-E00-470083-00</v>
          </cell>
          <cell r="F14707">
            <v>445170540242</v>
          </cell>
        </row>
        <row r="14708">
          <cell r="E14708" t="str">
            <v>HLOB-09-0427-00</v>
          </cell>
          <cell r="F14708">
            <v>119209627290</v>
          </cell>
        </row>
        <row r="14709">
          <cell r="E14709" t="str">
            <v>LUC-E00-450030-00</v>
          </cell>
          <cell r="F14709">
            <v>119209627290</v>
          </cell>
        </row>
        <row r="14710">
          <cell r="E14710" t="str">
            <v>LUC-P11-K41E00-01</v>
          </cell>
          <cell r="F14710">
            <v>119209627290</v>
          </cell>
        </row>
        <row r="14711">
          <cell r="E14711" t="str">
            <v>EF-45174167</v>
          </cell>
          <cell r="F14711">
            <v>119209627290</v>
          </cell>
        </row>
        <row r="14712">
          <cell r="E14712" t="str">
            <v>LUC-EZZ-440192-00</v>
          </cell>
          <cell r="F14712">
            <v>119209627290</v>
          </cell>
        </row>
        <row r="14713">
          <cell r="E14713" t="str">
            <v>LUC-E00-400028-000</v>
          </cell>
          <cell r="F14713">
            <v>119209627290</v>
          </cell>
        </row>
        <row r="14714">
          <cell r="E14714" t="str">
            <v>LUC-EZZ-420191-00</v>
          </cell>
          <cell r="F14714">
            <v>119209627290</v>
          </cell>
        </row>
        <row r="14715">
          <cell r="E14715" t="str">
            <v>LUC-EZZ-420191-00</v>
          </cell>
          <cell r="F14715">
            <v>119209627290</v>
          </cell>
        </row>
        <row r="14716">
          <cell r="E14716" t="str">
            <v>LUC-EZZ-440192-00</v>
          </cell>
          <cell r="F14716">
            <v>119209627290</v>
          </cell>
        </row>
        <row r="14717">
          <cell r="E14717" t="str">
            <v>LUC-EZZ-421252-00</v>
          </cell>
          <cell r="F14717">
            <v>119209627290</v>
          </cell>
        </row>
        <row r="14718">
          <cell r="E14718" t="str">
            <v>LUC-EZZ-421252-00</v>
          </cell>
          <cell r="F14718">
            <v>119209627290</v>
          </cell>
        </row>
        <row r="14719">
          <cell r="E14719" t="str">
            <v>HLOB-14-0087-00</v>
          </cell>
          <cell r="F14719">
            <v>119209627290</v>
          </cell>
        </row>
        <row r="14720">
          <cell r="E14720" t="str">
            <v>LUC-P11-K41E00-01</v>
          </cell>
          <cell r="F14720">
            <v>119209627290</v>
          </cell>
        </row>
        <row r="14721">
          <cell r="E14721" t="str">
            <v>LUC-P11-K41E00-01</v>
          </cell>
          <cell r="F14721">
            <v>119209627290</v>
          </cell>
        </row>
        <row r="14722">
          <cell r="E14722" t="str">
            <v>PUR-13-0259-00</v>
          </cell>
          <cell r="F14722">
            <v>119209627290</v>
          </cell>
        </row>
        <row r="14723">
          <cell r="E14723" t="str">
            <v>AIC-MP-00006812-000</v>
          </cell>
          <cell r="F14723">
            <v>445170541455</v>
          </cell>
        </row>
        <row r="14724">
          <cell r="E14724" t="str">
            <v>HLOB-21-0036-00</v>
          </cell>
          <cell r="F14724">
            <v>445170541488</v>
          </cell>
        </row>
        <row r="14725">
          <cell r="E14725" t="str">
            <v>HLOB-21-0036-00</v>
          </cell>
          <cell r="F14725">
            <v>445170543399</v>
          </cell>
        </row>
        <row r="14726">
          <cell r="E14726" t="str">
            <v>LUC-EZZ-400542-00</v>
          </cell>
          <cell r="F14726">
            <v>445170548530</v>
          </cell>
        </row>
        <row r="14727">
          <cell r="E14727" t="str">
            <v>LUC-EZZ-400205-00</v>
          </cell>
          <cell r="F14727">
            <v>445170548986</v>
          </cell>
        </row>
        <row r="14728">
          <cell r="E14728" t="str">
            <v>LUC-E00-450068-00</v>
          </cell>
          <cell r="F14728">
            <v>445170548600</v>
          </cell>
        </row>
        <row r="14729">
          <cell r="E14729" t="str">
            <v>PUR-09-0324-00</v>
          </cell>
          <cell r="F14729">
            <v>445170549342</v>
          </cell>
        </row>
        <row r="14730">
          <cell r="E14730" t="str">
            <v>HLOB-24-0028-00</v>
          </cell>
          <cell r="F14730">
            <v>445170549386</v>
          </cell>
        </row>
        <row r="14731">
          <cell r="E14731" t="str">
            <v>LUC-E00-440023-02</v>
          </cell>
          <cell r="F14731">
            <v>446064145470</v>
          </cell>
        </row>
        <row r="14732">
          <cell r="E14732" t="str">
            <v>LUC-E00-440072-01</v>
          </cell>
          <cell r="F14732">
            <v>446064145470</v>
          </cell>
        </row>
        <row r="14733">
          <cell r="E14733" t="str">
            <v>LUC-EZZ-470095-00</v>
          </cell>
          <cell r="F14733">
            <v>445170549824</v>
          </cell>
        </row>
        <row r="14734">
          <cell r="E14734" t="str">
            <v>HLOB-09-0424-00</v>
          </cell>
          <cell r="F14734">
            <v>476862627785</v>
          </cell>
        </row>
        <row r="14735">
          <cell r="E14735" t="str">
            <v>AIC-MP-IC006403-S01</v>
          </cell>
          <cell r="F14735">
            <v>643036771149</v>
          </cell>
        </row>
        <row r="14736">
          <cell r="E14736" t="str">
            <v>HLOB-07-0167-00</v>
          </cell>
          <cell r="F14736">
            <v>477859569171</v>
          </cell>
        </row>
        <row r="14737">
          <cell r="E14737" t="str">
            <v>HLOB-07-0315-00</v>
          </cell>
          <cell r="F14737">
            <v>477859569171</v>
          </cell>
        </row>
        <row r="14738">
          <cell r="E14738" t="str">
            <v>PUR-27-0017-00</v>
          </cell>
          <cell r="F14738">
            <v>707296233860</v>
          </cell>
        </row>
        <row r="14739">
          <cell r="E14739" t="str">
            <v>PUR-13-0227-00</v>
          </cell>
          <cell r="F14739">
            <v>883770185120</v>
          </cell>
        </row>
        <row r="14740">
          <cell r="E14740" t="str">
            <v>EF-45109071</v>
          </cell>
          <cell r="F14740">
            <v>883770185120</v>
          </cell>
        </row>
        <row r="14741">
          <cell r="E14741" t="str">
            <v>HLOB-12-0337-00</v>
          </cell>
          <cell r="F14741">
            <v>883770185120</v>
          </cell>
        </row>
        <row r="14742">
          <cell r="E14742" t="str">
            <v>HLOB-12-0337-00</v>
          </cell>
          <cell r="F14742">
            <v>883770185120</v>
          </cell>
        </row>
        <row r="14743">
          <cell r="E14743" t="str">
            <v>PUR-12-0343-00</v>
          </cell>
          <cell r="F14743">
            <v>883770185120</v>
          </cell>
        </row>
        <row r="14744">
          <cell r="E14744" t="str">
            <v>HLOB-13-0227-00</v>
          </cell>
          <cell r="F14744">
            <v>883770185120</v>
          </cell>
        </row>
        <row r="14745">
          <cell r="E14745" t="str">
            <v>HLOB-13-0068-00</v>
          </cell>
          <cell r="F14745">
            <v>883770185120</v>
          </cell>
        </row>
        <row r="14746">
          <cell r="E14746" t="str">
            <v>121-000585.X.X</v>
          </cell>
          <cell r="F14746">
            <v>883770185120</v>
          </cell>
        </row>
        <row r="14747">
          <cell r="E14747" t="str">
            <v>HLOB-27-0017-00</v>
          </cell>
          <cell r="F14747">
            <v>707296233871</v>
          </cell>
        </row>
        <row r="14748">
          <cell r="E14748" t="str">
            <v>PUR-27-0017-00</v>
          </cell>
          <cell r="F14748">
            <v>707296233882</v>
          </cell>
        </row>
        <row r="14749">
          <cell r="E14749" t="str">
            <v>103-000229.X.X</v>
          </cell>
          <cell r="F14749">
            <v>441659522898</v>
          </cell>
        </row>
        <row r="14750">
          <cell r="E14750" t="str">
            <v>PUR-18-0548-00</v>
          </cell>
          <cell r="F14750">
            <v>883707701111</v>
          </cell>
        </row>
        <row r="14751">
          <cell r="E14751" t="str">
            <v>LUC-E00-480005-00</v>
          </cell>
          <cell r="F14751">
            <v>472392465660</v>
          </cell>
        </row>
        <row r="14752">
          <cell r="E14752" t="str">
            <v>LUC-E00-480001-00</v>
          </cell>
          <cell r="F14752">
            <v>472392465660</v>
          </cell>
        </row>
        <row r="14753">
          <cell r="E14753" t="str">
            <v>LUC-EZZ-470069-00</v>
          </cell>
          <cell r="F14753">
            <v>392352053112</v>
          </cell>
        </row>
        <row r="14754">
          <cell r="E14754" t="str">
            <v>LUC-E00-470042-00</v>
          </cell>
          <cell r="F14754">
            <v>392353666251</v>
          </cell>
        </row>
        <row r="14755">
          <cell r="E14755" t="str">
            <v>LUC-EZZ-470247-00</v>
          </cell>
          <cell r="F14755">
            <v>392394445409</v>
          </cell>
        </row>
        <row r="14756">
          <cell r="E14756" t="str">
            <v>LUC-E00-690030-02</v>
          </cell>
          <cell r="F14756">
            <v>462141422980</v>
          </cell>
        </row>
        <row r="14757">
          <cell r="E14757" t="str">
            <v>LUC-P11-JA3100-00</v>
          </cell>
          <cell r="F14757">
            <v>472187576963</v>
          </cell>
        </row>
        <row r="14758">
          <cell r="E14758" t="str">
            <v>AIC-MP-IC006563-S01</v>
          </cell>
          <cell r="F14758">
            <v>883770028511</v>
          </cell>
        </row>
        <row r="14759">
          <cell r="E14759" t="str">
            <v>HLOB-03-0038-00</v>
          </cell>
          <cell r="F14759">
            <v>478058596861</v>
          </cell>
        </row>
        <row r="14760">
          <cell r="E14760" t="str">
            <v>LUC-E00-470109-00</v>
          </cell>
          <cell r="F14760">
            <v>476225399557</v>
          </cell>
        </row>
        <row r="14761">
          <cell r="E14761" t="str">
            <v>PURC-03-0116-02</v>
          </cell>
          <cell r="F14761">
            <v>478058731193</v>
          </cell>
        </row>
        <row r="14762">
          <cell r="E14762" t="str">
            <v>PUR-03-0091-02</v>
          </cell>
          <cell r="F14762">
            <v>478058697768</v>
          </cell>
        </row>
        <row r="14763">
          <cell r="E14763" t="str">
            <v>PUR-03-0091-02</v>
          </cell>
          <cell r="F14763">
            <v>478058697768</v>
          </cell>
        </row>
        <row r="14764">
          <cell r="E14764" t="str">
            <v>LUC-E00-440057-00</v>
          </cell>
          <cell r="F14764">
            <v>476503959770</v>
          </cell>
        </row>
        <row r="14765">
          <cell r="E14765" t="str">
            <v>LUC-E00-420072-00</v>
          </cell>
          <cell r="F14765">
            <v>476503959770</v>
          </cell>
        </row>
        <row r="14766">
          <cell r="E14766" t="str">
            <v>LUC-E00-480014-00</v>
          </cell>
          <cell r="F14766">
            <v>476503959770</v>
          </cell>
        </row>
        <row r="14767">
          <cell r="E14767" t="str">
            <v>EF-45236356</v>
          </cell>
          <cell r="F14767">
            <v>476503959770</v>
          </cell>
        </row>
        <row r="14768">
          <cell r="E14768" t="str">
            <v>LUC-EZZ-400426-00</v>
          </cell>
          <cell r="F14768">
            <v>476503959770</v>
          </cell>
        </row>
        <row r="14769">
          <cell r="E14769" t="str">
            <v>LUC-EZZ-510106-00</v>
          </cell>
          <cell r="F14769">
            <v>476503959770</v>
          </cell>
        </row>
        <row r="14770">
          <cell r="E14770" t="str">
            <v>LUC-EZZ-400414-00</v>
          </cell>
          <cell r="F14770">
            <v>476503959770</v>
          </cell>
        </row>
        <row r="14771">
          <cell r="E14771" t="str">
            <v>LUC-E00-400010-002</v>
          </cell>
          <cell r="F14771">
            <v>476503959770</v>
          </cell>
        </row>
        <row r="14772">
          <cell r="E14772" t="str">
            <v>AGI-450-40069-01</v>
          </cell>
          <cell r="F14772">
            <v>3455911384</v>
          </cell>
        </row>
        <row r="14773">
          <cell r="E14773" t="str">
            <v>AGI-450-40069-01</v>
          </cell>
          <cell r="F14773">
            <v>3455911384</v>
          </cell>
        </row>
        <row r="14774">
          <cell r="E14774" t="str">
            <v>AGI-450-40069-01</v>
          </cell>
          <cell r="F14774">
            <v>3455911384</v>
          </cell>
        </row>
        <row r="14775">
          <cell r="E14775" t="str">
            <v>LUC-E00-440140-01</v>
          </cell>
          <cell r="F14775">
            <v>392380653601</v>
          </cell>
        </row>
        <row r="14776">
          <cell r="E14776" t="str">
            <v>LUC-E00-440114-00</v>
          </cell>
          <cell r="F14776">
            <v>392380653601</v>
          </cell>
        </row>
        <row r="14777">
          <cell r="E14777" t="str">
            <v>LUC-EZZ-490201-07</v>
          </cell>
          <cell r="F14777">
            <v>1516256</v>
          </cell>
        </row>
        <row r="14778">
          <cell r="E14778" t="str">
            <v>LUC-EZZ-490201-07</v>
          </cell>
          <cell r="F14778">
            <v>1516256</v>
          </cell>
        </row>
        <row r="14779">
          <cell r="E14779" t="str">
            <v>LUC-EZZ-490259-00</v>
          </cell>
          <cell r="F14779">
            <v>1516256</v>
          </cell>
        </row>
        <row r="14780">
          <cell r="E14780" t="str">
            <v>LUC-EZZ-490071-06</v>
          </cell>
          <cell r="F14780">
            <v>1516256</v>
          </cell>
        </row>
        <row r="14781">
          <cell r="E14781" t="str">
            <v>LUC-EZZ-490200-07</v>
          </cell>
          <cell r="F14781">
            <v>1516256</v>
          </cell>
        </row>
        <row r="14782">
          <cell r="E14782" t="str">
            <v>LUC-EZZ-490230-05</v>
          </cell>
          <cell r="F14782">
            <v>1516256</v>
          </cell>
        </row>
        <row r="14783">
          <cell r="E14783" t="str">
            <v>LUC-EZZ-490310-04</v>
          </cell>
          <cell r="F14783">
            <v>1516256</v>
          </cell>
        </row>
        <row r="14784">
          <cell r="E14784" t="str">
            <v>LUC-E00-470161-01</v>
          </cell>
          <cell r="F14784">
            <v>392512741197</v>
          </cell>
        </row>
        <row r="14785">
          <cell r="E14785" t="str">
            <v>PUR-09-0262-00</v>
          </cell>
          <cell r="F14785">
            <v>445170541238</v>
          </cell>
        </row>
        <row r="14786">
          <cell r="E14786" t="str">
            <v>AIC-MP-IC005574-S01</v>
          </cell>
          <cell r="F14786">
            <v>445170539032</v>
          </cell>
        </row>
        <row r="14787">
          <cell r="E14787" t="str">
            <v>HLOB-12-0407-00</v>
          </cell>
          <cell r="F14787">
            <v>445170542451</v>
          </cell>
        </row>
        <row r="14788">
          <cell r="E14788" t="str">
            <v>LUC-EZZ-451277-00</v>
          </cell>
          <cell r="F14788">
            <v>445170541720</v>
          </cell>
        </row>
        <row r="14789">
          <cell r="E14789" t="str">
            <v>HLOB-21-0036-00</v>
          </cell>
          <cell r="F14789">
            <v>445170542197</v>
          </cell>
        </row>
        <row r="14790">
          <cell r="E14790" t="str">
            <v>HLOB-21-0036-00</v>
          </cell>
          <cell r="F14790">
            <v>445170544421</v>
          </cell>
        </row>
        <row r="14791">
          <cell r="E14791" t="str">
            <v>LUC-E00-400010-000</v>
          </cell>
          <cell r="F14791">
            <v>445170548493</v>
          </cell>
        </row>
        <row r="14792">
          <cell r="E14792" t="str">
            <v>LUC-EZZ-400248-00</v>
          </cell>
          <cell r="F14792">
            <v>445170548405</v>
          </cell>
        </row>
        <row r="14793">
          <cell r="E14793" t="str">
            <v>HLOB-09-0329-00</v>
          </cell>
          <cell r="F14793">
            <v>445170549170</v>
          </cell>
        </row>
        <row r="14794">
          <cell r="E14794" t="str">
            <v>LUC-E00-400010-026</v>
          </cell>
          <cell r="F14794">
            <v>445170549228</v>
          </cell>
        </row>
        <row r="14795">
          <cell r="E14795" t="str">
            <v>HLOB-09-0279-00</v>
          </cell>
          <cell r="F14795">
            <v>445170549353</v>
          </cell>
        </row>
        <row r="14796">
          <cell r="E14796" t="str">
            <v>LUC-EZZ-400201-00</v>
          </cell>
          <cell r="F14796">
            <v>445170550839</v>
          </cell>
        </row>
        <row r="14797">
          <cell r="E14797" t="str">
            <v>LUC-EZZ-470191-00</v>
          </cell>
          <cell r="F14797">
            <v>445170549721</v>
          </cell>
        </row>
        <row r="14798">
          <cell r="E14798" t="str">
            <v>HLOB-09-0424-00</v>
          </cell>
          <cell r="F14798">
            <v>445170551011</v>
          </cell>
        </row>
        <row r="14799">
          <cell r="E14799" t="str">
            <v>PUR-07-0167-00</v>
          </cell>
          <cell r="F14799">
            <v>477859571984</v>
          </cell>
        </row>
        <row r="14800">
          <cell r="E14800" t="str">
            <v>HLOB-09-0422-00</v>
          </cell>
          <cell r="F14800">
            <v>392361174725</v>
          </cell>
        </row>
        <row r="14801">
          <cell r="E14801" t="str">
            <v>HLOB-09-0422-00</v>
          </cell>
          <cell r="F14801">
            <v>392393602004</v>
          </cell>
        </row>
        <row r="14802">
          <cell r="E14802" t="str">
            <v>LUC-E00-440012-00</v>
          </cell>
          <cell r="F14802">
            <v>409298798148</v>
          </cell>
        </row>
        <row r="14803">
          <cell r="E14803" t="str">
            <v>HLOB-12-0467-00</v>
          </cell>
          <cell r="F14803">
            <v>409298798148</v>
          </cell>
        </row>
        <row r="14804">
          <cell r="E14804" t="str">
            <v>LUC-EZZ-420084-00</v>
          </cell>
          <cell r="F14804">
            <v>409298798148</v>
          </cell>
        </row>
        <row r="14805">
          <cell r="E14805" t="str">
            <v>LUC-EZZ-420100-00</v>
          </cell>
          <cell r="F14805">
            <v>409298798148</v>
          </cell>
        </row>
        <row r="14806">
          <cell r="E14806" t="str">
            <v>LUC-EZZ-400609-00</v>
          </cell>
          <cell r="F14806">
            <v>409298798148</v>
          </cell>
        </row>
        <row r="14807">
          <cell r="E14807" t="str">
            <v>LUC-E00-420002-07</v>
          </cell>
          <cell r="F14807">
            <v>409298798148</v>
          </cell>
        </row>
        <row r="14808">
          <cell r="E14808" t="str">
            <v>LUC-EZZ-420143-00</v>
          </cell>
          <cell r="F14808">
            <v>409298798148</v>
          </cell>
        </row>
        <row r="14809">
          <cell r="E14809" t="str">
            <v>LUC-EZZ-420098-00</v>
          </cell>
          <cell r="F14809">
            <v>409298798148</v>
          </cell>
        </row>
        <row r="14810">
          <cell r="E14810" t="str">
            <v>LUC-EZZ-420159-00</v>
          </cell>
          <cell r="F14810">
            <v>409298798148</v>
          </cell>
        </row>
        <row r="14811">
          <cell r="E14811" t="str">
            <v>LUC-EZZ-420058-00</v>
          </cell>
          <cell r="F14811">
            <v>409298798148</v>
          </cell>
        </row>
        <row r="14812">
          <cell r="E14812" t="str">
            <v>LUC-EZZ-420058-00</v>
          </cell>
          <cell r="F14812">
            <v>409298798148</v>
          </cell>
        </row>
        <row r="14813">
          <cell r="E14813" t="str">
            <v>LUC-EZZ-420085-00</v>
          </cell>
          <cell r="F14813">
            <v>409298798148</v>
          </cell>
        </row>
        <row r="14814">
          <cell r="E14814" t="str">
            <v>LUC-EZZ-420100-00</v>
          </cell>
          <cell r="F14814">
            <v>409298798148</v>
          </cell>
        </row>
        <row r="14815">
          <cell r="E14815" t="str">
            <v>PUR-12-0470-00</v>
          </cell>
          <cell r="F14815">
            <v>409298798148</v>
          </cell>
        </row>
        <row r="14816">
          <cell r="E14816" t="str">
            <v>PUR-12-0467-00</v>
          </cell>
          <cell r="F14816">
            <v>409298798148</v>
          </cell>
        </row>
        <row r="14817">
          <cell r="E14817" t="str">
            <v>LUC-EZZ-420098-00</v>
          </cell>
          <cell r="F14817">
            <v>409298798148</v>
          </cell>
        </row>
        <row r="14818">
          <cell r="E14818" t="str">
            <v>LUC-EZZ-420084-00</v>
          </cell>
          <cell r="F14818">
            <v>409298798148</v>
          </cell>
        </row>
        <row r="14819">
          <cell r="E14819" t="str">
            <v>LUC-EZZ-420175-00</v>
          </cell>
          <cell r="F14819">
            <v>409298798148</v>
          </cell>
        </row>
        <row r="14820">
          <cell r="E14820" t="str">
            <v>LUC-EZZ-420175-00</v>
          </cell>
          <cell r="F14820">
            <v>409298798148</v>
          </cell>
        </row>
        <row r="14821">
          <cell r="E14821" t="str">
            <v>LUC-EZZ-440073-00</v>
          </cell>
          <cell r="F14821">
            <v>409298798148</v>
          </cell>
        </row>
        <row r="14822">
          <cell r="E14822" t="str">
            <v>LUC-EZZ-440073-00</v>
          </cell>
          <cell r="F14822">
            <v>409298798148</v>
          </cell>
        </row>
        <row r="14823">
          <cell r="E14823" t="str">
            <v>LUC-E00-420049-01</v>
          </cell>
          <cell r="F14823">
            <v>409298798148</v>
          </cell>
        </row>
        <row r="14824">
          <cell r="E14824" t="str">
            <v>LUC-EZZ-400609-00</v>
          </cell>
          <cell r="F14824">
            <v>409298798148</v>
          </cell>
        </row>
        <row r="14825">
          <cell r="E14825" t="str">
            <v>LUC-E00-440024-00</v>
          </cell>
          <cell r="F14825">
            <v>409298798148</v>
          </cell>
        </row>
        <row r="14826">
          <cell r="E14826" t="str">
            <v>LUC-E00-420002-03</v>
          </cell>
          <cell r="F14826">
            <v>409298798148</v>
          </cell>
        </row>
        <row r="14827">
          <cell r="E14827" t="str">
            <v>LUC-E00-420011-05</v>
          </cell>
          <cell r="F14827">
            <v>409298798148</v>
          </cell>
        </row>
        <row r="14828">
          <cell r="E14828" t="str">
            <v>HLOB-12-0470-00</v>
          </cell>
          <cell r="F14828">
            <v>409298798148</v>
          </cell>
        </row>
        <row r="14829">
          <cell r="E14829" t="str">
            <v>LUC-EZZ-420098-00</v>
          </cell>
          <cell r="F14829">
            <v>409298798148</v>
          </cell>
        </row>
        <row r="14830">
          <cell r="E14830" t="str">
            <v>LUC-EZZ-420058-00</v>
          </cell>
          <cell r="F14830">
            <v>409298798148</v>
          </cell>
        </row>
        <row r="14831">
          <cell r="E14831" t="str">
            <v>LUC-EZZ-420085-00</v>
          </cell>
          <cell r="F14831">
            <v>409298798148</v>
          </cell>
        </row>
        <row r="14832">
          <cell r="E14832" t="str">
            <v>LUC-EZZ-420084-00</v>
          </cell>
          <cell r="F14832">
            <v>409298798148</v>
          </cell>
        </row>
        <row r="14833">
          <cell r="E14833" t="str">
            <v>LUC-EZZ-420403-00</v>
          </cell>
          <cell r="F14833">
            <v>409298798148</v>
          </cell>
        </row>
        <row r="14834">
          <cell r="E14834" t="str">
            <v>LUC-E00-470073-00</v>
          </cell>
          <cell r="F14834">
            <v>392431502120</v>
          </cell>
        </row>
        <row r="14835">
          <cell r="E14835" t="str">
            <v>LUC-P11-K37000-02</v>
          </cell>
          <cell r="F14835">
            <v>472187327021</v>
          </cell>
        </row>
        <row r="14836">
          <cell r="E14836" t="str">
            <v>LUC-EZZ-470138-00</v>
          </cell>
          <cell r="F14836">
            <v>392432678889</v>
          </cell>
        </row>
        <row r="14837">
          <cell r="E14837" t="str">
            <v>LUC-P11-K41D00-01</v>
          </cell>
          <cell r="F14837">
            <v>475938867271</v>
          </cell>
        </row>
        <row r="14838">
          <cell r="E14838" t="str">
            <v>LUC-P11-K41D00-01</v>
          </cell>
          <cell r="F14838">
            <v>475938867271</v>
          </cell>
        </row>
        <row r="14839">
          <cell r="E14839" t="str">
            <v>LUC-P11-K41D00-01</v>
          </cell>
          <cell r="F14839">
            <v>475938867271</v>
          </cell>
        </row>
        <row r="14840">
          <cell r="E14840" t="str">
            <v>LUC-P11-K41D00-01</v>
          </cell>
          <cell r="F14840">
            <v>475938867271</v>
          </cell>
        </row>
        <row r="14841">
          <cell r="E14841" t="str">
            <v>PURC-11-0136-02</v>
          </cell>
          <cell r="F14841">
            <v>883851305788</v>
          </cell>
        </row>
        <row r="14842">
          <cell r="E14842" t="str">
            <v>HLOB-03-0038-00</v>
          </cell>
          <cell r="F14842">
            <v>478058637280</v>
          </cell>
        </row>
        <row r="14843">
          <cell r="E14843" t="str">
            <v>HLOB-03-0038-00</v>
          </cell>
          <cell r="F14843">
            <v>478058637280</v>
          </cell>
        </row>
        <row r="14844">
          <cell r="E14844" t="str">
            <v>PURC-03-0116-02</v>
          </cell>
          <cell r="F14844">
            <v>478058775479</v>
          </cell>
        </row>
        <row r="14845">
          <cell r="E14845" t="str">
            <v>PURC-03-0116-02</v>
          </cell>
          <cell r="F14845">
            <v>478058749611</v>
          </cell>
        </row>
        <row r="14846">
          <cell r="E14846" t="str">
            <v>PURC-03-0116-02</v>
          </cell>
          <cell r="F14846">
            <v>478058778191</v>
          </cell>
        </row>
        <row r="14847">
          <cell r="E14847" t="str">
            <v>LUC-E00-510032-00</v>
          </cell>
          <cell r="F14847">
            <v>474589712828</v>
          </cell>
        </row>
        <row r="14848">
          <cell r="E14848" t="str">
            <v>LUC-E00-470013-00</v>
          </cell>
          <cell r="F14848">
            <v>474589712828</v>
          </cell>
        </row>
        <row r="14849">
          <cell r="E14849" t="str">
            <v>HLOB-09-0477-00</v>
          </cell>
          <cell r="F14849">
            <v>883796639309</v>
          </cell>
        </row>
        <row r="14850">
          <cell r="E14850" t="str">
            <v>HLOB-09-0477-00</v>
          </cell>
          <cell r="F14850">
            <v>883796639309</v>
          </cell>
        </row>
        <row r="14851">
          <cell r="E14851" t="str">
            <v>LUC-E00-470036-00</v>
          </cell>
          <cell r="F14851">
            <v>883796639309</v>
          </cell>
        </row>
        <row r="14852">
          <cell r="E14852" t="str">
            <v>LUC-EZZ-470855-00</v>
          </cell>
          <cell r="F14852">
            <v>883796639309</v>
          </cell>
        </row>
        <row r="14853">
          <cell r="E14853" t="str">
            <v>LUC-E00-470036-00</v>
          </cell>
          <cell r="F14853">
            <v>883796639309</v>
          </cell>
        </row>
        <row r="14854">
          <cell r="E14854" t="str">
            <v>LUC-EZZ-510030-00</v>
          </cell>
          <cell r="F14854">
            <v>883796639309</v>
          </cell>
        </row>
        <row r="14855">
          <cell r="E14855" t="str">
            <v>LUC-EZZ-420211-00</v>
          </cell>
          <cell r="F14855">
            <v>883796639309</v>
          </cell>
        </row>
        <row r="14856">
          <cell r="E14856" t="str">
            <v>LUC-E00-420238-00</v>
          </cell>
          <cell r="F14856">
            <v>883796639309</v>
          </cell>
        </row>
        <row r="14857">
          <cell r="E14857" t="str">
            <v>LUC-E00-420238-00</v>
          </cell>
          <cell r="F14857">
            <v>883796639309</v>
          </cell>
        </row>
        <row r="14858">
          <cell r="E14858" t="str">
            <v>LUC-E00-400059-004</v>
          </cell>
          <cell r="F14858">
            <v>883796639309</v>
          </cell>
        </row>
        <row r="14859">
          <cell r="E14859" t="str">
            <v>LUC-E00-400059-140</v>
          </cell>
          <cell r="F14859">
            <v>883796639309</v>
          </cell>
        </row>
        <row r="14860">
          <cell r="E14860" t="str">
            <v>LUC-E00-400011-005</v>
          </cell>
          <cell r="F14860">
            <v>883796639309</v>
          </cell>
        </row>
        <row r="14861">
          <cell r="E14861" t="str">
            <v>LUC-E00-400011-005</v>
          </cell>
          <cell r="F14861">
            <v>883796639309</v>
          </cell>
        </row>
        <row r="14862">
          <cell r="E14862" t="str">
            <v>LUC-E00-420028-00</v>
          </cell>
          <cell r="F14862">
            <v>883796639309</v>
          </cell>
        </row>
        <row r="14863">
          <cell r="E14863" t="str">
            <v>LUC-EZZ-400011-00</v>
          </cell>
          <cell r="F14863">
            <v>883796639309</v>
          </cell>
        </row>
        <row r="14864">
          <cell r="E14864" t="str">
            <v>LUC-EZZ-440200-00</v>
          </cell>
          <cell r="F14864">
            <v>883796639309</v>
          </cell>
        </row>
        <row r="14865">
          <cell r="E14865" t="str">
            <v>LUC-EZZ-510023-00</v>
          </cell>
          <cell r="F14865">
            <v>883796639309</v>
          </cell>
        </row>
        <row r="14866">
          <cell r="E14866" t="str">
            <v>LUC-E00-470116-00</v>
          </cell>
          <cell r="F14866">
            <v>883796639309</v>
          </cell>
        </row>
        <row r="14867">
          <cell r="E14867" t="str">
            <v>AIC-MP-00004955-000</v>
          </cell>
          <cell r="F14867">
            <v>883796639309</v>
          </cell>
        </row>
        <row r="14868">
          <cell r="E14868" t="str">
            <v>LUC-EZZ-490317-04</v>
          </cell>
          <cell r="F14868">
            <v>7285057312</v>
          </cell>
        </row>
        <row r="14869">
          <cell r="E14869" t="str">
            <v>HLOB-11-0104-06</v>
          </cell>
          <cell r="F14869" t="str">
            <v>PSHPH2580133</v>
          </cell>
        </row>
        <row r="14870">
          <cell r="E14870" t="str">
            <v>HLOB-11-0104-06</v>
          </cell>
          <cell r="F14870" t="str">
            <v>PSHPH2580133</v>
          </cell>
        </row>
        <row r="14871">
          <cell r="E14871" t="str">
            <v>HLOB-11-0104-06</v>
          </cell>
          <cell r="F14871" t="str">
            <v>PSHPH2580133</v>
          </cell>
        </row>
        <row r="14872">
          <cell r="E14872" t="str">
            <v>LUC-EZZ-690138-00</v>
          </cell>
          <cell r="F14872" t="str">
            <v>SA250707107</v>
          </cell>
        </row>
        <row r="14873">
          <cell r="E14873" t="str">
            <v>LUC-EZZ-690138-01</v>
          </cell>
          <cell r="F14873" t="str">
            <v>SA250707107</v>
          </cell>
        </row>
        <row r="14874">
          <cell r="E14874" t="str">
            <v>LUC-EZZ-690138-02</v>
          </cell>
          <cell r="F14874" t="str">
            <v>SA250707107</v>
          </cell>
        </row>
        <row r="14875">
          <cell r="E14875" t="str">
            <v>LUC-EZZ-690138-03</v>
          </cell>
          <cell r="F14875" t="str">
            <v>SA250707107</v>
          </cell>
        </row>
        <row r="14876">
          <cell r="E14876" t="str">
            <v>LUC-EZZ-690138-04</v>
          </cell>
          <cell r="F14876" t="str">
            <v>SA250707107</v>
          </cell>
        </row>
        <row r="14877">
          <cell r="E14877" t="str">
            <v>LUC-P11-K33900-02</v>
          </cell>
          <cell r="F14877" t="str">
            <v>SA250707107</v>
          </cell>
        </row>
        <row r="14878">
          <cell r="E14878" t="str">
            <v>LUC-P11-K33A00-02</v>
          </cell>
          <cell r="F14878" t="str">
            <v>SA250707107</v>
          </cell>
        </row>
        <row r="14879">
          <cell r="E14879" t="str">
            <v>LUC-P11-K33B00-02</v>
          </cell>
          <cell r="F14879" t="str">
            <v>SA250707107</v>
          </cell>
        </row>
        <row r="14880">
          <cell r="E14880" t="str">
            <v>LUC-P11-K33P00-00</v>
          </cell>
          <cell r="F14880" t="str">
            <v>SA250707107</v>
          </cell>
        </row>
        <row r="14881">
          <cell r="E14881" t="str">
            <v>LUC-P11-K33R00-01</v>
          </cell>
          <cell r="F14881" t="str">
            <v>SA250707107</v>
          </cell>
        </row>
        <row r="14882">
          <cell r="E14882" t="str">
            <v>EF-45061084</v>
          </cell>
          <cell r="F14882">
            <v>4711877154</v>
          </cell>
        </row>
        <row r="14883">
          <cell r="E14883" t="str">
            <v>AIC-MP-00006919-000</v>
          </cell>
          <cell r="F14883">
            <v>4711877154</v>
          </cell>
        </row>
        <row r="14884">
          <cell r="E14884" t="str">
            <v>LUC-E00-420054-03</v>
          </cell>
          <cell r="F14884">
            <v>4711877154</v>
          </cell>
        </row>
        <row r="14885">
          <cell r="E14885" t="str">
            <v>LUC-E00-420084-00</v>
          </cell>
          <cell r="F14885">
            <v>4711877154</v>
          </cell>
        </row>
        <row r="14886">
          <cell r="E14886" t="str">
            <v>LUC-E00-400025-01</v>
          </cell>
          <cell r="F14886">
            <v>4711877154</v>
          </cell>
        </row>
        <row r="14887">
          <cell r="E14887" t="str">
            <v>AIC-122-004385</v>
          </cell>
          <cell r="F14887">
            <v>4711877154</v>
          </cell>
        </row>
        <row r="14888">
          <cell r="E14888" t="str">
            <v>LUC-EZZ-510052-00</v>
          </cell>
          <cell r="F14888">
            <v>4711877154</v>
          </cell>
        </row>
        <row r="14889">
          <cell r="E14889" t="str">
            <v>LUC-EZZ-510052-00</v>
          </cell>
          <cell r="F14889">
            <v>4711877154</v>
          </cell>
        </row>
        <row r="14890">
          <cell r="E14890" t="str">
            <v>LUC-EZZ-510052-00</v>
          </cell>
          <cell r="F14890">
            <v>4711877154</v>
          </cell>
        </row>
        <row r="14891">
          <cell r="E14891" t="str">
            <v>LUC-EZZ-420695-01</v>
          </cell>
          <cell r="F14891">
            <v>4711877154</v>
          </cell>
        </row>
        <row r="14892">
          <cell r="E14892" t="str">
            <v>EF-45092354.X.X</v>
          </cell>
          <cell r="F14892">
            <v>4711877154</v>
          </cell>
        </row>
        <row r="14893">
          <cell r="E14893" t="str">
            <v>PUR-09-0408-00</v>
          </cell>
          <cell r="F14893">
            <v>4711877154</v>
          </cell>
        </row>
        <row r="14894">
          <cell r="E14894" t="str">
            <v>PUR-09-0408-00</v>
          </cell>
          <cell r="F14894">
            <v>4711877154</v>
          </cell>
        </row>
        <row r="14895">
          <cell r="E14895" t="str">
            <v>LUC-E00-470252-00</v>
          </cell>
          <cell r="F14895">
            <v>4711877154</v>
          </cell>
        </row>
        <row r="14896">
          <cell r="E14896" t="str">
            <v>LUC-E00-470252-00</v>
          </cell>
          <cell r="F14896">
            <v>4711877154</v>
          </cell>
        </row>
        <row r="14897">
          <cell r="E14897" t="str">
            <v>LUC-EZZ-420695-01</v>
          </cell>
          <cell r="F14897">
            <v>4711877154</v>
          </cell>
        </row>
        <row r="14898">
          <cell r="E14898" t="str">
            <v>LUC-EZZ-420665-00</v>
          </cell>
          <cell r="F14898">
            <v>4711877154</v>
          </cell>
        </row>
        <row r="14899">
          <cell r="E14899" t="str">
            <v>LUC-E00-420068-00</v>
          </cell>
          <cell r="F14899">
            <v>4711877154</v>
          </cell>
        </row>
        <row r="14900">
          <cell r="E14900" t="str">
            <v>LUC-E00-540019-00</v>
          </cell>
          <cell r="F14900">
            <v>4711877154</v>
          </cell>
        </row>
        <row r="14901">
          <cell r="E14901" t="str">
            <v>HLOB-25-0009-00</v>
          </cell>
          <cell r="F14901">
            <v>4711877154</v>
          </cell>
        </row>
        <row r="14902">
          <cell r="E14902" t="str">
            <v>LUC-E00-420068-00</v>
          </cell>
          <cell r="F14902">
            <v>4711877154</v>
          </cell>
        </row>
        <row r="14903">
          <cell r="E14903" t="str">
            <v>LUC-EZZ-440189-00</v>
          </cell>
          <cell r="F14903">
            <v>4711877154</v>
          </cell>
        </row>
        <row r="14904">
          <cell r="E14904" t="str">
            <v>LUC-EZZ-440189-00</v>
          </cell>
          <cell r="F14904">
            <v>4711877154</v>
          </cell>
        </row>
        <row r="14905">
          <cell r="E14905" t="str">
            <v>LUC-E00-540019-00</v>
          </cell>
          <cell r="F14905">
            <v>4711877154</v>
          </cell>
        </row>
        <row r="14906">
          <cell r="E14906" t="str">
            <v>LUC-EZZ-440036-00</v>
          </cell>
          <cell r="F14906">
            <v>4711877154</v>
          </cell>
        </row>
        <row r="14907">
          <cell r="E14907" t="str">
            <v>LUC-E00-540019-00</v>
          </cell>
          <cell r="F14907">
            <v>4711877154</v>
          </cell>
        </row>
        <row r="14908">
          <cell r="E14908" t="str">
            <v>LUC-EZZ-441672-00</v>
          </cell>
          <cell r="F14908">
            <v>4711877154</v>
          </cell>
        </row>
        <row r="14909">
          <cell r="E14909" t="str">
            <v>LUC-EZZ-420200-00</v>
          </cell>
          <cell r="F14909">
            <v>4711877154</v>
          </cell>
        </row>
        <row r="14910">
          <cell r="E14910" t="str">
            <v>LUC-EZZ-420256-00</v>
          </cell>
          <cell r="F14910">
            <v>4711877154</v>
          </cell>
        </row>
        <row r="14911">
          <cell r="E14911" t="str">
            <v>LUC-E00-420054-06</v>
          </cell>
          <cell r="F14911">
            <v>4711877154</v>
          </cell>
        </row>
        <row r="14912">
          <cell r="E14912" t="str">
            <v>LUC-EZZ-420344-00</v>
          </cell>
          <cell r="F14912">
            <v>4711877154</v>
          </cell>
        </row>
        <row r="14913">
          <cell r="E14913" t="str">
            <v>LUC-E00-540019-00</v>
          </cell>
          <cell r="F14913">
            <v>4711877154</v>
          </cell>
        </row>
        <row r="14914">
          <cell r="E14914" t="str">
            <v>LUC-E00-540005-00</v>
          </cell>
          <cell r="F14914">
            <v>4711877154</v>
          </cell>
        </row>
        <row r="14915">
          <cell r="E14915" t="str">
            <v>LUC-EZZ-420396-00</v>
          </cell>
          <cell r="F14915">
            <v>4711877154</v>
          </cell>
        </row>
        <row r="14916">
          <cell r="E14916" t="str">
            <v>LUC-EZZ-421554-00</v>
          </cell>
          <cell r="F14916">
            <v>4711877154</v>
          </cell>
        </row>
        <row r="14917">
          <cell r="E14917" t="str">
            <v>LUC-E00-540019-00</v>
          </cell>
          <cell r="F14917">
            <v>4711877154</v>
          </cell>
        </row>
        <row r="14918">
          <cell r="E14918" t="str">
            <v>LUC-EZZ-420482-00</v>
          </cell>
          <cell r="F14918">
            <v>4711877154</v>
          </cell>
        </row>
        <row r="14919">
          <cell r="E14919" t="str">
            <v>LUC-E00-420055-06</v>
          </cell>
          <cell r="F14919">
            <v>4711877154</v>
          </cell>
        </row>
        <row r="14920">
          <cell r="E14920" t="str">
            <v>LUC-E00-420054-06</v>
          </cell>
          <cell r="F14920">
            <v>4711877154</v>
          </cell>
        </row>
        <row r="14921">
          <cell r="E14921" t="str">
            <v>LUC-P11-KA6000-04</v>
          </cell>
          <cell r="F14921" t="str">
            <v>LSHHPH2507304</v>
          </cell>
        </row>
        <row r="14922">
          <cell r="E14922" t="str">
            <v>HLOB-09-0343-00</v>
          </cell>
          <cell r="F14922">
            <v>471782625654</v>
          </cell>
        </row>
        <row r="14923">
          <cell r="E14923" t="str">
            <v>LUC-P11-K33N00-00</v>
          </cell>
          <cell r="F14923">
            <v>883857092228</v>
          </cell>
        </row>
        <row r="14924">
          <cell r="E14924" t="str">
            <v>PUR-09-0233-00</v>
          </cell>
          <cell r="F14924">
            <v>471782626054</v>
          </cell>
        </row>
        <row r="14925">
          <cell r="E14925" t="str">
            <v>LUC-EZZ-690244-00</v>
          </cell>
          <cell r="F14925">
            <v>392351572218</v>
          </cell>
        </row>
        <row r="14926">
          <cell r="E14926" t="str">
            <v>LUC-E00-420184-00</v>
          </cell>
          <cell r="F14926">
            <v>883768635152</v>
          </cell>
        </row>
        <row r="14927">
          <cell r="E14927" t="str">
            <v>LUC-E00-420184-00</v>
          </cell>
          <cell r="F14927">
            <v>883768635152</v>
          </cell>
        </row>
        <row r="14928">
          <cell r="E14928" t="str">
            <v>EF-45036466.X.X</v>
          </cell>
          <cell r="F14928">
            <v>883768635152</v>
          </cell>
        </row>
        <row r="14929">
          <cell r="E14929" t="str">
            <v>HLOB-12-0482-00</v>
          </cell>
          <cell r="F14929">
            <v>883768635152</v>
          </cell>
        </row>
        <row r="14930">
          <cell r="E14930" t="str">
            <v>HLOB-13-0246-00</v>
          </cell>
          <cell r="F14930">
            <v>883768635152</v>
          </cell>
        </row>
        <row r="14931">
          <cell r="E14931" t="str">
            <v>EF-45043819.X.X</v>
          </cell>
          <cell r="F14931">
            <v>883768635152</v>
          </cell>
        </row>
        <row r="14932">
          <cell r="E14932" t="str">
            <v>EF-45083316.X.X</v>
          </cell>
          <cell r="F14932">
            <v>883768635152</v>
          </cell>
        </row>
        <row r="14933">
          <cell r="E14933" t="str">
            <v>EF-45083316.X.X</v>
          </cell>
          <cell r="F14933">
            <v>883768635152</v>
          </cell>
        </row>
        <row r="14934">
          <cell r="E14934" t="str">
            <v>AIC-122-004435</v>
          </cell>
          <cell r="F14934">
            <v>883768635152</v>
          </cell>
        </row>
        <row r="14935">
          <cell r="E14935" t="str">
            <v>AIC-MP-00007328-000</v>
          </cell>
          <cell r="F14935">
            <v>883768635152</v>
          </cell>
        </row>
        <row r="14936">
          <cell r="E14936" t="str">
            <v>EF-45043819.X.X</v>
          </cell>
          <cell r="F14936">
            <v>883768635152</v>
          </cell>
        </row>
        <row r="14937">
          <cell r="E14937" t="str">
            <v>LUC-EZZ-400542-00</v>
          </cell>
          <cell r="F14937">
            <v>445170550725</v>
          </cell>
        </row>
        <row r="14938">
          <cell r="E14938" t="str">
            <v>HLOB-09-0329-00</v>
          </cell>
          <cell r="F14938">
            <v>445170550714</v>
          </cell>
        </row>
        <row r="14939">
          <cell r="E14939" t="str">
            <v>LUC-EZZ-400248-00</v>
          </cell>
          <cell r="F14939">
            <v>445170550770</v>
          </cell>
        </row>
        <row r="14940">
          <cell r="E14940" t="str">
            <v>LUC-E00-400010-001</v>
          </cell>
          <cell r="F14940">
            <v>445170550791</v>
          </cell>
        </row>
        <row r="14941">
          <cell r="E14941" t="str">
            <v>LUC-E00-400010-044</v>
          </cell>
          <cell r="F14941">
            <v>445170550910</v>
          </cell>
        </row>
        <row r="14942">
          <cell r="E14942" t="str">
            <v>LUC-EZZ-470171-00</v>
          </cell>
          <cell r="F14942">
            <v>445170550942</v>
          </cell>
        </row>
        <row r="14943">
          <cell r="E14943" t="str">
            <v>LUC-E00-470353-00</v>
          </cell>
          <cell r="F14943">
            <v>445170550986</v>
          </cell>
        </row>
        <row r="14944">
          <cell r="E14944" t="str">
            <v>LUC-EZZ-470092-00</v>
          </cell>
          <cell r="F14944">
            <v>445170550997</v>
          </cell>
        </row>
        <row r="14945">
          <cell r="E14945" t="str">
            <v>LUC-EZZ-400917-00</v>
          </cell>
          <cell r="F14945">
            <v>445170551515</v>
          </cell>
        </row>
        <row r="14946">
          <cell r="E14946" t="str">
            <v>LUC-E00-400010-022</v>
          </cell>
          <cell r="F14946">
            <v>445170551434</v>
          </cell>
        </row>
        <row r="14947">
          <cell r="E14947" t="str">
            <v>LUC-E00-400010-021</v>
          </cell>
          <cell r="F14947">
            <v>445170551434</v>
          </cell>
        </row>
        <row r="14948">
          <cell r="E14948" t="str">
            <v>LUC-EZZ-400542-00</v>
          </cell>
          <cell r="F14948">
            <v>445170551342</v>
          </cell>
        </row>
        <row r="14949">
          <cell r="E14949" t="str">
            <v>LUC-E00-400010-022</v>
          </cell>
          <cell r="F14949">
            <v>445170551342</v>
          </cell>
        </row>
        <row r="14950">
          <cell r="E14950" t="str">
            <v>LUC-EZZ-400542-00</v>
          </cell>
          <cell r="F14950">
            <v>445170551342</v>
          </cell>
        </row>
        <row r="14951">
          <cell r="E14951" t="str">
            <v>LUC-E00-470029-00</v>
          </cell>
          <cell r="F14951">
            <v>445170551607</v>
          </cell>
        </row>
        <row r="14952">
          <cell r="E14952" t="str">
            <v>LUC-E00-400010-044</v>
          </cell>
          <cell r="F14952">
            <v>445170551640</v>
          </cell>
        </row>
        <row r="14953">
          <cell r="E14953" t="str">
            <v>LUC-EZZ-470431-00</v>
          </cell>
          <cell r="F14953">
            <v>445170551651</v>
          </cell>
        </row>
        <row r="14954">
          <cell r="E14954" t="str">
            <v>LUC-E00-400010-044</v>
          </cell>
          <cell r="F14954">
            <v>445170551673</v>
          </cell>
        </row>
        <row r="14955">
          <cell r="E14955" t="str">
            <v>LUC-EZZ-470181-00</v>
          </cell>
          <cell r="F14955">
            <v>445170551824</v>
          </cell>
        </row>
        <row r="14956">
          <cell r="E14956" t="str">
            <v>LUC-E00-470041-00</v>
          </cell>
          <cell r="F14956">
            <v>445170551813</v>
          </cell>
        </row>
        <row r="14957">
          <cell r="E14957" t="str">
            <v>LUC-EZZ-470241-00</v>
          </cell>
          <cell r="F14957">
            <v>445170551776</v>
          </cell>
        </row>
        <row r="14958">
          <cell r="E14958" t="str">
            <v>LUC-EZZ-470248-02</v>
          </cell>
          <cell r="F14958">
            <v>445170551776</v>
          </cell>
        </row>
        <row r="14959">
          <cell r="E14959" t="str">
            <v>LUC-E00-470070-00</v>
          </cell>
          <cell r="F14959">
            <v>445170551776</v>
          </cell>
        </row>
        <row r="14960">
          <cell r="E14960" t="str">
            <v>LUC-E00-400010-044</v>
          </cell>
          <cell r="F14960">
            <v>445170551868</v>
          </cell>
        </row>
        <row r="14961">
          <cell r="E14961" t="str">
            <v>LUC-EZZ-400248-00</v>
          </cell>
          <cell r="F14961">
            <v>445170551880</v>
          </cell>
        </row>
        <row r="14962">
          <cell r="E14962" t="str">
            <v>LUC-EZZ-400261-00</v>
          </cell>
          <cell r="F14962">
            <v>445170551880</v>
          </cell>
        </row>
        <row r="14963">
          <cell r="E14963" t="str">
            <v>LUC-E00-400001-012</v>
          </cell>
          <cell r="F14963">
            <v>445170551905</v>
          </cell>
        </row>
        <row r="14964">
          <cell r="E14964" t="str">
            <v>LUC-E00-400001-012</v>
          </cell>
          <cell r="F14964">
            <v>445170551905</v>
          </cell>
        </row>
        <row r="14965">
          <cell r="E14965" t="str">
            <v>LUC-E00-400001-012</v>
          </cell>
          <cell r="F14965">
            <v>445170551905</v>
          </cell>
        </row>
        <row r="14966">
          <cell r="E14966" t="str">
            <v>LUC-EZZ-400162-00</v>
          </cell>
          <cell r="F14966">
            <v>445170552463</v>
          </cell>
        </row>
        <row r="14967">
          <cell r="E14967" t="str">
            <v>LUC-E00-460007-00</v>
          </cell>
          <cell r="F14967">
            <v>445170552430</v>
          </cell>
        </row>
        <row r="14968">
          <cell r="E14968" t="str">
            <v>LUC-E00-470070-00</v>
          </cell>
          <cell r="F14968">
            <v>445170552669</v>
          </cell>
        </row>
        <row r="14969">
          <cell r="E14969" t="str">
            <v>LUC-E00-470259-00</v>
          </cell>
          <cell r="F14969">
            <v>472856896850</v>
          </cell>
        </row>
        <row r="14970">
          <cell r="E14970" t="str">
            <v>LUC-E00-470259-00</v>
          </cell>
          <cell r="F14970">
            <v>472856896850</v>
          </cell>
        </row>
        <row r="14971">
          <cell r="E14971" t="str">
            <v>AIC-MP-00004104-000</v>
          </cell>
          <cell r="F14971">
            <v>883817121912</v>
          </cell>
        </row>
        <row r="14972">
          <cell r="E14972" t="str">
            <v>LUC-E00-420072-00</v>
          </cell>
          <cell r="F14972">
            <v>472182076340</v>
          </cell>
        </row>
        <row r="14973">
          <cell r="E14973" t="str">
            <v>LUC-EZZ-400054-00</v>
          </cell>
          <cell r="F14973">
            <v>472182076340</v>
          </cell>
        </row>
        <row r="14974">
          <cell r="E14974" t="str">
            <v>LUC-EZZ-440192-00</v>
          </cell>
          <cell r="F14974">
            <v>472182076340</v>
          </cell>
        </row>
        <row r="14975">
          <cell r="E14975" t="str">
            <v>EF-45096952</v>
          </cell>
          <cell r="F14975">
            <v>472182076340</v>
          </cell>
        </row>
        <row r="14976">
          <cell r="E14976" t="str">
            <v>EF-45236260</v>
          </cell>
          <cell r="F14976">
            <v>477645775012</v>
          </cell>
        </row>
        <row r="14977">
          <cell r="E14977" t="str">
            <v>LUC-E00-400011-004</v>
          </cell>
          <cell r="F14977">
            <v>477645775012</v>
          </cell>
        </row>
        <row r="14978">
          <cell r="E14978" t="str">
            <v>LUC-EZZ-400537-00</v>
          </cell>
          <cell r="F14978">
            <v>477645775012</v>
          </cell>
        </row>
        <row r="14979">
          <cell r="E14979" t="str">
            <v>122-000777.X.X</v>
          </cell>
          <cell r="F14979">
            <v>477645775012</v>
          </cell>
        </row>
        <row r="14980">
          <cell r="E14980" t="str">
            <v>EF-45100289</v>
          </cell>
          <cell r="F14980">
            <v>477645775012</v>
          </cell>
        </row>
        <row r="14981">
          <cell r="E14981" t="str">
            <v>EF-45236260</v>
          </cell>
          <cell r="F14981">
            <v>477645775012</v>
          </cell>
        </row>
        <row r="14982">
          <cell r="E14982" t="str">
            <v>LUC-E00-470060-00</v>
          </cell>
          <cell r="F14982">
            <v>477645775012</v>
          </cell>
        </row>
        <row r="14983">
          <cell r="E14983" t="str">
            <v>LUC-E00-470060-00</v>
          </cell>
          <cell r="F14983">
            <v>477645775012</v>
          </cell>
        </row>
        <row r="14984">
          <cell r="E14984" t="str">
            <v>AIC-MP-00003273-000</v>
          </cell>
          <cell r="F14984">
            <v>477645775012</v>
          </cell>
        </row>
        <row r="14985">
          <cell r="E14985" t="str">
            <v>HLOB-09-0343-00</v>
          </cell>
          <cell r="F14985">
            <v>470198019199</v>
          </cell>
        </row>
        <row r="14986">
          <cell r="E14986" t="str">
            <v>LUC-E00-470073-00</v>
          </cell>
          <cell r="F14986">
            <v>392435569078</v>
          </cell>
        </row>
        <row r="14987">
          <cell r="E14987" t="str">
            <v>LUC-E00-470079-00</v>
          </cell>
          <cell r="F14987">
            <v>392435569078</v>
          </cell>
        </row>
        <row r="14988">
          <cell r="E14988" t="str">
            <v>AIC-MP-00007042-000</v>
          </cell>
          <cell r="F14988">
            <v>883887760599</v>
          </cell>
        </row>
        <row r="14989">
          <cell r="E14989" t="str">
            <v>AIC-MP-CN007105-S01</v>
          </cell>
          <cell r="F14989">
            <v>883887760599</v>
          </cell>
        </row>
        <row r="14990">
          <cell r="E14990" t="str">
            <v>LUC-E00-510017-00</v>
          </cell>
          <cell r="F14990">
            <v>972682043780</v>
          </cell>
        </row>
        <row r="14991">
          <cell r="E14991" t="str">
            <v>LUC-E00-440047-00</v>
          </cell>
          <cell r="F14991">
            <v>972682043780</v>
          </cell>
        </row>
        <row r="14992">
          <cell r="E14992" t="str">
            <v>LUC-EZZ-510052-00</v>
          </cell>
          <cell r="F14992">
            <v>972682043780</v>
          </cell>
        </row>
        <row r="14993">
          <cell r="E14993" t="str">
            <v>LUC-E00-420054-03</v>
          </cell>
          <cell r="F14993">
            <v>972682043780</v>
          </cell>
        </row>
        <row r="14994">
          <cell r="E14994" t="str">
            <v>PURC-03-0116-02</v>
          </cell>
          <cell r="F14994">
            <v>478058751699</v>
          </cell>
        </row>
        <row r="14995">
          <cell r="E14995" t="str">
            <v>PURC-03-0116-02</v>
          </cell>
          <cell r="F14995">
            <v>478058789280</v>
          </cell>
        </row>
        <row r="14996">
          <cell r="E14996" t="str">
            <v>PURC-03-0116-02</v>
          </cell>
          <cell r="F14996">
            <v>478058793765</v>
          </cell>
        </row>
        <row r="14997">
          <cell r="E14997" t="str">
            <v>LUC-E00-690001-00</v>
          </cell>
          <cell r="F14997">
            <v>4110327739</v>
          </cell>
        </row>
        <row r="14998">
          <cell r="E14998" t="str">
            <v>EF-45135293</v>
          </cell>
          <cell r="F14998">
            <v>4812839041</v>
          </cell>
        </row>
        <row r="14999">
          <cell r="E14999" t="str">
            <v>EF-45047403.X.X</v>
          </cell>
          <cell r="F14999">
            <v>4812839041</v>
          </cell>
        </row>
        <row r="15000">
          <cell r="E15000" t="str">
            <v>LUC-EZZ-420097-00</v>
          </cell>
          <cell r="F15000">
            <v>4812839041</v>
          </cell>
        </row>
        <row r="15001">
          <cell r="E15001" t="str">
            <v>LUC-E00-420002-00</v>
          </cell>
          <cell r="F15001">
            <v>4812839041</v>
          </cell>
        </row>
        <row r="15002">
          <cell r="E15002" t="str">
            <v>LUC-EZZ-420118-00</v>
          </cell>
          <cell r="F15002">
            <v>4812839041</v>
          </cell>
        </row>
        <row r="15003">
          <cell r="E15003" t="str">
            <v>LUC-EZZ-420118-00</v>
          </cell>
          <cell r="F15003">
            <v>4812839041</v>
          </cell>
        </row>
        <row r="15004">
          <cell r="E15004" t="str">
            <v>LUC-E00-420002-00</v>
          </cell>
          <cell r="F15004">
            <v>4812839041</v>
          </cell>
        </row>
        <row r="15005">
          <cell r="E15005" t="str">
            <v>LUC-EZZ-420118-00</v>
          </cell>
          <cell r="F15005">
            <v>4812839041</v>
          </cell>
        </row>
        <row r="15006">
          <cell r="E15006" t="str">
            <v>LUC-EZZ-420118-00</v>
          </cell>
          <cell r="F15006">
            <v>4812839041</v>
          </cell>
        </row>
        <row r="15007">
          <cell r="E15007" t="str">
            <v>LUC-EZZ-420219-00</v>
          </cell>
          <cell r="F15007">
            <v>4812839041</v>
          </cell>
        </row>
        <row r="15008">
          <cell r="E15008" t="str">
            <v>LUC-EZZ-420118-00</v>
          </cell>
          <cell r="F15008">
            <v>4812839041</v>
          </cell>
        </row>
        <row r="15009">
          <cell r="E15009" t="str">
            <v>LUC-EZZ-420097-00</v>
          </cell>
          <cell r="F15009">
            <v>4812839041</v>
          </cell>
        </row>
        <row r="15010">
          <cell r="E15010" t="str">
            <v>LUC-EZZ-420118-00</v>
          </cell>
          <cell r="F15010">
            <v>4812839041</v>
          </cell>
        </row>
        <row r="15011">
          <cell r="E15011" t="str">
            <v>LUC-EZZ-420219-00</v>
          </cell>
          <cell r="F15011">
            <v>4812839041</v>
          </cell>
        </row>
        <row r="15012">
          <cell r="E15012" t="str">
            <v>LUC-EZZ-420097-00</v>
          </cell>
          <cell r="F15012">
            <v>4812839041</v>
          </cell>
        </row>
        <row r="15013">
          <cell r="E15013" t="str">
            <v>LUC-EZZ-420118-00</v>
          </cell>
          <cell r="F15013">
            <v>4812839041</v>
          </cell>
        </row>
        <row r="15014">
          <cell r="E15014" t="str">
            <v>LUC-EZZ-420219-00</v>
          </cell>
          <cell r="F15014">
            <v>4812839041</v>
          </cell>
        </row>
        <row r="15015">
          <cell r="E15015" t="str">
            <v>LUC-EZZ-420321-00</v>
          </cell>
          <cell r="F15015">
            <v>4812839041</v>
          </cell>
        </row>
        <row r="15016">
          <cell r="E15016" t="str">
            <v>LUC-E00-420048-00</v>
          </cell>
          <cell r="F15016">
            <v>4812839041</v>
          </cell>
        </row>
        <row r="15017">
          <cell r="E15017" t="str">
            <v>LUC-EZZ-420261-00</v>
          </cell>
          <cell r="F15017">
            <v>4812839041</v>
          </cell>
        </row>
        <row r="15018">
          <cell r="E15018" t="str">
            <v>LUC-EZZ-420133-00</v>
          </cell>
          <cell r="F15018">
            <v>4812839041</v>
          </cell>
        </row>
        <row r="15019">
          <cell r="E15019" t="str">
            <v>LUC-EZZ-420527-00</v>
          </cell>
          <cell r="F15019">
            <v>4812839041</v>
          </cell>
        </row>
        <row r="15020">
          <cell r="E15020" t="str">
            <v>LUC-E00-420275-00</v>
          </cell>
          <cell r="F15020">
            <v>4812839041</v>
          </cell>
        </row>
        <row r="15021">
          <cell r="E15021" t="str">
            <v>LUC-E00-420275-00</v>
          </cell>
          <cell r="F15021">
            <v>4812839041</v>
          </cell>
        </row>
        <row r="15022">
          <cell r="E15022" t="str">
            <v>LUC-E00-400059-098</v>
          </cell>
          <cell r="F15022">
            <v>4812839041</v>
          </cell>
        </row>
        <row r="15023">
          <cell r="E15023" t="str">
            <v>LUC-E00-400059-098</v>
          </cell>
          <cell r="F15023">
            <v>4812839041</v>
          </cell>
        </row>
        <row r="15024">
          <cell r="E15024" t="str">
            <v>LUC-E00-400059-098</v>
          </cell>
          <cell r="F15024">
            <v>4812839041</v>
          </cell>
        </row>
        <row r="15025">
          <cell r="E15025" t="str">
            <v>LUC-E00-400059-098</v>
          </cell>
          <cell r="F15025">
            <v>4812839041</v>
          </cell>
        </row>
        <row r="15026">
          <cell r="E15026" t="str">
            <v>EF-45094378</v>
          </cell>
          <cell r="F15026">
            <v>4812839041</v>
          </cell>
        </row>
        <row r="15027">
          <cell r="E15027" t="str">
            <v>LUC-E00-420072-01</v>
          </cell>
          <cell r="F15027">
            <v>4812839041</v>
          </cell>
        </row>
        <row r="15028">
          <cell r="E15028" t="str">
            <v>EF-45060487.X.X</v>
          </cell>
          <cell r="F15028">
            <v>4812839041</v>
          </cell>
        </row>
        <row r="15029">
          <cell r="E15029" t="str">
            <v>HLOB-13-0212-00</v>
          </cell>
          <cell r="F15029">
            <v>4812839041</v>
          </cell>
        </row>
        <row r="15030">
          <cell r="E15030" t="str">
            <v>HLOB-13-0212-00</v>
          </cell>
          <cell r="F15030">
            <v>4812839041</v>
          </cell>
        </row>
        <row r="15031">
          <cell r="E15031" t="str">
            <v>HLOB-13-0022-00</v>
          </cell>
          <cell r="F15031">
            <v>4812839041</v>
          </cell>
        </row>
        <row r="15032">
          <cell r="E15032" t="str">
            <v>LUC-EZZ-420539-00</v>
          </cell>
          <cell r="F15032">
            <v>4812839041</v>
          </cell>
        </row>
        <row r="15033">
          <cell r="E15033" t="str">
            <v>LUC-EZZ-420125-00</v>
          </cell>
          <cell r="F15033">
            <v>4812839041</v>
          </cell>
        </row>
        <row r="15034">
          <cell r="E15034" t="str">
            <v>HLOB-13-0138-00</v>
          </cell>
          <cell r="F15034">
            <v>4812839041</v>
          </cell>
        </row>
        <row r="15035">
          <cell r="E15035" t="str">
            <v>HLOB-13-0138-00</v>
          </cell>
          <cell r="F15035">
            <v>4812839041</v>
          </cell>
        </row>
        <row r="15036">
          <cell r="E15036" t="str">
            <v>LUC-EZZ-690242-00</v>
          </cell>
          <cell r="F15036">
            <v>392288185494</v>
          </cell>
        </row>
        <row r="15037">
          <cell r="E15037" t="str">
            <v>PUR-31-0061-02</v>
          </cell>
          <cell r="F15037" t="str">
            <v>PSHPH2580111</v>
          </cell>
        </row>
        <row r="15038">
          <cell r="E15038" t="str">
            <v>PUR-31-0061-02</v>
          </cell>
          <cell r="F15038" t="str">
            <v>PSHPH2580111</v>
          </cell>
        </row>
        <row r="15039">
          <cell r="E15039" t="str">
            <v>HLOB-09-0343-00</v>
          </cell>
          <cell r="F15039">
            <v>471782626672</v>
          </cell>
        </row>
        <row r="15040">
          <cell r="E15040" t="str">
            <v>EF-45016922</v>
          </cell>
          <cell r="F15040">
            <v>419341576315</v>
          </cell>
        </row>
        <row r="15041">
          <cell r="E15041" t="str">
            <v>AGI-500-40179-01</v>
          </cell>
          <cell r="F15041">
            <v>419341576315</v>
          </cell>
        </row>
        <row r="15042">
          <cell r="E15042" t="str">
            <v>EF-45059490.X.X</v>
          </cell>
          <cell r="F15042">
            <v>419341576315</v>
          </cell>
        </row>
        <row r="15043">
          <cell r="E15043" t="str">
            <v>EF-45043837.X.X</v>
          </cell>
          <cell r="F15043">
            <v>419341576315</v>
          </cell>
        </row>
        <row r="15044">
          <cell r="E15044" t="str">
            <v>EF-45034167</v>
          </cell>
          <cell r="F15044">
            <v>419341576315</v>
          </cell>
        </row>
        <row r="15045">
          <cell r="E15045" t="str">
            <v>EF-45060929</v>
          </cell>
          <cell r="F15045">
            <v>419341576315</v>
          </cell>
        </row>
        <row r="15046">
          <cell r="E15046" t="str">
            <v>HLOB-13-0227-00</v>
          </cell>
          <cell r="F15046">
            <v>883888931182</v>
          </cell>
        </row>
        <row r="15047">
          <cell r="E15047" t="str">
            <v>LUC-E00-450009-00</v>
          </cell>
          <cell r="F15047">
            <v>883888931182</v>
          </cell>
        </row>
        <row r="15048">
          <cell r="E15048" t="str">
            <v>PUR-12-0337-00</v>
          </cell>
          <cell r="F15048">
            <v>883888931182</v>
          </cell>
        </row>
        <row r="15049">
          <cell r="E15049" t="str">
            <v>PUR-13-0159-00</v>
          </cell>
          <cell r="F15049">
            <v>883888931182</v>
          </cell>
        </row>
        <row r="15050">
          <cell r="E15050" t="str">
            <v>EF-45044048.X.X</v>
          </cell>
          <cell r="F15050">
            <v>883888931182</v>
          </cell>
        </row>
        <row r="15051">
          <cell r="E15051" t="str">
            <v>PUR-13-0159-00</v>
          </cell>
          <cell r="F15051">
            <v>883888931182</v>
          </cell>
        </row>
        <row r="15052">
          <cell r="E15052" t="str">
            <v>HLOB-13-0159-00</v>
          </cell>
          <cell r="F15052">
            <v>883888931182</v>
          </cell>
        </row>
        <row r="15053">
          <cell r="E15053" t="str">
            <v>HLOB-12-0343-00</v>
          </cell>
          <cell r="F15053">
            <v>883888931182</v>
          </cell>
        </row>
        <row r="15054">
          <cell r="E15054" t="str">
            <v>HLOB-13-0068-00</v>
          </cell>
          <cell r="F15054">
            <v>883888931182</v>
          </cell>
        </row>
        <row r="15055">
          <cell r="E15055" t="str">
            <v>HLOB-13-0068-00</v>
          </cell>
          <cell r="F15055">
            <v>883888931182</v>
          </cell>
        </row>
        <row r="15056">
          <cell r="E15056" t="str">
            <v>HLOB-13-0227-00</v>
          </cell>
          <cell r="F15056">
            <v>883888931182</v>
          </cell>
        </row>
        <row r="15057">
          <cell r="E15057" t="str">
            <v>HLOB-13-0159-00</v>
          </cell>
          <cell r="F15057">
            <v>883888931182</v>
          </cell>
        </row>
        <row r="15058">
          <cell r="E15058" t="str">
            <v>PUR-13-0159-00</v>
          </cell>
          <cell r="F15058">
            <v>883888931182</v>
          </cell>
        </row>
        <row r="15059">
          <cell r="E15059" t="str">
            <v>AGI-530-40004-01</v>
          </cell>
          <cell r="F15059">
            <v>883888931182</v>
          </cell>
        </row>
        <row r="15060">
          <cell r="E15060" t="str">
            <v>AGI-530-40004-01</v>
          </cell>
          <cell r="F15060">
            <v>883888931182</v>
          </cell>
        </row>
        <row r="15061">
          <cell r="E15061" t="str">
            <v>AGI-520-40025-01</v>
          </cell>
          <cell r="F15061">
            <v>883888931182</v>
          </cell>
        </row>
        <row r="15062">
          <cell r="E15062" t="str">
            <v>LUC-E00-400001-012</v>
          </cell>
          <cell r="F15062">
            <v>445170552496</v>
          </cell>
        </row>
        <row r="15063">
          <cell r="E15063" t="str">
            <v>AIC-MP-00005182-000</v>
          </cell>
          <cell r="F15063">
            <v>476615808291</v>
          </cell>
        </row>
        <row r="15064">
          <cell r="E15064" t="str">
            <v>AGI-510-40123-01</v>
          </cell>
          <cell r="F15064">
            <v>883854898788</v>
          </cell>
        </row>
        <row r="15065">
          <cell r="E15065" t="str">
            <v>AGI-510-40123-01</v>
          </cell>
          <cell r="F15065">
            <v>883854898788</v>
          </cell>
        </row>
        <row r="15066">
          <cell r="E15066" t="str">
            <v>LUC-EZZ-470297-00</v>
          </cell>
          <cell r="F15066">
            <v>392511235846</v>
          </cell>
        </row>
        <row r="15067">
          <cell r="E15067" t="str">
            <v>LUC-E00-400020-000</v>
          </cell>
          <cell r="F15067">
            <v>471783725414</v>
          </cell>
        </row>
        <row r="15068">
          <cell r="E15068" t="str">
            <v>AGI-500-40065-01</v>
          </cell>
          <cell r="F15068">
            <v>471783725414</v>
          </cell>
        </row>
        <row r="15069">
          <cell r="E15069" t="str">
            <v>AGI-500-40136-01</v>
          </cell>
          <cell r="F15069">
            <v>471783725414</v>
          </cell>
        </row>
        <row r="15070">
          <cell r="E15070" t="str">
            <v>AGI-500-40136-01</v>
          </cell>
          <cell r="F15070">
            <v>471783725414</v>
          </cell>
        </row>
        <row r="15071">
          <cell r="E15071" t="str">
            <v>PUR-12-0304-00</v>
          </cell>
          <cell r="F15071">
            <v>471783725414</v>
          </cell>
        </row>
        <row r="15072">
          <cell r="E15072" t="str">
            <v>LUC-E00-420025-02</v>
          </cell>
          <cell r="F15072">
            <v>471783725414</v>
          </cell>
        </row>
        <row r="15073">
          <cell r="E15073" t="str">
            <v>121-000519.X.X</v>
          </cell>
          <cell r="F15073">
            <v>471783725414</v>
          </cell>
        </row>
        <row r="15074">
          <cell r="E15074" t="str">
            <v>122-001674</v>
          </cell>
          <cell r="F15074">
            <v>471783725414</v>
          </cell>
        </row>
        <row r="15075">
          <cell r="E15075" t="str">
            <v>122-000453.X.X</v>
          </cell>
          <cell r="F15075">
            <v>471783725414</v>
          </cell>
        </row>
        <row r="15076">
          <cell r="E15076" t="str">
            <v>PURC-03-0116-02</v>
          </cell>
          <cell r="F15076">
            <v>479082433979</v>
          </cell>
        </row>
        <row r="15077">
          <cell r="E15077" t="str">
            <v>HLOB-12-0029-00</v>
          </cell>
          <cell r="F15077">
            <v>883890355860</v>
          </cell>
        </row>
        <row r="15078">
          <cell r="E15078" t="str">
            <v>HLOB-12-0029-00</v>
          </cell>
          <cell r="F15078">
            <v>883890355860</v>
          </cell>
        </row>
        <row r="15079">
          <cell r="E15079" t="str">
            <v>HLOB-12-0035-00</v>
          </cell>
          <cell r="F15079">
            <v>883890355860</v>
          </cell>
        </row>
        <row r="15080">
          <cell r="E15080" t="str">
            <v>AIC-134-001640</v>
          </cell>
          <cell r="F15080">
            <v>883887760496</v>
          </cell>
        </row>
        <row r="15081">
          <cell r="E15081" t="str">
            <v>PUR-03-0074-02</v>
          </cell>
          <cell r="F15081" t="str">
            <v>8TV8732</v>
          </cell>
        </row>
        <row r="15082">
          <cell r="E15082" t="str">
            <v>LUC-EZZ-490305-05</v>
          </cell>
          <cell r="F15082">
            <v>7285428312</v>
          </cell>
        </row>
        <row r="15083">
          <cell r="E15083" t="str">
            <v>169-001038</v>
          </cell>
          <cell r="F15083">
            <v>7285442426</v>
          </cell>
        </row>
        <row r="15084">
          <cell r="E15084" t="str">
            <v>LUC-EZZ-400629-00</v>
          </cell>
          <cell r="F15084">
            <v>9164992126</v>
          </cell>
        </row>
        <row r="15085">
          <cell r="E15085" t="str">
            <v>LUC-EZZ-400629-00</v>
          </cell>
          <cell r="F15085">
            <v>9164992126</v>
          </cell>
        </row>
        <row r="15086">
          <cell r="E15086" t="str">
            <v>LUC-EZZ-400629-00</v>
          </cell>
          <cell r="F15086">
            <v>9164992126</v>
          </cell>
        </row>
        <row r="15087">
          <cell r="E15087" t="str">
            <v>LUC-EZZ-400629-00</v>
          </cell>
          <cell r="F15087">
            <v>9164992126</v>
          </cell>
        </row>
        <row r="15088">
          <cell r="E15088" t="str">
            <v>LUC-EZZ-421298-00</v>
          </cell>
          <cell r="F15088">
            <v>9164992126</v>
          </cell>
        </row>
        <row r="15089">
          <cell r="E15089" t="str">
            <v>LUC-EZZ-421298-00</v>
          </cell>
          <cell r="F15089">
            <v>9164992126</v>
          </cell>
        </row>
        <row r="15090">
          <cell r="E15090" t="str">
            <v>LUC-EZZ-420536-00</v>
          </cell>
          <cell r="F15090">
            <v>9164992126</v>
          </cell>
        </row>
        <row r="15091">
          <cell r="E15091" t="str">
            <v>LUC-EZZ-420536-00</v>
          </cell>
          <cell r="F15091">
            <v>9164992126</v>
          </cell>
        </row>
        <row r="15092">
          <cell r="E15092" t="str">
            <v>LUC-EZZ-420536-00</v>
          </cell>
          <cell r="F15092">
            <v>9164992126</v>
          </cell>
        </row>
        <row r="15093">
          <cell r="E15093" t="str">
            <v>LUC-E00-400047-00</v>
          </cell>
          <cell r="F15093">
            <v>9164992126</v>
          </cell>
        </row>
        <row r="15094">
          <cell r="E15094" t="str">
            <v>LUC-E00-400047-00</v>
          </cell>
          <cell r="F15094">
            <v>9164992126</v>
          </cell>
        </row>
        <row r="15095">
          <cell r="E15095" t="str">
            <v>LUC-EZZ-420536-00</v>
          </cell>
          <cell r="F15095">
            <v>9164992126</v>
          </cell>
        </row>
        <row r="15096">
          <cell r="E15096" t="str">
            <v>LUC-E00-400192-00</v>
          </cell>
          <cell r="F15096">
            <v>9164992126</v>
          </cell>
        </row>
        <row r="15097">
          <cell r="E15097" t="str">
            <v>LUC-EZZ-441374-00</v>
          </cell>
          <cell r="F15097">
            <v>9164992126</v>
          </cell>
        </row>
        <row r="15098">
          <cell r="E15098" t="str">
            <v>LUC-E00-400192-00</v>
          </cell>
          <cell r="F15098">
            <v>9164992126</v>
          </cell>
        </row>
        <row r="15099">
          <cell r="E15099" t="str">
            <v>LUC-EZZ-441374-00</v>
          </cell>
          <cell r="F15099">
            <v>9164992126</v>
          </cell>
        </row>
        <row r="15100">
          <cell r="E15100" t="str">
            <v>LUC-EZZ-420536-00</v>
          </cell>
          <cell r="F15100">
            <v>9164992126</v>
          </cell>
        </row>
        <row r="15101">
          <cell r="E15101" t="str">
            <v>LUC-EZZ-421298-00</v>
          </cell>
          <cell r="F15101">
            <v>9164992126</v>
          </cell>
        </row>
        <row r="15102">
          <cell r="E15102" t="str">
            <v>AGI-760-40007-01</v>
          </cell>
          <cell r="F15102">
            <v>9164992126</v>
          </cell>
        </row>
        <row r="15103">
          <cell r="E15103" t="str">
            <v>LUC-E00-400018-000</v>
          </cell>
          <cell r="F15103">
            <v>9164992126</v>
          </cell>
        </row>
        <row r="15104">
          <cell r="E15104" t="str">
            <v>LUC-E00-400192-00</v>
          </cell>
          <cell r="F15104">
            <v>9164992126</v>
          </cell>
        </row>
        <row r="15105">
          <cell r="E15105" t="str">
            <v>LUC-EZZ-400629-00</v>
          </cell>
          <cell r="F15105">
            <v>9164992126</v>
          </cell>
        </row>
        <row r="15106">
          <cell r="E15106" t="str">
            <v>LUC-EZZ-400543-00</v>
          </cell>
          <cell r="F15106">
            <v>9164992126</v>
          </cell>
        </row>
        <row r="15107">
          <cell r="E15107" t="str">
            <v>PUR-12-0525-00</v>
          </cell>
          <cell r="F15107">
            <v>9164992126</v>
          </cell>
        </row>
        <row r="15108">
          <cell r="E15108" t="str">
            <v>LUC-E00-400028-000</v>
          </cell>
          <cell r="F15108">
            <v>9164992126</v>
          </cell>
        </row>
        <row r="15109">
          <cell r="E15109" t="str">
            <v>LUC-E00-400034-118</v>
          </cell>
          <cell r="F15109">
            <v>9164992126</v>
          </cell>
        </row>
        <row r="15110">
          <cell r="E15110" t="str">
            <v>LUC-EZZ-440166-00</v>
          </cell>
          <cell r="F15110">
            <v>9164992126</v>
          </cell>
        </row>
        <row r="15111">
          <cell r="E15111" t="str">
            <v>LUC-EZZ-400209-00</v>
          </cell>
          <cell r="F15111">
            <v>9164992126</v>
          </cell>
        </row>
        <row r="15112">
          <cell r="E15112" t="str">
            <v>LUC-E00-400244-00</v>
          </cell>
          <cell r="F15112">
            <v>9164992126</v>
          </cell>
        </row>
        <row r="15113">
          <cell r="E15113" t="str">
            <v>PUR-12-0338-00</v>
          </cell>
          <cell r="F15113">
            <v>9164992126</v>
          </cell>
        </row>
        <row r="15114">
          <cell r="E15114" t="str">
            <v>LUC-EZZ-400606-00</v>
          </cell>
          <cell r="F15114">
            <v>9164992126</v>
          </cell>
        </row>
        <row r="15115">
          <cell r="E15115" t="str">
            <v>LUC-EZZ-400342-00</v>
          </cell>
          <cell r="F15115">
            <v>9164992126</v>
          </cell>
        </row>
        <row r="15116">
          <cell r="E15116" t="str">
            <v>LUC-EZZ-400543-00</v>
          </cell>
          <cell r="F15116">
            <v>9164992126</v>
          </cell>
        </row>
        <row r="15117">
          <cell r="E15117" t="str">
            <v>LUC-E00-420037-14</v>
          </cell>
          <cell r="F15117">
            <v>9164992126</v>
          </cell>
        </row>
        <row r="15118">
          <cell r="E15118" t="str">
            <v>LUC-EZZ-400259-00</v>
          </cell>
          <cell r="F15118">
            <v>9164992126</v>
          </cell>
        </row>
        <row r="15119">
          <cell r="E15119" t="str">
            <v>LUC-EZZ-401610-00</v>
          </cell>
          <cell r="F15119">
            <v>9164992126</v>
          </cell>
        </row>
        <row r="15120">
          <cell r="E15120" t="str">
            <v>LUC-P11-K41700-00</v>
          </cell>
          <cell r="F15120">
            <v>9164992126</v>
          </cell>
        </row>
        <row r="15121">
          <cell r="E15121" t="str">
            <v>LUC-E00-420037-08</v>
          </cell>
          <cell r="F15121">
            <v>9164992126</v>
          </cell>
        </row>
        <row r="15122">
          <cell r="E15122" t="str">
            <v>LUC-E00-400010-046</v>
          </cell>
          <cell r="F15122">
            <v>9164992126</v>
          </cell>
        </row>
        <row r="15123">
          <cell r="E15123" t="str">
            <v>LUC-EZZ-400241-00</v>
          </cell>
          <cell r="F15123">
            <v>9164992126</v>
          </cell>
        </row>
        <row r="15124">
          <cell r="E15124" t="str">
            <v>PUR-03-0038-00</v>
          </cell>
          <cell r="F15124">
            <v>5539899492</v>
          </cell>
        </row>
        <row r="15125">
          <cell r="E15125" t="str">
            <v>PUR-03-0038-00</v>
          </cell>
          <cell r="F15125">
            <v>5539903574</v>
          </cell>
        </row>
        <row r="15126">
          <cell r="E15126" t="str">
            <v>PUR-03-0038-00</v>
          </cell>
          <cell r="F15126">
            <v>5539905722</v>
          </cell>
        </row>
        <row r="15127">
          <cell r="E15127" t="str">
            <v>LUC-EZZ-400265-00</v>
          </cell>
          <cell r="F15127">
            <v>2936589213</v>
          </cell>
        </row>
        <row r="15128">
          <cell r="E15128" t="str">
            <v>LUC-EZZ-400465-00</v>
          </cell>
          <cell r="F15128">
            <v>2936589213</v>
          </cell>
        </row>
        <row r="15129">
          <cell r="E15129" t="str">
            <v>LUC-E00-400001-010</v>
          </cell>
          <cell r="F15129">
            <v>2936589213</v>
          </cell>
        </row>
        <row r="15130">
          <cell r="E15130" t="str">
            <v>LUC-E00-400010-048</v>
          </cell>
          <cell r="F15130">
            <v>2936589213</v>
          </cell>
        </row>
        <row r="15131">
          <cell r="E15131" t="str">
            <v>LUC-E00-400010-048</v>
          </cell>
          <cell r="F15131">
            <v>2936589213</v>
          </cell>
        </row>
        <row r="15132">
          <cell r="E15132" t="str">
            <v>LUC-E00-400010-048</v>
          </cell>
          <cell r="F15132">
            <v>2936589213</v>
          </cell>
        </row>
        <row r="15133">
          <cell r="E15133" t="str">
            <v>LUC-E00-400010-043</v>
          </cell>
          <cell r="F15133">
            <v>2936589213</v>
          </cell>
        </row>
        <row r="15134">
          <cell r="E15134" t="str">
            <v>LUC-E00-510021-00</v>
          </cell>
          <cell r="F15134">
            <v>2936589213</v>
          </cell>
        </row>
        <row r="15135">
          <cell r="E15135" t="str">
            <v>LUC-E00-450056-00</v>
          </cell>
          <cell r="F15135">
            <v>2936589213</v>
          </cell>
        </row>
        <row r="15136">
          <cell r="E15136" t="str">
            <v>LUC-E00-400010-044</v>
          </cell>
          <cell r="F15136">
            <v>2936589213</v>
          </cell>
        </row>
        <row r="15137">
          <cell r="E15137" t="str">
            <v>LUC-E00-510045-00</v>
          </cell>
          <cell r="F15137">
            <v>2936589213</v>
          </cell>
        </row>
        <row r="15138">
          <cell r="E15138" t="str">
            <v>LUC-E00-510045-00</v>
          </cell>
          <cell r="F15138">
            <v>2936589213</v>
          </cell>
        </row>
        <row r="15139">
          <cell r="E15139" t="str">
            <v>LUC-E00-510045-00</v>
          </cell>
          <cell r="F15139">
            <v>2936589213</v>
          </cell>
        </row>
        <row r="15140">
          <cell r="E15140" t="str">
            <v>LUC-E00-470095-00</v>
          </cell>
          <cell r="F15140">
            <v>2936589213</v>
          </cell>
        </row>
        <row r="15141">
          <cell r="E15141" t="str">
            <v>LUC-EZZ-450110-00</v>
          </cell>
          <cell r="F15141">
            <v>2936589213</v>
          </cell>
        </row>
        <row r="15142">
          <cell r="E15142" t="str">
            <v>LUC-E00-450043-00</v>
          </cell>
          <cell r="F15142">
            <v>2936589213</v>
          </cell>
        </row>
        <row r="15143">
          <cell r="E15143" t="str">
            <v>LUC-EZZ-451368-00</v>
          </cell>
          <cell r="F15143">
            <v>2936589213</v>
          </cell>
        </row>
        <row r="15144">
          <cell r="E15144" t="str">
            <v>LUC-EZZ-421047-00</v>
          </cell>
          <cell r="F15144">
            <v>2936589213</v>
          </cell>
        </row>
        <row r="15145">
          <cell r="E15145" t="str">
            <v>LUC-E00-400010-053</v>
          </cell>
          <cell r="F15145">
            <v>2936589213</v>
          </cell>
        </row>
        <row r="15146">
          <cell r="E15146" t="str">
            <v>LUC-E00-450029-00</v>
          </cell>
          <cell r="F15146">
            <v>2936589213</v>
          </cell>
        </row>
        <row r="15147">
          <cell r="E15147" t="str">
            <v>LUC-E00-450029-00</v>
          </cell>
          <cell r="F15147">
            <v>2936589213</v>
          </cell>
        </row>
        <row r="15148">
          <cell r="E15148" t="str">
            <v>LUC-EZZ-440204-00</v>
          </cell>
          <cell r="F15148">
            <v>2936589213</v>
          </cell>
        </row>
        <row r="15149">
          <cell r="E15149" t="str">
            <v>LUC-E00-510037-00</v>
          </cell>
          <cell r="F15149">
            <v>2936589213</v>
          </cell>
        </row>
        <row r="15150">
          <cell r="E15150" t="str">
            <v>LUC-E00-510037-00</v>
          </cell>
          <cell r="F15150">
            <v>2936589213</v>
          </cell>
        </row>
        <row r="15151">
          <cell r="E15151" t="str">
            <v>LUC-E00-470301-00</v>
          </cell>
          <cell r="F15151">
            <v>2936589213</v>
          </cell>
        </row>
        <row r="15152">
          <cell r="E15152" t="str">
            <v>LUC-E00-450043-00</v>
          </cell>
          <cell r="F15152">
            <v>2936589213</v>
          </cell>
        </row>
        <row r="15153">
          <cell r="E15153" t="str">
            <v>LUC-E00-460015-00</v>
          </cell>
          <cell r="F15153">
            <v>2936589213</v>
          </cell>
        </row>
        <row r="15154">
          <cell r="E15154" t="str">
            <v>LUC-E00-470059-00</v>
          </cell>
          <cell r="F15154">
            <v>2936589213</v>
          </cell>
        </row>
        <row r="15155">
          <cell r="E15155" t="str">
            <v>LUC-E00-400010-007</v>
          </cell>
          <cell r="F15155">
            <v>2936589213</v>
          </cell>
        </row>
        <row r="15156">
          <cell r="E15156" t="str">
            <v>LUC-E00-420056-01</v>
          </cell>
          <cell r="F15156">
            <v>2936589213</v>
          </cell>
        </row>
        <row r="15157">
          <cell r="E15157" t="str">
            <v>LUC-E00-450029-00</v>
          </cell>
          <cell r="F15157">
            <v>2936589213</v>
          </cell>
        </row>
        <row r="15158">
          <cell r="E15158" t="str">
            <v>LUC-E00-440029-00</v>
          </cell>
          <cell r="F15158">
            <v>2936589213</v>
          </cell>
        </row>
        <row r="15159">
          <cell r="E15159" t="str">
            <v>LUC-E00-440029-00</v>
          </cell>
          <cell r="F15159">
            <v>2936589213</v>
          </cell>
        </row>
        <row r="15160">
          <cell r="E15160" t="str">
            <v>LUC-E00-440029-00</v>
          </cell>
          <cell r="F15160">
            <v>2936589213</v>
          </cell>
        </row>
        <row r="15161">
          <cell r="E15161" t="str">
            <v>LUC-E00-480014-00</v>
          </cell>
          <cell r="F15161">
            <v>2936589213</v>
          </cell>
        </row>
        <row r="15162">
          <cell r="E15162" t="str">
            <v>LUC-E00-480014-00</v>
          </cell>
          <cell r="F15162">
            <v>2936589213</v>
          </cell>
        </row>
        <row r="15163">
          <cell r="E15163" t="str">
            <v>LUC-E00-480014-00</v>
          </cell>
          <cell r="F15163">
            <v>2936589213</v>
          </cell>
        </row>
        <row r="15164">
          <cell r="E15164" t="str">
            <v>LUC-E00-690020-00</v>
          </cell>
          <cell r="F15164">
            <v>2936589213</v>
          </cell>
        </row>
        <row r="15165">
          <cell r="E15165" t="str">
            <v>LUC-E00-470062-00</v>
          </cell>
          <cell r="F15165">
            <v>2936589213</v>
          </cell>
        </row>
        <row r="15166">
          <cell r="E15166" t="str">
            <v>AIC-MP-00000856-000</v>
          </cell>
          <cell r="F15166">
            <v>2936589213</v>
          </cell>
        </row>
        <row r="15167">
          <cell r="E15167" t="str">
            <v>LUC-E00-400010-007</v>
          </cell>
          <cell r="F15167">
            <v>2936589213</v>
          </cell>
        </row>
        <row r="15168">
          <cell r="E15168" t="str">
            <v>LUC-E00-400010-007</v>
          </cell>
          <cell r="F15168">
            <v>2936589213</v>
          </cell>
        </row>
        <row r="15169">
          <cell r="E15169" t="str">
            <v>LUC-E00-690020-00</v>
          </cell>
          <cell r="F15169">
            <v>2936589213</v>
          </cell>
        </row>
        <row r="15170">
          <cell r="E15170" t="str">
            <v>LUC-E00-480014-00</v>
          </cell>
          <cell r="F15170">
            <v>2936589213</v>
          </cell>
        </row>
        <row r="15171">
          <cell r="E15171" t="str">
            <v>LUC-E00-480014-00</v>
          </cell>
          <cell r="F15171">
            <v>2936589213</v>
          </cell>
        </row>
        <row r="15172">
          <cell r="E15172" t="str">
            <v>LUC-E00-470062-00</v>
          </cell>
          <cell r="F15172">
            <v>2936589213</v>
          </cell>
        </row>
        <row r="15173">
          <cell r="E15173" t="str">
            <v>LUC-E00-470033-00</v>
          </cell>
          <cell r="F15173">
            <v>2936589213</v>
          </cell>
        </row>
        <row r="15174">
          <cell r="E15174" t="str">
            <v>LUC-E00-400010-020</v>
          </cell>
          <cell r="F15174">
            <v>2936589213</v>
          </cell>
        </row>
        <row r="15175">
          <cell r="E15175" t="str">
            <v>LUC-E00-470004-00</v>
          </cell>
          <cell r="F15175">
            <v>2936589213</v>
          </cell>
        </row>
        <row r="15176">
          <cell r="E15176" t="str">
            <v>LUC-EZZ-420352-00</v>
          </cell>
          <cell r="F15176">
            <v>2936589213</v>
          </cell>
        </row>
        <row r="15177">
          <cell r="E15177" t="str">
            <v>LUC-E00-400010-009</v>
          </cell>
          <cell r="F15177">
            <v>2936589213</v>
          </cell>
        </row>
        <row r="15178">
          <cell r="E15178" t="str">
            <v>LUC-E00-470120-00</v>
          </cell>
          <cell r="F15178">
            <v>2936589213</v>
          </cell>
        </row>
        <row r="15179">
          <cell r="E15179" t="str">
            <v>LUC-E00-470009-00</v>
          </cell>
          <cell r="F15179">
            <v>2936589213</v>
          </cell>
        </row>
        <row r="15180">
          <cell r="E15180" t="str">
            <v>LUC-E00-510041-00</v>
          </cell>
          <cell r="F15180">
            <v>2936589213</v>
          </cell>
        </row>
        <row r="15181">
          <cell r="E15181" t="str">
            <v>LUC-EZZ-400194-00</v>
          </cell>
          <cell r="F15181">
            <v>2936589213</v>
          </cell>
        </row>
        <row r="15182">
          <cell r="E15182" t="str">
            <v>LUC-EZZ-400210-00</v>
          </cell>
          <cell r="F15182">
            <v>2936589213</v>
          </cell>
        </row>
        <row r="15183">
          <cell r="E15183" t="str">
            <v>LUC-EZZ-510638-00</v>
          </cell>
          <cell r="F15183">
            <v>2936589213</v>
          </cell>
        </row>
        <row r="15184">
          <cell r="E15184" t="str">
            <v>LUC-E00-510082-00</v>
          </cell>
          <cell r="F15184">
            <v>2936589213</v>
          </cell>
        </row>
        <row r="15185">
          <cell r="E15185" t="str">
            <v>LUC-E00-510030-00</v>
          </cell>
          <cell r="F15185">
            <v>2936589213</v>
          </cell>
        </row>
        <row r="15186">
          <cell r="E15186" t="str">
            <v>LUC-E00-510112-00</v>
          </cell>
          <cell r="F15186">
            <v>2936589213</v>
          </cell>
        </row>
        <row r="15187">
          <cell r="E15187" t="str">
            <v>LUC-EZZ-450113-00</v>
          </cell>
          <cell r="F15187">
            <v>2936589213</v>
          </cell>
        </row>
        <row r="15188">
          <cell r="E15188" t="str">
            <v>LUC-E00-510001-00</v>
          </cell>
          <cell r="F15188">
            <v>2936589213</v>
          </cell>
        </row>
        <row r="15189">
          <cell r="E15189" t="str">
            <v>LUC-EZZ-510014-00</v>
          </cell>
          <cell r="F15189">
            <v>2936589213</v>
          </cell>
        </row>
        <row r="15190">
          <cell r="E15190" t="str">
            <v>LUC-EZZ-450113-00</v>
          </cell>
          <cell r="F15190">
            <v>2936589213</v>
          </cell>
        </row>
        <row r="15191">
          <cell r="E15191" t="str">
            <v>LUC-EZZ-450108-00</v>
          </cell>
          <cell r="F15191">
            <v>2936589213</v>
          </cell>
        </row>
        <row r="15192">
          <cell r="E15192" t="str">
            <v>LUC-EZZ-450108-00</v>
          </cell>
          <cell r="F15192">
            <v>2936589213</v>
          </cell>
        </row>
        <row r="15193">
          <cell r="E15193" t="str">
            <v>LUC-E00-450029-00</v>
          </cell>
          <cell r="F15193">
            <v>2936589213</v>
          </cell>
        </row>
        <row r="15194">
          <cell r="E15194" t="str">
            <v>LUC-E00-450029-00</v>
          </cell>
          <cell r="F15194">
            <v>2936589213</v>
          </cell>
        </row>
        <row r="15195">
          <cell r="E15195" t="str">
            <v>LUC-E00-420002-10</v>
          </cell>
          <cell r="F15195">
            <v>2936589213</v>
          </cell>
        </row>
        <row r="15196">
          <cell r="E15196" t="str">
            <v>LUC-EZZ-400245-00</v>
          </cell>
          <cell r="F15196">
            <v>2936589213</v>
          </cell>
        </row>
        <row r="15197">
          <cell r="E15197" t="str">
            <v>LUC-E00-510084-00</v>
          </cell>
          <cell r="F15197">
            <v>2936589213</v>
          </cell>
        </row>
        <row r="15198">
          <cell r="E15198" t="str">
            <v>LUC-E00-470063-00</v>
          </cell>
          <cell r="F15198">
            <v>2936589213</v>
          </cell>
        </row>
        <row r="15199">
          <cell r="E15199" t="str">
            <v>LUC-E00-470060-00</v>
          </cell>
          <cell r="F15199">
            <v>2936589213</v>
          </cell>
        </row>
        <row r="15200">
          <cell r="E15200" t="str">
            <v>LUC-E00-470060-00</v>
          </cell>
          <cell r="F15200">
            <v>2936589213</v>
          </cell>
        </row>
        <row r="15201">
          <cell r="E15201" t="str">
            <v>LUC-E00-470060-00</v>
          </cell>
          <cell r="F15201">
            <v>2936589213</v>
          </cell>
        </row>
        <row r="15202">
          <cell r="E15202" t="str">
            <v>LUC-E00-470004-00</v>
          </cell>
          <cell r="F15202">
            <v>2936589213</v>
          </cell>
        </row>
        <row r="15203">
          <cell r="E15203" t="str">
            <v>LUC-E00-470004-00</v>
          </cell>
          <cell r="F15203">
            <v>2936589213</v>
          </cell>
        </row>
        <row r="15204">
          <cell r="E15204" t="str">
            <v>LUC-EZZ-510639-00</v>
          </cell>
          <cell r="F15204">
            <v>2936589213</v>
          </cell>
        </row>
        <row r="15205">
          <cell r="E15205" t="str">
            <v>LUC-EZZ-470424-00</v>
          </cell>
          <cell r="F15205">
            <v>2936589213</v>
          </cell>
        </row>
        <row r="15206">
          <cell r="E15206" t="str">
            <v>LUC-E00-470004-00</v>
          </cell>
          <cell r="F15206">
            <v>2936589213</v>
          </cell>
        </row>
        <row r="15207">
          <cell r="E15207" t="str">
            <v>LUC-E00-470060-00</v>
          </cell>
          <cell r="F15207">
            <v>2936589213</v>
          </cell>
        </row>
        <row r="15208">
          <cell r="E15208" t="str">
            <v>LUC-E00-470060-00</v>
          </cell>
          <cell r="F15208">
            <v>2936589213</v>
          </cell>
        </row>
        <row r="15209">
          <cell r="E15209" t="str">
            <v>LUC-EZZ-400041-00</v>
          </cell>
          <cell r="F15209">
            <v>2936589213</v>
          </cell>
        </row>
        <row r="15210">
          <cell r="E15210" t="str">
            <v>LUC-E00-420084-00</v>
          </cell>
          <cell r="F15210">
            <v>2936589213</v>
          </cell>
        </row>
        <row r="15211">
          <cell r="E15211" t="str">
            <v>LUC-EZZ-420252-00</v>
          </cell>
          <cell r="F15211">
            <v>2936589213</v>
          </cell>
        </row>
        <row r="15212">
          <cell r="E15212" t="str">
            <v>LUC-E00-450029-00</v>
          </cell>
          <cell r="F15212">
            <v>2936589213</v>
          </cell>
        </row>
        <row r="15213">
          <cell r="E15213" t="str">
            <v>LUC-EZZ-420396-00</v>
          </cell>
          <cell r="F15213">
            <v>2936589213</v>
          </cell>
        </row>
        <row r="15214">
          <cell r="E15214" t="str">
            <v>LUC-E00-450029-00</v>
          </cell>
          <cell r="F15214">
            <v>2936589213</v>
          </cell>
        </row>
        <row r="15215">
          <cell r="E15215" t="str">
            <v>LUC-E00-400012-19</v>
          </cell>
          <cell r="F15215">
            <v>2936589213</v>
          </cell>
        </row>
        <row r="15216">
          <cell r="E15216" t="str">
            <v>LUC-E00-540005-00</v>
          </cell>
          <cell r="F15216">
            <v>2936589213</v>
          </cell>
        </row>
        <row r="15217">
          <cell r="E15217" t="str">
            <v>LUC-161-001418</v>
          </cell>
          <cell r="F15217">
            <v>1075</v>
          </cell>
        </row>
        <row r="15218">
          <cell r="E15218" t="str">
            <v>LUC-161-001419</v>
          </cell>
          <cell r="F15218">
            <v>1075</v>
          </cell>
        </row>
        <row r="15219">
          <cell r="E15219" t="str">
            <v>LUC-P11-K2BC00-01</v>
          </cell>
          <cell r="F15219">
            <v>517</v>
          </cell>
        </row>
        <row r="15220">
          <cell r="E15220" t="str">
            <v>HLOB-31-0103-01</v>
          </cell>
          <cell r="F15220" t="str">
            <v>IPTH250818-UNI</v>
          </cell>
        </row>
        <row r="15221">
          <cell r="E15221" t="str">
            <v>HLOB-31-0103-01</v>
          </cell>
          <cell r="F15221" t="str">
            <v>IPTH250818-UNI</v>
          </cell>
        </row>
        <row r="15222">
          <cell r="E15222" t="str">
            <v>HLOB-31-0103-01</v>
          </cell>
          <cell r="F15222" t="str">
            <v>IPTH250818-UNI</v>
          </cell>
        </row>
        <row r="15223">
          <cell r="E15223" t="str">
            <v>PUR-17-0283-02</v>
          </cell>
          <cell r="F15223" t="str">
            <v>VN20250821002</v>
          </cell>
        </row>
        <row r="15224">
          <cell r="E15224" t="str">
            <v>HLOB-17-0283-02</v>
          </cell>
          <cell r="F15224" t="str">
            <v>VN20250821002</v>
          </cell>
        </row>
        <row r="15225">
          <cell r="E15225" t="str">
            <v>PUR-17-0312-03</v>
          </cell>
          <cell r="F15225" t="str">
            <v>VN20250821002</v>
          </cell>
        </row>
        <row r="15226">
          <cell r="E15226" t="str">
            <v>PUR-10-0312-00</v>
          </cell>
          <cell r="F15226" t="str">
            <v>YFYJ-PUR 2508 TV 103</v>
          </cell>
        </row>
        <row r="15227">
          <cell r="E15227" t="str">
            <v>PUR-10-0312-00</v>
          </cell>
          <cell r="F15227" t="str">
            <v>YFYJ-PUR 2508 TV 103</v>
          </cell>
        </row>
        <row r="15228">
          <cell r="E15228" t="str">
            <v>PUR-10-0334-00</v>
          </cell>
          <cell r="F15228" t="str">
            <v>YFYJ-PUR 2508 GS 00000594</v>
          </cell>
        </row>
        <row r="15229">
          <cell r="E15229" t="str">
            <v>LUC-161-001424</v>
          </cell>
          <cell r="F15229" t="str">
            <v>YFYJ-PUR 250821 JS 00000004</v>
          </cell>
        </row>
        <row r="15230">
          <cell r="E15230" t="str">
            <v>PUR-10-0342-00</v>
          </cell>
          <cell r="F15230" t="str">
            <v>YFYJ-PUR 2508 PF 524</v>
          </cell>
        </row>
        <row r="15231">
          <cell r="E15231" t="str">
            <v>HLOB-31-0103-01</v>
          </cell>
          <cell r="F15231" t="str">
            <v>IPTH250827-UNI</v>
          </cell>
        </row>
        <row r="15232">
          <cell r="E15232" t="str">
            <v>HLOB-31-0103-01</v>
          </cell>
          <cell r="F15232" t="str">
            <v>IPTH250827-UNI</v>
          </cell>
        </row>
        <row r="15233">
          <cell r="E15233" t="str">
            <v>161-000290</v>
          </cell>
          <cell r="F15233" t="str">
            <v>UNIGEN250829</v>
          </cell>
        </row>
        <row r="15234">
          <cell r="E15234" t="str">
            <v>161-000290</v>
          </cell>
          <cell r="F15234" t="str">
            <v>UNIGEN250829</v>
          </cell>
        </row>
        <row r="15235">
          <cell r="E15235" t="str">
            <v>161-000290</v>
          </cell>
          <cell r="F15235" t="str">
            <v>UNIGEN250829</v>
          </cell>
        </row>
        <row r="15236">
          <cell r="E15236" t="str">
            <v>161-000291</v>
          </cell>
          <cell r="F15236" t="str">
            <v>UNIGEN250829</v>
          </cell>
        </row>
        <row r="15237">
          <cell r="E15237" t="str">
            <v>EF-161-000309</v>
          </cell>
          <cell r="F15237" t="str">
            <v>UNIGEN250829</v>
          </cell>
        </row>
        <row r="15238">
          <cell r="E15238" t="str">
            <v>161-001520</v>
          </cell>
          <cell r="F15238" t="str">
            <v>TV-UNI-0829</v>
          </cell>
        </row>
        <row r="15239">
          <cell r="E15239" t="str">
            <v>161-001521</v>
          </cell>
          <cell r="F15239" t="str">
            <v>TV-UNI-0829</v>
          </cell>
        </row>
        <row r="15240">
          <cell r="E15240" t="str">
            <v>161-000022.X.X</v>
          </cell>
          <cell r="F15240" t="str">
            <v>00001194</v>
          </cell>
        </row>
        <row r="15241">
          <cell r="E15241" t="str">
            <v>186-000541.X.X</v>
          </cell>
          <cell r="F15241" t="str">
            <v>00001194</v>
          </cell>
        </row>
        <row r="15242">
          <cell r="E15242" t="str">
            <v>PUR-33-0004-00</v>
          </cell>
          <cell r="F15242" t="str">
            <v>00001194</v>
          </cell>
        </row>
        <row r="15243">
          <cell r="E15243" t="str">
            <v>186-000311.X.X</v>
          </cell>
          <cell r="F15243" t="str">
            <v>00001194</v>
          </cell>
        </row>
        <row r="15244">
          <cell r="E15244" t="str">
            <v>PURET-18-0014-00</v>
          </cell>
          <cell r="F15244" t="str">
            <v>00001194</v>
          </cell>
        </row>
        <row r="15245">
          <cell r="E15245" t="str">
            <v>186-000348.X.X</v>
          </cell>
          <cell r="F15245" t="str">
            <v>00001194</v>
          </cell>
        </row>
        <row r="15246">
          <cell r="E15246" t="str">
            <v>PUR-18-0480-00</v>
          </cell>
          <cell r="F15246" t="str">
            <v>00001194</v>
          </cell>
        </row>
        <row r="15247">
          <cell r="E15247" t="str">
            <v>LUC-LABEL-50X25</v>
          </cell>
          <cell r="F15247" t="str">
            <v>00001194</v>
          </cell>
        </row>
        <row r="15248">
          <cell r="E15248" t="str">
            <v>LUC-LABEL-13x13</v>
          </cell>
          <cell r="F15248" t="str">
            <v>00001194</v>
          </cell>
        </row>
        <row r="15249">
          <cell r="E15249" t="str">
            <v>LUC-LABEL-13X6.5</v>
          </cell>
          <cell r="F15249" t="str">
            <v>00001194</v>
          </cell>
        </row>
        <row r="15250">
          <cell r="E15250" t="str">
            <v>LUC-LABEL-60X40-V</v>
          </cell>
          <cell r="F15250" t="str">
            <v>00001194</v>
          </cell>
        </row>
        <row r="15251">
          <cell r="E15251" t="str">
            <v>LUC-LABEL-60X40-N</v>
          </cell>
          <cell r="F15251" t="str">
            <v>00001194</v>
          </cell>
        </row>
        <row r="15252">
          <cell r="E15252" t="str">
            <v>LUC-186-001786</v>
          </cell>
          <cell r="F15252" t="str">
            <v>00001194</v>
          </cell>
        </row>
        <row r="15253">
          <cell r="E15253" t="str">
            <v>186-001799</v>
          </cell>
          <cell r="F15253" t="str">
            <v>00001194</v>
          </cell>
        </row>
        <row r="15254">
          <cell r="E15254" t="str">
            <v>HLOB-33-0018-00</v>
          </cell>
          <cell r="F15254" t="str">
            <v>00001194</v>
          </cell>
        </row>
        <row r="15255">
          <cell r="E15255" t="str">
            <v>HLOB-18-0079-00</v>
          </cell>
          <cell r="F15255" t="str">
            <v>00001194</v>
          </cell>
        </row>
        <row r="15256">
          <cell r="E15256" t="str">
            <v>LUC-161-001414</v>
          </cell>
          <cell r="F15256" t="str">
            <v>UVH-07/25</v>
          </cell>
        </row>
        <row r="15257">
          <cell r="E15257" t="str">
            <v>LUC-161-001415</v>
          </cell>
          <cell r="F15257" t="str">
            <v>UVH-07/25</v>
          </cell>
        </row>
        <row r="15258">
          <cell r="E15258" t="str">
            <v>LUC-161-001416</v>
          </cell>
          <cell r="F15258" t="str">
            <v>UVH-07/25</v>
          </cell>
        </row>
        <row r="15259">
          <cell r="E15259" t="str">
            <v>LUC-161-001417</v>
          </cell>
          <cell r="F15259" t="str">
            <v>UVH-07/25</v>
          </cell>
        </row>
        <row r="15260">
          <cell r="E15260" t="str">
            <v>LUC-161-001420</v>
          </cell>
          <cell r="F15260" t="str">
            <v>UVH-07/25</v>
          </cell>
        </row>
        <row r="15261">
          <cell r="E15261" t="str">
            <v>LUC-161-001421</v>
          </cell>
          <cell r="F15261" t="str">
            <v>UVH-07/25</v>
          </cell>
        </row>
        <row r="15262">
          <cell r="E15262" t="str">
            <v>LUC-161-001422</v>
          </cell>
          <cell r="F15262" t="str">
            <v>UVH-07/25</v>
          </cell>
        </row>
        <row r="15263">
          <cell r="E15263" t="str">
            <v>LUC-161-001425</v>
          </cell>
          <cell r="F15263" t="str">
            <v>UVH-07/25</v>
          </cell>
        </row>
        <row r="15264">
          <cell r="E15264" t="str">
            <v>LUC-161-001426</v>
          </cell>
          <cell r="F15264" t="str">
            <v>UVH-07/25</v>
          </cell>
        </row>
        <row r="15265">
          <cell r="E15265" t="str">
            <v>LUC-161-001427</v>
          </cell>
          <cell r="F15265" t="str">
            <v>UVH-07/25</v>
          </cell>
        </row>
        <row r="15266">
          <cell r="E15266" t="str">
            <v>LUC-161-001428</v>
          </cell>
          <cell r="F15266" t="str">
            <v>UVH-07/25</v>
          </cell>
        </row>
        <row r="15267">
          <cell r="E15267" t="str">
            <v>LUC-161-001429</v>
          </cell>
          <cell r="F15267" t="str">
            <v>UVH-07/25</v>
          </cell>
        </row>
        <row r="15268">
          <cell r="E15268" t="str">
            <v>LUC-161-001430</v>
          </cell>
          <cell r="F15268" t="str">
            <v>UVH-07/25</v>
          </cell>
        </row>
        <row r="15269">
          <cell r="E15269" t="str">
            <v>LUC-161-001431</v>
          </cell>
          <cell r="F15269" t="str">
            <v>UVH-07/25</v>
          </cell>
        </row>
        <row r="15270">
          <cell r="E15270" t="str">
            <v>LUC-161-001433</v>
          </cell>
          <cell r="F15270" t="str">
            <v>UVH-07/25</v>
          </cell>
        </row>
        <row r="15271">
          <cell r="E15271" t="str">
            <v>LUC-161-001434</v>
          </cell>
          <cell r="F15271" t="str">
            <v>UVH-07/25</v>
          </cell>
        </row>
        <row r="15272">
          <cell r="E15272" t="str">
            <v>LUC-161-001435</v>
          </cell>
          <cell r="F15272" t="str">
            <v>UVH-07/25</v>
          </cell>
        </row>
        <row r="15273">
          <cell r="E15273" t="str">
            <v>LUC-161-001437</v>
          </cell>
          <cell r="F15273" t="str">
            <v>UVH-07/25</v>
          </cell>
        </row>
        <row r="15274">
          <cell r="E15274" t="str">
            <v>LUC-161-001438</v>
          </cell>
          <cell r="F15274" t="str">
            <v>UVH-07/25</v>
          </cell>
        </row>
        <row r="15275">
          <cell r="E15275" t="str">
            <v>LUC-161-001439</v>
          </cell>
          <cell r="F15275" t="str">
            <v>UVH-07/25</v>
          </cell>
        </row>
        <row r="15276">
          <cell r="E15276" t="str">
            <v>LUC-161-001440</v>
          </cell>
          <cell r="F15276" t="str">
            <v>UVH-07/25</v>
          </cell>
        </row>
        <row r="15277">
          <cell r="E15277" t="str">
            <v>LUC-161-001441</v>
          </cell>
          <cell r="F15277" t="str">
            <v>UVH-07/25</v>
          </cell>
        </row>
        <row r="15278">
          <cell r="E15278" t="str">
            <v>LUC-161-001474</v>
          </cell>
          <cell r="F15278" t="str">
            <v>UVH-07/25</v>
          </cell>
        </row>
        <row r="15279">
          <cell r="E15279" t="str">
            <v>LUC-161-001475</v>
          </cell>
          <cell r="F15279" t="str">
            <v>UVH-07/25</v>
          </cell>
        </row>
        <row r="15280">
          <cell r="E15280" t="str">
            <v>LUC-161-001485</v>
          </cell>
          <cell r="F15280" t="str">
            <v>UVH-07/25</v>
          </cell>
        </row>
        <row r="15281">
          <cell r="E15281" t="str">
            <v>LUC-161-001488</v>
          </cell>
          <cell r="F15281" t="str">
            <v>UVH-07/25</v>
          </cell>
        </row>
        <row r="15282">
          <cell r="E15282" t="str">
            <v>LUC-161-001489</v>
          </cell>
          <cell r="F15282" t="str">
            <v>UVH-07/25</v>
          </cell>
        </row>
        <row r="15283">
          <cell r="E15283" t="str">
            <v>LUC-161-001492</v>
          </cell>
          <cell r="F15283" t="str">
            <v>UVH-07/25</v>
          </cell>
        </row>
        <row r="15284">
          <cell r="E15284" t="str">
            <v>LUC-161-001493</v>
          </cell>
          <cell r="F15284" t="str">
            <v>UVH-07/25</v>
          </cell>
        </row>
        <row r="15285">
          <cell r="E15285" t="str">
            <v>PURC-03-0116-02</v>
          </cell>
          <cell r="F15285">
            <v>478058660565</v>
          </cell>
        </row>
        <row r="15286">
          <cell r="E15286" t="str">
            <v>PURC-03-0116-02</v>
          </cell>
          <cell r="F15286">
            <v>478058689792</v>
          </cell>
        </row>
        <row r="15287">
          <cell r="E15287" t="str">
            <v>PURC-03-0116-02</v>
          </cell>
          <cell r="F15287">
            <v>478058689542</v>
          </cell>
        </row>
        <row r="15288">
          <cell r="E15288" t="str">
            <v>PUR-03-0091-02</v>
          </cell>
          <cell r="F15288">
            <v>478058689542</v>
          </cell>
        </row>
        <row r="15289">
          <cell r="E15289" t="str">
            <v>PURC-03-0116-02</v>
          </cell>
          <cell r="F15289">
            <v>479820264163</v>
          </cell>
        </row>
        <row r="15290">
          <cell r="E15290" t="str">
            <v>PURC-03-0116-02</v>
          </cell>
          <cell r="F15290">
            <v>479820274602</v>
          </cell>
        </row>
        <row r="15291">
          <cell r="E15291" t="str">
            <v>PURC-03-0116-02</v>
          </cell>
          <cell r="F15291">
            <v>479820319314</v>
          </cell>
        </row>
        <row r="15292">
          <cell r="E15292" t="str">
            <v>PURC-03-0116-02</v>
          </cell>
          <cell r="F15292">
            <v>479820348582</v>
          </cell>
        </row>
        <row r="15293">
          <cell r="E15293" t="str">
            <v>PURC-03-0116-02</v>
          </cell>
          <cell r="F15293">
            <v>479820432759</v>
          </cell>
        </row>
        <row r="15294">
          <cell r="E15294" t="str">
            <v>LUC-EZZ-400145-00</v>
          </cell>
          <cell r="F15294">
            <v>7893187105</v>
          </cell>
        </row>
        <row r="15295">
          <cell r="E15295" t="str">
            <v>LUC-EZZ-420511-00</v>
          </cell>
          <cell r="F15295">
            <v>7893187105</v>
          </cell>
        </row>
        <row r="15296">
          <cell r="E15296" t="str">
            <v>LUC-EZZ-420176-00</v>
          </cell>
          <cell r="F15296">
            <v>7893187105</v>
          </cell>
        </row>
        <row r="15297">
          <cell r="E15297" t="str">
            <v>LUC-EZZ-400204-00</v>
          </cell>
          <cell r="F15297">
            <v>7893187105</v>
          </cell>
        </row>
        <row r="15298">
          <cell r="E15298" t="str">
            <v>LUC-E00-400034-019</v>
          </cell>
          <cell r="F15298">
            <v>7893187105</v>
          </cell>
        </row>
        <row r="15299">
          <cell r="E15299" t="str">
            <v>LUC-EZZ-440176-00</v>
          </cell>
          <cell r="F15299">
            <v>7893187105</v>
          </cell>
        </row>
        <row r="15300">
          <cell r="E15300" t="str">
            <v>LUC-E00-420037-02</v>
          </cell>
          <cell r="F15300">
            <v>7893187105</v>
          </cell>
        </row>
        <row r="15301">
          <cell r="E15301" t="str">
            <v>LUC-EZZ-420091-00</v>
          </cell>
          <cell r="F15301">
            <v>7893187105</v>
          </cell>
        </row>
        <row r="15302">
          <cell r="E15302" t="str">
            <v>LUC-EZZ-400577-00</v>
          </cell>
          <cell r="F15302">
            <v>7893187105</v>
          </cell>
        </row>
        <row r="15303">
          <cell r="E15303" t="str">
            <v>LUC-EZZ-400588-00</v>
          </cell>
          <cell r="F15303">
            <v>7893187105</v>
          </cell>
        </row>
        <row r="15304">
          <cell r="E15304" t="str">
            <v>LUC-E00-400010-043</v>
          </cell>
          <cell r="F15304">
            <v>7893187105</v>
          </cell>
        </row>
        <row r="15305">
          <cell r="E15305" t="str">
            <v>HLOB-12-0257-00</v>
          </cell>
          <cell r="F15305">
            <v>884283599966</v>
          </cell>
        </row>
        <row r="15306">
          <cell r="E15306" t="str">
            <v>HLOB-12-0460-00</v>
          </cell>
          <cell r="F15306">
            <v>884283599966</v>
          </cell>
        </row>
        <row r="15307">
          <cell r="E15307" t="str">
            <v>HLOB-12-0475-00</v>
          </cell>
          <cell r="F15307">
            <v>884283599966</v>
          </cell>
        </row>
        <row r="15308">
          <cell r="E15308" t="str">
            <v>HLOB-12-0472-00</v>
          </cell>
          <cell r="F15308">
            <v>884283599966</v>
          </cell>
        </row>
        <row r="15309">
          <cell r="E15309" t="str">
            <v>HLOB-12-0483-00</v>
          </cell>
          <cell r="F15309">
            <v>884283599966</v>
          </cell>
        </row>
        <row r="15310">
          <cell r="E15310" t="str">
            <v>PUR-12-0475-00</v>
          </cell>
          <cell r="F15310">
            <v>884283599966</v>
          </cell>
        </row>
        <row r="15311">
          <cell r="E15311" t="str">
            <v>PURET-12-0088-00</v>
          </cell>
          <cell r="F15311">
            <v>884283599966</v>
          </cell>
        </row>
        <row r="15312">
          <cell r="E15312" t="str">
            <v>PUR-12-0065-00</v>
          </cell>
          <cell r="F15312">
            <v>884283599966</v>
          </cell>
        </row>
        <row r="15313">
          <cell r="E15313" t="str">
            <v>PUR-12-0420-00</v>
          </cell>
          <cell r="F15313">
            <v>884283599966</v>
          </cell>
        </row>
        <row r="15314">
          <cell r="E15314" t="str">
            <v>PUR-12-0294-00</v>
          </cell>
          <cell r="F15314">
            <v>884283599966</v>
          </cell>
        </row>
        <row r="15315">
          <cell r="E15315" t="str">
            <v>PURET-12-0170-00</v>
          </cell>
          <cell r="F15315">
            <v>884283599966</v>
          </cell>
        </row>
        <row r="15316">
          <cell r="E15316" t="str">
            <v>AGI-500-40216-01</v>
          </cell>
          <cell r="F15316">
            <v>884283599966</v>
          </cell>
        </row>
        <row r="15317">
          <cell r="E15317" t="str">
            <v>PURET-12-0225-00</v>
          </cell>
          <cell r="F15317">
            <v>884283599966</v>
          </cell>
        </row>
        <row r="15318">
          <cell r="E15318" t="str">
            <v>LUC-EZZ-401295-00</v>
          </cell>
          <cell r="F15318">
            <v>884254636052</v>
          </cell>
        </row>
        <row r="15319">
          <cell r="E15319" t="str">
            <v>122-004060</v>
          </cell>
          <cell r="F15319">
            <v>884254636052</v>
          </cell>
        </row>
        <row r="15320">
          <cell r="E15320" t="str">
            <v>EF-45093131.X.X</v>
          </cell>
          <cell r="F15320">
            <v>419341579862</v>
          </cell>
        </row>
        <row r="15321">
          <cell r="E15321" t="str">
            <v>EF-45036463.X.X</v>
          </cell>
          <cell r="F15321">
            <v>419341579862</v>
          </cell>
        </row>
        <row r="15322">
          <cell r="E15322" t="str">
            <v>EF-45036912.X.X</v>
          </cell>
          <cell r="F15322">
            <v>419341579862</v>
          </cell>
        </row>
        <row r="15323">
          <cell r="E15323" t="str">
            <v>EF-45054385.X.X</v>
          </cell>
          <cell r="F15323">
            <v>419341579862</v>
          </cell>
        </row>
        <row r="15324">
          <cell r="E15324" t="str">
            <v>AGI-500-40179-01</v>
          </cell>
          <cell r="F15324">
            <v>419341579862</v>
          </cell>
        </row>
        <row r="15325">
          <cell r="E15325" t="str">
            <v>LUC-E00-450047-00</v>
          </cell>
          <cell r="F15325">
            <v>419341579862</v>
          </cell>
        </row>
        <row r="15326">
          <cell r="E15326" t="str">
            <v>HLOB-09-0424-00</v>
          </cell>
          <cell r="F15326">
            <v>445170570841</v>
          </cell>
        </row>
        <row r="15327">
          <cell r="E15327" t="str">
            <v>AGI-510-40123-01</v>
          </cell>
          <cell r="F15327">
            <v>884217545288</v>
          </cell>
        </row>
        <row r="15328">
          <cell r="E15328" t="str">
            <v>LUC-E00-690030-02</v>
          </cell>
          <cell r="F15328">
            <v>462141454871</v>
          </cell>
        </row>
        <row r="15329">
          <cell r="E15329" t="str">
            <v>121-001610</v>
          </cell>
          <cell r="F15329">
            <v>409298804386</v>
          </cell>
        </row>
        <row r="15330">
          <cell r="E15330" t="str">
            <v>LUC-E00-400244-00</v>
          </cell>
          <cell r="F15330">
            <v>3151975481</v>
          </cell>
        </row>
        <row r="15331">
          <cell r="E15331" t="str">
            <v>LUC-EZZ-450177-00</v>
          </cell>
          <cell r="F15331">
            <v>3151975481</v>
          </cell>
        </row>
        <row r="15332">
          <cell r="E15332" t="str">
            <v>LUC-EZZ-400434-00</v>
          </cell>
          <cell r="F15332">
            <v>3151975481</v>
          </cell>
        </row>
        <row r="15333">
          <cell r="E15333" t="str">
            <v>LUC-E00-400010-048</v>
          </cell>
          <cell r="F15333">
            <v>3151975481</v>
          </cell>
        </row>
        <row r="15334">
          <cell r="E15334" t="str">
            <v>LUC-E00-400010-046</v>
          </cell>
          <cell r="F15334">
            <v>3151975481</v>
          </cell>
        </row>
        <row r="15335">
          <cell r="E15335" t="str">
            <v>LUC-E00-400010-048</v>
          </cell>
          <cell r="F15335">
            <v>3151975481</v>
          </cell>
        </row>
        <row r="15336">
          <cell r="E15336" t="str">
            <v>LUC-E00-400067-399</v>
          </cell>
          <cell r="F15336">
            <v>3151975481</v>
          </cell>
        </row>
        <row r="15337">
          <cell r="E15337" t="str">
            <v>LUC-E00-510084-00</v>
          </cell>
          <cell r="F15337">
            <v>3151975481</v>
          </cell>
        </row>
        <row r="15338">
          <cell r="E15338" t="str">
            <v>LUC-E00-420241-00</v>
          </cell>
          <cell r="F15338">
            <v>3151975481</v>
          </cell>
        </row>
        <row r="15339">
          <cell r="E15339" t="str">
            <v>LUC-E00-400010-023</v>
          </cell>
          <cell r="F15339">
            <v>3151975481</v>
          </cell>
        </row>
        <row r="15340">
          <cell r="E15340" t="str">
            <v>LUC-EZZ-400245-00</v>
          </cell>
          <cell r="F15340">
            <v>3151975481</v>
          </cell>
        </row>
        <row r="15341">
          <cell r="E15341" t="str">
            <v>LUC-EZZ-420046-00</v>
          </cell>
          <cell r="F15341">
            <v>3151975481</v>
          </cell>
        </row>
        <row r="15342">
          <cell r="E15342" t="str">
            <v>LUC-EZZ-420046-00</v>
          </cell>
          <cell r="F15342">
            <v>3151975481</v>
          </cell>
        </row>
        <row r="15343">
          <cell r="E15343" t="str">
            <v>LUC-E00-510031-00</v>
          </cell>
          <cell r="F15343">
            <v>3151975481</v>
          </cell>
        </row>
        <row r="15344">
          <cell r="E15344" t="str">
            <v>AGI-534-40006-01</v>
          </cell>
          <cell r="F15344">
            <v>3151975481</v>
          </cell>
        </row>
        <row r="15345">
          <cell r="E15345" t="str">
            <v>AGI-534-40006-01</v>
          </cell>
          <cell r="F15345">
            <v>3151975481</v>
          </cell>
        </row>
        <row r="15346">
          <cell r="E15346" t="str">
            <v>LUC-E00-470361-00</v>
          </cell>
          <cell r="F15346">
            <v>3151975481</v>
          </cell>
        </row>
        <row r="15347">
          <cell r="E15347" t="str">
            <v>LUC-E00-420045-02</v>
          </cell>
          <cell r="F15347">
            <v>3151975481</v>
          </cell>
        </row>
        <row r="15348">
          <cell r="E15348" t="str">
            <v>LUC-E00-420045-02</v>
          </cell>
          <cell r="F15348">
            <v>3151975481</v>
          </cell>
        </row>
        <row r="15349">
          <cell r="E15349" t="str">
            <v>LUC-E00-420045-02</v>
          </cell>
          <cell r="F15349">
            <v>3151975481</v>
          </cell>
        </row>
        <row r="15350">
          <cell r="E15350" t="str">
            <v>LUC-E00-420045-02</v>
          </cell>
          <cell r="F15350">
            <v>3151975481</v>
          </cell>
        </row>
        <row r="15351">
          <cell r="E15351" t="str">
            <v>LUC-E00-420045-02</v>
          </cell>
          <cell r="F15351">
            <v>3151975481</v>
          </cell>
        </row>
        <row r="15352">
          <cell r="E15352" t="str">
            <v>LUC-E00-420045-02</v>
          </cell>
          <cell r="F15352">
            <v>3151975481</v>
          </cell>
        </row>
        <row r="15353">
          <cell r="E15353" t="str">
            <v>LUC-E00-420045-02</v>
          </cell>
          <cell r="F15353">
            <v>3151975481</v>
          </cell>
        </row>
        <row r="15354">
          <cell r="E15354" t="str">
            <v>LUC-E00-420045-02</v>
          </cell>
          <cell r="F15354">
            <v>3151975481</v>
          </cell>
        </row>
        <row r="15355">
          <cell r="E15355" t="str">
            <v>LUC-E00-420045-02</v>
          </cell>
          <cell r="F15355">
            <v>3151975481</v>
          </cell>
        </row>
        <row r="15356">
          <cell r="E15356" t="str">
            <v>LUC-E00-420045-02</v>
          </cell>
          <cell r="F15356">
            <v>3151975481</v>
          </cell>
        </row>
        <row r="15357">
          <cell r="E15357" t="str">
            <v>LUC-E00-420045-02</v>
          </cell>
          <cell r="F15357">
            <v>3151975481</v>
          </cell>
        </row>
        <row r="15358">
          <cell r="E15358" t="str">
            <v>LUC-E00-420045-02</v>
          </cell>
          <cell r="F15358">
            <v>3151975481</v>
          </cell>
        </row>
        <row r="15359">
          <cell r="E15359" t="str">
            <v>LUC-E00-420045-02</v>
          </cell>
          <cell r="F15359">
            <v>3151975481</v>
          </cell>
        </row>
        <row r="15360">
          <cell r="E15360" t="str">
            <v>LUC-E00-470033-00</v>
          </cell>
          <cell r="F15360">
            <v>3151975481</v>
          </cell>
        </row>
        <row r="15361">
          <cell r="E15361" t="str">
            <v>LUC-E00-470049-00</v>
          </cell>
          <cell r="F15361">
            <v>3151975481</v>
          </cell>
        </row>
        <row r="15362">
          <cell r="E15362" t="str">
            <v>LUC-E00-470379-00</v>
          </cell>
          <cell r="F15362">
            <v>3151975481</v>
          </cell>
        </row>
        <row r="15363">
          <cell r="E15363" t="str">
            <v>LUC-E00-470379-00</v>
          </cell>
          <cell r="F15363">
            <v>3151975481</v>
          </cell>
        </row>
        <row r="15364">
          <cell r="E15364" t="str">
            <v>LUC-E00-470379-00</v>
          </cell>
          <cell r="F15364">
            <v>3151975481</v>
          </cell>
        </row>
        <row r="15365">
          <cell r="E15365" t="str">
            <v>LUC-E00-470379-00</v>
          </cell>
          <cell r="F15365">
            <v>3151975481</v>
          </cell>
        </row>
        <row r="15366">
          <cell r="E15366" t="str">
            <v>LUC-EZZ-421047-00</v>
          </cell>
          <cell r="F15366">
            <v>3151975481</v>
          </cell>
        </row>
        <row r="15367">
          <cell r="E15367" t="str">
            <v>LUC-E00-420045-02</v>
          </cell>
          <cell r="F15367">
            <v>3151975481</v>
          </cell>
        </row>
        <row r="15368">
          <cell r="E15368" t="str">
            <v>122-000799.X.X</v>
          </cell>
          <cell r="F15368">
            <v>3151975481</v>
          </cell>
        </row>
        <row r="15369">
          <cell r="E15369" t="str">
            <v>LUC-E00-460015-00</v>
          </cell>
          <cell r="F15369">
            <v>3151975481</v>
          </cell>
        </row>
        <row r="15370">
          <cell r="E15370" t="str">
            <v>LUC-EZZ-420140-00</v>
          </cell>
          <cell r="F15370">
            <v>3151975481</v>
          </cell>
        </row>
        <row r="15371">
          <cell r="E15371" t="str">
            <v>LUC-EZZ-420151-00</v>
          </cell>
          <cell r="F15371">
            <v>3151975481</v>
          </cell>
        </row>
        <row r="15372">
          <cell r="E15372" t="str">
            <v>LUC-EZZ-420151-00</v>
          </cell>
          <cell r="F15372">
            <v>3151975481</v>
          </cell>
        </row>
        <row r="15373">
          <cell r="E15373" t="str">
            <v>LUC-E00-420171-00</v>
          </cell>
          <cell r="F15373">
            <v>3151975481</v>
          </cell>
        </row>
        <row r="15374">
          <cell r="E15374" t="str">
            <v>LUC-EZZ-450113-00</v>
          </cell>
          <cell r="F15374">
            <v>3151975481</v>
          </cell>
        </row>
        <row r="15375">
          <cell r="E15375" t="str">
            <v>LUC-EZZ-450113-00</v>
          </cell>
          <cell r="F15375">
            <v>3151975481</v>
          </cell>
        </row>
        <row r="15376">
          <cell r="E15376" t="str">
            <v>LUC-E00-460015-00</v>
          </cell>
          <cell r="F15376">
            <v>3151975481</v>
          </cell>
        </row>
        <row r="15377">
          <cell r="E15377" t="str">
            <v>LUC-E00-460015-00</v>
          </cell>
          <cell r="F15377">
            <v>3151975481</v>
          </cell>
        </row>
        <row r="15378">
          <cell r="E15378" t="str">
            <v>LUC-E00-400010-023</v>
          </cell>
          <cell r="F15378">
            <v>3151975481</v>
          </cell>
        </row>
        <row r="15379">
          <cell r="E15379" t="str">
            <v>LUC-E00-450075-00</v>
          </cell>
          <cell r="F15379">
            <v>3151975481</v>
          </cell>
        </row>
        <row r="15380">
          <cell r="E15380" t="str">
            <v>LUC-EZZ-400606-00</v>
          </cell>
          <cell r="F15380">
            <v>3151975481</v>
          </cell>
        </row>
        <row r="15381">
          <cell r="E15381" t="str">
            <v>LUC-E00-400010-020</v>
          </cell>
          <cell r="F15381">
            <v>3151975481</v>
          </cell>
        </row>
        <row r="15382">
          <cell r="E15382" t="str">
            <v>LUC-EZZ-470961-00</v>
          </cell>
          <cell r="F15382">
            <v>3151975481</v>
          </cell>
        </row>
        <row r="15383">
          <cell r="E15383" t="str">
            <v>LUC-E00-470044-00</v>
          </cell>
          <cell r="F15383">
            <v>3151975481</v>
          </cell>
        </row>
        <row r="15384">
          <cell r="E15384" t="str">
            <v>LUC-EZZ-420014-00</v>
          </cell>
          <cell r="F15384">
            <v>3151975481</v>
          </cell>
        </row>
        <row r="15385">
          <cell r="E15385" t="str">
            <v>LUC-E00-440028-00</v>
          </cell>
          <cell r="F15385">
            <v>3151975481</v>
          </cell>
        </row>
        <row r="15386">
          <cell r="E15386" t="str">
            <v>LUC-E00-450041-00</v>
          </cell>
          <cell r="F15386">
            <v>3151975481</v>
          </cell>
        </row>
        <row r="15387">
          <cell r="E15387" t="str">
            <v>LUC-EZZ-420345-00</v>
          </cell>
          <cell r="F15387">
            <v>3151975481</v>
          </cell>
        </row>
        <row r="15388">
          <cell r="E15388" t="str">
            <v>LUC-EZZ-420345-00</v>
          </cell>
          <cell r="F15388">
            <v>3151975481</v>
          </cell>
        </row>
        <row r="15389">
          <cell r="E15389" t="str">
            <v>LUC-EZZ-420345-00</v>
          </cell>
          <cell r="F15389">
            <v>3151975481</v>
          </cell>
        </row>
        <row r="15390">
          <cell r="E15390" t="str">
            <v>LUC-E00-470062-00</v>
          </cell>
          <cell r="F15390">
            <v>3151975481</v>
          </cell>
        </row>
        <row r="15391">
          <cell r="E15391" t="str">
            <v>LUC-E00-420037-00</v>
          </cell>
          <cell r="F15391">
            <v>3151975481</v>
          </cell>
        </row>
        <row r="15392">
          <cell r="E15392" t="str">
            <v>LUC-E00-420025-05</v>
          </cell>
          <cell r="F15392">
            <v>3151975481</v>
          </cell>
        </row>
        <row r="15393">
          <cell r="E15393" t="str">
            <v>LUC-E00-470048-00</v>
          </cell>
          <cell r="F15393">
            <v>3151975481</v>
          </cell>
        </row>
        <row r="15394">
          <cell r="E15394" t="str">
            <v>LUC-E00-470048-00</v>
          </cell>
          <cell r="F15394">
            <v>3151975481</v>
          </cell>
        </row>
        <row r="15395">
          <cell r="E15395" t="str">
            <v>LUC-E00-470049-00</v>
          </cell>
          <cell r="F15395">
            <v>3151975481</v>
          </cell>
        </row>
        <row r="15396">
          <cell r="E15396" t="str">
            <v>LUC-EZZ-510070-00</v>
          </cell>
          <cell r="F15396">
            <v>3151975481</v>
          </cell>
        </row>
        <row r="15397">
          <cell r="E15397" t="str">
            <v>LUC-E00-400010-034</v>
          </cell>
          <cell r="F15397">
            <v>3151975481</v>
          </cell>
        </row>
        <row r="15398">
          <cell r="E15398" t="str">
            <v>LUC-EZZ-470152-02</v>
          </cell>
          <cell r="F15398">
            <v>3151975481</v>
          </cell>
        </row>
        <row r="15399">
          <cell r="E15399" t="str">
            <v>LUC-E00-470119-00</v>
          </cell>
          <cell r="F15399">
            <v>3151975481</v>
          </cell>
        </row>
        <row r="15400">
          <cell r="E15400" t="str">
            <v>LUC-E00-470077-00</v>
          </cell>
          <cell r="F15400">
            <v>3151975481</v>
          </cell>
        </row>
        <row r="15401">
          <cell r="E15401" t="str">
            <v>LUC-E00-460015-01</v>
          </cell>
          <cell r="F15401">
            <v>3151975481</v>
          </cell>
        </row>
        <row r="15402">
          <cell r="E15402" t="str">
            <v>LUC-EZZ-460737-00</v>
          </cell>
          <cell r="F15402">
            <v>3151975481</v>
          </cell>
        </row>
        <row r="15403">
          <cell r="E15403" t="str">
            <v>LUC-E00-480015-01</v>
          </cell>
          <cell r="F15403">
            <v>3151975481</v>
          </cell>
        </row>
        <row r="15404">
          <cell r="E15404" t="str">
            <v>LUC-EZZ-420110-00</v>
          </cell>
          <cell r="F15404">
            <v>3151975481</v>
          </cell>
        </row>
        <row r="15405">
          <cell r="E15405" t="str">
            <v>LUC-EZZ-510639-00</v>
          </cell>
          <cell r="F15405">
            <v>3151975481</v>
          </cell>
        </row>
        <row r="15406">
          <cell r="E15406" t="str">
            <v>LUC-EZZ-420352-00</v>
          </cell>
          <cell r="F15406">
            <v>3151975481</v>
          </cell>
        </row>
        <row r="15407">
          <cell r="E15407" t="str">
            <v>LUC-EZZ-420172-00</v>
          </cell>
          <cell r="F15407">
            <v>3151975481</v>
          </cell>
        </row>
        <row r="15408">
          <cell r="E15408" t="str">
            <v>LUC-EZZ-420174-00</v>
          </cell>
          <cell r="F15408">
            <v>3151975481</v>
          </cell>
        </row>
        <row r="15409">
          <cell r="E15409" t="str">
            <v>LUC-EZZ-451368-00</v>
          </cell>
          <cell r="F15409">
            <v>3151975481</v>
          </cell>
        </row>
        <row r="15410">
          <cell r="E15410" t="str">
            <v>LUC-E00-470173-00</v>
          </cell>
          <cell r="F15410">
            <v>3151975481</v>
          </cell>
        </row>
        <row r="15411">
          <cell r="E15411" t="str">
            <v>LUC-EZZ-420136-00</v>
          </cell>
          <cell r="F15411">
            <v>3151975481</v>
          </cell>
        </row>
        <row r="15412">
          <cell r="E15412" t="str">
            <v>LUC-EZZ-420102-00</v>
          </cell>
          <cell r="F15412">
            <v>3151975481</v>
          </cell>
        </row>
        <row r="15413">
          <cell r="E15413" t="str">
            <v>LUC-EZZ-420172-00</v>
          </cell>
          <cell r="F15413">
            <v>3151975481</v>
          </cell>
        </row>
        <row r="15414">
          <cell r="E15414" t="str">
            <v>LUC-EZZ-420136-00</v>
          </cell>
          <cell r="F15414">
            <v>3151975481</v>
          </cell>
        </row>
        <row r="15415">
          <cell r="E15415" t="str">
            <v>LUC-EZZ-420102-00</v>
          </cell>
          <cell r="F15415">
            <v>3151975481</v>
          </cell>
        </row>
        <row r="15416">
          <cell r="E15416" t="str">
            <v>LUC-EZZ-460737-00</v>
          </cell>
          <cell r="F15416">
            <v>3151975481</v>
          </cell>
        </row>
        <row r="15417">
          <cell r="E15417" t="str">
            <v>LUC-EZZ-400194-00</v>
          </cell>
          <cell r="F15417">
            <v>3151975481</v>
          </cell>
        </row>
        <row r="15418">
          <cell r="E15418" t="str">
            <v>LUC-EZZ-420352-00</v>
          </cell>
          <cell r="F15418">
            <v>3151975481</v>
          </cell>
        </row>
        <row r="15419">
          <cell r="E15419" t="str">
            <v>LUC-EZZ-460737-00</v>
          </cell>
          <cell r="F15419">
            <v>3151975481</v>
          </cell>
        </row>
        <row r="15420">
          <cell r="E15420" t="str">
            <v>LUC-EZZ-471619-01</v>
          </cell>
          <cell r="F15420">
            <v>3151975481</v>
          </cell>
        </row>
        <row r="15421">
          <cell r="E15421" t="str">
            <v>LUC-EZZ-420324-00</v>
          </cell>
          <cell r="F15421">
            <v>3151975481</v>
          </cell>
        </row>
        <row r="15422">
          <cell r="E15422" t="str">
            <v>LUC-EZZ-510080-00</v>
          </cell>
          <cell r="F15422">
            <v>3151975481</v>
          </cell>
        </row>
        <row r="15423">
          <cell r="E15423" t="str">
            <v>LUC-EZZ-510080-00</v>
          </cell>
          <cell r="F15423">
            <v>3151975481</v>
          </cell>
        </row>
        <row r="15424">
          <cell r="E15424" t="str">
            <v>LUC-EZZ-420281-00</v>
          </cell>
          <cell r="F15424">
            <v>3151975481</v>
          </cell>
        </row>
        <row r="15425">
          <cell r="E15425" t="str">
            <v>LUC-E00-510030-00</v>
          </cell>
          <cell r="F15425">
            <v>3151975481</v>
          </cell>
        </row>
        <row r="15426">
          <cell r="E15426" t="str">
            <v>LUC-EZZ-510058-00</v>
          </cell>
          <cell r="F15426">
            <v>3151975481</v>
          </cell>
        </row>
        <row r="15427">
          <cell r="E15427" t="str">
            <v>LUC-EZZ-470155-00</v>
          </cell>
          <cell r="F15427">
            <v>3151975481</v>
          </cell>
        </row>
        <row r="15428">
          <cell r="E15428" t="str">
            <v>LUC-E00-400056-01</v>
          </cell>
          <cell r="F15428">
            <v>3151975481</v>
          </cell>
        </row>
        <row r="15429">
          <cell r="E15429" t="str">
            <v>LUC-E00-420002-10</v>
          </cell>
          <cell r="F15429">
            <v>3151975481</v>
          </cell>
        </row>
        <row r="15430">
          <cell r="E15430" t="str">
            <v>LUC-E00-510112-00</v>
          </cell>
          <cell r="F15430">
            <v>3151975481</v>
          </cell>
        </row>
        <row r="15431">
          <cell r="E15431" t="str">
            <v>LUC-EZZ-470155-00</v>
          </cell>
          <cell r="F15431">
            <v>3151975481</v>
          </cell>
        </row>
        <row r="15432">
          <cell r="E15432" t="str">
            <v>LUC-EZZ-470155-00</v>
          </cell>
          <cell r="F15432">
            <v>3151975481</v>
          </cell>
        </row>
        <row r="15433">
          <cell r="E15433" t="str">
            <v>LUC-EZZ-450179-00</v>
          </cell>
          <cell r="F15433">
            <v>3151975481</v>
          </cell>
        </row>
        <row r="15434">
          <cell r="E15434" t="str">
            <v>LUC-EZZ-450149-00</v>
          </cell>
          <cell r="F15434">
            <v>3151975481</v>
          </cell>
        </row>
        <row r="15435">
          <cell r="E15435" t="str">
            <v>LUC-E00-510082-00</v>
          </cell>
          <cell r="F15435">
            <v>3151975481</v>
          </cell>
        </row>
        <row r="15436">
          <cell r="E15436" t="str">
            <v>LUC-E00-440047-00</v>
          </cell>
          <cell r="F15436">
            <v>3151975481</v>
          </cell>
        </row>
        <row r="15437">
          <cell r="E15437" t="str">
            <v>LUC-EZZ-510638-00</v>
          </cell>
          <cell r="F15437">
            <v>3151975481</v>
          </cell>
        </row>
        <row r="15438">
          <cell r="E15438" t="str">
            <v>LUC-EZZ-450476-00</v>
          </cell>
          <cell r="F15438">
            <v>3151975481</v>
          </cell>
        </row>
        <row r="15439">
          <cell r="E15439" t="str">
            <v>LUC-EZZ-450476-00</v>
          </cell>
          <cell r="F15439">
            <v>3151975481</v>
          </cell>
        </row>
        <row r="15440">
          <cell r="E15440" t="str">
            <v>LUC-E00-510001-00</v>
          </cell>
          <cell r="F15440">
            <v>3151975481</v>
          </cell>
        </row>
        <row r="15441">
          <cell r="E15441" t="str">
            <v>LUC-EZZ-510014-00</v>
          </cell>
          <cell r="F15441">
            <v>3151975481</v>
          </cell>
        </row>
        <row r="15442">
          <cell r="E15442" t="str">
            <v>LUC-EZZ-420251-00</v>
          </cell>
          <cell r="F15442">
            <v>3151975481</v>
          </cell>
        </row>
        <row r="15443">
          <cell r="E15443" t="str">
            <v>122-003006</v>
          </cell>
          <cell r="F15443">
            <v>3151975481</v>
          </cell>
        </row>
        <row r="15444">
          <cell r="E15444" t="str">
            <v>HLOB-05-0032-00</v>
          </cell>
          <cell r="F15444">
            <v>1810886324</v>
          </cell>
        </row>
        <row r="15445">
          <cell r="E15445" t="str">
            <v>PURC-03-0116-02</v>
          </cell>
          <cell r="F15445">
            <v>480845219672</v>
          </cell>
        </row>
        <row r="15446">
          <cell r="E15446" t="str">
            <v>PUR-03-0096-02</v>
          </cell>
          <cell r="F15446" t="str">
            <v>8TV8795</v>
          </cell>
        </row>
        <row r="15447">
          <cell r="E15447" t="str">
            <v>PUR-03-0099-03</v>
          </cell>
          <cell r="F15447" t="str">
            <v>8TV8795</v>
          </cell>
        </row>
        <row r="15448">
          <cell r="E15448" t="str">
            <v>PUR-03-0074-02</v>
          </cell>
          <cell r="F15448" t="str">
            <v>8TV8800</v>
          </cell>
        </row>
        <row r="15449">
          <cell r="E15449" t="str">
            <v>102-001541</v>
          </cell>
          <cell r="F15449" t="str">
            <v>HDLCA102082</v>
          </cell>
        </row>
        <row r="15450">
          <cell r="E15450" t="str">
            <v>102-001541</v>
          </cell>
          <cell r="F15450" t="str">
            <v>HDLCA102082</v>
          </cell>
        </row>
        <row r="15451">
          <cell r="E15451" t="str">
            <v>102-001541</v>
          </cell>
          <cell r="F15451" t="str">
            <v>HDLCA102082</v>
          </cell>
        </row>
        <row r="15452">
          <cell r="E15452" t="str">
            <v>102-001542</v>
          </cell>
          <cell r="F15452" t="str">
            <v>HDLCA102082</v>
          </cell>
        </row>
        <row r="15453">
          <cell r="E15453" t="str">
            <v>102-001674</v>
          </cell>
          <cell r="F15453" t="str">
            <v>HDLCA102082</v>
          </cell>
        </row>
        <row r="15454">
          <cell r="E15454" t="str">
            <v>102-001541</v>
          </cell>
          <cell r="F15454" t="str">
            <v>HDLCA102082</v>
          </cell>
        </row>
        <row r="15455">
          <cell r="E15455" t="str">
            <v>EF-45174166</v>
          </cell>
          <cell r="F15455">
            <v>4711877679</v>
          </cell>
        </row>
        <row r="15456">
          <cell r="E15456" t="str">
            <v>AGI-450-40126-01</v>
          </cell>
          <cell r="F15456">
            <v>4711877679</v>
          </cell>
        </row>
        <row r="15457">
          <cell r="E15457" t="str">
            <v>AIC-MP-DE004578-S01</v>
          </cell>
          <cell r="F15457">
            <v>4711877679</v>
          </cell>
        </row>
        <row r="15458">
          <cell r="E15458" t="str">
            <v>LUC-E00-420028-00</v>
          </cell>
          <cell r="F15458">
            <v>4711877679</v>
          </cell>
        </row>
        <row r="15459">
          <cell r="E15459" t="str">
            <v>LUC-E00-690001-00</v>
          </cell>
          <cell r="F15459">
            <v>4711877679</v>
          </cell>
        </row>
        <row r="15460">
          <cell r="E15460" t="str">
            <v>LUC-E00-690001-00</v>
          </cell>
          <cell r="F15460">
            <v>4711877679</v>
          </cell>
        </row>
        <row r="15461">
          <cell r="E15461" t="str">
            <v>LUC-E00-420238-00</v>
          </cell>
          <cell r="F15461">
            <v>4711877679</v>
          </cell>
        </row>
        <row r="15462">
          <cell r="E15462" t="str">
            <v>AIC-MP-00006987-000</v>
          </cell>
          <cell r="F15462">
            <v>4711877679</v>
          </cell>
        </row>
        <row r="15463">
          <cell r="E15463" t="str">
            <v>AIC-MP-DE004578-S01</v>
          </cell>
          <cell r="F15463">
            <v>4711877679</v>
          </cell>
        </row>
        <row r="15464">
          <cell r="E15464" t="str">
            <v>LUC-E00-510046-00</v>
          </cell>
          <cell r="F15464">
            <v>4711877679</v>
          </cell>
        </row>
        <row r="15465">
          <cell r="E15465" t="str">
            <v>LUC-E00-470039-00</v>
          </cell>
          <cell r="F15465">
            <v>4711877679</v>
          </cell>
        </row>
        <row r="15466">
          <cell r="E15466" t="str">
            <v>AIC-MP-DE005361-S01</v>
          </cell>
          <cell r="F15466">
            <v>4711877679</v>
          </cell>
        </row>
        <row r="15467">
          <cell r="E15467" t="str">
            <v>HLOB-05-0032-00</v>
          </cell>
          <cell r="F15467">
            <v>3455939944</v>
          </cell>
        </row>
        <row r="15468">
          <cell r="E15468" t="str">
            <v>LUC-EZZ-490231-05</v>
          </cell>
          <cell r="F15468">
            <v>7285643912</v>
          </cell>
        </row>
        <row r="15469">
          <cell r="E15469" t="str">
            <v>PURET-24-0002-00</v>
          </cell>
          <cell r="F15469">
            <v>3455940880</v>
          </cell>
        </row>
        <row r="15470">
          <cell r="E15470" t="str">
            <v>HLOB-14-0077-00</v>
          </cell>
          <cell r="F15470">
            <v>3455940880</v>
          </cell>
        </row>
        <row r="15471">
          <cell r="E15471" t="str">
            <v>HLOB-14-0077-00</v>
          </cell>
          <cell r="F15471">
            <v>3455940880</v>
          </cell>
        </row>
        <row r="15472">
          <cell r="E15472" t="str">
            <v>PUR-14-0077-00</v>
          </cell>
          <cell r="F15472">
            <v>3455940880</v>
          </cell>
        </row>
        <row r="15473">
          <cell r="E15473" t="str">
            <v>HLOB-14-0077-00</v>
          </cell>
          <cell r="F15473">
            <v>3455940880</v>
          </cell>
        </row>
        <row r="15474">
          <cell r="E15474" t="str">
            <v>HLOB-14-0083-00</v>
          </cell>
          <cell r="F15474">
            <v>3455940880</v>
          </cell>
        </row>
        <row r="15475">
          <cell r="E15475" t="str">
            <v>PUR-14-0077-00</v>
          </cell>
          <cell r="F15475">
            <v>3455940880</v>
          </cell>
        </row>
        <row r="15476">
          <cell r="E15476" t="str">
            <v>PUR-14-0083-00</v>
          </cell>
          <cell r="F15476">
            <v>3455940880</v>
          </cell>
        </row>
        <row r="15477">
          <cell r="E15477" t="str">
            <v>PURET-14-0022-00</v>
          </cell>
          <cell r="F15477">
            <v>3455940880</v>
          </cell>
        </row>
        <row r="15478">
          <cell r="E15478" t="str">
            <v>AGI-410-50002-01</v>
          </cell>
          <cell r="F15478">
            <v>3455940880</v>
          </cell>
        </row>
        <row r="15479">
          <cell r="E15479" t="str">
            <v>PUR-14-0077-00</v>
          </cell>
          <cell r="F15479">
            <v>3455940880</v>
          </cell>
        </row>
        <row r="15480">
          <cell r="E15480" t="str">
            <v>LUC-E00-420072-00</v>
          </cell>
          <cell r="F15480">
            <v>3455940880</v>
          </cell>
        </row>
        <row r="15481">
          <cell r="E15481" t="str">
            <v>LUC-EZZ-490304-04</v>
          </cell>
          <cell r="F15481" t="str">
            <v>SEBL25080096</v>
          </cell>
        </row>
        <row r="15482">
          <cell r="E15482" t="str">
            <v>LUC-EZZ-490315-02</v>
          </cell>
          <cell r="F15482" t="str">
            <v>SEBL25080096</v>
          </cell>
        </row>
        <row r="15483">
          <cell r="E15483" t="str">
            <v>LUC-EZZ-490225-05</v>
          </cell>
          <cell r="F15483" t="str">
            <v>SEBL25080096</v>
          </cell>
        </row>
        <row r="15484">
          <cell r="E15484" t="str">
            <v>LUC-EZZ-490050-03</v>
          </cell>
          <cell r="F15484" t="str">
            <v>SEBL25080096</v>
          </cell>
        </row>
        <row r="15485">
          <cell r="E15485" t="str">
            <v>LUC-EZZ-490201-07</v>
          </cell>
          <cell r="F15485">
            <v>1516295</v>
          </cell>
        </row>
        <row r="15486">
          <cell r="E15486" t="str">
            <v>LUC-EZZ-490317-04</v>
          </cell>
          <cell r="F15486">
            <v>1516295</v>
          </cell>
        </row>
        <row r="15487">
          <cell r="E15487" t="str">
            <v>LUC-EZZ-490316-02</v>
          </cell>
          <cell r="F15487">
            <v>1516295</v>
          </cell>
        </row>
        <row r="15488">
          <cell r="E15488" t="str">
            <v>LUC-EZZ-490316-02</v>
          </cell>
          <cell r="F15488">
            <v>1516295</v>
          </cell>
        </row>
        <row r="15489">
          <cell r="E15489" t="str">
            <v>LUC-E00-420071-00</v>
          </cell>
          <cell r="F15489">
            <v>445170553459</v>
          </cell>
        </row>
        <row r="15490">
          <cell r="E15490" t="str">
            <v>PUR-12-0412-00</v>
          </cell>
          <cell r="F15490">
            <v>883953312741</v>
          </cell>
        </row>
        <row r="15491">
          <cell r="E15491" t="str">
            <v>PUR-12-0271-00</v>
          </cell>
          <cell r="F15491">
            <v>883953312741</v>
          </cell>
        </row>
        <row r="15492">
          <cell r="E15492" t="str">
            <v>HLOB-12-0472-00</v>
          </cell>
          <cell r="F15492">
            <v>883953312741</v>
          </cell>
        </row>
        <row r="15493">
          <cell r="E15493" t="str">
            <v>HLOB-12-0475-00</v>
          </cell>
          <cell r="F15493">
            <v>883953312741</v>
          </cell>
        </row>
        <row r="15494">
          <cell r="E15494" t="str">
            <v>HLOB-12-0056-00</v>
          </cell>
          <cell r="F15494">
            <v>883953312741</v>
          </cell>
        </row>
        <row r="15495">
          <cell r="E15495" t="str">
            <v>HLOB-12-0420-00</v>
          </cell>
          <cell r="F15495">
            <v>883953312741</v>
          </cell>
        </row>
        <row r="15496">
          <cell r="E15496" t="str">
            <v>HLOB-12-0483-00</v>
          </cell>
          <cell r="F15496">
            <v>883953312741</v>
          </cell>
        </row>
        <row r="15497">
          <cell r="E15497" t="str">
            <v>HLOB-12-0293-00</v>
          </cell>
          <cell r="F15497">
            <v>883953312741</v>
          </cell>
        </row>
        <row r="15498">
          <cell r="E15498" t="str">
            <v>PUR-12-0512-00</v>
          </cell>
          <cell r="F15498">
            <v>883953312741</v>
          </cell>
        </row>
        <row r="15499">
          <cell r="E15499" t="str">
            <v>HLOB-12-0170-00</v>
          </cell>
          <cell r="F15499">
            <v>883953312741</v>
          </cell>
        </row>
        <row r="15500">
          <cell r="E15500" t="str">
            <v>HLOB-12-0088-00</v>
          </cell>
          <cell r="F15500">
            <v>883953312741</v>
          </cell>
        </row>
        <row r="15501">
          <cell r="E15501" t="str">
            <v>EF-45045057.X.X</v>
          </cell>
          <cell r="F15501">
            <v>883953312741</v>
          </cell>
        </row>
        <row r="15502">
          <cell r="E15502" t="str">
            <v>LUC-EZZ-440022-00</v>
          </cell>
          <cell r="F15502">
            <v>883953312741</v>
          </cell>
        </row>
        <row r="15503">
          <cell r="E15503" t="str">
            <v>EF-45045880</v>
          </cell>
          <cell r="F15503">
            <v>883953312741</v>
          </cell>
        </row>
        <row r="15504">
          <cell r="E15504" t="str">
            <v>EF-45120129</v>
          </cell>
          <cell r="F15504">
            <v>476862803176</v>
          </cell>
        </row>
        <row r="15505">
          <cell r="E15505" t="str">
            <v>LUC-E00-470083-00</v>
          </cell>
          <cell r="F15505">
            <v>445170557502</v>
          </cell>
        </row>
        <row r="15506">
          <cell r="E15506" t="str">
            <v>PUR-03-0038-00</v>
          </cell>
          <cell r="F15506">
            <v>883955552835</v>
          </cell>
        </row>
        <row r="15507">
          <cell r="E15507" t="str">
            <v>LUC-E00-470030-00</v>
          </cell>
          <cell r="F15507">
            <v>392558184380</v>
          </cell>
        </row>
        <row r="15508">
          <cell r="E15508" t="str">
            <v>LUC-E00-470041-00</v>
          </cell>
          <cell r="F15508">
            <v>392558184380</v>
          </cell>
        </row>
        <row r="15509">
          <cell r="E15509" t="str">
            <v>LUC-E00-470473-00</v>
          </cell>
          <cell r="F15509">
            <v>392558184380</v>
          </cell>
        </row>
        <row r="15510">
          <cell r="E15510" t="str">
            <v>LUC-E00-470072-00</v>
          </cell>
          <cell r="F15510">
            <v>392558184380</v>
          </cell>
        </row>
        <row r="15511">
          <cell r="E15511" t="str">
            <v>AIC-MP-00005644-000</v>
          </cell>
          <cell r="F15511">
            <v>392558184380</v>
          </cell>
        </row>
        <row r="15512">
          <cell r="E15512" t="str">
            <v>LUC-E00-470124-00</v>
          </cell>
          <cell r="F15512">
            <v>392558184380</v>
          </cell>
        </row>
        <row r="15513">
          <cell r="E15513" t="str">
            <v>LUC-E00-470388-00</v>
          </cell>
          <cell r="F15513">
            <v>392558184380</v>
          </cell>
        </row>
        <row r="15514">
          <cell r="E15514" t="str">
            <v>LUC-E00-450132-00</v>
          </cell>
          <cell r="F15514">
            <v>471459675001</v>
          </cell>
        </row>
        <row r="15515">
          <cell r="E15515" t="str">
            <v>AGI-450-40126-01</v>
          </cell>
          <cell r="F15515">
            <v>392643508779</v>
          </cell>
        </row>
        <row r="15516">
          <cell r="E15516" t="str">
            <v>AIC-MP-00006506-000</v>
          </cell>
          <cell r="F15516">
            <v>392643508779</v>
          </cell>
        </row>
        <row r="15517">
          <cell r="E15517" t="str">
            <v>AIC-MP-IC005725-S01</v>
          </cell>
          <cell r="F15517">
            <v>392643508779</v>
          </cell>
        </row>
        <row r="15518">
          <cell r="E15518" t="str">
            <v>PUR-03-0091-02</v>
          </cell>
          <cell r="F15518">
            <v>479082475736</v>
          </cell>
        </row>
        <row r="15519">
          <cell r="E15519" t="str">
            <v>PUR-03-0091-02</v>
          </cell>
          <cell r="F15519">
            <v>479082475736</v>
          </cell>
        </row>
        <row r="15520">
          <cell r="E15520" t="str">
            <v>AGI-510-40118-01</v>
          </cell>
          <cell r="F15520">
            <v>473838397562</v>
          </cell>
        </row>
        <row r="15521">
          <cell r="E15521" t="str">
            <v>AGI-510-40118-01</v>
          </cell>
          <cell r="F15521">
            <v>473838397562</v>
          </cell>
        </row>
        <row r="15522">
          <cell r="E15522" t="str">
            <v>AGI-510-40118-01</v>
          </cell>
          <cell r="F15522">
            <v>473838397562</v>
          </cell>
        </row>
        <row r="15523">
          <cell r="E15523" t="str">
            <v>HLOB-25-0009-00</v>
          </cell>
          <cell r="F15523">
            <v>473838397562</v>
          </cell>
        </row>
        <row r="15524">
          <cell r="E15524" t="str">
            <v>HLOB-25-0009-00</v>
          </cell>
          <cell r="F15524">
            <v>473838397562</v>
          </cell>
        </row>
        <row r="15525">
          <cell r="E15525" t="str">
            <v>PUR-25-0009-00</v>
          </cell>
          <cell r="F15525">
            <v>473838397562</v>
          </cell>
        </row>
        <row r="15526">
          <cell r="E15526" t="str">
            <v>HLOB-24-0028-00</v>
          </cell>
          <cell r="F15526">
            <v>119209629341</v>
          </cell>
        </row>
        <row r="15527">
          <cell r="E15527" t="str">
            <v>HLOB-09-0213-00</v>
          </cell>
          <cell r="F15527">
            <v>119209629341</v>
          </cell>
        </row>
        <row r="15528">
          <cell r="E15528" t="str">
            <v>HLOB-09-0213-00</v>
          </cell>
          <cell r="F15528">
            <v>119209629341</v>
          </cell>
        </row>
        <row r="15529">
          <cell r="E15529" t="str">
            <v>PUR-09-0213-00</v>
          </cell>
          <cell r="F15529">
            <v>119209629341</v>
          </cell>
        </row>
        <row r="15530">
          <cell r="E15530" t="str">
            <v>LUC-EZZ-400243-00</v>
          </cell>
          <cell r="F15530">
            <v>119209629341</v>
          </cell>
        </row>
        <row r="15531">
          <cell r="E15531" t="str">
            <v>LUC-EZZ-400265-00</v>
          </cell>
          <cell r="F15531">
            <v>119209629341</v>
          </cell>
        </row>
        <row r="15532">
          <cell r="E15532" t="str">
            <v>PUR-24-0028-00</v>
          </cell>
          <cell r="F15532">
            <v>119209629341</v>
          </cell>
        </row>
        <row r="15533">
          <cell r="E15533" t="str">
            <v>EF-45112739</v>
          </cell>
          <cell r="F15533">
            <v>392557918009</v>
          </cell>
        </row>
        <row r="15534">
          <cell r="E15534" t="str">
            <v>EF-45112739</v>
          </cell>
          <cell r="F15534">
            <v>392557918009</v>
          </cell>
        </row>
        <row r="15535">
          <cell r="E15535" t="str">
            <v>PUR-09-0502-00</v>
          </cell>
          <cell r="F15535">
            <v>471782627429</v>
          </cell>
        </row>
        <row r="15536">
          <cell r="E15536" t="str">
            <v>PUR-09-0502-00</v>
          </cell>
          <cell r="F15536">
            <v>471782630826</v>
          </cell>
        </row>
        <row r="15537">
          <cell r="E15537" t="str">
            <v>PUR-09-0502-00</v>
          </cell>
          <cell r="F15537">
            <v>471782630826</v>
          </cell>
        </row>
        <row r="15538">
          <cell r="E15538" t="str">
            <v>EF-45133505</v>
          </cell>
          <cell r="F15538">
            <v>392707737157</v>
          </cell>
        </row>
        <row r="15539">
          <cell r="E15539" t="str">
            <v>LUC-E00-470110-00</v>
          </cell>
          <cell r="F15539">
            <v>392642526234</v>
          </cell>
        </row>
        <row r="15540">
          <cell r="E15540" t="str">
            <v>LUC-E00-470116-00</v>
          </cell>
          <cell r="F15540">
            <v>476513849491</v>
          </cell>
        </row>
        <row r="15541">
          <cell r="E15541" t="str">
            <v>PUR-13-0141-00</v>
          </cell>
          <cell r="F15541">
            <v>883998627575</v>
          </cell>
        </row>
        <row r="15542">
          <cell r="E15542" t="str">
            <v>HLOB-12-0088-00</v>
          </cell>
          <cell r="F15542">
            <v>883998627575</v>
          </cell>
        </row>
        <row r="15543">
          <cell r="E15543" t="str">
            <v>HLOB-13-0141-00</v>
          </cell>
          <cell r="F15543">
            <v>883998627575</v>
          </cell>
        </row>
        <row r="15544">
          <cell r="E15544" t="str">
            <v>HLOB-13-0235-00</v>
          </cell>
          <cell r="F15544">
            <v>883998627575</v>
          </cell>
        </row>
        <row r="15545">
          <cell r="E15545" t="str">
            <v>HLOB-13-0235-00</v>
          </cell>
          <cell r="F15545">
            <v>883998627575</v>
          </cell>
        </row>
        <row r="15546">
          <cell r="E15546" t="str">
            <v>AIC-MP-00005635-000</v>
          </cell>
          <cell r="F15546">
            <v>883998627575</v>
          </cell>
        </row>
        <row r="15547">
          <cell r="E15547" t="str">
            <v>AIC-MP-00000755-000</v>
          </cell>
          <cell r="F15547">
            <v>883998627575</v>
          </cell>
        </row>
        <row r="15548">
          <cell r="E15548" t="str">
            <v>PURET-12-0017-00</v>
          </cell>
          <cell r="F15548">
            <v>883998627575</v>
          </cell>
        </row>
        <row r="15549">
          <cell r="E15549" t="str">
            <v>AIC-MP-00000278-000</v>
          </cell>
          <cell r="F15549">
            <v>883998627575</v>
          </cell>
        </row>
        <row r="15550">
          <cell r="E15550" t="str">
            <v>PUR-13-0235-00</v>
          </cell>
          <cell r="F15550">
            <v>883998627575</v>
          </cell>
        </row>
        <row r="15551">
          <cell r="E15551" t="str">
            <v>EF-45224584</v>
          </cell>
          <cell r="F15551">
            <v>461596523637</v>
          </cell>
        </row>
        <row r="15552">
          <cell r="E15552" t="str">
            <v>EF-45026204</v>
          </cell>
          <cell r="F15552">
            <v>419341578167</v>
          </cell>
        </row>
        <row r="15553">
          <cell r="E15553" t="str">
            <v>AIC-120-012790</v>
          </cell>
          <cell r="F15553">
            <v>883887461612</v>
          </cell>
        </row>
        <row r="15554">
          <cell r="E15554" t="str">
            <v>LUC-E00-400010-045</v>
          </cell>
          <cell r="F15554">
            <v>412069760080</v>
          </cell>
        </row>
        <row r="15555">
          <cell r="E15555" t="str">
            <v>LUC-E00-400010-022</v>
          </cell>
          <cell r="F15555">
            <v>445170550883</v>
          </cell>
        </row>
        <row r="15556">
          <cell r="E15556" t="str">
            <v>LUC-E00-420071-00</v>
          </cell>
          <cell r="F15556">
            <v>445170551835</v>
          </cell>
        </row>
        <row r="15557">
          <cell r="E15557" t="str">
            <v>LUC-E00-400010-021</v>
          </cell>
          <cell r="F15557">
            <v>445170552740</v>
          </cell>
        </row>
        <row r="15558">
          <cell r="E15558" t="str">
            <v>LUC-E00-400010-022</v>
          </cell>
          <cell r="F15558">
            <v>445170552740</v>
          </cell>
        </row>
        <row r="15559">
          <cell r="E15559" t="str">
            <v>LUC-E00-470112-00</v>
          </cell>
          <cell r="F15559">
            <v>445170552967</v>
          </cell>
        </row>
        <row r="15560">
          <cell r="E15560" t="str">
            <v>LUC-E00-470094-00</v>
          </cell>
          <cell r="F15560">
            <v>445170552967</v>
          </cell>
        </row>
        <row r="15561">
          <cell r="E15561" t="str">
            <v>LUC-E00-420071-00</v>
          </cell>
          <cell r="F15561">
            <v>445170553390</v>
          </cell>
        </row>
        <row r="15562">
          <cell r="E15562" t="str">
            <v>LUC-EZZ-470139-00</v>
          </cell>
          <cell r="F15562">
            <v>445170553893</v>
          </cell>
        </row>
        <row r="15563">
          <cell r="E15563" t="str">
            <v>HLOB-09-0256-00</v>
          </cell>
          <cell r="F15563">
            <v>445170554400</v>
          </cell>
        </row>
        <row r="15564">
          <cell r="E15564" t="str">
            <v>LUC-EZZ-470095-00</v>
          </cell>
          <cell r="F15564">
            <v>445170560586</v>
          </cell>
        </row>
        <row r="15565">
          <cell r="E15565" t="str">
            <v>LUC-EZZ-400162-00</v>
          </cell>
          <cell r="F15565">
            <v>445170556653</v>
          </cell>
        </row>
        <row r="15566">
          <cell r="E15566" t="str">
            <v>LUC-EZZ-400242-00</v>
          </cell>
          <cell r="F15566">
            <v>445170556653</v>
          </cell>
        </row>
        <row r="15567">
          <cell r="E15567" t="str">
            <v>LUC-E00-440046-00</v>
          </cell>
          <cell r="F15567">
            <v>451257546300</v>
          </cell>
        </row>
        <row r="15568">
          <cell r="E15568" t="str">
            <v>LUC-EZZ-440069-00</v>
          </cell>
          <cell r="F15568">
            <v>451257546300</v>
          </cell>
        </row>
        <row r="15569">
          <cell r="E15569" t="str">
            <v>142-000043</v>
          </cell>
          <cell r="F15569">
            <v>470198034990</v>
          </cell>
        </row>
        <row r="15570">
          <cell r="E15570" t="str">
            <v>LUC-EZZ-470433-00</v>
          </cell>
          <cell r="F15570">
            <v>445170563232</v>
          </cell>
        </row>
        <row r="15571">
          <cell r="E15571" t="str">
            <v>EF-45127606</v>
          </cell>
          <cell r="F15571">
            <v>476862801357</v>
          </cell>
        </row>
        <row r="15572">
          <cell r="E15572" t="str">
            <v>LUC-E00-470110-00</v>
          </cell>
          <cell r="F15572">
            <v>479224475371</v>
          </cell>
        </row>
        <row r="15573">
          <cell r="E15573" t="str">
            <v>EF-45236387</v>
          </cell>
          <cell r="F15573">
            <v>883885196844</v>
          </cell>
        </row>
        <row r="15574">
          <cell r="E15574" t="str">
            <v>EF-45193108</v>
          </cell>
          <cell r="F15574">
            <v>883952071070</v>
          </cell>
        </row>
        <row r="15575">
          <cell r="E15575" t="str">
            <v>LUC-P11-K37000-02</v>
          </cell>
          <cell r="F15575">
            <v>619345529045</v>
          </cell>
        </row>
        <row r="15576">
          <cell r="E15576" t="str">
            <v>HLOB-07-0315-00</v>
          </cell>
          <cell r="F15576">
            <v>477859574354</v>
          </cell>
        </row>
        <row r="15577">
          <cell r="E15577" t="str">
            <v>PUR-09-0505-00</v>
          </cell>
          <cell r="F15577">
            <v>635676847664</v>
          </cell>
        </row>
        <row r="15578">
          <cell r="E15578" t="str">
            <v>HLOB-09-0343-00</v>
          </cell>
          <cell r="F15578">
            <v>470198029318</v>
          </cell>
        </row>
        <row r="15579">
          <cell r="E15579" t="str">
            <v>HLOB-09-0422-00</v>
          </cell>
          <cell r="F15579">
            <v>392521789200</v>
          </cell>
        </row>
        <row r="15580">
          <cell r="E15580" t="str">
            <v>LUC-EZZ-470094-00</v>
          </cell>
          <cell r="F15580">
            <v>392604296687</v>
          </cell>
        </row>
        <row r="15581">
          <cell r="E15581" t="str">
            <v>AGI-720-50001-01</v>
          </cell>
          <cell r="F15581">
            <v>719546660303</v>
          </cell>
        </row>
        <row r="15582">
          <cell r="E15582" t="str">
            <v>LUC-EZZ-471743-00</v>
          </cell>
          <cell r="F15582">
            <v>392567264580</v>
          </cell>
        </row>
        <row r="15583">
          <cell r="E15583" t="str">
            <v>EF-45130938</v>
          </cell>
          <cell r="F15583">
            <v>392579013441</v>
          </cell>
        </row>
        <row r="15584">
          <cell r="E15584" t="str">
            <v>EF-45092456</v>
          </cell>
          <cell r="F15584">
            <v>392579013441</v>
          </cell>
        </row>
        <row r="15585">
          <cell r="E15585" t="str">
            <v>LUC-EZZ-520011-00</v>
          </cell>
          <cell r="F15585">
            <v>392579013441</v>
          </cell>
        </row>
        <row r="15586">
          <cell r="E15586" t="str">
            <v>LUC-EZZ-520011-00</v>
          </cell>
          <cell r="F15586">
            <v>392579013441</v>
          </cell>
        </row>
        <row r="15587">
          <cell r="E15587" t="str">
            <v>EF-45097272</v>
          </cell>
          <cell r="F15587">
            <v>392579013441</v>
          </cell>
        </row>
        <row r="15588">
          <cell r="E15588" t="str">
            <v>EF-45130938</v>
          </cell>
          <cell r="F15588">
            <v>392579013441</v>
          </cell>
        </row>
        <row r="15589">
          <cell r="E15589" t="str">
            <v>EF-45092456</v>
          </cell>
          <cell r="F15589">
            <v>392579013441</v>
          </cell>
        </row>
        <row r="15590">
          <cell r="E15590" t="str">
            <v>LUC-EZZ-520011-00</v>
          </cell>
          <cell r="F15590">
            <v>392579013441</v>
          </cell>
        </row>
        <row r="15591">
          <cell r="E15591" t="str">
            <v>EF-45097272</v>
          </cell>
          <cell r="F15591">
            <v>392579013441</v>
          </cell>
        </row>
        <row r="15592">
          <cell r="E15592" t="str">
            <v>LUC-E00-440140-01</v>
          </cell>
          <cell r="F15592">
            <v>392579013441</v>
          </cell>
        </row>
        <row r="15593">
          <cell r="E15593" t="str">
            <v>LUC-E00-440140-01</v>
          </cell>
          <cell r="F15593">
            <v>392579013441</v>
          </cell>
        </row>
        <row r="15594">
          <cell r="E15594" t="str">
            <v>LUC-E00-440140-01</v>
          </cell>
          <cell r="F15594">
            <v>392579013441</v>
          </cell>
        </row>
        <row r="15595">
          <cell r="E15595" t="str">
            <v>LUC-E00-690032-00</v>
          </cell>
          <cell r="F15595">
            <v>392579013441</v>
          </cell>
        </row>
        <row r="15596">
          <cell r="E15596" t="str">
            <v>LUC-EZZ-440129-00</v>
          </cell>
          <cell r="F15596">
            <v>392579013441</v>
          </cell>
        </row>
        <row r="15597">
          <cell r="E15597" t="str">
            <v>LUC-EZZ-440129-00</v>
          </cell>
          <cell r="F15597">
            <v>392579013441</v>
          </cell>
        </row>
        <row r="15598">
          <cell r="E15598" t="str">
            <v>EF-45103487</v>
          </cell>
          <cell r="F15598">
            <v>392579013441</v>
          </cell>
        </row>
        <row r="15599">
          <cell r="E15599" t="str">
            <v>LUC-E00-470196-00</v>
          </cell>
          <cell r="F15599">
            <v>392642812291</v>
          </cell>
        </row>
        <row r="15600">
          <cell r="E15600" t="str">
            <v>LUC-E00-470196-00</v>
          </cell>
          <cell r="F15600">
            <v>392642812291</v>
          </cell>
        </row>
        <row r="15601">
          <cell r="E15601" t="str">
            <v>LUC-E00-690157-01</v>
          </cell>
          <cell r="F15601">
            <v>462141429002</v>
          </cell>
        </row>
        <row r="15602">
          <cell r="E15602" t="str">
            <v>LUC-E00-690157-01</v>
          </cell>
          <cell r="F15602">
            <v>462141429263</v>
          </cell>
        </row>
        <row r="15603">
          <cell r="E15603" t="str">
            <v>LUC-E00-690157-01</v>
          </cell>
          <cell r="F15603">
            <v>462141429296</v>
          </cell>
        </row>
        <row r="15604">
          <cell r="E15604" t="str">
            <v>AGI-600-40049-01</v>
          </cell>
          <cell r="F15604">
            <v>883858668822</v>
          </cell>
        </row>
        <row r="15605">
          <cell r="E15605" t="str">
            <v>LUC-E00-690003-00</v>
          </cell>
          <cell r="F15605">
            <v>409298799166</v>
          </cell>
        </row>
        <row r="15606">
          <cell r="E15606" t="str">
            <v>LUC-EZZ-420330-00</v>
          </cell>
          <cell r="F15606">
            <v>409298799166</v>
          </cell>
        </row>
        <row r="15607">
          <cell r="E15607" t="str">
            <v>LUC-EZZ-420330-00</v>
          </cell>
          <cell r="F15607">
            <v>409298799166</v>
          </cell>
        </row>
        <row r="15608">
          <cell r="E15608" t="str">
            <v>LUC-EZZ-420330-00</v>
          </cell>
          <cell r="F15608">
            <v>409298799166</v>
          </cell>
        </row>
        <row r="15609">
          <cell r="E15609" t="str">
            <v>LUC-EZZ-420095-00</v>
          </cell>
          <cell r="F15609">
            <v>409298799166</v>
          </cell>
        </row>
        <row r="15610">
          <cell r="E15610" t="str">
            <v>LUC-EZZ-420101-00</v>
          </cell>
          <cell r="F15610">
            <v>409298799166</v>
          </cell>
        </row>
        <row r="15611">
          <cell r="E15611" t="str">
            <v>LUC-EZZ-420188-00</v>
          </cell>
          <cell r="F15611">
            <v>409298799166</v>
          </cell>
        </row>
        <row r="15612">
          <cell r="E15612" t="str">
            <v>LUC-E00-460042-00</v>
          </cell>
          <cell r="F15612">
            <v>409298799166</v>
          </cell>
        </row>
        <row r="15613">
          <cell r="E15613" t="str">
            <v>LUC-E00-440144-00</v>
          </cell>
          <cell r="F15613">
            <v>409298799166</v>
          </cell>
        </row>
        <row r="15614">
          <cell r="E15614" t="str">
            <v>LUC-E00-420049-01</v>
          </cell>
          <cell r="F15614">
            <v>409298799166</v>
          </cell>
        </row>
        <row r="15615">
          <cell r="E15615" t="str">
            <v>LUC-EZZ-450236-00</v>
          </cell>
          <cell r="F15615">
            <v>409298799166</v>
          </cell>
        </row>
        <row r="15616">
          <cell r="E15616" t="str">
            <v>LUC-EZZ-420173-00</v>
          </cell>
          <cell r="F15616">
            <v>409298799166</v>
          </cell>
        </row>
        <row r="15617">
          <cell r="E15617" t="str">
            <v>LUC-E00-440024-00</v>
          </cell>
          <cell r="F15617">
            <v>409298799166</v>
          </cell>
        </row>
        <row r="15618">
          <cell r="E15618" t="str">
            <v>LUC-E00-420003-00</v>
          </cell>
          <cell r="F15618">
            <v>409298799166</v>
          </cell>
        </row>
        <row r="15619">
          <cell r="E15619" t="str">
            <v>LUC-E00-420059-00</v>
          </cell>
          <cell r="F15619">
            <v>409298799166</v>
          </cell>
        </row>
        <row r="15620">
          <cell r="E15620" t="str">
            <v>LUC-E00-420059-00</v>
          </cell>
          <cell r="F15620">
            <v>409298799166</v>
          </cell>
        </row>
        <row r="15621">
          <cell r="E15621" t="str">
            <v>LUC-E00-440012-00</v>
          </cell>
          <cell r="F15621">
            <v>409298799166</v>
          </cell>
        </row>
        <row r="15622">
          <cell r="E15622" t="str">
            <v>LUC-E00-440012-00</v>
          </cell>
          <cell r="F15622">
            <v>409298799166</v>
          </cell>
        </row>
        <row r="15623">
          <cell r="E15623" t="str">
            <v>LUC-EZZ-420343-00</v>
          </cell>
          <cell r="F15623">
            <v>409298799166</v>
          </cell>
        </row>
        <row r="15624">
          <cell r="E15624" t="str">
            <v>LUC-E00-420016-00</v>
          </cell>
          <cell r="F15624">
            <v>409298799166</v>
          </cell>
        </row>
        <row r="15625">
          <cell r="E15625" t="str">
            <v>LUC-E00-420016-00</v>
          </cell>
          <cell r="F15625">
            <v>409298799166</v>
          </cell>
        </row>
        <row r="15626">
          <cell r="E15626" t="str">
            <v>LUC-E00-420016-00</v>
          </cell>
          <cell r="F15626">
            <v>409298799166</v>
          </cell>
        </row>
        <row r="15627">
          <cell r="E15627" t="str">
            <v>LUC-E00-420024-00</v>
          </cell>
          <cell r="F15627">
            <v>409298799166</v>
          </cell>
        </row>
        <row r="15628">
          <cell r="E15628" t="str">
            <v>LUC-EZZ-441599-00</v>
          </cell>
          <cell r="F15628">
            <v>409298799166</v>
          </cell>
        </row>
        <row r="15629">
          <cell r="E15629" t="str">
            <v>LUC-E00-440031-00</v>
          </cell>
          <cell r="F15629">
            <v>409298799166</v>
          </cell>
        </row>
        <row r="15630">
          <cell r="E15630" t="str">
            <v>LUC-E00-400046-00</v>
          </cell>
          <cell r="F15630">
            <v>409298799166</v>
          </cell>
        </row>
        <row r="15631">
          <cell r="E15631" t="str">
            <v>LUC-E00-400022-000</v>
          </cell>
          <cell r="F15631">
            <v>409298799166</v>
          </cell>
        </row>
        <row r="15632">
          <cell r="E15632" t="str">
            <v>LUC-E00-440030-00</v>
          </cell>
          <cell r="F15632">
            <v>409298799166</v>
          </cell>
        </row>
        <row r="15633">
          <cell r="E15633" t="str">
            <v>LUC-E00-440030-00</v>
          </cell>
          <cell r="F15633">
            <v>409298799166</v>
          </cell>
        </row>
        <row r="15634">
          <cell r="E15634" t="str">
            <v>LUC-E00-440030-00</v>
          </cell>
          <cell r="F15634">
            <v>409298799166</v>
          </cell>
        </row>
        <row r="15635">
          <cell r="E15635" t="str">
            <v>LUC-EZZ-420213-00</v>
          </cell>
          <cell r="F15635">
            <v>409298799166</v>
          </cell>
        </row>
        <row r="15636">
          <cell r="E15636" t="str">
            <v>LUC-EZZ-420210-00</v>
          </cell>
          <cell r="F15636">
            <v>409298799166</v>
          </cell>
        </row>
        <row r="15637">
          <cell r="E15637" t="str">
            <v>AGI-500-40216-01</v>
          </cell>
          <cell r="F15637">
            <v>409298799166</v>
          </cell>
        </row>
        <row r="15638">
          <cell r="E15638" t="str">
            <v>122-000259.X.X</v>
          </cell>
          <cell r="F15638">
            <v>409298799166</v>
          </cell>
        </row>
        <row r="15639">
          <cell r="E15639" t="str">
            <v>LUC-EZZ-420188-00</v>
          </cell>
          <cell r="F15639">
            <v>409298799166</v>
          </cell>
        </row>
        <row r="15640">
          <cell r="E15640" t="str">
            <v>AIC-122-004436</v>
          </cell>
          <cell r="F15640">
            <v>409298799166</v>
          </cell>
        </row>
        <row r="15641">
          <cell r="E15641" t="str">
            <v>LUC-E00-690157-01</v>
          </cell>
          <cell r="F15641">
            <v>462141429583</v>
          </cell>
        </row>
        <row r="15642">
          <cell r="E15642" t="str">
            <v>LUC-E00-400034-529</v>
          </cell>
          <cell r="F15642">
            <v>416886357174</v>
          </cell>
        </row>
        <row r="15643">
          <cell r="E15643" t="str">
            <v>AIC-122-004384</v>
          </cell>
          <cell r="F15643">
            <v>416886357174</v>
          </cell>
        </row>
        <row r="15644">
          <cell r="E15644" t="str">
            <v>LUC-EZZ-400205-00</v>
          </cell>
          <cell r="F15644">
            <v>476862799066</v>
          </cell>
        </row>
        <row r="15645">
          <cell r="E15645" t="str">
            <v>LUC-E00-400010-002</v>
          </cell>
          <cell r="F15645">
            <v>476862799066</v>
          </cell>
        </row>
        <row r="15646">
          <cell r="E15646" t="str">
            <v>LUC-E00-400010-002</v>
          </cell>
          <cell r="F15646">
            <v>476862799066</v>
          </cell>
        </row>
        <row r="15647">
          <cell r="E15647" t="str">
            <v>EF-45074500.X.X</v>
          </cell>
          <cell r="F15647">
            <v>476862799066</v>
          </cell>
        </row>
        <row r="15648">
          <cell r="E15648" t="str">
            <v>LUC-EZZ-400537-00</v>
          </cell>
          <cell r="F15648">
            <v>476862799066</v>
          </cell>
        </row>
        <row r="15649">
          <cell r="E15649" t="str">
            <v>LUC-EZZ-440166-00</v>
          </cell>
          <cell r="F15649">
            <v>476862799066</v>
          </cell>
        </row>
        <row r="15650">
          <cell r="E15650" t="str">
            <v>EF-45120129</v>
          </cell>
          <cell r="F15650">
            <v>476862799066</v>
          </cell>
        </row>
        <row r="15651">
          <cell r="E15651" t="str">
            <v>HLOB-09-0346-00</v>
          </cell>
          <cell r="F15651">
            <v>476862799066</v>
          </cell>
        </row>
        <row r="15652">
          <cell r="E15652" t="str">
            <v>LUC-E00-400026-00</v>
          </cell>
          <cell r="F15652">
            <v>476862799066</v>
          </cell>
        </row>
        <row r="15653">
          <cell r="E15653" t="str">
            <v>LUC-EZZ-440204-00</v>
          </cell>
          <cell r="F15653">
            <v>476862799066</v>
          </cell>
        </row>
        <row r="15654">
          <cell r="E15654" t="str">
            <v>HLOB-09-0279-00</v>
          </cell>
          <cell r="F15654">
            <v>476862799066</v>
          </cell>
        </row>
        <row r="15655">
          <cell r="E15655" t="str">
            <v>LUC-E00-400010-002</v>
          </cell>
          <cell r="F15655">
            <v>476862799066</v>
          </cell>
        </row>
        <row r="15656">
          <cell r="E15656" t="str">
            <v>EF-45095289</v>
          </cell>
          <cell r="F15656">
            <v>476862799066</v>
          </cell>
        </row>
        <row r="15657">
          <cell r="E15657" t="str">
            <v>LUC-EZZ-440166-00</v>
          </cell>
          <cell r="F15657">
            <v>476862799066</v>
          </cell>
        </row>
        <row r="15658">
          <cell r="E15658" t="str">
            <v>PUR-03-0091-02</v>
          </cell>
          <cell r="F15658">
            <v>479082601718</v>
          </cell>
        </row>
        <row r="15659">
          <cell r="E15659" t="str">
            <v>LUC-EZZ-400334-00</v>
          </cell>
          <cell r="F15659">
            <v>412069759785</v>
          </cell>
        </row>
        <row r="15660">
          <cell r="E15660" t="str">
            <v>LUC-EZZ-400110-00</v>
          </cell>
          <cell r="F15660">
            <v>412069759785</v>
          </cell>
        </row>
        <row r="15661">
          <cell r="E15661" t="str">
            <v>LUC-E00-420027-04</v>
          </cell>
          <cell r="F15661">
            <v>478249132768</v>
          </cell>
        </row>
        <row r="15662">
          <cell r="E15662" t="str">
            <v>LUC-EZZ-401720-00</v>
          </cell>
          <cell r="F15662">
            <v>478249132768</v>
          </cell>
        </row>
        <row r="15663">
          <cell r="E15663" t="str">
            <v>LUC-EZZ-450237-00</v>
          </cell>
          <cell r="F15663">
            <v>478249132768</v>
          </cell>
        </row>
        <row r="15664">
          <cell r="E15664" t="str">
            <v>LUC-EZZ-420046-00</v>
          </cell>
          <cell r="F15664">
            <v>478249132768</v>
          </cell>
        </row>
        <row r="15665">
          <cell r="E15665" t="str">
            <v>LUC-E00-400034-529</v>
          </cell>
          <cell r="F15665">
            <v>478249132768</v>
          </cell>
        </row>
        <row r="15666">
          <cell r="E15666" t="str">
            <v>LUC-E00-420045-02</v>
          </cell>
          <cell r="F15666">
            <v>478249132768</v>
          </cell>
        </row>
        <row r="15667">
          <cell r="E15667" t="str">
            <v>LUC-E00-510084-00</v>
          </cell>
          <cell r="F15667">
            <v>478249132768</v>
          </cell>
        </row>
        <row r="15668">
          <cell r="E15668" t="str">
            <v>LUC-E00-450176-00</v>
          </cell>
          <cell r="F15668">
            <v>478249132768</v>
          </cell>
        </row>
        <row r="15669">
          <cell r="E15669" t="str">
            <v>LUC-EZZ-401720-00</v>
          </cell>
          <cell r="F15669">
            <v>478249132768</v>
          </cell>
        </row>
        <row r="15670">
          <cell r="E15670" t="str">
            <v>EF-45168872</v>
          </cell>
          <cell r="F15670">
            <v>478249132768</v>
          </cell>
        </row>
        <row r="15671">
          <cell r="E15671" t="str">
            <v>LUC-P11-KA4000-00</v>
          </cell>
          <cell r="F15671" t="str">
            <v>PEG-0173164</v>
          </cell>
        </row>
        <row r="15672">
          <cell r="E15672" t="str">
            <v>HLOB-15-0207-00</v>
          </cell>
          <cell r="F15672">
            <v>4711877856</v>
          </cell>
        </row>
        <row r="15673">
          <cell r="E15673" t="str">
            <v>HLOB-15-0207-00</v>
          </cell>
          <cell r="F15673">
            <v>4711877856</v>
          </cell>
        </row>
        <row r="15674">
          <cell r="E15674" t="str">
            <v>LUC-E00-690201-00</v>
          </cell>
          <cell r="F15674">
            <v>4711877856</v>
          </cell>
        </row>
        <row r="15675">
          <cell r="E15675" t="str">
            <v>LUC-E00-690201-00</v>
          </cell>
          <cell r="F15675">
            <v>4711877856</v>
          </cell>
        </row>
        <row r="15676">
          <cell r="E15676" t="str">
            <v>AIC-MP-00002155-000</v>
          </cell>
          <cell r="F15676">
            <v>4711877856</v>
          </cell>
        </row>
        <row r="15677">
          <cell r="E15677" t="str">
            <v>LUC-E00-440154-00</v>
          </cell>
          <cell r="F15677">
            <v>412069759844</v>
          </cell>
        </row>
        <row r="15678">
          <cell r="E15678" t="str">
            <v>EF-45134746</v>
          </cell>
          <cell r="F15678">
            <v>462141432410</v>
          </cell>
        </row>
        <row r="15679">
          <cell r="E15679" t="str">
            <v>LUC-EZZ-490230-06</v>
          </cell>
          <cell r="F15679">
            <v>7286090346</v>
          </cell>
        </row>
        <row r="15680">
          <cell r="E15680" t="str">
            <v>LUC-EZZ-490231-06</v>
          </cell>
          <cell r="F15680">
            <v>7286090346</v>
          </cell>
        </row>
        <row r="15681">
          <cell r="E15681" t="str">
            <v>LUC-EZZ-691595-00</v>
          </cell>
          <cell r="F15681">
            <v>4110327892</v>
          </cell>
        </row>
        <row r="15682">
          <cell r="E15682" t="str">
            <v>LUC-EZZ-691595-00</v>
          </cell>
          <cell r="F15682">
            <v>4110327892</v>
          </cell>
        </row>
        <row r="15683">
          <cell r="E15683" t="str">
            <v>LUC-EZZ-690131-00</v>
          </cell>
          <cell r="F15683">
            <v>4110327981</v>
          </cell>
        </row>
        <row r="15684">
          <cell r="E15684" t="str">
            <v>LUC-EZZ-690131-00</v>
          </cell>
          <cell r="F15684">
            <v>4110327981</v>
          </cell>
        </row>
        <row r="15685">
          <cell r="E15685" t="str">
            <v>102-001542</v>
          </cell>
          <cell r="F15685" t="str">
            <v>EKLF2508334</v>
          </cell>
        </row>
        <row r="15686">
          <cell r="E15686" t="str">
            <v>102-001542</v>
          </cell>
          <cell r="F15686" t="str">
            <v>EKLF2508335</v>
          </cell>
        </row>
        <row r="15687">
          <cell r="E15687" t="str">
            <v>LUC-EZZ-690942-00</v>
          </cell>
          <cell r="F15687">
            <v>4110327999</v>
          </cell>
        </row>
        <row r="15688">
          <cell r="E15688" t="str">
            <v>LUC-EZZ-690942-00</v>
          </cell>
          <cell r="F15688">
            <v>4110328000</v>
          </cell>
        </row>
        <row r="15689">
          <cell r="E15689" t="str">
            <v>LUC-P11-L1AU00-02</v>
          </cell>
          <cell r="F15689" t="str">
            <v>LSHHPH2507740</v>
          </cell>
        </row>
        <row r="15690">
          <cell r="E15690" t="str">
            <v>AGI-188-011449</v>
          </cell>
          <cell r="F15690" t="str">
            <v>LSHHPH2507834</v>
          </cell>
        </row>
        <row r="15691">
          <cell r="E15691" t="str">
            <v>AGI-188-011448</v>
          </cell>
          <cell r="F15691" t="str">
            <v>LSHHPH2507834</v>
          </cell>
        </row>
        <row r="15692">
          <cell r="E15692" t="str">
            <v>AGI-188-011449</v>
          </cell>
          <cell r="F15692" t="str">
            <v>LSHHPH2507834</v>
          </cell>
        </row>
        <row r="15693">
          <cell r="E15693" t="str">
            <v>AGI-188-011448</v>
          </cell>
          <cell r="F15693" t="str">
            <v>LSHHPH2507834</v>
          </cell>
        </row>
        <row r="15694">
          <cell r="E15694" t="str">
            <v>AGI-188-011449</v>
          </cell>
          <cell r="F15694" t="str">
            <v>LSHHPH2507834</v>
          </cell>
        </row>
        <row r="15695">
          <cell r="E15695" t="str">
            <v>AGI-188-011448</v>
          </cell>
          <cell r="F15695" t="str">
            <v>LSHHPH2507834</v>
          </cell>
        </row>
        <row r="15696">
          <cell r="E15696" t="str">
            <v>AGI-188-011449</v>
          </cell>
          <cell r="F15696" t="str">
            <v>LSHHPH2507834</v>
          </cell>
        </row>
        <row r="15697">
          <cell r="E15697" t="str">
            <v>AGI-188-011448</v>
          </cell>
          <cell r="F15697" t="str">
            <v>LSHHPH2507834</v>
          </cell>
        </row>
        <row r="15698">
          <cell r="E15698" t="str">
            <v>AGI-137-001371</v>
          </cell>
          <cell r="F15698" t="str">
            <v>LSHHPH2507834</v>
          </cell>
        </row>
        <row r="15699">
          <cell r="E15699" t="str">
            <v>AGI-137-001371</v>
          </cell>
          <cell r="F15699" t="str">
            <v>LSHHPH2507834</v>
          </cell>
        </row>
        <row r="15700">
          <cell r="E15700" t="str">
            <v>AGI-137-001371</v>
          </cell>
          <cell r="F15700" t="str">
            <v>LSHHPH2507834</v>
          </cell>
        </row>
        <row r="15701">
          <cell r="E15701" t="str">
            <v>AGI-137-001370</v>
          </cell>
          <cell r="F15701" t="str">
            <v>LSHHPH2507834</v>
          </cell>
        </row>
        <row r="15702">
          <cell r="E15702" t="str">
            <v>AGI-137-001370</v>
          </cell>
          <cell r="F15702" t="str">
            <v>LSHHPH2507834</v>
          </cell>
        </row>
        <row r="15703">
          <cell r="E15703" t="str">
            <v>AGI-137-001370</v>
          </cell>
          <cell r="F15703" t="str">
            <v>LSHHPH2507834</v>
          </cell>
        </row>
        <row r="15704">
          <cell r="E15704" t="str">
            <v>AGI-137-001369</v>
          </cell>
          <cell r="F15704" t="str">
            <v>LSHHPH2507834</v>
          </cell>
        </row>
        <row r="15705">
          <cell r="E15705" t="str">
            <v>AGI-137-001369</v>
          </cell>
          <cell r="F15705" t="str">
            <v>LSHHPH2507834</v>
          </cell>
        </row>
        <row r="15706">
          <cell r="E15706" t="str">
            <v>AGI-137-001369</v>
          </cell>
          <cell r="F15706" t="str">
            <v>LSHHPH2507834</v>
          </cell>
        </row>
        <row r="15707">
          <cell r="E15707" t="str">
            <v>123-001853</v>
          </cell>
          <cell r="F15707">
            <v>479224499232</v>
          </cell>
        </row>
        <row r="15708">
          <cell r="E15708" t="str">
            <v>123-001855</v>
          </cell>
          <cell r="F15708">
            <v>479224499232</v>
          </cell>
        </row>
        <row r="15709">
          <cell r="E15709" t="str">
            <v>EF-45168874</v>
          </cell>
          <cell r="F15709">
            <v>392613510592</v>
          </cell>
        </row>
        <row r="15710">
          <cell r="E15710" t="str">
            <v>LUC-E00-510043-00</v>
          </cell>
          <cell r="F15710">
            <v>392613510592</v>
          </cell>
        </row>
        <row r="15711">
          <cell r="E15711" t="str">
            <v>LUC-E00-510043-00</v>
          </cell>
          <cell r="F15711">
            <v>392613510592</v>
          </cell>
        </row>
        <row r="15712">
          <cell r="E15712" t="str">
            <v>EF-45168874</v>
          </cell>
          <cell r="F15712">
            <v>392613510592</v>
          </cell>
        </row>
        <row r="15713">
          <cell r="E15713" t="str">
            <v>EF-45134746</v>
          </cell>
          <cell r="F15713">
            <v>462141432373</v>
          </cell>
        </row>
        <row r="15714">
          <cell r="E15714" t="str">
            <v>LUC-P11-JA4100-00</v>
          </cell>
          <cell r="F15714">
            <v>884056300109</v>
          </cell>
        </row>
        <row r="15715">
          <cell r="E15715" t="str">
            <v>LUC-P11-K33N00-00</v>
          </cell>
          <cell r="F15715">
            <v>884056300109</v>
          </cell>
        </row>
        <row r="15716">
          <cell r="E15716" t="str">
            <v>PUR-37-0060-00</v>
          </cell>
          <cell r="F15716">
            <v>884056300109</v>
          </cell>
        </row>
        <row r="15717">
          <cell r="E15717" t="str">
            <v>PUR-37-0061-00</v>
          </cell>
          <cell r="F15717">
            <v>884056300109</v>
          </cell>
        </row>
        <row r="15718">
          <cell r="E15718" t="str">
            <v>AIC-MP-CP005744-S01</v>
          </cell>
          <cell r="F15718">
            <v>427851807614</v>
          </cell>
        </row>
        <row r="15719">
          <cell r="E15719" t="str">
            <v>LUC-E00-690010-00</v>
          </cell>
          <cell r="F15719">
            <v>392601526223</v>
          </cell>
        </row>
        <row r="15720">
          <cell r="E15720" t="str">
            <v>LUC-E00-690010-00</v>
          </cell>
          <cell r="F15720">
            <v>392644683800</v>
          </cell>
        </row>
        <row r="15721">
          <cell r="E15721" t="str">
            <v>LUC-EZZ-690244-00</v>
          </cell>
          <cell r="F15721">
            <v>392642277763</v>
          </cell>
        </row>
        <row r="15722">
          <cell r="E15722" t="str">
            <v>LUC-E00-400001-012</v>
          </cell>
          <cell r="F15722">
            <v>445170552897</v>
          </cell>
        </row>
        <row r="15723">
          <cell r="E15723" t="str">
            <v>LUC-E00-400010-044</v>
          </cell>
          <cell r="F15723">
            <v>445170552875</v>
          </cell>
        </row>
        <row r="15724">
          <cell r="E15724" t="str">
            <v>LUC-E00-400010-044</v>
          </cell>
          <cell r="F15724">
            <v>445170552875</v>
          </cell>
        </row>
        <row r="15725">
          <cell r="E15725" t="str">
            <v>LUC-EZZ-400201-00</v>
          </cell>
          <cell r="F15725">
            <v>445170552810</v>
          </cell>
        </row>
        <row r="15726">
          <cell r="E15726" t="str">
            <v>LUC-E00-470038-00</v>
          </cell>
          <cell r="F15726">
            <v>445170556951</v>
          </cell>
        </row>
        <row r="15727">
          <cell r="E15727" t="str">
            <v>LUC-E00-400010-044</v>
          </cell>
          <cell r="F15727">
            <v>445170557097</v>
          </cell>
        </row>
        <row r="15728">
          <cell r="E15728" t="str">
            <v>LUC-E00-400010-044</v>
          </cell>
          <cell r="F15728">
            <v>445170557097</v>
          </cell>
        </row>
        <row r="15729">
          <cell r="E15729" t="str">
            <v>LUC-E00-400010-044</v>
          </cell>
          <cell r="F15729">
            <v>445170557097</v>
          </cell>
        </row>
        <row r="15730">
          <cell r="E15730" t="str">
            <v>HLOB-09-0424-00</v>
          </cell>
          <cell r="F15730">
            <v>445170556333</v>
          </cell>
        </row>
        <row r="15731">
          <cell r="E15731" t="str">
            <v>EF-45045540</v>
          </cell>
          <cell r="F15731">
            <v>445170559608</v>
          </cell>
        </row>
        <row r="15732">
          <cell r="E15732" t="str">
            <v>LUC-EZZ-470844-00</v>
          </cell>
          <cell r="F15732">
            <v>445170559479</v>
          </cell>
        </row>
        <row r="15733">
          <cell r="E15733" t="str">
            <v>LUC-EZZ-400206-00</v>
          </cell>
          <cell r="F15733">
            <v>445170558932</v>
          </cell>
        </row>
        <row r="15734">
          <cell r="E15734" t="str">
            <v>LUC-E00-420071-00</v>
          </cell>
          <cell r="F15734">
            <v>445170560093</v>
          </cell>
        </row>
        <row r="15735">
          <cell r="E15735" t="str">
            <v>LUC-EZZ-400917-00</v>
          </cell>
          <cell r="F15735">
            <v>445170560152</v>
          </cell>
        </row>
        <row r="15736">
          <cell r="E15736" t="str">
            <v>LUC-EZZ-510049-00</v>
          </cell>
          <cell r="F15736">
            <v>445170560244</v>
          </cell>
        </row>
        <row r="15737">
          <cell r="E15737" t="str">
            <v>LUC-E00-470001-00</v>
          </cell>
          <cell r="F15737">
            <v>392684959200</v>
          </cell>
        </row>
        <row r="15738">
          <cell r="E15738" t="str">
            <v>AGI-510-40027-01</v>
          </cell>
          <cell r="F15738">
            <v>471783727380</v>
          </cell>
        </row>
        <row r="15739">
          <cell r="E15739" t="str">
            <v>LUC-E00-420025-04</v>
          </cell>
          <cell r="F15739">
            <v>471783727380</v>
          </cell>
        </row>
        <row r="15740">
          <cell r="E15740" t="str">
            <v>121-000100.X.X</v>
          </cell>
          <cell r="F15740">
            <v>471783727380</v>
          </cell>
        </row>
        <row r="15741">
          <cell r="E15741" t="str">
            <v>AGI-510-40088-01</v>
          </cell>
          <cell r="F15741">
            <v>471783727380</v>
          </cell>
        </row>
        <row r="15742">
          <cell r="E15742" t="str">
            <v>122-000821.X.X</v>
          </cell>
          <cell r="F15742">
            <v>471783727380</v>
          </cell>
        </row>
        <row r="15743">
          <cell r="E15743" t="str">
            <v>PUR-13-0241-00</v>
          </cell>
          <cell r="F15743">
            <v>471783727380</v>
          </cell>
        </row>
        <row r="15744">
          <cell r="E15744" t="str">
            <v>AGI-500-40065-01</v>
          </cell>
          <cell r="F15744">
            <v>471783727380</v>
          </cell>
        </row>
        <row r="15745">
          <cell r="E15745" t="str">
            <v>AGI-500-40219-01</v>
          </cell>
          <cell r="F15745">
            <v>471783727380</v>
          </cell>
        </row>
        <row r="15746">
          <cell r="E15746" t="str">
            <v>AGI-500-40217-01</v>
          </cell>
          <cell r="F15746">
            <v>471783727380</v>
          </cell>
        </row>
        <row r="15747">
          <cell r="E15747" t="str">
            <v>AGI-500-40224-01</v>
          </cell>
          <cell r="F15747">
            <v>471783727380</v>
          </cell>
        </row>
        <row r="15748">
          <cell r="E15748" t="str">
            <v>121-001611</v>
          </cell>
          <cell r="F15748">
            <v>471783727380</v>
          </cell>
        </row>
        <row r="15749">
          <cell r="E15749" t="str">
            <v>121-000496.X.X</v>
          </cell>
          <cell r="F15749">
            <v>471783727380</v>
          </cell>
        </row>
        <row r="15750">
          <cell r="E15750" t="str">
            <v>AGI-500-40221-01</v>
          </cell>
          <cell r="F15750">
            <v>471783727380</v>
          </cell>
        </row>
        <row r="15751">
          <cell r="E15751" t="str">
            <v>AGI-500-40107-01</v>
          </cell>
          <cell r="F15751">
            <v>471783727380</v>
          </cell>
        </row>
        <row r="15752">
          <cell r="E15752" t="str">
            <v>AGI-500-40096-01</v>
          </cell>
          <cell r="F15752">
            <v>471783727380</v>
          </cell>
        </row>
        <row r="15753">
          <cell r="E15753" t="str">
            <v>AGI-500-40096-01</v>
          </cell>
          <cell r="F15753">
            <v>471783727380</v>
          </cell>
        </row>
        <row r="15754">
          <cell r="E15754" t="str">
            <v>AGI-500-40228-01</v>
          </cell>
          <cell r="F15754">
            <v>471783727380</v>
          </cell>
        </row>
        <row r="15755">
          <cell r="E15755" t="str">
            <v>121-000520.X.X</v>
          </cell>
          <cell r="F15755">
            <v>471783727380</v>
          </cell>
        </row>
        <row r="15756">
          <cell r="E15756" t="str">
            <v>121-000253.X.X</v>
          </cell>
          <cell r="F15756">
            <v>471783727380</v>
          </cell>
        </row>
        <row r="15757">
          <cell r="E15757" t="str">
            <v>121-000254.X.X</v>
          </cell>
          <cell r="F15757">
            <v>471783727380</v>
          </cell>
        </row>
        <row r="15758">
          <cell r="E15758" t="str">
            <v>AGI-510-40035-01</v>
          </cell>
          <cell r="F15758">
            <v>471783727380</v>
          </cell>
        </row>
        <row r="15759">
          <cell r="E15759" t="str">
            <v>AGI-500-40228-01</v>
          </cell>
          <cell r="F15759">
            <v>471783727380</v>
          </cell>
        </row>
        <row r="15760">
          <cell r="E15760" t="str">
            <v>PUR-03-0091-02</v>
          </cell>
          <cell r="F15760">
            <v>479820212052</v>
          </cell>
        </row>
        <row r="15761">
          <cell r="E15761" t="str">
            <v>LUC-EZZ-470423-00</v>
          </cell>
          <cell r="F15761">
            <v>477592530573</v>
          </cell>
        </row>
        <row r="15762">
          <cell r="E15762" t="str">
            <v>LUC-P11-J67400-02</v>
          </cell>
          <cell r="F15762">
            <v>472187328061</v>
          </cell>
        </row>
        <row r="15763">
          <cell r="E15763" t="str">
            <v>AIC-MP-OT007308-S01</v>
          </cell>
          <cell r="F15763">
            <v>884019816118</v>
          </cell>
        </row>
        <row r="15764">
          <cell r="E15764" t="str">
            <v>AIC-MP-OT007295-S01</v>
          </cell>
          <cell r="F15764">
            <v>884019816118</v>
          </cell>
        </row>
        <row r="15765">
          <cell r="E15765" t="str">
            <v>AIC-MP-00007086-000</v>
          </cell>
          <cell r="F15765">
            <v>884019816118</v>
          </cell>
        </row>
        <row r="15766">
          <cell r="E15766" t="str">
            <v>PUR-16-0049-01</v>
          </cell>
          <cell r="F15766" t="str">
            <v>MNN/HPH/00948</v>
          </cell>
        </row>
        <row r="15767">
          <cell r="E15767" t="str">
            <v>PUR-16-0049-01</v>
          </cell>
          <cell r="F15767" t="str">
            <v>MNN/HPH/00948</v>
          </cell>
        </row>
        <row r="15768">
          <cell r="E15768" t="str">
            <v>PUR-16-0049-01</v>
          </cell>
          <cell r="F15768" t="str">
            <v>MNN/HPH/00948</v>
          </cell>
        </row>
        <row r="15769">
          <cell r="E15769" t="str">
            <v>HLOB-16-0049-01</v>
          </cell>
          <cell r="F15769" t="str">
            <v>MNN/HPH/00948</v>
          </cell>
        </row>
        <row r="15770">
          <cell r="E15770" t="str">
            <v>HLOB-16-0049-01</v>
          </cell>
          <cell r="F15770" t="str">
            <v>MNN/HPH/00948</v>
          </cell>
        </row>
        <row r="15771">
          <cell r="E15771" t="str">
            <v>HLOB-16-0049-01</v>
          </cell>
          <cell r="F15771" t="str">
            <v>MNN/HPH/00948</v>
          </cell>
        </row>
        <row r="15772">
          <cell r="E15772" t="str">
            <v>HLOB-16-0049-01</v>
          </cell>
          <cell r="F15772" t="str">
            <v>MNN/HPH/00948</v>
          </cell>
        </row>
        <row r="15773">
          <cell r="E15773" t="str">
            <v>PUR-16-0044-01</v>
          </cell>
          <cell r="F15773" t="str">
            <v>MNN/HPH/00948</v>
          </cell>
        </row>
        <row r="15774">
          <cell r="E15774" t="str">
            <v>PUR-16-0046-01</v>
          </cell>
          <cell r="F15774" t="str">
            <v>MNN/HPH/00948</v>
          </cell>
        </row>
        <row r="15775">
          <cell r="E15775" t="str">
            <v>PUR-16-0046-01</v>
          </cell>
          <cell r="F15775" t="str">
            <v>MNN/HPH/00948</v>
          </cell>
        </row>
        <row r="15776">
          <cell r="E15776" t="str">
            <v>PUR-16-0046-01</v>
          </cell>
          <cell r="F15776" t="str">
            <v>MNN/HPH/00948</v>
          </cell>
        </row>
        <row r="15777">
          <cell r="E15777" t="str">
            <v>PUR-16-0051-00</v>
          </cell>
          <cell r="F15777" t="str">
            <v>MNN/HPH/00948</v>
          </cell>
        </row>
        <row r="15778">
          <cell r="E15778" t="str">
            <v>PUR-16-0051-00</v>
          </cell>
          <cell r="F15778" t="str">
            <v>MNN/HPH/00948</v>
          </cell>
        </row>
        <row r="15779">
          <cell r="E15779" t="str">
            <v>LUC-P00-F18AAG-00</v>
          </cell>
          <cell r="F15779">
            <v>4720744112</v>
          </cell>
        </row>
        <row r="15780">
          <cell r="E15780" t="str">
            <v>LUC-P00-F260CG-00</v>
          </cell>
          <cell r="F15780">
            <v>4720744112</v>
          </cell>
        </row>
        <row r="15781">
          <cell r="E15781" t="str">
            <v>LUC-P00-F143AG-00</v>
          </cell>
          <cell r="F15781">
            <v>4720744112</v>
          </cell>
        </row>
        <row r="15782">
          <cell r="E15782" t="str">
            <v>LUC-P00-F189AG-00</v>
          </cell>
          <cell r="F15782">
            <v>4720744112</v>
          </cell>
        </row>
        <row r="15783">
          <cell r="E15783" t="str">
            <v>LUC-P00-F193DG-00</v>
          </cell>
          <cell r="F15783">
            <v>4720744112</v>
          </cell>
        </row>
        <row r="15784">
          <cell r="E15784" t="str">
            <v>LUC-P00-F853AY-00</v>
          </cell>
          <cell r="F15784">
            <v>4720744112</v>
          </cell>
        </row>
        <row r="15785">
          <cell r="E15785" t="str">
            <v>LUC-P00-F19SAG-00</v>
          </cell>
          <cell r="F15785">
            <v>4720744112</v>
          </cell>
        </row>
        <row r="15786">
          <cell r="E15786" t="str">
            <v>LUC-P00-F189AG-00</v>
          </cell>
          <cell r="F15786">
            <v>4720744112</v>
          </cell>
        </row>
        <row r="15787">
          <cell r="E15787" t="str">
            <v>LUC-P00-F143AG-00</v>
          </cell>
          <cell r="F15787">
            <v>4720744112</v>
          </cell>
        </row>
        <row r="15788">
          <cell r="E15788" t="str">
            <v>EF-45092354.X.X</v>
          </cell>
          <cell r="F15788">
            <v>4711878599</v>
          </cell>
        </row>
        <row r="15789">
          <cell r="E15789" t="str">
            <v>LUC-E00-400034-529</v>
          </cell>
          <cell r="F15789">
            <v>4711878599</v>
          </cell>
        </row>
        <row r="15790">
          <cell r="E15790" t="str">
            <v>HLOB-09-0408-00</v>
          </cell>
          <cell r="F15790">
            <v>4711878599</v>
          </cell>
        </row>
        <row r="15791">
          <cell r="E15791" t="str">
            <v>AGI-510-40081-01</v>
          </cell>
          <cell r="F15791">
            <v>4711878599</v>
          </cell>
        </row>
        <row r="15792">
          <cell r="E15792" t="str">
            <v>AGI-510-40081-01</v>
          </cell>
          <cell r="F15792">
            <v>4711878599</v>
          </cell>
        </row>
        <row r="15793">
          <cell r="E15793" t="str">
            <v>EF-45127982</v>
          </cell>
          <cell r="F15793">
            <v>4711878599</v>
          </cell>
        </row>
        <row r="15794">
          <cell r="E15794" t="str">
            <v>PURET-13-0119-00</v>
          </cell>
          <cell r="F15794">
            <v>4711878599</v>
          </cell>
        </row>
        <row r="15795">
          <cell r="E15795" t="str">
            <v>PURET-13-0119-00</v>
          </cell>
          <cell r="F15795">
            <v>4711878599</v>
          </cell>
        </row>
        <row r="15796">
          <cell r="E15796" t="str">
            <v>AGI-510-40067-01</v>
          </cell>
          <cell r="F15796">
            <v>4711878599</v>
          </cell>
        </row>
        <row r="15797">
          <cell r="E15797" t="str">
            <v>AGI-510-40067-01</v>
          </cell>
          <cell r="F15797">
            <v>4711878599</v>
          </cell>
        </row>
        <row r="15798">
          <cell r="E15798" t="str">
            <v>AGI-510-40042-01</v>
          </cell>
          <cell r="F15798">
            <v>4711878599</v>
          </cell>
        </row>
        <row r="15799">
          <cell r="E15799" t="str">
            <v>PURET-13-0119-00</v>
          </cell>
          <cell r="F15799">
            <v>4711878599</v>
          </cell>
        </row>
        <row r="15800">
          <cell r="E15800" t="str">
            <v>PUR-13-0131-00</v>
          </cell>
          <cell r="F15800">
            <v>4711878599</v>
          </cell>
        </row>
        <row r="15801">
          <cell r="E15801" t="str">
            <v>LUC-E00-400011-000</v>
          </cell>
          <cell r="F15801">
            <v>4711878599</v>
          </cell>
        </row>
        <row r="15802">
          <cell r="E15802" t="str">
            <v>PUR-14-0085-00</v>
          </cell>
          <cell r="F15802">
            <v>4711878599</v>
          </cell>
        </row>
        <row r="15803">
          <cell r="E15803" t="str">
            <v>HLOB-14-0085-00</v>
          </cell>
          <cell r="F15803">
            <v>4711878599</v>
          </cell>
        </row>
        <row r="15804">
          <cell r="E15804" t="str">
            <v>HLOB-14-0085-00</v>
          </cell>
          <cell r="F15804">
            <v>4711878599</v>
          </cell>
        </row>
        <row r="15805">
          <cell r="E15805" t="str">
            <v>LUC-E00-400034-023</v>
          </cell>
          <cell r="F15805">
            <v>4711878599</v>
          </cell>
        </row>
        <row r="15806">
          <cell r="E15806" t="str">
            <v>LUC-E00-400034-023</v>
          </cell>
          <cell r="F15806">
            <v>4711878599</v>
          </cell>
        </row>
        <row r="15807">
          <cell r="E15807" t="str">
            <v>LUC-E00-400034-069</v>
          </cell>
          <cell r="F15807">
            <v>4711878599</v>
          </cell>
        </row>
        <row r="15808">
          <cell r="E15808" t="str">
            <v>LUC-E00-400023-000</v>
          </cell>
          <cell r="F15808">
            <v>4711878599</v>
          </cell>
        </row>
        <row r="15809">
          <cell r="E15809" t="str">
            <v>LUC-E00-400034-069</v>
          </cell>
          <cell r="F15809">
            <v>4711878599</v>
          </cell>
        </row>
        <row r="15810">
          <cell r="E15810" t="str">
            <v>LUC-E00-400043-00</v>
          </cell>
          <cell r="F15810">
            <v>4711878599</v>
          </cell>
        </row>
        <row r="15811">
          <cell r="E15811" t="str">
            <v>LUC-EZZ-400608-00</v>
          </cell>
          <cell r="F15811">
            <v>4711878599</v>
          </cell>
        </row>
        <row r="15812">
          <cell r="E15812" t="str">
            <v>LUC-EZZ-400608-00</v>
          </cell>
          <cell r="F15812">
            <v>4711878599</v>
          </cell>
        </row>
        <row r="15813">
          <cell r="E15813" t="str">
            <v>LUC-E00-400043-00</v>
          </cell>
          <cell r="F15813">
            <v>4711878599</v>
          </cell>
        </row>
        <row r="15814">
          <cell r="E15814" t="str">
            <v>LUC-E00-400034-090</v>
          </cell>
          <cell r="F15814">
            <v>4711878599</v>
          </cell>
        </row>
        <row r="15815">
          <cell r="E15815" t="str">
            <v>LUC-E00-400034-090</v>
          </cell>
          <cell r="F15815">
            <v>4711878599</v>
          </cell>
        </row>
        <row r="15816">
          <cell r="E15816" t="str">
            <v>LUC-E00-400034-090</v>
          </cell>
          <cell r="F15816">
            <v>4711878599</v>
          </cell>
        </row>
        <row r="15817">
          <cell r="E15817" t="str">
            <v>LUC-E00-400050-01</v>
          </cell>
          <cell r="F15817">
            <v>4711878599</v>
          </cell>
        </row>
        <row r="15818">
          <cell r="E15818" t="str">
            <v>LUC-E00-400034-023</v>
          </cell>
          <cell r="F15818">
            <v>4711878599</v>
          </cell>
        </row>
        <row r="15819">
          <cell r="E15819" t="str">
            <v>LUC-E00-400043-00</v>
          </cell>
          <cell r="F15819">
            <v>4711878599</v>
          </cell>
        </row>
        <row r="15820">
          <cell r="E15820" t="str">
            <v>LUC-E00-400034-019</v>
          </cell>
          <cell r="F15820">
            <v>4711878599</v>
          </cell>
        </row>
        <row r="15821">
          <cell r="E15821" t="str">
            <v>LUC-EZZ-400200-00</v>
          </cell>
          <cell r="F15821">
            <v>4711878599</v>
          </cell>
        </row>
        <row r="15822">
          <cell r="E15822" t="str">
            <v>LUC-EZZ-400200-00</v>
          </cell>
          <cell r="F15822">
            <v>4711878599</v>
          </cell>
        </row>
        <row r="15823">
          <cell r="E15823" t="str">
            <v>LUC-E00-420036-00</v>
          </cell>
          <cell r="F15823">
            <v>4711878599</v>
          </cell>
        </row>
        <row r="15824">
          <cell r="E15824" t="str">
            <v>LUC-E00-420036-00</v>
          </cell>
          <cell r="F15824">
            <v>4711878599</v>
          </cell>
        </row>
        <row r="15825">
          <cell r="E15825" t="str">
            <v>LUC-EZZ-440077-00</v>
          </cell>
          <cell r="F15825">
            <v>4711878599</v>
          </cell>
        </row>
        <row r="15826">
          <cell r="E15826" t="str">
            <v>LUC-EZZ-420396-00</v>
          </cell>
          <cell r="F15826">
            <v>4711878599</v>
          </cell>
        </row>
        <row r="15827">
          <cell r="E15827" t="str">
            <v>LUC-E00-400074-00</v>
          </cell>
          <cell r="F15827">
            <v>4711878599</v>
          </cell>
        </row>
        <row r="15828">
          <cell r="E15828" t="str">
            <v>LUC-E00-400011-000</v>
          </cell>
          <cell r="F15828">
            <v>4711878599</v>
          </cell>
        </row>
        <row r="15829">
          <cell r="E15829" t="str">
            <v>EF-45093036</v>
          </cell>
          <cell r="F15829">
            <v>4711878599</v>
          </cell>
        </row>
        <row r="15830">
          <cell r="E15830" t="str">
            <v>EF-45054376.X.X</v>
          </cell>
          <cell r="F15830">
            <v>4711878599</v>
          </cell>
        </row>
        <row r="15831">
          <cell r="E15831" t="str">
            <v>AIC-MP-00006719-000</v>
          </cell>
          <cell r="F15831">
            <v>4711878599</v>
          </cell>
        </row>
        <row r="15832">
          <cell r="E15832" t="str">
            <v>AIC-122-004448</v>
          </cell>
          <cell r="F15832">
            <v>4711878599</v>
          </cell>
        </row>
        <row r="15833">
          <cell r="E15833" t="str">
            <v>LUC-E00-420073-00</v>
          </cell>
          <cell r="F15833">
            <v>4711878599</v>
          </cell>
        </row>
        <row r="15834">
          <cell r="E15834" t="str">
            <v>LUC-E00-420073-00</v>
          </cell>
          <cell r="F15834">
            <v>4711878599</v>
          </cell>
        </row>
        <row r="15835">
          <cell r="E15835" t="str">
            <v>LUC-EZZ-420256-00</v>
          </cell>
          <cell r="F15835">
            <v>4711878599</v>
          </cell>
        </row>
        <row r="15836">
          <cell r="E15836" t="str">
            <v>LUC-EZZ-420256-00</v>
          </cell>
          <cell r="F15836">
            <v>4711878599</v>
          </cell>
        </row>
        <row r="15837">
          <cell r="E15837" t="str">
            <v>EF-45122014</v>
          </cell>
          <cell r="F15837">
            <v>4711878599</v>
          </cell>
        </row>
        <row r="15838">
          <cell r="E15838" t="str">
            <v>LUC-EZZ-440077-00</v>
          </cell>
          <cell r="F15838">
            <v>4711878599</v>
          </cell>
        </row>
        <row r="15839">
          <cell r="E15839" t="str">
            <v>LUC-EZZ-420200-00</v>
          </cell>
          <cell r="F15839">
            <v>4711878599</v>
          </cell>
        </row>
        <row r="15840">
          <cell r="E15840" t="str">
            <v>LUC-EZZ-440202-00</v>
          </cell>
          <cell r="F15840">
            <v>4711878599</v>
          </cell>
        </row>
        <row r="15841">
          <cell r="E15841" t="str">
            <v>LUC-EZZ-420665-00</v>
          </cell>
          <cell r="F15841">
            <v>4711878599</v>
          </cell>
        </row>
        <row r="15842">
          <cell r="E15842" t="str">
            <v>LUC-EZZ-420251-00</v>
          </cell>
          <cell r="F15842">
            <v>4711878599</v>
          </cell>
        </row>
        <row r="15843">
          <cell r="E15843" t="str">
            <v>LUC-EZZ-420005-00</v>
          </cell>
          <cell r="F15843">
            <v>4711878599</v>
          </cell>
        </row>
        <row r="15844">
          <cell r="E15844" t="str">
            <v>LUC-E00-420172-00</v>
          </cell>
          <cell r="F15844">
            <v>4711878599</v>
          </cell>
        </row>
        <row r="15845">
          <cell r="E15845" t="str">
            <v>LUC-E00-420068-00</v>
          </cell>
          <cell r="F15845">
            <v>4711878599</v>
          </cell>
        </row>
        <row r="15846">
          <cell r="E15846" t="str">
            <v>EF-45155440</v>
          </cell>
          <cell r="F15846">
            <v>4711878599</v>
          </cell>
        </row>
        <row r="15847">
          <cell r="E15847" t="str">
            <v>HLOB-27-0024-00</v>
          </cell>
          <cell r="F15847">
            <v>4711878599</v>
          </cell>
        </row>
        <row r="15848">
          <cell r="E15848" t="str">
            <v>LUC-EZZ-420511-00</v>
          </cell>
          <cell r="F15848">
            <v>4711878599</v>
          </cell>
        </row>
        <row r="15849">
          <cell r="E15849" t="str">
            <v>LUC-EZZ-420251-00</v>
          </cell>
          <cell r="F15849">
            <v>4711878599</v>
          </cell>
        </row>
        <row r="15850">
          <cell r="E15850" t="str">
            <v>LUC-E00-400025-01</v>
          </cell>
          <cell r="F15850">
            <v>4711878599</v>
          </cell>
        </row>
        <row r="15851">
          <cell r="E15851" t="str">
            <v>LUC-EZZ-400709-00</v>
          </cell>
          <cell r="F15851">
            <v>4711878599</v>
          </cell>
        </row>
        <row r="15852">
          <cell r="E15852" t="str">
            <v>HLOB-13-0001-00</v>
          </cell>
          <cell r="F15852">
            <v>4711878599</v>
          </cell>
        </row>
        <row r="15853">
          <cell r="E15853" t="str">
            <v>LUC-EZZ-420195-00</v>
          </cell>
          <cell r="F15853">
            <v>4711878599</v>
          </cell>
        </row>
        <row r="15854">
          <cell r="E15854" t="str">
            <v>LUC-E00-420074-00</v>
          </cell>
          <cell r="F15854">
            <v>4711878599</v>
          </cell>
        </row>
        <row r="15855">
          <cell r="E15855" t="str">
            <v>LUC-E00-400090-01</v>
          </cell>
          <cell r="F15855">
            <v>4711878599</v>
          </cell>
        </row>
        <row r="15856">
          <cell r="E15856" t="str">
            <v>EF-45224890</v>
          </cell>
          <cell r="F15856">
            <v>4711878599</v>
          </cell>
        </row>
        <row r="15857">
          <cell r="E15857" t="str">
            <v>HLOB-09-0417-00</v>
          </cell>
          <cell r="F15857">
            <v>4711878599</v>
          </cell>
        </row>
        <row r="15858">
          <cell r="E15858" t="str">
            <v>LUC-E00-420043-01</v>
          </cell>
          <cell r="F15858">
            <v>4711878599</v>
          </cell>
        </row>
        <row r="15859">
          <cell r="E15859" t="str">
            <v>LUC-E00-540005-00</v>
          </cell>
          <cell r="F15859">
            <v>4711878599</v>
          </cell>
        </row>
        <row r="15860">
          <cell r="E15860" t="str">
            <v>LUC-EZZ-420695-01</v>
          </cell>
          <cell r="F15860">
            <v>4711878599</v>
          </cell>
        </row>
        <row r="15861">
          <cell r="E15861" t="str">
            <v>LUC-EZZ-420344-00</v>
          </cell>
          <cell r="F15861">
            <v>4711878599</v>
          </cell>
        </row>
        <row r="15862">
          <cell r="E15862" t="str">
            <v>HLOB-13-0119-00</v>
          </cell>
          <cell r="F15862">
            <v>4711878599</v>
          </cell>
        </row>
        <row r="15863">
          <cell r="E15863" t="str">
            <v>PUR-09-0408-00</v>
          </cell>
          <cell r="F15863">
            <v>4711878599</v>
          </cell>
        </row>
        <row r="15864">
          <cell r="E15864" t="str">
            <v>LUC-E00-420036-00</v>
          </cell>
          <cell r="F15864">
            <v>4711878599</v>
          </cell>
        </row>
        <row r="15865">
          <cell r="E15865" t="str">
            <v>LUC-E00-420036-00</v>
          </cell>
          <cell r="F15865">
            <v>4711878599</v>
          </cell>
        </row>
        <row r="15866">
          <cell r="E15866" t="str">
            <v>LUC-E00-400034-090</v>
          </cell>
          <cell r="F15866">
            <v>4711878599</v>
          </cell>
        </row>
        <row r="15867">
          <cell r="E15867" t="str">
            <v>LUC-E00-400067-263</v>
          </cell>
          <cell r="F15867">
            <v>4711878599</v>
          </cell>
        </row>
        <row r="15868">
          <cell r="E15868" t="str">
            <v>LUC-E00-420036-00</v>
          </cell>
          <cell r="F15868">
            <v>4711878599</v>
          </cell>
        </row>
        <row r="15869">
          <cell r="E15869" t="str">
            <v>LUC-EZZ-400812-00</v>
          </cell>
          <cell r="F15869">
            <v>4711878599</v>
          </cell>
        </row>
        <row r="15870">
          <cell r="E15870" t="str">
            <v>LUC-EZZ-400812-00</v>
          </cell>
          <cell r="F15870">
            <v>4711878599</v>
          </cell>
        </row>
        <row r="15871">
          <cell r="E15871" t="str">
            <v>LUC-E00-400067-149</v>
          </cell>
          <cell r="F15871">
            <v>4711878599</v>
          </cell>
        </row>
        <row r="15872">
          <cell r="E15872" t="str">
            <v>LUC-E00-400011-003</v>
          </cell>
          <cell r="F15872">
            <v>4711878599</v>
          </cell>
        </row>
        <row r="15873">
          <cell r="E15873" t="str">
            <v>LUC-E00-400011-003</v>
          </cell>
          <cell r="F15873">
            <v>4711878599</v>
          </cell>
        </row>
        <row r="15874">
          <cell r="E15874" t="str">
            <v>LUC-E00-400067-263</v>
          </cell>
          <cell r="F15874">
            <v>4711878599</v>
          </cell>
        </row>
        <row r="15875">
          <cell r="E15875" t="str">
            <v>LUC-E00-400067-344</v>
          </cell>
          <cell r="F15875">
            <v>4711878599</v>
          </cell>
        </row>
        <row r="15876">
          <cell r="E15876" t="str">
            <v>LUC-EZZ-400289-00</v>
          </cell>
          <cell r="F15876">
            <v>4711878599</v>
          </cell>
        </row>
        <row r="15877">
          <cell r="E15877" t="str">
            <v>LUC-E00-400067-152</v>
          </cell>
          <cell r="F15877">
            <v>4711878599</v>
          </cell>
        </row>
        <row r="15878">
          <cell r="E15878" t="str">
            <v>LUC-E00-400025-01</v>
          </cell>
          <cell r="F15878">
            <v>4711878599</v>
          </cell>
        </row>
        <row r="15879">
          <cell r="E15879" t="str">
            <v>LUC-E00-400011-003</v>
          </cell>
          <cell r="F15879">
            <v>4711878599</v>
          </cell>
        </row>
        <row r="15880">
          <cell r="E15880" t="str">
            <v>LUC-E00-400025-01</v>
          </cell>
          <cell r="F15880">
            <v>4711878599</v>
          </cell>
        </row>
        <row r="15881">
          <cell r="E15881" t="str">
            <v>LUC-E00-400067-344</v>
          </cell>
          <cell r="F15881">
            <v>4711878599</v>
          </cell>
        </row>
        <row r="15882">
          <cell r="E15882" t="str">
            <v>LUC-EZZ-400200-00</v>
          </cell>
          <cell r="F15882">
            <v>4711878599</v>
          </cell>
        </row>
        <row r="15883">
          <cell r="E15883" t="str">
            <v>LUC-EZZ-400200-00</v>
          </cell>
          <cell r="F15883">
            <v>4711878599</v>
          </cell>
        </row>
        <row r="15884">
          <cell r="E15884" t="str">
            <v>PUR-21-0026-00</v>
          </cell>
          <cell r="F15884">
            <v>4711878599</v>
          </cell>
        </row>
        <row r="15885">
          <cell r="E15885" t="str">
            <v>LUC-E00-400025-01</v>
          </cell>
          <cell r="F15885">
            <v>4711878599</v>
          </cell>
        </row>
        <row r="15886">
          <cell r="E15886" t="str">
            <v>LUC-E00-420074-00</v>
          </cell>
          <cell r="F15886">
            <v>4711878599</v>
          </cell>
        </row>
        <row r="15887">
          <cell r="E15887" t="str">
            <v>LUC-E00-480007-00</v>
          </cell>
          <cell r="F15887">
            <v>4711878599</v>
          </cell>
        </row>
        <row r="15888">
          <cell r="E15888" t="str">
            <v>LUC-E00-420051-02</v>
          </cell>
          <cell r="F15888">
            <v>4711878599</v>
          </cell>
        </row>
        <row r="15889">
          <cell r="E15889" t="str">
            <v>LUC-E00-420051-02</v>
          </cell>
          <cell r="F15889">
            <v>4711878599</v>
          </cell>
        </row>
        <row r="15890">
          <cell r="E15890" t="str">
            <v>LUC-E00-420051-02</v>
          </cell>
          <cell r="F15890">
            <v>4711878599</v>
          </cell>
        </row>
        <row r="15891">
          <cell r="E15891" t="str">
            <v>LUC-E00-450010-00</v>
          </cell>
          <cell r="F15891">
            <v>4711878599</v>
          </cell>
        </row>
        <row r="15892">
          <cell r="E15892" t="str">
            <v>LUC-E00-470331-00</v>
          </cell>
          <cell r="F15892">
            <v>4711878599</v>
          </cell>
        </row>
        <row r="15893">
          <cell r="E15893" t="str">
            <v>LUC-EZZ-420331-00</v>
          </cell>
          <cell r="F15893">
            <v>4711878599</v>
          </cell>
        </row>
        <row r="15894">
          <cell r="E15894" t="str">
            <v>LUC-EZZ-420342-00</v>
          </cell>
          <cell r="F15894">
            <v>4711878599</v>
          </cell>
        </row>
        <row r="15895">
          <cell r="E15895" t="str">
            <v>141-002796</v>
          </cell>
          <cell r="F15895">
            <v>4914939528</v>
          </cell>
        </row>
        <row r="15896">
          <cell r="E15896" t="str">
            <v>141-001484-02</v>
          </cell>
          <cell r="F15896">
            <v>4914939528</v>
          </cell>
        </row>
        <row r="15897">
          <cell r="E15897" t="str">
            <v>LUC-E00-690033-00</v>
          </cell>
          <cell r="F15897" t="str">
            <v>LSHHPH2507861</v>
          </cell>
        </row>
        <row r="15898">
          <cell r="E15898" t="str">
            <v>LUC-E00-690033-01</v>
          </cell>
          <cell r="F15898" t="str">
            <v>LSHHPH2507861</v>
          </cell>
        </row>
        <row r="15899">
          <cell r="E15899" t="str">
            <v>LUC-E00-690033-02</v>
          </cell>
          <cell r="F15899" t="str">
            <v>LSHHPH2507861</v>
          </cell>
        </row>
        <row r="15900">
          <cell r="E15900" t="str">
            <v>LUC-E00-690033-02</v>
          </cell>
          <cell r="F15900" t="str">
            <v>LSHHPH2507861</v>
          </cell>
        </row>
        <row r="15901">
          <cell r="E15901" t="str">
            <v>LUC-E00-690033-03</v>
          </cell>
          <cell r="F15901" t="str">
            <v>LSHHPH2507861</v>
          </cell>
        </row>
        <row r="15902">
          <cell r="E15902" t="str">
            <v>LUC-E00-690033-03</v>
          </cell>
          <cell r="F15902" t="str">
            <v>LSHHPH2507861</v>
          </cell>
        </row>
        <row r="15903">
          <cell r="E15903" t="str">
            <v>LUC-EZZ-421298-00</v>
          </cell>
          <cell r="F15903">
            <v>3413550755</v>
          </cell>
        </row>
        <row r="15904">
          <cell r="E15904" t="str">
            <v>142-001130</v>
          </cell>
          <cell r="F15904">
            <v>884002522657</v>
          </cell>
        </row>
        <row r="15905">
          <cell r="E15905" t="str">
            <v>PUR-07-0167-00</v>
          </cell>
          <cell r="F15905">
            <v>884091520884</v>
          </cell>
        </row>
        <row r="15906">
          <cell r="E15906" t="str">
            <v>LUC-EZZ-400036-00</v>
          </cell>
          <cell r="F15906">
            <v>475888675460</v>
          </cell>
        </row>
        <row r="15907">
          <cell r="E15907" t="str">
            <v>LUC-GF1500-00-60-50CC</v>
          </cell>
          <cell r="F15907">
            <v>475888675460</v>
          </cell>
        </row>
        <row r="15908">
          <cell r="E15908" t="str">
            <v>LUC-E00-400012-18</v>
          </cell>
          <cell r="F15908">
            <v>475888675460</v>
          </cell>
        </row>
        <row r="15909">
          <cell r="E15909" t="str">
            <v>LUC-E00-400067-111</v>
          </cell>
          <cell r="F15909">
            <v>475888675460</v>
          </cell>
        </row>
        <row r="15910">
          <cell r="E15910" t="str">
            <v>LUC-EZZ-400071-00</v>
          </cell>
          <cell r="F15910">
            <v>475888675460</v>
          </cell>
        </row>
        <row r="15911">
          <cell r="E15911" t="str">
            <v>LUC-P11-K18000-00</v>
          </cell>
          <cell r="F15911">
            <v>475888675460</v>
          </cell>
        </row>
        <row r="15912">
          <cell r="E15912" t="str">
            <v>LUC-E00-400028-13</v>
          </cell>
          <cell r="F15912">
            <v>475888675460</v>
          </cell>
        </row>
        <row r="15913">
          <cell r="E15913" t="str">
            <v>EF-45236260</v>
          </cell>
          <cell r="F15913">
            <v>475888675460</v>
          </cell>
        </row>
        <row r="15914">
          <cell r="E15914" t="str">
            <v>LUC-E00-450029-00</v>
          </cell>
          <cell r="F15914">
            <v>475888675460</v>
          </cell>
        </row>
        <row r="15915">
          <cell r="E15915" t="str">
            <v>122-001045</v>
          </cell>
          <cell r="F15915">
            <v>475888675460</v>
          </cell>
        </row>
        <row r="15916">
          <cell r="E15916" t="str">
            <v>LUC-E00-440045-00</v>
          </cell>
          <cell r="F15916">
            <v>392736573340</v>
          </cell>
        </row>
        <row r="15917">
          <cell r="E15917" t="str">
            <v>123-001779</v>
          </cell>
          <cell r="F15917">
            <v>884058338870</v>
          </cell>
        </row>
        <row r="15918">
          <cell r="E15918" t="str">
            <v>AIC-MP-00006997-000</v>
          </cell>
          <cell r="F15918">
            <v>476615813978</v>
          </cell>
        </row>
        <row r="15919">
          <cell r="E15919" t="str">
            <v>LUC-P21-K33900-00</v>
          </cell>
          <cell r="F15919">
            <v>884091733949</v>
          </cell>
        </row>
        <row r="15920">
          <cell r="E15920" t="str">
            <v>103-001639</v>
          </cell>
          <cell r="F15920">
            <v>479820230246</v>
          </cell>
        </row>
        <row r="15921">
          <cell r="E15921" t="str">
            <v>PUR-11-0105-04</v>
          </cell>
          <cell r="F15921" t="str">
            <v>AS257384</v>
          </cell>
        </row>
        <row r="15922">
          <cell r="E15922" t="str">
            <v>PUR-11-0105-04</v>
          </cell>
          <cell r="F15922" t="str">
            <v>AS257384</v>
          </cell>
        </row>
        <row r="15923">
          <cell r="E15923" t="str">
            <v>LUC-P21-K33600-02</v>
          </cell>
          <cell r="F15923" t="str">
            <v>ITISHAHPG2508104</v>
          </cell>
        </row>
        <row r="15924">
          <cell r="E15924" t="str">
            <v>LUC-E00-440003-02</v>
          </cell>
          <cell r="F15924">
            <v>884094790933</v>
          </cell>
        </row>
        <row r="15925">
          <cell r="E15925" t="str">
            <v>LUC-E00-420071-00</v>
          </cell>
          <cell r="F15925">
            <v>884094790933</v>
          </cell>
        </row>
        <row r="15926">
          <cell r="E15926" t="str">
            <v>LUC-E00-420071-00</v>
          </cell>
          <cell r="F15926">
            <v>884094790933</v>
          </cell>
        </row>
        <row r="15927">
          <cell r="E15927" t="str">
            <v>HLOB-11-0104-06</v>
          </cell>
          <cell r="F15927" t="str">
            <v>PSHPH2580154</v>
          </cell>
        </row>
        <row r="15928">
          <cell r="E15928" t="str">
            <v>HLOB-11-0104-06</v>
          </cell>
          <cell r="F15928" t="str">
            <v>PSHPH2580154</v>
          </cell>
        </row>
        <row r="15929">
          <cell r="E15929" t="str">
            <v>HLOB-11-0104-06</v>
          </cell>
          <cell r="F15929" t="str">
            <v>PSHPH2580154</v>
          </cell>
        </row>
        <row r="15930">
          <cell r="E15930" t="str">
            <v>HLOB-11-0104-06</v>
          </cell>
          <cell r="F15930" t="str">
            <v>PSHPH2580154</v>
          </cell>
        </row>
        <row r="15931">
          <cell r="E15931" t="str">
            <v>HLOB-11-0104-06</v>
          </cell>
          <cell r="F15931" t="str">
            <v>PSHPH2580154</v>
          </cell>
        </row>
        <row r="15932">
          <cell r="E15932" t="str">
            <v>PUR-11-0105-04</v>
          </cell>
          <cell r="F15932" t="str">
            <v>PSHPH2580154</v>
          </cell>
        </row>
        <row r="15933">
          <cell r="E15933" t="str">
            <v>PUR-11-0105-04</v>
          </cell>
          <cell r="F15933" t="str">
            <v>PSHPH2580154</v>
          </cell>
        </row>
        <row r="15934">
          <cell r="E15934" t="str">
            <v>PUR-11-0105-04</v>
          </cell>
          <cell r="F15934" t="str">
            <v>PSHPH2580154</v>
          </cell>
        </row>
        <row r="15935">
          <cell r="E15935" t="str">
            <v>102-001670</v>
          </cell>
          <cell r="F15935" t="str">
            <v>HDLCA102575</v>
          </cell>
        </row>
        <row r="15936">
          <cell r="E15936" t="str">
            <v>102-001670</v>
          </cell>
          <cell r="F15936" t="str">
            <v>HDLCA102575</v>
          </cell>
        </row>
        <row r="15937">
          <cell r="E15937" t="str">
            <v>LUC-EZZ-490535-00</v>
          </cell>
          <cell r="F15937">
            <v>7286667592</v>
          </cell>
        </row>
        <row r="15938">
          <cell r="E15938" t="str">
            <v>LUC-EZZ-400433-00</v>
          </cell>
          <cell r="F15938">
            <v>1670560360</v>
          </cell>
        </row>
        <row r="15939">
          <cell r="E15939" t="str">
            <v>LUC-EZZ-400433-00</v>
          </cell>
          <cell r="F15939">
            <v>1670560360</v>
          </cell>
        </row>
        <row r="15940">
          <cell r="E15940" t="str">
            <v>LUC-EZZ-470192-00</v>
          </cell>
          <cell r="F15940">
            <v>1670560360</v>
          </cell>
        </row>
        <row r="15941">
          <cell r="E15941" t="str">
            <v>LUC-EZZ-470961-00</v>
          </cell>
          <cell r="F15941">
            <v>1670560360</v>
          </cell>
        </row>
        <row r="15942">
          <cell r="E15942" t="str">
            <v>LUC-E00-400056-01</v>
          </cell>
          <cell r="F15942">
            <v>1670560360</v>
          </cell>
        </row>
        <row r="15943">
          <cell r="E15943" t="str">
            <v>LUC-EZZ-450149-00</v>
          </cell>
          <cell r="F15943">
            <v>1670560360</v>
          </cell>
        </row>
        <row r="15944">
          <cell r="E15944" t="str">
            <v>LUC-EZZ-450047-00</v>
          </cell>
          <cell r="F15944">
            <v>1670560360</v>
          </cell>
        </row>
        <row r="15945">
          <cell r="E15945" t="str">
            <v>LUC-E00-470095-00</v>
          </cell>
          <cell r="F15945">
            <v>1670560360</v>
          </cell>
        </row>
        <row r="15946">
          <cell r="E15946" t="str">
            <v>LUC-E00-540004-00</v>
          </cell>
          <cell r="F15946">
            <v>1670560360</v>
          </cell>
        </row>
        <row r="15947">
          <cell r="E15947" t="str">
            <v>LUC-E00-540004-00</v>
          </cell>
          <cell r="F15947">
            <v>1670560360</v>
          </cell>
        </row>
        <row r="15948">
          <cell r="E15948" t="str">
            <v>LUC-E00-450036-00</v>
          </cell>
          <cell r="F15948">
            <v>1670560360</v>
          </cell>
        </row>
        <row r="15949">
          <cell r="E15949" t="str">
            <v>LUC-E00-400010-026</v>
          </cell>
          <cell r="F15949">
            <v>1670560360</v>
          </cell>
        </row>
        <row r="15950">
          <cell r="E15950" t="str">
            <v>LUC-E00-420037-10</v>
          </cell>
          <cell r="F15950">
            <v>1670560360</v>
          </cell>
        </row>
        <row r="15951">
          <cell r="E15951" t="str">
            <v>LUC-E00-470175-00</v>
          </cell>
          <cell r="F15951">
            <v>1670560360</v>
          </cell>
        </row>
        <row r="15952">
          <cell r="E15952" t="str">
            <v>LUC-E00-400010-036</v>
          </cell>
          <cell r="F15952">
            <v>1670560360</v>
          </cell>
        </row>
        <row r="15953">
          <cell r="E15953" t="str">
            <v>LUC-E00-400010-034</v>
          </cell>
          <cell r="F15953">
            <v>1670560360</v>
          </cell>
        </row>
        <row r="15954">
          <cell r="E15954" t="str">
            <v>LUC-E00-400010-044</v>
          </cell>
          <cell r="F15954">
            <v>1670560360</v>
          </cell>
        </row>
        <row r="15955">
          <cell r="E15955" t="str">
            <v>LUC-E00-400010-044</v>
          </cell>
          <cell r="F15955">
            <v>1670560360</v>
          </cell>
        </row>
        <row r="15956">
          <cell r="E15956" t="str">
            <v>LUC-E00-400010-035</v>
          </cell>
          <cell r="F15956">
            <v>1670560426</v>
          </cell>
        </row>
        <row r="15957">
          <cell r="E15957" t="str">
            <v>LUC-E00-400010-048</v>
          </cell>
          <cell r="F15957">
            <v>1670560426</v>
          </cell>
        </row>
        <row r="15958">
          <cell r="E15958" t="str">
            <v>LUC-EZZ-420120-00</v>
          </cell>
          <cell r="F15958">
            <v>1670560426</v>
          </cell>
        </row>
        <row r="15959">
          <cell r="E15959" t="str">
            <v>LUC-E00-420055-15</v>
          </cell>
          <cell r="F15959">
            <v>1670560426</v>
          </cell>
        </row>
        <row r="15960">
          <cell r="E15960" t="str">
            <v>LUC-E00-450041-00</v>
          </cell>
          <cell r="F15960">
            <v>1670560426</v>
          </cell>
        </row>
        <row r="15961">
          <cell r="E15961" t="str">
            <v>LUC-E00-400075-00</v>
          </cell>
          <cell r="F15961">
            <v>1670560426</v>
          </cell>
        </row>
        <row r="15962">
          <cell r="E15962" t="str">
            <v>LUC-E00-450176-00</v>
          </cell>
          <cell r="F15962">
            <v>1670560426</v>
          </cell>
        </row>
        <row r="15963">
          <cell r="E15963" t="str">
            <v>LUC-EZZ-400606-00</v>
          </cell>
          <cell r="F15963">
            <v>1670560426</v>
          </cell>
        </row>
        <row r="15964">
          <cell r="E15964" t="str">
            <v>LUC-EZZ-450053-00</v>
          </cell>
          <cell r="F15964">
            <v>1670560426</v>
          </cell>
        </row>
        <row r="15965">
          <cell r="E15965" t="str">
            <v>LUC-E00-450029-00</v>
          </cell>
          <cell r="F15965">
            <v>1670560426</v>
          </cell>
        </row>
        <row r="15966">
          <cell r="E15966" t="str">
            <v>LUC-E00-450029-00</v>
          </cell>
          <cell r="F15966">
            <v>1670560426</v>
          </cell>
        </row>
        <row r="15967">
          <cell r="E15967" t="str">
            <v>LUC-E00-470173-00</v>
          </cell>
          <cell r="F15967">
            <v>1670560426</v>
          </cell>
        </row>
        <row r="15968">
          <cell r="E15968" t="str">
            <v>LUC-EZZ-510048-00</v>
          </cell>
          <cell r="F15968">
            <v>1670560426</v>
          </cell>
        </row>
        <row r="15969">
          <cell r="E15969" t="str">
            <v>LUC-EZZ-470152-00</v>
          </cell>
          <cell r="F15969">
            <v>1670560426</v>
          </cell>
        </row>
        <row r="15970">
          <cell r="E15970" t="str">
            <v>LUC-EZZ-470152-00</v>
          </cell>
          <cell r="F15970">
            <v>1670560426</v>
          </cell>
        </row>
        <row r="15971">
          <cell r="E15971" t="str">
            <v>LUC-EZZ-470152-02</v>
          </cell>
          <cell r="F15971">
            <v>1670560426</v>
          </cell>
        </row>
        <row r="15972">
          <cell r="E15972" t="str">
            <v>LUC-E00-470077-00</v>
          </cell>
          <cell r="F15972">
            <v>1670560426</v>
          </cell>
        </row>
        <row r="15973">
          <cell r="E15973" t="str">
            <v>LUC-EZZ-470136-00</v>
          </cell>
          <cell r="F15973">
            <v>1670560426</v>
          </cell>
        </row>
        <row r="15974">
          <cell r="E15974" t="str">
            <v>LUC-EZZ-510640-00</v>
          </cell>
          <cell r="F15974">
            <v>1670560426</v>
          </cell>
        </row>
        <row r="15975">
          <cell r="E15975" t="str">
            <v>LUC-EZZ-450053-00</v>
          </cell>
          <cell r="F15975">
            <v>1670560426</v>
          </cell>
        </row>
        <row r="15976">
          <cell r="E15976" t="str">
            <v>LUC-EZZ-420490-00</v>
          </cell>
          <cell r="F15976">
            <v>1670560426</v>
          </cell>
        </row>
        <row r="15977">
          <cell r="E15977" t="str">
            <v>LUC-EZZ-510640-00</v>
          </cell>
          <cell r="F15977">
            <v>1670560426</v>
          </cell>
        </row>
        <row r="15978">
          <cell r="E15978" t="str">
            <v>LUC-EZZ-460737-00</v>
          </cell>
          <cell r="F15978">
            <v>1670560426</v>
          </cell>
        </row>
        <row r="15979">
          <cell r="E15979" t="str">
            <v>LUC-E00-420116-01</v>
          </cell>
          <cell r="F15979">
            <v>1670560426</v>
          </cell>
        </row>
        <row r="15980">
          <cell r="E15980" t="str">
            <v>LUC-E00-420116-01</v>
          </cell>
          <cell r="F15980">
            <v>1670560426</v>
          </cell>
        </row>
        <row r="15981">
          <cell r="E15981" t="str">
            <v>LUC-EZZ-420281-00</v>
          </cell>
          <cell r="F15981">
            <v>1670560426</v>
          </cell>
        </row>
        <row r="15982">
          <cell r="E15982" t="str">
            <v>LUC-EZZ-470155-00</v>
          </cell>
          <cell r="F15982">
            <v>1670560426</v>
          </cell>
        </row>
        <row r="15983">
          <cell r="E15983" t="str">
            <v>LUC-EZZ-470155-00</v>
          </cell>
          <cell r="F15983">
            <v>1670560426</v>
          </cell>
        </row>
        <row r="15984">
          <cell r="E15984" t="str">
            <v>LUC-E00-420116-01</v>
          </cell>
          <cell r="F15984">
            <v>1670560426</v>
          </cell>
        </row>
        <row r="15985">
          <cell r="E15985" t="str">
            <v>LUC-E00-440047-00</v>
          </cell>
          <cell r="F15985">
            <v>1670560426</v>
          </cell>
        </row>
        <row r="15986">
          <cell r="E15986" t="str">
            <v>LUC-EZZ-510023-00</v>
          </cell>
          <cell r="F15986">
            <v>1670560426</v>
          </cell>
        </row>
        <row r="15987">
          <cell r="E15987" t="str">
            <v>LUC-EZZ-450237-00</v>
          </cell>
          <cell r="F15987">
            <v>1670560426</v>
          </cell>
        </row>
        <row r="15988">
          <cell r="E15988" t="str">
            <v>LUC-E00-450028-00</v>
          </cell>
          <cell r="F15988">
            <v>1670560426</v>
          </cell>
        </row>
        <row r="15989">
          <cell r="E15989" t="str">
            <v>LUC-EZZ-470136-00</v>
          </cell>
          <cell r="F15989">
            <v>1670560426</v>
          </cell>
        </row>
        <row r="15990">
          <cell r="E15990" t="str">
            <v>LUC-EZZ-470136-00</v>
          </cell>
          <cell r="F15990">
            <v>1670560426</v>
          </cell>
        </row>
        <row r="15991">
          <cell r="E15991" t="str">
            <v>LUC-E00-400010-008</v>
          </cell>
          <cell r="F15991">
            <v>1670560426</v>
          </cell>
        </row>
        <row r="15992">
          <cell r="E15992" t="str">
            <v>LUC-E00-400010-008</v>
          </cell>
          <cell r="F15992">
            <v>1670560426</v>
          </cell>
        </row>
        <row r="15993">
          <cell r="E15993" t="str">
            <v>LUC-E00-400010-008</v>
          </cell>
          <cell r="F15993">
            <v>1670560426</v>
          </cell>
        </row>
        <row r="15994">
          <cell r="E15994" t="str">
            <v>LUC-E00-400010-026</v>
          </cell>
          <cell r="F15994">
            <v>1670560426</v>
          </cell>
        </row>
        <row r="15995">
          <cell r="E15995" t="str">
            <v>LUC-E00-400010-007</v>
          </cell>
          <cell r="F15995">
            <v>1670560426</v>
          </cell>
        </row>
        <row r="15996">
          <cell r="E15996" t="str">
            <v>LUC-EZZ-400297-00</v>
          </cell>
          <cell r="F15996">
            <v>1670560426</v>
          </cell>
        </row>
        <row r="15997">
          <cell r="E15997" t="str">
            <v>LUC-E00-400010-008</v>
          </cell>
          <cell r="F15997">
            <v>1670560426</v>
          </cell>
        </row>
        <row r="15998">
          <cell r="E15998" t="str">
            <v>LUC-EZZ-450246-00</v>
          </cell>
          <cell r="F15998">
            <v>1670560426</v>
          </cell>
        </row>
        <row r="15999">
          <cell r="E15999" t="str">
            <v>LUC-E00-420054-00</v>
          </cell>
          <cell r="F15999">
            <v>1670560426</v>
          </cell>
        </row>
        <row r="16000">
          <cell r="E16000" t="str">
            <v>LUC-E00-510093-00</v>
          </cell>
          <cell r="F16000">
            <v>1670560426</v>
          </cell>
        </row>
        <row r="16001">
          <cell r="E16001" t="str">
            <v>LUC-E00-420015-00</v>
          </cell>
          <cell r="F16001">
            <v>1670560426</v>
          </cell>
        </row>
        <row r="16002">
          <cell r="E16002" t="str">
            <v>LUC-E00-420241-00</v>
          </cell>
          <cell r="F16002">
            <v>1670560426</v>
          </cell>
        </row>
        <row r="16003">
          <cell r="E16003" t="str">
            <v>LUC-E00-420241-00</v>
          </cell>
          <cell r="F16003">
            <v>1670560426</v>
          </cell>
        </row>
        <row r="16004">
          <cell r="E16004" t="str">
            <v>LUC-EZZ-400288-00</v>
          </cell>
          <cell r="F16004">
            <v>1670560426</v>
          </cell>
        </row>
        <row r="16005">
          <cell r="E16005" t="str">
            <v>LUC-E00-470343-00</v>
          </cell>
          <cell r="F16005">
            <v>1670560426</v>
          </cell>
        </row>
        <row r="16006">
          <cell r="E16006" t="str">
            <v>LUC-EZZ-420399-00</v>
          </cell>
          <cell r="F16006">
            <v>1670560426</v>
          </cell>
        </row>
        <row r="16007">
          <cell r="E16007" t="str">
            <v>LUC-E00-470301-00</v>
          </cell>
          <cell r="F16007">
            <v>1670560426</v>
          </cell>
        </row>
        <row r="16008">
          <cell r="E16008" t="str">
            <v>LUC-E00-470123-00</v>
          </cell>
          <cell r="F16008">
            <v>1670560426</v>
          </cell>
        </row>
        <row r="16009">
          <cell r="E16009" t="str">
            <v>LUC-E00-420037-09</v>
          </cell>
          <cell r="F16009">
            <v>1670560426</v>
          </cell>
        </row>
        <row r="16010">
          <cell r="E16010" t="str">
            <v>LUC-E00-420050-00</v>
          </cell>
          <cell r="F16010">
            <v>1670560426</v>
          </cell>
        </row>
        <row r="16011">
          <cell r="E16011" t="str">
            <v>LUC-E00-420054-04</v>
          </cell>
          <cell r="F16011">
            <v>1670560426</v>
          </cell>
        </row>
        <row r="16012">
          <cell r="E16012" t="str">
            <v>LUC-E00-420060-00</v>
          </cell>
          <cell r="F16012">
            <v>1670560426</v>
          </cell>
        </row>
        <row r="16013">
          <cell r="E16013" t="str">
            <v>LUC-E00-450028-00</v>
          </cell>
          <cell r="F16013">
            <v>1670560426</v>
          </cell>
        </row>
        <row r="16014">
          <cell r="E16014" t="str">
            <v>LUC-E00-470080-00</v>
          </cell>
          <cell r="F16014">
            <v>1670560426</v>
          </cell>
        </row>
        <row r="16015">
          <cell r="E16015" t="str">
            <v>LUC-E00-450148-01</v>
          </cell>
          <cell r="F16015">
            <v>1670560426</v>
          </cell>
        </row>
        <row r="16016">
          <cell r="E16016" t="str">
            <v>LUC-EZZ-470431-00</v>
          </cell>
          <cell r="F16016">
            <v>1670560426</v>
          </cell>
        </row>
        <row r="16017">
          <cell r="E16017" t="str">
            <v>LUC-EZZ-420014-00</v>
          </cell>
          <cell r="F16017">
            <v>1670560426</v>
          </cell>
        </row>
        <row r="16018">
          <cell r="E16018" t="str">
            <v>LUC-EZZ-400110-00</v>
          </cell>
          <cell r="F16018">
            <v>1670560426</v>
          </cell>
        </row>
        <row r="16019">
          <cell r="E16019" t="str">
            <v>LUC-EZZ-420013-00</v>
          </cell>
          <cell r="F16019">
            <v>1670560426</v>
          </cell>
        </row>
        <row r="16020">
          <cell r="E16020" t="str">
            <v>LUC-EZZ-511370-00</v>
          </cell>
          <cell r="F16020">
            <v>1670560426</v>
          </cell>
        </row>
        <row r="16021">
          <cell r="E16021" t="str">
            <v>LUC-EZZ-511370-00</v>
          </cell>
          <cell r="F16021">
            <v>1670560426</v>
          </cell>
        </row>
        <row r="16022">
          <cell r="E16022" t="str">
            <v>LUC-E00-400010-007</v>
          </cell>
          <cell r="F16022">
            <v>1670560426</v>
          </cell>
        </row>
        <row r="16023">
          <cell r="E16023" t="str">
            <v>LUC-E00-400010-007</v>
          </cell>
          <cell r="F16023">
            <v>1670560426</v>
          </cell>
        </row>
        <row r="16024">
          <cell r="E16024" t="str">
            <v>LUC-E00-400010-010</v>
          </cell>
          <cell r="F16024">
            <v>1670560426</v>
          </cell>
        </row>
        <row r="16025">
          <cell r="E16025" t="str">
            <v>LUC-E00-400010-010</v>
          </cell>
          <cell r="F16025">
            <v>1670560426</v>
          </cell>
        </row>
        <row r="16026">
          <cell r="E16026" t="str">
            <v>LUC-E00-400010-010</v>
          </cell>
          <cell r="F16026">
            <v>1670560426</v>
          </cell>
        </row>
        <row r="16027">
          <cell r="E16027" t="str">
            <v>LUC-E00-400010-007</v>
          </cell>
          <cell r="F16027">
            <v>1670560426</v>
          </cell>
        </row>
        <row r="16028">
          <cell r="E16028" t="str">
            <v>LUC-E00-470423-00</v>
          </cell>
          <cell r="F16028">
            <v>1670560426</v>
          </cell>
        </row>
        <row r="16029">
          <cell r="E16029" t="str">
            <v>LUC-E00-400010-034</v>
          </cell>
          <cell r="F16029">
            <v>1670560426</v>
          </cell>
        </row>
        <row r="16030">
          <cell r="E16030" t="str">
            <v>LUC-E00-400010-034</v>
          </cell>
          <cell r="F16030">
            <v>1670560426</v>
          </cell>
        </row>
        <row r="16031">
          <cell r="E16031" t="str">
            <v>LUC-E00-400010-034</v>
          </cell>
          <cell r="F16031">
            <v>1670560426</v>
          </cell>
        </row>
        <row r="16032">
          <cell r="E16032" t="str">
            <v>LUC-E00-400010-034</v>
          </cell>
          <cell r="F16032">
            <v>1670560426</v>
          </cell>
        </row>
        <row r="16033">
          <cell r="E16033" t="str">
            <v>LUC-E00-400010-034</v>
          </cell>
          <cell r="F16033">
            <v>1670560426</v>
          </cell>
        </row>
        <row r="16034">
          <cell r="E16034" t="str">
            <v>LUC-E00-400010-034</v>
          </cell>
          <cell r="F16034">
            <v>1670560426</v>
          </cell>
        </row>
        <row r="16035">
          <cell r="E16035" t="str">
            <v>LUC-E00-400010-034</v>
          </cell>
          <cell r="F16035">
            <v>1670560426</v>
          </cell>
        </row>
        <row r="16036">
          <cell r="E16036" t="str">
            <v>LUC-E00-400010-034</v>
          </cell>
          <cell r="F16036">
            <v>1670560426</v>
          </cell>
        </row>
        <row r="16037">
          <cell r="E16037" t="str">
            <v>LUC-E00-400010-034</v>
          </cell>
          <cell r="F16037">
            <v>1670560426</v>
          </cell>
        </row>
        <row r="16038">
          <cell r="E16038" t="str">
            <v>LUC-E00-400010-034</v>
          </cell>
          <cell r="F16038">
            <v>1670560426</v>
          </cell>
        </row>
        <row r="16039">
          <cell r="E16039" t="str">
            <v>LUC-E00-400010-026</v>
          </cell>
          <cell r="F16039">
            <v>1670560426</v>
          </cell>
        </row>
        <row r="16040">
          <cell r="E16040" t="str">
            <v>LUC-E00-400010-026</v>
          </cell>
          <cell r="F16040">
            <v>1670560426</v>
          </cell>
        </row>
        <row r="16041">
          <cell r="E16041" t="str">
            <v>LUC-E00-470060-00</v>
          </cell>
          <cell r="F16041">
            <v>1670560426</v>
          </cell>
        </row>
        <row r="16042">
          <cell r="E16042" t="str">
            <v>LUC-E00-470060-00</v>
          </cell>
          <cell r="F16042">
            <v>1670560426</v>
          </cell>
        </row>
        <row r="16043">
          <cell r="E16043" t="str">
            <v>LUC-E00-470060-00</v>
          </cell>
          <cell r="F16043">
            <v>1670560426</v>
          </cell>
        </row>
        <row r="16044">
          <cell r="E16044" t="str">
            <v>LUC-E00-470060-00</v>
          </cell>
          <cell r="F16044">
            <v>1670560426</v>
          </cell>
        </row>
        <row r="16045">
          <cell r="E16045" t="str">
            <v>LUC-E00-470060-00</v>
          </cell>
          <cell r="F16045">
            <v>1670560426</v>
          </cell>
        </row>
        <row r="16046">
          <cell r="E16046" t="str">
            <v>LUC-E00-470032-00</v>
          </cell>
          <cell r="F16046">
            <v>1670560426</v>
          </cell>
        </row>
        <row r="16047">
          <cell r="E16047" t="str">
            <v>LUC-E00-470060-00</v>
          </cell>
          <cell r="F16047">
            <v>1670560426</v>
          </cell>
        </row>
        <row r="16048">
          <cell r="E16048" t="str">
            <v>LUC-E00-400010-007</v>
          </cell>
          <cell r="F16048">
            <v>1670560426</v>
          </cell>
        </row>
        <row r="16049">
          <cell r="E16049" t="str">
            <v>LUC-E00-400010-007</v>
          </cell>
          <cell r="F16049">
            <v>1670560426</v>
          </cell>
        </row>
        <row r="16050">
          <cell r="E16050" t="str">
            <v>LUC-E00-400010-001</v>
          </cell>
          <cell r="F16050">
            <v>1670560426</v>
          </cell>
        </row>
        <row r="16051">
          <cell r="E16051" t="str">
            <v>LUC-E00-400010-001</v>
          </cell>
          <cell r="F16051">
            <v>1670560426</v>
          </cell>
        </row>
        <row r="16052">
          <cell r="E16052" t="str">
            <v>LUC-EZZ-400201-00</v>
          </cell>
          <cell r="F16052">
            <v>1670560426</v>
          </cell>
        </row>
        <row r="16053">
          <cell r="E16053" t="str">
            <v>LUC-EZZ-420330-00</v>
          </cell>
          <cell r="F16053">
            <v>1670560426</v>
          </cell>
        </row>
        <row r="16054">
          <cell r="E16054" t="str">
            <v>LUC-E00-470131-00</v>
          </cell>
          <cell r="F16054">
            <v>1670560426</v>
          </cell>
        </row>
        <row r="16055">
          <cell r="E16055" t="str">
            <v>LUC-E00-470131-00</v>
          </cell>
          <cell r="F16055">
            <v>1670560426</v>
          </cell>
        </row>
        <row r="16056">
          <cell r="E16056" t="str">
            <v>LUC-E00-420027-03</v>
          </cell>
          <cell r="F16056">
            <v>1670560426</v>
          </cell>
        </row>
        <row r="16057">
          <cell r="E16057" t="str">
            <v>LUC-E00-400010-034</v>
          </cell>
          <cell r="F16057">
            <v>1670560426</v>
          </cell>
        </row>
        <row r="16058">
          <cell r="E16058" t="str">
            <v>LUC-E00-400010-034</v>
          </cell>
          <cell r="F16058">
            <v>1670560426</v>
          </cell>
        </row>
        <row r="16059">
          <cell r="E16059" t="str">
            <v>LUC-E00-400010-034</v>
          </cell>
          <cell r="F16059">
            <v>1670560426</v>
          </cell>
        </row>
        <row r="16060">
          <cell r="E16060" t="str">
            <v>LUC-EZZ-400204-00</v>
          </cell>
          <cell r="F16060">
            <v>1670560426</v>
          </cell>
        </row>
        <row r="16061">
          <cell r="E16061" t="str">
            <v>LUC-EZZ-400204-00</v>
          </cell>
          <cell r="F16061">
            <v>1670560426</v>
          </cell>
        </row>
        <row r="16062">
          <cell r="E16062" t="str">
            <v>LUC-EZZ-400204-00</v>
          </cell>
          <cell r="F16062">
            <v>1670560426</v>
          </cell>
        </row>
        <row r="16063">
          <cell r="E16063" t="str">
            <v>LUC-E00-400010-034</v>
          </cell>
          <cell r="F16063">
            <v>1670560426</v>
          </cell>
        </row>
        <row r="16064">
          <cell r="E16064" t="str">
            <v>LUC-EZZ-400242-00</v>
          </cell>
          <cell r="F16064">
            <v>1670560426</v>
          </cell>
        </row>
        <row r="16065">
          <cell r="E16065" t="str">
            <v>LUC-E00-420050-00</v>
          </cell>
          <cell r="F16065">
            <v>1670560426</v>
          </cell>
        </row>
        <row r="16066">
          <cell r="E16066" t="str">
            <v>LUC-E00-470020-01</v>
          </cell>
          <cell r="F16066">
            <v>1670560426</v>
          </cell>
        </row>
        <row r="16067">
          <cell r="E16067" t="str">
            <v>LUC-E00-470020-01</v>
          </cell>
          <cell r="F16067">
            <v>1670560426</v>
          </cell>
        </row>
        <row r="16068">
          <cell r="E16068" t="str">
            <v>LUC-E00-470318-00</v>
          </cell>
          <cell r="F16068">
            <v>1670560426</v>
          </cell>
        </row>
        <row r="16069">
          <cell r="E16069" t="str">
            <v>LUC-E00-690020-00</v>
          </cell>
          <cell r="F16069">
            <v>1670560426</v>
          </cell>
        </row>
        <row r="16070">
          <cell r="E16070" t="str">
            <v>LUC-E00-420015-00</v>
          </cell>
          <cell r="F16070">
            <v>1670560426</v>
          </cell>
        </row>
        <row r="16071">
          <cell r="E16071" t="str">
            <v>LUC-E00-470047-00</v>
          </cell>
          <cell r="F16071">
            <v>1670560426</v>
          </cell>
        </row>
        <row r="16072">
          <cell r="E16072" t="str">
            <v>LUC-E00-470330-00</v>
          </cell>
          <cell r="F16072">
            <v>1670560426</v>
          </cell>
        </row>
        <row r="16073">
          <cell r="E16073" t="str">
            <v>LUC-E00-470265-00</v>
          </cell>
          <cell r="F16073">
            <v>1670560426</v>
          </cell>
        </row>
        <row r="16074">
          <cell r="E16074" t="str">
            <v>LUC-EZZ-420089-00</v>
          </cell>
          <cell r="F16074">
            <v>1670560426</v>
          </cell>
        </row>
        <row r="16075">
          <cell r="E16075" t="str">
            <v>LUC-EZZ-420089-00</v>
          </cell>
          <cell r="F16075">
            <v>1670560426</v>
          </cell>
        </row>
        <row r="16076">
          <cell r="E16076" t="str">
            <v>LUC-EZZ-421706-00</v>
          </cell>
          <cell r="F16076">
            <v>1670560426</v>
          </cell>
        </row>
        <row r="16077">
          <cell r="E16077" t="str">
            <v>LUC-E00-400010-020</v>
          </cell>
          <cell r="F16077">
            <v>1670560426</v>
          </cell>
        </row>
        <row r="16078">
          <cell r="E16078" t="str">
            <v>LUC-E00-470089-00</v>
          </cell>
          <cell r="F16078">
            <v>1670560426</v>
          </cell>
        </row>
        <row r="16079">
          <cell r="E16079" t="str">
            <v>LUC-E00-470004-00</v>
          </cell>
          <cell r="F16079">
            <v>1670560426</v>
          </cell>
        </row>
        <row r="16080">
          <cell r="E16080" t="str">
            <v>LUC-E00-470061-00</v>
          </cell>
          <cell r="F16080">
            <v>1670560426</v>
          </cell>
        </row>
        <row r="16081">
          <cell r="E16081" t="str">
            <v>LUC-E00-470120-00</v>
          </cell>
          <cell r="F16081">
            <v>1670560426</v>
          </cell>
        </row>
        <row r="16082">
          <cell r="E16082" t="str">
            <v>LUC-EZZ-420507-00</v>
          </cell>
          <cell r="F16082">
            <v>1670560426</v>
          </cell>
        </row>
        <row r="16083">
          <cell r="E16083" t="str">
            <v>LUC-E00-420020-03</v>
          </cell>
          <cell r="F16083">
            <v>1670560426</v>
          </cell>
        </row>
        <row r="16084">
          <cell r="E16084" t="str">
            <v>LUC-E00-420058-00</v>
          </cell>
          <cell r="F16084">
            <v>1670560426</v>
          </cell>
        </row>
        <row r="16085">
          <cell r="E16085" t="str">
            <v>LUC-E00-420058-00</v>
          </cell>
          <cell r="F16085">
            <v>1670560426</v>
          </cell>
        </row>
        <row r="16086">
          <cell r="E16086" t="str">
            <v>LUC-EZZ-450108-00</v>
          </cell>
          <cell r="F16086">
            <v>1670560426</v>
          </cell>
        </row>
        <row r="16087">
          <cell r="E16087" t="str">
            <v>EF-45052488.X.X</v>
          </cell>
          <cell r="F16087">
            <v>1670560426</v>
          </cell>
        </row>
        <row r="16088">
          <cell r="E16088" t="str">
            <v>EF-45052488.X.X</v>
          </cell>
          <cell r="F16088">
            <v>1670560426</v>
          </cell>
        </row>
        <row r="16089">
          <cell r="E16089" t="str">
            <v>LUC-EZZ-490317-04</v>
          </cell>
          <cell r="F16089">
            <v>1516347</v>
          </cell>
        </row>
        <row r="16090">
          <cell r="E16090" t="str">
            <v>LUC-EZZ-490310-04</v>
          </cell>
          <cell r="F16090">
            <v>1516347</v>
          </cell>
        </row>
        <row r="16091">
          <cell r="E16091" t="str">
            <v>LUC-EZZ-490231-05</v>
          </cell>
          <cell r="F16091">
            <v>1516347</v>
          </cell>
        </row>
        <row r="16092">
          <cell r="E16092" t="str">
            <v>LUC-EZZ-490231-05</v>
          </cell>
          <cell r="F16092">
            <v>1516347</v>
          </cell>
        </row>
        <row r="16093">
          <cell r="E16093" t="str">
            <v>LUC-EZZ-490231-05</v>
          </cell>
          <cell r="F16093">
            <v>1516347</v>
          </cell>
        </row>
        <row r="16094">
          <cell r="E16094" t="str">
            <v>LUC-EZZ-490231-05</v>
          </cell>
          <cell r="F16094">
            <v>1516347</v>
          </cell>
        </row>
        <row r="16095">
          <cell r="E16095" t="str">
            <v>LUC-EZZ-490305-05</v>
          </cell>
          <cell r="F16095">
            <v>1516347</v>
          </cell>
        </row>
        <row r="16096">
          <cell r="E16096" t="str">
            <v>LUC-EZZ-490305-05</v>
          </cell>
          <cell r="F16096">
            <v>1516347</v>
          </cell>
        </row>
        <row r="16097">
          <cell r="E16097" t="str">
            <v>LUC-EZZ-490305-05</v>
          </cell>
          <cell r="F16097">
            <v>1516347</v>
          </cell>
        </row>
        <row r="16098">
          <cell r="E16098" t="str">
            <v>LUC-P21-K34600-02</v>
          </cell>
          <cell r="F16098" t="str">
            <v>LSHHPH2508176</v>
          </cell>
        </row>
        <row r="16099">
          <cell r="E16099" t="str">
            <v>102-001542</v>
          </cell>
          <cell r="F16099" t="str">
            <v>MHKGA2501144</v>
          </cell>
        </row>
        <row r="16100">
          <cell r="E16100" t="str">
            <v>LUC-E00-420074-00</v>
          </cell>
          <cell r="F16100">
            <v>429710850680</v>
          </cell>
        </row>
        <row r="16101">
          <cell r="E16101" t="str">
            <v>LUC-EZZ-400409-00</v>
          </cell>
          <cell r="F16101">
            <v>479224526300</v>
          </cell>
        </row>
        <row r="16102">
          <cell r="E16102" t="str">
            <v>LUC-E00-400028-002</v>
          </cell>
          <cell r="F16102">
            <v>479224537708</v>
          </cell>
        </row>
        <row r="16103">
          <cell r="E16103" t="str">
            <v>PUR-03-0095-00</v>
          </cell>
          <cell r="F16103">
            <v>884125224552</v>
          </cell>
        </row>
        <row r="16104">
          <cell r="E16104" t="str">
            <v>LUC-E00-470039-00</v>
          </cell>
          <cell r="F16104">
            <v>884126874480</v>
          </cell>
        </row>
        <row r="16105">
          <cell r="E16105" t="str">
            <v>124-002781</v>
          </cell>
          <cell r="F16105">
            <v>884097941859</v>
          </cell>
        </row>
        <row r="16106">
          <cell r="E16106" t="str">
            <v>LUC-E00-420054-06</v>
          </cell>
          <cell r="F16106">
            <v>972682045911</v>
          </cell>
        </row>
        <row r="16107">
          <cell r="E16107" t="str">
            <v>LUC-EZZ-420251-00</v>
          </cell>
          <cell r="F16107">
            <v>972682045911</v>
          </cell>
        </row>
        <row r="16108">
          <cell r="E16108" t="str">
            <v>LUC-EZZ-400411-00</v>
          </cell>
          <cell r="F16108">
            <v>972682045911</v>
          </cell>
        </row>
        <row r="16109">
          <cell r="E16109" t="str">
            <v>HLOB-18-0640-00</v>
          </cell>
          <cell r="F16109">
            <v>884060233832</v>
          </cell>
        </row>
        <row r="16110">
          <cell r="E16110" t="str">
            <v>HLOB-18-0640-00</v>
          </cell>
          <cell r="F16110">
            <v>884060233832</v>
          </cell>
        </row>
        <row r="16111">
          <cell r="E16111" t="str">
            <v>HLOB-13-0028-00</v>
          </cell>
          <cell r="F16111">
            <v>884062101333</v>
          </cell>
        </row>
        <row r="16112">
          <cell r="E16112" t="str">
            <v>HLOB-13-0028-00</v>
          </cell>
          <cell r="F16112">
            <v>884062101333</v>
          </cell>
        </row>
        <row r="16113">
          <cell r="E16113" t="str">
            <v>PURET-13-0028-00</v>
          </cell>
          <cell r="F16113">
            <v>884062101333</v>
          </cell>
        </row>
        <row r="16114">
          <cell r="E16114" t="str">
            <v>PURET-13-0028-00</v>
          </cell>
          <cell r="F16114">
            <v>884062101333</v>
          </cell>
        </row>
        <row r="16115">
          <cell r="E16115" t="str">
            <v>PURET-13-0028-00</v>
          </cell>
          <cell r="F16115">
            <v>884062101333</v>
          </cell>
        </row>
        <row r="16116">
          <cell r="E16116" t="str">
            <v>PUR-13-0155-00</v>
          </cell>
          <cell r="F16116">
            <v>884062101333</v>
          </cell>
        </row>
        <row r="16117">
          <cell r="E16117" t="str">
            <v>PUR-13-0244-00</v>
          </cell>
          <cell r="F16117">
            <v>884062101333</v>
          </cell>
        </row>
        <row r="16118">
          <cell r="E16118" t="str">
            <v>PUR-13-0155-00</v>
          </cell>
          <cell r="F16118">
            <v>884062101333</v>
          </cell>
        </row>
        <row r="16119">
          <cell r="E16119" t="str">
            <v>PUR-13-0155-00</v>
          </cell>
          <cell r="F16119">
            <v>884062101333</v>
          </cell>
        </row>
        <row r="16120">
          <cell r="E16120" t="str">
            <v>PUR-13-0155-00</v>
          </cell>
          <cell r="F16120">
            <v>884062101333</v>
          </cell>
        </row>
        <row r="16121">
          <cell r="E16121" t="str">
            <v>PUR-13-0244-00</v>
          </cell>
          <cell r="F16121">
            <v>884062101333</v>
          </cell>
        </row>
        <row r="16122">
          <cell r="E16122" t="str">
            <v>AIC-132-001544</v>
          </cell>
          <cell r="F16122">
            <v>884062101333</v>
          </cell>
        </row>
        <row r="16123">
          <cell r="E16123" t="str">
            <v>AIC-126-002388</v>
          </cell>
          <cell r="F16123">
            <v>884062101333</v>
          </cell>
        </row>
        <row r="16124">
          <cell r="E16124" t="str">
            <v>LUC-EZZ-490305-05</v>
          </cell>
          <cell r="F16124">
            <v>7286819610</v>
          </cell>
        </row>
        <row r="16125">
          <cell r="E16125" t="str">
            <v>LUC-EZZ-400205-00</v>
          </cell>
          <cell r="F16125">
            <v>479224604915</v>
          </cell>
        </row>
        <row r="16126">
          <cell r="E16126" t="str">
            <v>LUC-EZZ-400205-00</v>
          </cell>
          <cell r="F16126">
            <v>477670276391</v>
          </cell>
        </row>
        <row r="16127">
          <cell r="E16127" t="str">
            <v>LUC-P21-K81001-01</v>
          </cell>
          <cell r="F16127" t="str">
            <v>LSHHPH2508062</v>
          </cell>
        </row>
        <row r="16128">
          <cell r="E16128" t="str">
            <v>LUC-P21-K81100-01</v>
          </cell>
          <cell r="F16128" t="str">
            <v>LSHHPH2508062</v>
          </cell>
        </row>
        <row r="16129">
          <cell r="E16129" t="str">
            <v>LUC-P21-K81101-01</v>
          </cell>
          <cell r="F16129" t="str">
            <v>LSHHPH2508062</v>
          </cell>
        </row>
        <row r="16130">
          <cell r="E16130" t="str">
            <v>LUC-P21-K81201-01</v>
          </cell>
          <cell r="F16130" t="str">
            <v>LSHHPH2508062</v>
          </cell>
        </row>
        <row r="16131">
          <cell r="E16131" t="str">
            <v>LUC-P21-K81202-00</v>
          </cell>
          <cell r="F16131" t="str">
            <v>LSHHPH2508062</v>
          </cell>
        </row>
        <row r="16132">
          <cell r="E16132" t="str">
            <v>LUC-E00-400049-00</v>
          </cell>
          <cell r="F16132">
            <v>3455986645</v>
          </cell>
        </row>
        <row r="16133">
          <cell r="E16133" t="str">
            <v>LUC-E00-400049-00</v>
          </cell>
          <cell r="F16133">
            <v>3455986645</v>
          </cell>
        </row>
        <row r="16134">
          <cell r="E16134" t="str">
            <v>HLOB-13-0134-00</v>
          </cell>
          <cell r="F16134">
            <v>3455986645</v>
          </cell>
        </row>
        <row r="16135">
          <cell r="E16135" t="str">
            <v>EF-45116977</v>
          </cell>
          <cell r="F16135">
            <v>3455986645</v>
          </cell>
        </row>
        <row r="16136">
          <cell r="E16136" t="str">
            <v>PUR-12-0288-00</v>
          </cell>
          <cell r="F16136">
            <v>3455986645</v>
          </cell>
        </row>
        <row r="16137">
          <cell r="E16137" t="str">
            <v>PUR-12-0288-00</v>
          </cell>
          <cell r="F16137">
            <v>3455986645</v>
          </cell>
        </row>
        <row r="16138">
          <cell r="E16138" t="str">
            <v>LUC-E00-400067-051</v>
          </cell>
          <cell r="F16138">
            <v>3455986645</v>
          </cell>
        </row>
        <row r="16139">
          <cell r="E16139" t="str">
            <v>LUC-E00-450039-00</v>
          </cell>
          <cell r="F16139">
            <v>3455986645</v>
          </cell>
        </row>
        <row r="16140">
          <cell r="E16140" t="str">
            <v>LUC-EZZ-400831-00</v>
          </cell>
          <cell r="F16140">
            <v>3455986645</v>
          </cell>
        </row>
        <row r="16141">
          <cell r="E16141" t="str">
            <v>HLOB-12-0468-00</v>
          </cell>
          <cell r="F16141">
            <v>3455986645</v>
          </cell>
        </row>
        <row r="16142">
          <cell r="E16142" t="str">
            <v>HLOB-12-0468-00</v>
          </cell>
          <cell r="F16142">
            <v>3455986645</v>
          </cell>
        </row>
        <row r="16143">
          <cell r="E16143" t="str">
            <v>HLOB-12-0468-00</v>
          </cell>
          <cell r="F16143">
            <v>3455986645</v>
          </cell>
        </row>
        <row r="16144">
          <cell r="E16144" t="str">
            <v>PUR-12-0408-00</v>
          </cell>
          <cell r="F16144">
            <v>3455986645</v>
          </cell>
        </row>
        <row r="16145">
          <cell r="E16145" t="str">
            <v>PUR-12-0408-00</v>
          </cell>
          <cell r="F16145">
            <v>3455986645</v>
          </cell>
        </row>
        <row r="16146">
          <cell r="E16146" t="str">
            <v>PUR-12-0408-00</v>
          </cell>
          <cell r="F16146">
            <v>3455986645</v>
          </cell>
        </row>
        <row r="16147">
          <cell r="E16147" t="str">
            <v>HLOB-12-0408-00</v>
          </cell>
          <cell r="F16147">
            <v>3455986645</v>
          </cell>
        </row>
        <row r="16148">
          <cell r="E16148" t="str">
            <v>HLOB-12-0408-00</v>
          </cell>
          <cell r="F16148">
            <v>3455986645</v>
          </cell>
        </row>
        <row r="16149">
          <cell r="E16149" t="str">
            <v>HLOB-12-0408-00</v>
          </cell>
          <cell r="F16149">
            <v>3455986645</v>
          </cell>
        </row>
        <row r="16150">
          <cell r="E16150" t="str">
            <v>PUR-12-0408-00</v>
          </cell>
          <cell r="F16150">
            <v>3455986645</v>
          </cell>
        </row>
        <row r="16151">
          <cell r="E16151" t="str">
            <v>HLOB-24-0024-00</v>
          </cell>
          <cell r="F16151">
            <v>3455986645</v>
          </cell>
        </row>
        <row r="16152">
          <cell r="E16152" t="str">
            <v>PUR-14-0077-00</v>
          </cell>
          <cell r="F16152">
            <v>3455986645</v>
          </cell>
        </row>
        <row r="16153">
          <cell r="E16153" t="str">
            <v>LUC-EZZ-401060-00</v>
          </cell>
          <cell r="F16153">
            <v>3455986645</v>
          </cell>
        </row>
        <row r="16154">
          <cell r="E16154" t="str">
            <v>LUC-EZZ-401060-00</v>
          </cell>
          <cell r="F16154">
            <v>3455986645</v>
          </cell>
        </row>
        <row r="16155">
          <cell r="E16155" t="str">
            <v>EF-45051531.X.X</v>
          </cell>
          <cell r="F16155">
            <v>3455986645</v>
          </cell>
        </row>
        <row r="16156">
          <cell r="E16156" t="str">
            <v>AGI-530-40013-01</v>
          </cell>
          <cell r="F16156">
            <v>3455986645</v>
          </cell>
        </row>
        <row r="16157">
          <cell r="E16157" t="str">
            <v>AGI-530-40013-01</v>
          </cell>
          <cell r="F16157">
            <v>3455986645</v>
          </cell>
        </row>
        <row r="16158">
          <cell r="E16158" t="str">
            <v>LUC-P11-K41300-00</v>
          </cell>
          <cell r="F16158">
            <v>3455986645</v>
          </cell>
        </row>
        <row r="16159">
          <cell r="E16159" t="str">
            <v>LUC-P11-K41300-00</v>
          </cell>
          <cell r="F16159">
            <v>3455986645</v>
          </cell>
        </row>
        <row r="16160">
          <cell r="E16160" t="str">
            <v>EF-45166095</v>
          </cell>
          <cell r="F16160">
            <v>3455986645</v>
          </cell>
        </row>
        <row r="16161">
          <cell r="E16161" t="str">
            <v>HLOB-14-0077-00</v>
          </cell>
          <cell r="F16161">
            <v>3455986645</v>
          </cell>
        </row>
        <row r="16162">
          <cell r="E16162" t="str">
            <v>HLOB-14-0076-00</v>
          </cell>
          <cell r="F16162">
            <v>3455986645</v>
          </cell>
        </row>
        <row r="16163">
          <cell r="E16163" t="str">
            <v>HLOB-14-0076-00</v>
          </cell>
          <cell r="F16163">
            <v>3455986645</v>
          </cell>
        </row>
        <row r="16164">
          <cell r="E16164" t="str">
            <v>HLOB-14-0077-00</v>
          </cell>
          <cell r="F16164">
            <v>3455986645</v>
          </cell>
        </row>
        <row r="16165">
          <cell r="E16165" t="str">
            <v>HLOB-14-0076-00</v>
          </cell>
          <cell r="F16165">
            <v>3455986645</v>
          </cell>
        </row>
        <row r="16166">
          <cell r="E16166" t="str">
            <v>HLOB-14-0076-00</v>
          </cell>
          <cell r="F16166">
            <v>3455986645</v>
          </cell>
        </row>
        <row r="16167">
          <cell r="E16167" t="str">
            <v>HLOB-14-0077-00</v>
          </cell>
          <cell r="F16167">
            <v>3455986645</v>
          </cell>
        </row>
        <row r="16168">
          <cell r="E16168" t="str">
            <v>HLOB-14-0077-00</v>
          </cell>
          <cell r="F16168">
            <v>3455986645</v>
          </cell>
        </row>
        <row r="16169">
          <cell r="E16169" t="str">
            <v>PUR-14-0077-00</v>
          </cell>
          <cell r="F16169">
            <v>3455986645</v>
          </cell>
        </row>
        <row r="16170">
          <cell r="E16170" t="str">
            <v>PUR-14-0076-00</v>
          </cell>
          <cell r="F16170">
            <v>3455986645</v>
          </cell>
        </row>
        <row r="16171">
          <cell r="E16171" t="str">
            <v>PUR-14-0083-00</v>
          </cell>
          <cell r="F16171">
            <v>3455986645</v>
          </cell>
        </row>
        <row r="16172">
          <cell r="E16172" t="str">
            <v>HLOB-14-0076-00</v>
          </cell>
          <cell r="F16172">
            <v>3455986645</v>
          </cell>
        </row>
        <row r="16173">
          <cell r="E16173" t="str">
            <v>EF-45046558.X.X</v>
          </cell>
          <cell r="F16173">
            <v>3455986645</v>
          </cell>
        </row>
        <row r="16174">
          <cell r="E16174" t="str">
            <v>HLOB-09-0444-00</v>
          </cell>
          <cell r="F16174">
            <v>3455986645</v>
          </cell>
        </row>
        <row r="16175">
          <cell r="E16175" t="str">
            <v>LUC-E00-450039-01</v>
          </cell>
          <cell r="F16175">
            <v>3455986645</v>
          </cell>
        </row>
        <row r="16176">
          <cell r="E16176" t="str">
            <v>LUC-E00-450070-00</v>
          </cell>
          <cell r="F16176">
            <v>3455986645</v>
          </cell>
        </row>
        <row r="16177">
          <cell r="E16177" t="str">
            <v>PUR-14-0107-00</v>
          </cell>
          <cell r="F16177">
            <v>3455986645</v>
          </cell>
        </row>
        <row r="16178">
          <cell r="E16178" t="str">
            <v>PUR-14-0076-00</v>
          </cell>
          <cell r="F16178">
            <v>3455986645</v>
          </cell>
        </row>
        <row r="16179">
          <cell r="E16179" t="str">
            <v>EF-45072100.X.X</v>
          </cell>
          <cell r="F16179">
            <v>3455986645</v>
          </cell>
        </row>
        <row r="16180">
          <cell r="E16180" t="str">
            <v>LUC-E00-420072-00</v>
          </cell>
          <cell r="F16180">
            <v>3455986645</v>
          </cell>
        </row>
        <row r="16181">
          <cell r="E16181" t="str">
            <v>EF-45051534</v>
          </cell>
          <cell r="F16181">
            <v>3455986645</v>
          </cell>
        </row>
        <row r="16182">
          <cell r="E16182" t="str">
            <v>AGI-450-40128-01</v>
          </cell>
          <cell r="F16182">
            <v>3455986645</v>
          </cell>
        </row>
        <row r="16183">
          <cell r="E16183" t="str">
            <v>LUC-P11-K41700-00</v>
          </cell>
          <cell r="F16183">
            <v>3455986645</v>
          </cell>
        </row>
        <row r="16184">
          <cell r="E16184" t="str">
            <v>EF-45169197</v>
          </cell>
          <cell r="F16184">
            <v>470049425080</v>
          </cell>
        </row>
        <row r="16185">
          <cell r="E16185" t="str">
            <v>PUR-24-0031-00</v>
          </cell>
          <cell r="F16185">
            <v>470049425080</v>
          </cell>
        </row>
        <row r="16186">
          <cell r="E16186" t="str">
            <v>LUC-EZZ-470211-00</v>
          </cell>
          <cell r="F16186">
            <v>392882124788</v>
          </cell>
        </row>
        <row r="16187">
          <cell r="E16187" t="str">
            <v>HLOB-12-0482-00</v>
          </cell>
          <cell r="F16187">
            <v>884173647442</v>
          </cell>
        </row>
        <row r="16188">
          <cell r="E16188" t="str">
            <v>AIC-122-004332</v>
          </cell>
          <cell r="F16188">
            <v>884173647442</v>
          </cell>
        </row>
        <row r="16189">
          <cell r="E16189" t="str">
            <v>PUR-09-0502-00</v>
          </cell>
          <cell r="F16189">
            <v>471782632840</v>
          </cell>
        </row>
        <row r="16190">
          <cell r="E16190" t="str">
            <v>120-012612</v>
          </cell>
          <cell r="F16190">
            <v>884061996556</v>
          </cell>
        </row>
        <row r="16191">
          <cell r="E16191" t="str">
            <v>PUR-12-0412-00</v>
          </cell>
          <cell r="F16191">
            <v>884174593331</v>
          </cell>
        </row>
        <row r="16192">
          <cell r="E16192" t="str">
            <v>PUR-12-0420-00</v>
          </cell>
          <cell r="F16192">
            <v>884174593331</v>
          </cell>
        </row>
        <row r="16193">
          <cell r="E16193" t="str">
            <v>HLOB-12-0412-00</v>
          </cell>
          <cell r="F16193">
            <v>884174593331</v>
          </cell>
        </row>
        <row r="16194">
          <cell r="E16194" t="str">
            <v>HLOB-12-0460-00</v>
          </cell>
          <cell r="F16194">
            <v>884174593331</v>
          </cell>
        </row>
        <row r="16195">
          <cell r="E16195" t="str">
            <v>HLOB-12-0420-00</v>
          </cell>
          <cell r="F16195">
            <v>884174593331</v>
          </cell>
        </row>
        <row r="16196">
          <cell r="E16196" t="str">
            <v>HLOB-12-0472-00</v>
          </cell>
          <cell r="F16196">
            <v>884174593331</v>
          </cell>
        </row>
        <row r="16197">
          <cell r="E16197" t="str">
            <v>HLOB-12-0284-00</v>
          </cell>
          <cell r="F16197">
            <v>884174593331</v>
          </cell>
        </row>
        <row r="16198">
          <cell r="E16198" t="str">
            <v>PURET-12-0056-00</v>
          </cell>
          <cell r="F16198">
            <v>884174593331</v>
          </cell>
        </row>
        <row r="16199">
          <cell r="E16199" t="str">
            <v>PURET-12-0170-00</v>
          </cell>
          <cell r="F16199">
            <v>884174593331</v>
          </cell>
        </row>
        <row r="16200">
          <cell r="E16200" t="str">
            <v>HLOB-12-0412-00</v>
          </cell>
          <cell r="F16200">
            <v>884174593331</v>
          </cell>
        </row>
        <row r="16201">
          <cell r="E16201" t="str">
            <v>HLOB-12-0474-00</v>
          </cell>
          <cell r="F16201">
            <v>884174593331</v>
          </cell>
        </row>
        <row r="16202">
          <cell r="E16202" t="str">
            <v>HLOB-12-0170-00</v>
          </cell>
          <cell r="F16202">
            <v>884174593331</v>
          </cell>
        </row>
        <row r="16203">
          <cell r="E16203" t="str">
            <v>HLOB-12-0293-00</v>
          </cell>
          <cell r="F16203">
            <v>884174593331</v>
          </cell>
        </row>
        <row r="16204">
          <cell r="E16204" t="str">
            <v>HLOB-12-0271-00</v>
          </cell>
          <cell r="F16204">
            <v>884174593331</v>
          </cell>
        </row>
        <row r="16205">
          <cell r="E16205" t="str">
            <v>HLOB-12-0432-00</v>
          </cell>
          <cell r="F16205">
            <v>884174593331</v>
          </cell>
        </row>
        <row r="16206">
          <cell r="E16206" t="str">
            <v>PUR-12-0507-00</v>
          </cell>
          <cell r="F16206">
            <v>884174593331</v>
          </cell>
        </row>
        <row r="16207">
          <cell r="E16207" t="str">
            <v>PUR-12-0293-00</v>
          </cell>
          <cell r="F16207">
            <v>884174593331</v>
          </cell>
        </row>
        <row r="16208">
          <cell r="E16208" t="str">
            <v>PUR-12-0507-00</v>
          </cell>
          <cell r="F16208">
            <v>884174593331</v>
          </cell>
        </row>
        <row r="16209">
          <cell r="E16209" t="str">
            <v>PURET-12-0028-00</v>
          </cell>
          <cell r="F16209">
            <v>884174593331</v>
          </cell>
        </row>
        <row r="16210">
          <cell r="E16210" t="str">
            <v>LUC-E00-450060-00</v>
          </cell>
          <cell r="F16210">
            <v>472182157347</v>
          </cell>
        </row>
        <row r="16211">
          <cell r="E16211" t="str">
            <v>LUC-E00-470183-00</v>
          </cell>
          <cell r="F16211">
            <v>470198060303</v>
          </cell>
        </row>
        <row r="16212">
          <cell r="E16212" t="str">
            <v>130-000425.X.X</v>
          </cell>
          <cell r="F16212">
            <v>470186558093</v>
          </cell>
        </row>
        <row r="16213">
          <cell r="E16213" t="str">
            <v>PUR-13-0258-00</v>
          </cell>
          <cell r="F16213">
            <v>479224522175</v>
          </cell>
        </row>
        <row r="16214">
          <cell r="E16214" t="str">
            <v>HLOB-13-0159-00</v>
          </cell>
          <cell r="F16214">
            <v>884127445066</v>
          </cell>
        </row>
        <row r="16215">
          <cell r="E16215" t="str">
            <v>EF-45129267</v>
          </cell>
          <cell r="F16215">
            <v>884127445066</v>
          </cell>
        </row>
        <row r="16216">
          <cell r="E16216" t="str">
            <v>LUC-EZZ-401250-00</v>
          </cell>
          <cell r="F16216">
            <v>884127445066</v>
          </cell>
        </row>
        <row r="16217">
          <cell r="E16217" t="str">
            <v>PUR-13-0245-00</v>
          </cell>
          <cell r="F16217">
            <v>884127445066</v>
          </cell>
        </row>
        <row r="16218">
          <cell r="E16218" t="str">
            <v>EF-45053506.X.X</v>
          </cell>
          <cell r="F16218">
            <v>884127445066</v>
          </cell>
        </row>
        <row r="16219">
          <cell r="E16219" t="str">
            <v>AIC-MP-00002308-000</v>
          </cell>
          <cell r="F16219">
            <v>884127445066</v>
          </cell>
        </row>
        <row r="16220">
          <cell r="E16220" t="str">
            <v>122-000453.X.X</v>
          </cell>
          <cell r="F16220">
            <v>884127445066</v>
          </cell>
        </row>
        <row r="16221">
          <cell r="E16221" t="str">
            <v>LUC-E00-460038-00</v>
          </cell>
          <cell r="F16221">
            <v>478592434609</v>
          </cell>
        </row>
        <row r="16222">
          <cell r="E16222" t="str">
            <v>LUC-EZZ-420665-00</v>
          </cell>
          <cell r="F16222">
            <v>478592434609</v>
          </cell>
        </row>
        <row r="16223">
          <cell r="E16223" t="str">
            <v>LUC-E00-400010-028</v>
          </cell>
          <cell r="F16223">
            <v>478592434609</v>
          </cell>
        </row>
        <row r="16224">
          <cell r="E16224" t="str">
            <v>124-002702</v>
          </cell>
          <cell r="F16224">
            <v>478592434609</v>
          </cell>
        </row>
        <row r="16225">
          <cell r="E16225" t="str">
            <v>LUC-E00-420055-05</v>
          </cell>
          <cell r="F16225">
            <v>478592434609</v>
          </cell>
        </row>
        <row r="16226">
          <cell r="E16226" t="str">
            <v>LUC-EZZ-400291-00</v>
          </cell>
          <cell r="F16226">
            <v>478592434609</v>
          </cell>
        </row>
        <row r="16227">
          <cell r="E16227" t="str">
            <v>LUC-E00-420072-01</v>
          </cell>
          <cell r="F16227">
            <v>471797717022</v>
          </cell>
        </row>
        <row r="16228">
          <cell r="E16228" t="str">
            <v>LUC-EZZ-420527-00</v>
          </cell>
          <cell r="F16228">
            <v>471797717022</v>
          </cell>
        </row>
        <row r="16229">
          <cell r="E16229" t="str">
            <v>LUC-EZZ-420178-00</v>
          </cell>
          <cell r="F16229">
            <v>471797717022</v>
          </cell>
        </row>
        <row r="16230">
          <cell r="E16230" t="str">
            <v>EF-45117206.X.X</v>
          </cell>
          <cell r="F16230">
            <v>471797717022</v>
          </cell>
        </row>
        <row r="16231">
          <cell r="E16231" t="str">
            <v>PURET-13-0002-00</v>
          </cell>
          <cell r="F16231">
            <v>471797717022</v>
          </cell>
        </row>
        <row r="16232">
          <cell r="E16232" t="str">
            <v>HLOB-13-0069-00</v>
          </cell>
          <cell r="F16232">
            <v>471797717022</v>
          </cell>
        </row>
        <row r="16233">
          <cell r="E16233" t="str">
            <v>HLOB-13-0066-00</v>
          </cell>
          <cell r="F16233">
            <v>471797717022</v>
          </cell>
        </row>
        <row r="16234">
          <cell r="E16234" t="str">
            <v>LUC-E00-420072-00</v>
          </cell>
          <cell r="F16234">
            <v>471797717022</v>
          </cell>
        </row>
        <row r="16235">
          <cell r="E16235" t="str">
            <v>PUR-13-0212-00</v>
          </cell>
          <cell r="F16235">
            <v>471797717022</v>
          </cell>
        </row>
        <row r="16236">
          <cell r="E16236" t="str">
            <v>PUR-13-0212-00</v>
          </cell>
          <cell r="F16236">
            <v>471797717022</v>
          </cell>
        </row>
        <row r="16237">
          <cell r="E16237" t="str">
            <v>HLOB-13-0229-00</v>
          </cell>
          <cell r="F16237">
            <v>471797717022</v>
          </cell>
        </row>
        <row r="16238">
          <cell r="E16238" t="str">
            <v>LUC-E00-440154-00</v>
          </cell>
          <cell r="F16238">
            <v>119209631205</v>
          </cell>
        </row>
        <row r="16239">
          <cell r="E16239" t="str">
            <v>PUR-09-0213-00</v>
          </cell>
          <cell r="F16239">
            <v>119209631205</v>
          </cell>
        </row>
        <row r="16240">
          <cell r="E16240" t="str">
            <v>PUR-09-0213-00</v>
          </cell>
          <cell r="F16240">
            <v>119209631205</v>
          </cell>
        </row>
        <row r="16241">
          <cell r="E16241" t="str">
            <v>HLOB-09-0213-00</v>
          </cell>
          <cell r="F16241">
            <v>119209631205</v>
          </cell>
        </row>
        <row r="16242">
          <cell r="E16242" t="str">
            <v>HLOB-09-0213-00</v>
          </cell>
          <cell r="F16242">
            <v>119209631205</v>
          </cell>
        </row>
        <row r="16243">
          <cell r="E16243" t="str">
            <v>PUR-09-0213-00</v>
          </cell>
          <cell r="F16243">
            <v>119209631205</v>
          </cell>
        </row>
        <row r="16244">
          <cell r="E16244" t="str">
            <v>HLOB-09-0213-00</v>
          </cell>
          <cell r="F16244">
            <v>119209631205</v>
          </cell>
        </row>
        <row r="16245">
          <cell r="E16245" t="str">
            <v>LUC-EZZ-400291-00</v>
          </cell>
          <cell r="F16245">
            <v>119209631205</v>
          </cell>
        </row>
        <row r="16246">
          <cell r="E16246" t="str">
            <v>PUR-09-0213-00</v>
          </cell>
          <cell r="F16246">
            <v>119209631205</v>
          </cell>
        </row>
        <row r="16247">
          <cell r="E16247" t="str">
            <v>HLOB-09-0213-00</v>
          </cell>
          <cell r="F16247">
            <v>119209631205</v>
          </cell>
        </row>
        <row r="16248">
          <cell r="E16248" t="str">
            <v>PUR-09-0213-00</v>
          </cell>
          <cell r="F16248">
            <v>119209631205</v>
          </cell>
        </row>
        <row r="16249">
          <cell r="E16249" t="str">
            <v>LUC-E00-470041-00</v>
          </cell>
          <cell r="F16249">
            <v>392732033760</v>
          </cell>
        </row>
        <row r="16250">
          <cell r="E16250" t="str">
            <v>AIC-MP-00006750-000</v>
          </cell>
          <cell r="F16250">
            <v>884123336924</v>
          </cell>
        </row>
        <row r="16251">
          <cell r="E16251" t="str">
            <v>PUR-07-0333-00</v>
          </cell>
          <cell r="F16251">
            <v>884092788448</v>
          </cell>
        </row>
        <row r="16252">
          <cell r="E16252" t="str">
            <v>PUR-07-0332-00</v>
          </cell>
          <cell r="F16252">
            <v>884092788448</v>
          </cell>
        </row>
        <row r="16253">
          <cell r="E16253" t="str">
            <v>LUC-E00-470073-00</v>
          </cell>
          <cell r="F16253">
            <v>392742095299</v>
          </cell>
        </row>
        <row r="16254">
          <cell r="E16254" t="str">
            <v>LUC-E00-470001-00</v>
          </cell>
          <cell r="F16254">
            <v>392742095299</v>
          </cell>
        </row>
        <row r="16255">
          <cell r="E16255" t="str">
            <v>PUR-14-0085-00</v>
          </cell>
          <cell r="F16255">
            <v>473838398087</v>
          </cell>
        </row>
        <row r="16256">
          <cell r="E16256" t="str">
            <v>LUC-EZZ-420665-00</v>
          </cell>
          <cell r="F16256">
            <v>473838398087</v>
          </cell>
        </row>
        <row r="16257">
          <cell r="E16257" t="str">
            <v>LUC-E00-450010-00</v>
          </cell>
          <cell r="F16257">
            <v>473838398087</v>
          </cell>
        </row>
        <row r="16258">
          <cell r="E16258" t="str">
            <v>EF-45092354.X.X</v>
          </cell>
          <cell r="F16258">
            <v>473838398087</v>
          </cell>
        </row>
        <row r="16259">
          <cell r="E16259" t="str">
            <v>PUR-14-0085-00</v>
          </cell>
          <cell r="F16259">
            <v>473838398087</v>
          </cell>
        </row>
        <row r="16260">
          <cell r="E16260" t="str">
            <v>HLOB-27-0024-00</v>
          </cell>
          <cell r="F16260">
            <v>473838398087</v>
          </cell>
        </row>
        <row r="16261">
          <cell r="E16261" t="str">
            <v>LUC-E00-400034-023</v>
          </cell>
          <cell r="F16261">
            <v>473838398087</v>
          </cell>
        </row>
        <row r="16262">
          <cell r="E16262" t="str">
            <v>LUC-E00-400067-487</v>
          </cell>
          <cell r="F16262">
            <v>473838398087</v>
          </cell>
        </row>
        <row r="16263">
          <cell r="E16263" t="str">
            <v>HLOB-13-0131-00</v>
          </cell>
          <cell r="F16263">
            <v>473838398087</v>
          </cell>
        </row>
        <row r="16264">
          <cell r="E16264" t="str">
            <v>HLOB-13-0131-00</v>
          </cell>
          <cell r="F16264">
            <v>473838398087</v>
          </cell>
        </row>
        <row r="16265">
          <cell r="E16265" t="str">
            <v>EF-45114287</v>
          </cell>
          <cell r="F16265">
            <v>473838398087</v>
          </cell>
        </row>
        <row r="16266">
          <cell r="E16266" t="str">
            <v>LUC-EZZ-511304-00</v>
          </cell>
          <cell r="F16266">
            <v>473838398087</v>
          </cell>
        </row>
        <row r="16267">
          <cell r="E16267" t="str">
            <v>LUC-E00-470331-00</v>
          </cell>
          <cell r="F16267">
            <v>473838398087</v>
          </cell>
        </row>
        <row r="16268">
          <cell r="E16268" t="str">
            <v>AGI-510-40067-01</v>
          </cell>
          <cell r="F16268">
            <v>473838398087</v>
          </cell>
        </row>
        <row r="16269">
          <cell r="E16269" t="str">
            <v>AGI-510-40042-01</v>
          </cell>
          <cell r="F16269">
            <v>473838398087</v>
          </cell>
        </row>
        <row r="16270">
          <cell r="E16270" t="str">
            <v>LUC-EZZ-440036-00</v>
          </cell>
          <cell r="F16270">
            <v>473838398087</v>
          </cell>
        </row>
        <row r="16271">
          <cell r="E16271" t="str">
            <v>LUC-E00-450010-00</v>
          </cell>
          <cell r="F16271">
            <v>473838398087</v>
          </cell>
        </row>
        <row r="16272">
          <cell r="E16272" t="str">
            <v>LUC-E00-450010-00</v>
          </cell>
          <cell r="F16272">
            <v>473838398087</v>
          </cell>
        </row>
        <row r="16273">
          <cell r="E16273" t="str">
            <v>AGI-510-40042-01</v>
          </cell>
          <cell r="F16273">
            <v>473838398087</v>
          </cell>
        </row>
        <row r="16274">
          <cell r="E16274" t="str">
            <v>HLOB-27-0024-00</v>
          </cell>
          <cell r="F16274">
            <v>473838398087</v>
          </cell>
        </row>
        <row r="16275">
          <cell r="E16275" t="str">
            <v>AGI-510-40042-01</v>
          </cell>
          <cell r="F16275">
            <v>473838398087</v>
          </cell>
        </row>
        <row r="16276">
          <cell r="E16276" t="str">
            <v>AGI-510-40081-01</v>
          </cell>
          <cell r="F16276">
            <v>473838398087</v>
          </cell>
        </row>
        <row r="16277">
          <cell r="E16277" t="str">
            <v>PUR-27-0024-00</v>
          </cell>
          <cell r="F16277">
            <v>473838398087</v>
          </cell>
        </row>
        <row r="16278">
          <cell r="E16278" t="str">
            <v>AGI-510-40081-01</v>
          </cell>
          <cell r="F16278">
            <v>473838398087</v>
          </cell>
        </row>
        <row r="16279">
          <cell r="E16279" t="str">
            <v>AGI-510-40081-01</v>
          </cell>
          <cell r="F16279">
            <v>473838398087</v>
          </cell>
        </row>
        <row r="16280">
          <cell r="E16280" t="str">
            <v>AGI-510-40081-01</v>
          </cell>
          <cell r="F16280">
            <v>473838398087</v>
          </cell>
        </row>
        <row r="16281">
          <cell r="E16281" t="str">
            <v>AGI-510-40067-01</v>
          </cell>
          <cell r="F16281">
            <v>473838398087</v>
          </cell>
        </row>
        <row r="16282">
          <cell r="E16282" t="str">
            <v>EF-45174165</v>
          </cell>
          <cell r="F16282">
            <v>473838398087</v>
          </cell>
        </row>
        <row r="16283">
          <cell r="E16283" t="str">
            <v>AIC-MP-00006539-000</v>
          </cell>
          <cell r="F16283">
            <v>473838398087</v>
          </cell>
        </row>
        <row r="16284">
          <cell r="E16284" t="str">
            <v>AIC-122-004329</v>
          </cell>
          <cell r="F16284">
            <v>473838398087</v>
          </cell>
        </row>
        <row r="16285">
          <cell r="E16285" t="str">
            <v>LUC-E00-470042-00</v>
          </cell>
          <cell r="F16285">
            <v>392838786087</v>
          </cell>
        </row>
        <row r="16286">
          <cell r="E16286" t="str">
            <v>LUC-E00-470039-00</v>
          </cell>
          <cell r="F16286">
            <v>392838786087</v>
          </cell>
        </row>
        <row r="16287">
          <cell r="E16287" t="str">
            <v>LUC-E00-470039-00</v>
          </cell>
          <cell r="F16287">
            <v>392838786087</v>
          </cell>
        </row>
        <row r="16288">
          <cell r="E16288" t="str">
            <v>LUC-EZZ-470423-00</v>
          </cell>
          <cell r="F16288">
            <v>477592531710</v>
          </cell>
        </row>
        <row r="16289">
          <cell r="E16289" t="str">
            <v>LUC-EZZ-470191-00</v>
          </cell>
          <cell r="F16289" t="str">
            <v>WTPTXGHPH250530</v>
          </cell>
        </row>
        <row r="16290">
          <cell r="E16290" t="str">
            <v>LUC-EZZ-510199-00</v>
          </cell>
          <cell r="F16290" t="str">
            <v>WTPTXGHPH250530</v>
          </cell>
        </row>
        <row r="16291">
          <cell r="E16291" t="str">
            <v>LUC-EZZ-420179-00</v>
          </cell>
          <cell r="F16291" t="str">
            <v>WTPTXGHPH250530</v>
          </cell>
        </row>
        <row r="16292">
          <cell r="E16292" t="str">
            <v>LUC-EZZ-691595-00</v>
          </cell>
          <cell r="F16292" t="str">
            <v>WTPTXGHPH250530</v>
          </cell>
        </row>
        <row r="16293">
          <cell r="E16293" t="str">
            <v>LUC-EZZ-400278-00</v>
          </cell>
          <cell r="F16293" t="str">
            <v>WTPTXGHPH250530</v>
          </cell>
        </row>
        <row r="16294">
          <cell r="E16294" t="str">
            <v>LUC-P11-JA4100-00</v>
          </cell>
          <cell r="F16294" t="str">
            <v>WTPTXGHPH250530</v>
          </cell>
        </row>
        <row r="16295">
          <cell r="E16295" t="str">
            <v>LUC-EZZ-480024-00</v>
          </cell>
          <cell r="F16295" t="str">
            <v>WTPTXGHPH250530</v>
          </cell>
        </row>
        <row r="16296">
          <cell r="E16296" t="str">
            <v>LUC-P11-K2B300-03</v>
          </cell>
          <cell r="F16296" t="str">
            <v>WTPTXGHPH250530</v>
          </cell>
        </row>
        <row r="16297">
          <cell r="E16297" t="str">
            <v>LUC-EZZ-400766-00</v>
          </cell>
          <cell r="F16297" t="str">
            <v>WTPTXGHPH250530</v>
          </cell>
        </row>
        <row r="16298">
          <cell r="E16298" t="str">
            <v>LUC-E00-460023-00</v>
          </cell>
          <cell r="F16298" t="str">
            <v>WTPTXGHPH250530</v>
          </cell>
        </row>
        <row r="16299">
          <cell r="E16299" t="str">
            <v>LUC-EZZ-690708-00</v>
          </cell>
          <cell r="F16299" t="str">
            <v>WTPTXGHPH250530</v>
          </cell>
        </row>
        <row r="16300">
          <cell r="E16300" t="str">
            <v>LUC-P11-K41G00-00</v>
          </cell>
          <cell r="F16300" t="str">
            <v>WTPTXGHPH250530</v>
          </cell>
        </row>
        <row r="16301">
          <cell r="E16301" t="str">
            <v>LUC-EZZ-400434-00</v>
          </cell>
          <cell r="F16301" t="str">
            <v>WTPTXGHPH250530</v>
          </cell>
        </row>
        <row r="16302">
          <cell r="E16302" t="str">
            <v>LUC-E00-470048-00</v>
          </cell>
          <cell r="F16302" t="str">
            <v>WTPTXGHPH250530</v>
          </cell>
        </row>
        <row r="16303">
          <cell r="E16303" t="str">
            <v>LUC-E00-460009-00</v>
          </cell>
          <cell r="F16303" t="str">
            <v>WTPTXGHPH250530</v>
          </cell>
        </row>
        <row r="16304">
          <cell r="E16304" t="str">
            <v>LUC-EZZ-690942-00</v>
          </cell>
          <cell r="F16304" t="str">
            <v>WTPTXGHPH250530</v>
          </cell>
        </row>
        <row r="16305">
          <cell r="E16305" t="str">
            <v>LUC-E00-460001-01</v>
          </cell>
          <cell r="F16305" t="str">
            <v>WTPTXGHPH250530</v>
          </cell>
        </row>
        <row r="16306">
          <cell r="E16306" t="str">
            <v>LUC-EZZ-450019-00</v>
          </cell>
          <cell r="F16306" t="str">
            <v>WTPTXGHPH250530</v>
          </cell>
        </row>
        <row r="16307">
          <cell r="E16307" t="str">
            <v>LUC-P00-F18AAG-00</v>
          </cell>
          <cell r="F16307" t="str">
            <v>WTPTXGHPH250530</v>
          </cell>
        </row>
        <row r="16308">
          <cell r="E16308" t="str">
            <v>LUC-EZZ-440018-00</v>
          </cell>
          <cell r="F16308" t="str">
            <v>WTPTXGHPH250530</v>
          </cell>
        </row>
        <row r="16309">
          <cell r="E16309" t="str">
            <v>LUC-EZZ-440099-00</v>
          </cell>
          <cell r="F16309" t="str">
            <v>WTPTXGHPH250530</v>
          </cell>
        </row>
        <row r="16310">
          <cell r="E16310" t="str">
            <v>LUC-EZZ-451660-00</v>
          </cell>
          <cell r="F16310" t="str">
            <v>WTPTXGHPH250530</v>
          </cell>
        </row>
        <row r="16311">
          <cell r="E16311" t="str">
            <v>LUC-EZZ-440100-00</v>
          </cell>
          <cell r="F16311" t="str">
            <v>WTPTXGHPH250530</v>
          </cell>
        </row>
        <row r="16312">
          <cell r="E16312" t="str">
            <v>LUC-EZZ-440189-00</v>
          </cell>
          <cell r="F16312" t="str">
            <v>WTPTXGHPH250530</v>
          </cell>
        </row>
        <row r="16313">
          <cell r="E16313" t="str">
            <v>LUC-E00-420047-02</v>
          </cell>
          <cell r="F16313" t="str">
            <v>WTPTXGHPH250530</v>
          </cell>
        </row>
        <row r="16314">
          <cell r="E16314" t="str">
            <v>LUC-EZZ-421252-00</v>
          </cell>
          <cell r="F16314" t="str">
            <v>WTPTXGHPH250530</v>
          </cell>
        </row>
        <row r="16315">
          <cell r="E16315" t="str">
            <v>LUC-EZZ-450179-00</v>
          </cell>
          <cell r="F16315" t="str">
            <v>WTPTXGHPH250530</v>
          </cell>
        </row>
        <row r="16316">
          <cell r="E16316" t="str">
            <v>LUC-EZZ-420095-00</v>
          </cell>
          <cell r="F16316" t="str">
            <v>WTPTXGHPH250530</v>
          </cell>
        </row>
        <row r="16317">
          <cell r="E16317" t="str">
            <v>LUC-EZZ-420188-00</v>
          </cell>
          <cell r="F16317" t="str">
            <v>WTPTXGHPH250530</v>
          </cell>
        </row>
        <row r="16318">
          <cell r="E16318" t="str">
            <v>LUC-E00-420011-05</v>
          </cell>
          <cell r="F16318" t="str">
            <v>WTPTXGHPH250530</v>
          </cell>
        </row>
        <row r="16319">
          <cell r="E16319" t="str">
            <v>LUC-E00-420049-00</v>
          </cell>
          <cell r="F16319" t="str">
            <v>WTPTXGHPH250530</v>
          </cell>
        </row>
        <row r="16320">
          <cell r="E16320" t="str">
            <v>LUC-EZZ-420866-00</v>
          </cell>
          <cell r="F16320" t="str">
            <v>WTPTXGHPH250530</v>
          </cell>
        </row>
        <row r="16321">
          <cell r="E16321" t="str">
            <v>LUC-EZZ-510048-00</v>
          </cell>
          <cell r="F16321" t="str">
            <v>WTPTXGHPH250530</v>
          </cell>
        </row>
        <row r="16322">
          <cell r="E16322" t="str">
            <v>LUC-E00-450066-00</v>
          </cell>
          <cell r="F16322" t="str">
            <v>WTPTXGHPH250530</v>
          </cell>
        </row>
        <row r="16323">
          <cell r="E16323" t="str">
            <v>LUC-EZZ-450618-00</v>
          </cell>
          <cell r="F16323" t="str">
            <v>WTPTXGHPH250530</v>
          </cell>
        </row>
        <row r="16324">
          <cell r="E16324" t="str">
            <v>LUC-EZZ-510077-00</v>
          </cell>
          <cell r="F16324" t="str">
            <v>WTPTXGHPH250530</v>
          </cell>
        </row>
        <row r="16325">
          <cell r="E16325" t="str">
            <v>LUC-E00-420047-02</v>
          </cell>
          <cell r="F16325" t="str">
            <v>WTPTXGHPH250530</v>
          </cell>
        </row>
        <row r="16326">
          <cell r="E16326" t="str">
            <v>LUC-EZZ-421281-00</v>
          </cell>
          <cell r="F16326" t="str">
            <v>WTPTXGHPH250530</v>
          </cell>
        </row>
        <row r="16327">
          <cell r="E16327" t="str">
            <v>LUC-EZZ-511370-00</v>
          </cell>
          <cell r="F16327" t="str">
            <v>WTPTXGHPH250530</v>
          </cell>
        </row>
        <row r="16328">
          <cell r="E16328" t="str">
            <v>LUC-EZZ-420123-00</v>
          </cell>
          <cell r="F16328" t="str">
            <v>WTPTXGHPH250530</v>
          </cell>
        </row>
        <row r="16329">
          <cell r="E16329" t="str">
            <v>LUC-EZZ-420210-00</v>
          </cell>
          <cell r="F16329" t="str">
            <v>WTPTXGHPH250530</v>
          </cell>
        </row>
        <row r="16330">
          <cell r="E16330" t="str">
            <v>LUC-EZZ-400041-00</v>
          </cell>
          <cell r="F16330" t="str">
            <v>WTPTXGHPH250530</v>
          </cell>
        </row>
        <row r="16331">
          <cell r="E16331" t="str">
            <v>LUC-EZZ-470236-00</v>
          </cell>
          <cell r="F16331" t="str">
            <v>WTPTXGHPH250530</v>
          </cell>
        </row>
        <row r="16332">
          <cell r="E16332" t="str">
            <v>LUC-E00-420019-01</v>
          </cell>
          <cell r="F16332" t="str">
            <v>WTPTXGHPH250530</v>
          </cell>
        </row>
        <row r="16333">
          <cell r="E16333" t="str">
            <v>LUC-E00-440011-00</v>
          </cell>
          <cell r="F16333" t="str">
            <v>WTPTXGHPH250530</v>
          </cell>
        </row>
        <row r="16334">
          <cell r="E16334" t="str">
            <v>LUC-EZZ-440202-00</v>
          </cell>
          <cell r="F16334" t="str">
            <v>WTPTXGHPH250530</v>
          </cell>
        </row>
        <row r="16335">
          <cell r="E16335" t="str">
            <v>LUC-EZZ-440169-00</v>
          </cell>
          <cell r="F16335" t="str">
            <v>WTPTXGHPH250530</v>
          </cell>
        </row>
        <row r="16336">
          <cell r="E16336" t="str">
            <v>LUC-EZZ-440176-00</v>
          </cell>
          <cell r="F16336" t="str">
            <v>WTPTXGHPH250530</v>
          </cell>
        </row>
        <row r="16337">
          <cell r="E16337" t="str">
            <v>LUC-EZZ-470155-00</v>
          </cell>
          <cell r="F16337" t="str">
            <v>WTPTXGHPH250530</v>
          </cell>
        </row>
        <row r="16338">
          <cell r="E16338" t="str">
            <v>LUC-E00-470032-00</v>
          </cell>
          <cell r="F16338" t="str">
            <v>WTPTXGHPH250530</v>
          </cell>
        </row>
        <row r="16339">
          <cell r="E16339" t="str">
            <v>LUC-E00-510015-00</v>
          </cell>
          <cell r="F16339" t="str">
            <v>WTPTXGHPH250530</v>
          </cell>
        </row>
        <row r="16340">
          <cell r="E16340" t="str">
            <v>LUC-EZZ-510081-00</v>
          </cell>
          <cell r="F16340" t="str">
            <v>WTPTXGHPH250530</v>
          </cell>
        </row>
        <row r="16341">
          <cell r="E16341" t="str">
            <v>LUC-E00-450026-00</v>
          </cell>
          <cell r="F16341" t="str">
            <v>WTPTXGHPH250530</v>
          </cell>
        </row>
        <row r="16342">
          <cell r="E16342" t="str">
            <v>LUC-EZZ-690175-00</v>
          </cell>
          <cell r="F16342" t="str">
            <v>WTPTXGHPH250530</v>
          </cell>
        </row>
        <row r="16343">
          <cell r="E16343" t="str">
            <v>LUC-EZZ-420151-00</v>
          </cell>
          <cell r="F16343" t="str">
            <v>WTPTXGHPH250530</v>
          </cell>
        </row>
        <row r="16344">
          <cell r="E16344" t="str">
            <v>LUC-EZZ-420172-00</v>
          </cell>
          <cell r="F16344" t="str">
            <v>WTPTXGHPH250530</v>
          </cell>
        </row>
        <row r="16345">
          <cell r="E16345" t="str">
            <v>LUC-P11-K33C00-02</v>
          </cell>
          <cell r="F16345" t="str">
            <v>WTPTXGHPH250530</v>
          </cell>
        </row>
        <row r="16346">
          <cell r="E16346" t="str">
            <v>LUC-P21-K2C400-02</v>
          </cell>
          <cell r="F16346" t="str">
            <v>BSJNB0087082</v>
          </cell>
        </row>
        <row r="16347">
          <cell r="E16347" t="str">
            <v>LUC-P21-K2C400-02</v>
          </cell>
          <cell r="F16347" t="str">
            <v>BSJNB0087082</v>
          </cell>
        </row>
        <row r="16348">
          <cell r="E16348" t="str">
            <v>LUC-P21-K61100-02</v>
          </cell>
          <cell r="F16348" t="str">
            <v>BSJNB0087082</v>
          </cell>
        </row>
        <row r="16349">
          <cell r="E16349" t="str">
            <v>LUC-P21-K61100-02</v>
          </cell>
          <cell r="F16349" t="str">
            <v>BSJNB0087082</v>
          </cell>
        </row>
        <row r="16350">
          <cell r="E16350" t="str">
            <v>LUC-P21-K61100-02</v>
          </cell>
          <cell r="F16350" t="str">
            <v>BSJNB0087082</v>
          </cell>
        </row>
        <row r="16351">
          <cell r="E16351" t="str">
            <v>AIC-MP-OT007180-S01</v>
          </cell>
          <cell r="F16351" t="str">
            <v>PSHPH2590003</v>
          </cell>
        </row>
        <row r="16352">
          <cell r="E16352" t="str">
            <v>AIC-MP-OT007146-S01</v>
          </cell>
          <cell r="F16352" t="str">
            <v>PSHPH2590003</v>
          </cell>
        </row>
        <row r="16353">
          <cell r="E16353" t="str">
            <v>AIC-MP-OT007145-S01</v>
          </cell>
          <cell r="F16353" t="str">
            <v>PSHPH2590003</v>
          </cell>
        </row>
        <row r="16354">
          <cell r="E16354" t="str">
            <v>AIC-120-012786</v>
          </cell>
          <cell r="F16354" t="str">
            <v>PSHPH2590003</v>
          </cell>
        </row>
        <row r="16355">
          <cell r="E16355" t="str">
            <v>AIC-MP-OT006848-S01</v>
          </cell>
          <cell r="F16355" t="str">
            <v>PSHPH2590003</v>
          </cell>
        </row>
        <row r="16356">
          <cell r="E16356" t="str">
            <v>LUC-E00-400050-01</v>
          </cell>
          <cell r="F16356">
            <v>392909661308</v>
          </cell>
        </row>
        <row r="16357">
          <cell r="E16357" t="str">
            <v>LUC-E00-690030-03</v>
          </cell>
          <cell r="F16357">
            <v>445170574619</v>
          </cell>
        </row>
        <row r="16358">
          <cell r="E16358" t="str">
            <v>102-001668</v>
          </cell>
          <cell r="F16358" t="str">
            <v>HDLCA102829</v>
          </cell>
        </row>
        <row r="16359">
          <cell r="E16359" t="str">
            <v>LUC-EZZ-400226-00</v>
          </cell>
          <cell r="F16359">
            <v>479224607833</v>
          </cell>
        </row>
        <row r="16360">
          <cell r="E16360" t="str">
            <v>LUC-E00-440148-00</v>
          </cell>
          <cell r="F16360">
            <v>650969651657</v>
          </cell>
        </row>
        <row r="16361">
          <cell r="E16361" t="str">
            <v>EF-45112739</v>
          </cell>
          <cell r="F16361">
            <v>392947707094</v>
          </cell>
        </row>
        <row r="16362">
          <cell r="E16362" t="str">
            <v>EF-45112739</v>
          </cell>
          <cell r="F16362">
            <v>392947707094</v>
          </cell>
        </row>
        <row r="16363">
          <cell r="E16363" t="str">
            <v>LUC-E00-470028-00</v>
          </cell>
          <cell r="F16363">
            <v>445170567168</v>
          </cell>
        </row>
        <row r="16364">
          <cell r="E16364" t="str">
            <v>HLOB-12-0407-00</v>
          </cell>
          <cell r="F16364">
            <v>445170569171</v>
          </cell>
        </row>
        <row r="16365">
          <cell r="E16365" t="str">
            <v>HLOB-09-0424-00</v>
          </cell>
          <cell r="F16365">
            <v>445170571517</v>
          </cell>
        </row>
        <row r="16366">
          <cell r="E16366" t="str">
            <v>HLOB-09-0424-00</v>
          </cell>
          <cell r="F16366">
            <v>445170571517</v>
          </cell>
        </row>
        <row r="16367">
          <cell r="E16367" t="str">
            <v>HLOB-14-0087-00</v>
          </cell>
          <cell r="F16367">
            <v>445170571403</v>
          </cell>
        </row>
        <row r="16368">
          <cell r="E16368" t="str">
            <v>EF-45060510.X.X</v>
          </cell>
          <cell r="F16368">
            <v>479224590812</v>
          </cell>
        </row>
        <row r="16369">
          <cell r="E16369" t="str">
            <v>LUC-EZZ-400226-00</v>
          </cell>
          <cell r="F16369">
            <v>479224606859</v>
          </cell>
        </row>
        <row r="16370">
          <cell r="E16370" t="str">
            <v>LUC-E00-440032-01</v>
          </cell>
          <cell r="F16370">
            <v>409298800553</v>
          </cell>
        </row>
        <row r="16371">
          <cell r="E16371" t="str">
            <v>LUC-E00-440144-00</v>
          </cell>
          <cell r="F16371">
            <v>409298800553</v>
          </cell>
        </row>
        <row r="16372">
          <cell r="E16372" t="str">
            <v>LUC-E00-420055-00</v>
          </cell>
          <cell r="F16372">
            <v>409298800553</v>
          </cell>
        </row>
        <row r="16373">
          <cell r="E16373" t="str">
            <v>LUC-E00-420055-00</v>
          </cell>
          <cell r="F16373">
            <v>409298800553</v>
          </cell>
        </row>
        <row r="16374">
          <cell r="E16374" t="str">
            <v>LUC-E00-420002-03</v>
          </cell>
          <cell r="F16374">
            <v>409298800553</v>
          </cell>
        </row>
        <row r="16375">
          <cell r="E16375" t="str">
            <v>LUC-E00-440012-00</v>
          </cell>
          <cell r="F16375">
            <v>409298800553</v>
          </cell>
        </row>
        <row r="16376">
          <cell r="E16376" t="str">
            <v>EF-45046948.X.X</v>
          </cell>
          <cell r="F16376">
            <v>409298800553</v>
          </cell>
        </row>
        <row r="16377">
          <cell r="E16377" t="str">
            <v>LUC-E00-420034-01</v>
          </cell>
          <cell r="F16377">
            <v>409298800553</v>
          </cell>
        </row>
        <row r="16378">
          <cell r="E16378" t="str">
            <v>LUC-EZZ-420098-00</v>
          </cell>
          <cell r="F16378">
            <v>409298800553</v>
          </cell>
        </row>
        <row r="16379">
          <cell r="E16379" t="str">
            <v>LUC-EZZ-420098-00</v>
          </cell>
          <cell r="F16379">
            <v>409298800553</v>
          </cell>
        </row>
        <row r="16380">
          <cell r="E16380" t="str">
            <v>LUC-EZZ-420098-00</v>
          </cell>
          <cell r="F16380">
            <v>409298800553</v>
          </cell>
        </row>
        <row r="16381">
          <cell r="E16381" t="str">
            <v>LUC-EZZ-420098-00</v>
          </cell>
          <cell r="F16381">
            <v>409298800553</v>
          </cell>
        </row>
        <row r="16382">
          <cell r="E16382" t="str">
            <v>EF-45046948.X.X</v>
          </cell>
          <cell r="F16382">
            <v>409298800553</v>
          </cell>
        </row>
        <row r="16383">
          <cell r="E16383" t="str">
            <v>LUC-EZZ-420098-00</v>
          </cell>
          <cell r="F16383">
            <v>409298800553</v>
          </cell>
        </row>
        <row r="16384">
          <cell r="E16384" t="str">
            <v>LUC-E00-690214-00</v>
          </cell>
          <cell r="F16384">
            <v>475843430096</v>
          </cell>
        </row>
        <row r="16385">
          <cell r="E16385" t="str">
            <v>LUC-E00-470071-00</v>
          </cell>
          <cell r="F16385">
            <v>392934566742</v>
          </cell>
        </row>
        <row r="16386">
          <cell r="E16386" t="str">
            <v>LUC-E00-420238-00</v>
          </cell>
          <cell r="F16386">
            <v>4711879508</v>
          </cell>
        </row>
        <row r="16387">
          <cell r="E16387" t="str">
            <v>LUC-E00-420028-00</v>
          </cell>
          <cell r="F16387">
            <v>4711879508</v>
          </cell>
        </row>
        <row r="16388">
          <cell r="E16388" t="str">
            <v>LUC-E00-690001-00</v>
          </cell>
          <cell r="F16388">
            <v>4711879508</v>
          </cell>
        </row>
        <row r="16389">
          <cell r="E16389" t="str">
            <v>LUC-E00-400011-005</v>
          </cell>
          <cell r="F16389">
            <v>4711879508</v>
          </cell>
        </row>
        <row r="16390">
          <cell r="E16390" t="str">
            <v>LUC-E00-510034-00</v>
          </cell>
          <cell r="F16390">
            <v>4711879508</v>
          </cell>
        </row>
        <row r="16391">
          <cell r="E16391" t="str">
            <v>LUC-EZZ-400011-00</v>
          </cell>
          <cell r="F16391">
            <v>4711879508</v>
          </cell>
        </row>
        <row r="16392">
          <cell r="E16392" t="str">
            <v>LUC-EZZ-470093-00</v>
          </cell>
          <cell r="F16392">
            <v>4711879508</v>
          </cell>
        </row>
        <row r="16393">
          <cell r="E16393" t="str">
            <v>LUC-EZZ-470305-00</v>
          </cell>
          <cell r="F16393">
            <v>4711879508</v>
          </cell>
        </row>
        <row r="16394">
          <cell r="E16394" t="str">
            <v>LUC-E00-420011-04</v>
          </cell>
          <cell r="F16394">
            <v>4711879508</v>
          </cell>
        </row>
        <row r="16395">
          <cell r="E16395" t="str">
            <v>LUC-E00-420238-00</v>
          </cell>
          <cell r="F16395">
            <v>4711879508</v>
          </cell>
        </row>
        <row r="16396">
          <cell r="E16396" t="str">
            <v>LUC-EZZ-440200-00</v>
          </cell>
          <cell r="F16396">
            <v>4711879508</v>
          </cell>
        </row>
        <row r="16397">
          <cell r="E16397" t="str">
            <v>LUC-EZZ-400011-00</v>
          </cell>
          <cell r="F16397">
            <v>4711879508</v>
          </cell>
        </row>
        <row r="16398">
          <cell r="E16398" t="str">
            <v>LUC-EZZ-510030-00</v>
          </cell>
          <cell r="F16398">
            <v>4711879508</v>
          </cell>
        </row>
        <row r="16399">
          <cell r="E16399" t="str">
            <v>LUC-E00-510046-00</v>
          </cell>
          <cell r="F16399">
            <v>4711879508</v>
          </cell>
        </row>
        <row r="16400">
          <cell r="E16400" t="str">
            <v>LUC-EZZ-470297-00</v>
          </cell>
          <cell r="F16400">
            <v>4711879508</v>
          </cell>
        </row>
        <row r="16401">
          <cell r="E16401" t="str">
            <v>LUC-E00-400010-008</v>
          </cell>
          <cell r="F16401">
            <v>4711879508</v>
          </cell>
        </row>
        <row r="16402">
          <cell r="E16402" t="str">
            <v>LUC-E00-470042-00</v>
          </cell>
          <cell r="F16402">
            <v>4711879508</v>
          </cell>
        </row>
        <row r="16403">
          <cell r="E16403" t="str">
            <v>LUC-E00-470086-00</v>
          </cell>
          <cell r="F16403">
            <v>4711879508</v>
          </cell>
        </row>
        <row r="16404">
          <cell r="E16404" t="str">
            <v>HLOB-09-0477-00</v>
          </cell>
          <cell r="F16404">
            <v>4711879508</v>
          </cell>
        </row>
        <row r="16405">
          <cell r="E16405" t="str">
            <v>EF-45047095</v>
          </cell>
          <cell r="F16405">
            <v>4711879508</v>
          </cell>
        </row>
        <row r="16406">
          <cell r="E16406" t="str">
            <v>LUC-EZZ-470093-00</v>
          </cell>
          <cell r="F16406">
            <v>4711879508</v>
          </cell>
        </row>
        <row r="16407">
          <cell r="E16407" t="str">
            <v>LUC-E00-470473-00</v>
          </cell>
          <cell r="F16407">
            <v>4711879508</v>
          </cell>
        </row>
        <row r="16408">
          <cell r="E16408" t="str">
            <v>LUC-E00-470272-01</v>
          </cell>
          <cell r="F16408">
            <v>4711879508</v>
          </cell>
        </row>
        <row r="16409">
          <cell r="E16409" t="str">
            <v>PUR-09-0433-00</v>
          </cell>
          <cell r="F16409">
            <v>4711879508</v>
          </cell>
        </row>
        <row r="16410">
          <cell r="E16410" t="str">
            <v>LUC-E00-470085-00</v>
          </cell>
          <cell r="F16410">
            <v>4711879508</v>
          </cell>
        </row>
        <row r="16411">
          <cell r="E16411" t="str">
            <v>LUC-E00-440013-00</v>
          </cell>
          <cell r="F16411">
            <v>4711879554</v>
          </cell>
        </row>
        <row r="16412">
          <cell r="E16412" t="str">
            <v>LUC-E00-440013-01</v>
          </cell>
          <cell r="F16412">
            <v>4711879554</v>
          </cell>
        </row>
        <row r="16413">
          <cell r="E16413" t="str">
            <v>LUC-E00-440014-00</v>
          </cell>
          <cell r="F16413">
            <v>4711879554</v>
          </cell>
        </row>
        <row r="16414">
          <cell r="E16414" t="str">
            <v>LUC-E00-440014-01</v>
          </cell>
          <cell r="F16414">
            <v>4711879554</v>
          </cell>
        </row>
        <row r="16415">
          <cell r="E16415" t="str">
            <v>LUC-E00-440046-00</v>
          </cell>
          <cell r="F16415">
            <v>4711879554</v>
          </cell>
        </row>
        <row r="16416">
          <cell r="E16416" t="str">
            <v>LUC-E00-440072-01</v>
          </cell>
          <cell r="F16416">
            <v>4711879554</v>
          </cell>
        </row>
        <row r="16417">
          <cell r="E16417" t="str">
            <v>LUC-EZZ-440018-00</v>
          </cell>
          <cell r="F16417">
            <v>4711879554</v>
          </cell>
        </row>
        <row r="16418">
          <cell r="E16418" t="str">
            <v>LUC-EZZ-440018-00</v>
          </cell>
          <cell r="F16418">
            <v>4711879554</v>
          </cell>
        </row>
        <row r="16419">
          <cell r="E16419" t="str">
            <v>LUC-EZZ-440028-00</v>
          </cell>
          <cell r="F16419">
            <v>4711879554</v>
          </cell>
        </row>
        <row r="16420">
          <cell r="E16420" t="str">
            <v>LUC-EZZ-440031-00</v>
          </cell>
          <cell r="F16420">
            <v>4711879554</v>
          </cell>
        </row>
        <row r="16421">
          <cell r="E16421" t="str">
            <v>LUC-EZZ-440031-00</v>
          </cell>
          <cell r="F16421">
            <v>4711879554</v>
          </cell>
        </row>
        <row r="16422">
          <cell r="E16422" t="str">
            <v>LUC-EZZ-440078-01</v>
          </cell>
          <cell r="F16422">
            <v>4711879554</v>
          </cell>
        </row>
        <row r="16423">
          <cell r="E16423" t="str">
            <v>LUC-EZZ-440162-00</v>
          </cell>
          <cell r="F16423">
            <v>4711879554</v>
          </cell>
        </row>
        <row r="16424">
          <cell r="E16424" t="str">
            <v>LUC-EZZ-440162-00</v>
          </cell>
          <cell r="F16424">
            <v>4711879554</v>
          </cell>
        </row>
        <row r="16425">
          <cell r="E16425" t="str">
            <v>LUC-EZZ-440911-00</v>
          </cell>
          <cell r="F16425">
            <v>4711879554</v>
          </cell>
        </row>
        <row r="16426">
          <cell r="E16426" t="str">
            <v>LUC-EZZ-440030-00</v>
          </cell>
          <cell r="F16426">
            <v>4711879554</v>
          </cell>
        </row>
        <row r="16427">
          <cell r="E16427" t="str">
            <v>LUC-EZZ-440030-00</v>
          </cell>
          <cell r="F16427">
            <v>4711879554</v>
          </cell>
        </row>
        <row r="16428">
          <cell r="E16428" t="str">
            <v>LUC-EZZ-440032-00</v>
          </cell>
          <cell r="F16428">
            <v>4711879554</v>
          </cell>
        </row>
        <row r="16429">
          <cell r="E16429" t="str">
            <v>LUC-EZZ-440032-00</v>
          </cell>
          <cell r="F16429">
            <v>4711879554</v>
          </cell>
        </row>
        <row r="16430">
          <cell r="E16430" t="str">
            <v>LUC-EZZ-440090-00</v>
          </cell>
          <cell r="F16430">
            <v>4711879554</v>
          </cell>
        </row>
        <row r="16431">
          <cell r="E16431" t="str">
            <v>LUC-EZZ-440090-00</v>
          </cell>
          <cell r="F16431">
            <v>4711879554</v>
          </cell>
        </row>
        <row r="16432">
          <cell r="E16432" t="str">
            <v>LUC-E00-440077-02</v>
          </cell>
          <cell r="F16432">
            <v>4711879554</v>
          </cell>
        </row>
        <row r="16433">
          <cell r="E16433" t="str">
            <v>LUC-EZZ-440099-00</v>
          </cell>
          <cell r="F16433">
            <v>4711879554</v>
          </cell>
        </row>
        <row r="16434">
          <cell r="E16434" t="str">
            <v>LUC-P00-F856AY-01</v>
          </cell>
          <cell r="F16434">
            <v>4720745727</v>
          </cell>
        </row>
        <row r="16435">
          <cell r="E16435" t="str">
            <v>LUC-P21-K2B300-00</v>
          </cell>
          <cell r="F16435">
            <v>4720745727</v>
          </cell>
        </row>
        <row r="16436">
          <cell r="E16436" t="str">
            <v>LUC-P00-F260CG-00</v>
          </cell>
          <cell r="F16436">
            <v>4720745727</v>
          </cell>
        </row>
        <row r="16437">
          <cell r="E16437" t="str">
            <v>LUC-P00-F189AG-00</v>
          </cell>
          <cell r="F16437">
            <v>4720745727</v>
          </cell>
        </row>
        <row r="16438">
          <cell r="E16438" t="str">
            <v>LUC-P00-F193DG-00</v>
          </cell>
          <cell r="F16438">
            <v>4720745727</v>
          </cell>
        </row>
        <row r="16439">
          <cell r="E16439" t="str">
            <v>LUC-P00-F134CG-00</v>
          </cell>
          <cell r="F16439">
            <v>4720745727</v>
          </cell>
        </row>
        <row r="16440">
          <cell r="E16440" t="str">
            <v>141-002674</v>
          </cell>
          <cell r="F16440">
            <v>4914951546</v>
          </cell>
        </row>
        <row r="16441">
          <cell r="E16441" t="str">
            <v>141-001538</v>
          </cell>
          <cell r="F16441">
            <v>4914951546</v>
          </cell>
        </row>
        <row r="16442">
          <cell r="E16442" t="str">
            <v>141-001583</v>
          </cell>
          <cell r="F16442">
            <v>4914951546</v>
          </cell>
        </row>
        <row r="16443">
          <cell r="E16443" t="str">
            <v>LUC-EZZ-470421-00</v>
          </cell>
          <cell r="F16443">
            <v>393000351759</v>
          </cell>
        </row>
        <row r="16444">
          <cell r="E16444" t="str">
            <v>LUC-EZZ-470128-00</v>
          </cell>
          <cell r="F16444">
            <v>392998914380</v>
          </cell>
        </row>
        <row r="16445">
          <cell r="E16445" t="str">
            <v>LUC-EZZ-690243-00</v>
          </cell>
          <cell r="F16445">
            <v>392886003142</v>
          </cell>
        </row>
        <row r="16446">
          <cell r="E16446" t="str">
            <v>EF-45127244.X.X</v>
          </cell>
          <cell r="F16446">
            <v>469369167188</v>
          </cell>
        </row>
        <row r="16447">
          <cell r="E16447" t="str">
            <v>AIC-MP-CN007105-S01</v>
          </cell>
          <cell r="F16447">
            <v>884175892671</v>
          </cell>
        </row>
        <row r="16448">
          <cell r="E16448" t="str">
            <v>102-001672</v>
          </cell>
          <cell r="F16448">
            <v>416885669640</v>
          </cell>
        </row>
        <row r="16449">
          <cell r="E16449" t="str">
            <v>102-001672</v>
          </cell>
          <cell r="F16449">
            <v>416885669640</v>
          </cell>
        </row>
        <row r="16450">
          <cell r="E16450" t="str">
            <v>LUC-E00-470060-00</v>
          </cell>
          <cell r="F16450">
            <v>884178846340</v>
          </cell>
        </row>
        <row r="16451">
          <cell r="E16451" t="str">
            <v>LUC-E00-470060-00</v>
          </cell>
          <cell r="F16451">
            <v>884178846340</v>
          </cell>
        </row>
        <row r="16452">
          <cell r="E16452" t="str">
            <v>LUC-E00-470089-00</v>
          </cell>
          <cell r="F16452">
            <v>884178846340</v>
          </cell>
        </row>
        <row r="16453">
          <cell r="E16453" t="str">
            <v>LUC-EZZ-450070-00</v>
          </cell>
          <cell r="F16453">
            <v>619345529424</v>
          </cell>
        </row>
        <row r="16454">
          <cell r="E16454" t="str">
            <v>LUC-EZZ-450070-00</v>
          </cell>
          <cell r="F16454">
            <v>619345529424</v>
          </cell>
        </row>
        <row r="16455">
          <cell r="E16455" t="str">
            <v>LUC-EZZ-450070-00</v>
          </cell>
          <cell r="F16455">
            <v>619345529424</v>
          </cell>
        </row>
        <row r="16456">
          <cell r="E16456" t="str">
            <v>LUC-EZZ-450070-00</v>
          </cell>
          <cell r="F16456">
            <v>619345529424</v>
          </cell>
        </row>
        <row r="16457">
          <cell r="E16457" t="str">
            <v>LUC-EZZ-450070-00</v>
          </cell>
          <cell r="F16457">
            <v>619345529424</v>
          </cell>
        </row>
        <row r="16458">
          <cell r="E16458" t="str">
            <v>LUC-EZZ-450070-00</v>
          </cell>
          <cell r="F16458">
            <v>619345529424</v>
          </cell>
        </row>
        <row r="16459">
          <cell r="E16459" t="str">
            <v>LUC-EZZ-450070-00</v>
          </cell>
          <cell r="F16459">
            <v>619345529424</v>
          </cell>
        </row>
        <row r="16460">
          <cell r="E16460" t="str">
            <v>LUC-EZZ-450070-00</v>
          </cell>
          <cell r="F16460">
            <v>619345529424</v>
          </cell>
        </row>
        <row r="16461">
          <cell r="E16461" t="str">
            <v>LUC-EZZ-450070-00</v>
          </cell>
          <cell r="F16461">
            <v>619345529424</v>
          </cell>
        </row>
        <row r="16462">
          <cell r="E16462" t="str">
            <v>LUC-EZZ-480893-00</v>
          </cell>
          <cell r="F16462">
            <v>619345529424</v>
          </cell>
        </row>
        <row r="16463">
          <cell r="E16463" t="str">
            <v>110-000101</v>
          </cell>
          <cell r="F16463">
            <v>475888703567</v>
          </cell>
        </row>
        <row r="16464">
          <cell r="E16464" t="str">
            <v>134-001613</v>
          </cell>
          <cell r="F16464">
            <v>475888703567</v>
          </cell>
        </row>
        <row r="16465">
          <cell r="E16465" t="str">
            <v>LUC-E00-460018-00</v>
          </cell>
          <cell r="F16465">
            <v>475888703567</v>
          </cell>
        </row>
        <row r="16466">
          <cell r="E16466" t="str">
            <v>LUC-E00-460018-00</v>
          </cell>
          <cell r="F16466">
            <v>475888703567</v>
          </cell>
        </row>
        <row r="16467">
          <cell r="E16467" t="str">
            <v>121-000451.X.X</v>
          </cell>
          <cell r="F16467">
            <v>475888703567</v>
          </cell>
        </row>
        <row r="16468">
          <cell r="E16468" t="str">
            <v>121-001409</v>
          </cell>
          <cell r="F16468">
            <v>475888703567</v>
          </cell>
        </row>
        <row r="16469">
          <cell r="E16469" t="str">
            <v>122-000439.X.X</v>
          </cell>
          <cell r="F16469">
            <v>475888703567</v>
          </cell>
        </row>
        <row r="16470">
          <cell r="E16470" t="str">
            <v>LUC-EZZ-400608-00</v>
          </cell>
          <cell r="F16470">
            <v>475888703567</v>
          </cell>
        </row>
        <row r="16471">
          <cell r="E16471" t="str">
            <v>119-000077.X.X</v>
          </cell>
          <cell r="F16471">
            <v>475888703567</v>
          </cell>
        </row>
        <row r="16472">
          <cell r="E16472" t="str">
            <v>121-000627.X.X</v>
          </cell>
          <cell r="F16472">
            <v>475888703567</v>
          </cell>
        </row>
        <row r="16473">
          <cell r="E16473" t="str">
            <v>121-006126</v>
          </cell>
          <cell r="F16473">
            <v>475888703567</v>
          </cell>
        </row>
        <row r="16474">
          <cell r="E16474" t="str">
            <v>174-001259</v>
          </cell>
          <cell r="F16474">
            <v>475888703567</v>
          </cell>
        </row>
        <row r="16475">
          <cell r="E16475" t="str">
            <v>102-001620</v>
          </cell>
          <cell r="F16475">
            <v>475888703567</v>
          </cell>
        </row>
        <row r="16476">
          <cell r="E16476" t="str">
            <v>LUC-E00-400067-487</v>
          </cell>
          <cell r="F16476">
            <v>475888703567</v>
          </cell>
        </row>
        <row r="16477">
          <cell r="E16477" t="str">
            <v>122-001272</v>
          </cell>
          <cell r="F16477">
            <v>475888703567</v>
          </cell>
        </row>
        <row r="16478">
          <cell r="E16478" t="str">
            <v>LUC-EZZ-400211-00</v>
          </cell>
          <cell r="F16478">
            <v>475888703567</v>
          </cell>
        </row>
        <row r="16479">
          <cell r="E16479" t="str">
            <v>LUC-P11-J67400-02</v>
          </cell>
          <cell r="F16479">
            <v>472187328760</v>
          </cell>
        </row>
        <row r="16480">
          <cell r="E16480" t="str">
            <v>LUC-P11-J67400-02</v>
          </cell>
          <cell r="F16480">
            <v>472187328760</v>
          </cell>
        </row>
        <row r="16481">
          <cell r="E16481" t="str">
            <v>126-002212</v>
          </cell>
          <cell r="F16481">
            <v>643036773667</v>
          </cell>
        </row>
        <row r="16482">
          <cell r="E16482" t="str">
            <v>LUC-E00-440072-01</v>
          </cell>
          <cell r="F16482">
            <v>446064173399</v>
          </cell>
        </row>
        <row r="16483">
          <cell r="E16483" t="str">
            <v>LUC-E00-440023-02</v>
          </cell>
          <cell r="F16483">
            <v>446064173399</v>
          </cell>
        </row>
        <row r="16484">
          <cell r="E16484" t="str">
            <v>LUC-E00-400011-004</v>
          </cell>
          <cell r="F16484">
            <v>479224631404</v>
          </cell>
        </row>
        <row r="16485">
          <cell r="E16485" t="str">
            <v>HLOB-12-0029-00</v>
          </cell>
          <cell r="F16485">
            <v>884212623376</v>
          </cell>
        </row>
        <row r="16486">
          <cell r="E16486" t="str">
            <v>AGI-500-40220-01</v>
          </cell>
          <cell r="F16486">
            <v>884212623376</v>
          </cell>
        </row>
        <row r="16487">
          <cell r="E16487" t="str">
            <v>HLOB-13-0155-00</v>
          </cell>
          <cell r="F16487">
            <v>884212623376</v>
          </cell>
        </row>
        <row r="16488">
          <cell r="E16488" t="str">
            <v>HLOB-13-0155-00</v>
          </cell>
          <cell r="F16488">
            <v>884212623376</v>
          </cell>
        </row>
        <row r="16489">
          <cell r="E16489" t="str">
            <v>HLOB-13-0155-00</v>
          </cell>
          <cell r="F16489">
            <v>884212623376</v>
          </cell>
        </row>
        <row r="16490">
          <cell r="E16490" t="str">
            <v>HLOB-13-0155-00</v>
          </cell>
          <cell r="F16490">
            <v>884212623376</v>
          </cell>
        </row>
        <row r="16491">
          <cell r="E16491" t="str">
            <v>PUR-13-0155-00</v>
          </cell>
          <cell r="F16491">
            <v>884212623376</v>
          </cell>
        </row>
        <row r="16492">
          <cell r="E16492" t="str">
            <v>PUR-13-0155-00</v>
          </cell>
          <cell r="F16492">
            <v>884212623376</v>
          </cell>
        </row>
        <row r="16493">
          <cell r="E16493" t="str">
            <v>122-000775.X.X</v>
          </cell>
          <cell r="F16493">
            <v>471783738116</v>
          </cell>
        </row>
        <row r="16494">
          <cell r="E16494" t="str">
            <v>122-000919.X.X</v>
          </cell>
          <cell r="F16494">
            <v>471783738116</v>
          </cell>
        </row>
        <row r="16495">
          <cell r="E16495" t="str">
            <v>122-000494.X.X</v>
          </cell>
          <cell r="F16495">
            <v>471783738116</v>
          </cell>
        </row>
        <row r="16496">
          <cell r="E16496" t="str">
            <v>PUR-13-0226-00</v>
          </cell>
          <cell r="F16496">
            <v>471783738116</v>
          </cell>
        </row>
        <row r="16497">
          <cell r="E16497" t="str">
            <v>HLOB-13-0226-00</v>
          </cell>
          <cell r="F16497">
            <v>471783738116</v>
          </cell>
        </row>
        <row r="16498">
          <cell r="E16498" t="str">
            <v>HLOB-13-0226-00</v>
          </cell>
          <cell r="F16498">
            <v>471783738116</v>
          </cell>
        </row>
        <row r="16499">
          <cell r="E16499" t="str">
            <v>PUR-13-0226-00</v>
          </cell>
          <cell r="F16499">
            <v>471783738116</v>
          </cell>
        </row>
        <row r="16500">
          <cell r="E16500" t="str">
            <v>122-000453.X.X</v>
          </cell>
          <cell r="F16500">
            <v>471783738116</v>
          </cell>
        </row>
        <row r="16501">
          <cell r="E16501" t="str">
            <v>122-000453.X.X</v>
          </cell>
          <cell r="F16501">
            <v>471783738116</v>
          </cell>
        </row>
        <row r="16502">
          <cell r="E16502" t="str">
            <v>PURET-13-0006-00</v>
          </cell>
          <cell r="F16502">
            <v>471783738116</v>
          </cell>
        </row>
        <row r="16503">
          <cell r="E16503" t="str">
            <v>HLOB-12-0212-00</v>
          </cell>
          <cell r="F16503">
            <v>471783738116</v>
          </cell>
        </row>
        <row r="16504">
          <cell r="E16504" t="str">
            <v>HLOB-12-0212-00</v>
          </cell>
          <cell r="F16504">
            <v>471783738116</v>
          </cell>
        </row>
        <row r="16505">
          <cell r="E16505" t="str">
            <v>HLOB-12-0212-00</v>
          </cell>
          <cell r="F16505">
            <v>471783738116</v>
          </cell>
        </row>
        <row r="16506">
          <cell r="E16506" t="str">
            <v>PURET-12-0212-00</v>
          </cell>
          <cell r="F16506">
            <v>471783738116</v>
          </cell>
        </row>
        <row r="16507">
          <cell r="E16507" t="str">
            <v>121-000546.X.X</v>
          </cell>
          <cell r="F16507">
            <v>471783738116</v>
          </cell>
        </row>
        <row r="16508">
          <cell r="E16508" t="str">
            <v>121-000519.X.X</v>
          </cell>
          <cell r="F16508">
            <v>471783738116</v>
          </cell>
        </row>
        <row r="16509">
          <cell r="E16509" t="str">
            <v>PUR-12-0414-00</v>
          </cell>
          <cell r="F16509">
            <v>471783738116</v>
          </cell>
        </row>
        <row r="16510">
          <cell r="E16510" t="str">
            <v>PUR-12-0304-00</v>
          </cell>
          <cell r="F16510">
            <v>471783738116</v>
          </cell>
        </row>
        <row r="16511">
          <cell r="E16511" t="str">
            <v>HLOB-12-0304-00</v>
          </cell>
          <cell r="F16511">
            <v>471783738116</v>
          </cell>
        </row>
        <row r="16512">
          <cell r="E16512" t="str">
            <v>HLOB-12-0304-00</v>
          </cell>
          <cell r="F16512">
            <v>471783738116</v>
          </cell>
        </row>
        <row r="16513">
          <cell r="E16513" t="str">
            <v>HLOB-12-0304-00</v>
          </cell>
          <cell r="F16513">
            <v>471783738116</v>
          </cell>
        </row>
        <row r="16514">
          <cell r="E16514" t="str">
            <v>121-000098.X.X</v>
          </cell>
          <cell r="F16514">
            <v>471783738116</v>
          </cell>
        </row>
        <row r="16515">
          <cell r="E16515" t="str">
            <v>121-000525.X.X</v>
          </cell>
          <cell r="F16515">
            <v>471783738116</v>
          </cell>
        </row>
        <row r="16516">
          <cell r="E16516" t="str">
            <v>121-000356.X.X</v>
          </cell>
          <cell r="F16516">
            <v>471783738116</v>
          </cell>
        </row>
        <row r="16517">
          <cell r="E16517" t="str">
            <v>PUR-12-0423-00</v>
          </cell>
          <cell r="F16517">
            <v>471783738116</v>
          </cell>
        </row>
        <row r="16518">
          <cell r="E16518" t="str">
            <v>HLOB-12-0423-00</v>
          </cell>
          <cell r="F16518">
            <v>471783738116</v>
          </cell>
        </row>
        <row r="16519">
          <cell r="E16519" t="str">
            <v>121-000520.X.X</v>
          </cell>
          <cell r="F16519">
            <v>471783738116</v>
          </cell>
        </row>
        <row r="16520">
          <cell r="E16520" t="str">
            <v>PUR-12-0297-00</v>
          </cell>
          <cell r="F16520">
            <v>471783738116</v>
          </cell>
        </row>
        <row r="16521">
          <cell r="E16521" t="str">
            <v>HLOB-12-0297-00</v>
          </cell>
          <cell r="F16521">
            <v>471783738116</v>
          </cell>
        </row>
        <row r="16522">
          <cell r="E16522" t="str">
            <v>HLOB-12-0297-00</v>
          </cell>
          <cell r="F16522">
            <v>471783738116</v>
          </cell>
        </row>
        <row r="16523">
          <cell r="E16523" t="str">
            <v>HLOB-12-0297-00</v>
          </cell>
          <cell r="F16523">
            <v>471783738116</v>
          </cell>
        </row>
        <row r="16524">
          <cell r="E16524" t="str">
            <v>121-001272.X.X</v>
          </cell>
          <cell r="F16524">
            <v>471783738116</v>
          </cell>
        </row>
        <row r="16525">
          <cell r="E16525" t="str">
            <v>AGI-500-40213-01</v>
          </cell>
          <cell r="F16525">
            <v>471783738116</v>
          </cell>
        </row>
        <row r="16526">
          <cell r="E16526" t="str">
            <v>PUR-12-0423-00</v>
          </cell>
          <cell r="F16526">
            <v>471783738116</v>
          </cell>
        </row>
        <row r="16527">
          <cell r="E16527" t="str">
            <v>121-001611</v>
          </cell>
          <cell r="F16527">
            <v>471783738116</v>
          </cell>
        </row>
        <row r="16528">
          <cell r="E16528" t="str">
            <v>PUR-12-0247-00</v>
          </cell>
          <cell r="F16528">
            <v>471783738116</v>
          </cell>
        </row>
        <row r="16529">
          <cell r="E16529" t="str">
            <v>122-000453.X.X</v>
          </cell>
          <cell r="F16529">
            <v>471783738116</v>
          </cell>
        </row>
        <row r="16530">
          <cell r="E16530" t="str">
            <v>PUR-14-0086-00</v>
          </cell>
          <cell r="F16530">
            <v>471783738116</v>
          </cell>
        </row>
        <row r="16531">
          <cell r="E16531" t="str">
            <v>PUR-14-0096-00</v>
          </cell>
          <cell r="F16531">
            <v>445170574722</v>
          </cell>
        </row>
        <row r="16532">
          <cell r="E16532" t="str">
            <v>LUC-EZZ-420364-00</v>
          </cell>
          <cell r="F16532">
            <v>445170574722</v>
          </cell>
        </row>
        <row r="16533">
          <cell r="E16533" t="str">
            <v>LUC-EZZ-420364-00</v>
          </cell>
          <cell r="F16533">
            <v>445170574722</v>
          </cell>
        </row>
        <row r="16534">
          <cell r="E16534" t="str">
            <v>LUC-E00-420071-00</v>
          </cell>
          <cell r="F16534">
            <v>445170574722</v>
          </cell>
        </row>
        <row r="16535">
          <cell r="E16535" t="str">
            <v>LUC-E00-400010-053</v>
          </cell>
          <cell r="F16535">
            <v>445170574722</v>
          </cell>
        </row>
        <row r="16536">
          <cell r="E16536" t="str">
            <v>LUC-EZZ-400223-00</v>
          </cell>
          <cell r="F16536">
            <v>445170574722</v>
          </cell>
        </row>
        <row r="16537">
          <cell r="E16537" t="str">
            <v>LUC-EZZ-400010-00</v>
          </cell>
          <cell r="F16537">
            <v>445170574722</v>
          </cell>
        </row>
        <row r="16538">
          <cell r="E16538" t="str">
            <v>LUC-E00-400001-005</v>
          </cell>
          <cell r="F16538">
            <v>445170574722</v>
          </cell>
        </row>
        <row r="16539">
          <cell r="E16539" t="str">
            <v>LUC-E00-400001-005</v>
          </cell>
          <cell r="F16539">
            <v>445170574722</v>
          </cell>
        </row>
        <row r="16540">
          <cell r="E16540" t="str">
            <v>LUC-EZZ-400248-00</v>
          </cell>
          <cell r="F16540">
            <v>445170574722</v>
          </cell>
        </row>
        <row r="16541">
          <cell r="E16541" t="str">
            <v>LUC-EZZ-401312-00</v>
          </cell>
          <cell r="F16541">
            <v>445170574722</v>
          </cell>
        </row>
        <row r="16542">
          <cell r="E16542" t="str">
            <v>LUC-EZZ-401059-00</v>
          </cell>
          <cell r="F16542">
            <v>445170574722</v>
          </cell>
        </row>
        <row r="16543">
          <cell r="E16543" t="str">
            <v>LUC-E00-400035-06</v>
          </cell>
          <cell r="F16543">
            <v>445170574722</v>
          </cell>
        </row>
        <row r="16544">
          <cell r="E16544" t="str">
            <v>LUC-E00-400010-050</v>
          </cell>
          <cell r="F16544">
            <v>445170574722</v>
          </cell>
        </row>
        <row r="16545">
          <cell r="E16545" t="str">
            <v>LUC-E00-400010-050</v>
          </cell>
          <cell r="F16545">
            <v>445170574722</v>
          </cell>
        </row>
        <row r="16546">
          <cell r="E16546" t="str">
            <v>EF-45130014</v>
          </cell>
          <cell r="F16546">
            <v>445170574722</v>
          </cell>
        </row>
        <row r="16547">
          <cell r="E16547" t="str">
            <v>PURET-21-0009-00</v>
          </cell>
          <cell r="F16547">
            <v>445170574722</v>
          </cell>
        </row>
        <row r="16548">
          <cell r="E16548" t="str">
            <v>LUC-EZZ-450070-00</v>
          </cell>
          <cell r="F16548">
            <v>445170574722</v>
          </cell>
        </row>
        <row r="16549">
          <cell r="E16549" t="str">
            <v>LUC-EZZ-450070-00</v>
          </cell>
          <cell r="F16549">
            <v>445170574722</v>
          </cell>
        </row>
        <row r="16550">
          <cell r="E16550" t="str">
            <v>HLOB-21-0036-00</v>
          </cell>
          <cell r="F16550">
            <v>445170574722</v>
          </cell>
        </row>
        <row r="16551">
          <cell r="E16551" t="str">
            <v>HLOB-21-0009-00</v>
          </cell>
          <cell r="F16551">
            <v>445170574722</v>
          </cell>
        </row>
        <row r="16552">
          <cell r="E16552" t="str">
            <v>EF-45056968.X.X</v>
          </cell>
          <cell r="F16552">
            <v>445170574722</v>
          </cell>
        </row>
        <row r="16553">
          <cell r="E16553" t="str">
            <v>EF-45050219</v>
          </cell>
          <cell r="F16553">
            <v>445170574722</v>
          </cell>
        </row>
        <row r="16554">
          <cell r="E16554" t="str">
            <v>LUC-EZZ-470241-00</v>
          </cell>
          <cell r="F16554">
            <v>445170574722</v>
          </cell>
        </row>
        <row r="16555">
          <cell r="E16555" t="str">
            <v>LUC-EZZ-470248-02</v>
          </cell>
          <cell r="F16555">
            <v>445170574722</v>
          </cell>
        </row>
        <row r="16556">
          <cell r="E16556" t="str">
            <v>LUC-EZZ-690131-00</v>
          </cell>
          <cell r="F16556">
            <v>4110328467</v>
          </cell>
        </row>
        <row r="16557">
          <cell r="E16557" t="str">
            <v>LUC-EZZ-490304-04</v>
          </cell>
          <cell r="F16557" t="str">
            <v>SEBL25090041</v>
          </cell>
        </row>
        <row r="16558">
          <cell r="E16558" t="str">
            <v>LUC-EZZ-490307-01</v>
          </cell>
          <cell r="F16558" t="str">
            <v>SEBL25090041</v>
          </cell>
        </row>
        <row r="16559">
          <cell r="E16559" t="str">
            <v>LUC-EZZ-490259-00</v>
          </cell>
          <cell r="F16559" t="str">
            <v>SEBL25090041</v>
          </cell>
        </row>
        <row r="16560">
          <cell r="E16560" t="str">
            <v>LUC-EZZ-490315-02</v>
          </cell>
          <cell r="F16560" t="str">
            <v>SEBL25090041</v>
          </cell>
        </row>
        <row r="16561">
          <cell r="E16561" t="str">
            <v>LUC-EZZ-490230-05</v>
          </cell>
          <cell r="F16561" t="str">
            <v>SEBL25090041</v>
          </cell>
        </row>
        <row r="16562">
          <cell r="E16562" t="str">
            <v>LUC-EZZ-490317-04</v>
          </cell>
          <cell r="F16562" t="str">
            <v>SEBL25090041</v>
          </cell>
        </row>
        <row r="16563">
          <cell r="E16563" t="str">
            <v>LUC-EZZ-490307-01</v>
          </cell>
          <cell r="F16563" t="str">
            <v>SEBL25090041</v>
          </cell>
        </row>
        <row r="16564">
          <cell r="E16564" t="str">
            <v>LUC-E00-400022-000</v>
          </cell>
          <cell r="F16564">
            <v>1810901562</v>
          </cell>
        </row>
        <row r="16565">
          <cell r="E16565" t="str">
            <v>EF-45081678</v>
          </cell>
          <cell r="F16565">
            <v>1810901562</v>
          </cell>
        </row>
        <row r="16566">
          <cell r="E16566" t="str">
            <v>PUR-14-0083-00</v>
          </cell>
          <cell r="F16566">
            <v>1810901562</v>
          </cell>
        </row>
        <row r="16567">
          <cell r="E16567" t="str">
            <v>PUR-14-0083-00</v>
          </cell>
          <cell r="F16567">
            <v>1810901562</v>
          </cell>
        </row>
        <row r="16568">
          <cell r="E16568" t="str">
            <v>LUC-EZZ-450112-00</v>
          </cell>
          <cell r="F16568">
            <v>1810901562</v>
          </cell>
        </row>
        <row r="16569">
          <cell r="E16569" t="str">
            <v>AIC-MP-DE007118-S01</v>
          </cell>
          <cell r="F16569">
            <v>1810901562</v>
          </cell>
        </row>
        <row r="16570">
          <cell r="E16570" t="str">
            <v>PUR-14-0102-00</v>
          </cell>
          <cell r="F16570">
            <v>1810901562</v>
          </cell>
        </row>
        <row r="16571">
          <cell r="E16571" t="str">
            <v>LUC-E00-400069-00</v>
          </cell>
          <cell r="F16571">
            <v>1810901562</v>
          </cell>
        </row>
        <row r="16572">
          <cell r="E16572" t="str">
            <v>HLOB-24-0008-00</v>
          </cell>
          <cell r="F16572">
            <v>1810901562</v>
          </cell>
        </row>
        <row r="16573">
          <cell r="E16573" t="str">
            <v>LUC-EZZ-400208-00</v>
          </cell>
          <cell r="F16573">
            <v>1810901562</v>
          </cell>
        </row>
        <row r="16574">
          <cell r="E16574" t="str">
            <v>LUC-EZZ-401680-00</v>
          </cell>
          <cell r="F16574">
            <v>1810901562</v>
          </cell>
        </row>
        <row r="16575">
          <cell r="E16575" t="str">
            <v>PUR-14-0077-00</v>
          </cell>
          <cell r="F16575">
            <v>1810901562</v>
          </cell>
        </row>
        <row r="16576">
          <cell r="E16576" t="str">
            <v>EF-45051531.X.X</v>
          </cell>
          <cell r="F16576">
            <v>1810901562</v>
          </cell>
        </row>
        <row r="16577">
          <cell r="E16577" t="str">
            <v>EF-45051531.X.X</v>
          </cell>
          <cell r="F16577">
            <v>1810901562</v>
          </cell>
        </row>
        <row r="16578">
          <cell r="E16578" t="str">
            <v>PUR-12-0288-00</v>
          </cell>
          <cell r="F16578">
            <v>1810901562</v>
          </cell>
        </row>
        <row r="16579">
          <cell r="E16579" t="str">
            <v>PUR-12-0288-00</v>
          </cell>
          <cell r="F16579">
            <v>1810901562</v>
          </cell>
        </row>
        <row r="16580">
          <cell r="E16580" t="str">
            <v>LUC-EZZ-400239-00</v>
          </cell>
          <cell r="F16580">
            <v>1810901562</v>
          </cell>
        </row>
        <row r="16581">
          <cell r="E16581" t="str">
            <v>LUC-E00-400004-01</v>
          </cell>
          <cell r="F16581">
            <v>1810901562</v>
          </cell>
        </row>
        <row r="16582">
          <cell r="E16582" t="str">
            <v>LUC-EZZ-400192-00</v>
          </cell>
          <cell r="F16582">
            <v>1810901562</v>
          </cell>
        </row>
        <row r="16583">
          <cell r="E16583" t="str">
            <v>LUC-EZZ-400238-00</v>
          </cell>
          <cell r="F16583">
            <v>1810901562</v>
          </cell>
        </row>
        <row r="16584">
          <cell r="E16584" t="str">
            <v>LUC-EZZ-400578-00</v>
          </cell>
          <cell r="F16584">
            <v>1810901562</v>
          </cell>
        </row>
        <row r="16585">
          <cell r="E16585" t="str">
            <v>LUC-EZZ-400577-00</v>
          </cell>
          <cell r="F16585">
            <v>1810901562</v>
          </cell>
        </row>
        <row r="16586">
          <cell r="E16586" t="str">
            <v>PUR-14-0077-00</v>
          </cell>
          <cell r="F16586">
            <v>1810901562</v>
          </cell>
        </row>
        <row r="16587">
          <cell r="E16587" t="str">
            <v>LUC-E00-400028-06</v>
          </cell>
          <cell r="F16587">
            <v>1810901562</v>
          </cell>
        </row>
        <row r="16588">
          <cell r="E16588" t="str">
            <v>LUC-E00-400004-01</v>
          </cell>
          <cell r="F16588">
            <v>1810901562</v>
          </cell>
        </row>
        <row r="16589">
          <cell r="E16589" t="str">
            <v>LUC-E00-400059-054</v>
          </cell>
          <cell r="F16589">
            <v>1810901562</v>
          </cell>
        </row>
        <row r="16590">
          <cell r="E16590" t="str">
            <v>HLOB-12-0430-00</v>
          </cell>
          <cell r="F16590">
            <v>1810901562</v>
          </cell>
        </row>
        <row r="16591">
          <cell r="E16591" t="str">
            <v>HLOB-13-0229-00</v>
          </cell>
          <cell r="F16591">
            <v>1810901562</v>
          </cell>
        </row>
        <row r="16592">
          <cell r="E16592" t="str">
            <v>LUC-EZZ-400831-00</v>
          </cell>
          <cell r="F16592">
            <v>1810901562</v>
          </cell>
        </row>
        <row r="16593">
          <cell r="E16593" t="str">
            <v>LUC-EZZ-400359-00</v>
          </cell>
          <cell r="F16593">
            <v>1810901562</v>
          </cell>
        </row>
        <row r="16594">
          <cell r="E16594" t="str">
            <v>LUC-EZZ-400780-00</v>
          </cell>
          <cell r="F16594">
            <v>1810901562</v>
          </cell>
        </row>
        <row r="16595">
          <cell r="E16595" t="str">
            <v>LUC-E00-470074-01</v>
          </cell>
          <cell r="F16595">
            <v>1810901562</v>
          </cell>
        </row>
        <row r="16596">
          <cell r="E16596" t="str">
            <v>LUC-EZZ-420151-00</v>
          </cell>
          <cell r="F16596">
            <v>1810901562</v>
          </cell>
        </row>
        <row r="16597">
          <cell r="E16597" t="str">
            <v>LUC-E00-420135-00</v>
          </cell>
          <cell r="F16597">
            <v>1810901562</v>
          </cell>
        </row>
        <row r="16598">
          <cell r="E16598" t="str">
            <v>LUC-EZZ-400801-00</v>
          </cell>
          <cell r="F16598">
            <v>1810901562</v>
          </cell>
        </row>
        <row r="16599">
          <cell r="E16599" t="str">
            <v>LUC-E00-400024-04</v>
          </cell>
          <cell r="F16599">
            <v>1810901562</v>
          </cell>
        </row>
        <row r="16600">
          <cell r="E16600" t="str">
            <v>LUC-E00-400049-00</v>
          </cell>
          <cell r="F16600">
            <v>1810901562</v>
          </cell>
        </row>
        <row r="16601">
          <cell r="E16601" t="str">
            <v>EF-45090224.X.X</v>
          </cell>
          <cell r="F16601">
            <v>1810901562</v>
          </cell>
        </row>
        <row r="16602">
          <cell r="E16602" t="str">
            <v>LUC-EZZ-450074-02</v>
          </cell>
          <cell r="F16602">
            <v>1810901562</v>
          </cell>
        </row>
        <row r="16603">
          <cell r="E16603" t="str">
            <v>EF-45072100.X.X</v>
          </cell>
          <cell r="F16603">
            <v>1810901562</v>
          </cell>
        </row>
        <row r="16604">
          <cell r="E16604" t="str">
            <v>EF-45052527</v>
          </cell>
          <cell r="F16604">
            <v>1810901562</v>
          </cell>
        </row>
        <row r="16605">
          <cell r="E16605" t="str">
            <v>EF-45072100.X.X</v>
          </cell>
          <cell r="F16605">
            <v>1810901562</v>
          </cell>
        </row>
        <row r="16606">
          <cell r="E16606" t="str">
            <v>LUC-EZZ-451660-00</v>
          </cell>
          <cell r="F16606">
            <v>1810901562</v>
          </cell>
        </row>
        <row r="16607">
          <cell r="E16607" t="str">
            <v>HLOB-12-0288-00</v>
          </cell>
          <cell r="F16607">
            <v>1810901562</v>
          </cell>
        </row>
        <row r="16608">
          <cell r="E16608" t="str">
            <v>AGI-532-40014-01</v>
          </cell>
          <cell r="F16608">
            <v>1810901562</v>
          </cell>
        </row>
        <row r="16609">
          <cell r="E16609" t="str">
            <v>LUC-E00-510034-00</v>
          </cell>
          <cell r="F16609">
            <v>1810901562</v>
          </cell>
        </row>
        <row r="16610">
          <cell r="E16610" t="str">
            <v>PUR-16-0087-00</v>
          </cell>
          <cell r="F16610">
            <v>7287856940</v>
          </cell>
        </row>
        <row r="16611">
          <cell r="E16611" t="str">
            <v>122-001112</v>
          </cell>
          <cell r="F16611">
            <v>419341580627</v>
          </cell>
        </row>
        <row r="16612">
          <cell r="E16612" t="str">
            <v>122-001250</v>
          </cell>
          <cell r="F16612">
            <v>419341580627</v>
          </cell>
        </row>
        <row r="16613">
          <cell r="E16613" t="str">
            <v>LUC-EZZ-470421-00</v>
          </cell>
          <cell r="F16613">
            <v>393166227129</v>
          </cell>
        </row>
        <row r="16614">
          <cell r="E16614" t="str">
            <v>121-000533.X.X</v>
          </cell>
          <cell r="F16614">
            <v>480329265844</v>
          </cell>
        </row>
        <row r="16615">
          <cell r="E16615" t="str">
            <v>LUC-EZZ-470304-00</v>
          </cell>
          <cell r="F16615">
            <v>393088208798</v>
          </cell>
        </row>
        <row r="16616">
          <cell r="E16616" t="str">
            <v>LUC-E00-470045-00</v>
          </cell>
          <cell r="F16616">
            <v>393088208798</v>
          </cell>
        </row>
        <row r="16617">
          <cell r="E16617" t="str">
            <v>LUC-E00-470388-00</v>
          </cell>
          <cell r="F16617">
            <v>393088208798</v>
          </cell>
        </row>
        <row r="16618">
          <cell r="E16618" t="str">
            <v>HLOB-24-0028-00</v>
          </cell>
          <cell r="F16618">
            <v>119209633220</v>
          </cell>
        </row>
        <row r="16619">
          <cell r="E16619" t="str">
            <v>LUC-E00-440154-00</v>
          </cell>
          <cell r="F16619">
            <v>119209633220</v>
          </cell>
        </row>
        <row r="16620">
          <cell r="E16620" t="str">
            <v>PUR-13-0258-00</v>
          </cell>
          <cell r="F16620">
            <v>436368133181</v>
          </cell>
        </row>
        <row r="16621">
          <cell r="E16621" t="str">
            <v>121-000533.X.X</v>
          </cell>
          <cell r="F16621">
            <v>884272339350</v>
          </cell>
        </row>
        <row r="16622">
          <cell r="E16622" t="str">
            <v>AGI-510-40123-01</v>
          </cell>
          <cell r="F16622" t="str">
            <v>HKHPG250948</v>
          </cell>
        </row>
        <row r="16623">
          <cell r="E16623" t="str">
            <v>AGI-510-40123-01</v>
          </cell>
          <cell r="F16623" t="str">
            <v>HKHPG250948</v>
          </cell>
        </row>
        <row r="16624">
          <cell r="E16624" t="str">
            <v>AGI-510-40123-01</v>
          </cell>
          <cell r="F16624" t="str">
            <v>HKHPG250948</v>
          </cell>
        </row>
        <row r="16625">
          <cell r="E16625" t="str">
            <v>LUC-EZZ-490230-05</v>
          </cell>
          <cell r="F16625" t="str">
            <v>SEBL25090027</v>
          </cell>
        </row>
        <row r="16626">
          <cell r="E16626" t="str">
            <v>LUC-EZZ-490230-05</v>
          </cell>
          <cell r="F16626" t="str">
            <v>SEBL25090027</v>
          </cell>
        </row>
        <row r="16627">
          <cell r="E16627" t="str">
            <v>LUC-EZZ-490310-04</v>
          </cell>
          <cell r="F16627" t="str">
            <v>SEBL25090027</v>
          </cell>
        </row>
        <row r="16628">
          <cell r="E16628" t="str">
            <v>LUC-EZZ-690242-00</v>
          </cell>
          <cell r="F16628">
            <v>392878768107</v>
          </cell>
        </row>
        <row r="16629">
          <cell r="E16629" t="str">
            <v>LUC-E00-690055-00</v>
          </cell>
          <cell r="F16629">
            <v>392878768107</v>
          </cell>
        </row>
        <row r="16630">
          <cell r="E16630" t="str">
            <v>PUR-03-0091-02</v>
          </cell>
          <cell r="F16630">
            <v>480845286290</v>
          </cell>
        </row>
        <row r="16631">
          <cell r="E16631" t="str">
            <v>LUC-EZZ-690708-00</v>
          </cell>
          <cell r="F16631">
            <v>4110328566</v>
          </cell>
        </row>
        <row r="16632">
          <cell r="E16632" t="str">
            <v>LUC-E00-690001-00</v>
          </cell>
          <cell r="F16632">
            <v>4110328618</v>
          </cell>
        </row>
        <row r="16633">
          <cell r="E16633" t="str">
            <v>LUC-E00-470093-00</v>
          </cell>
          <cell r="F16633">
            <v>393194240023</v>
          </cell>
        </row>
        <row r="16634">
          <cell r="E16634" t="str">
            <v>PUR-09-0513-00</v>
          </cell>
          <cell r="F16634">
            <v>393091068897</v>
          </cell>
        </row>
        <row r="16635">
          <cell r="E16635" t="str">
            <v>LUC-P11-K33N00-00</v>
          </cell>
          <cell r="F16635">
            <v>884362443690</v>
          </cell>
        </row>
        <row r="16636">
          <cell r="E16636" t="str">
            <v>LUC-E00-510032-00</v>
          </cell>
          <cell r="F16636">
            <v>480838882793</v>
          </cell>
        </row>
        <row r="16637">
          <cell r="E16637" t="str">
            <v>LUC-E00-510032-00</v>
          </cell>
          <cell r="F16637">
            <v>480838882793</v>
          </cell>
        </row>
        <row r="16638">
          <cell r="E16638" t="str">
            <v>LUC-EZZ-470272-00</v>
          </cell>
          <cell r="F16638">
            <v>480838882793</v>
          </cell>
        </row>
        <row r="16639">
          <cell r="E16639" t="str">
            <v>LUC-E00-420184-00</v>
          </cell>
          <cell r="F16639">
            <v>884317226460</v>
          </cell>
        </row>
        <row r="16640">
          <cell r="E16640" t="str">
            <v>HLOB-12-0482-00</v>
          </cell>
          <cell r="F16640">
            <v>884317226460</v>
          </cell>
        </row>
        <row r="16641">
          <cell r="E16641" t="str">
            <v>HLOB-12-0056-00</v>
          </cell>
          <cell r="F16641">
            <v>884317226460</v>
          </cell>
        </row>
        <row r="16642">
          <cell r="E16642" t="str">
            <v>HLOB-13-0246-00</v>
          </cell>
          <cell r="F16642">
            <v>884317226460</v>
          </cell>
        </row>
        <row r="16643">
          <cell r="E16643" t="str">
            <v>PUR-13-0141-00</v>
          </cell>
          <cell r="F16643">
            <v>884317226460</v>
          </cell>
        </row>
        <row r="16644">
          <cell r="E16644" t="str">
            <v>PURET-12-0017-00</v>
          </cell>
          <cell r="F16644">
            <v>884317226460</v>
          </cell>
        </row>
        <row r="16645">
          <cell r="E16645" t="str">
            <v>LUC-EZZ-440200-00</v>
          </cell>
          <cell r="F16645">
            <v>884317226460</v>
          </cell>
        </row>
        <row r="16646">
          <cell r="E16646" t="str">
            <v>122-000735.X.X</v>
          </cell>
          <cell r="F16646">
            <v>884317226460</v>
          </cell>
        </row>
        <row r="16647">
          <cell r="E16647" t="str">
            <v>PUR-13-0235-00</v>
          </cell>
          <cell r="F16647">
            <v>884317226460</v>
          </cell>
        </row>
        <row r="16648">
          <cell r="E16648" t="str">
            <v>121-000630.X.X</v>
          </cell>
          <cell r="F16648">
            <v>884317226460</v>
          </cell>
        </row>
        <row r="16649">
          <cell r="E16649" t="str">
            <v>LUC-E00-440003-02</v>
          </cell>
          <cell r="F16649">
            <v>458171556627</v>
          </cell>
        </row>
        <row r="16650">
          <cell r="E16650" t="str">
            <v>LUC-E00-440003-02</v>
          </cell>
          <cell r="F16650">
            <v>458171556627</v>
          </cell>
        </row>
        <row r="16651">
          <cell r="E16651" t="str">
            <v>LUC-E00-440014-01</v>
          </cell>
          <cell r="F16651">
            <v>458171556627</v>
          </cell>
        </row>
        <row r="16652">
          <cell r="E16652" t="str">
            <v>LUC-E00-440023-02</v>
          </cell>
          <cell r="F16652">
            <v>458171556627</v>
          </cell>
        </row>
        <row r="16653">
          <cell r="E16653" t="str">
            <v>LUC-EZZ-440028-00</v>
          </cell>
          <cell r="F16653">
            <v>458171556627</v>
          </cell>
        </row>
        <row r="16654">
          <cell r="E16654" t="str">
            <v>LUC-EZZ-440069-00</v>
          </cell>
          <cell r="F16654">
            <v>458171556627</v>
          </cell>
        </row>
        <row r="16655">
          <cell r="E16655" t="str">
            <v>LUC-EZZ-440072-00</v>
          </cell>
          <cell r="F16655">
            <v>458171556627</v>
          </cell>
        </row>
        <row r="16656">
          <cell r="E16656" t="str">
            <v>LUC-EZZ-440911-00</v>
          </cell>
          <cell r="F16656">
            <v>458171556627</v>
          </cell>
        </row>
        <row r="16657">
          <cell r="E16657" t="str">
            <v>LUC-E00-440077-02</v>
          </cell>
          <cell r="F16657">
            <v>458171556627</v>
          </cell>
        </row>
        <row r="16658">
          <cell r="E16658" t="str">
            <v>LUC-EZZ-440021-00</v>
          </cell>
          <cell r="F16658">
            <v>472182199310</v>
          </cell>
        </row>
        <row r="16659">
          <cell r="E16659" t="str">
            <v>EF-45100289</v>
          </cell>
          <cell r="F16659">
            <v>472182199310</v>
          </cell>
        </row>
        <row r="16660">
          <cell r="E16660" t="str">
            <v>LUC-EZZ-420211-00</v>
          </cell>
          <cell r="F16660">
            <v>884317822965</v>
          </cell>
        </row>
        <row r="16661">
          <cell r="E16661" t="str">
            <v>LUC-E00-470001-00</v>
          </cell>
          <cell r="F16661">
            <v>884317822965</v>
          </cell>
        </row>
        <row r="16662">
          <cell r="E16662" t="str">
            <v>LUC-E00-470085-00</v>
          </cell>
          <cell r="F16662">
            <v>884317822965</v>
          </cell>
        </row>
        <row r="16663">
          <cell r="E16663" t="str">
            <v>LUC-E00-470036-00</v>
          </cell>
          <cell r="F16663">
            <v>884317822965</v>
          </cell>
        </row>
        <row r="16664">
          <cell r="E16664" t="str">
            <v>LUC-E00-470036-00</v>
          </cell>
          <cell r="F16664">
            <v>884317822965</v>
          </cell>
        </row>
        <row r="16665">
          <cell r="E16665" t="str">
            <v>LUC-E00-470072-00</v>
          </cell>
          <cell r="F16665">
            <v>884317822965</v>
          </cell>
        </row>
        <row r="16666">
          <cell r="E16666" t="str">
            <v>LUC-E00-470086-00</v>
          </cell>
          <cell r="F16666">
            <v>884317822965</v>
          </cell>
        </row>
        <row r="16667">
          <cell r="E16667" t="str">
            <v>LUC-E00-470259-00</v>
          </cell>
          <cell r="F16667">
            <v>479399913069</v>
          </cell>
        </row>
        <row r="16668">
          <cell r="E16668" t="str">
            <v>LUC-E00-470060-00</v>
          </cell>
          <cell r="F16668">
            <v>884282912958</v>
          </cell>
        </row>
        <row r="16669">
          <cell r="E16669" t="str">
            <v>LUC-E00-470060-00</v>
          </cell>
          <cell r="F16669">
            <v>884282912958</v>
          </cell>
        </row>
        <row r="16670">
          <cell r="E16670" t="str">
            <v>LUC-EZZ-400261-00</v>
          </cell>
          <cell r="F16670">
            <v>479224667894</v>
          </cell>
        </row>
        <row r="16671">
          <cell r="E16671" t="str">
            <v>HLOB-27-0017-00</v>
          </cell>
          <cell r="F16671">
            <v>479224667894</v>
          </cell>
        </row>
        <row r="16672">
          <cell r="E16672" t="str">
            <v>LUC-EZZ-400261-00</v>
          </cell>
          <cell r="F16672">
            <v>479224667894</v>
          </cell>
        </row>
        <row r="16673">
          <cell r="E16673" t="str">
            <v>LUC-EZZ-400261-00</v>
          </cell>
          <cell r="F16673">
            <v>479224667894</v>
          </cell>
        </row>
        <row r="16674">
          <cell r="E16674" t="str">
            <v>HLOB-09-0256-00</v>
          </cell>
          <cell r="F16674">
            <v>479224667894</v>
          </cell>
        </row>
        <row r="16675">
          <cell r="E16675" t="str">
            <v>HLOB-14-0086-00</v>
          </cell>
          <cell r="F16675">
            <v>479224667894</v>
          </cell>
        </row>
        <row r="16676">
          <cell r="E16676" t="str">
            <v>LUC-E00-440172-00</v>
          </cell>
          <cell r="F16676">
            <v>479224667894</v>
          </cell>
        </row>
        <row r="16677">
          <cell r="E16677" t="str">
            <v>HLOB-09-0256-00</v>
          </cell>
          <cell r="F16677">
            <v>479224667894</v>
          </cell>
        </row>
        <row r="16678">
          <cell r="E16678" t="str">
            <v>LUC-EZZ-400261-00</v>
          </cell>
          <cell r="F16678">
            <v>479224667894</v>
          </cell>
        </row>
        <row r="16679">
          <cell r="E16679" t="str">
            <v>LUC-EZZ-400261-00</v>
          </cell>
          <cell r="F16679">
            <v>479224667894</v>
          </cell>
        </row>
        <row r="16680">
          <cell r="E16680" t="str">
            <v>LUC-EZZ-400244-00</v>
          </cell>
          <cell r="F16680">
            <v>479224667894</v>
          </cell>
        </row>
        <row r="16681">
          <cell r="E16681" t="str">
            <v>LUC-EZZ-400261-00</v>
          </cell>
          <cell r="F16681">
            <v>479224667894</v>
          </cell>
        </row>
        <row r="16682">
          <cell r="E16682" t="str">
            <v>LUC-EZZ-400261-00</v>
          </cell>
          <cell r="F16682">
            <v>479224667894</v>
          </cell>
        </row>
        <row r="16683">
          <cell r="E16683" t="str">
            <v>LUC-EZZ-400244-00</v>
          </cell>
          <cell r="F16683">
            <v>479224667894</v>
          </cell>
        </row>
        <row r="16684">
          <cell r="E16684" t="str">
            <v>AIC-MP-IC006983-S01</v>
          </cell>
          <cell r="F16684">
            <v>479224667894</v>
          </cell>
        </row>
        <row r="16685">
          <cell r="E16685" t="str">
            <v>LUC-EZZ-440204-00</v>
          </cell>
          <cell r="F16685">
            <v>479224667894</v>
          </cell>
        </row>
        <row r="16686">
          <cell r="E16686" t="str">
            <v>PUR-14-0086-00</v>
          </cell>
          <cell r="F16686">
            <v>479224667894</v>
          </cell>
        </row>
        <row r="16687">
          <cell r="E16687" t="str">
            <v>LUC-E00-400056-01</v>
          </cell>
          <cell r="F16687">
            <v>479224667894</v>
          </cell>
        </row>
        <row r="16688">
          <cell r="E16688" t="str">
            <v>LUC-EZZ-470480-00</v>
          </cell>
          <cell r="F16688">
            <v>479224667894</v>
          </cell>
        </row>
        <row r="16689">
          <cell r="E16689" t="str">
            <v>HLOB-09-0434-00</v>
          </cell>
          <cell r="F16689">
            <v>479224667894</v>
          </cell>
        </row>
        <row r="16690">
          <cell r="E16690" t="str">
            <v>HLOB-07-0315-00</v>
          </cell>
          <cell r="F16690">
            <v>477859581746</v>
          </cell>
        </row>
        <row r="16691">
          <cell r="E16691" t="str">
            <v>LUC-E00-450009-00</v>
          </cell>
          <cell r="F16691">
            <v>884315217820</v>
          </cell>
        </row>
        <row r="16692">
          <cell r="E16692" t="str">
            <v>PURET-13-0040-00</v>
          </cell>
          <cell r="F16692">
            <v>884315217820</v>
          </cell>
        </row>
        <row r="16693">
          <cell r="E16693" t="str">
            <v>AGI-500-40128-01</v>
          </cell>
          <cell r="F16693">
            <v>884315217820</v>
          </cell>
        </row>
        <row r="16694">
          <cell r="E16694" t="str">
            <v>AGI-500-40128-01</v>
          </cell>
          <cell r="F16694">
            <v>884315217820</v>
          </cell>
        </row>
        <row r="16695">
          <cell r="E16695" t="str">
            <v>AGI-500-40128-01</v>
          </cell>
          <cell r="F16695">
            <v>884315217820</v>
          </cell>
        </row>
        <row r="16696">
          <cell r="E16696" t="str">
            <v>AGI-500-40128-01</v>
          </cell>
          <cell r="F16696">
            <v>884315217820</v>
          </cell>
        </row>
        <row r="16697">
          <cell r="E16697" t="str">
            <v>AGI-500-40134-01</v>
          </cell>
          <cell r="F16697">
            <v>884315217820</v>
          </cell>
        </row>
        <row r="16698">
          <cell r="E16698" t="str">
            <v>AGI-500-40134-01</v>
          </cell>
          <cell r="F16698">
            <v>884315217820</v>
          </cell>
        </row>
        <row r="16699">
          <cell r="E16699" t="str">
            <v>AGI-530-40004-01</v>
          </cell>
          <cell r="F16699">
            <v>884315217820</v>
          </cell>
        </row>
        <row r="16700">
          <cell r="E16700" t="str">
            <v>AGI-530-40004-01</v>
          </cell>
          <cell r="F16700">
            <v>884315217820</v>
          </cell>
        </row>
        <row r="16701">
          <cell r="E16701" t="str">
            <v>AGI-520-40025-01</v>
          </cell>
          <cell r="F16701">
            <v>884315217820</v>
          </cell>
        </row>
        <row r="16702">
          <cell r="E16702" t="str">
            <v>122-000293.X.X</v>
          </cell>
          <cell r="F16702">
            <v>884315217820</v>
          </cell>
        </row>
        <row r="16703">
          <cell r="E16703" t="str">
            <v>122-000293.X.X</v>
          </cell>
          <cell r="F16703">
            <v>884315217820</v>
          </cell>
        </row>
        <row r="16704">
          <cell r="E16704" t="str">
            <v>PURET-12-0011-00</v>
          </cell>
          <cell r="F16704">
            <v>884315217820</v>
          </cell>
        </row>
        <row r="16705">
          <cell r="E16705" t="str">
            <v>LUC-E00-470137-00</v>
          </cell>
          <cell r="F16705">
            <v>884250849751</v>
          </cell>
        </row>
        <row r="16706">
          <cell r="E16706" t="str">
            <v>LUC-E00-470137-00</v>
          </cell>
          <cell r="F16706">
            <v>884250849751</v>
          </cell>
        </row>
        <row r="16707">
          <cell r="E16707" t="str">
            <v>HLOB-15-0220-00</v>
          </cell>
          <cell r="F16707">
            <v>902348930177</v>
          </cell>
        </row>
        <row r="16708">
          <cell r="E16708" t="str">
            <v>PUR-03-0095-00</v>
          </cell>
          <cell r="F16708">
            <v>884365567015</v>
          </cell>
        </row>
        <row r="16709">
          <cell r="E16709" t="str">
            <v>PUR-03-0095-00</v>
          </cell>
          <cell r="F16709">
            <v>884365567015</v>
          </cell>
        </row>
        <row r="16710">
          <cell r="E16710" t="str">
            <v>LUC-E00-690032-00</v>
          </cell>
          <cell r="F16710">
            <v>393106514809</v>
          </cell>
        </row>
        <row r="16711">
          <cell r="E16711" t="str">
            <v>LUC-E00-690011-00</v>
          </cell>
          <cell r="F16711">
            <v>393106514809</v>
          </cell>
        </row>
        <row r="16712">
          <cell r="E16712" t="str">
            <v>LUC-E00-440045-00</v>
          </cell>
          <cell r="F16712">
            <v>393106514809</v>
          </cell>
        </row>
        <row r="16713">
          <cell r="E16713" t="str">
            <v>HLOB-33-0027-00</v>
          </cell>
          <cell r="F16713">
            <v>884282485147</v>
          </cell>
        </row>
        <row r="16714">
          <cell r="E16714" t="str">
            <v>PUR-33-0027-00</v>
          </cell>
          <cell r="F16714">
            <v>884282485147</v>
          </cell>
        </row>
        <row r="16715">
          <cell r="E16715" t="str">
            <v>HLOB-33-0027-00</v>
          </cell>
          <cell r="F16715">
            <v>884282485147</v>
          </cell>
        </row>
        <row r="16716">
          <cell r="E16716" t="str">
            <v>HLOB-33-0027-00</v>
          </cell>
          <cell r="F16716">
            <v>884282485147</v>
          </cell>
        </row>
        <row r="16717">
          <cell r="E16717" t="str">
            <v>HLOB-33-0027-00</v>
          </cell>
          <cell r="F16717">
            <v>884282485147</v>
          </cell>
        </row>
        <row r="16718">
          <cell r="E16718" t="str">
            <v>HLOB-33-0027-00</v>
          </cell>
          <cell r="F16718">
            <v>884282485147</v>
          </cell>
        </row>
        <row r="16719">
          <cell r="E16719" t="str">
            <v>PUR-18-0483-00</v>
          </cell>
          <cell r="F16719">
            <v>884282485147</v>
          </cell>
        </row>
        <row r="16720">
          <cell r="E16720" t="str">
            <v>PUR-18-0518-00</v>
          </cell>
          <cell r="F16720">
            <v>884282485147</v>
          </cell>
        </row>
        <row r="16721">
          <cell r="E16721" t="str">
            <v>HLOB-18-0640-00</v>
          </cell>
          <cell r="F16721">
            <v>884282485147</v>
          </cell>
        </row>
        <row r="16722">
          <cell r="E16722" t="str">
            <v>LUC-E00-400067-207</v>
          </cell>
          <cell r="F16722">
            <v>409298804630</v>
          </cell>
        </row>
        <row r="16723">
          <cell r="E16723" t="str">
            <v>LUC-E00-400067-320</v>
          </cell>
          <cell r="F16723">
            <v>409298804630</v>
          </cell>
        </row>
        <row r="16724">
          <cell r="E16724" t="str">
            <v>LUC-E00-420047-02</v>
          </cell>
          <cell r="F16724">
            <v>409298804630</v>
          </cell>
        </row>
        <row r="16725">
          <cell r="E16725" t="str">
            <v>LUC-EZZ-420091-00</v>
          </cell>
          <cell r="F16725">
            <v>409298804630</v>
          </cell>
        </row>
        <row r="16726">
          <cell r="E16726" t="str">
            <v>LUC-EZZ-420179-00</v>
          </cell>
          <cell r="F16726">
            <v>409298804630</v>
          </cell>
        </row>
        <row r="16727">
          <cell r="E16727" t="str">
            <v>LUC-E00-440144-00</v>
          </cell>
          <cell r="F16727">
            <v>409298804630</v>
          </cell>
        </row>
        <row r="16728">
          <cell r="E16728" t="str">
            <v>LUC-E00-420047-00</v>
          </cell>
          <cell r="F16728">
            <v>409298804630</v>
          </cell>
        </row>
        <row r="16729">
          <cell r="E16729" t="str">
            <v>LUC-E00-400018-01</v>
          </cell>
          <cell r="F16729">
            <v>409298804630</v>
          </cell>
        </row>
        <row r="16730">
          <cell r="E16730" t="str">
            <v>LUC-E00-400010-004</v>
          </cell>
          <cell r="F16730">
            <v>409298804630</v>
          </cell>
        </row>
        <row r="16731">
          <cell r="E16731" t="str">
            <v>HLOB-25-0009-00</v>
          </cell>
          <cell r="F16731">
            <v>409298804630</v>
          </cell>
        </row>
        <row r="16732">
          <cell r="E16732" t="str">
            <v>PUR-25-0009-00</v>
          </cell>
          <cell r="F16732">
            <v>409298804630</v>
          </cell>
        </row>
        <row r="16733">
          <cell r="E16733" t="str">
            <v>PUR-25-0009-00</v>
          </cell>
          <cell r="F16733">
            <v>409298804630</v>
          </cell>
        </row>
        <row r="16734">
          <cell r="E16734" t="str">
            <v>LUC-EZZ-420084-00</v>
          </cell>
          <cell r="F16734">
            <v>409298804630</v>
          </cell>
        </row>
        <row r="16735">
          <cell r="E16735" t="str">
            <v>HLOB-25-0009-00</v>
          </cell>
          <cell r="F16735">
            <v>409298804630</v>
          </cell>
        </row>
        <row r="16736">
          <cell r="E16736" t="str">
            <v>PUR-25-0009-00</v>
          </cell>
          <cell r="F16736">
            <v>409298804630</v>
          </cell>
        </row>
        <row r="16737">
          <cell r="E16737" t="str">
            <v>LUC-E00-440031-00</v>
          </cell>
          <cell r="F16737">
            <v>409298804630</v>
          </cell>
        </row>
        <row r="16738">
          <cell r="E16738" t="str">
            <v>LUC-E00-440024-00</v>
          </cell>
          <cell r="F16738">
            <v>409298804630</v>
          </cell>
        </row>
        <row r="16739">
          <cell r="E16739" t="str">
            <v>LUC-EZZ-400246-00</v>
          </cell>
          <cell r="F16739">
            <v>409298804630</v>
          </cell>
        </row>
        <row r="16740">
          <cell r="E16740" t="str">
            <v>LUC-EZZ-420084-00</v>
          </cell>
          <cell r="F16740">
            <v>409298804630</v>
          </cell>
        </row>
        <row r="16741">
          <cell r="E16741" t="str">
            <v>HLOB-12-0467-00</v>
          </cell>
          <cell r="F16741">
            <v>409298804630</v>
          </cell>
        </row>
        <row r="16742">
          <cell r="E16742" t="str">
            <v>LUC-EZZ-420194-00</v>
          </cell>
          <cell r="F16742">
            <v>409298804630</v>
          </cell>
        </row>
        <row r="16743">
          <cell r="E16743" t="str">
            <v>LUC-EZZ-420210-00</v>
          </cell>
          <cell r="F16743">
            <v>409298804630</v>
          </cell>
        </row>
        <row r="16744">
          <cell r="E16744" t="str">
            <v>LUC-EZZ-400454-00</v>
          </cell>
          <cell r="F16744">
            <v>409298804630</v>
          </cell>
        </row>
        <row r="16745">
          <cell r="E16745" t="str">
            <v>HLOB-12-0470-00</v>
          </cell>
          <cell r="F16745">
            <v>409298804630</v>
          </cell>
        </row>
        <row r="16746">
          <cell r="E16746" t="str">
            <v>LUC-EZZ-420101-00</v>
          </cell>
          <cell r="F16746">
            <v>409298804630</v>
          </cell>
        </row>
        <row r="16747">
          <cell r="E16747" t="str">
            <v>LUC-EZZ-420101-00</v>
          </cell>
          <cell r="F16747">
            <v>409298804630</v>
          </cell>
        </row>
        <row r="16748">
          <cell r="E16748" t="str">
            <v>LUC-E00-470085-00</v>
          </cell>
          <cell r="F16748">
            <v>393129303093</v>
          </cell>
        </row>
        <row r="16749">
          <cell r="E16749" t="str">
            <v>LUC-E00-470039-00</v>
          </cell>
          <cell r="F16749">
            <v>393129303093</v>
          </cell>
        </row>
        <row r="16750">
          <cell r="E16750" t="str">
            <v>LUC-E00-690030-02</v>
          </cell>
          <cell r="F16750">
            <v>462141459954</v>
          </cell>
        </row>
        <row r="16751">
          <cell r="E16751" t="str">
            <v>LUC-HJ-A317</v>
          </cell>
          <cell r="F16751">
            <v>884280697360</v>
          </cell>
        </row>
        <row r="16752">
          <cell r="E16752" t="str">
            <v>LUC-E00-470073-00</v>
          </cell>
          <cell r="F16752">
            <v>393011266930</v>
          </cell>
        </row>
        <row r="16753">
          <cell r="E16753" t="str">
            <v>LUC-E00-470086-00</v>
          </cell>
          <cell r="F16753">
            <v>393011266930</v>
          </cell>
        </row>
        <row r="16754">
          <cell r="E16754" t="str">
            <v>LUC-P00-F85MDY-00</v>
          </cell>
          <cell r="F16754">
            <v>884315333613</v>
          </cell>
        </row>
        <row r="16755">
          <cell r="E16755" t="str">
            <v>LUC-E00-690215-00</v>
          </cell>
          <cell r="F16755">
            <v>472187329447</v>
          </cell>
        </row>
        <row r="16756">
          <cell r="E16756" t="str">
            <v>LUC-EZZ-471743-00</v>
          </cell>
          <cell r="F16756">
            <v>393057088920</v>
          </cell>
        </row>
        <row r="16757">
          <cell r="E16757" t="str">
            <v>LUC-E00-470086-00</v>
          </cell>
          <cell r="F16757">
            <v>393057088920</v>
          </cell>
        </row>
        <row r="16758">
          <cell r="E16758" t="str">
            <v>141-001629</v>
          </cell>
          <cell r="F16758">
            <v>4914959937</v>
          </cell>
        </row>
        <row r="16759">
          <cell r="E16759" t="str">
            <v>141-001532</v>
          </cell>
          <cell r="F16759">
            <v>4914959937</v>
          </cell>
        </row>
        <row r="16760">
          <cell r="E16760" t="str">
            <v>141-001532</v>
          </cell>
          <cell r="F16760">
            <v>4914959937</v>
          </cell>
        </row>
        <row r="16761">
          <cell r="E16761" t="str">
            <v>LUC-E00-420037-02</v>
          </cell>
          <cell r="F16761">
            <v>884361308107</v>
          </cell>
        </row>
        <row r="16762">
          <cell r="E16762" t="str">
            <v>LUC-E00-420037-02</v>
          </cell>
          <cell r="F16762">
            <v>884361308107</v>
          </cell>
        </row>
        <row r="16763">
          <cell r="E16763" t="str">
            <v>LUC-EZZ-440037-00</v>
          </cell>
          <cell r="F16763">
            <v>884361308107</v>
          </cell>
        </row>
        <row r="16764">
          <cell r="E16764" t="str">
            <v>PURET-13-0028-00</v>
          </cell>
          <cell r="F16764">
            <v>884361308107</v>
          </cell>
        </row>
        <row r="16765">
          <cell r="E16765" t="str">
            <v>PUR-13-0244-00</v>
          </cell>
          <cell r="F16765">
            <v>884361308107</v>
          </cell>
        </row>
        <row r="16766">
          <cell r="E16766" t="str">
            <v>LUC-E00-510020-00</v>
          </cell>
          <cell r="F16766">
            <v>884361308107</v>
          </cell>
        </row>
        <row r="16767">
          <cell r="E16767" t="str">
            <v>LUC-E00-420045-01</v>
          </cell>
          <cell r="F16767">
            <v>884361308107</v>
          </cell>
        </row>
        <row r="16768">
          <cell r="E16768" t="str">
            <v>LUC-E00-400001-013</v>
          </cell>
          <cell r="F16768">
            <v>480329304238</v>
          </cell>
        </row>
        <row r="16769">
          <cell r="E16769" t="str">
            <v>LUC-E00-420038-01</v>
          </cell>
          <cell r="F16769">
            <v>480329304238</v>
          </cell>
        </row>
        <row r="16770">
          <cell r="E16770" t="str">
            <v>LUC-P11-K41700-00</v>
          </cell>
          <cell r="F16770">
            <v>480329304238</v>
          </cell>
        </row>
        <row r="16771">
          <cell r="E16771" t="str">
            <v>LUC-EZZ-400425-00</v>
          </cell>
          <cell r="F16771">
            <v>480329304238</v>
          </cell>
        </row>
        <row r="16772">
          <cell r="E16772" t="str">
            <v>110-000068.X.X</v>
          </cell>
          <cell r="F16772">
            <v>480329304238</v>
          </cell>
        </row>
        <row r="16773">
          <cell r="E16773" t="str">
            <v>LUC-E00-470361-00</v>
          </cell>
          <cell r="F16773">
            <v>480329304238</v>
          </cell>
        </row>
        <row r="16774">
          <cell r="E16774" t="str">
            <v>123-001854</v>
          </cell>
          <cell r="F16774">
            <v>480329304238</v>
          </cell>
        </row>
        <row r="16775">
          <cell r="E16775" t="str">
            <v>HLOB-11-0104-06</v>
          </cell>
          <cell r="F16775" t="str">
            <v>PSHPH2590046</v>
          </cell>
        </row>
        <row r="16776">
          <cell r="E16776" t="str">
            <v>PUR-11-0104-05</v>
          </cell>
          <cell r="F16776" t="str">
            <v>PSHPH2590046</v>
          </cell>
        </row>
        <row r="16777">
          <cell r="E16777" t="str">
            <v>HLOB-11-0104-06</v>
          </cell>
          <cell r="F16777" t="str">
            <v>PSHPH2590046</v>
          </cell>
        </row>
        <row r="16778">
          <cell r="E16778" t="str">
            <v>PUR-11-0104-05</v>
          </cell>
          <cell r="F16778" t="str">
            <v>PSHPH2590046</v>
          </cell>
        </row>
        <row r="16779">
          <cell r="E16779" t="str">
            <v>LUC-P11-K2B300-03</v>
          </cell>
          <cell r="F16779" t="str">
            <v>PSHPH2590034</v>
          </cell>
        </row>
        <row r="16780">
          <cell r="E16780" t="str">
            <v>LUC-P11-K2B300-03</v>
          </cell>
          <cell r="F16780" t="str">
            <v>PSHPH2590034</v>
          </cell>
        </row>
        <row r="16781">
          <cell r="E16781" t="str">
            <v>102-001670</v>
          </cell>
          <cell r="F16781" t="str">
            <v>HDLCA103170</v>
          </cell>
        </row>
        <row r="16782">
          <cell r="E16782" t="str">
            <v>102-001670</v>
          </cell>
          <cell r="F16782" t="str">
            <v>HDLCA103171</v>
          </cell>
        </row>
        <row r="16783">
          <cell r="E16783" t="str">
            <v>102-001670</v>
          </cell>
          <cell r="F16783" t="str">
            <v>HDLCA103171</v>
          </cell>
        </row>
        <row r="16784">
          <cell r="E16784" t="str">
            <v>121-001823</v>
          </cell>
          <cell r="F16784">
            <v>471783740756</v>
          </cell>
        </row>
        <row r="16785">
          <cell r="E16785" t="str">
            <v>121-000359.X.X</v>
          </cell>
          <cell r="F16785">
            <v>471783740756</v>
          </cell>
        </row>
        <row r="16786">
          <cell r="E16786" t="str">
            <v>122-000821.X.X</v>
          </cell>
          <cell r="F16786">
            <v>471783740756</v>
          </cell>
        </row>
        <row r="16787">
          <cell r="E16787" t="str">
            <v>122-000821.X.X</v>
          </cell>
          <cell r="F16787">
            <v>471783740756</v>
          </cell>
        </row>
        <row r="16788">
          <cell r="E16788" t="str">
            <v>121-001609</v>
          </cell>
          <cell r="F16788">
            <v>471783740756</v>
          </cell>
        </row>
        <row r="16789">
          <cell r="E16789" t="str">
            <v>121-001611</v>
          </cell>
          <cell r="F16789">
            <v>471783740756</v>
          </cell>
        </row>
        <row r="16790">
          <cell r="E16790" t="str">
            <v>121-001611</v>
          </cell>
          <cell r="F16790">
            <v>471783740756</v>
          </cell>
        </row>
        <row r="16791">
          <cell r="E16791" t="str">
            <v>121-001611</v>
          </cell>
          <cell r="F16791">
            <v>471783740756</v>
          </cell>
        </row>
        <row r="16792">
          <cell r="E16792" t="str">
            <v>121-001611</v>
          </cell>
          <cell r="F16792">
            <v>471783740756</v>
          </cell>
        </row>
        <row r="16793">
          <cell r="E16793" t="str">
            <v>121-001611</v>
          </cell>
          <cell r="F16793">
            <v>471783740756</v>
          </cell>
        </row>
        <row r="16794">
          <cell r="E16794" t="str">
            <v>121-001611</v>
          </cell>
          <cell r="F16794">
            <v>471783740756</v>
          </cell>
        </row>
        <row r="16795">
          <cell r="E16795" t="str">
            <v>121-000107.X.X</v>
          </cell>
          <cell r="F16795">
            <v>471783740756</v>
          </cell>
        </row>
        <row r="16796">
          <cell r="E16796" t="str">
            <v>121-000256.X.X</v>
          </cell>
          <cell r="F16796">
            <v>471783740756</v>
          </cell>
        </row>
        <row r="16797">
          <cell r="E16797" t="str">
            <v>122-001250</v>
          </cell>
          <cell r="F16797">
            <v>471783740756</v>
          </cell>
        </row>
        <row r="16798">
          <cell r="E16798" t="str">
            <v>LUC-E00-470110-00</v>
          </cell>
          <cell r="F16798">
            <v>393243576414</v>
          </cell>
        </row>
        <row r="16799">
          <cell r="E16799" t="str">
            <v>160-001172</v>
          </cell>
          <cell r="F16799">
            <v>884311803674</v>
          </cell>
        </row>
        <row r="16800">
          <cell r="E16800" t="str">
            <v>LUC-EZZ-400244-00</v>
          </cell>
          <cell r="F16800">
            <v>480947350677</v>
          </cell>
        </row>
        <row r="16801">
          <cell r="E16801" t="str">
            <v>LUC-E00-690011-00</v>
          </cell>
          <cell r="F16801">
            <v>393155035775</v>
          </cell>
        </row>
        <row r="16802">
          <cell r="E16802" t="str">
            <v>LUC-EZZ-480006-00</v>
          </cell>
          <cell r="F16802">
            <v>478066417502</v>
          </cell>
        </row>
        <row r="16803">
          <cell r="E16803" t="str">
            <v>LUC-E00-480005-00</v>
          </cell>
          <cell r="F16803">
            <v>478066417502</v>
          </cell>
        </row>
        <row r="16804">
          <cell r="E16804" t="str">
            <v>AIC-132-001532</v>
          </cell>
          <cell r="F16804">
            <v>1361384161</v>
          </cell>
        </row>
        <row r="16805">
          <cell r="E16805" t="str">
            <v>LUC-EZZ-470138-00</v>
          </cell>
          <cell r="F16805">
            <v>1361384161</v>
          </cell>
        </row>
        <row r="16806">
          <cell r="E16806" t="str">
            <v>LUC-E00-470116-00</v>
          </cell>
          <cell r="F16806">
            <v>1361384161</v>
          </cell>
        </row>
        <row r="16807">
          <cell r="E16807" t="str">
            <v>LUC-E00-470116-00</v>
          </cell>
          <cell r="F16807">
            <v>393175951745</v>
          </cell>
        </row>
        <row r="16808">
          <cell r="E16808" t="str">
            <v>LUC-E00-470519-00</v>
          </cell>
          <cell r="F16808">
            <v>393165561376</v>
          </cell>
        </row>
        <row r="16809">
          <cell r="E16809" t="str">
            <v>LUC-E00-690215-00</v>
          </cell>
          <cell r="F16809">
            <v>472187329826</v>
          </cell>
        </row>
        <row r="16810">
          <cell r="E16810" t="str">
            <v>HLOB-14-0087-00</v>
          </cell>
          <cell r="F16810">
            <v>445170584193</v>
          </cell>
        </row>
        <row r="16811">
          <cell r="E16811" t="str">
            <v>HLOB-14-0087-00</v>
          </cell>
          <cell r="F16811">
            <v>445170584193</v>
          </cell>
        </row>
        <row r="16812">
          <cell r="E16812" t="str">
            <v>PUR-14-0087-00</v>
          </cell>
          <cell r="F16812">
            <v>445170584193</v>
          </cell>
        </row>
        <row r="16813">
          <cell r="E16813" t="str">
            <v>PUR-14-0087-00</v>
          </cell>
          <cell r="F16813">
            <v>445170584193</v>
          </cell>
        </row>
        <row r="16814">
          <cell r="E16814" t="str">
            <v>LUC-E00-420071-00</v>
          </cell>
          <cell r="F16814">
            <v>445170584193</v>
          </cell>
        </row>
        <row r="16815">
          <cell r="E16815" t="str">
            <v>LUC-E00-400001-005</v>
          </cell>
          <cell r="F16815">
            <v>445170584193</v>
          </cell>
        </row>
        <row r="16816">
          <cell r="E16816" t="str">
            <v>LUC-E00-400035-06</v>
          </cell>
          <cell r="F16816">
            <v>445170584193</v>
          </cell>
        </row>
        <row r="16817">
          <cell r="E16817" t="str">
            <v>LUC-EZZ-470139-00</v>
          </cell>
          <cell r="F16817">
            <v>445170584193</v>
          </cell>
        </row>
        <row r="16818">
          <cell r="E16818" t="str">
            <v>LUC-E00-470028-00</v>
          </cell>
          <cell r="F16818">
            <v>445170584193</v>
          </cell>
        </row>
        <row r="16819">
          <cell r="E16819" t="str">
            <v>LUC-E00-470125-00</v>
          </cell>
          <cell r="F16819">
            <v>445170584193</v>
          </cell>
        </row>
        <row r="16820">
          <cell r="E16820" t="str">
            <v>LUC-EZZ-470241-00</v>
          </cell>
          <cell r="F16820">
            <v>445170584193</v>
          </cell>
        </row>
        <row r="16821">
          <cell r="E16821" t="str">
            <v>LUC-EZZ-470241-00</v>
          </cell>
          <cell r="F16821">
            <v>445170584193</v>
          </cell>
        </row>
        <row r="16822">
          <cell r="E16822" t="str">
            <v>EF-45071390.X.X</v>
          </cell>
          <cell r="F16822">
            <v>445170584193</v>
          </cell>
        </row>
        <row r="16823">
          <cell r="E16823" t="str">
            <v>LUC-E00-470037-00</v>
          </cell>
          <cell r="F16823">
            <v>445170584193</v>
          </cell>
        </row>
        <row r="16824">
          <cell r="E16824" t="str">
            <v>LUC-EZZ-470096-00</v>
          </cell>
          <cell r="F16824">
            <v>445170584193</v>
          </cell>
        </row>
        <row r="16825">
          <cell r="E16825" t="str">
            <v>LUC-EZZ-471571-00</v>
          </cell>
          <cell r="F16825">
            <v>445170584193</v>
          </cell>
        </row>
        <row r="16826">
          <cell r="E16826" t="str">
            <v>LUC-EZZ-471571-00</v>
          </cell>
          <cell r="F16826">
            <v>445170584193</v>
          </cell>
        </row>
        <row r="16827">
          <cell r="E16827" t="str">
            <v>LUC-EZZ-470811-00</v>
          </cell>
          <cell r="F16827">
            <v>445170584193</v>
          </cell>
        </row>
        <row r="16828">
          <cell r="E16828" t="str">
            <v>LUC-EZZ-470811-00</v>
          </cell>
          <cell r="F16828">
            <v>445170584193</v>
          </cell>
        </row>
        <row r="16829">
          <cell r="E16829" t="str">
            <v>LUC-E00-470472-00</v>
          </cell>
          <cell r="F16829">
            <v>445170584193</v>
          </cell>
        </row>
        <row r="16830">
          <cell r="E16830" t="str">
            <v>EF-45091073.X.X</v>
          </cell>
          <cell r="F16830">
            <v>445170584193</v>
          </cell>
        </row>
        <row r="16831">
          <cell r="E16831" t="str">
            <v>LUC-E00-470017-00</v>
          </cell>
          <cell r="F16831">
            <v>445170584193</v>
          </cell>
        </row>
        <row r="16832">
          <cell r="E16832" t="str">
            <v>LUC-EZZ-470308-00</v>
          </cell>
          <cell r="F16832">
            <v>445170584193</v>
          </cell>
        </row>
        <row r="16833">
          <cell r="E16833" t="str">
            <v>LUC-EZZ-470811-00</v>
          </cell>
          <cell r="F16833">
            <v>445170584193</v>
          </cell>
        </row>
        <row r="16834">
          <cell r="E16834" t="str">
            <v>LUC-EZZ-470181-00</v>
          </cell>
          <cell r="F16834">
            <v>445170584193</v>
          </cell>
        </row>
        <row r="16835">
          <cell r="E16835" t="str">
            <v>LUC-E00-470071-01</v>
          </cell>
          <cell r="F16835">
            <v>445170584193</v>
          </cell>
        </row>
        <row r="16836">
          <cell r="E16836" t="str">
            <v>LUC-EZZ-470181-00</v>
          </cell>
          <cell r="F16836">
            <v>445170584193</v>
          </cell>
        </row>
        <row r="16837">
          <cell r="E16837" t="str">
            <v>HLOB-09-0424-00</v>
          </cell>
          <cell r="F16837">
            <v>445170584193</v>
          </cell>
        </row>
        <row r="16838">
          <cell r="E16838" t="str">
            <v>LUC-EZZ-470248-02</v>
          </cell>
          <cell r="F16838">
            <v>445170584193</v>
          </cell>
        </row>
        <row r="16839">
          <cell r="E16839" t="str">
            <v>LUC-E00-470127-00</v>
          </cell>
          <cell r="F16839">
            <v>445170584193</v>
          </cell>
        </row>
        <row r="16840">
          <cell r="E16840" t="str">
            <v>PUR-09-0343-00</v>
          </cell>
          <cell r="F16840">
            <v>470198095937</v>
          </cell>
        </row>
        <row r="16841">
          <cell r="E16841" t="str">
            <v>PUR-09-0343-00</v>
          </cell>
          <cell r="F16841">
            <v>470198095937</v>
          </cell>
        </row>
        <row r="16842">
          <cell r="E16842" t="str">
            <v>PUR-09-0343-00</v>
          </cell>
          <cell r="F16842">
            <v>470198095937</v>
          </cell>
        </row>
        <row r="16843">
          <cell r="E16843" t="str">
            <v>PUR-09-0343-00</v>
          </cell>
          <cell r="F16843">
            <v>470198095937</v>
          </cell>
        </row>
        <row r="16844">
          <cell r="E16844" t="str">
            <v>PUR-09-0343-00</v>
          </cell>
          <cell r="F16844">
            <v>470198095937</v>
          </cell>
        </row>
        <row r="16845">
          <cell r="E16845" t="str">
            <v>PUR-09-0343-00</v>
          </cell>
          <cell r="F16845">
            <v>470198095937</v>
          </cell>
        </row>
        <row r="16846">
          <cell r="E16846" t="str">
            <v>LUC-E00-470127-00</v>
          </cell>
          <cell r="F16846">
            <v>480947348699</v>
          </cell>
        </row>
        <row r="16847">
          <cell r="E16847" t="str">
            <v>LUC-EZZ-690131-00</v>
          </cell>
          <cell r="F16847">
            <v>4110328616</v>
          </cell>
        </row>
        <row r="16848">
          <cell r="E16848" t="str">
            <v>LUC-EZZ-690131-00</v>
          </cell>
          <cell r="F16848">
            <v>4110328617</v>
          </cell>
        </row>
        <row r="16849">
          <cell r="E16849" t="str">
            <v>LUC-EZZ-690241-00</v>
          </cell>
          <cell r="F16849">
            <v>4110328665</v>
          </cell>
        </row>
        <row r="16850">
          <cell r="E16850" t="str">
            <v>LUC-EZZ-690241-00</v>
          </cell>
          <cell r="F16850">
            <v>4110328742</v>
          </cell>
        </row>
        <row r="16851">
          <cell r="E16851" t="str">
            <v>LUC-EZZ-690145-00</v>
          </cell>
          <cell r="F16851">
            <v>4110328741</v>
          </cell>
        </row>
        <row r="16852">
          <cell r="E16852" t="str">
            <v>HLOB-09-0417-00</v>
          </cell>
          <cell r="F16852">
            <v>4711881318</v>
          </cell>
        </row>
        <row r="16853">
          <cell r="E16853" t="str">
            <v>LUC-E00-400043-00</v>
          </cell>
          <cell r="F16853">
            <v>4711881318</v>
          </cell>
        </row>
        <row r="16854">
          <cell r="E16854" t="str">
            <v>LUC-EZZ-420695-01</v>
          </cell>
          <cell r="F16854">
            <v>4711881318</v>
          </cell>
        </row>
        <row r="16855">
          <cell r="E16855" t="str">
            <v>LUC-E00-420073-00</v>
          </cell>
          <cell r="F16855">
            <v>4711881318</v>
          </cell>
        </row>
        <row r="16856">
          <cell r="E16856" t="str">
            <v>LUC-EZZ-441297-00</v>
          </cell>
          <cell r="F16856">
            <v>4711881318</v>
          </cell>
        </row>
        <row r="16857">
          <cell r="E16857" t="str">
            <v>LUC-E00-420084-00</v>
          </cell>
          <cell r="F16857">
            <v>4711881318</v>
          </cell>
        </row>
        <row r="16858">
          <cell r="E16858" t="str">
            <v>LUC-EZZ-511304-00</v>
          </cell>
          <cell r="F16858">
            <v>4711881318</v>
          </cell>
        </row>
        <row r="16859">
          <cell r="E16859" t="str">
            <v>LUC-EZZ-421554-00</v>
          </cell>
          <cell r="F16859">
            <v>4711881318</v>
          </cell>
        </row>
        <row r="16860">
          <cell r="E16860" t="str">
            <v>LUC-EZZ-400608-00</v>
          </cell>
          <cell r="F16860">
            <v>4711881318</v>
          </cell>
        </row>
        <row r="16861">
          <cell r="E16861" t="str">
            <v>LUC-E00-400067-344</v>
          </cell>
          <cell r="F16861">
            <v>4711881318</v>
          </cell>
        </row>
        <row r="16862">
          <cell r="E16862" t="str">
            <v>LUC-EZZ-420124-00</v>
          </cell>
          <cell r="F16862">
            <v>4711881318</v>
          </cell>
        </row>
        <row r="16863">
          <cell r="E16863" t="str">
            <v>LUC-EZZ-440189-00</v>
          </cell>
          <cell r="F16863">
            <v>4711881318</v>
          </cell>
        </row>
        <row r="16864">
          <cell r="E16864" t="str">
            <v>LUC-E00-420043-01</v>
          </cell>
          <cell r="F16864">
            <v>4711881318</v>
          </cell>
        </row>
        <row r="16865">
          <cell r="E16865" t="str">
            <v>PUR-25-0009-00</v>
          </cell>
          <cell r="F16865">
            <v>4711881318</v>
          </cell>
        </row>
        <row r="16866">
          <cell r="E16866" t="str">
            <v>PUR-25-0009-00</v>
          </cell>
          <cell r="F16866">
            <v>4711881318</v>
          </cell>
        </row>
        <row r="16867">
          <cell r="E16867" t="str">
            <v>LUC-EZZ-440016-00</v>
          </cell>
          <cell r="F16867">
            <v>4711881318</v>
          </cell>
        </row>
        <row r="16868">
          <cell r="E16868" t="str">
            <v>LUC-EZZ-400200-00</v>
          </cell>
          <cell r="F16868">
            <v>4711881318</v>
          </cell>
        </row>
        <row r="16869">
          <cell r="E16869" t="str">
            <v>LUC-E00-420074-00</v>
          </cell>
          <cell r="F16869">
            <v>4711881318</v>
          </cell>
        </row>
        <row r="16870">
          <cell r="E16870" t="str">
            <v>LUC-E00-400011-003</v>
          </cell>
          <cell r="F16870">
            <v>4711881318</v>
          </cell>
        </row>
        <row r="16871">
          <cell r="E16871" t="str">
            <v>LUC-E00-400067-263</v>
          </cell>
          <cell r="F16871">
            <v>4711881318</v>
          </cell>
        </row>
        <row r="16872">
          <cell r="E16872" t="str">
            <v>LUC-E00-420172-00</v>
          </cell>
          <cell r="F16872">
            <v>4711881318</v>
          </cell>
        </row>
        <row r="16873">
          <cell r="E16873" t="str">
            <v>LUC-EZZ-420331-00</v>
          </cell>
          <cell r="F16873">
            <v>4711881318</v>
          </cell>
        </row>
        <row r="16874">
          <cell r="E16874" t="str">
            <v>LUC-E00-440022-00</v>
          </cell>
          <cell r="F16874">
            <v>4711881318</v>
          </cell>
        </row>
        <row r="16875">
          <cell r="E16875" t="str">
            <v>LUC-EZZ-420482-00</v>
          </cell>
          <cell r="F16875">
            <v>4711881318</v>
          </cell>
        </row>
        <row r="16876">
          <cell r="E16876" t="str">
            <v>HLOB-13-0001-00</v>
          </cell>
          <cell r="F16876">
            <v>4711881318</v>
          </cell>
        </row>
        <row r="16877">
          <cell r="E16877" t="str">
            <v>LUC-EZZ-420145-00</v>
          </cell>
          <cell r="F16877">
            <v>4711881318</v>
          </cell>
        </row>
        <row r="16878">
          <cell r="E16878" t="str">
            <v>LUC-EZZ-420396-00</v>
          </cell>
          <cell r="F16878">
            <v>4711881318</v>
          </cell>
        </row>
        <row r="16879">
          <cell r="E16879" t="str">
            <v>LUC-E00-420055-15</v>
          </cell>
          <cell r="F16879">
            <v>4711881318</v>
          </cell>
        </row>
        <row r="16880">
          <cell r="E16880" t="str">
            <v>LUC-E00-400034-118</v>
          </cell>
          <cell r="F16880">
            <v>4711881318</v>
          </cell>
        </row>
        <row r="16881">
          <cell r="E16881" t="str">
            <v>LUC-E00-400043-00</v>
          </cell>
          <cell r="F16881">
            <v>4711881318</v>
          </cell>
        </row>
        <row r="16882">
          <cell r="E16882" t="str">
            <v>LUC-E00-400010-022</v>
          </cell>
          <cell r="F16882">
            <v>480947345623</v>
          </cell>
        </row>
        <row r="16883">
          <cell r="E16883" t="str">
            <v>LUC-E00-690010-03</v>
          </cell>
          <cell r="F16883">
            <v>393116659381</v>
          </cell>
        </row>
        <row r="16884">
          <cell r="E16884" t="str">
            <v>EF-45049984.X.X</v>
          </cell>
          <cell r="F16884">
            <v>419341581715</v>
          </cell>
        </row>
        <row r="16885">
          <cell r="E16885" t="str">
            <v>AIC-MP-00006101-000</v>
          </cell>
          <cell r="F16885">
            <v>884361563757</v>
          </cell>
        </row>
        <row r="16886">
          <cell r="E16886" t="str">
            <v>LUC-EZZ-690243-00</v>
          </cell>
          <cell r="F16886">
            <v>393116463404</v>
          </cell>
        </row>
        <row r="16887">
          <cell r="E16887" t="str">
            <v>AIC-MP-00001988-000</v>
          </cell>
          <cell r="F16887">
            <v>471783740594</v>
          </cell>
        </row>
        <row r="16888">
          <cell r="E16888" t="str">
            <v>AGI-510-40084-01</v>
          </cell>
          <cell r="F16888">
            <v>471783740594</v>
          </cell>
        </row>
        <row r="16889">
          <cell r="E16889" t="str">
            <v>122-000907.X.X</v>
          </cell>
          <cell r="F16889">
            <v>471783740594</v>
          </cell>
        </row>
        <row r="16890">
          <cell r="E16890" t="str">
            <v>122-000756.X.X</v>
          </cell>
          <cell r="F16890">
            <v>471783740594</v>
          </cell>
        </row>
        <row r="16891">
          <cell r="E16891" t="str">
            <v>122-000673.X.X</v>
          </cell>
          <cell r="F16891">
            <v>471783740594</v>
          </cell>
        </row>
        <row r="16892">
          <cell r="E16892" t="str">
            <v>AGI-510-40088-01</v>
          </cell>
          <cell r="F16892">
            <v>471783740594</v>
          </cell>
        </row>
        <row r="16893">
          <cell r="E16893" t="str">
            <v>AGI-510-40085-01</v>
          </cell>
          <cell r="F16893">
            <v>471783740594</v>
          </cell>
        </row>
        <row r="16894">
          <cell r="E16894" t="str">
            <v>AGI-510-40085-01</v>
          </cell>
          <cell r="F16894">
            <v>471783740594</v>
          </cell>
        </row>
        <row r="16895">
          <cell r="E16895" t="str">
            <v>HLOB-13-0006-00</v>
          </cell>
          <cell r="F16895">
            <v>471783740594</v>
          </cell>
        </row>
        <row r="16896">
          <cell r="E16896" t="str">
            <v>HLOB-13-0006-00</v>
          </cell>
          <cell r="F16896">
            <v>471783740594</v>
          </cell>
        </row>
        <row r="16897">
          <cell r="E16897" t="str">
            <v>PURET-13-0006-00</v>
          </cell>
          <cell r="F16897">
            <v>471783740594</v>
          </cell>
        </row>
        <row r="16898">
          <cell r="E16898" t="str">
            <v>LUC-EZZ-400042-00</v>
          </cell>
          <cell r="F16898">
            <v>471783740594</v>
          </cell>
        </row>
        <row r="16899">
          <cell r="E16899" t="str">
            <v>LUC-EZZ-400042-00</v>
          </cell>
          <cell r="F16899">
            <v>471783740594</v>
          </cell>
        </row>
        <row r="16900">
          <cell r="E16900" t="str">
            <v>LUC-E00-400035-04</v>
          </cell>
          <cell r="F16900">
            <v>471783740594</v>
          </cell>
        </row>
        <row r="16901">
          <cell r="E16901" t="str">
            <v>PUR-12-0297-00</v>
          </cell>
          <cell r="F16901">
            <v>471783740594</v>
          </cell>
        </row>
        <row r="16902">
          <cell r="E16902" t="str">
            <v>PURET-12-0212-00</v>
          </cell>
          <cell r="F16902">
            <v>471783740594</v>
          </cell>
        </row>
        <row r="16903">
          <cell r="E16903" t="str">
            <v>AGI-500-40065-01</v>
          </cell>
          <cell r="F16903">
            <v>471783740594</v>
          </cell>
        </row>
        <row r="16904">
          <cell r="E16904" t="str">
            <v>121-000508.X.X</v>
          </cell>
          <cell r="F16904">
            <v>471783740594</v>
          </cell>
        </row>
        <row r="16905">
          <cell r="E16905" t="str">
            <v>121-000519.X.X</v>
          </cell>
          <cell r="F16905">
            <v>471783740594</v>
          </cell>
        </row>
        <row r="16906">
          <cell r="E16906" t="str">
            <v>121-000519.X.X</v>
          </cell>
          <cell r="F16906">
            <v>471783740594</v>
          </cell>
        </row>
        <row r="16907">
          <cell r="E16907" t="str">
            <v>121-000602.X.X</v>
          </cell>
          <cell r="F16907">
            <v>471783740594</v>
          </cell>
        </row>
        <row r="16908">
          <cell r="E16908" t="str">
            <v>PUR-12-0293-00</v>
          </cell>
          <cell r="F16908">
            <v>471783740594</v>
          </cell>
        </row>
        <row r="16909">
          <cell r="E16909" t="str">
            <v>121-001881</v>
          </cell>
          <cell r="F16909">
            <v>471783740594</v>
          </cell>
        </row>
        <row r="16910">
          <cell r="E16910" t="str">
            <v>121-000512.X.X</v>
          </cell>
          <cell r="F16910">
            <v>471783740594</v>
          </cell>
        </row>
        <row r="16911">
          <cell r="E16911" t="str">
            <v>121-000884.X.X</v>
          </cell>
          <cell r="F16911">
            <v>471783740594</v>
          </cell>
        </row>
        <row r="16912">
          <cell r="E16912" t="str">
            <v>AGI-500-40136-01</v>
          </cell>
          <cell r="F16912">
            <v>471783740594</v>
          </cell>
        </row>
        <row r="16913">
          <cell r="E16913" t="str">
            <v>PUR-12-0304-00</v>
          </cell>
          <cell r="F16913">
            <v>471783740594</v>
          </cell>
        </row>
        <row r="16914">
          <cell r="E16914" t="str">
            <v>AGI-500-40074-01</v>
          </cell>
          <cell r="F16914">
            <v>471783740594</v>
          </cell>
        </row>
        <row r="16915">
          <cell r="E16915" t="str">
            <v>121-001611</v>
          </cell>
          <cell r="F16915">
            <v>471783740594</v>
          </cell>
        </row>
        <row r="16916">
          <cell r="E16916" t="str">
            <v>121-001611</v>
          </cell>
          <cell r="F16916">
            <v>471783740594</v>
          </cell>
        </row>
        <row r="16917">
          <cell r="E16917" t="str">
            <v>121-001611</v>
          </cell>
          <cell r="F16917">
            <v>471783740594</v>
          </cell>
        </row>
        <row r="16918">
          <cell r="E16918" t="str">
            <v>121-001611</v>
          </cell>
          <cell r="F16918">
            <v>471783740594</v>
          </cell>
        </row>
        <row r="16919">
          <cell r="E16919" t="str">
            <v>121-001611</v>
          </cell>
          <cell r="F16919">
            <v>471783740594</v>
          </cell>
        </row>
        <row r="16920">
          <cell r="E16920" t="str">
            <v>AGI-500-40015-01</v>
          </cell>
          <cell r="F16920">
            <v>471783740594</v>
          </cell>
        </row>
        <row r="16921">
          <cell r="E16921" t="str">
            <v>AGI-500-40015-01</v>
          </cell>
          <cell r="F16921">
            <v>471783740594</v>
          </cell>
        </row>
        <row r="16922">
          <cell r="E16922" t="str">
            <v>121-000525.X.X</v>
          </cell>
          <cell r="F16922">
            <v>471783740594</v>
          </cell>
        </row>
        <row r="16923">
          <cell r="E16923" t="str">
            <v>AGI-500-40096-01</v>
          </cell>
          <cell r="F16923">
            <v>471783740594</v>
          </cell>
        </row>
        <row r="16924">
          <cell r="E16924" t="str">
            <v>AGI-500-40228-01</v>
          </cell>
          <cell r="F16924">
            <v>471783740594</v>
          </cell>
        </row>
        <row r="16925">
          <cell r="E16925" t="str">
            <v>AGI-500-40218-01</v>
          </cell>
          <cell r="F16925">
            <v>471783740594</v>
          </cell>
        </row>
        <row r="16926">
          <cell r="E16926" t="str">
            <v>121-000254.X.X</v>
          </cell>
          <cell r="F16926">
            <v>471783740594</v>
          </cell>
        </row>
        <row r="16927">
          <cell r="E16927" t="str">
            <v>AGI-500-40218-01</v>
          </cell>
          <cell r="F16927">
            <v>471783740594</v>
          </cell>
        </row>
        <row r="16928">
          <cell r="E16928" t="str">
            <v>AGI-500-40218-01</v>
          </cell>
          <cell r="F16928">
            <v>471783740594</v>
          </cell>
        </row>
        <row r="16929">
          <cell r="E16929" t="str">
            <v>AGI-500-40065-01</v>
          </cell>
          <cell r="F16929">
            <v>471783740594</v>
          </cell>
        </row>
        <row r="16930">
          <cell r="E16930" t="str">
            <v>AGI-500-40228-01</v>
          </cell>
          <cell r="F16930">
            <v>471783740594</v>
          </cell>
        </row>
        <row r="16931">
          <cell r="E16931" t="str">
            <v>121-001611</v>
          </cell>
          <cell r="F16931">
            <v>471783740594</v>
          </cell>
        </row>
        <row r="16932">
          <cell r="E16932" t="str">
            <v>121-001611</v>
          </cell>
          <cell r="F16932">
            <v>471783740594</v>
          </cell>
        </row>
        <row r="16933">
          <cell r="E16933" t="str">
            <v>121-001535</v>
          </cell>
          <cell r="F16933">
            <v>471783740594</v>
          </cell>
        </row>
        <row r="16934">
          <cell r="E16934" t="str">
            <v>122-001732</v>
          </cell>
          <cell r="F16934">
            <v>471783740594</v>
          </cell>
        </row>
        <row r="16935">
          <cell r="E16935" t="str">
            <v>LUC-E00-420025-02</v>
          </cell>
          <cell r="F16935">
            <v>471783740594</v>
          </cell>
        </row>
        <row r="16936">
          <cell r="E16936" t="str">
            <v>LUC-E00-420135-00</v>
          </cell>
          <cell r="F16936">
            <v>471783740594</v>
          </cell>
        </row>
        <row r="16937">
          <cell r="E16937" t="str">
            <v>121-000359.X.X</v>
          </cell>
          <cell r="F16937">
            <v>471783740594</v>
          </cell>
        </row>
        <row r="16938">
          <cell r="E16938" t="str">
            <v>121-000359.X.X</v>
          </cell>
          <cell r="F16938">
            <v>471783740594</v>
          </cell>
        </row>
        <row r="16939">
          <cell r="E16939" t="str">
            <v>122-000009.X.X</v>
          </cell>
          <cell r="F16939">
            <v>471783740594</v>
          </cell>
        </row>
        <row r="16940">
          <cell r="E16940" t="str">
            <v>121-000359.X.X</v>
          </cell>
          <cell r="F16940">
            <v>471783740594</v>
          </cell>
        </row>
        <row r="16941">
          <cell r="E16941" t="str">
            <v>121-000359.X.X</v>
          </cell>
          <cell r="F16941">
            <v>471783740594</v>
          </cell>
        </row>
        <row r="16942">
          <cell r="E16942" t="str">
            <v>LUC-LABEL-60X40-G</v>
          </cell>
          <cell r="F16942">
            <v>884312116980</v>
          </cell>
        </row>
        <row r="16943">
          <cell r="E16943" t="str">
            <v>PURET-18-0095-00</v>
          </cell>
          <cell r="F16943">
            <v>884312116980</v>
          </cell>
        </row>
        <row r="16944">
          <cell r="E16944" t="str">
            <v>LUC-E00-690214-00</v>
          </cell>
          <cell r="F16944" t="str">
            <v>Hand Carry PTM 7698754</v>
          </cell>
        </row>
        <row r="16945">
          <cell r="E16945" t="str">
            <v>LUC-E00-690214-00</v>
          </cell>
          <cell r="F16945" t="str">
            <v>Hand Carry 6601373113X</v>
          </cell>
        </row>
        <row r="16946">
          <cell r="E16946" t="str">
            <v>HLOB-05-0031-00</v>
          </cell>
          <cell r="F16946">
            <v>1810910953</v>
          </cell>
        </row>
        <row r="16947">
          <cell r="E16947" t="str">
            <v>PUR-05-0032-00</v>
          </cell>
          <cell r="F16947">
            <v>1810910953</v>
          </cell>
        </row>
        <row r="16948">
          <cell r="E16948" t="str">
            <v>PUR-05-0032-00</v>
          </cell>
          <cell r="F16948">
            <v>1810910953</v>
          </cell>
        </row>
        <row r="16949">
          <cell r="E16949" t="str">
            <v>AGI-530-40013-01</v>
          </cell>
          <cell r="F16949">
            <v>1810912865</v>
          </cell>
        </row>
        <row r="16950">
          <cell r="E16950" t="str">
            <v>LUC-E00-400001-003</v>
          </cell>
          <cell r="F16950">
            <v>1810912865</v>
          </cell>
        </row>
        <row r="16951">
          <cell r="E16951" t="str">
            <v>LUC-EZZ-460781-00</v>
          </cell>
          <cell r="F16951">
            <v>1810912865</v>
          </cell>
        </row>
        <row r="16952">
          <cell r="E16952" t="str">
            <v>LUC-EZZ-450093-00</v>
          </cell>
          <cell r="F16952">
            <v>1810912865</v>
          </cell>
        </row>
        <row r="16953">
          <cell r="E16953" t="str">
            <v>123-001857</v>
          </cell>
          <cell r="F16953">
            <v>475888735210</v>
          </cell>
        </row>
        <row r="16954">
          <cell r="E16954" t="str">
            <v>LUC-P11-K18000-00</v>
          </cell>
          <cell r="F16954">
            <v>475888735210</v>
          </cell>
        </row>
        <row r="16955">
          <cell r="E16955" t="str">
            <v>EF-45081678</v>
          </cell>
          <cell r="F16955">
            <v>475888735210</v>
          </cell>
        </row>
        <row r="16956">
          <cell r="E16956" t="str">
            <v>LUC-GF1500-00-60-50CC</v>
          </cell>
          <cell r="F16956">
            <v>475888735210</v>
          </cell>
        </row>
        <row r="16957">
          <cell r="E16957" t="str">
            <v>LUC-E00-540019-00</v>
          </cell>
          <cell r="F16957">
            <v>475888735210</v>
          </cell>
        </row>
        <row r="16958">
          <cell r="E16958" t="str">
            <v>168-001155</v>
          </cell>
          <cell r="F16958">
            <v>480983998985</v>
          </cell>
        </row>
        <row r="16959">
          <cell r="E16959" t="str">
            <v>121-001826</v>
          </cell>
          <cell r="F16959">
            <v>480983998985</v>
          </cell>
        </row>
        <row r="16960">
          <cell r="E16960" t="str">
            <v>LUC-E00-690033-02</v>
          </cell>
          <cell r="F16960" t="str">
            <v>LSHHPH2508501</v>
          </cell>
        </row>
        <row r="16961">
          <cell r="E16961" t="str">
            <v>LUC-E00-690033-03</v>
          </cell>
          <cell r="F16961" t="str">
            <v>LSHHPH2508501</v>
          </cell>
        </row>
        <row r="16962">
          <cell r="E16962" t="str">
            <v>LUC-E00-400012-001</v>
          </cell>
          <cell r="F16962">
            <v>426080014520</v>
          </cell>
        </row>
        <row r="16963">
          <cell r="E16963" t="str">
            <v>LUC-EZZ-400071-00</v>
          </cell>
          <cell r="F16963">
            <v>426080014520</v>
          </cell>
        </row>
        <row r="16964">
          <cell r="E16964" t="str">
            <v>PUR-31-0103-01</v>
          </cell>
          <cell r="F16964">
            <v>426080014520</v>
          </cell>
        </row>
        <row r="16965">
          <cell r="E16965" t="str">
            <v>123-000467</v>
          </cell>
          <cell r="F16965">
            <v>426080014520</v>
          </cell>
        </row>
        <row r="16966">
          <cell r="E16966" t="str">
            <v>121-005557</v>
          </cell>
          <cell r="F16966">
            <v>426080014520</v>
          </cell>
        </row>
        <row r="16967">
          <cell r="E16967" t="str">
            <v>122-004053</v>
          </cell>
          <cell r="F16967">
            <v>426080014520</v>
          </cell>
        </row>
        <row r="16968">
          <cell r="E16968" t="str">
            <v>PUR-12-0517-00</v>
          </cell>
          <cell r="F16968">
            <v>426080014520</v>
          </cell>
        </row>
        <row r="16969">
          <cell r="E16969" t="str">
            <v>LUC-E00-470137-00-R</v>
          </cell>
          <cell r="F16969">
            <v>426080014520</v>
          </cell>
        </row>
        <row r="16970">
          <cell r="E16970" t="str">
            <v>121-005548</v>
          </cell>
          <cell r="F16970">
            <v>426080014520</v>
          </cell>
        </row>
        <row r="16971">
          <cell r="E16971" t="str">
            <v>126-002209</v>
          </cell>
          <cell r="F16971">
            <v>426080014520</v>
          </cell>
        </row>
        <row r="16972">
          <cell r="E16972" t="str">
            <v>126-002214</v>
          </cell>
          <cell r="F16972">
            <v>426080014520</v>
          </cell>
        </row>
        <row r="16973">
          <cell r="E16973" t="str">
            <v>123-001857</v>
          </cell>
          <cell r="F16973">
            <v>426080014520</v>
          </cell>
        </row>
        <row r="16974">
          <cell r="E16974" t="str">
            <v>102-001591</v>
          </cell>
          <cell r="F16974">
            <v>426080014520</v>
          </cell>
        </row>
        <row r="16975">
          <cell r="E16975" t="str">
            <v>LUC-P21-K34500-02</v>
          </cell>
          <cell r="F16975" t="str">
            <v>LSHHPH2508485</v>
          </cell>
        </row>
        <row r="16976">
          <cell r="E16976" t="str">
            <v>LUC-P21-K61200-02</v>
          </cell>
          <cell r="F16976" t="str">
            <v>LSHHPH2508485</v>
          </cell>
        </row>
        <row r="16977">
          <cell r="E16977" t="str">
            <v>LUC-EZZ-490071-06</v>
          </cell>
          <cell r="F16977">
            <v>7288387816</v>
          </cell>
        </row>
        <row r="16978">
          <cell r="E16978" t="str">
            <v>LUC-E00-420002-00</v>
          </cell>
          <cell r="F16978">
            <v>4812845547</v>
          </cell>
        </row>
        <row r="16979">
          <cell r="E16979" t="str">
            <v>LUC-EZZ-420321-00</v>
          </cell>
          <cell r="F16979">
            <v>4812845547</v>
          </cell>
        </row>
        <row r="16980">
          <cell r="E16980" t="str">
            <v>LUC-EZZ-420261-00</v>
          </cell>
          <cell r="F16980">
            <v>4812845547</v>
          </cell>
        </row>
        <row r="16981">
          <cell r="E16981" t="str">
            <v>LUC-EZZ-420133-00</v>
          </cell>
          <cell r="F16981">
            <v>4812845547</v>
          </cell>
        </row>
        <row r="16982">
          <cell r="E16982" t="str">
            <v>LUC-E00-420037-03</v>
          </cell>
          <cell r="F16982">
            <v>4812845547</v>
          </cell>
        </row>
        <row r="16983">
          <cell r="E16983" t="str">
            <v>LUC-E00-420072-00</v>
          </cell>
          <cell r="F16983">
            <v>4812845547</v>
          </cell>
        </row>
        <row r="16984">
          <cell r="E16984" t="str">
            <v>PUR-13-0238-00</v>
          </cell>
          <cell r="F16984">
            <v>4812845547</v>
          </cell>
        </row>
        <row r="16985">
          <cell r="E16985" t="str">
            <v>HLOB-13-0212-00</v>
          </cell>
          <cell r="F16985">
            <v>4812845547</v>
          </cell>
        </row>
        <row r="16986">
          <cell r="E16986" t="str">
            <v>HLOB-13-0229-00</v>
          </cell>
          <cell r="F16986">
            <v>4812845547</v>
          </cell>
        </row>
        <row r="16987">
          <cell r="E16987" t="str">
            <v>PURET-13-0002-00</v>
          </cell>
          <cell r="F16987">
            <v>4812845547</v>
          </cell>
        </row>
        <row r="16988">
          <cell r="E16988" t="str">
            <v>HLOB-13-0066-00</v>
          </cell>
          <cell r="F16988">
            <v>4812845547</v>
          </cell>
        </row>
        <row r="16989">
          <cell r="E16989" t="str">
            <v>HLOB-13-0138-00</v>
          </cell>
          <cell r="F16989">
            <v>4812845547</v>
          </cell>
        </row>
        <row r="16990">
          <cell r="E16990" t="str">
            <v>PUR-13-0155-00</v>
          </cell>
          <cell r="F16990">
            <v>4812845547</v>
          </cell>
        </row>
        <row r="16991">
          <cell r="E16991" t="str">
            <v>LUC-E00-420185-00</v>
          </cell>
          <cell r="F16991">
            <v>4812845547</v>
          </cell>
        </row>
        <row r="16992">
          <cell r="E16992" t="str">
            <v>HLOB-13-0022-00</v>
          </cell>
          <cell r="F16992">
            <v>4812845547</v>
          </cell>
        </row>
        <row r="16993">
          <cell r="E16993" t="str">
            <v>AGI-510-40082-01</v>
          </cell>
          <cell r="F16993">
            <v>4812845547</v>
          </cell>
        </row>
        <row r="16994">
          <cell r="E16994" t="str">
            <v>PURET-13-0009-00</v>
          </cell>
          <cell r="F16994">
            <v>4812845547</v>
          </cell>
        </row>
        <row r="16995">
          <cell r="E16995" t="str">
            <v>LUC-E00-690215-00</v>
          </cell>
          <cell r="F16995">
            <v>472187330175</v>
          </cell>
        </row>
        <row r="16996">
          <cell r="E16996" t="str">
            <v>LUC-E00-690215-00</v>
          </cell>
          <cell r="F16996">
            <v>4711882033</v>
          </cell>
        </row>
        <row r="16997">
          <cell r="E16997" t="str">
            <v>LUC-E00-400033-000</v>
          </cell>
          <cell r="F16997">
            <v>3339922596</v>
          </cell>
        </row>
        <row r="16998">
          <cell r="E16998" t="str">
            <v>LUC-E00-400047-00</v>
          </cell>
          <cell r="F16998">
            <v>3339922596</v>
          </cell>
        </row>
        <row r="16999">
          <cell r="E16999" t="str">
            <v>LUC-P11-K37000-02</v>
          </cell>
          <cell r="F16999">
            <v>3339922596</v>
          </cell>
        </row>
        <row r="17000">
          <cell r="E17000" t="str">
            <v>LUC-P11-K37000-02</v>
          </cell>
          <cell r="F17000">
            <v>3339922596</v>
          </cell>
        </row>
        <row r="17001">
          <cell r="E17001" t="str">
            <v>AGI-760-40007-01</v>
          </cell>
          <cell r="F17001">
            <v>3339922596</v>
          </cell>
        </row>
        <row r="17002">
          <cell r="E17002" t="str">
            <v>174-000139</v>
          </cell>
          <cell r="F17002">
            <v>3339922596</v>
          </cell>
        </row>
        <row r="17003">
          <cell r="E17003" t="str">
            <v>LUC-EZZ-400237-00</v>
          </cell>
          <cell r="F17003">
            <v>3339922596</v>
          </cell>
        </row>
        <row r="17004">
          <cell r="E17004" t="str">
            <v>LUC-EZZ-400625-00</v>
          </cell>
          <cell r="F17004">
            <v>3339922596</v>
          </cell>
        </row>
        <row r="17005">
          <cell r="E17005" t="str">
            <v>LUC-EZZ-400624-00</v>
          </cell>
          <cell r="F17005">
            <v>3339922596</v>
          </cell>
        </row>
        <row r="17006">
          <cell r="E17006" t="str">
            <v>LUC-E00-400010-036</v>
          </cell>
          <cell r="F17006">
            <v>3339922596</v>
          </cell>
        </row>
        <row r="17007">
          <cell r="E17007" t="str">
            <v>LUC-EZZ-400232-00</v>
          </cell>
          <cell r="F17007">
            <v>3339922596</v>
          </cell>
        </row>
        <row r="17008">
          <cell r="E17008" t="str">
            <v>LUC-EZZ-400225-00</v>
          </cell>
          <cell r="F17008">
            <v>3339922596</v>
          </cell>
        </row>
        <row r="17009">
          <cell r="E17009" t="str">
            <v>LUC-EZZ-421047-00</v>
          </cell>
          <cell r="F17009">
            <v>3339922596</v>
          </cell>
        </row>
        <row r="17010">
          <cell r="E17010" t="str">
            <v>LUC-EZZ-420343-00</v>
          </cell>
          <cell r="F17010">
            <v>3339922596</v>
          </cell>
        </row>
        <row r="17011">
          <cell r="E17011" t="str">
            <v>LUC-E00-420002-09</v>
          </cell>
          <cell r="F17011">
            <v>3339922596</v>
          </cell>
        </row>
        <row r="17012">
          <cell r="E17012" t="str">
            <v>LUC-E00-420011-12</v>
          </cell>
          <cell r="F17012">
            <v>3339922596</v>
          </cell>
        </row>
        <row r="17013">
          <cell r="E17013" t="str">
            <v>LUC-EZZ-420091-00</v>
          </cell>
          <cell r="F17013">
            <v>3339922596</v>
          </cell>
        </row>
        <row r="17014">
          <cell r="E17014" t="str">
            <v>LUC-EZZ-400387-00</v>
          </cell>
          <cell r="F17014">
            <v>3339922596</v>
          </cell>
        </row>
        <row r="17015">
          <cell r="E17015" t="str">
            <v>LUC-E00-420037-14</v>
          </cell>
          <cell r="F17015">
            <v>3339922596</v>
          </cell>
        </row>
        <row r="17016">
          <cell r="E17016" t="str">
            <v>LUC-E00-420038-01</v>
          </cell>
          <cell r="F17016">
            <v>3339922596</v>
          </cell>
        </row>
        <row r="17017">
          <cell r="E17017" t="str">
            <v>LUC-E00-400010-008</v>
          </cell>
          <cell r="F17017">
            <v>3339922596</v>
          </cell>
        </row>
        <row r="17018">
          <cell r="E17018" t="str">
            <v>LUC-EZZ-420084-00</v>
          </cell>
          <cell r="F17018">
            <v>3339922596</v>
          </cell>
        </row>
        <row r="17019">
          <cell r="E17019" t="str">
            <v>LUC-E00-420056-01</v>
          </cell>
          <cell r="F17019">
            <v>3339922596</v>
          </cell>
        </row>
        <row r="17020">
          <cell r="E17020" t="str">
            <v>LUC-EZZ-690241-00</v>
          </cell>
          <cell r="F17020">
            <v>4110328809</v>
          </cell>
        </row>
        <row r="17021">
          <cell r="E17021" t="str">
            <v>PUR-13-0215-00</v>
          </cell>
          <cell r="F17021">
            <v>1810917732</v>
          </cell>
        </row>
        <row r="17022">
          <cell r="E17022" t="str">
            <v>HLOB-13-0215-00</v>
          </cell>
          <cell r="F17022">
            <v>1810917732</v>
          </cell>
        </row>
        <row r="17023">
          <cell r="E17023" t="str">
            <v>PUR-13-0215-00</v>
          </cell>
          <cell r="F17023">
            <v>1810917732</v>
          </cell>
        </row>
        <row r="17024">
          <cell r="E17024" t="str">
            <v>PUR-13-0215-00</v>
          </cell>
          <cell r="F17024">
            <v>1810917732</v>
          </cell>
        </row>
        <row r="17025">
          <cell r="E17025" t="str">
            <v>HLOB-13-0215-00</v>
          </cell>
          <cell r="F17025">
            <v>1810917732</v>
          </cell>
        </row>
        <row r="17026">
          <cell r="E17026" t="str">
            <v>PUR-21-0036-00</v>
          </cell>
          <cell r="F17026">
            <v>1810917732</v>
          </cell>
        </row>
        <row r="17027">
          <cell r="E17027" t="str">
            <v>LUC-EZZ-540018-00</v>
          </cell>
          <cell r="F17027">
            <v>1810917732</v>
          </cell>
        </row>
        <row r="17028">
          <cell r="E17028" t="str">
            <v>AGI-450-40128-01</v>
          </cell>
          <cell r="F17028">
            <v>1810917732</v>
          </cell>
        </row>
        <row r="17029">
          <cell r="E17029" t="str">
            <v>PUR-13-0215-00</v>
          </cell>
          <cell r="F17029">
            <v>1810917732</v>
          </cell>
        </row>
        <row r="17030">
          <cell r="E17030" t="str">
            <v>PUR-13-0215-00</v>
          </cell>
          <cell r="F17030">
            <v>1810917732</v>
          </cell>
        </row>
        <row r="17031">
          <cell r="E17031" t="str">
            <v>PUR-13-0215-00</v>
          </cell>
          <cell r="F17031">
            <v>1810917732</v>
          </cell>
        </row>
        <row r="17032">
          <cell r="E17032" t="str">
            <v>PUR-13-0215-00</v>
          </cell>
          <cell r="F17032">
            <v>1810917732</v>
          </cell>
        </row>
        <row r="17033">
          <cell r="E17033" t="str">
            <v>PUR-13-0215-00</v>
          </cell>
          <cell r="F17033">
            <v>1810917732</v>
          </cell>
        </row>
        <row r="17034">
          <cell r="E17034" t="str">
            <v>PUR-13-0215-00</v>
          </cell>
          <cell r="F17034">
            <v>1810917732</v>
          </cell>
        </row>
        <row r="17035">
          <cell r="E17035" t="str">
            <v>AGI-532-40014-01</v>
          </cell>
          <cell r="F17035">
            <v>1810917732</v>
          </cell>
        </row>
        <row r="17036">
          <cell r="E17036" t="str">
            <v>LUC-P11-K41D00-01</v>
          </cell>
          <cell r="F17036">
            <v>1810917732</v>
          </cell>
        </row>
        <row r="17037">
          <cell r="E17037" t="str">
            <v>LUC-EZZ-400237-00</v>
          </cell>
          <cell r="F17037">
            <v>1810917732</v>
          </cell>
        </row>
        <row r="17038">
          <cell r="E17038" t="str">
            <v>LUC-EZZ-400237-00</v>
          </cell>
          <cell r="F17038">
            <v>1810917732</v>
          </cell>
        </row>
        <row r="17039">
          <cell r="E17039" t="str">
            <v>LUC-EZZ-400237-00</v>
          </cell>
          <cell r="F17039">
            <v>1810917732</v>
          </cell>
        </row>
        <row r="17040">
          <cell r="E17040" t="str">
            <v>LUC-E00-400022-001</v>
          </cell>
          <cell r="F17040">
            <v>1810917732</v>
          </cell>
        </row>
        <row r="17041">
          <cell r="E17041" t="str">
            <v>PUR-12-0288-00</v>
          </cell>
          <cell r="F17041">
            <v>1810917732</v>
          </cell>
        </row>
        <row r="17042">
          <cell r="E17042" t="str">
            <v>LUC-E00-400028-06</v>
          </cell>
          <cell r="F17042">
            <v>1810917732</v>
          </cell>
        </row>
        <row r="17043">
          <cell r="E17043" t="str">
            <v>HLOB-12-0084-00</v>
          </cell>
          <cell r="F17043">
            <v>1810917732</v>
          </cell>
        </row>
        <row r="17044">
          <cell r="E17044" t="str">
            <v>PURET-12-0084-00</v>
          </cell>
          <cell r="F17044">
            <v>1810917732</v>
          </cell>
        </row>
        <row r="17045">
          <cell r="E17045" t="str">
            <v>LUC-E00-400067-294</v>
          </cell>
          <cell r="F17045">
            <v>1810917732</v>
          </cell>
        </row>
        <row r="17046">
          <cell r="E17046" t="str">
            <v>122-000362.X.X</v>
          </cell>
          <cell r="F17046">
            <v>1810917732</v>
          </cell>
        </row>
        <row r="17047">
          <cell r="E17047" t="str">
            <v>AGI-500-40192-01</v>
          </cell>
          <cell r="F17047">
            <v>1810917732</v>
          </cell>
        </row>
        <row r="17048">
          <cell r="E17048" t="str">
            <v>AGI-450-40128-01</v>
          </cell>
          <cell r="F17048">
            <v>1810917732</v>
          </cell>
        </row>
        <row r="17049">
          <cell r="E17049" t="str">
            <v>LUC-E00-450100-00</v>
          </cell>
          <cell r="F17049">
            <v>1810917732</v>
          </cell>
        </row>
        <row r="17050">
          <cell r="E17050" t="str">
            <v>AGI-532-40014-01</v>
          </cell>
          <cell r="F17050">
            <v>1810917732</v>
          </cell>
        </row>
        <row r="17051">
          <cell r="E17051" t="str">
            <v>AGI-532-40014-01</v>
          </cell>
          <cell r="F17051">
            <v>1810917732</v>
          </cell>
        </row>
        <row r="17052">
          <cell r="E17052" t="str">
            <v>AGI-532-40014-01</v>
          </cell>
          <cell r="F17052">
            <v>1810917732</v>
          </cell>
        </row>
        <row r="17053">
          <cell r="E17053" t="str">
            <v>LUC-P11-K41D00-01</v>
          </cell>
          <cell r="F17053">
            <v>1810917732</v>
          </cell>
        </row>
        <row r="17054">
          <cell r="E17054" t="str">
            <v>AGI-530-40006-01</v>
          </cell>
          <cell r="F17054">
            <v>1810917732</v>
          </cell>
        </row>
        <row r="17055">
          <cell r="E17055" t="str">
            <v>PUR-09-0502-00</v>
          </cell>
          <cell r="F17055">
            <v>471782647475</v>
          </cell>
        </row>
        <row r="17056">
          <cell r="E17056" t="str">
            <v>PUR-09-0502-00</v>
          </cell>
          <cell r="F17056">
            <v>471782647475</v>
          </cell>
        </row>
        <row r="17057">
          <cell r="E17057" t="str">
            <v>PUR-09-0502-00</v>
          </cell>
          <cell r="F17057">
            <v>471782647475</v>
          </cell>
        </row>
        <row r="17058">
          <cell r="E17058" t="str">
            <v>PUR-12-0472-00</v>
          </cell>
          <cell r="F17058">
            <v>884470496238</v>
          </cell>
        </row>
        <row r="17059">
          <cell r="E17059" t="str">
            <v>PURET-12-0257-00</v>
          </cell>
          <cell r="F17059">
            <v>884470496238</v>
          </cell>
        </row>
        <row r="17060">
          <cell r="E17060" t="str">
            <v>EF-45105280</v>
          </cell>
          <cell r="F17060">
            <v>884470496238</v>
          </cell>
        </row>
        <row r="17061">
          <cell r="E17061" t="str">
            <v>EF-45043898.X.X</v>
          </cell>
          <cell r="F17061">
            <v>884470496238</v>
          </cell>
        </row>
        <row r="17062">
          <cell r="E17062" t="str">
            <v>PUR-12-0284-00</v>
          </cell>
          <cell r="F17062">
            <v>884470496238</v>
          </cell>
        </row>
        <row r="17063">
          <cell r="E17063" t="str">
            <v>HLOB-12-0431-00</v>
          </cell>
          <cell r="F17063">
            <v>884470496238</v>
          </cell>
        </row>
        <row r="17064">
          <cell r="E17064" t="str">
            <v>HLOB-12-0284-00</v>
          </cell>
          <cell r="F17064">
            <v>884470496238</v>
          </cell>
        </row>
        <row r="17065">
          <cell r="E17065" t="str">
            <v>PURET-12-0017-00</v>
          </cell>
          <cell r="F17065">
            <v>884470496238</v>
          </cell>
        </row>
        <row r="17066">
          <cell r="E17066" t="str">
            <v>PUR-12-0271-00</v>
          </cell>
          <cell r="F17066">
            <v>884470496238</v>
          </cell>
        </row>
        <row r="17067">
          <cell r="E17067" t="str">
            <v>PUR-12-0294-00</v>
          </cell>
          <cell r="F17067">
            <v>884470496238</v>
          </cell>
        </row>
        <row r="17068">
          <cell r="E17068" t="str">
            <v>PUR-12-0284-00</v>
          </cell>
          <cell r="F17068">
            <v>884470496238</v>
          </cell>
        </row>
        <row r="17069">
          <cell r="E17069" t="str">
            <v>LUC-EZZ-440022-00</v>
          </cell>
          <cell r="F17069">
            <v>884470496238</v>
          </cell>
        </row>
        <row r="17070">
          <cell r="E17070" t="str">
            <v>HLOB-12-0412-00</v>
          </cell>
          <cell r="F17070">
            <v>884470496238</v>
          </cell>
        </row>
        <row r="17071">
          <cell r="E17071" t="str">
            <v>EF-45050182.X.X</v>
          </cell>
          <cell r="F17071">
            <v>884470496238</v>
          </cell>
        </row>
        <row r="17072">
          <cell r="E17072" t="str">
            <v>PURET-12-0056-00</v>
          </cell>
          <cell r="F17072">
            <v>884470496238</v>
          </cell>
        </row>
        <row r="17073">
          <cell r="E17073" t="str">
            <v>PUR-12-0431-00</v>
          </cell>
          <cell r="F17073">
            <v>884470496238</v>
          </cell>
        </row>
        <row r="17074">
          <cell r="E17074" t="str">
            <v>PUR-12-0432-00</v>
          </cell>
          <cell r="F17074">
            <v>884470496238</v>
          </cell>
        </row>
        <row r="17075">
          <cell r="E17075" t="str">
            <v>PUR-12-0474-00</v>
          </cell>
          <cell r="F17075">
            <v>884470496238</v>
          </cell>
        </row>
        <row r="17076">
          <cell r="E17076" t="str">
            <v>EF-45059198.X.X</v>
          </cell>
          <cell r="F17076">
            <v>884470496238</v>
          </cell>
        </row>
        <row r="17077">
          <cell r="E17077" t="str">
            <v>PURET-12-0088-00</v>
          </cell>
          <cell r="F17077">
            <v>884470496238</v>
          </cell>
        </row>
        <row r="17078">
          <cell r="E17078" t="str">
            <v>PUR-12-0271-00</v>
          </cell>
          <cell r="F17078">
            <v>884470496238</v>
          </cell>
        </row>
        <row r="17079">
          <cell r="E17079" t="str">
            <v>PURET-12-0170-00</v>
          </cell>
          <cell r="F17079">
            <v>884470496238</v>
          </cell>
        </row>
        <row r="17080">
          <cell r="E17080" t="str">
            <v>EF-45036461.X.X</v>
          </cell>
          <cell r="F17080">
            <v>884470496238</v>
          </cell>
        </row>
        <row r="17081">
          <cell r="E17081" t="str">
            <v>EF-45043833.X.X</v>
          </cell>
          <cell r="F17081">
            <v>884470496238</v>
          </cell>
        </row>
        <row r="17082">
          <cell r="E17082" t="str">
            <v>EF-45036468.X.X</v>
          </cell>
          <cell r="F17082">
            <v>884470496238</v>
          </cell>
        </row>
        <row r="17083">
          <cell r="E17083" t="str">
            <v>EF-45036483.X.X</v>
          </cell>
          <cell r="F17083">
            <v>884470496238</v>
          </cell>
        </row>
        <row r="17084">
          <cell r="E17084" t="str">
            <v>LUC-EZZ-481784-00</v>
          </cell>
          <cell r="F17084">
            <v>480820701328</v>
          </cell>
        </row>
        <row r="17085">
          <cell r="E17085" t="str">
            <v>LUC-E00-470039-00</v>
          </cell>
          <cell r="F17085">
            <v>476513879005</v>
          </cell>
        </row>
        <row r="17086">
          <cell r="E17086" t="str">
            <v>LUC-E00-470085-00</v>
          </cell>
          <cell r="F17086">
            <v>476513879005</v>
          </cell>
        </row>
        <row r="17087">
          <cell r="E17087" t="str">
            <v>LUC-E00-470042-00</v>
          </cell>
          <cell r="F17087">
            <v>476513879005</v>
          </cell>
        </row>
        <row r="17088">
          <cell r="E17088" t="str">
            <v>LUC-E00-470042-00</v>
          </cell>
          <cell r="F17088">
            <v>476513879005</v>
          </cell>
        </row>
        <row r="17089">
          <cell r="E17089" t="str">
            <v>LUC-E00-470086-00</v>
          </cell>
          <cell r="F17089">
            <v>476513879005</v>
          </cell>
        </row>
        <row r="17090">
          <cell r="E17090" t="str">
            <v>LUC-EZZ-470138-00</v>
          </cell>
          <cell r="F17090">
            <v>476513879005</v>
          </cell>
        </row>
        <row r="17091">
          <cell r="E17091" t="str">
            <v>LUC-E00-460038-00</v>
          </cell>
          <cell r="F17091">
            <v>619345529940</v>
          </cell>
        </row>
        <row r="17092">
          <cell r="E17092" t="str">
            <v>LUC-E00-460038-00</v>
          </cell>
          <cell r="F17092">
            <v>619345529940</v>
          </cell>
        </row>
        <row r="17093">
          <cell r="E17093" t="str">
            <v>LUC-E00-460038-00</v>
          </cell>
          <cell r="F17093">
            <v>619345529940</v>
          </cell>
        </row>
        <row r="17094">
          <cell r="E17094" t="str">
            <v>LUC-E00-460038-00</v>
          </cell>
          <cell r="F17094">
            <v>619345529940</v>
          </cell>
        </row>
        <row r="17095">
          <cell r="E17095" t="str">
            <v>LUC-E00-460038-00</v>
          </cell>
          <cell r="F17095">
            <v>619345529950</v>
          </cell>
        </row>
        <row r="17096">
          <cell r="E17096" t="str">
            <v>LUC-E00-460038-00</v>
          </cell>
          <cell r="F17096">
            <v>619345529950</v>
          </cell>
        </row>
        <row r="17097">
          <cell r="E17097" t="str">
            <v>LUC-EZZ-470423-00</v>
          </cell>
          <cell r="F17097">
            <v>477592533285</v>
          </cell>
        </row>
        <row r="17098">
          <cell r="E17098" t="str">
            <v>AIC-132-001528</v>
          </cell>
          <cell r="F17098">
            <v>884369471867</v>
          </cell>
        </row>
        <row r="17099">
          <cell r="E17099" t="str">
            <v>AIC-MP-00004220-000</v>
          </cell>
          <cell r="F17099">
            <v>393249683509</v>
          </cell>
        </row>
        <row r="17100">
          <cell r="E17100" t="str">
            <v>AIC-MP-00007043-000</v>
          </cell>
          <cell r="F17100">
            <v>393249683509</v>
          </cell>
        </row>
        <row r="17101">
          <cell r="E17101" t="str">
            <v>EF-45169196</v>
          </cell>
          <cell r="F17101">
            <v>393249683509</v>
          </cell>
        </row>
        <row r="17102">
          <cell r="E17102" t="str">
            <v>LUC-EZZ-470350-00</v>
          </cell>
          <cell r="F17102">
            <v>393249683509</v>
          </cell>
        </row>
        <row r="17103">
          <cell r="E17103" t="str">
            <v>LUC-EZZ-470423-00</v>
          </cell>
          <cell r="F17103">
            <v>477592533296</v>
          </cell>
        </row>
        <row r="17104">
          <cell r="E17104" t="str">
            <v>PURC-03-0116-02</v>
          </cell>
          <cell r="F17104">
            <v>480845429819</v>
          </cell>
        </row>
        <row r="17105">
          <cell r="E17105" t="str">
            <v>LUC-EZZ-690942-00</v>
          </cell>
          <cell r="F17105">
            <v>4110328803</v>
          </cell>
        </row>
        <row r="17106">
          <cell r="E17106" t="str">
            <v>LUC-E00-690001-00</v>
          </cell>
          <cell r="F17106">
            <v>4110328806</v>
          </cell>
        </row>
        <row r="17107">
          <cell r="E17107" t="str">
            <v>LUC-EZZ-690241-00</v>
          </cell>
          <cell r="F17107">
            <v>4110328807</v>
          </cell>
        </row>
        <row r="17108">
          <cell r="E17108" t="str">
            <v>LUC-EZZ-691595-00</v>
          </cell>
          <cell r="F17108">
            <v>4110328808</v>
          </cell>
        </row>
        <row r="17109">
          <cell r="E17109" t="str">
            <v>LUC-EZZ-400245-00</v>
          </cell>
          <cell r="F17109">
            <v>1916149421</v>
          </cell>
        </row>
        <row r="17110">
          <cell r="E17110" t="str">
            <v>LUC-E00-420173-00</v>
          </cell>
          <cell r="F17110">
            <v>1916149421</v>
          </cell>
        </row>
        <row r="17111">
          <cell r="E17111" t="str">
            <v>EF-45134776</v>
          </cell>
          <cell r="F17111">
            <v>1916149421</v>
          </cell>
        </row>
        <row r="17112">
          <cell r="E17112" t="str">
            <v>LUC-EZZ-400624-00</v>
          </cell>
          <cell r="F17112">
            <v>1916149421</v>
          </cell>
        </row>
        <row r="17113">
          <cell r="E17113" t="str">
            <v>LUC-E00-400010-047</v>
          </cell>
          <cell r="F17113">
            <v>1916149421</v>
          </cell>
        </row>
        <row r="17114">
          <cell r="E17114" t="str">
            <v>LUC-EZZ-400225-00</v>
          </cell>
          <cell r="F17114">
            <v>1916149421</v>
          </cell>
        </row>
        <row r="17115">
          <cell r="E17115" t="str">
            <v>LUC-EZZ-400225-00</v>
          </cell>
          <cell r="F17115">
            <v>1916149421</v>
          </cell>
        </row>
        <row r="17116">
          <cell r="E17116" t="str">
            <v>LUC-EZZ-400225-00</v>
          </cell>
          <cell r="F17116">
            <v>1916149421</v>
          </cell>
        </row>
        <row r="17117">
          <cell r="E17117" t="str">
            <v>LUC-EZZ-400225-00</v>
          </cell>
          <cell r="F17117">
            <v>1916149421</v>
          </cell>
        </row>
        <row r="17118">
          <cell r="E17118" t="str">
            <v>LUC-E00-420037-09</v>
          </cell>
          <cell r="F17118">
            <v>1916149421</v>
          </cell>
        </row>
        <row r="17119">
          <cell r="E17119" t="str">
            <v>LUC-E00-470082-00</v>
          </cell>
          <cell r="F17119">
            <v>1916149421</v>
          </cell>
        </row>
        <row r="17120">
          <cell r="E17120" t="str">
            <v>LUC-E00-470095-00</v>
          </cell>
          <cell r="F17120">
            <v>1916149421</v>
          </cell>
        </row>
        <row r="17121">
          <cell r="E17121" t="str">
            <v>LUC-E00-450026-00</v>
          </cell>
          <cell r="F17121">
            <v>1916149421</v>
          </cell>
        </row>
        <row r="17122">
          <cell r="E17122" t="str">
            <v>LUC-E00-400010-026</v>
          </cell>
          <cell r="F17122">
            <v>1916149421</v>
          </cell>
        </row>
        <row r="17123">
          <cell r="E17123" t="str">
            <v>LUC-E00-400067-399</v>
          </cell>
          <cell r="F17123">
            <v>1916149421</v>
          </cell>
        </row>
        <row r="17124">
          <cell r="E17124" t="str">
            <v>LUC-E00-400010-009</v>
          </cell>
          <cell r="F17124">
            <v>1916149421</v>
          </cell>
        </row>
        <row r="17125">
          <cell r="E17125" t="str">
            <v>LUC-E00-450036-00</v>
          </cell>
          <cell r="F17125">
            <v>1916149421</v>
          </cell>
        </row>
        <row r="17126">
          <cell r="E17126" t="str">
            <v>LUC-E00-400010-008</v>
          </cell>
          <cell r="F17126" t="str">
            <v>1Z75A9570473216156</v>
          </cell>
        </row>
        <row r="17127">
          <cell r="E17127" t="str">
            <v>HLOB-16-0049-01</v>
          </cell>
          <cell r="F17127" t="str">
            <v>MNN/HPH/00959</v>
          </cell>
        </row>
        <row r="17128">
          <cell r="E17128" t="str">
            <v>PUR-16-0046-01</v>
          </cell>
          <cell r="F17128" t="str">
            <v>MNN/HPH/00959</v>
          </cell>
        </row>
        <row r="17129">
          <cell r="E17129" t="str">
            <v>PUR-16-0051-00</v>
          </cell>
          <cell r="F17129" t="str">
            <v>MNN/HPH/00959</v>
          </cell>
        </row>
        <row r="17130">
          <cell r="E17130" t="str">
            <v>PUR-16-0051-00</v>
          </cell>
          <cell r="F17130" t="str">
            <v>MNN/HPH/00959</v>
          </cell>
        </row>
        <row r="17131">
          <cell r="E17131" t="str">
            <v>LUC-E00-400067-275</v>
          </cell>
          <cell r="F17131">
            <v>1916150375</v>
          </cell>
        </row>
        <row r="17132">
          <cell r="E17132" t="str">
            <v>LUC-EZZ-471623-00</v>
          </cell>
          <cell r="F17132">
            <v>1916150375</v>
          </cell>
        </row>
        <row r="17133">
          <cell r="E17133" t="str">
            <v>LUC-E00-400010-034</v>
          </cell>
          <cell r="F17133">
            <v>1916150375</v>
          </cell>
        </row>
        <row r="17134">
          <cell r="E17134" t="str">
            <v>LUC-E00-400010-048</v>
          </cell>
          <cell r="F17134">
            <v>1916150375</v>
          </cell>
        </row>
        <row r="17135">
          <cell r="E17135" t="str">
            <v>LUC-E00-690214-00</v>
          </cell>
          <cell r="F17135">
            <v>462162740996</v>
          </cell>
        </row>
        <row r="17136">
          <cell r="E17136" t="str">
            <v>LUC-E00-690214-00</v>
          </cell>
          <cell r="F17136">
            <v>462162740996</v>
          </cell>
        </row>
        <row r="17137">
          <cell r="E17137" t="str">
            <v>LUC-E00-690214-00</v>
          </cell>
          <cell r="F17137">
            <v>462162740941</v>
          </cell>
        </row>
        <row r="17138">
          <cell r="E17138" t="str">
            <v>LUC-EZZ-691595-00</v>
          </cell>
          <cell r="F17138">
            <v>4110328849</v>
          </cell>
        </row>
        <row r="17139">
          <cell r="E17139" t="str">
            <v>LUC-EZZ-690241-00</v>
          </cell>
          <cell r="F17139">
            <v>4110328868</v>
          </cell>
        </row>
        <row r="17140">
          <cell r="E17140" t="str">
            <v>LUC-E00-400010-003</v>
          </cell>
          <cell r="F17140">
            <v>480947417177</v>
          </cell>
        </row>
        <row r="17141">
          <cell r="E17141" t="str">
            <v>HLOB-14-0086-00</v>
          </cell>
          <cell r="F17141">
            <v>480947417177</v>
          </cell>
        </row>
        <row r="17142">
          <cell r="E17142" t="str">
            <v>LUC-EZZ-400205-00</v>
          </cell>
          <cell r="F17142">
            <v>480947417177</v>
          </cell>
        </row>
        <row r="17143">
          <cell r="E17143" t="str">
            <v>HLOB-09-0346-00</v>
          </cell>
          <cell r="F17143">
            <v>480947417177</v>
          </cell>
        </row>
        <row r="17144">
          <cell r="E17144" t="str">
            <v>LUC-EZZ-440127-00</v>
          </cell>
          <cell r="F17144">
            <v>480947417177</v>
          </cell>
        </row>
        <row r="17145">
          <cell r="E17145" t="str">
            <v>PUR-12-0177-00</v>
          </cell>
          <cell r="F17145">
            <v>480947417177</v>
          </cell>
        </row>
        <row r="17146">
          <cell r="E17146" t="str">
            <v>EF-45046917</v>
          </cell>
          <cell r="F17146">
            <v>480947417177</v>
          </cell>
        </row>
        <row r="17147">
          <cell r="E17147" t="str">
            <v>LUC-EZZ-400336-00</v>
          </cell>
          <cell r="F17147">
            <v>480947417177</v>
          </cell>
        </row>
        <row r="17148">
          <cell r="E17148" t="str">
            <v>LUC-EZZ-400205-00</v>
          </cell>
          <cell r="F17148">
            <v>480947417177</v>
          </cell>
        </row>
        <row r="17149">
          <cell r="E17149" t="str">
            <v>EF-45232580</v>
          </cell>
          <cell r="F17149">
            <v>480947417177</v>
          </cell>
        </row>
        <row r="17150">
          <cell r="E17150" t="str">
            <v>LUC-EZZ-400205-00</v>
          </cell>
          <cell r="F17150">
            <v>480947417177</v>
          </cell>
        </row>
        <row r="17151">
          <cell r="E17151" t="str">
            <v>HLOB-09-0434-00</v>
          </cell>
          <cell r="F17151">
            <v>480947417177</v>
          </cell>
        </row>
        <row r="17152">
          <cell r="E17152" t="str">
            <v>LUC-E00-400010-003</v>
          </cell>
          <cell r="F17152">
            <v>480947417177</v>
          </cell>
        </row>
        <row r="17153">
          <cell r="E17153" t="str">
            <v>LUC-EZZ-400205-00</v>
          </cell>
          <cell r="F17153">
            <v>480947417177</v>
          </cell>
        </row>
        <row r="17154">
          <cell r="E17154" t="str">
            <v>LUC-EZZ-440127-00</v>
          </cell>
          <cell r="F17154">
            <v>480947417177</v>
          </cell>
        </row>
        <row r="17155">
          <cell r="E17155" t="str">
            <v>AIC-MP-FS007302-S01</v>
          </cell>
          <cell r="F17155">
            <v>480947417177</v>
          </cell>
        </row>
        <row r="17156">
          <cell r="E17156" t="str">
            <v>LUC-EZZ-400261-00</v>
          </cell>
          <cell r="F17156">
            <v>480947417177</v>
          </cell>
        </row>
        <row r="17157">
          <cell r="E17157" t="str">
            <v>LUC-EZZ-440127-00</v>
          </cell>
          <cell r="F17157">
            <v>480947417177</v>
          </cell>
        </row>
        <row r="17158">
          <cell r="E17158" t="str">
            <v>HLOB-09-0346-00</v>
          </cell>
          <cell r="F17158">
            <v>480947417177</v>
          </cell>
        </row>
        <row r="17159">
          <cell r="E17159" t="str">
            <v>LUC-EZZ-440204-00</v>
          </cell>
          <cell r="F17159">
            <v>480947417177</v>
          </cell>
        </row>
        <row r="17160">
          <cell r="E17160" t="str">
            <v>LUC-E00-420184-00</v>
          </cell>
          <cell r="F17160">
            <v>480947417177</v>
          </cell>
        </row>
        <row r="17161">
          <cell r="E17161" t="str">
            <v>LUC-E00-420037-02</v>
          </cell>
          <cell r="F17161">
            <v>480947417177</v>
          </cell>
        </row>
        <row r="17162">
          <cell r="E17162" t="str">
            <v>LUC-E00-400011-004</v>
          </cell>
          <cell r="F17162">
            <v>480947417177</v>
          </cell>
        </row>
        <row r="17163">
          <cell r="E17163" t="str">
            <v>HLOB-09-0346-00</v>
          </cell>
          <cell r="F17163">
            <v>480947417177</v>
          </cell>
        </row>
        <row r="17164">
          <cell r="E17164" t="str">
            <v>130-000483.X.X</v>
          </cell>
          <cell r="F17164">
            <v>470186558255</v>
          </cell>
        </row>
        <row r="17165">
          <cell r="E17165" t="str">
            <v>EF-45116564.X.X</v>
          </cell>
          <cell r="F17165">
            <v>437723138314</v>
          </cell>
        </row>
        <row r="17166">
          <cell r="E17166" t="str">
            <v>LUC-E00-420184-00</v>
          </cell>
          <cell r="F17166">
            <v>480947405520</v>
          </cell>
        </row>
        <row r="17167">
          <cell r="E17167" t="str">
            <v>LUC-EZZ-470433-00</v>
          </cell>
          <cell r="F17167">
            <v>480947399943</v>
          </cell>
        </row>
        <row r="17168">
          <cell r="E17168" t="str">
            <v>LUC-E00-400028-002</v>
          </cell>
          <cell r="F17168">
            <v>480947417155</v>
          </cell>
        </row>
        <row r="17169">
          <cell r="E17169" t="str">
            <v>LUC-E00-400028-002</v>
          </cell>
          <cell r="F17169">
            <v>480947417155</v>
          </cell>
        </row>
        <row r="17170">
          <cell r="E17170" t="str">
            <v>LUC-E00-400028-002</v>
          </cell>
          <cell r="F17170">
            <v>480947417155</v>
          </cell>
        </row>
        <row r="17171">
          <cell r="E17171" t="str">
            <v>LUC-E00-420184-00</v>
          </cell>
          <cell r="F17171">
            <v>480947405324</v>
          </cell>
        </row>
        <row r="17172">
          <cell r="E17172" t="str">
            <v>PURC-03-0116-02</v>
          </cell>
          <cell r="F17172">
            <v>470603377436</v>
          </cell>
        </row>
        <row r="17173">
          <cell r="E17173" t="str">
            <v>LUC-EZZ-490230-06</v>
          </cell>
          <cell r="F17173">
            <v>5780597653</v>
          </cell>
        </row>
        <row r="17174">
          <cell r="E17174" t="str">
            <v>LUC-EZZ-490231-06</v>
          </cell>
          <cell r="F17174">
            <v>5780597653</v>
          </cell>
        </row>
        <row r="17175">
          <cell r="E17175" t="str">
            <v>HLOB-03-0113-00</v>
          </cell>
          <cell r="F17175" t="str">
            <v>8TV8882</v>
          </cell>
        </row>
        <row r="17176">
          <cell r="E17176" t="str">
            <v>HLOB-03-0113-00</v>
          </cell>
          <cell r="F17176" t="str">
            <v>8TV8883</v>
          </cell>
        </row>
        <row r="17177">
          <cell r="E17177" t="str">
            <v>HLOB-03-0113-00</v>
          </cell>
          <cell r="F17177" t="str">
            <v>8TV8884</v>
          </cell>
        </row>
        <row r="17178">
          <cell r="E17178" t="str">
            <v>HLOB-03-0113-00</v>
          </cell>
          <cell r="F17178" t="str">
            <v>8TV8885</v>
          </cell>
        </row>
        <row r="17179">
          <cell r="E17179" t="str">
            <v>LUC-E00-420027-03</v>
          </cell>
          <cell r="F17179">
            <v>1916149303</v>
          </cell>
        </row>
        <row r="17180">
          <cell r="E17180" t="str">
            <v>LUC-EZZ-510047-00</v>
          </cell>
          <cell r="F17180">
            <v>1916149303</v>
          </cell>
        </row>
        <row r="17181">
          <cell r="E17181" t="str">
            <v>EF-45110875.X.X</v>
          </cell>
          <cell r="F17181">
            <v>1916149303</v>
          </cell>
        </row>
        <row r="17182">
          <cell r="E17182" t="str">
            <v>EF-45110875.X.X</v>
          </cell>
          <cell r="F17182">
            <v>1916149303</v>
          </cell>
        </row>
        <row r="17183">
          <cell r="E17183" t="str">
            <v>LUC-EZZ-400434-00</v>
          </cell>
          <cell r="F17183">
            <v>1916149303</v>
          </cell>
        </row>
        <row r="17184">
          <cell r="E17184" t="str">
            <v>LUC-E00-470122-01</v>
          </cell>
          <cell r="F17184">
            <v>1916149303</v>
          </cell>
        </row>
        <row r="17185">
          <cell r="E17185" t="str">
            <v>LUC-E00-470122-01</v>
          </cell>
          <cell r="F17185">
            <v>1916149303</v>
          </cell>
        </row>
        <row r="17186">
          <cell r="E17186" t="str">
            <v>LUC-E00-470122-01</v>
          </cell>
          <cell r="F17186">
            <v>1916149303</v>
          </cell>
        </row>
        <row r="17187">
          <cell r="E17187" t="str">
            <v>LUC-E00-470122-01</v>
          </cell>
          <cell r="F17187">
            <v>1916149303</v>
          </cell>
        </row>
        <row r="17188">
          <cell r="E17188" t="str">
            <v>LUC-E00-470020-01</v>
          </cell>
          <cell r="F17188">
            <v>1916149303</v>
          </cell>
        </row>
        <row r="17189">
          <cell r="E17189" t="str">
            <v>LUC-E00-420049-00</v>
          </cell>
          <cell r="F17189">
            <v>1916149303</v>
          </cell>
        </row>
        <row r="17190">
          <cell r="E17190" t="str">
            <v>LUC-E00-420002-09</v>
          </cell>
          <cell r="F17190">
            <v>1916149303</v>
          </cell>
        </row>
        <row r="17191">
          <cell r="E17191" t="str">
            <v>LUC-EZZ-450113-00</v>
          </cell>
          <cell r="F17191">
            <v>1916149303</v>
          </cell>
        </row>
        <row r="17192">
          <cell r="E17192" t="str">
            <v>LUC-EZZ-420120-00</v>
          </cell>
          <cell r="F17192">
            <v>1916149303</v>
          </cell>
        </row>
        <row r="17193">
          <cell r="E17193" t="str">
            <v>LUC-EZZ-510640-00</v>
          </cell>
          <cell r="F17193">
            <v>1916149303</v>
          </cell>
        </row>
        <row r="17194">
          <cell r="E17194" t="str">
            <v>LUC-EZZ-420189-00</v>
          </cell>
          <cell r="F17194">
            <v>1916149303</v>
          </cell>
        </row>
        <row r="17195">
          <cell r="E17195" t="str">
            <v>LUC-EZZ-420490-00</v>
          </cell>
          <cell r="F17195">
            <v>1916149303</v>
          </cell>
        </row>
        <row r="17196">
          <cell r="E17196" t="str">
            <v>LUC-E00-450132-00</v>
          </cell>
          <cell r="F17196">
            <v>1916149303</v>
          </cell>
        </row>
        <row r="17197">
          <cell r="E17197" t="str">
            <v>LUC-EZZ-510640-00</v>
          </cell>
          <cell r="F17197">
            <v>1916149303</v>
          </cell>
        </row>
        <row r="17198">
          <cell r="E17198" t="str">
            <v>LUC-EZZ-420189-00</v>
          </cell>
          <cell r="F17198">
            <v>1916149303</v>
          </cell>
        </row>
        <row r="17199">
          <cell r="E17199" t="str">
            <v>LUC-E00-450132-00</v>
          </cell>
          <cell r="F17199">
            <v>1916149303</v>
          </cell>
        </row>
        <row r="17200">
          <cell r="E17200" t="str">
            <v>LUC-EZZ-440204-00</v>
          </cell>
          <cell r="F17200">
            <v>1916149303</v>
          </cell>
        </row>
        <row r="17201">
          <cell r="E17201" t="str">
            <v>LUC-E00-450176-00</v>
          </cell>
          <cell r="F17201">
            <v>1916149303</v>
          </cell>
        </row>
        <row r="17202">
          <cell r="E17202" t="str">
            <v>LUC-E00-400010-043</v>
          </cell>
          <cell r="F17202">
            <v>1916149303</v>
          </cell>
        </row>
        <row r="17203">
          <cell r="E17203" t="str">
            <v>LUC-EZZ-470153-00</v>
          </cell>
          <cell r="F17203">
            <v>1916149303</v>
          </cell>
        </row>
        <row r="17204">
          <cell r="E17204" t="str">
            <v>LUC-EZZ-470153-00</v>
          </cell>
          <cell r="F17204">
            <v>1916149303</v>
          </cell>
        </row>
        <row r="17205">
          <cell r="E17205" t="str">
            <v>LUC-E00-510084-00</v>
          </cell>
          <cell r="F17205">
            <v>1916149303</v>
          </cell>
        </row>
        <row r="17206">
          <cell r="E17206" t="str">
            <v>LUC-EZZ-420020-00</v>
          </cell>
          <cell r="F17206">
            <v>1916149303</v>
          </cell>
        </row>
        <row r="17207">
          <cell r="E17207" t="str">
            <v>LUC-E00-510015-00</v>
          </cell>
          <cell r="F17207">
            <v>1916149303</v>
          </cell>
        </row>
        <row r="17208">
          <cell r="E17208" t="str">
            <v>LUC-EZZ-400110-00</v>
          </cell>
          <cell r="F17208">
            <v>1916149303</v>
          </cell>
        </row>
        <row r="17209">
          <cell r="E17209" t="str">
            <v>LUC-EZZ-400269-00</v>
          </cell>
          <cell r="F17209">
            <v>1916149303</v>
          </cell>
        </row>
        <row r="17210">
          <cell r="E17210" t="str">
            <v>LUC-EZZ-420002-00</v>
          </cell>
          <cell r="F17210">
            <v>1916149303</v>
          </cell>
        </row>
        <row r="17211">
          <cell r="E17211" t="str">
            <v>LUC-E00-480006-00</v>
          </cell>
          <cell r="F17211">
            <v>1916149303</v>
          </cell>
        </row>
        <row r="17212">
          <cell r="E17212" t="str">
            <v>AGI-534-40006-01</v>
          </cell>
          <cell r="F17212">
            <v>1916149303</v>
          </cell>
        </row>
        <row r="17213">
          <cell r="E17213" t="str">
            <v>AGI-534-40007-01</v>
          </cell>
          <cell r="F17213">
            <v>1916149303</v>
          </cell>
        </row>
        <row r="17214">
          <cell r="E17214" t="str">
            <v>LUC-E00-470062-00</v>
          </cell>
          <cell r="F17214">
            <v>1916149303</v>
          </cell>
        </row>
        <row r="17215">
          <cell r="E17215" t="str">
            <v>LUC-EZZ-470245-00</v>
          </cell>
          <cell r="F17215">
            <v>1916149303</v>
          </cell>
        </row>
        <row r="17216">
          <cell r="E17216" t="str">
            <v>LUC-EZZ-510058-00</v>
          </cell>
          <cell r="F17216">
            <v>1916149303</v>
          </cell>
        </row>
        <row r="17217">
          <cell r="E17217" t="str">
            <v>LUC-E00-420186-00</v>
          </cell>
          <cell r="F17217">
            <v>1916149303</v>
          </cell>
        </row>
        <row r="17218">
          <cell r="E17218" t="str">
            <v>LUC-E00-470075-00</v>
          </cell>
          <cell r="F17218">
            <v>1916149303</v>
          </cell>
        </row>
        <row r="17219">
          <cell r="E17219" t="str">
            <v>LUC-E00-470062-00</v>
          </cell>
          <cell r="F17219">
            <v>1916149303</v>
          </cell>
        </row>
        <row r="17220">
          <cell r="E17220" t="str">
            <v>LUC-E00-470062-00</v>
          </cell>
          <cell r="F17220">
            <v>1916149303</v>
          </cell>
        </row>
        <row r="17221">
          <cell r="E17221" t="str">
            <v>LUC-E00-400010-008</v>
          </cell>
          <cell r="F17221">
            <v>1916149303</v>
          </cell>
        </row>
        <row r="17222">
          <cell r="E17222" t="str">
            <v>LUC-E00-400010-008</v>
          </cell>
          <cell r="F17222">
            <v>1916149303</v>
          </cell>
        </row>
        <row r="17223">
          <cell r="E17223" t="str">
            <v>LUC-E00-400010-008</v>
          </cell>
          <cell r="F17223">
            <v>1916149303</v>
          </cell>
        </row>
        <row r="17224">
          <cell r="E17224" t="str">
            <v>LUC-E00-400010-008</v>
          </cell>
          <cell r="F17224">
            <v>1916149303</v>
          </cell>
        </row>
        <row r="17225">
          <cell r="E17225" t="str">
            <v>LUC-E00-400010-008</v>
          </cell>
          <cell r="F17225">
            <v>1916149303</v>
          </cell>
        </row>
        <row r="17226">
          <cell r="E17226" t="str">
            <v>LUC-E00-470004-00</v>
          </cell>
          <cell r="F17226">
            <v>1916149303</v>
          </cell>
        </row>
        <row r="17227">
          <cell r="E17227" t="str">
            <v>LUC-E00-470020-01</v>
          </cell>
          <cell r="F17227">
            <v>1916149303</v>
          </cell>
        </row>
        <row r="17228">
          <cell r="E17228" t="str">
            <v>LUC-E00-470020-01</v>
          </cell>
          <cell r="F17228">
            <v>1916149303</v>
          </cell>
        </row>
        <row r="17229">
          <cell r="E17229" t="str">
            <v>LUC-EZZ-470961-00</v>
          </cell>
          <cell r="F17229">
            <v>1916149303</v>
          </cell>
        </row>
        <row r="17230">
          <cell r="E17230" t="str">
            <v>LUC-E00-400010-017</v>
          </cell>
          <cell r="F17230">
            <v>1916149303</v>
          </cell>
        </row>
        <row r="17231">
          <cell r="E17231" t="str">
            <v>LUC-E00-460015-01</v>
          </cell>
          <cell r="F17231">
            <v>1916149303</v>
          </cell>
        </row>
        <row r="17232">
          <cell r="E17232" t="str">
            <v>LUC-E00-510045-00</v>
          </cell>
          <cell r="F17232">
            <v>1916149303</v>
          </cell>
        </row>
        <row r="17233">
          <cell r="E17233" t="str">
            <v>LUC-E00-470075-00</v>
          </cell>
          <cell r="F17233">
            <v>1916149303</v>
          </cell>
        </row>
        <row r="17234">
          <cell r="E17234" t="str">
            <v>LUC-E00-400010-003</v>
          </cell>
          <cell r="F17234">
            <v>1916149303</v>
          </cell>
        </row>
        <row r="17235">
          <cell r="E17235" t="str">
            <v>LUC-EZZ-470464-00</v>
          </cell>
          <cell r="F17235">
            <v>1916149303</v>
          </cell>
        </row>
        <row r="17236">
          <cell r="E17236" t="str">
            <v>LUC-EZZ-470464-00</v>
          </cell>
          <cell r="F17236">
            <v>1916149303</v>
          </cell>
        </row>
        <row r="17237">
          <cell r="E17237" t="str">
            <v>LUC-E00-400010-037</v>
          </cell>
          <cell r="F17237">
            <v>1916149303</v>
          </cell>
        </row>
        <row r="17238">
          <cell r="E17238" t="str">
            <v>LUC-E00-400010-037</v>
          </cell>
          <cell r="F17238">
            <v>1916149303</v>
          </cell>
        </row>
        <row r="17239">
          <cell r="E17239" t="str">
            <v>LUC-E00-400010-037</v>
          </cell>
          <cell r="F17239">
            <v>1916149303</v>
          </cell>
        </row>
        <row r="17240">
          <cell r="E17240" t="str">
            <v>LUC-E00-450084-00</v>
          </cell>
          <cell r="F17240">
            <v>1916149303</v>
          </cell>
        </row>
        <row r="17241">
          <cell r="E17241" t="str">
            <v>LUC-E00-420027-03</v>
          </cell>
          <cell r="F17241">
            <v>1916149303</v>
          </cell>
        </row>
        <row r="17242">
          <cell r="E17242" t="str">
            <v>LUC-E00-420027-03</v>
          </cell>
          <cell r="F17242">
            <v>1916149303</v>
          </cell>
        </row>
        <row r="17243">
          <cell r="E17243" t="str">
            <v>LUC-E00-420020-03</v>
          </cell>
          <cell r="F17243">
            <v>1916149303</v>
          </cell>
        </row>
        <row r="17244">
          <cell r="E17244" t="str">
            <v>LUC-E00-470059-00</v>
          </cell>
          <cell r="F17244">
            <v>1916149303</v>
          </cell>
        </row>
        <row r="17245">
          <cell r="E17245" t="str">
            <v>LUC-E00-510093-00</v>
          </cell>
          <cell r="F17245">
            <v>1916149303</v>
          </cell>
        </row>
        <row r="17246">
          <cell r="E17246" t="str">
            <v>LUC-E00-470090-00</v>
          </cell>
          <cell r="F17246">
            <v>1916149303</v>
          </cell>
        </row>
        <row r="17247">
          <cell r="E17247" t="str">
            <v>LUC-E00-480014-00</v>
          </cell>
          <cell r="F17247">
            <v>1916149303</v>
          </cell>
        </row>
        <row r="17248">
          <cell r="E17248" t="str">
            <v>LUC-E00-470089-00</v>
          </cell>
          <cell r="F17248">
            <v>1916149303</v>
          </cell>
        </row>
        <row r="17249">
          <cell r="E17249" t="str">
            <v>LUC-E00-470343-00</v>
          </cell>
          <cell r="F17249">
            <v>1916149303</v>
          </cell>
        </row>
        <row r="17250">
          <cell r="E17250" t="str">
            <v>LUC-E00-420050-00</v>
          </cell>
          <cell r="F17250">
            <v>1916149303</v>
          </cell>
        </row>
        <row r="17251">
          <cell r="E17251" t="str">
            <v>LUC-E00-420057-01</v>
          </cell>
          <cell r="F17251">
            <v>1916149303</v>
          </cell>
        </row>
        <row r="17252">
          <cell r="E17252" t="str">
            <v>LUC-E00-420069-00</v>
          </cell>
          <cell r="F17252">
            <v>1916149303</v>
          </cell>
        </row>
        <row r="17253">
          <cell r="E17253" t="str">
            <v>LUC-E00-450056-00</v>
          </cell>
          <cell r="F17253">
            <v>1916149303</v>
          </cell>
        </row>
        <row r="17254">
          <cell r="E17254" t="str">
            <v>LUC-E00-420241-00</v>
          </cell>
          <cell r="F17254">
            <v>1916149303</v>
          </cell>
        </row>
        <row r="17255">
          <cell r="E17255" t="str">
            <v>LUC-E00-450043-00</v>
          </cell>
          <cell r="F17255">
            <v>1916149303</v>
          </cell>
        </row>
        <row r="17256">
          <cell r="E17256" t="str">
            <v>LUC-E00-470080-00</v>
          </cell>
          <cell r="F17256">
            <v>1916149303</v>
          </cell>
        </row>
        <row r="17257">
          <cell r="E17257" t="str">
            <v>LUC-E00-510031-00</v>
          </cell>
          <cell r="F17257">
            <v>1916149303</v>
          </cell>
        </row>
        <row r="17258">
          <cell r="E17258" t="str">
            <v>LUC-EZZ-471023-00</v>
          </cell>
          <cell r="F17258">
            <v>1916149303</v>
          </cell>
        </row>
        <row r="17259">
          <cell r="E17259" t="str">
            <v>LUC-E00-420058-00</v>
          </cell>
          <cell r="F17259">
            <v>1916149303</v>
          </cell>
        </row>
        <row r="17260">
          <cell r="E17260" t="str">
            <v>LUC-E00-470131-00</v>
          </cell>
          <cell r="F17260">
            <v>1916149303</v>
          </cell>
        </row>
        <row r="17261">
          <cell r="E17261" t="str">
            <v>LUC-E00-470131-00</v>
          </cell>
          <cell r="F17261">
            <v>1916149303</v>
          </cell>
        </row>
        <row r="17262">
          <cell r="E17262" t="str">
            <v>LUC-EZZ-470153-00</v>
          </cell>
          <cell r="F17262">
            <v>1916149303</v>
          </cell>
        </row>
        <row r="17263">
          <cell r="E17263" t="str">
            <v>LUC-E00-470318-00</v>
          </cell>
          <cell r="F17263">
            <v>1916149303</v>
          </cell>
        </row>
        <row r="17264">
          <cell r="E17264" t="str">
            <v>LUC-EZZ-420099-00</v>
          </cell>
          <cell r="F17264">
            <v>1916149303</v>
          </cell>
        </row>
        <row r="17265">
          <cell r="E17265" t="str">
            <v>LUC-E00-510045-00</v>
          </cell>
          <cell r="F17265">
            <v>1916149303</v>
          </cell>
        </row>
        <row r="17266">
          <cell r="E17266" t="str">
            <v>LUC-E00-420020-08</v>
          </cell>
          <cell r="F17266">
            <v>1916149303</v>
          </cell>
        </row>
        <row r="17267">
          <cell r="E17267" t="str">
            <v>LUC-EZZ-450835-00</v>
          </cell>
          <cell r="F17267">
            <v>1916149303</v>
          </cell>
        </row>
        <row r="17268">
          <cell r="E17268" t="str">
            <v>LUC-E00-420054-00</v>
          </cell>
          <cell r="F17268">
            <v>1916149303</v>
          </cell>
        </row>
        <row r="17269">
          <cell r="E17269" t="str">
            <v>LUC-EZZ-400427-00</v>
          </cell>
          <cell r="F17269">
            <v>1916149303</v>
          </cell>
        </row>
        <row r="17270">
          <cell r="E17270" t="str">
            <v>LUC-EZZ-470152-01</v>
          </cell>
          <cell r="F17270">
            <v>1916149303</v>
          </cell>
        </row>
        <row r="17271">
          <cell r="E17271" t="str">
            <v>LUC-E00-440029-00</v>
          </cell>
          <cell r="F17271">
            <v>1916149303</v>
          </cell>
        </row>
        <row r="17272">
          <cell r="E17272" t="str">
            <v>LUC-E00-440029-00</v>
          </cell>
          <cell r="F17272">
            <v>1916149303</v>
          </cell>
        </row>
        <row r="17273">
          <cell r="E17273" t="str">
            <v>LUC-E00-470119-00</v>
          </cell>
          <cell r="F17273">
            <v>1916149303</v>
          </cell>
        </row>
        <row r="17274">
          <cell r="E17274" t="str">
            <v>LUC-E00-400010-020</v>
          </cell>
          <cell r="F17274">
            <v>1916149303</v>
          </cell>
        </row>
        <row r="17275">
          <cell r="E17275" t="str">
            <v>LUC-EZZ-400210-00</v>
          </cell>
          <cell r="F17275">
            <v>1916149303</v>
          </cell>
        </row>
        <row r="17276">
          <cell r="E17276" t="str">
            <v>LUC-E00-470021-00</v>
          </cell>
          <cell r="F17276">
            <v>480947465010</v>
          </cell>
        </row>
        <row r="17277">
          <cell r="E17277" t="str">
            <v>EF-45225755</v>
          </cell>
          <cell r="F17277">
            <v>480820707370</v>
          </cell>
        </row>
        <row r="17278">
          <cell r="E17278" t="str">
            <v>LUC-E00-470161-01</v>
          </cell>
          <cell r="F17278">
            <v>393437262810</v>
          </cell>
        </row>
        <row r="17279">
          <cell r="E17279" t="str">
            <v>PUR-09-0513-00</v>
          </cell>
          <cell r="F17279">
            <v>393330543415</v>
          </cell>
        </row>
        <row r="17280">
          <cell r="E17280" t="str">
            <v>PUR-09-0422-00</v>
          </cell>
          <cell r="F17280">
            <v>480820717544</v>
          </cell>
        </row>
        <row r="17281">
          <cell r="E17281" t="str">
            <v>PUR-09-0422-00</v>
          </cell>
          <cell r="F17281">
            <v>480820717544</v>
          </cell>
        </row>
        <row r="17282">
          <cell r="E17282" t="str">
            <v>LUC-E00-510032-00</v>
          </cell>
          <cell r="F17282">
            <v>480998476887</v>
          </cell>
        </row>
        <row r="17283">
          <cell r="E17283" t="str">
            <v>LUC-EZZ-470272-00</v>
          </cell>
          <cell r="F17283">
            <v>480998476887</v>
          </cell>
        </row>
        <row r="17284">
          <cell r="E17284" t="str">
            <v>PUR-09-0502-00</v>
          </cell>
          <cell r="F17284">
            <v>480820722820</v>
          </cell>
        </row>
        <row r="17285">
          <cell r="E17285" t="str">
            <v>132-000270</v>
          </cell>
          <cell r="F17285">
            <v>415080628490</v>
          </cell>
        </row>
        <row r="17286">
          <cell r="E17286" t="str">
            <v>EF-45166123-9</v>
          </cell>
          <cell r="F17286">
            <v>461596526371</v>
          </cell>
        </row>
        <row r="17287">
          <cell r="E17287" t="str">
            <v>EF-45043819.X.X</v>
          </cell>
          <cell r="F17287">
            <v>884473168640</v>
          </cell>
        </row>
        <row r="17288">
          <cell r="E17288" t="str">
            <v>PUR-13-0235-00</v>
          </cell>
          <cell r="F17288">
            <v>884473168640</v>
          </cell>
        </row>
        <row r="17289">
          <cell r="E17289" t="str">
            <v>PUR-13-0246-00</v>
          </cell>
          <cell r="F17289">
            <v>884473168640</v>
          </cell>
        </row>
        <row r="17290">
          <cell r="E17290" t="str">
            <v>AGI-510-40077-01</v>
          </cell>
          <cell r="F17290">
            <v>884473168640</v>
          </cell>
        </row>
        <row r="17291">
          <cell r="E17291" t="str">
            <v>AGI-510-40077-01</v>
          </cell>
          <cell r="F17291">
            <v>884473168640</v>
          </cell>
        </row>
        <row r="17292">
          <cell r="E17292" t="str">
            <v>PUR-12-0482-00</v>
          </cell>
          <cell r="F17292">
            <v>884473168640</v>
          </cell>
        </row>
        <row r="17293">
          <cell r="E17293" t="str">
            <v>LUC-EZZ-440200-00</v>
          </cell>
          <cell r="F17293">
            <v>884473168640</v>
          </cell>
        </row>
        <row r="17294">
          <cell r="E17294" t="str">
            <v>PUR-13-0235-00</v>
          </cell>
          <cell r="F17294">
            <v>884473168640</v>
          </cell>
        </row>
        <row r="17295">
          <cell r="E17295" t="str">
            <v>122-000735.X.X</v>
          </cell>
          <cell r="F17295">
            <v>884473168640</v>
          </cell>
        </row>
        <row r="17296">
          <cell r="E17296" t="str">
            <v>121-000908.X.X</v>
          </cell>
          <cell r="F17296">
            <v>884473168640</v>
          </cell>
        </row>
        <row r="17297">
          <cell r="E17297" t="str">
            <v>LUC-E00-470432-00</v>
          </cell>
          <cell r="F17297">
            <v>119209635634</v>
          </cell>
        </row>
        <row r="17298">
          <cell r="E17298" t="str">
            <v>LUC-E00-440003-00</v>
          </cell>
          <cell r="F17298">
            <v>451257548818</v>
          </cell>
        </row>
        <row r="17299">
          <cell r="E17299" t="str">
            <v>LUC-E00-440003-00</v>
          </cell>
          <cell r="F17299">
            <v>451257548818</v>
          </cell>
        </row>
        <row r="17300">
          <cell r="E17300" t="str">
            <v>LUC-E00-440014-00</v>
          </cell>
          <cell r="F17300">
            <v>451257548818</v>
          </cell>
        </row>
        <row r="17301">
          <cell r="E17301" t="str">
            <v>LUC-E00-440046-00</v>
          </cell>
          <cell r="F17301">
            <v>451257548818</v>
          </cell>
        </row>
        <row r="17302">
          <cell r="E17302" t="str">
            <v>LUC-E00-440072-01</v>
          </cell>
          <cell r="F17302">
            <v>451257548818</v>
          </cell>
        </row>
        <row r="17303">
          <cell r="E17303" t="str">
            <v>LUC-EZZ-440030-00</v>
          </cell>
          <cell r="F17303">
            <v>451257548818</v>
          </cell>
        </row>
        <row r="17304">
          <cell r="E17304" t="str">
            <v>LUC-EZZ-440090-00</v>
          </cell>
          <cell r="F17304">
            <v>451257548818</v>
          </cell>
        </row>
        <row r="17305">
          <cell r="E17305" t="str">
            <v>LUC-E00-450009-00</v>
          </cell>
          <cell r="F17305">
            <v>884469644714</v>
          </cell>
        </row>
        <row r="17306">
          <cell r="E17306" t="str">
            <v>LUC-EZZ-401250-00</v>
          </cell>
          <cell r="F17306">
            <v>884469644714</v>
          </cell>
        </row>
        <row r="17307">
          <cell r="E17307" t="str">
            <v>HLOB-12-0343-00</v>
          </cell>
          <cell r="F17307">
            <v>884469644714</v>
          </cell>
        </row>
        <row r="17308">
          <cell r="E17308" t="str">
            <v>HLOB-12-0337-00</v>
          </cell>
          <cell r="F17308">
            <v>884469644714</v>
          </cell>
        </row>
        <row r="17309">
          <cell r="E17309" t="str">
            <v>HLOB-12-0337-00</v>
          </cell>
          <cell r="F17309">
            <v>884469644714</v>
          </cell>
        </row>
        <row r="17310">
          <cell r="E17310" t="str">
            <v>HLOB-13-0245-00</v>
          </cell>
          <cell r="F17310">
            <v>884469644714</v>
          </cell>
        </row>
        <row r="17311">
          <cell r="E17311" t="str">
            <v>121-000102.X.X</v>
          </cell>
          <cell r="F17311">
            <v>884469644714</v>
          </cell>
        </row>
        <row r="17312">
          <cell r="E17312" t="str">
            <v>122-000293.X.X</v>
          </cell>
          <cell r="F17312">
            <v>884469644714</v>
          </cell>
        </row>
        <row r="17313">
          <cell r="E17313" t="str">
            <v>122-000293.X.X</v>
          </cell>
          <cell r="F17313">
            <v>884469644714</v>
          </cell>
        </row>
        <row r="17314">
          <cell r="E17314" t="str">
            <v>121-000585.X.X</v>
          </cell>
          <cell r="F17314">
            <v>884469644714</v>
          </cell>
        </row>
        <row r="17315">
          <cell r="E17315" t="str">
            <v>LUC-EZZ-420143-00</v>
          </cell>
          <cell r="F17315">
            <v>643036775008</v>
          </cell>
        </row>
        <row r="17316">
          <cell r="E17316" t="str">
            <v>LUC-E00-690032-00</v>
          </cell>
          <cell r="F17316">
            <v>393312665159</v>
          </cell>
        </row>
        <row r="17317">
          <cell r="E17317" t="str">
            <v>LUC-E00-440140-01</v>
          </cell>
          <cell r="F17317">
            <v>393312665159</v>
          </cell>
        </row>
        <row r="17318">
          <cell r="E17318" t="str">
            <v>LUC-E00-690214-00</v>
          </cell>
          <cell r="F17318">
            <v>462162741190</v>
          </cell>
        </row>
        <row r="17319">
          <cell r="E17319" t="str">
            <v>LUC-E00-470183-00</v>
          </cell>
          <cell r="F17319">
            <v>480820717820</v>
          </cell>
        </row>
        <row r="17320">
          <cell r="E17320" t="str">
            <v>AGI-450-40036-01</v>
          </cell>
          <cell r="F17320">
            <v>480820717820</v>
          </cell>
        </row>
        <row r="17321">
          <cell r="E17321" t="str">
            <v>AGI-500-40007-01</v>
          </cell>
          <cell r="F17321">
            <v>473879307575</v>
          </cell>
        </row>
        <row r="17322">
          <cell r="E17322" t="str">
            <v>AGI-500-40007-01</v>
          </cell>
          <cell r="F17322">
            <v>473879307575</v>
          </cell>
        </row>
        <row r="17323">
          <cell r="E17323" t="str">
            <v>LUC-E00-460042-00</v>
          </cell>
          <cell r="F17323">
            <v>473879307575</v>
          </cell>
        </row>
        <row r="17324">
          <cell r="E17324" t="str">
            <v>LUC-E00-420027-05</v>
          </cell>
          <cell r="F17324">
            <v>473879307575</v>
          </cell>
        </row>
        <row r="17325">
          <cell r="E17325" t="str">
            <v>HLOB-18-0640-00</v>
          </cell>
          <cell r="F17325">
            <v>884505034340</v>
          </cell>
        </row>
        <row r="17326">
          <cell r="E17326" t="str">
            <v>LUC-EZZ-440129-00</v>
          </cell>
          <cell r="F17326">
            <v>393294371337</v>
          </cell>
        </row>
        <row r="17327">
          <cell r="E17327" t="str">
            <v>LUC-E00-470116-00</v>
          </cell>
          <cell r="F17327">
            <v>393375904583</v>
          </cell>
        </row>
        <row r="17328">
          <cell r="E17328" t="str">
            <v>LUC-EZZ-510049-00</v>
          </cell>
          <cell r="F17328">
            <v>393254131562</v>
          </cell>
        </row>
        <row r="17329">
          <cell r="E17329" t="str">
            <v>PUR-03-0091-02</v>
          </cell>
          <cell r="F17329">
            <v>470603428316</v>
          </cell>
        </row>
        <row r="17330">
          <cell r="E17330" t="str">
            <v>PURC-03-0116-02</v>
          </cell>
          <cell r="F17330">
            <v>470603428316</v>
          </cell>
        </row>
        <row r="17331">
          <cell r="E17331" t="str">
            <v>LUC-EZZ-420175-00</v>
          </cell>
          <cell r="F17331">
            <v>409298805990</v>
          </cell>
        </row>
        <row r="17332">
          <cell r="E17332" t="str">
            <v>LUC-E00-400267-00</v>
          </cell>
          <cell r="F17332">
            <v>409298805990</v>
          </cell>
        </row>
        <row r="17333">
          <cell r="E17333" t="str">
            <v>LUC-E00-420049-00</v>
          </cell>
          <cell r="F17333">
            <v>409298805990</v>
          </cell>
        </row>
        <row r="17334">
          <cell r="E17334" t="str">
            <v>LUC-E00-420049-01</v>
          </cell>
          <cell r="F17334">
            <v>409298805990</v>
          </cell>
        </row>
        <row r="17335">
          <cell r="E17335" t="str">
            <v>LUC-E00-420002-03</v>
          </cell>
          <cell r="F17335">
            <v>409298805990</v>
          </cell>
        </row>
        <row r="17336">
          <cell r="E17336" t="str">
            <v>LUC-E00-440012-00</v>
          </cell>
          <cell r="F17336">
            <v>409298805990</v>
          </cell>
        </row>
        <row r="17337">
          <cell r="E17337" t="str">
            <v>LUC-E00-440012-00</v>
          </cell>
          <cell r="F17337">
            <v>409298805990</v>
          </cell>
        </row>
        <row r="17338">
          <cell r="E17338" t="str">
            <v>LUC-E00-420011-00</v>
          </cell>
          <cell r="F17338">
            <v>409298805990</v>
          </cell>
        </row>
        <row r="17339">
          <cell r="E17339" t="str">
            <v>LUC-E00-400046-00</v>
          </cell>
          <cell r="F17339">
            <v>409298805990</v>
          </cell>
        </row>
        <row r="17340">
          <cell r="E17340" t="str">
            <v>LUC-E00-460042-00</v>
          </cell>
          <cell r="F17340">
            <v>409298805990</v>
          </cell>
        </row>
        <row r="17341">
          <cell r="E17341" t="str">
            <v>LUC-E00-400010-004</v>
          </cell>
          <cell r="F17341">
            <v>409298805990</v>
          </cell>
        </row>
        <row r="17342">
          <cell r="E17342" t="str">
            <v>LUC-EZZ-400246-00</v>
          </cell>
          <cell r="F17342">
            <v>409298805990</v>
          </cell>
        </row>
        <row r="17343">
          <cell r="E17343" t="str">
            <v>LUC-EZZ-440073-00</v>
          </cell>
          <cell r="F17343">
            <v>409298805990</v>
          </cell>
        </row>
        <row r="17344">
          <cell r="E17344" t="str">
            <v>LUC-EZZ-420159-00</v>
          </cell>
          <cell r="F17344">
            <v>409298805990</v>
          </cell>
        </row>
        <row r="17345">
          <cell r="E17345" t="str">
            <v>LUC-EZZ-420159-00</v>
          </cell>
          <cell r="F17345">
            <v>409298805990</v>
          </cell>
        </row>
        <row r="17346">
          <cell r="E17346" t="str">
            <v>LUC-EZZ-420192-00</v>
          </cell>
          <cell r="F17346">
            <v>409298805990</v>
          </cell>
        </row>
        <row r="17347">
          <cell r="E17347" t="str">
            <v>LUC-EZZ-400246-00</v>
          </cell>
          <cell r="F17347">
            <v>409298805990</v>
          </cell>
        </row>
        <row r="17348">
          <cell r="E17348" t="str">
            <v>LUC-EZZ-440193-00</v>
          </cell>
          <cell r="F17348">
            <v>409298805990</v>
          </cell>
        </row>
        <row r="17349">
          <cell r="E17349" t="str">
            <v>LUC-EZZ-400609-00</v>
          </cell>
          <cell r="F17349">
            <v>409298805990</v>
          </cell>
        </row>
        <row r="17350">
          <cell r="E17350" t="str">
            <v>LUC-EZZ-420493-00</v>
          </cell>
          <cell r="F17350">
            <v>409298805990</v>
          </cell>
        </row>
        <row r="17351">
          <cell r="E17351" t="str">
            <v>LUC-EZZ-420493-00</v>
          </cell>
          <cell r="F17351">
            <v>409298805990</v>
          </cell>
        </row>
        <row r="17352">
          <cell r="E17352" t="str">
            <v>121-001485</v>
          </cell>
          <cell r="F17352">
            <v>409298805990</v>
          </cell>
        </row>
        <row r="17353">
          <cell r="E17353" t="str">
            <v>LUC-E00-400010-050</v>
          </cell>
          <cell r="F17353">
            <v>445170591552</v>
          </cell>
        </row>
        <row r="17354">
          <cell r="E17354" t="str">
            <v>LUC-E00-450037-00</v>
          </cell>
          <cell r="F17354">
            <v>619345530141</v>
          </cell>
        </row>
        <row r="17355">
          <cell r="E17355" t="str">
            <v>LUC-P11-K41800-00</v>
          </cell>
          <cell r="F17355">
            <v>619345530141</v>
          </cell>
        </row>
        <row r="17356">
          <cell r="E17356" t="str">
            <v>LUC-P11-K41800-00</v>
          </cell>
          <cell r="F17356">
            <v>619345530141</v>
          </cell>
        </row>
        <row r="17357">
          <cell r="E17357" t="str">
            <v>LUC-P11-K41800-00</v>
          </cell>
          <cell r="F17357">
            <v>619345530141</v>
          </cell>
        </row>
        <row r="17358">
          <cell r="E17358" t="str">
            <v>LUC-P11-K33N00-00</v>
          </cell>
          <cell r="F17358">
            <v>619345530141</v>
          </cell>
        </row>
        <row r="17359">
          <cell r="E17359" t="str">
            <v>LUC-E00-690011-00</v>
          </cell>
          <cell r="F17359">
            <v>619345530141</v>
          </cell>
        </row>
        <row r="17360">
          <cell r="E17360" t="str">
            <v>LUC-EZZ-400297-00</v>
          </cell>
          <cell r="F17360">
            <v>619345530141</v>
          </cell>
        </row>
        <row r="17361">
          <cell r="E17361" t="str">
            <v>LUC-EZZ-400297-00</v>
          </cell>
          <cell r="F17361">
            <v>619345530141</v>
          </cell>
        </row>
        <row r="17362">
          <cell r="E17362" t="str">
            <v>LUC-E00-460006-00</v>
          </cell>
          <cell r="F17362">
            <v>619345530141</v>
          </cell>
        </row>
        <row r="17363">
          <cell r="E17363" t="str">
            <v>LUC-EZZ-450236-00</v>
          </cell>
          <cell r="F17363">
            <v>619345530141</v>
          </cell>
        </row>
        <row r="17364">
          <cell r="E17364" t="str">
            <v>LUC-EZZ-450236-00</v>
          </cell>
          <cell r="F17364">
            <v>619345530141</v>
          </cell>
        </row>
        <row r="17365">
          <cell r="E17365" t="str">
            <v>LUC-EZZ-400043-00</v>
          </cell>
          <cell r="F17365">
            <v>619345530141</v>
          </cell>
        </row>
        <row r="17366">
          <cell r="E17366" t="str">
            <v>LUC-P11-K41700-00</v>
          </cell>
          <cell r="F17366">
            <v>619345530141</v>
          </cell>
        </row>
        <row r="17367">
          <cell r="E17367" t="str">
            <v>AGI-450-40036-01</v>
          </cell>
          <cell r="F17367">
            <v>480820713284</v>
          </cell>
        </row>
        <row r="17368">
          <cell r="E17368" t="str">
            <v>LUC-E00-470183-00</v>
          </cell>
          <cell r="F17368">
            <v>480820713284</v>
          </cell>
        </row>
        <row r="17369">
          <cell r="E17369" t="str">
            <v>LUC-EZZ-420391-00</v>
          </cell>
          <cell r="F17369">
            <v>619345530196</v>
          </cell>
        </row>
        <row r="17370">
          <cell r="E17370" t="str">
            <v>LUC-EZZ-470153-00</v>
          </cell>
          <cell r="F17370">
            <v>619345530196</v>
          </cell>
        </row>
        <row r="17371">
          <cell r="E17371" t="str">
            <v>LUC-EZZ-420188-00</v>
          </cell>
          <cell r="F17371">
            <v>619345530196</v>
          </cell>
        </row>
        <row r="17372">
          <cell r="E17372" t="str">
            <v>LUC-EZZ-420145-00</v>
          </cell>
          <cell r="F17372">
            <v>619345530196</v>
          </cell>
        </row>
        <row r="17373">
          <cell r="E17373" t="str">
            <v>LUC-EZZ-420195-00</v>
          </cell>
          <cell r="F17373">
            <v>619345530196</v>
          </cell>
        </row>
        <row r="17374">
          <cell r="E17374" t="str">
            <v>LUC-EZZ-420195-00</v>
          </cell>
          <cell r="F17374">
            <v>619345530196</v>
          </cell>
        </row>
        <row r="17375">
          <cell r="E17375" t="str">
            <v>LUC-EZZ-510077-00</v>
          </cell>
          <cell r="F17375">
            <v>619345530196</v>
          </cell>
        </row>
        <row r="17376">
          <cell r="E17376" t="str">
            <v>LUC-E00-480006-00</v>
          </cell>
          <cell r="F17376">
            <v>619345530196</v>
          </cell>
        </row>
        <row r="17377">
          <cell r="E17377" t="str">
            <v>LUC-E00-420038-01</v>
          </cell>
          <cell r="F17377">
            <v>619345530196</v>
          </cell>
        </row>
        <row r="17378">
          <cell r="E17378" t="str">
            <v>LUC-EZZ-470237-00</v>
          </cell>
          <cell r="F17378">
            <v>619345530196</v>
          </cell>
        </row>
        <row r="17379">
          <cell r="E17379" t="str">
            <v>LUC-EZZ-470237-00</v>
          </cell>
          <cell r="F17379">
            <v>619345530196</v>
          </cell>
        </row>
        <row r="17380">
          <cell r="E17380" t="str">
            <v>LUC-EZZ-470238-00</v>
          </cell>
          <cell r="F17380">
            <v>619345530196</v>
          </cell>
        </row>
        <row r="17381">
          <cell r="E17381" t="str">
            <v>LUC-EZZ-470238-00</v>
          </cell>
          <cell r="F17381">
            <v>619345530196</v>
          </cell>
        </row>
        <row r="17382">
          <cell r="E17382" t="str">
            <v>LUC-E00-690062-01</v>
          </cell>
          <cell r="F17382">
            <v>4110328986</v>
          </cell>
        </row>
        <row r="17383">
          <cell r="E17383" t="str">
            <v>EF-45043246.X.X</v>
          </cell>
          <cell r="F17383">
            <v>741993745289</v>
          </cell>
        </row>
        <row r="17384">
          <cell r="E17384" t="str">
            <v>LUC-E00-440140-01</v>
          </cell>
          <cell r="F17384">
            <v>393395549270</v>
          </cell>
        </row>
        <row r="17385">
          <cell r="E17385" t="str">
            <v>PUR-03-0092-03</v>
          </cell>
          <cell r="F17385" t="str">
            <v>8TV8873</v>
          </cell>
        </row>
        <row r="17386">
          <cell r="E17386" t="str">
            <v>PUR-03-0092-03</v>
          </cell>
          <cell r="F17386" t="str">
            <v>8TV8874</v>
          </cell>
        </row>
        <row r="17387">
          <cell r="E17387" t="str">
            <v>PUR-03-0092-03</v>
          </cell>
          <cell r="F17387" t="str">
            <v>8TV8875</v>
          </cell>
        </row>
        <row r="17388">
          <cell r="E17388" t="str">
            <v>PUR-03-0092-03</v>
          </cell>
          <cell r="F17388" t="str">
            <v>8TV8876</v>
          </cell>
        </row>
        <row r="17389">
          <cell r="E17389" t="str">
            <v>PUR-03-0092-03</v>
          </cell>
          <cell r="F17389" t="str">
            <v>8TV8877</v>
          </cell>
        </row>
        <row r="17390">
          <cell r="E17390" t="str">
            <v>PUR-03-0092-03</v>
          </cell>
          <cell r="F17390" t="str">
            <v>8TV8878</v>
          </cell>
        </row>
        <row r="17391">
          <cell r="E17391" t="str">
            <v>PUR-03-0092-03</v>
          </cell>
          <cell r="F17391" t="str">
            <v>8TV8879</v>
          </cell>
        </row>
        <row r="17392">
          <cell r="E17392" t="str">
            <v>PUR-03-0092-03</v>
          </cell>
          <cell r="F17392" t="str">
            <v>8TV8880</v>
          </cell>
        </row>
        <row r="17393">
          <cell r="E17393" t="str">
            <v>PUR-03-0092-03</v>
          </cell>
          <cell r="F17393" t="str">
            <v>8TV8881</v>
          </cell>
        </row>
        <row r="17394">
          <cell r="E17394" t="str">
            <v>PUR-03-0114-00</v>
          </cell>
          <cell r="F17394" t="str">
            <v>8TV8823</v>
          </cell>
        </row>
        <row r="17395">
          <cell r="E17395" t="str">
            <v>LUC-P11-K82200-01</v>
          </cell>
          <cell r="F17395" t="str">
            <v>XH25090924</v>
          </cell>
        </row>
        <row r="17396">
          <cell r="E17396" t="str">
            <v>LUC-P11-K82200-01</v>
          </cell>
          <cell r="F17396" t="str">
            <v>XH25090924</v>
          </cell>
        </row>
        <row r="17397">
          <cell r="E17397" t="str">
            <v>LUC-P11-K82200-01</v>
          </cell>
          <cell r="F17397" t="str">
            <v>XH25090924</v>
          </cell>
        </row>
        <row r="17398">
          <cell r="E17398" t="str">
            <v>LUC-P11-K82300-00</v>
          </cell>
          <cell r="F17398" t="str">
            <v>XH25090924</v>
          </cell>
        </row>
        <row r="17399">
          <cell r="E17399" t="str">
            <v>LUC-P11-K82300-00</v>
          </cell>
          <cell r="F17399" t="str">
            <v>XH25090924</v>
          </cell>
        </row>
        <row r="17400">
          <cell r="E17400" t="str">
            <v>LUC-P11-K82300-00</v>
          </cell>
          <cell r="F17400" t="str">
            <v>XH25090924</v>
          </cell>
        </row>
        <row r="17401">
          <cell r="E17401" t="str">
            <v>LUC-P00-F18CDG-00</v>
          </cell>
          <cell r="F17401">
            <v>4720746976</v>
          </cell>
        </row>
        <row r="17402">
          <cell r="E17402" t="str">
            <v>LUC-P00-F853AY-00</v>
          </cell>
          <cell r="F17402">
            <v>4720746976</v>
          </cell>
        </row>
        <row r="17403">
          <cell r="E17403" t="str">
            <v>LUC-P00-F143AG-00</v>
          </cell>
          <cell r="F17403">
            <v>4720746976</v>
          </cell>
        </row>
        <row r="17404">
          <cell r="E17404" t="str">
            <v>LUC-EZZ-490535-00</v>
          </cell>
          <cell r="F17404">
            <v>5781113096</v>
          </cell>
        </row>
        <row r="17405">
          <cell r="E17405" t="str">
            <v>LUC-EZZ-490535-00</v>
          </cell>
          <cell r="F17405">
            <v>5781113096</v>
          </cell>
        </row>
        <row r="17406">
          <cell r="E17406" t="str">
            <v>PUR-25-0009-00</v>
          </cell>
          <cell r="F17406">
            <v>1810947935</v>
          </cell>
        </row>
        <row r="17407">
          <cell r="E17407" t="str">
            <v>PUR-14-0096-00</v>
          </cell>
          <cell r="F17407">
            <v>1810947935</v>
          </cell>
        </row>
        <row r="17408">
          <cell r="E17408" t="str">
            <v>AGI-532-40016-01</v>
          </cell>
          <cell r="F17408">
            <v>1810947935</v>
          </cell>
        </row>
        <row r="17409">
          <cell r="E17409" t="str">
            <v>LUC-P11-K18000-00</v>
          </cell>
          <cell r="F17409">
            <v>1810947935</v>
          </cell>
        </row>
        <row r="17410">
          <cell r="E17410" t="str">
            <v>LUC-P11-K41300-00</v>
          </cell>
          <cell r="F17410">
            <v>1810947935</v>
          </cell>
        </row>
        <row r="17411">
          <cell r="E17411" t="str">
            <v>LUC-P11-K41700-00</v>
          </cell>
          <cell r="F17411">
            <v>1810947935</v>
          </cell>
        </row>
        <row r="17412">
          <cell r="E17412" t="str">
            <v>LUC-EZZ-510030-00</v>
          </cell>
          <cell r="F17412">
            <v>1810947935</v>
          </cell>
        </row>
        <row r="17413">
          <cell r="E17413" t="str">
            <v>LUC-E00-400012-03</v>
          </cell>
          <cell r="F17413">
            <v>1810947935</v>
          </cell>
        </row>
        <row r="17414">
          <cell r="E17414" t="str">
            <v>PUR-14-0083-00</v>
          </cell>
          <cell r="F17414">
            <v>1810947935</v>
          </cell>
        </row>
        <row r="17415">
          <cell r="E17415" t="str">
            <v>LUC-EZZ-451277-00</v>
          </cell>
          <cell r="F17415">
            <v>1810947935</v>
          </cell>
        </row>
        <row r="17416">
          <cell r="E17416" t="str">
            <v>LUC-E00-470074-01</v>
          </cell>
          <cell r="F17416">
            <v>1810947935</v>
          </cell>
        </row>
        <row r="17417">
          <cell r="E17417" t="str">
            <v>LUC-E00-400049-00</v>
          </cell>
          <cell r="F17417">
            <v>1810947935</v>
          </cell>
        </row>
        <row r="17418">
          <cell r="E17418" t="str">
            <v>LUC-E00-400028-06</v>
          </cell>
          <cell r="F17418">
            <v>1810947935</v>
          </cell>
        </row>
        <row r="17419">
          <cell r="E17419" t="str">
            <v>LUC-EZZ-400238-00</v>
          </cell>
          <cell r="F17419">
            <v>1810947935</v>
          </cell>
        </row>
        <row r="17420">
          <cell r="E17420" t="str">
            <v>LUC-EZZ-401680-00</v>
          </cell>
          <cell r="F17420">
            <v>1810947935</v>
          </cell>
        </row>
        <row r="17421">
          <cell r="E17421" t="str">
            <v>LUC-EZZ-400801-00</v>
          </cell>
          <cell r="F17421">
            <v>1810947935</v>
          </cell>
        </row>
        <row r="17422">
          <cell r="E17422" t="str">
            <v>LUC-EZZ-420151-00</v>
          </cell>
          <cell r="F17422">
            <v>1810947935</v>
          </cell>
        </row>
        <row r="17423">
          <cell r="E17423" t="str">
            <v>LUC-EZZ-401060-00</v>
          </cell>
          <cell r="F17423">
            <v>1810947935</v>
          </cell>
        </row>
        <row r="17424">
          <cell r="E17424" t="str">
            <v>LUC-EZZ-450249-00</v>
          </cell>
          <cell r="F17424">
            <v>1810947935</v>
          </cell>
        </row>
        <row r="17425">
          <cell r="E17425" t="str">
            <v>LUC-E00-450075-00</v>
          </cell>
          <cell r="F17425">
            <v>1810947935</v>
          </cell>
        </row>
        <row r="17426">
          <cell r="E17426" t="str">
            <v>LUC-EZZ-401060-00</v>
          </cell>
          <cell r="F17426">
            <v>1810947935</v>
          </cell>
        </row>
        <row r="17427">
          <cell r="E17427" t="str">
            <v>LUC-EZZ-420151-00</v>
          </cell>
          <cell r="F17427">
            <v>1810947935</v>
          </cell>
        </row>
        <row r="17428">
          <cell r="E17428" t="str">
            <v>LUC-EZZ-450213-00</v>
          </cell>
          <cell r="F17428">
            <v>1810947935</v>
          </cell>
        </row>
        <row r="17429">
          <cell r="E17429" t="str">
            <v>LUC-EZZ-450214-00</v>
          </cell>
          <cell r="F17429">
            <v>1810947935</v>
          </cell>
        </row>
        <row r="17430">
          <cell r="E17430" t="str">
            <v>LUC-E00-450241-00</v>
          </cell>
          <cell r="F17430">
            <v>1810947935</v>
          </cell>
        </row>
        <row r="17431">
          <cell r="E17431" t="str">
            <v>LUC-EZZ-450091-00</v>
          </cell>
          <cell r="F17431">
            <v>1810947935</v>
          </cell>
        </row>
        <row r="17432">
          <cell r="E17432" t="str">
            <v>LUC-E00-450039-01</v>
          </cell>
          <cell r="F17432">
            <v>1810947935</v>
          </cell>
        </row>
        <row r="17433">
          <cell r="E17433" t="str">
            <v>LUC-E00-450070-00</v>
          </cell>
          <cell r="F17433">
            <v>1810947935</v>
          </cell>
        </row>
        <row r="17434">
          <cell r="E17434" t="str">
            <v>PUR-09-0444-00</v>
          </cell>
          <cell r="F17434">
            <v>1810947935</v>
          </cell>
        </row>
        <row r="17435">
          <cell r="E17435" t="str">
            <v>LUC-EZZ-400801-00</v>
          </cell>
          <cell r="F17435">
            <v>1810947935</v>
          </cell>
        </row>
        <row r="17436">
          <cell r="E17436" t="str">
            <v>LUC-E00-450039-01</v>
          </cell>
          <cell r="F17436">
            <v>1810947935</v>
          </cell>
        </row>
        <row r="17437">
          <cell r="E17437" t="str">
            <v>LUC-EZZ-470162-00</v>
          </cell>
          <cell r="F17437">
            <v>1810947935</v>
          </cell>
        </row>
        <row r="17438">
          <cell r="E17438" t="str">
            <v>LUC-EZZ-451660-00</v>
          </cell>
          <cell r="F17438">
            <v>1810947935</v>
          </cell>
        </row>
        <row r="17439">
          <cell r="E17439" t="str">
            <v>LUC-P11-K41300-00</v>
          </cell>
          <cell r="F17439">
            <v>1810947935</v>
          </cell>
        </row>
        <row r="17440">
          <cell r="E17440" t="str">
            <v>LUC-P11-K41D00-01</v>
          </cell>
          <cell r="F17440">
            <v>1810947935</v>
          </cell>
        </row>
        <row r="17441">
          <cell r="E17441" t="str">
            <v>LUC-P11-K41G00-00</v>
          </cell>
          <cell r="F17441">
            <v>1810947935</v>
          </cell>
        </row>
        <row r="17442">
          <cell r="E17442" t="str">
            <v>LUC-EZZ-540018-00</v>
          </cell>
          <cell r="F17442">
            <v>1810947935</v>
          </cell>
        </row>
        <row r="17443">
          <cell r="E17443" t="str">
            <v>LUC-EZZ-450093-00</v>
          </cell>
          <cell r="F17443">
            <v>1810947935</v>
          </cell>
        </row>
        <row r="17444">
          <cell r="E17444" t="str">
            <v>AGI-532-40014-01</v>
          </cell>
          <cell r="F17444">
            <v>1810947935</v>
          </cell>
        </row>
        <row r="17445">
          <cell r="E17445" t="str">
            <v>LUC-EZZ-450093-00</v>
          </cell>
          <cell r="F17445">
            <v>1810947935</v>
          </cell>
        </row>
        <row r="17446">
          <cell r="E17446" t="str">
            <v>LUC-E00-420019-01</v>
          </cell>
          <cell r="F17446">
            <v>1810947935</v>
          </cell>
        </row>
        <row r="17447">
          <cell r="E17447" t="str">
            <v>LUC-EZZ-690758-00</v>
          </cell>
          <cell r="F17447">
            <v>1810947935</v>
          </cell>
        </row>
        <row r="17448">
          <cell r="E17448" t="str">
            <v>LUC-EZZ-690758-00</v>
          </cell>
          <cell r="F17448">
            <v>1810947935</v>
          </cell>
        </row>
        <row r="17449">
          <cell r="E17449" t="str">
            <v>LUC-E00-400012-04</v>
          </cell>
          <cell r="F17449">
            <v>482108114520</v>
          </cell>
        </row>
        <row r="17450">
          <cell r="E17450" t="str">
            <v>LUC-E00-400068-00</v>
          </cell>
          <cell r="F17450">
            <v>482108114520</v>
          </cell>
        </row>
        <row r="17451">
          <cell r="E17451" t="str">
            <v>LUC-GF1500-00-60-50CC</v>
          </cell>
          <cell r="F17451">
            <v>482108114520</v>
          </cell>
        </row>
        <row r="17452">
          <cell r="E17452" t="str">
            <v>LUC-E00-420086-00</v>
          </cell>
          <cell r="F17452">
            <v>482108114520</v>
          </cell>
        </row>
        <row r="17453">
          <cell r="E17453" t="str">
            <v>LUC-E00-420027-05</v>
          </cell>
          <cell r="F17453">
            <v>482108114520</v>
          </cell>
        </row>
        <row r="17454">
          <cell r="E17454" t="str">
            <v>LUC-E00-420027-05</v>
          </cell>
          <cell r="F17454">
            <v>482108114520</v>
          </cell>
        </row>
        <row r="17455">
          <cell r="E17455" t="str">
            <v>LUC-EZZ-420084-00</v>
          </cell>
          <cell r="F17455">
            <v>482108114520</v>
          </cell>
        </row>
        <row r="17456">
          <cell r="E17456" t="str">
            <v>142-000043</v>
          </cell>
          <cell r="F17456">
            <v>482108114520</v>
          </cell>
        </row>
        <row r="17457">
          <cell r="E17457" t="str">
            <v>LUC-E00-460018-00</v>
          </cell>
          <cell r="F17457">
            <v>482108114520</v>
          </cell>
        </row>
        <row r="17458">
          <cell r="E17458" t="str">
            <v>119-001192</v>
          </cell>
          <cell r="F17458">
            <v>482108114520</v>
          </cell>
        </row>
        <row r="17459">
          <cell r="E17459" t="str">
            <v>126-002215</v>
          </cell>
          <cell r="F17459">
            <v>884622730144</v>
          </cell>
        </row>
        <row r="17460">
          <cell r="E17460" t="str">
            <v>126-002211</v>
          </cell>
          <cell r="F17460">
            <v>884622730144</v>
          </cell>
        </row>
        <row r="17461">
          <cell r="E17461" t="str">
            <v>126-002210</v>
          </cell>
          <cell r="F17461">
            <v>884622730144</v>
          </cell>
        </row>
        <row r="17462">
          <cell r="E17462" t="str">
            <v>126-002213</v>
          </cell>
          <cell r="F17462">
            <v>884622730144</v>
          </cell>
        </row>
        <row r="17463">
          <cell r="E17463" t="str">
            <v>141-002768</v>
          </cell>
          <cell r="F17463">
            <v>884557277770</v>
          </cell>
        </row>
        <row r="17464">
          <cell r="E17464" t="str">
            <v>141-002770</v>
          </cell>
          <cell r="F17464">
            <v>884557277770</v>
          </cell>
        </row>
        <row r="17465">
          <cell r="E17465" t="str">
            <v>10124414-101LF</v>
          </cell>
          <cell r="F17465">
            <v>884554928900</v>
          </cell>
        </row>
        <row r="17466">
          <cell r="E17466" t="str">
            <v>PUR-03-0091-02</v>
          </cell>
          <cell r="F17466">
            <v>470603509828</v>
          </cell>
        </row>
        <row r="17467">
          <cell r="E17467" t="str">
            <v>LUC-P11-J81500-01</v>
          </cell>
          <cell r="F17467" t="str">
            <v>SHHPH25019717</v>
          </cell>
        </row>
        <row r="17468">
          <cell r="E17468" t="str">
            <v>LUC-P11-J81500-01</v>
          </cell>
          <cell r="F17468" t="str">
            <v>SHHPH25019717</v>
          </cell>
        </row>
        <row r="17469">
          <cell r="E17469" t="str">
            <v>LUC-P11-J81300-01</v>
          </cell>
          <cell r="F17469" t="str">
            <v>SHHPH25019717</v>
          </cell>
        </row>
        <row r="17470">
          <cell r="E17470" t="str">
            <v>LUC-P11-J81300-01</v>
          </cell>
          <cell r="F17470" t="str">
            <v>SHHPH25019717</v>
          </cell>
        </row>
        <row r="17471">
          <cell r="E17471" t="str">
            <v>LUC-P11-J80200-00</v>
          </cell>
          <cell r="F17471" t="str">
            <v>SHHPH25019717</v>
          </cell>
        </row>
        <row r="17472">
          <cell r="E17472" t="str">
            <v>LUC-P11-J80200-00</v>
          </cell>
          <cell r="F17472" t="str">
            <v>SHHPH25019717</v>
          </cell>
        </row>
        <row r="17473">
          <cell r="E17473" t="str">
            <v>LUC-P11-J80300-00</v>
          </cell>
          <cell r="F17473" t="str">
            <v>SHHPH25019717</v>
          </cell>
        </row>
        <row r="17474">
          <cell r="E17474" t="str">
            <v>LUC-P11-J80300-00</v>
          </cell>
          <cell r="F17474" t="str">
            <v>SHHPH25019717</v>
          </cell>
        </row>
        <row r="17475">
          <cell r="E17475" t="str">
            <v>LUC-P11-K34A00-03</v>
          </cell>
          <cell r="F17475" t="str">
            <v>SHHPH25020218</v>
          </cell>
        </row>
        <row r="17476">
          <cell r="E17476" t="str">
            <v>LUC-P11-K34900-02</v>
          </cell>
          <cell r="F17476" t="str">
            <v>SHHPH25020218</v>
          </cell>
        </row>
        <row r="17477">
          <cell r="E17477" t="str">
            <v>LUC-P11-K35500-04</v>
          </cell>
          <cell r="F17477" t="str">
            <v>SHHPH25020218</v>
          </cell>
        </row>
        <row r="17478">
          <cell r="E17478" t="str">
            <v>LUC-P11-K35400-03</v>
          </cell>
          <cell r="F17478" t="str">
            <v>SHHPH25020218</v>
          </cell>
        </row>
        <row r="17479">
          <cell r="E17479" t="str">
            <v>PUR-09-0502-00</v>
          </cell>
          <cell r="F17479">
            <v>480820727291</v>
          </cell>
        </row>
        <row r="17480">
          <cell r="E17480" t="str">
            <v>LUC-E00-470093-00</v>
          </cell>
          <cell r="F17480">
            <v>393534795934</v>
          </cell>
        </row>
        <row r="17481">
          <cell r="E17481" t="str">
            <v>LUC-EZZ-470211-00</v>
          </cell>
          <cell r="F17481">
            <v>393534795934</v>
          </cell>
        </row>
        <row r="17482">
          <cell r="E17482" t="str">
            <v>HLOB-14-0086-00</v>
          </cell>
          <cell r="F17482">
            <v>480947542516</v>
          </cell>
        </row>
        <row r="17483">
          <cell r="E17483" t="str">
            <v>LUC-E00-400026-00</v>
          </cell>
          <cell r="F17483">
            <v>707296236929</v>
          </cell>
        </row>
        <row r="17484">
          <cell r="E17484" t="str">
            <v>LUC-E00-440144-00</v>
          </cell>
          <cell r="F17484">
            <v>480947514891</v>
          </cell>
        </row>
        <row r="17485">
          <cell r="E17485" t="str">
            <v>LUC-E00-440057-00</v>
          </cell>
          <cell r="F17485">
            <v>480947514891</v>
          </cell>
        </row>
        <row r="17486">
          <cell r="E17486" t="str">
            <v>PUR-03-0095-00</v>
          </cell>
          <cell r="F17486">
            <v>884651350807</v>
          </cell>
        </row>
        <row r="17487">
          <cell r="E17487" t="str">
            <v>LUC-E00-470263-00</v>
          </cell>
          <cell r="F17487">
            <v>441659523405</v>
          </cell>
        </row>
        <row r="17488">
          <cell r="E17488" t="str">
            <v>LUC-E00-510112-00</v>
          </cell>
          <cell r="F17488">
            <v>476513888043</v>
          </cell>
        </row>
        <row r="17489">
          <cell r="E17489" t="str">
            <v>LUC-E00-470116-00</v>
          </cell>
          <cell r="F17489">
            <v>393488383558</v>
          </cell>
        </row>
        <row r="17490">
          <cell r="E17490" t="str">
            <v>LUC-E00-470081-00</v>
          </cell>
          <cell r="F17490">
            <v>393438285369</v>
          </cell>
        </row>
        <row r="17491">
          <cell r="E17491" t="str">
            <v>122-000215.X.X</v>
          </cell>
          <cell r="F17491">
            <v>471783744659</v>
          </cell>
        </row>
        <row r="17492">
          <cell r="E17492" t="str">
            <v>121-000153.X.X</v>
          </cell>
          <cell r="F17492">
            <v>471783744659</v>
          </cell>
        </row>
        <row r="17493">
          <cell r="E17493" t="str">
            <v>121-000208.X.X</v>
          </cell>
          <cell r="F17493">
            <v>471783744659</v>
          </cell>
        </row>
        <row r="17494">
          <cell r="E17494" t="str">
            <v>121-000208.X.X</v>
          </cell>
          <cell r="F17494">
            <v>471783744659</v>
          </cell>
        </row>
        <row r="17495">
          <cell r="E17495" t="str">
            <v>122-000215.X.X</v>
          </cell>
          <cell r="F17495">
            <v>471783744659</v>
          </cell>
        </row>
        <row r="17496">
          <cell r="E17496" t="str">
            <v>122-001070</v>
          </cell>
          <cell r="F17496">
            <v>471783744659</v>
          </cell>
        </row>
        <row r="17497">
          <cell r="E17497" t="str">
            <v>LUC-E00-400035-04</v>
          </cell>
          <cell r="F17497">
            <v>471783744659</v>
          </cell>
        </row>
        <row r="17498">
          <cell r="E17498" t="str">
            <v>LUC-E00-400035-04</v>
          </cell>
          <cell r="F17498">
            <v>471783744659</v>
          </cell>
        </row>
        <row r="17499">
          <cell r="E17499" t="str">
            <v>121-001383</v>
          </cell>
          <cell r="F17499">
            <v>471783744659</v>
          </cell>
        </row>
        <row r="17500">
          <cell r="E17500" t="str">
            <v>PURET-12-0035-00</v>
          </cell>
          <cell r="F17500">
            <v>471783744659</v>
          </cell>
        </row>
        <row r="17501">
          <cell r="E17501" t="str">
            <v>PURET-12-0212-00</v>
          </cell>
          <cell r="F17501">
            <v>471783744659</v>
          </cell>
        </row>
        <row r="17502">
          <cell r="E17502" t="str">
            <v>PURET-12-0212-00</v>
          </cell>
          <cell r="F17502">
            <v>471783744659</v>
          </cell>
        </row>
        <row r="17503">
          <cell r="E17503" t="str">
            <v>AIC-MP-00002327-000</v>
          </cell>
          <cell r="F17503">
            <v>471783744659</v>
          </cell>
        </row>
        <row r="17504">
          <cell r="E17504" t="str">
            <v>121-000519.X.X</v>
          </cell>
          <cell r="F17504">
            <v>471783744659</v>
          </cell>
        </row>
        <row r="17505">
          <cell r="E17505" t="str">
            <v>121-000519.X.X</v>
          </cell>
          <cell r="F17505">
            <v>471783744659</v>
          </cell>
        </row>
        <row r="17506">
          <cell r="E17506" t="str">
            <v>121-000519.X.X</v>
          </cell>
          <cell r="F17506">
            <v>471783744659</v>
          </cell>
        </row>
        <row r="17507">
          <cell r="E17507" t="str">
            <v>121-000519.X.X</v>
          </cell>
          <cell r="F17507">
            <v>471783744659</v>
          </cell>
        </row>
        <row r="17508">
          <cell r="E17508" t="str">
            <v>121-000519.X.X</v>
          </cell>
          <cell r="F17508">
            <v>471783744659</v>
          </cell>
        </row>
        <row r="17509">
          <cell r="E17509" t="str">
            <v>121-000519.X.X</v>
          </cell>
          <cell r="F17509">
            <v>471783744659</v>
          </cell>
        </row>
        <row r="17510">
          <cell r="E17510" t="str">
            <v>121-000519.X.X</v>
          </cell>
          <cell r="F17510">
            <v>471783744659</v>
          </cell>
        </row>
        <row r="17511">
          <cell r="E17511" t="str">
            <v>PUR-12-0304-00</v>
          </cell>
          <cell r="F17511">
            <v>471783744659</v>
          </cell>
        </row>
        <row r="17512">
          <cell r="E17512" t="str">
            <v>EF-45043491.X.X</v>
          </cell>
          <cell r="F17512">
            <v>471783744659</v>
          </cell>
        </row>
        <row r="17513">
          <cell r="E17513" t="str">
            <v>EF-45044094.X.X</v>
          </cell>
          <cell r="F17513">
            <v>471783744659</v>
          </cell>
        </row>
        <row r="17514">
          <cell r="E17514" t="str">
            <v>121-000525.X.X</v>
          </cell>
          <cell r="F17514">
            <v>471783744659</v>
          </cell>
        </row>
        <row r="17515">
          <cell r="E17515" t="str">
            <v>121-000525.X.X</v>
          </cell>
          <cell r="F17515">
            <v>471783744659</v>
          </cell>
        </row>
        <row r="17516">
          <cell r="E17516" t="str">
            <v>121-000356.X.X</v>
          </cell>
          <cell r="F17516">
            <v>471783744659</v>
          </cell>
        </row>
        <row r="17517">
          <cell r="E17517" t="str">
            <v>121-000111.X.X</v>
          </cell>
          <cell r="F17517">
            <v>471783744659</v>
          </cell>
        </row>
        <row r="17518">
          <cell r="E17518" t="str">
            <v>121-001823</v>
          </cell>
          <cell r="F17518">
            <v>471783744659</v>
          </cell>
        </row>
        <row r="17519">
          <cell r="E17519" t="str">
            <v>121-001823</v>
          </cell>
          <cell r="F17519">
            <v>471783744659</v>
          </cell>
        </row>
        <row r="17520">
          <cell r="E17520" t="str">
            <v>121-001823</v>
          </cell>
          <cell r="F17520">
            <v>471783744659</v>
          </cell>
        </row>
        <row r="17521">
          <cell r="E17521" t="str">
            <v>121-000520.X.X</v>
          </cell>
          <cell r="F17521">
            <v>471783744659</v>
          </cell>
        </row>
        <row r="17522">
          <cell r="E17522" t="str">
            <v>121-000520.X.X</v>
          </cell>
          <cell r="F17522">
            <v>471783744659</v>
          </cell>
        </row>
        <row r="17523">
          <cell r="E17523" t="str">
            <v>121-000520.X.X</v>
          </cell>
          <cell r="F17523">
            <v>471783744659</v>
          </cell>
        </row>
        <row r="17524">
          <cell r="E17524" t="str">
            <v>121-000520.X.X</v>
          </cell>
          <cell r="F17524">
            <v>471783744659</v>
          </cell>
        </row>
        <row r="17525">
          <cell r="E17525" t="str">
            <v>121-000254.X.X</v>
          </cell>
          <cell r="F17525">
            <v>471783744659</v>
          </cell>
        </row>
        <row r="17526">
          <cell r="E17526" t="str">
            <v>121-000254.X.X</v>
          </cell>
          <cell r="F17526">
            <v>471783744659</v>
          </cell>
        </row>
        <row r="17527">
          <cell r="E17527" t="str">
            <v>121-000198.X.X</v>
          </cell>
          <cell r="F17527">
            <v>471783744659</v>
          </cell>
        </row>
        <row r="17528">
          <cell r="E17528" t="str">
            <v>121-000520.X.X</v>
          </cell>
          <cell r="F17528">
            <v>471783744659</v>
          </cell>
        </row>
        <row r="17529">
          <cell r="E17529" t="str">
            <v>121-000520.X.X</v>
          </cell>
          <cell r="F17529">
            <v>471783744659</v>
          </cell>
        </row>
        <row r="17530">
          <cell r="E17530" t="str">
            <v>121-000254.X.X</v>
          </cell>
          <cell r="F17530">
            <v>471783744659</v>
          </cell>
        </row>
        <row r="17531">
          <cell r="E17531" t="str">
            <v>121-000254.X.X</v>
          </cell>
          <cell r="F17531">
            <v>471783744659</v>
          </cell>
        </row>
        <row r="17532">
          <cell r="E17532" t="str">
            <v>121-001823</v>
          </cell>
          <cell r="F17532">
            <v>471783744659</v>
          </cell>
        </row>
        <row r="17533">
          <cell r="E17533" t="str">
            <v>121-001823</v>
          </cell>
          <cell r="F17533">
            <v>471783744659</v>
          </cell>
        </row>
        <row r="17534">
          <cell r="E17534" t="str">
            <v>121-001823</v>
          </cell>
          <cell r="F17534">
            <v>471783744659</v>
          </cell>
        </row>
        <row r="17535">
          <cell r="E17535" t="str">
            <v>PUR-12-0297-00</v>
          </cell>
          <cell r="F17535">
            <v>471783744659</v>
          </cell>
        </row>
        <row r="17536">
          <cell r="E17536" t="str">
            <v>PUR-12-0297-00</v>
          </cell>
          <cell r="F17536">
            <v>471783744659</v>
          </cell>
        </row>
        <row r="17537">
          <cell r="E17537" t="str">
            <v>LUC-E00-420135-00</v>
          </cell>
          <cell r="F17537">
            <v>471783744659</v>
          </cell>
        </row>
        <row r="17538">
          <cell r="E17538" t="str">
            <v>121-000033.X.X</v>
          </cell>
          <cell r="F17538">
            <v>471783744659</v>
          </cell>
        </row>
        <row r="17539">
          <cell r="E17539" t="str">
            <v>121-000100.X.X</v>
          </cell>
          <cell r="F17539">
            <v>471783744659</v>
          </cell>
        </row>
        <row r="17540">
          <cell r="E17540" t="str">
            <v>121-000100.X.X</v>
          </cell>
          <cell r="F17540">
            <v>471783744659</v>
          </cell>
        </row>
        <row r="17541">
          <cell r="E17541" t="str">
            <v>121-000100.X.X</v>
          </cell>
          <cell r="F17541">
            <v>471783744659</v>
          </cell>
        </row>
        <row r="17542">
          <cell r="E17542" t="str">
            <v>121-000100.X.X</v>
          </cell>
          <cell r="F17542">
            <v>471783744659</v>
          </cell>
        </row>
        <row r="17543">
          <cell r="E17543" t="str">
            <v>121-000100.X.X</v>
          </cell>
          <cell r="F17543">
            <v>471783744659</v>
          </cell>
        </row>
        <row r="17544">
          <cell r="E17544" t="str">
            <v>LUC-E00-420024-00</v>
          </cell>
          <cell r="F17544">
            <v>471783744659</v>
          </cell>
        </row>
        <row r="17545">
          <cell r="E17545" t="str">
            <v>122-000362.X.X</v>
          </cell>
          <cell r="F17545">
            <v>471783744659</v>
          </cell>
        </row>
        <row r="17546">
          <cell r="E17546" t="str">
            <v>122-000756.X.X</v>
          </cell>
          <cell r="F17546">
            <v>471783744659</v>
          </cell>
        </row>
        <row r="17547">
          <cell r="E17547" t="str">
            <v>122-000673.X.X</v>
          </cell>
          <cell r="F17547">
            <v>471783744659</v>
          </cell>
        </row>
        <row r="17548">
          <cell r="E17548" t="str">
            <v>122-000673.X.X</v>
          </cell>
          <cell r="F17548">
            <v>471783744659</v>
          </cell>
        </row>
        <row r="17549">
          <cell r="E17549" t="str">
            <v>122-000453.X.X</v>
          </cell>
          <cell r="F17549">
            <v>471783744659</v>
          </cell>
        </row>
        <row r="17550">
          <cell r="E17550" t="str">
            <v>122-000453.X.X</v>
          </cell>
          <cell r="F17550">
            <v>471783744659</v>
          </cell>
        </row>
        <row r="17551">
          <cell r="E17551" t="str">
            <v>122-000453.X.X</v>
          </cell>
          <cell r="F17551">
            <v>471783744659</v>
          </cell>
        </row>
        <row r="17552">
          <cell r="E17552" t="str">
            <v>122-000453.X.X</v>
          </cell>
          <cell r="F17552">
            <v>471783744659</v>
          </cell>
        </row>
        <row r="17553">
          <cell r="E17553" t="str">
            <v>122-000453.X.X</v>
          </cell>
          <cell r="F17553">
            <v>471783744659</v>
          </cell>
        </row>
        <row r="17554">
          <cell r="E17554" t="str">
            <v>122-000453.X.X</v>
          </cell>
          <cell r="F17554">
            <v>471783744659</v>
          </cell>
        </row>
        <row r="17555">
          <cell r="E17555" t="str">
            <v>122-000453.X.X</v>
          </cell>
          <cell r="F17555">
            <v>471783744659</v>
          </cell>
        </row>
        <row r="17556">
          <cell r="E17556" t="str">
            <v>122-000821.X.X</v>
          </cell>
          <cell r="F17556">
            <v>471783744659</v>
          </cell>
        </row>
        <row r="17557">
          <cell r="E17557" t="str">
            <v>122-000821.X.X</v>
          </cell>
          <cell r="F17557">
            <v>471783744659</v>
          </cell>
        </row>
        <row r="17558">
          <cell r="E17558" t="str">
            <v>AIC-MP-00003338-000</v>
          </cell>
          <cell r="F17558">
            <v>471783744659</v>
          </cell>
        </row>
        <row r="17559">
          <cell r="E17559" t="str">
            <v>PURET-13-0068-00</v>
          </cell>
          <cell r="F17559">
            <v>471783744659</v>
          </cell>
        </row>
        <row r="17560">
          <cell r="E17560" t="str">
            <v>PURET-13-0006-00</v>
          </cell>
          <cell r="F17560">
            <v>471783744659</v>
          </cell>
        </row>
        <row r="17561">
          <cell r="E17561" t="str">
            <v>122-000701.X.X</v>
          </cell>
          <cell r="F17561">
            <v>471783744659</v>
          </cell>
        </row>
        <row r="17562">
          <cell r="E17562" t="str">
            <v>122-000701.X.X</v>
          </cell>
          <cell r="F17562">
            <v>471783744659</v>
          </cell>
        </row>
        <row r="17563">
          <cell r="E17563" t="str">
            <v>122-000701.X.X</v>
          </cell>
          <cell r="F17563">
            <v>471783744659</v>
          </cell>
        </row>
        <row r="17564">
          <cell r="E17564" t="str">
            <v>122-000453.X.X</v>
          </cell>
          <cell r="F17564">
            <v>471783744659</v>
          </cell>
        </row>
        <row r="17565">
          <cell r="E17565" t="str">
            <v>122-000701.X.X</v>
          </cell>
          <cell r="F17565">
            <v>471783744659</v>
          </cell>
        </row>
        <row r="17566">
          <cell r="E17566" t="str">
            <v>122-000453.X.X</v>
          </cell>
          <cell r="F17566">
            <v>471783744659</v>
          </cell>
        </row>
        <row r="17567">
          <cell r="E17567" t="str">
            <v>122-000701.X.X</v>
          </cell>
          <cell r="F17567">
            <v>471783744659</v>
          </cell>
        </row>
        <row r="17568">
          <cell r="E17568" t="str">
            <v>122-000821.X.X</v>
          </cell>
          <cell r="F17568">
            <v>471783744659</v>
          </cell>
        </row>
        <row r="17569">
          <cell r="E17569" t="str">
            <v>122-000821.X.X</v>
          </cell>
          <cell r="F17569">
            <v>471783744659</v>
          </cell>
        </row>
        <row r="17570">
          <cell r="E17570" t="str">
            <v>122-001732</v>
          </cell>
          <cell r="F17570">
            <v>471783744659</v>
          </cell>
        </row>
        <row r="17571">
          <cell r="E17571" t="str">
            <v>AIC-MP-00005803-000</v>
          </cell>
          <cell r="F17571">
            <v>471783744659</v>
          </cell>
        </row>
        <row r="17572">
          <cell r="E17572" t="str">
            <v>LUC-EZZ-421132-00</v>
          </cell>
          <cell r="F17572">
            <v>471783744659</v>
          </cell>
        </row>
        <row r="17573">
          <cell r="E17573" t="str">
            <v>LUC-EZZ-421132-00</v>
          </cell>
          <cell r="F17573">
            <v>471783744659</v>
          </cell>
        </row>
        <row r="17574">
          <cell r="E17574" t="str">
            <v>LUC-EZZ-421653-00</v>
          </cell>
          <cell r="F17574">
            <v>471783744659</v>
          </cell>
        </row>
        <row r="17575">
          <cell r="E17575" t="str">
            <v>122-001272</v>
          </cell>
          <cell r="F17575">
            <v>471783744659</v>
          </cell>
        </row>
        <row r="17576">
          <cell r="E17576" t="str">
            <v>LUC-EZZ-470811-00</v>
          </cell>
          <cell r="F17576">
            <v>393489548580</v>
          </cell>
        </row>
        <row r="17577">
          <cell r="E17577" t="str">
            <v>HLOB-03-0038-00</v>
          </cell>
          <cell r="F17577">
            <v>470603433164</v>
          </cell>
        </row>
        <row r="17578">
          <cell r="E17578" t="str">
            <v>HLOB-03-0038-00</v>
          </cell>
          <cell r="F17578">
            <v>470603433164</v>
          </cell>
        </row>
        <row r="17579">
          <cell r="E17579" t="str">
            <v>LUC-E00-400026-00</v>
          </cell>
          <cell r="F17579">
            <v>707296236930</v>
          </cell>
        </row>
        <row r="17580">
          <cell r="E17580" t="str">
            <v>PUR-13-0258-00</v>
          </cell>
          <cell r="F17580">
            <v>436368138140</v>
          </cell>
        </row>
        <row r="17581">
          <cell r="E17581" t="str">
            <v>PUR-13-0258-00</v>
          </cell>
          <cell r="F17581">
            <v>436368138140</v>
          </cell>
        </row>
        <row r="17582">
          <cell r="E17582" t="str">
            <v>LUC-E00-690001-00</v>
          </cell>
          <cell r="F17582">
            <v>4110329036</v>
          </cell>
        </row>
        <row r="17583">
          <cell r="E17583" t="str">
            <v>LUC-EZZ-440129-00</v>
          </cell>
          <cell r="F17583">
            <v>393465554590</v>
          </cell>
        </row>
        <row r="17584">
          <cell r="E17584" t="str">
            <v>LUC-EZZ-440129-00</v>
          </cell>
          <cell r="F17584">
            <v>393465554590</v>
          </cell>
        </row>
        <row r="17585">
          <cell r="E17585" t="str">
            <v>LUC-E00-690032-00</v>
          </cell>
          <cell r="F17585">
            <v>393465554590</v>
          </cell>
        </row>
        <row r="17586">
          <cell r="E17586" t="str">
            <v>HLOB-09-0294-00</v>
          </cell>
          <cell r="F17586">
            <v>393578291496</v>
          </cell>
        </row>
        <row r="17587">
          <cell r="E17587" t="str">
            <v>HLOB-09-0294-00</v>
          </cell>
          <cell r="F17587">
            <v>393578291496</v>
          </cell>
        </row>
        <row r="17588">
          <cell r="E17588" t="str">
            <v>AGI-450-40087-01</v>
          </cell>
          <cell r="F17588">
            <v>393578291496</v>
          </cell>
        </row>
        <row r="17589">
          <cell r="E17589" t="str">
            <v>LUC-P21-K3AB00-00</v>
          </cell>
          <cell r="F17589" t="str">
            <v>LSHHPH2508960</v>
          </cell>
        </row>
        <row r="17590">
          <cell r="E17590" t="str">
            <v>LUC-P21-K3AT00-00</v>
          </cell>
          <cell r="F17590" t="str">
            <v>LSHHPH2508960</v>
          </cell>
        </row>
        <row r="17591">
          <cell r="E17591" t="str">
            <v>LUC-EZZ-400232-00</v>
          </cell>
          <cell r="F17591">
            <v>3090737801</v>
          </cell>
        </row>
        <row r="17592">
          <cell r="E17592" t="str">
            <v>LUC-EZZ-420101-00</v>
          </cell>
          <cell r="F17592">
            <v>3090737801</v>
          </cell>
        </row>
        <row r="17593">
          <cell r="E17593" t="str">
            <v>LUC-E00-470060-00</v>
          </cell>
          <cell r="F17593">
            <v>3090737801</v>
          </cell>
        </row>
        <row r="17594">
          <cell r="E17594" t="str">
            <v>LUC-EZZ-420046-00</v>
          </cell>
          <cell r="F17594">
            <v>3090737801</v>
          </cell>
        </row>
        <row r="17595">
          <cell r="E17595" t="str">
            <v>LUC-E00-470060-00</v>
          </cell>
          <cell r="F17595">
            <v>3090737801</v>
          </cell>
        </row>
        <row r="17596">
          <cell r="E17596" t="str">
            <v>LUC-E00-400067-143</v>
          </cell>
          <cell r="F17596">
            <v>3090737801</v>
          </cell>
        </row>
        <row r="17597">
          <cell r="E17597" t="str">
            <v>LUC-E00-400067-143</v>
          </cell>
          <cell r="F17597">
            <v>3090737801</v>
          </cell>
        </row>
        <row r="17598">
          <cell r="E17598" t="str">
            <v>LUC-E00-470060-00</v>
          </cell>
          <cell r="F17598">
            <v>3090737801</v>
          </cell>
        </row>
        <row r="17599">
          <cell r="E17599" t="str">
            <v>LUC-E00-470060-00</v>
          </cell>
          <cell r="F17599">
            <v>3090737801</v>
          </cell>
        </row>
        <row r="17600">
          <cell r="E17600" t="str">
            <v>LUC-EZZ-420046-00</v>
          </cell>
          <cell r="F17600">
            <v>3090737801</v>
          </cell>
        </row>
        <row r="17601">
          <cell r="E17601" t="str">
            <v>109-000192</v>
          </cell>
          <cell r="F17601">
            <v>3090737801</v>
          </cell>
        </row>
        <row r="17602">
          <cell r="E17602" t="str">
            <v>LUC-E00-470447-00</v>
          </cell>
          <cell r="F17602">
            <v>3090737801</v>
          </cell>
        </row>
        <row r="17603">
          <cell r="E17603" t="str">
            <v>LUC-EZZ-420002-00</v>
          </cell>
          <cell r="F17603">
            <v>3090737801</v>
          </cell>
        </row>
        <row r="17604">
          <cell r="E17604" t="str">
            <v>LUC-EZZ-450620-00</v>
          </cell>
          <cell r="F17604">
            <v>3090737801</v>
          </cell>
        </row>
        <row r="17605">
          <cell r="E17605" t="str">
            <v>LUC-E00-400010-007</v>
          </cell>
          <cell r="F17605">
            <v>3090737801</v>
          </cell>
        </row>
        <row r="17606">
          <cell r="E17606" t="str">
            <v>LUC-E00-470049-00</v>
          </cell>
          <cell r="F17606">
            <v>3090737801</v>
          </cell>
        </row>
        <row r="17607">
          <cell r="E17607" t="str">
            <v>LUC-E00-470049-00</v>
          </cell>
          <cell r="F17607">
            <v>3090737801</v>
          </cell>
        </row>
        <row r="17608">
          <cell r="E17608" t="str">
            <v>LUC-E00-510037-00</v>
          </cell>
          <cell r="F17608">
            <v>3090737801</v>
          </cell>
        </row>
        <row r="17609">
          <cell r="E17609" t="str">
            <v>LUC-E00-480008-00</v>
          </cell>
          <cell r="F17609">
            <v>3090737801</v>
          </cell>
        </row>
        <row r="17610">
          <cell r="E17610" t="str">
            <v>LUC-E00-470033-00</v>
          </cell>
          <cell r="F17610">
            <v>3090737801</v>
          </cell>
        </row>
        <row r="17611">
          <cell r="E17611" t="str">
            <v>LUC-E00-510064-00</v>
          </cell>
          <cell r="F17611">
            <v>3090737801</v>
          </cell>
        </row>
        <row r="17612">
          <cell r="E17612" t="str">
            <v>AIC-122-004388</v>
          </cell>
          <cell r="F17612">
            <v>3090737801</v>
          </cell>
        </row>
        <row r="17613">
          <cell r="E17613" t="str">
            <v>AIC-122-004436</v>
          </cell>
          <cell r="F17613">
            <v>3090737801</v>
          </cell>
        </row>
        <row r="17614">
          <cell r="E17614" t="str">
            <v>LUC-EZZ-470136-00</v>
          </cell>
          <cell r="F17614">
            <v>3090737801</v>
          </cell>
        </row>
        <row r="17615">
          <cell r="E17615" t="str">
            <v>LUC-EZZ-470136-00</v>
          </cell>
          <cell r="F17615">
            <v>3090737801</v>
          </cell>
        </row>
        <row r="17616">
          <cell r="E17616" t="str">
            <v>LUC-E00-420025-05</v>
          </cell>
          <cell r="F17616">
            <v>3090737801</v>
          </cell>
        </row>
        <row r="17617">
          <cell r="E17617" t="str">
            <v>LUC-EZZ-420089-00</v>
          </cell>
          <cell r="F17617">
            <v>3090737801</v>
          </cell>
        </row>
        <row r="17618">
          <cell r="E17618" t="str">
            <v>LUC-EZZ-421706-00</v>
          </cell>
          <cell r="F17618">
            <v>3090737801</v>
          </cell>
        </row>
        <row r="17619">
          <cell r="E17619" t="str">
            <v>LUC-EZZ-420094-00</v>
          </cell>
          <cell r="F17619">
            <v>3090737801</v>
          </cell>
        </row>
        <row r="17620">
          <cell r="E17620" t="str">
            <v>LUC-EZZ-420399-00</v>
          </cell>
          <cell r="F17620">
            <v>3090737801</v>
          </cell>
        </row>
        <row r="17621">
          <cell r="E17621" t="str">
            <v>LUC-EZZ-470055-00</v>
          </cell>
          <cell r="F17621">
            <v>3090737801</v>
          </cell>
        </row>
        <row r="17622">
          <cell r="E17622" t="str">
            <v>EF-45171679</v>
          </cell>
          <cell r="F17622">
            <v>3090737801</v>
          </cell>
        </row>
        <row r="17623">
          <cell r="E17623" t="str">
            <v>AIC-122-004388</v>
          </cell>
          <cell r="F17623">
            <v>3090737801</v>
          </cell>
        </row>
        <row r="17624">
          <cell r="E17624" t="str">
            <v>LUC-E00-450029-00</v>
          </cell>
          <cell r="F17624">
            <v>3090737801</v>
          </cell>
        </row>
        <row r="17625">
          <cell r="E17625" t="str">
            <v>LUC-E00-450029-00</v>
          </cell>
          <cell r="F17625">
            <v>3090737801</v>
          </cell>
        </row>
        <row r="17626">
          <cell r="E17626" t="str">
            <v>LUC-EZZ-450037-00</v>
          </cell>
          <cell r="F17626">
            <v>3090737801</v>
          </cell>
        </row>
        <row r="17627">
          <cell r="E17627" t="str">
            <v>LUC-EZZ-450037-00</v>
          </cell>
          <cell r="F17627">
            <v>3090737801</v>
          </cell>
        </row>
        <row r="17628">
          <cell r="E17628" t="str">
            <v>LUC-E00-450029-00</v>
          </cell>
          <cell r="F17628">
            <v>3090737801</v>
          </cell>
        </row>
        <row r="17629">
          <cell r="E17629" t="str">
            <v>LUC-EZZ-450037-00</v>
          </cell>
          <cell r="F17629">
            <v>3090737801</v>
          </cell>
        </row>
        <row r="17630">
          <cell r="E17630" t="str">
            <v>LUC-E00-400067-313</v>
          </cell>
          <cell r="F17630">
            <v>3090737801</v>
          </cell>
        </row>
        <row r="17631">
          <cell r="E17631" t="str">
            <v>LUC-EZZ-420151-00</v>
          </cell>
          <cell r="F17631">
            <v>3090737801</v>
          </cell>
        </row>
        <row r="17632">
          <cell r="E17632" t="str">
            <v>LUC-E00-400010-007</v>
          </cell>
          <cell r="F17632">
            <v>3090737801</v>
          </cell>
        </row>
        <row r="17633">
          <cell r="E17633" t="str">
            <v>LUC-E00-400010-007</v>
          </cell>
          <cell r="F17633">
            <v>3090737801</v>
          </cell>
        </row>
        <row r="17634">
          <cell r="E17634" t="str">
            <v>LUC-E00-400010-020</v>
          </cell>
          <cell r="F17634">
            <v>3090737801</v>
          </cell>
        </row>
        <row r="17635">
          <cell r="E17635" t="str">
            <v>LUC-E00-400067-399</v>
          </cell>
          <cell r="F17635">
            <v>3090737801</v>
          </cell>
        </row>
        <row r="17636">
          <cell r="E17636" t="str">
            <v>LUC-E00-470033-00</v>
          </cell>
          <cell r="F17636">
            <v>3090737801</v>
          </cell>
        </row>
        <row r="17637">
          <cell r="E17637" t="str">
            <v>LUC-E00-420025-05</v>
          </cell>
          <cell r="F17637">
            <v>3090737801</v>
          </cell>
        </row>
        <row r="17638">
          <cell r="E17638" t="str">
            <v>LUC-E00-470048-00</v>
          </cell>
          <cell r="F17638">
            <v>3090737801</v>
          </cell>
        </row>
        <row r="17639">
          <cell r="E17639" t="str">
            <v>LUC-E00-470048-00</v>
          </cell>
          <cell r="F17639">
            <v>3090737801</v>
          </cell>
        </row>
        <row r="17640">
          <cell r="E17640" t="str">
            <v>LUC-EZZ-470696-00</v>
          </cell>
          <cell r="F17640">
            <v>3090737801</v>
          </cell>
        </row>
        <row r="17641">
          <cell r="E17641" t="str">
            <v>LUC-EZZ-510061-00</v>
          </cell>
          <cell r="F17641">
            <v>3090737801</v>
          </cell>
        </row>
        <row r="17642">
          <cell r="E17642" t="str">
            <v>LUC-E00-400010-034</v>
          </cell>
          <cell r="F17642">
            <v>3090737801</v>
          </cell>
        </row>
        <row r="17643">
          <cell r="E17643" t="str">
            <v>LUC-E00-420037-04</v>
          </cell>
          <cell r="F17643">
            <v>3090737801</v>
          </cell>
        </row>
        <row r="17644">
          <cell r="E17644" t="str">
            <v>LUC-EZZ-420046-00</v>
          </cell>
          <cell r="F17644">
            <v>3090737801</v>
          </cell>
        </row>
        <row r="17645">
          <cell r="E17645" t="str">
            <v>LUC-EZZ-470424-00</v>
          </cell>
          <cell r="F17645">
            <v>3090737801</v>
          </cell>
        </row>
        <row r="17646">
          <cell r="E17646" t="str">
            <v>LUC-E00-470020-01</v>
          </cell>
          <cell r="F17646">
            <v>3090737801</v>
          </cell>
        </row>
        <row r="17647">
          <cell r="E17647" t="str">
            <v>LUC-EZZ-510048-00</v>
          </cell>
          <cell r="F17647">
            <v>3090737801</v>
          </cell>
        </row>
        <row r="17648">
          <cell r="E17648" t="str">
            <v>LUC-EZZ-510048-00</v>
          </cell>
          <cell r="F17648">
            <v>3090737801</v>
          </cell>
        </row>
        <row r="17649">
          <cell r="E17649" t="str">
            <v>LUC-E00-470120-00</v>
          </cell>
          <cell r="F17649">
            <v>3090737801</v>
          </cell>
        </row>
        <row r="17650">
          <cell r="E17650" t="str">
            <v>LUC-E00-470077-00</v>
          </cell>
          <cell r="F17650">
            <v>3090737801</v>
          </cell>
        </row>
        <row r="17651">
          <cell r="E17651" t="str">
            <v>LUC-E00-400010-047</v>
          </cell>
          <cell r="F17651">
            <v>3090737801</v>
          </cell>
        </row>
        <row r="17652">
          <cell r="E17652" t="str">
            <v>LUC-EZZ-420398-00</v>
          </cell>
          <cell r="F17652">
            <v>3090737801</v>
          </cell>
        </row>
        <row r="17653">
          <cell r="E17653" t="str">
            <v>LUC-EZZ-420089-00</v>
          </cell>
          <cell r="F17653">
            <v>3090737801</v>
          </cell>
        </row>
        <row r="17654">
          <cell r="E17654" t="str">
            <v>LUC-E00-470009-00</v>
          </cell>
          <cell r="F17654">
            <v>3090737801</v>
          </cell>
        </row>
        <row r="17655">
          <cell r="E17655" t="str">
            <v>LUC-E00-450054-00</v>
          </cell>
          <cell r="F17655">
            <v>3090737801</v>
          </cell>
        </row>
        <row r="17656">
          <cell r="E17656" t="str">
            <v>LUC-EZZ-471023-00</v>
          </cell>
          <cell r="F17656">
            <v>3090737801</v>
          </cell>
        </row>
        <row r="17657">
          <cell r="E17657" t="str">
            <v>LUC-EZZ-470961-00</v>
          </cell>
          <cell r="F17657">
            <v>3090737801</v>
          </cell>
        </row>
        <row r="17658">
          <cell r="E17658" t="str">
            <v>LUC-EZZ-470192-00</v>
          </cell>
          <cell r="F17658">
            <v>3090737801</v>
          </cell>
        </row>
        <row r="17659">
          <cell r="E17659" t="str">
            <v>LUC-EZZ-471023-00</v>
          </cell>
          <cell r="F17659">
            <v>3090737801</v>
          </cell>
        </row>
        <row r="17660">
          <cell r="E17660" t="str">
            <v>LUC-EZZ-420110-00</v>
          </cell>
          <cell r="F17660">
            <v>3090737801</v>
          </cell>
        </row>
        <row r="17661">
          <cell r="E17661" t="str">
            <v>LUC-EZZ-450087-00</v>
          </cell>
          <cell r="F17661">
            <v>3090737801</v>
          </cell>
        </row>
        <row r="17662">
          <cell r="E17662" t="str">
            <v>LUC-E00-420116-01</v>
          </cell>
          <cell r="F17662">
            <v>3090737801</v>
          </cell>
        </row>
        <row r="17663">
          <cell r="E17663" t="str">
            <v>LUC-EZZ-420136-00</v>
          </cell>
          <cell r="F17663">
            <v>3090737801</v>
          </cell>
        </row>
        <row r="17664">
          <cell r="E17664" t="str">
            <v>LUC-EZZ-420121-00</v>
          </cell>
          <cell r="F17664">
            <v>3090737801</v>
          </cell>
        </row>
        <row r="17665">
          <cell r="E17665" t="str">
            <v>LUC-EZZ-510640-00</v>
          </cell>
          <cell r="F17665">
            <v>3090737801</v>
          </cell>
        </row>
        <row r="17666">
          <cell r="E17666" t="str">
            <v>LUC-EZZ-450053-00</v>
          </cell>
          <cell r="F17666">
            <v>3090737801</v>
          </cell>
        </row>
        <row r="17667">
          <cell r="E17667" t="str">
            <v>LUC-EZZ-510640-00</v>
          </cell>
          <cell r="F17667">
            <v>3090737801</v>
          </cell>
        </row>
        <row r="17668">
          <cell r="E17668" t="str">
            <v>LUC-EZZ-510080-00</v>
          </cell>
          <cell r="F17668">
            <v>3090737801</v>
          </cell>
        </row>
        <row r="17669">
          <cell r="E17669" t="str">
            <v>LUC-EZZ-420136-00</v>
          </cell>
          <cell r="F17669">
            <v>3090737801</v>
          </cell>
        </row>
        <row r="17670">
          <cell r="E17670" t="str">
            <v>LUC-EZZ-420102-00</v>
          </cell>
          <cell r="F17670">
            <v>3090737801</v>
          </cell>
        </row>
        <row r="17671">
          <cell r="E17671" t="str">
            <v>LUC-EZZ-420172-00</v>
          </cell>
          <cell r="F17671">
            <v>3090737801</v>
          </cell>
        </row>
        <row r="17672">
          <cell r="E17672" t="str">
            <v>LUC-EZZ-420174-00</v>
          </cell>
          <cell r="F17672">
            <v>3090737801</v>
          </cell>
        </row>
        <row r="17673">
          <cell r="E17673" t="str">
            <v>LUC-EZZ-400194-00</v>
          </cell>
          <cell r="F17673">
            <v>3090737801</v>
          </cell>
        </row>
        <row r="17674">
          <cell r="E17674" t="str">
            <v>LUC-E00-440028-00</v>
          </cell>
          <cell r="F17674">
            <v>3090737801</v>
          </cell>
        </row>
        <row r="17675">
          <cell r="E17675" t="str">
            <v>LUC-E00-400056-01</v>
          </cell>
          <cell r="F17675">
            <v>3090737801</v>
          </cell>
        </row>
        <row r="17676">
          <cell r="E17676" t="str">
            <v>LUC-E00-460034-00</v>
          </cell>
          <cell r="F17676">
            <v>3090737801</v>
          </cell>
        </row>
        <row r="17677">
          <cell r="E17677" t="str">
            <v>LUC-E00-460034-00</v>
          </cell>
          <cell r="F17677">
            <v>3090737801</v>
          </cell>
        </row>
        <row r="17678">
          <cell r="E17678" t="str">
            <v>LUC-E00-460034-00</v>
          </cell>
          <cell r="F17678">
            <v>3090737801</v>
          </cell>
        </row>
        <row r="17679">
          <cell r="E17679" t="str">
            <v>LUC-E00-460034-00</v>
          </cell>
          <cell r="F17679">
            <v>3090737801</v>
          </cell>
        </row>
        <row r="17680">
          <cell r="E17680" t="str">
            <v>LUC-EZZ-420352-00</v>
          </cell>
          <cell r="F17680">
            <v>3090737801</v>
          </cell>
        </row>
        <row r="17681">
          <cell r="E17681" t="str">
            <v>LUC-EZZ-450047-00</v>
          </cell>
          <cell r="F17681">
            <v>3090737801</v>
          </cell>
        </row>
        <row r="17682">
          <cell r="E17682" t="str">
            <v>LUC-EZZ-510023-00</v>
          </cell>
          <cell r="F17682">
            <v>3090737801</v>
          </cell>
        </row>
        <row r="17683">
          <cell r="E17683" t="str">
            <v>LUC-EZZ-450108-00</v>
          </cell>
          <cell r="F17683">
            <v>3090737801</v>
          </cell>
        </row>
        <row r="17684">
          <cell r="E17684" t="str">
            <v>LUC-E00-450041-00</v>
          </cell>
          <cell r="F17684">
            <v>3090737801</v>
          </cell>
        </row>
        <row r="17685">
          <cell r="E17685" t="str">
            <v>LUC-EZZ-450108-00</v>
          </cell>
          <cell r="F17685">
            <v>3090737801</v>
          </cell>
        </row>
        <row r="17686">
          <cell r="E17686" t="str">
            <v>LUC-E00-470361-00</v>
          </cell>
          <cell r="F17686">
            <v>3090737801</v>
          </cell>
        </row>
        <row r="17687">
          <cell r="E17687" t="str">
            <v>LUC-EZZ-450476-00</v>
          </cell>
          <cell r="F17687">
            <v>3090737801</v>
          </cell>
        </row>
        <row r="17688">
          <cell r="E17688" t="str">
            <v>LUC-EZZ-450113-00</v>
          </cell>
          <cell r="F17688">
            <v>3090737801</v>
          </cell>
        </row>
        <row r="17689">
          <cell r="E17689" t="str">
            <v>LUC-EZZ-450476-00</v>
          </cell>
          <cell r="F17689">
            <v>3090737801</v>
          </cell>
        </row>
        <row r="17690">
          <cell r="E17690" t="str">
            <v>LUC-EZZ-450113-00</v>
          </cell>
          <cell r="F17690">
            <v>3090737801</v>
          </cell>
        </row>
        <row r="17691">
          <cell r="E17691" t="str">
            <v>LUC-EZZ-510014-00</v>
          </cell>
          <cell r="F17691">
            <v>3090737801</v>
          </cell>
        </row>
        <row r="17692">
          <cell r="E17692" t="str">
            <v>LUC-E00-510001-00</v>
          </cell>
          <cell r="F17692">
            <v>3090737801</v>
          </cell>
        </row>
        <row r="17693">
          <cell r="E17693" t="str">
            <v>LUC-EZZ-420189-00</v>
          </cell>
          <cell r="F17693">
            <v>3090737801</v>
          </cell>
        </row>
        <row r="17694">
          <cell r="E17694" t="str">
            <v>LUC-E00-470074-00</v>
          </cell>
          <cell r="F17694">
            <v>3090737801</v>
          </cell>
        </row>
        <row r="17695">
          <cell r="E17695" t="str">
            <v>LUC-E00-470047-00</v>
          </cell>
          <cell r="F17695">
            <v>3090737801</v>
          </cell>
        </row>
        <row r="17696">
          <cell r="E17696" t="str">
            <v>LUC-EZZ-470152-00</v>
          </cell>
          <cell r="F17696">
            <v>3090737801</v>
          </cell>
        </row>
        <row r="17697">
          <cell r="E17697" t="str">
            <v>LUC-E00-690033-02</v>
          </cell>
          <cell r="F17697" t="str">
            <v>LSHHPH2508722</v>
          </cell>
        </row>
        <row r="17698">
          <cell r="E17698" t="str">
            <v>LUC-E00-690033-03</v>
          </cell>
          <cell r="F17698" t="str">
            <v>LSHHPH2508722</v>
          </cell>
        </row>
        <row r="17699">
          <cell r="E17699" t="str">
            <v>LUC-E00-690033-00</v>
          </cell>
          <cell r="F17699" t="str">
            <v>LSHHPH2508722</v>
          </cell>
        </row>
        <row r="17700">
          <cell r="E17700" t="str">
            <v>LUC-E00-690033-01</v>
          </cell>
          <cell r="F17700" t="str">
            <v>LSHHPH2508722</v>
          </cell>
        </row>
        <row r="17701">
          <cell r="E17701" t="str">
            <v>LUC-E00-690106-00</v>
          </cell>
          <cell r="F17701" t="str">
            <v>LSHHPH2508722</v>
          </cell>
        </row>
        <row r="17702">
          <cell r="E17702" t="str">
            <v>LUC-E00-690106-00</v>
          </cell>
          <cell r="F17702" t="str">
            <v>LSHHPH2508722</v>
          </cell>
        </row>
        <row r="17703">
          <cell r="E17703" t="str">
            <v>LUC-E00-690106-01</v>
          </cell>
          <cell r="F17703" t="str">
            <v>LSHHPH2508722</v>
          </cell>
        </row>
        <row r="17704">
          <cell r="E17704" t="str">
            <v>LUC-E00-690106-01</v>
          </cell>
          <cell r="F17704" t="str">
            <v>LSHHPH2508722</v>
          </cell>
        </row>
        <row r="17705">
          <cell r="E17705" t="str">
            <v>LUC-P11-K33900-02</v>
          </cell>
          <cell r="F17705" t="str">
            <v>LNBHPH255412</v>
          </cell>
        </row>
        <row r="17706">
          <cell r="E17706" t="str">
            <v>LUC-P11-K33A00-02</v>
          </cell>
          <cell r="F17706" t="str">
            <v>LNBHPH255412</v>
          </cell>
        </row>
        <row r="17707">
          <cell r="E17707" t="str">
            <v>LUC-P11-K33B00-02</v>
          </cell>
          <cell r="F17707" t="str">
            <v>LNBHPH255412</v>
          </cell>
        </row>
        <row r="17708">
          <cell r="E17708" t="str">
            <v>LUC-P11-K33R00-01</v>
          </cell>
          <cell r="F17708" t="str">
            <v>LNBHPH255412</v>
          </cell>
        </row>
        <row r="17709">
          <cell r="E17709" t="str">
            <v>LUC-P11-K33C00-02</v>
          </cell>
          <cell r="F17709" t="str">
            <v>LNBHPH255412</v>
          </cell>
        </row>
        <row r="17710">
          <cell r="E17710" t="str">
            <v>PUR-31-0066-02</v>
          </cell>
          <cell r="F17710" t="str">
            <v>PSHPH2590099</v>
          </cell>
        </row>
        <row r="17711">
          <cell r="E17711" t="str">
            <v>PUR-31-0066-02</v>
          </cell>
          <cell r="F17711" t="str">
            <v>PSHPH2590099</v>
          </cell>
        </row>
        <row r="17712">
          <cell r="E17712" t="str">
            <v>PUR-31-0066-02</v>
          </cell>
          <cell r="F17712" t="str">
            <v>PSHPH2590099</v>
          </cell>
        </row>
        <row r="17713">
          <cell r="E17713" t="str">
            <v>PUR-31-0061-02</v>
          </cell>
          <cell r="F17713" t="str">
            <v>PSHPH2590099</v>
          </cell>
        </row>
        <row r="17714">
          <cell r="E17714" t="str">
            <v>PUR-31-0061-02</v>
          </cell>
          <cell r="F17714" t="str">
            <v>PSHPH2590099</v>
          </cell>
        </row>
        <row r="17715">
          <cell r="E17715" t="str">
            <v>AIC-MP-00006801-000</v>
          </cell>
          <cell r="F17715" t="str">
            <v>PSHPH2590107</v>
          </cell>
        </row>
        <row r="17716">
          <cell r="E17716" t="str">
            <v>AIC-MP-00005911-000</v>
          </cell>
          <cell r="F17716" t="str">
            <v>PSHPH2590107</v>
          </cell>
        </row>
        <row r="17717">
          <cell r="E17717" t="str">
            <v>AIC-MP-00006751-000</v>
          </cell>
          <cell r="F17717" t="str">
            <v>PSHPH2590107</v>
          </cell>
        </row>
        <row r="17718">
          <cell r="E17718" t="str">
            <v>AIC-MP-00006992-000</v>
          </cell>
          <cell r="F17718" t="str">
            <v>PSHPH2590107</v>
          </cell>
        </row>
        <row r="17719">
          <cell r="E17719" t="str">
            <v>AIC-MP-00006996-000</v>
          </cell>
          <cell r="F17719" t="str">
            <v>PSHPH2590107</v>
          </cell>
        </row>
        <row r="17720">
          <cell r="E17720" t="str">
            <v>AIC-MP-00006996-000</v>
          </cell>
          <cell r="F17720" t="str">
            <v>PSHPH2590107</v>
          </cell>
        </row>
        <row r="17721">
          <cell r="E17721" t="str">
            <v>AIC-MP-00006994-000</v>
          </cell>
          <cell r="F17721" t="str">
            <v>PSHPH2590107</v>
          </cell>
        </row>
        <row r="17722">
          <cell r="E17722" t="str">
            <v>AIC-120-012787</v>
          </cell>
          <cell r="F17722" t="str">
            <v>PSHPH2590107</v>
          </cell>
        </row>
        <row r="17723">
          <cell r="E17723" t="str">
            <v>AIC-MP-00007068-000</v>
          </cell>
          <cell r="F17723" t="str">
            <v>PSHPH2590107</v>
          </cell>
        </row>
        <row r="17724">
          <cell r="E17724" t="str">
            <v>AIC-MP-00006777-000</v>
          </cell>
          <cell r="F17724" t="str">
            <v>PSHPH2590107</v>
          </cell>
        </row>
        <row r="17725">
          <cell r="E17725" t="str">
            <v>AIC-MP-CN007144-S01</v>
          </cell>
          <cell r="F17725" t="str">
            <v>PSHPH2590107</v>
          </cell>
        </row>
        <row r="17726">
          <cell r="E17726" t="str">
            <v>PUR-03-0099-03</v>
          </cell>
          <cell r="F17726" t="str">
            <v>8TV8886</v>
          </cell>
        </row>
        <row r="17727">
          <cell r="E17727" t="str">
            <v>PUR-03-0074-02</v>
          </cell>
          <cell r="F17727" t="str">
            <v>8XN0019</v>
          </cell>
        </row>
        <row r="17728">
          <cell r="E17728" t="str">
            <v>N34TS04MT3ETG</v>
          </cell>
          <cell r="F17728" t="str">
            <v>1Z6RV5410425705676</v>
          </cell>
        </row>
        <row r="17729">
          <cell r="E17729" t="str">
            <v>LUC-E00-470024-00</v>
          </cell>
          <cell r="F17729" t="str">
            <v>Handcarry</v>
          </cell>
        </row>
        <row r="17730">
          <cell r="E17730" t="str">
            <v>HLOB-13-0236-00</v>
          </cell>
          <cell r="F17730">
            <v>421281420538</v>
          </cell>
        </row>
        <row r="17731">
          <cell r="E17731" t="str">
            <v>130-000558</v>
          </cell>
          <cell r="F17731">
            <v>470186558417</v>
          </cell>
        </row>
        <row r="17732">
          <cell r="E17732" t="str">
            <v>PUR-13-0258-00</v>
          </cell>
          <cell r="F17732">
            <v>480591183131</v>
          </cell>
        </row>
        <row r="17733">
          <cell r="E17733" t="str">
            <v>HLOB-24-0028-00</v>
          </cell>
          <cell r="F17733">
            <v>483041947103</v>
          </cell>
        </row>
        <row r="17734">
          <cell r="E17734" t="str">
            <v>EF-45096952</v>
          </cell>
          <cell r="F17734">
            <v>483041947103</v>
          </cell>
        </row>
        <row r="17735">
          <cell r="E17735" t="str">
            <v>LUC-EZZ-400331-00</v>
          </cell>
          <cell r="F17735">
            <v>483041947103</v>
          </cell>
        </row>
        <row r="17736">
          <cell r="E17736" t="str">
            <v>LUC-E00-400054-01</v>
          </cell>
          <cell r="F17736">
            <v>483041947103</v>
          </cell>
        </row>
        <row r="17737">
          <cell r="E17737" t="str">
            <v>LUC-EZZ-400331-00</v>
          </cell>
          <cell r="F17737">
            <v>483041947103</v>
          </cell>
        </row>
        <row r="17738">
          <cell r="E17738" t="str">
            <v>LUC-E00-420027-05</v>
          </cell>
          <cell r="F17738">
            <v>483041947103</v>
          </cell>
        </row>
        <row r="17739">
          <cell r="E17739" t="str">
            <v>LUC-E00-400010-000</v>
          </cell>
          <cell r="F17739">
            <v>483041947103</v>
          </cell>
        </row>
        <row r="17740">
          <cell r="E17740" t="str">
            <v>LUC-E00-400010-047</v>
          </cell>
          <cell r="F17740">
            <v>483041947103</v>
          </cell>
        </row>
        <row r="17741">
          <cell r="E17741" t="str">
            <v>LUC-E00-400010-000</v>
          </cell>
          <cell r="F17741">
            <v>483041947103</v>
          </cell>
        </row>
        <row r="17742">
          <cell r="E17742" t="str">
            <v>LUC-E00-400054-01</v>
          </cell>
          <cell r="F17742">
            <v>483041947103</v>
          </cell>
        </row>
        <row r="17743">
          <cell r="E17743" t="str">
            <v>LUC-E00-420173-00</v>
          </cell>
          <cell r="F17743">
            <v>483041947103</v>
          </cell>
        </row>
        <row r="17744">
          <cell r="E17744" t="str">
            <v>HLOB-27-0017-00</v>
          </cell>
          <cell r="F17744">
            <v>483041947103</v>
          </cell>
        </row>
        <row r="17745">
          <cell r="E17745" t="str">
            <v>LUC-EZZ-421242-00</v>
          </cell>
          <cell r="F17745">
            <v>483041947103</v>
          </cell>
        </row>
        <row r="17746">
          <cell r="E17746" t="str">
            <v>HLOB-09-0279-00</v>
          </cell>
          <cell r="F17746">
            <v>483041947103</v>
          </cell>
        </row>
        <row r="17747">
          <cell r="E17747" t="str">
            <v>LUC-E00-400010-000</v>
          </cell>
          <cell r="F17747">
            <v>483041947103</v>
          </cell>
        </row>
        <row r="17748">
          <cell r="E17748" t="str">
            <v>LUC-E00-400010-000</v>
          </cell>
          <cell r="F17748">
            <v>483041947103</v>
          </cell>
        </row>
        <row r="17749">
          <cell r="E17749" t="str">
            <v>130-001590</v>
          </cell>
          <cell r="F17749">
            <v>884585668044</v>
          </cell>
        </row>
        <row r="17750">
          <cell r="E17750" t="str">
            <v>AIC-109-001572</v>
          </cell>
          <cell r="F17750">
            <v>884651250219</v>
          </cell>
        </row>
        <row r="17751">
          <cell r="E17751" t="str">
            <v>EF-45133443</v>
          </cell>
          <cell r="F17751">
            <v>393445241876</v>
          </cell>
        </row>
        <row r="17752">
          <cell r="E17752" t="str">
            <v>LUC-EZZ-470093-00</v>
          </cell>
          <cell r="F17752">
            <v>393445241876</v>
          </cell>
        </row>
        <row r="17753">
          <cell r="E17753" t="str">
            <v>LUC-EZZ-470855-00</v>
          </cell>
          <cell r="F17753">
            <v>393445241876</v>
          </cell>
        </row>
        <row r="17754">
          <cell r="E17754" t="str">
            <v>LUC-EZZ-470304-00</v>
          </cell>
          <cell r="F17754">
            <v>393445241876</v>
          </cell>
        </row>
        <row r="17755">
          <cell r="E17755" t="str">
            <v>EF-45112813.X.X</v>
          </cell>
          <cell r="F17755">
            <v>393445241876</v>
          </cell>
        </row>
        <row r="17756">
          <cell r="E17756" t="str">
            <v>AIC-132-001520</v>
          </cell>
          <cell r="F17756">
            <v>393445241876</v>
          </cell>
        </row>
        <row r="17757">
          <cell r="E17757" t="str">
            <v>LUC-EZZ-470249-00</v>
          </cell>
          <cell r="F17757">
            <v>393445241876</v>
          </cell>
        </row>
        <row r="17758">
          <cell r="E17758" t="str">
            <v>LUC-E00-470383-00</v>
          </cell>
          <cell r="F17758">
            <v>884556774079</v>
          </cell>
        </row>
        <row r="17759">
          <cell r="E17759" t="str">
            <v>PUR-07-0315-00</v>
          </cell>
          <cell r="F17759">
            <v>4914968251</v>
          </cell>
        </row>
        <row r="17760">
          <cell r="E17760" t="str">
            <v>PUR-07-0167-00</v>
          </cell>
          <cell r="F17760">
            <v>4914968251</v>
          </cell>
        </row>
        <row r="17761">
          <cell r="E17761" t="str">
            <v>PUR-07-0167-00</v>
          </cell>
          <cell r="F17761">
            <v>4914968251</v>
          </cell>
        </row>
        <row r="17762">
          <cell r="E17762" t="str">
            <v>PUR-07-0167-00</v>
          </cell>
          <cell r="F17762">
            <v>4914968251</v>
          </cell>
        </row>
        <row r="17763">
          <cell r="E17763" t="str">
            <v>LUC-E00-420002-00</v>
          </cell>
          <cell r="F17763">
            <v>4812848577</v>
          </cell>
        </row>
        <row r="17764">
          <cell r="E17764" t="str">
            <v>LUC-E00-420072-01</v>
          </cell>
          <cell r="F17764">
            <v>4812848577</v>
          </cell>
        </row>
        <row r="17765">
          <cell r="E17765" t="str">
            <v>EF-45060487.X.X</v>
          </cell>
          <cell r="F17765">
            <v>4812848577</v>
          </cell>
        </row>
        <row r="17766">
          <cell r="E17766" t="str">
            <v>EF-45094378</v>
          </cell>
          <cell r="F17766">
            <v>4812848577</v>
          </cell>
        </row>
        <row r="17767">
          <cell r="E17767" t="str">
            <v>LUC-EZZ-420527-00</v>
          </cell>
          <cell r="F17767">
            <v>4812848577</v>
          </cell>
        </row>
        <row r="17768">
          <cell r="E17768" t="str">
            <v>LUC-E00-420002-00</v>
          </cell>
          <cell r="F17768">
            <v>4812848577</v>
          </cell>
        </row>
        <row r="17769">
          <cell r="E17769" t="str">
            <v>LUC-EZZ-420539-00</v>
          </cell>
          <cell r="F17769">
            <v>4812848577</v>
          </cell>
        </row>
        <row r="17770">
          <cell r="E17770" t="str">
            <v>LUC-E00-420185-00</v>
          </cell>
          <cell r="F17770">
            <v>4812848577</v>
          </cell>
        </row>
        <row r="17771">
          <cell r="E17771" t="str">
            <v>PURET-13-0022-00</v>
          </cell>
          <cell r="F17771">
            <v>4812848577</v>
          </cell>
        </row>
        <row r="17772">
          <cell r="E17772" t="str">
            <v>PUR-13-0134-00</v>
          </cell>
          <cell r="F17772">
            <v>4812848577</v>
          </cell>
        </row>
        <row r="17773">
          <cell r="E17773" t="str">
            <v>HLOB-13-0134-00</v>
          </cell>
          <cell r="F17773">
            <v>4812848577</v>
          </cell>
        </row>
        <row r="17774">
          <cell r="E17774" t="str">
            <v>HLOB-13-0212-00</v>
          </cell>
          <cell r="F17774">
            <v>4812848577</v>
          </cell>
        </row>
        <row r="17775">
          <cell r="E17775" t="str">
            <v>HLOB-13-0134-00</v>
          </cell>
          <cell r="F17775">
            <v>4812848577</v>
          </cell>
        </row>
        <row r="17776">
          <cell r="E17776" t="str">
            <v>HLOB-13-0212-00</v>
          </cell>
          <cell r="F17776">
            <v>4812848577</v>
          </cell>
        </row>
        <row r="17777">
          <cell r="E17777" t="str">
            <v>HLOB-13-0212-00</v>
          </cell>
          <cell r="F17777">
            <v>4812848577</v>
          </cell>
        </row>
        <row r="17778">
          <cell r="E17778" t="str">
            <v>HLOB-13-0134-00</v>
          </cell>
          <cell r="F17778">
            <v>4812848577</v>
          </cell>
        </row>
        <row r="17779">
          <cell r="E17779" t="str">
            <v>PURET-13-0069-00</v>
          </cell>
          <cell r="F17779">
            <v>4812848577</v>
          </cell>
        </row>
        <row r="17780">
          <cell r="E17780" t="str">
            <v>PURET-13-0002-00</v>
          </cell>
          <cell r="F17780">
            <v>4812848577</v>
          </cell>
        </row>
        <row r="17781">
          <cell r="E17781" t="str">
            <v>PURET-13-0002-00</v>
          </cell>
          <cell r="F17781">
            <v>4812848577</v>
          </cell>
        </row>
        <row r="17782">
          <cell r="E17782" t="str">
            <v>PUR-13-0238-00</v>
          </cell>
          <cell r="F17782">
            <v>4812848577</v>
          </cell>
        </row>
        <row r="17783">
          <cell r="E17783" t="str">
            <v>LUC-EZZ-420527-00</v>
          </cell>
          <cell r="F17783">
            <v>4812848577</v>
          </cell>
        </row>
        <row r="17784">
          <cell r="E17784" t="str">
            <v>LUC-E00-420072-01</v>
          </cell>
          <cell r="F17784">
            <v>4812848577</v>
          </cell>
        </row>
        <row r="17785">
          <cell r="E17785" t="str">
            <v>HLOB-13-0134-00</v>
          </cell>
          <cell r="F17785">
            <v>4812848577</v>
          </cell>
        </row>
        <row r="17786">
          <cell r="E17786" t="str">
            <v>LUC-E00-420185-00</v>
          </cell>
          <cell r="F17786">
            <v>4812848577</v>
          </cell>
        </row>
        <row r="17787">
          <cell r="E17787" t="str">
            <v>PURET-13-0022-00</v>
          </cell>
          <cell r="F17787">
            <v>4812848577</v>
          </cell>
        </row>
        <row r="17788">
          <cell r="E17788" t="str">
            <v>PURET-13-0066-00</v>
          </cell>
          <cell r="F17788">
            <v>4812848577</v>
          </cell>
        </row>
        <row r="17789">
          <cell r="E17789" t="str">
            <v>HLOB-13-0066-00</v>
          </cell>
          <cell r="F17789">
            <v>4812848577</v>
          </cell>
        </row>
        <row r="17790">
          <cell r="E17790" t="str">
            <v>HLOB-13-0138-00</v>
          </cell>
          <cell r="F17790">
            <v>4812848577</v>
          </cell>
        </row>
        <row r="17791">
          <cell r="E17791" t="str">
            <v>LUC-E00-690001-00</v>
          </cell>
          <cell r="F17791">
            <v>4110329144</v>
          </cell>
        </row>
        <row r="17792">
          <cell r="E17792" t="str">
            <v>LUC-EZZ-690145-00</v>
          </cell>
          <cell r="F17792">
            <v>4110329146</v>
          </cell>
        </row>
        <row r="17793">
          <cell r="E17793" t="str">
            <v>HLOB-11-0106-05</v>
          </cell>
          <cell r="F17793" t="str">
            <v>LSZHPH2511764</v>
          </cell>
        </row>
        <row r="17794">
          <cell r="E17794" t="str">
            <v>HLOB-11-0106-05</v>
          </cell>
          <cell r="F17794" t="str">
            <v>LSZHPH2511764</v>
          </cell>
        </row>
        <row r="17795">
          <cell r="E17795" t="str">
            <v>AIC-BPM-UPS0001AC01</v>
          </cell>
          <cell r="F17795">
            <v>5781714595</v>
          </cell>
        </row>
        <row r="17796">
          <cell r="E17796" t="str">
            <v>LUC-EZZ-470423-00</v>
          </cell>
          <cell r="F17796">
            <v>477592534616</v>
          </cell>
        </row>
        <row r="17797">
          <cell r="E17797" t="str">
            <v>PUR-15-0231-00</v>
          </cell>
          <cell r="F17797">
            <v>481663278546</v>
          </cell>
        </row>
        <row r="17798">
          <cell r="E17798" t="str">
            <v>HLOB-15-0220-00</v>
          </cell>
          <cell r="F17798">
            <v>481663278546</v>
          </cell>
        </row>
        <row r="17799">
          <cell r="E17799" t="str">
            <v>AGI-450-40126-01</v>
          </cell>
          <cell r="F17799">
            <v>476513893215</v>
          </cell>
        </row>
        <row r="17800">
          <cell r="E17800" t="str">
            <v>LUC-EZZ-470855-00</v>
          </cell>
          <cell r="F17800">
            <v>476513893215</v>
          </cell>
        </row>
        <row r="17801">
          <cell r="E17801" t="str">
            <v>LUC-E00-470086-00</v>
          </cell>
          <cell r="F17801">
            <v>476513893215</v>
          </cell>
        </row>
        <row r="17802">
          <cell r="E17802" t="str">
            <v>LUC-E00-470274-00</v>
          </cell>
          <cell r="F17802">
            <v>476513893215</v>
          </cell>
        </row>
        <row r="17803">
          <cell r="E17803" t="str">
            <v>LUC-E00-470036-00</v>
          </cell>
          <cell r="F17803">
            <v>476513893215</v>
          </cell>
        </row>
        <row r="17804">
          <cell r="E17804" t="str">
            <v>LUC-EZZ-470093-00</v>
          </cell>
          <cell r="F17804">
            <v>476513893215</v>
          </cell>
        </row>
        <row r="17805">
          <cell r="E17805" t="str">
            <v>LUC-E00-470001-00</v>
          </cell>
          <cell r="F17805">
            <v>476513893215</v>
          </cell>
        </row>
        <row r="17806">
          <cell r="E17806" t="str">
            <v>AGI-450-40126-01</v>
          </cell>
          <cell r="F17806">
            <v>476513893215</v>
          </cell>
        </row>
        <row r="17807">
          <cell r="E17807" t="str">
            <v>AGI-450-40126-01</v>
          </cell>
          <cell r="F17807">
            <v>476513893215</v>
          </cell>
        </row>
        <row r="17808">
          <cell r="E17808" t="str">
            <v>AGI-450-40126-01</v>
          </cell>
          <cell r="F17808">
            <v>476513893215</v>
          </cell>
        </row>
        <row r="17809">
          <cell r="E17809" t="str">
            <v>LUC-E00-470086-00</v>
          </cell>
          <cell r="F17809">
            <v>476513893215</v>
          </cell>
        </row>
        <row r="17810">
          <cell r="E17810" t="str">
            <v>LUC-EZZ-470138-00</v>
          </cell>
          <cell r="F17810">
            <v>476513893215</v>
          </cell>
        </row>
        <row r="17811">
          <cell r="E17811" t="str">
            <v>LUC-EZZ-470138-00</v>
          </cell>
          <cell r="F17811">
            <v>476513893215</v>
          </cell>
        </row>
        <row r="17812">
          <cell r="E17812" t="str">
            <v>LUC-E00-420072-01</v>
          </cell>
          <cell r="F17812">
            <v>483041948176</v>
          </cell>
        </row>
        <row r="17813">
          <cell r="E17813" t="str">
            <v>LUC-EZZ-400200-00</v>
          </cell>
          <cell r="F17813">
            <v>393533964316</v>
          </cell>
        </row>
        <row r="17814">
          <cell r="E17814" t="str">
            <v>LUC-E00-690214-00</v>
          </cell>
          <cell r="F17814">
            <v>462143207575</v>
          </cell>
        </row>
        <row r="17815">
          <cell r="E17815" t="str">
            <v>LUC-EZZ-470128-00</v>
          </cell>
          <cell r="F17815">
            <v>393655563820</v>
          </cell>
        </row>
        <row r="17816">
          <cell r="E17816" t="str">
            <v>PUR-12-0412-00</v>
          </cell>
          <cell r="F17816">
            <v>884736805351</v>
          </cell>
        </row>
        <row r="17817">
          <cell r="E17817" t="str">
            <v>HLOB-12-0432-00</v>
          </cell>
          <cell r="F17817">
            <v>884736805351</v>
          </cell>
        </row>
        <row r="17818">
          <cell r="E17818" t="str">
            <v>HLOB-12-0170-00</v>
          </cell>
          <cell r="F17818">
            <v>884736805351</v>
          </cell>
        </row>
        <row r="17819">
          <cell r="E17819" t="str">
            <v>HLOB-12-0257-00</v>
          </cell>
          <cell r="F17819">
            <v>884736805351</v>
          </cell>
        </row>
        <row r="17820">
          <cell r="E17820" t="str">
            <v>HLOB-12-0065-00</v>
          </cell>
          <cell r="F17820">
            <v>884736805351</v>
          </cell>
        </row>
        <row r="17821">
          <cell r="E17821" t="str">
            <v>PUR-12-0483-00</v>
          </cell>
          <cell r="F17821">
            <v>884736805351</v>
          </cell>
        </row>
        <row r="17822">
          <cell r="E17822" t="str">
            <v>PUR-12-0512-00</v>
          </cell>
          <cell r="F17822">
            <v>884736805351</v>
          </cell>
        </row>
        <row r="17823">
          <cell r="E17823" t="str">
            <v>PUR-12-0065-00</v>
          </cell>
          <cell r="F17823">
            <v>884736805351</v>
          </cell>
        </row>
        <row r="17824">
          <cell r="E17824" t="str">
            <v>LUC-EZZ-440022-00</v>
          </cell>
          <cell r="F17824">
            <v>884736805351</v>
          </cell>
        </row>
        <row r="17825">
          <cell r="E17825" t="str">
            <v>LUC-E00-4700103-00</v>
          </cell>
          <cell r="F17825">
            <v>393680538555</v>
          </cell>
        </row>
        <row r="17826">
          <cell r="E17826" t="str">
            <v>LUC-E00-420184-00</v>
          </cell>
          <cell r="F17826">
            <v>884688907020</v>
          </cell>
        </row>
        <row r="17827">
          <cell r="E17827" t="str">
            <v>HLOB-13-0141-00</v>
          </cell>
          <cell r="F17827">
            <v>884688907020</v>
          </cell>
        </row>
        <row r="17828">
          <cell r="E17828" t="str">
            <v>AIC-MP-00000284-000</v>
          </cell>
          <cell r="F17828">
            <v>884688907020</v>
          </cell>
        </row>
        <row r="17829">
          <cell r="E17829" t="str">
            <v>AIC-MP-00003296-000</v>
          </cell>
          <cell r="F17829">
            <v>884688907020</v>
          </cell>
        </row>
        <row r="17830">
          <cell r="E17830" t="str">
            <v>AIC-MP-00000747-000</v>
          </cell>
          <cell r="F17830">
            <v>884688907020</v>
          </cell>
        </row>
        <row r="17831">
          <cell r="E17831" t="str">
            <v>AIC-MP-00000142-000</v>
          </cell>
          <cell r="F17831">
            <v>884688907020</v>
          </cell>
        </row>
        <row r="17832">
          <cell r="E17832" t="str">
            <v>AIC-MP-00000276-000</v>
          </cell>
          <cell r="F17832">
            <v>884688907020</v>
          </cell>
        </row>
        <row r="17833">
          <cell r="E17833" t="str">
            <v>AIC-MP-00000789-000</v>
          </cell>
          <cell r="F17833">
            <v>884688907020</v>
          </cell>
        </row>
        <row r="17834">
          <cell r="E17834" t="str">
            <v>AIC-MP-00002468-000</v>
          </cell>
          <cell r="F17834">
            <v>884688907020</v>
          </cell>
        </row>
        <row r="17835">
          <cell r="E17835" t="str">
            <v>AIC-MP-00004254-000</v>
          </cell>
          <cell r="F17835">
            <v>884688907020</v>
          </cell>
        </row>
        <row r="17836">
          <cell r="E17836" t="str">
            <v>AIC-MP-00000138-000</v>
          </cell>
          <cell r="F17836">
            <v>884688907020</v>
          </cell>
        </row>
        <row r="17837">
          <cell r="E17837" t="str">
            <v>AIC-MP-00002464-000</v>
          </cell>
          <cell r="F17837">
            <v>884688907020</v>
          </cell>
        </row>
        <row r="17838">
          <cell r="E17838" t="str">
            <v>AIC-MP-00000277-000</v>
          </cell>
          <cell r="F17838">
            <v>884688907020</v>
          </cell>
        </row>
        <row r="17839">
          <cell r="E17839" t="str">
            <v>AIC-MP-00000773-000</v>
          </cell>
          <cell r="F17839">
            <v>884688907020</v>
          </cell>
        </row>
        <row r="17840">
          <cell r="E17840" t="str">
            <v>AIC-119-001265</v>
          </cell>
          <cell r="F17840">
            <v>884688907020</v>
          </cell>
        </row>
        <row r="17841">
          <cell r="E17841" t="str">
            <v>PUR-13-0189-00</v>
          </cell>
          <cell r="F17841">
            <v>884688907020</v>
          </cell>
        </row>
        <row r="17842">
          <cell r="E17842" t="str">
            <v>LUC-E00-690201-00</v>
          </cell>
          <cell r="F17842">
            <v>884621997566</v>
          </cell>
        </row>
        <row r="17843">
          <cell r="E17843" t="str">
            <v>LUC-E00-690201-00</v>
          </cell>
          <cell r="F17843">
            <v>884621997566</v>
          </cell>
        </row>
        <row r="17844">
          <cell r="E17844" t="str">
            <v>LUC-E00-690201-00</v>
          </cell>
          <cell r="F17844">
            <v>884621997566</v>
          </cell>
        </row>
        <row r="17845">
          <cell r="E17845" t="str">
            <v>LUC-E00-690010-03</v>
          </cell>
          <cell r="F17845">
            <v>393436588374</v>
          </cell>
        </row>
        <row r="17846">
          <cell r="E17846" t="str">
            <v>LUC-EZZ-470424-00</v>
          </cell>
          <cell r="F17846">
            <v>393506581439</v>
          </cell>
        </row>
        <row r="17847">
          <cell r="E17847" t="str">
            <v>LUC-EZZ-510061-00</v>
          </cell>
          <cell r="F17847">
            <v>393547424587</v>
          </cell>
        </row>
        <row r="17848">
          <cell r="E17848" t="str">
            <v>LUC-EZZ-510061-00</v>
          </cell>
          <cell r="F17848">
            <v>393547424587</v>
          </cell>
        </row>
        <row r="17849">
          <cell r="E17849" t="str">
            <v>LUC-EZZ-510061-00</v>
          </cell>
          <cell r="F17849">
            <v>393547424587</v>
          </cell>
        </row>
        <row r="17850">
          <cell r="E17850" t="str">
            <v>LUC-EZZ-510061-00</v>
          </cell>
          <cell r="F17850">
            <v>393547424587</v>
          </cell>
        </row>
        <row r="17851">
          <cell r="E17851" t="str">
            <v>LUC-EZZ-510061-00</v>
          </cell>
          <cell r="F17851">
            <v>393547424587</v>
          </cell>
        </row>
        <row r="17852">
          <cell r="E17852" t="str">
            <v>LUC-EZZ-510061-00</v>
          </cell>
          <cell r="F17852">
            <v>393547424587</v>
          </cell>
        </row>
        <row r="17853">
          <cell r="E17853" t="str">
            <v>LUC-EZZ-510061-00</v>
          </cell>
          <cell r="F17853">
            <v>393547424587</v>
          </cell>
        </row>
        <row r="17854">
          <cell r="E17854" t="str">
            <v>LUC-EZZ-510061-00</v>
          </cell>
          <cell r="F17854">
            <v>393547424587</v>
          </cell>
        </row>
        <row r="17855">
          <cell r="E17855" t="str">
            <v>LUC-E00-460007-00</v>
          </cell>
          <cell r="F17855">
            <v>445170595753</v>
          </cell>
        </row>
        <row r="17856">
          <cell r="E17856" t="str">
            <v>HLOB-09-0324-00</v>
          </cell>
          <cell r="F17856">
            <v>445170595878</v>
          </cell>
        </row>
        <row r="17857">
          <cell r="E17857" t="str">
            <v>PUR-13-0258-00</v>
          </cell>
          <cell r="F17857">
            <v>480947544313</v>
          </cell>
        </row>
        <row r="17858">
          <cell r="E17858" t="str">
            <v>LUC-E00-470265-00</v>
          </cell>
          <cell r="F17858">
            <v>618108347064</v>
          </cell>
        </row>
        <row r="17859">
          <cell r="E17859" t="str">
            <v>LUC-E00-450052-00</v>
          </cell>
          <cell r="F17859">
            <v>618108347064</v>
          </cell>
        </row>
        <row r="17860">
          <cell r="E17860" t="str">
            <v>LUC-E00-450052-00</v>
          </cell>
          <cell r="F17860">
            <v>618108347064</v>
          </cell>
        </row>
        <row r="17861">
          <cell r="E17861" t="str">
            <v>LUC-EZZ-450089-00</v>
          </cell>
          <cell r="F17861">
            <v>618108347064</v>
          </cell>
        </row>
        <row r="17862">
          <cell r="E17862" t="str">
            <v>120-011998</v>
          </cell>
          <cell r="F17862">
            <v>481846331175</v>
          </cell>
        </row>
        <row r="17863">
          <cell r="E17863" t="str">
            <v>LUC-E00-480005-00</v>
          </cell>
          <cell r="F17863">
            <v>481846331175</v>
          </cell>
        </row>
        <row r="17864">
          <cell r="E17864" t="str">
            <v>LUC-E00-480015-01</v>
          </cell>
          <cell r="F17864">
            <v>481846331175</v>
          </cell>
        </row>
        <row r="17865">
          <cell r="E17865" t="str">
            <v>LUC-EZZ-420536-00</v>
          </cell>
          <cell r="F17865">
            <v>481846331175</v>
          </cell>
        </row>
        <row r="17866">
          <cell r="E17866" t="str">
            <v>LUC-E00-440057-00</v>
          </cell>
          <cell r="F17866">
            <v>481846331175</v>
          </cell>
        </row>
        <row r="17867">
          <cell r="E17867" t="str">
            <v>LUC-E00-510093-00</v>
          </cell>
          <cell r="F17867">
            <v>481846331175</v>
          </cell>
        </row>
        <row r="17868">
          <cell r="E17868" t="str">
            <v>LUC-E00-690003-00</v>
          </cell>
          <cell r="F17868">
            <v>481846331175</v>
          </cell>
        </row>
        <row r="17869">
          <cell r="E17869" t="str">
            <v>LUC-E00-470175-00</v>
          </cell>
          <cell r="F17869">
            <v>481846331175</v>
          </cell>
        </row>
        <row r="17870">
          <cell r="E17870" t="str">
            <v>LUC-E00-450029-00</v>
          </cell>
          <cell r="F17870">
            <v>481846331175</v>
          </cell>
        </row>
        <row r="17871">
          <cell r="E17871" t="str">
            <v>LUC-EZZ-440042-00</v>
          </cell>
          <cell r="F17871">
            <v>481846331175</v>
          </cell>
        </row>
        <row r="17872">
          <cell r="E17872" t="str">
            <v>LUC-E00-420027-05</v>
          </cell>
          <cell r="F17872">
            <v>481846331175</v>
          </cell>
        </row>
        <row r="17873">
          <cell r="E17873" t="str">
            <v>LUC-E00-470061-00</v>
          </cell>
          <cell r="F17873">
            <v>481846331175</v>
          </cell>
        </row>
        <row r="17874">
          <cell r="E17874" t="str">
            <v>LUC-EZZ-400414-00</v>
          </cell>
          <cell r="F17874">
            <v>481846331175</v>
          </cell>
        </row>
        <row r="17875">
          <cell r="E17875" t="str">
            <v>LUC-EZZ-470093-00</v>
          </cell>
          <cell r="F17875">
            <v>643036775913</v>
          </cell>
        </row>
        <row r="17876">
          <cell r="E17876" t="str">
            <v>LUC-EZZ-440073-00</v>
          </cell>
          <cell r="F17876">
            <v>742783546544</v>
          </cell>
        </row>
        <row r="17877">
          <cell r="E17877" t="str">
            <v>LUC-E00-420002-00</v>
          </cell>
          <cell r="F17877">
            <v>618108347075</v>
          </cell>
        </row>
        <row r="17878">
          <cell r="E17878" t="str">
            <v>LUC-EZZ-420179-00</v>
          </cell>
          <cell r="F17878">
            <v>618108347075</v>
          </cell>
        </row>
        <row r="17879">
          <cell r="E17879" t="str">
            <v>LUC-EZZ-421267-00</v>
          </cell>
          <cell r="F17879">
            <v>618108347075</v>
          </cell>
        </row>
        <row r="17880">
          <cell r="E17880" t="str">
            <v>LUC-E00-510064-00</v>
          </cell>
          <cell r="F17880">
            <v>618108347075</v>
          </cell>
        </row>
        <row r="17881">
          <cell r="E17881" t="str">
            <v>LUC-E00-510064-00</v>
          </cell>
          <cell r="F17881">
            <v>618108347075</v>
          </cell>
        </row>
        <row r="17882">
          <cell r="E17882" t="str">
            <v>LUC-E00-510064-00</v>
          </cell>
          <cell r="F17882">
            <v>618108347075</v>
          </cell>
        </row>
        <row r="17883">
          <cell r="E17883" t="str">
            <v>EF-45236387</v>
          </cell>
          <cell r="F17883">
            <v>884682191340</v>
          </cell>
        </row>
        <row r="17884">
          <cell r="E17884" t="str">
            <v>123-000582</v>
          </cell>
          <cell r="F17884">
            <v>393626168928</v>
          </cell>
        </row>
        <row r="17885">
          <cell r="E17885" t="str">
            <v>LUC-E00-470137-00</v>
          </cell>
          <cell r="F17885">
            <v>884622764407</v>
          </cell>
        </row>
        <row r="17886">
          <cell r="E17886" t="str">
            <v>LUC-E00-440045-00</v>
          </cell>
          <cell r="F17886">
            <v>393594274537</v>
          </cell>
        </row>
        <row r="17887">
          <cell r="E17887" t="str">
            <v>EF-45142345</v>
          </cell>
          <cell r="F17887">
            <v>884738252342</v>
          </cell>
        </row>
        <row r="17888">
          <cell r="E17888" t="str">
            <v>EF-45142345</v>
          </cell>
          <cell r="F17888">
            <v>884738252342</v>
          </cell>
        </row>
        <row r="17889">
          <cell r="E17889" t="str">
            <v>PUR-09-0343-00</v>
          </cell>
          <cell r="F17889">
            <v>480820739803</v>
          </cell>
        </row>
        <row r="17890">
          <cell r="E17890" t="str">
            <v>PUR-09-0343-00</v>
          </cell>
          <cell r="F17890">
            <v>480820739803</v>
          </cell>
        </row>
        <row r="17891">
          <cell r="E17891" t="str">
            <v>PUR-09-0343-00</v>
          </cell>
          <cell r="F17891">
            <v>480820739803</v>
          </cell>
        </row>
        <row r="17892">
          <cell r="E17892" t="str">
            <v>PUR-09-0343-00</v>
          </cell>
          <cell r="F17892">
            <v>480820739803</v>
          </cell>
        </row>
        <row r="17893">
          <cell r="E17893" t="str">
            <v>PUR-09-0343-00</v>
          </cell>
          <cell r="F17893">
            <v>480820739803</v>
          </cell>
        </row>
        <row r="17894">
          <cell r="E17894" t="str">
            <v>PUR-09-0343-00</v>
          </cell>
          <cell r="F17894">
            <v>480820739803</v>
          </cell>
        </row>
        <row r="17895">
          <cell r="E17895" t="str">
            <v>PUR-09-0343-00</v>
          </cell>
          <cell r="F17895">
            <v>480820739803</v>
          </cell>
        </row>
        <row r="17896">
          <cell r="E17896" t="str">
            <v>PUR-09-0343-00</v>
          </cell>
          <cell r="F17896">
            <v>480820739803</v>
          </cell>
        </row>
        <row r="17897">
          <cell r="E17897" t="str">
            <v>PUR-09-0343-00</v>
          </cell>
          <cell r="F17897">
            <v>480820739803</v>
          </cell>
        </row>
        <row r="17898">
          <cell r="E17898" t="str">
            <v>PUR-09-0343-00</v>
          </cell>
          <cell r="F17898">
            <v>480820739803</v>
          </cell>
        </row>
        <row r="17899">
          <cell r="E17899" t="str">
            <v>PUR-09-0343-00</v>
          </cell>
          <cell r="F17899">
            <v>480820739803</v>
          </cell>
        </row>
        <row r="17900">
          <cell r="E17900" t="str">
            <v>LUC-E00-470070-00</v>
          </cell>
          <cell r="F17900">
            <v>393579180893</v>
          </cell>
        </row>
        <row r="17901">
          <cell r="E17901" t="str">
            <v>LUC-E00-470073-00</v>
          </cell>
          <cell r="F17901">
            <v>393451013431</v>
          </cell>
        </row>
        <row r="17902">
          <cell r="E17902" t="str">
            <v>LUC-EZZ-470191-00</v>
          </cell>
          <cell r="F17902">
            <v>393494560282</v>
          </cell>
        </row>
        <row r="17903">
          <cell r="E17903" t="str">
            <v>LUC-EZZ-470191-00</v>
          </cell>
          <cell r="F17903">
            <v>393617869594</v>
          </cell>
        </row>
        <row r="17904">
          <cell r="E17904" t="str">
            <v>LUC-E00-470124-00</v>
          </cell>
          <cell r="F17904">
            <v>393617869594</v>
          </cell>
        </row>
        <row r="17905">
          <cell r="E17905" t="str">
            <v>LUC-P11-J67400-02</v>
          </cell>
          <cell r="F17905">
            <v>472187331414</v>
          </cell>
        </row>
        <row r="17906">
          <cell r="E17906" t="str">
            <v>LUC-P11-J67400-02</v>
          </cell>
          <cell r="F17906">
            <v>472187331414</v>
          </cell>
        </row>
        <row r="17907">
          <cell r="E17907" t="str">
            <v>LUC-E00-420038-01</v>
          </cell>
          <cell r="F17907">
            <v>884651254074</v>
          </cell>
        </row>
        <row r="17908">
          <cell r="E17908" t="str">
            <v>LUC-E00-420020-08</v>
          </cell>
          <cell r="F17908">
            <v>884651254074</v>
          </cell>
        </row>
        <row r="17909">
          <cell r="E17909" t="str">
            <v>LUC-EZZ-440037-00</v>
          </cell>
          <cell r="F17909">
            <v>884651254074</v>
          </cell>
        </row>
        <row r="17910">
          <cell r="E17910" t="str">
            <v>LUC-EZZ-420391-00</v>
          </cell>
          <cell r="F17910">
            <v>884651254074</v>
          </cell>
        </row>
        <row r="17911">
          <cell r="E17911" t="str">
            <v>HLOB-12-0029-00</v>
          </cell>
          <cell r="F17911">
            <v>884651254074</v>
          </cell>
        </row>
        <row r="17912">
          <cell r="E17912" t="str">
            <v>HLOB-12-0029-00</v>
          </cell>
          <cell r="F17912">
            <v>884651254074</v>
          </cell>
        </row>
        <row r="17913">
          <cell r="E17913" t="str">
            <v>HLOB-12-0029-00</v>
          </cell>
          <cell r="F17913">
            <v>884651254074</v>
          </cell>
        </row>
        <row r="17914">
          <cell r="E17914" t="str">
            <v>LUC-EZZ-401043-00</v>
          </cell>
          <cell r="F17914">
            <v>884651254074</v>
          </cell>
        </row>
        <row r="17915">
          <cell r="E17915" t="str">
            <v>AGI-500-40220-01</v>
          </cell>
          <cell r="F17915">
            <v>884651254074</v>
          </cell>
        </row>
        <row r="17916">
          <cell r="E17916" t="str">
            <v>EF-45058007.X.X</v>
          </cell>
          <cell r="F17916">
            <v>884651254074</v>
          </cell>
        </row>
        <row r="17917">
          <cell r="E17917" t="str">
            <v>EF-45076937</v>
          </cell>
          <cell r="F17917">
            <v>884651254074</v>
          </cell>
        </row>
        <row r="17918">
          <cell r="E17918" t="str">
            <v>EF-45188276</v>
          </cell>
          <cell r="F17918">
            <v>884651254074</v>
          </cell>
        </row>
        <row r="17919">
          <cell r="E17919" t="str">
            <v>LUC-EZZ-420391-00</v>
          </cell>
          <cell r="F17919">
            <v>884651254074</v>
          </cell>
        </row>
        <row r="17920">
          <cell r="E17920" t="str">
            <v>EF-45057846.X.X</v>
          </cell>
          <cell r="F17920">
            <v>884651254074</v>
          </cell>
        </row>
        <row r="17921">
          <cell r="E17921" t="str">
            <v>EF-45057846.X.X</v>
          </cell>
          <cell r="F17921">
            <v>884651254074</v>
          </cell>
        </row>
        <row r="17922">
          <cell r="E17922" t="str">
            <v>EF-45057846.X.X</v>
          </cell>
          <cell r="F17922">
            <v>884651254074</v>
          </cell>
        </row>
        <row r="17923">
          <cell r="E17923" t="str">
            <v>PURET-13-0009-00</v>
          </cell>
          <cell r="F17923">
            <v>884651254074</v>
          </cell>
        </row>
        <row r="17924">
          <cell r="E17924" t="str">
            <v>PURET-13-0009-00</v>
          </cell>
          <cell r="F17924">
            <v>884651254074</v>
          </cell>
        </row>
        <row r="17925">
          <cell r="E17925" t="str">
            <v>PUR-13-0238-00</v>
          </cell>
          <cell r="F17925">
            <v>884651254074</v>
          </cell>
        </row>
        <row r="17926">
          <cell r="E17926" t="str">
            <v>HLOB-13-0022-00</v>
          </cell>
          <cell r="F17926">
            <v>884651254074</v>
          </cell>
        </row>
        <row r="17927">
          <cell r="E17927" t="str">
            <v>HLOB-13-0155-00</v>
          </cell>
          <cell r="F17927">
            <v>884651254074</v>
          </cell>
        </row>
        <row r="17928">
          <cell r="E17928" t="str">
            <v>LUC-P21-K33900-00</v>
          </cell>
          <cell r="F17928">
            <v>884589787530</v>
          </cell>
        </row>
        <row r="17929">
          <cell r="E17929" t="str">
            <v>LUC-P00-F85MDY-00</v>
          </cell>
          <cell r="F17929">
            <v>884686634961</v>
          </cell>
        </row>
        <row r="17930">
          <cell r="E17930" t="str">
            <v>LUC-P00-F143AG-00</v>
          </cell>
          <cell r="F17930">
            <v>884686634961</v>
          </cell>
        </row>
        <row r="17931">
          <cell r="E17931" t="str">
            <v>LUC-P21-K2B300-00</v>
          </cell>
          <cell r="F17931">
            <v>884686634961</v>
          </cell>
        </row>
        <row r="17932">
          <cell r="E17932" t="str">
            <v>LUC-P00-F185AG-00</v>
          </cell>
          <cell r="F17932">
            <v>884686634961</v>
          </cell>
        </row>
        <row r="17933">
          <cell r="E17933" t="str">
            <v>LUC-P00-F193DG-00</v>
          </cell>
          <cell r="F17933">
            <v>884686634961</v>
          </cell>
        </row>
        <row r="17934">
          <cell r="E17934" t="str">
            <v>LUC-P00-F193DG-00</v>
          </cell>
          <cell r="F17934">
            <v>884686634961</v>
          </cell>
        </row>
        <row r="17935">
          <cell r="E17935" t="str">
            <v>AGI-450-40087-01</v>
          </cell>
          <cell r="F17935">
            <v>393656237225</v>
          </cell>
        </row>
        <row r="17936">
          <cell r="E17936" t="str">
            <v>LUC-E00-690030-02</v>
          </cell>
          <cell r="F17936">
            <v>462141484760</v>
          </cell>
        </row>
        <row r="17937">
          <cell r="E17937" t="str">
            <v>LUC-E00-690200-01</v>
          </cell>
          <cell r="F17937">
            <v>462141484760</v>
          </cell>
        </row>
        <row r="17938">
          <cell r="E17938" t="str">
            <v>LUC-P21-KA3200-00</v>
          </cell>
          <cell r="F17938">
            <v>462141484760</v>
          </cell>
        </row>
        <row r="17939">
          <cell r="E17939" t="str">
            <v>AIC-MP-ID004086-S01</v>
          </cell>
          <cell r="F17939">
            <v>462141484760</v>
          </cell>
        </row>
        <row r="17940">
          <cell r="E17940" t="str">
            <v>PUR-37-0050-00</v>
          </cell>
          <cell r="F17940">
            <v>462141484760</v>
          </cell>
        </row>
        <row r="17941">
          <cell r="E17941" t="str">
            <v>EF-45125060</v>
          </cell>
          <cell r="F17941">
            <v>4711883897</v>
          </cell>
        </row>
        <row r="17942">
          <cell r="E17942" t="str">
            <v>LUC-E00-440014-01</v>
          </cell>
          <cell r="F17942">
            <v>4711883897</v>
          </cell>
        </row>
        <row r="17943">
          <cell r="E17943" t="str">
            <v>LUC-E00-440046-00</v>
          </cell>
          <cell r="F17943">
            <v>4711883897</v>
          </cell>
        </row>
        <row r="17944">
          <cell r="E17944" t="str">
            <v>LUC-EZZ-440031-00</v>
          </cell>
          <cell r="F17944">
            <v>4711883897</v>
          </cell>
        </row>
        <row r="17945">
          <cell r="E17945" t="str">
            <v>LUC-EZZ-440031-00</v>
          </cell>
          <cell r="F17945">
            <v>4711883897</v>
          </cell>
        </row>
        <row r="17946">
          <cell r="E17946" t="str">
            <v>LUC-EZZ-440031-00</v>
          </cell>
          <cell r="F17946">
            <v>4711883897</v>
          </cell>
        </row>
        <row r="17947">
          <cell r="E17947" t="str">
            <v>LUC-EZZ-440072-00</v>
          </cell>
          <cell r="F17947">
            <v>4711883897</v>
          </cell>
        </row>
        <row r="17948">
          <cell r="E17948" t="str">
            <v>LUC-EZZ-440078-01</v>
          </cell>
          <cell r="F17948">
            <v>4711883897</v>
          </cell>
        </row>
        <row r="17949">
          <cell r="E17949" t="str">
            <v>LUC-EZZ-440162-00</v>
          </cell>
          <cell r="F17949">
            <v>4711883897</v>
          </cell>
        </row>
        <row r="17950">
          <cell r="E17950" t="str">
            <v>LUC-EZZ-440030-00</v>
          </cell>
          <cell r="F17950">
            <v>4711883897</v>
          </cell>
        </row>
        <row r="17951">
          <cell r="E17951" t="str">
            <v>LUC-E00-440077-02</v>
          </cell>
          <cell r="F17951">
            <v>4711883897</v>
          </cell>
        </row>
        <row r="17952">
          <cell r="E17952" t="str">
            <v>LUC-EZZ-440099-00</v>
          </cell>
          <cell r="F17952">
            <v>4711883897</v>
          </cell>
        </row>
        <row r="17953">
          <cell r="E17953" t="str">
            <v>LUC-E00-400034-118</v>
          </cell>
          <cell r="F17953">
            <v>4711883307</v>
          </cell>
        </row>
        <row r="17954">
          <cell r="E17954" t="str">
            <v>LUC-E00-400034-118</v>
          </cell>
          <cell r="F17954">
            <v>4711883307</v>
          </cell>
        </row>
        <row r="17955">
          <cell r="E17955" t="str">
            <v>LUC-E00-400034-118</v>
          </cell>
          <cell r="F17955">
            <v>4711883307</v>
          </cell>
        </row>
        <row r="17956">
          <cell r="E17956" t="str">
            <v>LUC-E00-400034-118</v>
          </cell>
          <cell r="F17956">
            <v>4711883307</v>
          </cell>
        </row>
        <row r="17957">
          <cell r="E17957" t="str">
            <v>AIC-MP-00006265-000</v>
          </cell>
          <cell r="F17957">
            <v>4711883307</v>
          </cell>
        </row>
        <row r="17958">
          <cell r="E17958" t="str">
            <v>LUC-E00-400034-118</v>
          </cell>
          <cell r="F17958">
            <v>4711883307</v>
          </cell>
        </row>
        <row r="17959">
          <cell r="E17959" t="str">
            <v>LUC-E00-400034-118</v>
          </cell>
          <cell r="F17959">
            <v>4711883307</v>
          </cell>
        </row>
        <row r="17960">
          <cell r="E17960" t="str">
            <v>LUC-E00-400050-01</v>
          </cell>
          <cell r="F17960">
            <v>4711883307</v>
          </cell>
        </row>
        <row r="17961">
          <cell r="E17961" t="str">
            <v>LUC-E00-400050-01</v>
          </cell>
          <cell r="F17961">
            <v>4711883307</v>
          </cell>
        </row>
        <row r="17962">
          <cell r="E17962" t="str">
            <v>PUR-21-0026-00</v>
          </cell>
          <cell r="F17962">
            <v>4711883307</v>
          </cell>
        </row>
        <row r="17963">
          <cell r="E17963" t="str">
            <v>HLOB-21-0026-00</v>
          </cell>
          <cell r="F17963">
            <v>4711883307</v>
          </cell>
        </row>
        <row r="17964">
          <cell r="E17964" t="str">
            <v>LUC-EZZ-400200-00</v>
          </cell>
          <cell r="F17964">
            <v>4711883307</v>
          </cell>
        </row>
        <row r="17965">
          <cell r="E17965" t="str">
            <v>LUC-EZZ-420482-00</v>
          </cell>
          <cell r="F17965">
            <v>4711883307</v>
          </cell>
        </row>
        <row r="17966">
          <cell r="E17966" t="str">
            <v>LUC-E00-420054-06</v>
          </cell>
          <cell r="F17966">
            <v>4711883307</v>
          </cell>
        </row>
        <row r="17967">
          <cell r="E17967" t="str">
            <v>HLOB-09-0408-00</v>
          </cell>
          <cell r="F17967">
            <v>4711883307</v>
          </cell>
        </row>
        <row r="17968">
          <cell r="E17968" t="str">
            <v>LUC-EZZ-400588-00</v>
          </cell>
          <cell r="F17968">
            <v>4711883307</v>
          </cell>
        </row>
        <row r="17969">
          <cell r="E17969" t="str">
            <v>LUC-EZZ-400588-00</v>
          </cell>
          <cell r="F17969">
            <v>4711883307</v>
          </cell>
        </row>
        <row r="17970">
          <cell r="E17970" t="str">
            <v>LUC-EZZ-440189-00</v>
          </cell>
          <cell r="F17970">
            <v>4711883307</v>
          </cell>
        </row>
        <row r="17971">
          <cell r="E17971" t="str">
            <v>LUC-EZZ-510082-00</v>
          </cell>
          <cell r="F17971">
            <v>4711883307</v>
          </cell>
        </row>
        <row r="17972">
          <cell r="E17972" t="str">
            <v>LUC-E00-400034-090</v>
          </cell>
          <cell r="F17972">
            <v>4711883307</v>
          </cell>
        </row>
        <row r="17973">
          <cell r="E17973" t="str">
            <v>LUC-EZZ-420396-00</v>
          </cell>
          <cell r="F17973">
            <v>4711883307</v>
          </cell>
        </row>
        <row r="17974">
          <cell r="E17974" t="str">
            <v>LUC-E00-420084-00</v>
          </cell>
          <cell r="F17974">
            <v>4711883307</v>
          </cell>
        </row>
        <row r="17975">
          <cell r="E17975" t="str">
            <v>LUC-EZZ-440036-00</v>
          </cell>
          <cell r="F17975">
            <v>4711883307</v>
          </cell>
        </row>
        <row r="17976">
          <cell r="E17976" t="str">
            <v>LUC-EZZ-400588-00</v>
          </cell>
          <cell r="F17976">
            <v>4711883307</v>
          </cell>
        </row>
        <row r="17977">
          <cell r="E17977" t="str">
            <v>LUC-EZZ-420124-00</v>
          </cell>
          <cell r="F17977">
            <v>4711883307</v>
          </cell>
        </row>
        <row r="17978">
          <cell r="E17978" t="str">
            <v>LUC-E00-400023-001</v>
          </cell>
          <cell r="F17978">
            <v>4711883307</v>
          </cell>
        </row>
        <row r="17979">
          <cell r="E17979" t="str">
            <v>LUC-E00-400011-000</v>
          </cell>
          <cell r="F17979">
            <v>4711883307</v>
          </cell>
        </row>
        <row r="17980">
          <cell r="E17980" t="str">
            <v>LUC-EZZ-400200-00</v>
          </cell>
          <cell r="F17980">
            <v>4711883307</v>
          </cell>
        </row>
        <row r="17981">
          <cell r="E17981" t="str">
            <v>LUC-E00-400067-149</v>
          </cell>
          <cell r="F17981">
            <v>4711883307</v>
          </cell>
        </row>
        <row r="17982">
          <cell r="E17982" t="str">
            <v>LUC-EZZ-400621-00</v>
          </cell>
          <cell r="F17982">
            <v>4711883307</v>
          </cell>
        </row>
        <row r="17983">
          <cell r="E17983" t="str">
            <v>LUC-E00-420172-00</v>
          </cell>
          <cell r="F17983">
            <v>4711883307</v>
          </cell>
        </row>
        <row r="17984">
          <cell r="E17984" t="str">
            <v>LUC-E00-400034-090</v>
          </cell>
          <cell r="F17984">
            <v>4711883307</v>
          </cell>
        </row>
        <row r="17985">
          <cell r="E17985" t="str">
            <v>LUC-EZZ-400588-00</v>
          </cell>
          <cell r="F17985">
            <v>4711883307</v>
          </cell>
        </row>
        <row r="17986">
          <cell r="E17986" t="str">
            <v>LUC-E00-440154-00</v>
          </cell>
          <cell r="F17986">
            <v>4711883307</v>
          </cell>
        </row>
        <row r="17987">
          <cell r="E17987" t="str">
            <v>LUC-E00-440154-00</v>
          </cell>
          <cell r="F17987">
            <v>4711883307</v>
          </cell>
        </row>
        <row r="17988">
          <cell r="E17988" t="str">
            <v>LUC-E00-440154-00</v>
          </cell>
          <cell r="F17988">
            <v>4711883307</v>
          </cell>
        </row>
        <row r="17989">
          <cell r="E17989" t="str">
            <v>LUC-E00-440154-00</v>
          </cell>
          <cell r="F17989">
            <v>4711883307</v>
          </cell>
        </row>
        <row r="17990">
          <cell r="E17990" t="str">
            <v>LUC-E00-420055-06</v>
          </cell>
          <cell r="F17990">
            <v>4711883307</v>
          </cell>
        </row>
        <row r="17991">
          <cell r="E17991" t="str">
            <v>LUC-EZZ-400621-00</v>
          </cell>
          <cell r="F17991">
            <v>4711883307</v>
          </cell>
        </row>
        <row r="17992">
          <cell r="E17992" t="str">
            <v>LUC-E00-400034-090</v>
          </cell>
          <cell r="F17992">
            <v>4711883307</v>
          </cell>
        </row>
        <row r="17993">
          <cell r="E17993" t="str">
            <v>LUC-EZZ-400145-00</v>
          </cell>
          <cell r="F17993">
            <v>4711883307</v>
          </cell>
        </row>
        <row r="17994">
          <cell r="E17994" t="str">
            <v>LUC-EZZ-400621-00</v>
          </cell>
          <cell r="F17994">
            <v>4711883307</v>
          </cell>
        </row>
        <row r="17995">
          <cell r="E17995" t="str">
            <v>LUC-E00-480007-00</v>
          </cell>
          <cell r="F17995">
            <v>4711883307</v>
          </cell>
        </row>
        <row r="17996">
          <cell r="E17996" t="str">
            <v>LUC-E00-420074-00</v>
          </cell>
          <cell r="F17996">
            <v>4711883307</v>
          </cell>
        </row>
        <row r="17997">
          <cell r="E17997" t="str">
            <v>LUC-E00-420074-00</v>
          </cell>
          <cell r="F17997">
            <v>4711883307</v>
          </cell>
        </row>
        <row r="17998">
          <cell r="E17998" t="str">
            <v>LUC-E00-420074-00</v>
          </cell>
          <cell r="F17998">
            <v>4711883307</v>
          </cell>
        </row>
        <row r="17999">
          <cell r="E17999" t="str">
            <v>LUC-EZZ-510052-00</v>
          </cell>
          <cell r="F17999">
            <v>4711883307</v>
          </cell>
        </row>
        <row r="18000">
          <cell r="E18000" t="str">
            <v>LUC-E00-400043-00</v>
          </cell>
          <cell r="F18000">
            <v>4711883307</v>
          </cell>
        </row>
        <row r="18001">
          <cell r="E18001" t="str">
            <v>LUC-E00-400043-00</v>
          </cell>
          <cell r="F18001">
            <v>4711883307</v>
          </cell>
        </row>
        <row r="18002">
          <cell r="E18002" t="str">
            <v>LUC-EZZ-400621-00</v>
          </cell>
          <cell r="F18002">
            <v>4711883307</v>
          </cell>
        </row>
        <row r="18003">
          <cell r="E18003" t="str">
            <v>LUC-E00-420073-00</v>
          </cell>
          <cell r="F18003">
            <v>4711883307</v>
          </cell>
        </row>
        <row r="18004">
          <cell r="E18004" t="str">
            <v>HLOB-13-0237-00</v>
          </cell>
          <cell r="F18004">
            <v>4711883307</v>
          </cell>
        </row>
        <row r="18005">
          <cell r="E18005" t="str">
            <v>LUC-E00-400023-000</v>
          </cell>
          <cell r="F18005">
            <v>4711883307</v>
          </cell>
        </row>
        <row r="18006">
          <cell r="E18006" t="str">
            <v>LUC-E00-400074-00</v>
          </cell>
          <cell r="F18006">
            <v>4711883307</v>
          </cell>
        </row>
        <row r="18007">
          <cell r="E18007" t="str">
            <v>EF-45174165</v>
          </cell>
          <cell r="F18007">
            <v>4711883307</v>
          </cell>
        </row>
        <row r="18008">
          <cell r="E18008" t="str">
            <v>PUR-25-0009-00</v>
          </cell>
          <cell r="F18008">
            <v>4711883307</v>
          </cell>
        </row>
        <row r="18009">
          <cell r="E18009" t="str">
            <v>PUR-25-0009-00</v>
          </cell>
          <cell r="F18009">
            <v>4711883307</v>
          </cell>
        </row>
        <row r="18010">
          <cell r="E18010" t="str">
            <v>PUR-25-0009-00</v>
          </cell>
          <cell r="F18010">
            <v>4711883307</v>
          </cell>
        </row>
        <row r="18011">
          <cell r="E18011" t="str">
            <v>HLOB-25-0009-00</v>
          </cell>
          <cell r="F18011">
            <v>4711883307</v>
          </cell>
        </row>
        <row r="18012">
          <cell r="E18012" t="str">
            <v>EF-45174165</v>
          </cell>
          <cell r="F18012">
            <v>4711883307</v>
          </cell>
        </row>
        <row r="18013">
          <cell r="E18013" t="str">
            <v>LUC-P21-K34500-02</v>
          </cell>
          <cell r="F18013" t="str">
            <v>BSJSH0087567B</v>
          </cell>
        </row>
        <row r="18014">
          <cell r="E18014" t="str">
            <v>LUC-P21-K61200-02</v>
          </cell>
          <cell r="F18014" t="str">
            <v>BSJSH0087567B</v>
          </cell>
        </row>
        <row r="18015">
          <cell r="E18015" t="str">
            <v>LUC-P21-K34200-00</v>
          </cell>
          <cell r="F18015" t="str">
            <v>BSJSH0087567B</v>
          </cell>
        </row>
        <row r="18016">
          <cell r="E18016" t="str">
            <v>LUC-P21-K34600-02</v>
          </cell>
          <cell r="F18016" t="str">
            <v>BSJSH0087567B</v>
          </cell>
        </row>
        <row r="18017">
          <cell r="E18017" t="str">
            <v>LUC-P11-JA2100-00</v>
          </cell>
          <cell r="F18017">
            <v>884371995342</v>
          </cell>
        </row>
        <row r="18018">
          <cell r="E18018" t="str">
            <v>PUR-11-0105-04</v>
          </cell>
          <cell r="F18018" t="str">
            <v>AS258096</v>
          </cell>
        </row>
        <row r="18019">
          <cell r="E18019" t="str">
            <v>PUR-11-0105-04</v>
          </cell>
          <cell r="F18019" t="str">
            <v>AS258096</v>
          </cell>
        </row>
        <row r="18020">
          <cell r="E18020" t="str">
            <v>LUC-EZZ-400331-00</v>
          </cell>
          <cell r="F18020">
            <v>480591124647</v>
          </cell>
        </row>
        <row r="18021">
          <cell r="E18021" t="str">
            <v>LUC-E00-690461-00</v>
          </cell>
          <cell r="F18021" t="str">
            <v>1Z75A9570473217780</v>
          </cell>
        </row>
        <row r="18022">
          <cell r="E18022" t="str">
            <v>LUC-EZZ-510082-00</v>
          </cell>
          <cell r="F18022">
            <v>480604484942</v>
          </cell>
        </row>
        <row r="18023">
          <cell r="E18023" t="str">
            <v>LUC-EZZ-420527-00</v>
          </cell>
          <cell r="F18023">
            <v>480604484942</v>
          </cell>
        </row>
        <row r="18024">
          <cell r="E18024" t="str">
            <v>LUC-E00-420020-10</v>
          </cell>
          <cell r="F18024">
            <v>480604484942</v>
          </cell>
        </row>
        <row r="18025">
          <cell r="E18025" t="str">
            <v>LUC-E00-510064-00</v>
          </cell>
          <cell r="F18025">
            <v>480604484942</v>
          </cell>
        </row>
        <row r="18026">
          <cell r="E18026" t="str">
            <v>121-000398.X.X</v>
          </cell>
          <cell r="F18026">
            <v>480604484942</v>
          </cell>
        </row>
        <row r="18027">
          <cell r="E18027" t="str">
            <v>134-001540</v>
          </cell>
          <cell r="F18027">
            <v>480604484942</v>
          </cell>
        </row>
        <row r="18028">
          <cell r="E18028" t="str">
            <v>LUC-E00-420027-04</v>
          </cell>
          <cell r="F18028">
            <v>480604484942</v>
          </cell>
        </row>
        <row r="18029">
          <cell r="E18029" t="str">
            <v>LUC-E00-440154-00</v>
          </cell>
          <cell r="F18029">
            <v>480604484942</v>
          </cell>
        </row>
        <row r="18030">
          <cell r="E18030" t="str">
            <v>LUC-E00-440154-00</v>
          </cell>
          <cell r="F18030">
            <v>480604484942</v>
          </cell>
        </row>
        <row r="18031">
          <cell r="E18031" t="str">
            <v>LUC-E00-420072-01</v>
          </cell>
          <cell r="F18031">
            <v>480604484942</v>
          </cell>
        </row>
        <row r="18032">
          <cell r="E18032" t="str">
            <v>PUR-03-0074-02</v>
          </cell>
          <cell r="F18032" t="str">
            <v>8TV8887</v>
          </cell>
        </row>
        <row r="18033">
          <cell r="E18033" t="str">
            <v>HLOB-03-0113-00</v>
          </cell>
          <cell r="F18033" t="str">
            <v>8TV8824</v>
          </cell>
        </row>
        <row r="18034">
          <cell r="E18034" t="str">
            <v>PUR-03-0114-00</v>
          </cell>
          <cell r="F18034" t="str">
            <v>8XN0017</v>
          </cell>
        </row>
        <row r="18035">
          <cell r="E18035" t="str">
            <v>PUR-03-0074-02</v>
          </cell>
          <cell r="F18035" t="str">
            <v>8XN0020</v>
          </cell>
        </row>
        <row r="18036">
          <cell r="E18036" t="str">
            <v>HLOB-03-0113-00</v>
          </cell>
          <cell r="F18036" t="str">
            <v>8TV8825</v>
          </cell>
        </row>
        <row r="18037">
          <cell r="E18037" t="str">
            <v>HLOB-03-0113-00</v>
          </cell>
          <cell r="F18037" t="str">
            <v>8TV8826</v>
          </cell>
        </row>
        <row r="18038">
          <cell r="E18038" t="str">
            <v>HLOB-03-0113-00</v>
          </cell>
          <cell r="F18038" t="str">
            <v>8TV8827</v>
          </cell>
        </row>
        <row r="18039">
          <cell r="E18039" t="str">
            <v>HLOB-03-0113-00</v>
          </cell>
          <cell r="F18039" t="str">
            <v>8TV8828</v>
          </cell>
        </row>
        <row r="18040">
          <cell r="E18040" t="str">
            <v>HLOB-03-0113-00</v>
          </cell>
          <cell r="F18040" t="str">
            <v>8TV8829</v>
          </cell>
        </row>
        <row r="18041">
          <cell r="E18041" t="str">
            <v>HLOB-03-0113-00</v>
          </cell>
          <cell r="F18041" t="str">
            <v>8TV8830</v>
          </cell>
        </row>
        <row r="18042">
          <cell r="E18042" t="str">
            <v>HLOB-03-0113-00</v>
          </cell>
          <cell r="F18042" t="str">
            <v>8TV8831</v>
          </cell>
        </row>
        <row r="18043">
          <cell r="E18043" t="str">
            <v>HLOB-03-0113-00</v>
          </cell>
          <cell r="F18043" t="str">
            <v>8TV8833</v>
          </cell>
        </row>
        <row r="18044">
          <cell r="E18044" t="str">
            <v>HLOB-03-0113-00</v>
          </cell>
          <cell r="F18044" t="str">
            <v>8TV8832</v>
          </cell>
        </row>
        <row r="18045">
          <cell r="E18045" t="str">
            <v>HLOB-03-0113-00</v>
          </cell>
          <cell r="F18045" t="str">
            <v>8TV8834</v>
          </cell>
        </row>
        <row r="18046">
          <cell r="E18046" t="str">
            <v>HLOB-03-0113-00</v>
          </cell>
          <cell r="F18046" t="str">
            <v>8TV8835</v>
          </cell>
        </row>
        <row r="18047">
          <cell r="E18047" t="str">
            <v>HLOB-03-0113-00</v>
          </cell>
          <cell r="F18047" t="str">
            <v>8TV8836</v>
          </cell>
        </row>
        <row r="18048">
          <cell r="E18048" t="str">
            <v>HLOB-03-0113-00</v>
          </cell>
          <cell r="F18048" t="str">
            <v>8TV8837</v>
          </cell>
        </row>
        <row r="18049">
          <cell r="E18049" t="str">
            <v>HLOB-03-0113-00</v>
          </cell>
          <cell r="F18049" t="str">
            <v>8TV8838</v>
          </cell>
        </row>
        <row r="18050">
          <cell r="E18050" t="str">
            <v>HLOB-03-0113-00</v>
          </cell>
          <cell r="F18050" t="str">
            <v>8TV8839</v>
          </cell>
        </row>
        <row r="18051">
          <cell r="E18051" t="str">
            <v>HLOB-03-0113-00</v>
          </cell>
          <cell r="F18051" t="str">
            <v>8TV8840</v>
          </cell>
        </row>
        <row r="18052">
          <cell r="E18052" t="str">
            <v>HLOB-03-0113-00</v>
          </cell>
          <cell r="F18052" t="str">
            <v>8TV8841</v>
          </cell>
        </row>
        <row r="18053">
          <cell r="E18053" t="str">
            <v>HLOB-03-0113-00</v>
          </cell>
          <cell r="F18053" t="str">
            <v>8TV8842</v>
          </cell>
        </row>
        <row r="18054">
          <cell r="E18054" t="str">
            <v>HLOB-03-0113-00</v>
          </cell>
          <cell r="F18054" t="str">
            <v>8TV8843</v>
          </cell>
        </row>
        <row r="18055">
          <cell r="E18055" t="str">
            <v>HLOB-03-0113-00</v>
          </cell>
          <cell r="F18055" t="str">
            <v>8TV8844</v>
          </cell>
        </row>
        <row r="18056">
          <cell r="E18056" t="str">
            <v>HLOB-03-0113-00</v>
          </cell>
          <cell r="F18056" t="str">
            <v>8TV8845</v>
          </cell>
        </row>
        <row r="18057">
          <cell r="E18057" t="str">
            <v>HLOB-03-0113-00</v>
          </cell>
          <cell r="F18057" t="str">
            <v>8TV8846</v>
          </cell>
        </row>
        <row r="18058">
          <cell r="E18058" t="str">
            <v>HLOB-03-0113-00</v>
          </cell>
          <cell r="F18058" t="str">
            <v>8TV8847</v>
          </cell>
        </row>
        <row r="18059">
          <cell r="E18059" t="str">
            <v>PUR-03-0114-00</v>
          </cell>
          <cell r="F18059" t="str">
            <v>8TV8848</v>
          </cell>
        </row>
        <row r="18060">
          <cell r="E18060" t="str">
            <v>LUC-EZZ-690138-02</v>
          </cell>
          <cell r="F18060" t="str">
            <v>ST25091906</v>
          </cell>
        </row>
        <row r="18061">
          <cell r="E18061" t="str">
            <v>LUC-P11-J36100-03</v>
          </cell>
          <cell r="F18061" t="str">
            <v>HKHPG2509136</v>
          </cell>
        </row>
        <row r="18062">
          <cell r="E18062" t="str">
            <v>LUC-P11-K33800-04</v>
          </cell>
          <cell r="F18062" t="str">
            <v>HKHPG2509136</v>
          </cell>
        </row>
        <row r="18063">
          <cell r="E18063" t="str">
            <v>LUC-P11-K34000-03</v>
          </cell>
          <cell r="F18063" t="str">
            <v>HKHPG2509136</v>
          </cell>
        </row>
        <row r="18064">
          <cell r="E18064" t="str">
            <v>LUC-P11-J5R000-05</v>
          </cell>
          <cell r="F18064" t="str">
            <v>HKHPG2509136</v>
          </cell>
        </row>
        <row r="18065">
          <cell r="E18065" t="str">
            <v>LUC-P11-J5R000-05</v>
          </cell>
          <cell r="F18065" t="str">
            <v>HKHPG2509136</v>
          </cell>
        </row>
        <row r="18066">
          <cell r="E18066" t="str">
            <v>LUC-P11-J5R000-05</v>
          </cell>
          <cell r="F18066" t="str">
            <v>HKHPG2509136</v>
          </cell>
        </row>
        <row r="18067">
          <cell r="E18067" t="str">
            <v>LUC-E00-400025-01</v>
          </cell>
          <cell r="F18067">
            <v>6857997086</v>
          </cell>
        </row>
        <row r="18068">
          <cell r="E18068" t="str">
            <v>LUC-E00-420055-01</v>
          </cell>
          <cell r="F18068">
            <v>6857997086</v>
          </cell>
        </row>
        <row r="18069">
          <cell r="E18069" t="str">
            <v>LUC-E00-400067-314</v>
          </cell>
          <cell r="F18069">
            <v>6857997086</v>
          </cell>
        </row>
        <row r="18070">
          <cell r="E18070" t="str">
            <v>PUR-27-0028-00</v>
          </cell>
          <cell r="F18070">
            <v>6857997086</v>
          </cell>
        </row>
        <row r="18071">
          <cell r="E18071" t="str">
            <v>LUC-P11-JA3400-00</v>
          </cell>
          <cell r="F18071">
            <v>6857997086</v>
          </cell>
        </row>
        <row r="18072">
          <cell r="E18072" t="str">
            <v>HLOB-27-0028-00</v>
          </cell>
          <cell r="F18072">
            <v>6857997086</v>
          </cell>
        </row>
        <row r="18073">
          <cell r="E18073" t="str">
            <v>LUC-EZZ-400553-00</v>
          </cell>
          <cell r="F18073">
            <v>6857997086</v>
          </cell>
        </row>
        <row r="18074">
          <cell r="E18074" t="str">
            <v>119-000025.X.X</v>
          </cell>
          <cell r="F18074">
            <v>6857997086</v>
          </cell>
        </row>
        <row r="18075">
          <cell r="E18075" t="str">
            <v>LUC-E00-420058-00</v>
          </cell>
          <cell r="F18075">
            <v>6857997086</v>
          </cell>
        </row>
        <row r="18076">
          <cell r="E18076" t="str">
            <v>LUC-E00-420034-01</v>
          </cell>
          <cell r="F18076">
            <v>6857997086</v>
          </cell>
        </row>
        <row r="18077">
          <cell r="E18077" t="str">
            <v>LUC-E00-420027-05</v>
          </cell>
          <cell r="F18077">
            <v>6857997086</v>
          </cell>
        </row>
        <row r="18078">
          <cell r="E18078" t="str">
            <v>LUC-EZZ-440176-00</v>
          </cell>
          <cell r="F18078">
            <v>6857997086</v>
          </cell>
        </row>
        <row r="18079">
          <cell r="E18079" t="str">
            <v>AGI-600-40049-01</v>
          </cell>
          <cell r="F18079" t="str">
            <v>LSHHPH2508701</v>
          </cell>
        </row>
        <row r="18080">
          <cell r="E18080" t="str">
            <v>LUC-P21-K61100-02</v>
          </cell>
          <cell r="F18080" t="str">
            <v>LSHHPH2508726</v>
          </cell>
        </row>
        <row r="18081">
          <cell r="E18081" t="str">
            <v>LUC-P21-K61100-02</v>
          </cell>
          <cell r="F18081" t="str">
            <v>LSHHPH2508726</v>
          </cell>
        </row>
        <row r="18082">
          <cell r="E18082" t="str">
            <v>LUC-P21-K61100-02</v>
          </cell>
          <cell r="F18082" t="str">
            <v>LSHHPH2508726</v>
          </cell>
        </row>
        <row r="18083">
          <cell r="E18083" t="str">
            <v>LUC-P21-K61100-02</v>
          </cell>
          <cell r="F18083" t="str">
            <v>LSHHPH2508726</v>
          </cell>
        </row>
        <row r="18084">
          <cell r="E18084" t="str">
            <v>EF-45079903.X.X</v>
          </cell>
          <cell r="F18084">
            <v>461244039501</v>
          </cell>
        </row>
        <row r="18085">
          <cell r="E18085" t="str">
            <v>AIC-MP-00000240-000</v>
          </cell>
          <cell r="F18085" t="str">
            <v>WL-250903</v>
          </cell>
        </row>
        <row r="18086">
          <cell r="E18086" t="str">
            <v>AIC-124-002787</v>
          </cell>
          <cell r="F18086" t="str">
            <v>WL-250903</v>
          </cell>
        </row>
        <row r="18087">
          <cell r="E18087" t="str">
            <v>LUC-P11-K2BC00-01</v>
          </cell>
          <cell r="F18087" t="str">
            <v>001/09/25-UNIGEN</v>
          </cell>
        </row>
        <row r="18088">
          <cell r="E18088" t="str">
            <v>LUC-P11-K2BC00-01</v>
          </cell>
          <cell r="F18088" t="str">
            <v>001/09/25-UNIGEN</v>
          </cell>
        </row>
        <row r="18089">
          <cell r="E18089" t="str">
            <v>PUR-17-0157-00</v>
          </cell>
          <cell r="F18089" t="str">
            <v>YM-0908-2025-UNIGEN</v>
          </cell>
        </row>
        <row r="18090">
          <cell r="E18090" t="str">
            <v>PUR-31-0103-01</v>
          </cell>
          <cell r="F18090" t="str">
            <v>IPTH250912-UNI</v>
          </cell>
        </row>
        <row r="18091">
          <cell r="E18091" t="str">
            <v>HLOB-31-0103-01</v>
          </cell>
          <cell r="F18091" t="str">
            <v>IPTH250912-UNI</v>
          </cell>
        </row>
        <row r="18092">
          <cell r="E18092" t="str">
            <v>HLOB-31-0103-01</v>
          </cell>
          <cell r="F18092" t="str">
            <v>IPTH250912-UNI</v>
          </cell>
        </row>
        <row r="18093">
          <cell r="E18093" t="str">
            <v>LUC-161-001418</v>
          </cell>
          <cell r="F18093">
            <v>550</v>
          </cell>
        </row>
        <row r="18094">
          <cell r="E18094" t="str">
            <v>LUC-161-001419</v>
          </cell>
          <cell r="F18094">
            <v>550</v>
          </cell>
        </row>
        <row r="18095">
          <cell r="E18095" t="str">
            <v>EF-45105855.X.X</v>
          </cell>
          <cell r="F18095" t="str">
            <v>00000867</v>
          </cell>
        </row>
        <row r="18096">
          <cell r="E18096" t="str">
            <v>PUR-07-0212-00</v>
          </cell>
          <cell r="F18096" t="str">
            <v>00000867</v>
          </cell>
        </row>
        <row r="18097">
          <cell r="E18097" t="str">
            <v>HLOB-07-0212-00</v>
          </cell>
          <cell r="F18097" t="str">
            <v>00000867</v>
          </cell>
        </row>
        <row r="18098">
          <cell r="E18098" t="str">
            <v>HLOB-17-0283-02</v>
          </cell>
          <cell r="F18098" t="str">
            <v>VN20250917001</v>
          </cell>
        </row>
        <row r="18099">
          <cell r="E18099" t="str">
            <v>PUR-17-0283-02</v>
          </cell>
          <cell r="F18099" t="str">
            <v>VN20250923001</v>
          </cell>
        </row>
        <row r="18100">
          <cell r="E18100" t="str">
            <v>PUR-17-0312-03</v>
          </cell>
          <cell r="F18100" t="str">
            <v>VN20250923001</v>
          </cell>
        </row>
        <row r="18101">
          <cell r="E18101" t="str">
            <v>PUR-17-0156-00</v>
          </cell>
          <cell r="F18101" t="str">
            <v>INV-UNG-220925</v>
          </cell>
        </row>
        <row r="18102">
          <cell r="E18102" t="str">
            <v>PUR-17-0156-00</v>
          </cell>
          <cell r="F18102" t="str">
            <v>INV-UNG-220925</v>
          </cell>
        </row>
        <row r="18103">
          <cell r="E18103" t="str">
            <v>PUR-17-0130-00</v>
          </cell>
          <cell r="F18103" t="str">
            <v>INV-UNG-220925</v>
          </cell>
        </row>
        <row r="18104">
          <cell r="E18104" t="str">
            <v>PUR-17-0131-00</v>
          </cell>
          <cell r="F18104" t="str">
            <v>INV-UNG-220925</v>
          </cell>
        </row>
        <row r="18105">
          <cell r="E18105" t="str">
            <v>PUR-17-0149-00</v>
          </cell>
          <cell r="F18105" t="str">
            <v>INV-UNG-220925</v>
          </cell>
        </row>
        <row r="18106">
          <cell r="E18106" t="str">
            <v>PUR-17-0154-00</v>
          </cell>
          <cell r="F18106" t="str">
            <v>INV-UNG-220925</v>
          </cell>
        </row>
        <row r="18107">
          <cell r="E18107" t="str">
            <v>PUR-17-0155-00</v>
          </cell>
          <cell r="F18107" t="str">
            <v>INV-UNG-220925</v>
          </cell>
        </row>
        <row r="18108">
          <cell r="E18108" t="str">
            <v>HLOB-31-0103-01</v>
          </cell>
          <cell r="F18108" t="str">
            <v>IPTH250926-UNI</v>
          </cell>
        </row>
        <row r="18109">
          <cell r="E18109" t="str">
            <v>HLOB-31-0103-01</v>
          </cell>
          <cell r="F18109" t="str">
            <v>IPTH250926-UNI</v>
          </cell>
        </row>
        <row r="18110">
          <cell r="E18110" t="str">
            <v>PUR-10-0312-00</v>
          </cell>
          <cell r="F18110" t="str">
            <v>YFYJ-PUR 2509 TV</v>
          </cell>
        </row>
        <row r="18111">
          <cell r="E18111" t="str">
            <v>PUR-10-0313-00</v>
          </cell>
          <cell r="F18111" t="str">
            <v>YFYJ-PUR 2509 TV</v>
          </cell>
        </row>
        <row r="18112">
          <cell r="E18112" t="str">
            <v>PUR-10-0313-00</v>
          </cell>
          <cell r="F18112" t="str">
            <v>YFYJ-PUR 2509 TV</v>
          </cell>
        </row>
        <row r="18113">
          <cell r="E18113" t="str">
            <v>PUR-10-0312-00</v>
          </cell>
          <cell r="F18113" t="str">
            <v>YFYJ-PUR 2509 TV</v>
          </cell>
        </row>
        <row r="18114">
          <cell r="E18114" t="str">
            <v>PUR-10-0342-00</v>
          </cell>
          <cell r="F18114" t="str">
            <v>YFYJ-PUR 2509 PPROWAY</v>
          </cell>
        </row>
        <row r="18115">
          <cell r="E18115" t="str">
            <v>PUR-10-0334-00</v>
          </cell>
          <cell r="F18115" t="str">
            <v>YFYJ-PUR 2509 GS</v>
          </cell>
        </row>
        <row r="18116">
          <cell r="E18116" t="str">
            <v>PUR-10-0334-00</v>
          </cell>
          <cell r="F18116" t="str">
            <v>YFYJ-PUR 2509 GS</v>
          </cell>
        </row>
        <row r="18117">
          <cell r="E18117" t="str">
            <v>161-000291</v>
          </cell>
          <cell r="F18117" t="str">
            <v>UNIGEN250930</v>
          </cell>
        </row>
        <row r="18118">
          <cell r="E18118" t="str">
            <v>161-000290</v>
          </cell>
          <cell r="F18118" t="str">
            <v>UNIGEN250930</v>
          </cell>
        </row>
        <row r="18119">
          <cell r="E18119" t="str">
            <v>161-000306</v>
          </cell>
          <cell r="F18119" t="str">
            <v>UNIGEN250930</v>
          </cell>
        </row>
        <row r="18120">
          <cell r="E18120" t="str">
            <v>AGI-871-40004-01</v>
          </cell>
          <cell r="F18120" t="str">
            <v>UNIGEN250930</v>
          </cell>
        </row>
        <row r="18121">
          <cell r="E18121" t="str">
            <v>AGI-872-40023-01</v>
          </cell>
          <cell r="F18121" t="str">
            <v>UVH-08/25</v>
          </cell>
        </row>
        <row r="18122">
          <cell r="E18122" t="str">
            <v>AGI-872-40025-01</v>
          </cell>
          <cell r="F18122" t="str">
            <v>UVH-08/25</v>
          </cell>
        </row>
        <row r="18123">
          <cell r="E18123" t="str">
            <v>LUC-161-001414</v>
          </cell>
          <cell r="F18123" t="str">
            <v>UVH-08/25</v>
          </cell>
        </row>
        <row r="18124">
          <cell r="E18124" t="str">
            <v>LUC-161-001415</v>
          </cell>
          <cell r="F18124" t="str">
            <v>UVH-08/25</v>
          </cell>
        </row>
        <row r="18125">
          <cell r="E18125" t="str">
            <v>LUC-161-001416</v>
          </cell>
          <cell r="F18125" t="str">
            <v>UVH-08/25</v>
          </cell>
        </row>
        <row r="18126">
          <cell r="E18126" t="str">
            <v>LUC-161-001417</v>
          </cell>
          <cell r="F18126" t="str">
            <v>UVH-08/25</v>
          </cell>
        </row>
        <row r="18127">
          <cell r="E18127" t="str">
            <v>LUC-161-001420</v>
          </cell>
          <cell r="F18127" t="str">
            <v>UVH-08/25</v>
          </cell>
        </row>
        <row r="18128">
          <cell r="E18128" t="str">
            <v>LUC-161-001421</v>
          </cell>
          <cell r="F18128" t="str">
            <v>UVH-08/25</v>
          </cell>
        </row>
        <row r="18129">
          <cell r="E18129" t="str">
            <v>LUC-161-001422</v>
          </cell>
          <cell r="F18129" t="str">
            <v>UVH-08/25</v>
          </cell>
        </row>
        <row r="18130">
          <cell r="E18130" t="str">
            <v>LUC-161-001425</v>
          </cell>
          <cell r="F18130" t="str">
            <v>UVH-08/25</v>
          </cell>
        </row>
        <row r="18131">
          <cell r="E18131" t="str">
            <v>LUC-161-001426</v>
          </cell>
          <cell r="F18131" t="str">
            <v>UVH-08/25</v>
          </cell>
        </row>
        <row r="18132">
          <cell r="E18132" t="str">
            <v>LUC-161-001427</v>
          </cell>
          <cell r="F18132" t="str">
            <v>UVH-08/25</v>
          </cell>
        </row>
        <row r="18133">
          <cell r="E18133" t="str">
            <v>LUC-161-001428</v>
          </cell>
          <cell r="F18133" t="str">
            <v>UVH-08/25</v>
          </cell>
        </row>
        <row r="18134">
          <cell r="E18134" t="str">
            <v>LUC-161-001429</v>
          </cell>
          <cell r="F18134" t="str">
            <v>UVH-08/25</v>
          </cell>
        </row>
        <row r="18135">
          <cell r="E18135" t="str">
            <v>LUC-161-001430</v>
          </cell>
          <cell r="F18135" t="str">
            <v>UVH-08/25</v>
          </cell>
        </row>
        <row r="18136">
          <cell r="E18136" t="str">
            <v>LUC-161-001431</v>
          </cell>
          <cell r="F18136" t="str">
            <v>UVH-08/25</v>
          </cell>
        </row>
        <row r="18137">
          <cell r="E18137" t="str">
            <v>LUC-161-001432</v>
          </cell>
          <cell r="F18137" t="str">
            <v>UVH-08/25</v>
          </cell>
        </row>
        <row r="18138">
          <cell r="E18138" t="str">
            <v>LUC-161-001433</v>
          </cell>
          <cell r="F18138" t="str">
            <v>UVH-08/25</v>
          </cell>
        </row>
        <row r="18139">
          <cell r="E18139" t="str">
            <v>LUC-161-001434</v>
          </cell>
          <cell r="F18139" t="str">
            <v>UVH-08/25</v>
          </cell>
        </row>
        <row r="18140">
          <cell r="E18140" t="str">
            <v>LUC-161-001435</v>
          </cell>
          <cell r="F18140" t="str">
            <v>UVH-08/25</v>
          </cell>
        </row>
        <row r="18141">
          <cell r="E18141" t="str">
            <v>LUC-161-001436</v>
          </cell>
          <cell r="F18141" t="str">
            <v>UVH-08/25</v>
          </cell>
        </row>
        <row r="18142">
          <cell r="E18142" t="str">
            <v>LUC-161-001437</v>
          </cell>
          <cell r="F18142" t="str">
            <v>UVH-08/25</v>
          </cell>
        </row>
        <row r="18143">
          <cell r="E18143" t="str">
            <v>LUC-161-001438</v>
          </cell>
          <cell r="F18143" t="str">
            <v>UVH-08/25</v>
          </cell>
        </row>
        <row r="18144">
          <cell r="E18144" t="str">
            <v>LUC-161-001439</v>
          </cell>
          <cell r="F18144" t="str">
            <v>UVH-08/25</v>
          </cell>
        </row>
        <row r="18145">
          <cell r="E18145" t="str">
            <v>LUC-161-001440</v>
          </cell>
          <cell r="F18145" t="str">
            <v>UVH-08/25</v>
          </cell>
        </row>
        <row r="18146">
          <cell r="E18146" t="str">
            <v>LUC-161-001441</v>
          </cell>
          <cell r="F18146" t="str">
            <v>UVH-08/25</v>
          </cell>
        </row>
        <row r="18147">
          <cell r="E18147" t="str">
            <v>LUC-161-001474</v>
          </cell>
          <cell r="F18147" t="str">
            <v>UVH-08/25</v>
          </cell>
        </row>
        <row r="18148">
          <cell r="E18148" t="str">
            <v>LUC-161-001475</v>
          </cell>
          <cell r="F18148" t="str">
            <v>UVH-08/25</v>
          </cell>
        </row>
        <row r="18149">
          <cell r="E18149" t="str">
            <v>LUC-161-001485</v>
          </cell>
          <cell r="F18149" t="str">
            <v>UVH-08/25</v>
          </cell>
        </row>
        <row r="18150">
          <cell r="E18150" t="str">
            <v>LUC-161-001486</v>
          </cell>
          <cell r="F18150" t="str">
            <v>UVH-08/25</v>
          </cell>
        </row>
        <row r="18151">
          <cell r="E18151" t="str">
            <v>LUC-161-001487</v>
          </cell>
          <cell r="F18151" t="str">
            <v>UVH-08/25</v>
          </cell>
        </row>
        <row r="18152">
          <cell r="E18152" t="str">
            <v>LUC-161-001489</v>
          </cell>
          <cell r="F18152" t="str">
            <v>UVH-08/25</v>
          </cell>
        </row>
        <row r="18153">
          <cell r="E18153" t="str">
            <v>LUC-161-001490</v>
          </cell>
          <cell r="F18153" t="str">
            <v>UVH-08/25</v>
          </cell>
        </row>
        <row r="18154">
          <cell r="E18154" t="str">
            <v>LUC-161-001491</v>
          </cell>
          <cell r="F18154" t="str">
            <v>UVH-08/25</v>
          </cell>
        </row>
        <row r="18155">
          <cell r="E18155" t="str">
            <v>LUC-161-001492</v>
          </cell>
          <cell r="F18155" t="str">
            <v>UVH-08/25</v>
          </cell>
        </row>
        <row r="18156">
          <cell r="E18156" t="str">
            <v>LUC-161-001493</v>
          </cell>
          <cell r="F18156" t="str">
            <v>UVH-08/25</v>
          </cell>
        </row>
        <row r="18157">
          <cell r="E18157" t="str">
            <v>161-000022.X.X</v>
          </cell>
          <cell r="F18157" t="str">
            <v>00001428</v>
          </cell>
        </row>
        <row r="18158">
          <cell r="E18158" t="str">
            <v>186-000541.X.X</v>
          </cell>
          <cell r="F18158" t="str">
            <v>00001428</v>
          </cell>
        </row>
        <row r="18159">
          <cell r="E18159" t="str">
            <v>PUR-18-0409-00</v>
          </cell>
          <cell r="F18159" t="str">
            <v>00001428</v>
          </cell>
        </row>
        <row r="18160">
          <cell r="E18160" t="str">
            <v>PUR-18-0410-00</v>
          </cell>
          <cell r="F18160" t="str">
            <v>00001428</v>
          </cell>
        </row>
        <row r="18161">
          <cell r="E18161" t="str">
            <v>186-000047.X.X</v>
          </cell>
          <cell r="F18161" t="str">
            <v>00001428</v>
          </cell>
        </row>
        <row r="18162">
          <cell r="E18162" t="str">
            <v>186-000533.X.X</v>
          </cell>
          <cell r="F18162" t="str">
            <v>00001428</v>
          </cell>
        </row>
        <row r="18163">
          <cell r="E18163" t="str">
            <v>186-000311.X.X</v>
          </cell>
          <cell r="F18163" t="str">
            <v>00001428</v>
          </cell>
        </row>
        <row r="18164">
          <cell r="E18164" t="str">
            <v>AGI-899-40030-01</v>
          </cell>
          <cell r="F18164" t="str">
            <v>00001428</v>
          </cell>
        </row>
        <row r="18165">
          <cell r="E18165" t="str">
            <v>AGI-899-40043-01</v>
          </cell>
          <cell r="F18165" t="str">
            <v>00001428</v>
          </cell>
        </row>
        <row r="18166">
          <cell r="E18166" t="str">
            <v>PURET-18-0079-00</v>
          </cell>
          <cell r="F18166" t="str">
            <v>00001428</v>
          </cell>
        </row>
        <row r="18167">
          <cell r="E18167" t="str">
            <v>PUR-33-0018-00</v>
          </cell>
          <cell r="F18167" t="str">
            <v>00001428</v>
          </cell>
        </row>
        <row r="18168">
          <cell r="E18168" t="str">
            <v>PUR-18-0484-00</v>
          </cell>
          <cell r="F18168" t="str">
            <v>00001428</v>
          </cell>
        </row>
        <row r="18169">
          <cell r="E18169" t="str">
            <v>AGI-899-50004-01</v>
          </cell>
          <cell r="F18169" t="str">
            <v>00001428</v>
          </cell>
        </row>
        <row r="18170">
          <cell r="E18170" t="str">
            <v>LUC-LABEL-50X25</v>
          </cell>
          <cell r="F18170" t="str">
            <v>00001428</v>
          </cell>
        </row>
        <row r="18171">
          <cell r="E18171" t="str">
            <v>LUC-LABEL-13x13</v>
          </cell>
          <cell r="F18171" t="str">
            <v>00001428</v>
          </cell>
        </row>
        <row r="18172">
          <cell r="E18172" t="str">
            <v>LUC-LABEL-50X15</v>
          </cell>
          <cell r="F18172" t="str">
            <v>00001428</v>
          </cell>
        </row>
        <row r="18173">
          <cell r="E18173" t="str">
            <v>LUC-LABEL-13X6.5</v>
          </cell>
          <cell r="F18173" t="str">
            <v>00001428</v>
          </cell>
        </row>
        <row r="18174">
          <cell r="E18174" t="str">
            <v>LUC-LABEL-60X40-B</v>
          </cell>
          <cell r="F18174" t="str">
            <v>00001428</v>
          </cell>
        </row>
        <row r="18175">
          <cell r="E18175" t="str">
            <v>LUC-LABEL-60X40-V</v>
          </cell>
          <cell r="F18175" t="str">
            <v>00001428</v>
          </cell>
        </row>
        <row r="18176">
          <cell r="E18176" t="str">
            <v>LUC-186-001786</v>
          </cell>
          <cell r="F18176" t="str">
            <v>00001428</v>
          </cell>
        </row>
        <row r="18177">
          <cell r="E18177" t="str">
            <v>PUR-33-0025-00</v>
          </cell>
          <cell r="F18177" t="str">
            <v>00001428</v>
          </cell>
        </row>
        <row r="18178">
          <cell r="E18178" t="str">
            <v>186-001799</v>
          </cell>
          <cell r="F18178" t="str">
            <v>00001428</v>
          </cell>
        </row>
        <row r="18179">
          <cell r="E18179" t="str">
            <v>LUC-186-001796</v>
          </cell>
          <cell r="F18179" t="str">
            <v>00001428</v>
          </cell>
        </row>
        <row r="18180">
          <cell r="E18180" t="str">
            <v>HLOB-18-0079-00</v>
          </cell>
          <cell r="F18180" t="str">
            <v>00001428</v>
          </cell>
        </row>
        <row r="18181">
          <cell r="E18181" t="str">
            <v>HLOB-33-0012-00</v>
          </cell>
          <cell r="F18181" t="str">
            <v>00001428</v>
          </cell>
        </row>
        <row r="18182">
          <cell r="E18182" t="str">
            <v>HLOB-33-0004-00</v>
          </cell>
          <cell r="F18182" t="str">
            <v>00001428</v>
          </cell>
        </row>
        <row r="18183">
          <cell r="E18183" t="str">
            <v>186-001798</v>
          </cell>
          <cell r="F18183" t="str">
            <v>00001428</v>
          </cell>
        </row>
        <row r="18184">
          <cell r="E18184" t="str">
            <v>161-001523</v>
          </cell>
          <cell r="F18184" t="str">
            <v>PRO-2509</v>
          </cell>
        </row>
        <row r="18185">
          <cell r="E18185" t="str">
            <v>161-001523</v>
          </cell>
          <cell r="F18185" t="str">
            <v>PRO-2509</v>
          </cell>
        </row>
        <row r="18186">
          <cell r="E18186" t="str">
            <v>161-001523</v>
          </cell>
          <cell r="F18186" t="str">
            <v>PRO-2509</v>
          </cell>
        </row>
        <row r="18187">
          <cell r="E18187" t="str">
            <v>HLOB-13-0235-00</v>
          </cell>
          <cell r="F18187">
            <v>445170601730</v>
          </cell>
        </row>
        <row r="18188">
          <cell r="E18188" t="str">
            <v>LUC-E00-420071-00</v>
          </cell>
          <cell r="F18188">
            <v>445170601730</v>
          </cell>
        </row>
        <row r="18189">
          <cell r="E18189" t="str">
            <v>HLOB-12-0407-00</v>
          </cell>
          <cell r="F18189">
            <v>445170601730</v>
          </cell>
        </row>
        <row r="18190">
          <cell r="E18190" t="str">
            <v>LUC-EZZ-400264-00</v>
          </cell>
          <cell r="F18190">
            <v>445170601730</v>
          </cell>
        </row>
        <row r="18191">
          <cell r="E18191" t="str">
            <v>LUC-E00-400010-050</v>
          </cell>
          <cell r="F18191">
            <v>445170601730</v>
          </cell>
        </row>
        <row r="18192">
          <cell r="E18192" t="str">
            <v>LUC-E00-400010-050</v>
          </cell>
          <cell r="F18192">
            <v>445170601730</v>
          </cell>
        </row>
        <row r="18193">
          <cell r="E18193" t="str">
            <v>LUC-EZZ-400206-00</v>
          </cell>
          <cell r="F18193">
            <v>445170601730</v>
          </cell>
        </row>
        <row r="18194">
          <cell r="E18194" t="str">
            <v>LUC-EZZ-400206-00</v>
          </cell>
          <cell r="F18194">
            <v>445170601730</v>
          </cell>
        </row>
        <row r="18195">
          <cell r="E18195" t="str">
            <v>LUC-E00-400035-06</v>
          </cell>
          <cell r="F18195">
            <v>445170601730</v>
          </cell>
        </row>
        <row r="18196">
          <cell r="E18196" t="str">
            <v>LUC-E00-450084-00</v>
          </cell>
          <cell r="F18196">
            <v>445170601730</v>
          </cell>
        </row>
        <row r="18197">
          <cell r="E18197" t="str">
            <v>LUC-E00-470030-00</v>
          </cell>
          <cell r="F18197">
            <v>445170601730</v>
          </cell>
        </row>
        <row r="18198">
          <cell r="E18198" t="str">
            <v>HLOB-09-0213-00</v>
          </cell>
          <cell r="F18198">
            <v>445170601730</v>
          </cell>
        </row>
        <row r="18199">
          <cell r="E18199" t="str">
            <v>PUR-09-0213-00</v>
          </cell>
          <cell r="F18199">
            <v>445170601730</v>
          </cell>
        </row>
        <row r="18200">
          <cell r="E18200" t="str">
            <v>HLOB-09-0213-00</v>
          </cell>
          <cell r="F18200">
            <v>445170601730</v>
          </cell>
        </row>
        <row r="18201">
          <cell r="E18201" t="str">
            <v>HLOB-09-0213-00</v>
          </cell>
          <cell r="F18201">
            <v>445170601730</v>
          </cell>
        </row>
        <row r="18202">
          <cell r="E18202" t="str">
            <v>PUR-09-0213-00</v>
          </cell>
          <cell r="F18202">
            <v>445170601730</v>
          </cell>
        </row>
        <row r="18203">
          <cell r="E18203" t="str">
            <v>PUR-09-0213-00</v>
          </cell>
          <cell r="F18203">
            <v>445170601730</v>
          </cell>
        </row>
        <row r="18204">
          <cell r="E18204" t="str">
            <v>LUC-E00-470081-00</v>
          </cell>
          <cell r="F18204">
            <v>445170601730</v>
          </cell>
        </row>
        <row r="18205">
          <cell r="E18205" t="str">
            <v>LUC-E00-470070-00</v>
          </cell>
          <cell r="F18205">
            <v>445170601730</v>
          </cell>
        </row>
        <row r="18206">
          <cell r="E18206" t="str">
            <v>LUC-E00-470127-00</v>
          </cell>
          <cell r="F18206">
            <v>445170601730</v>
          </cell>
        </row>
        <row r="18207">
          <cell r="E18207" t="str">
            <v>LUC-EZZ-470480-00</v>
          </cell>
          <cell r="F18207">
            <v>445170601730</v>
          </cell>
        </row>
        <row r="18208">
          <cell r="E18208" t="str">
            <v>LUC-E00-470070-00</v>
          </cell>
          <cell r="F18208">
            <v>445170601730</v>
          </cell>
        </row>
        <row r="18209">
          <cell r="E18209" t="str">
            <v>LUC-EZZ-470308-00</v>
          </cell>
          <cell r="F18209">
            <v>445170606066</v>
          </cell>
        </row>
        <row r="18210">
          <cell r="E18210" t="str">
            <v>LUC-EZZ-490316-02</v>
          </cell>
          <cell r="F18210" t="str">
            <v>SEBL25090115</v>
          </cell>
        </row>
        <row r="18211">
          <cell r="E18211" t="str">
            <v>LUC-EZZ-490306-00</v>
          </cell>
          <cell r="F18211" t="str">
            <v>SEBL25090115</v>
          </cell>
        </row>
        <row r="18212">
          <cell r="E18212" t="str">
            <v>LUC-EZZ-490071-06</v>
          </cell>
          <cell r="F18212" t="str">
            <v>SEBL25090115</v>
          </cell>
        </row>
        <row r="18213">
          <cell r="E18213" t="str">
            <v>LUC-EZZ-490225-05</v>
          </cell>
          <cell r="F18213" t="str">
            <v>SEBL25090115</v>
          </cell>
        </row>
        <row r="18214">
          <cell r="E18214" t="str">
            <v>LUC-EZZ-490121-06</v>
          </cell>
          <cell r="F18214" t="str">
            <v>SEBL25090115</v>
          </cell>
        </row>
        <row r="18215">
          <cell r="E18215" t="str">
            <v>LUC-EZZ-490216-01</v>
          </cell>
          <cell r="F18215" t="str">
            <v>SEBL25090115</v>
          </cell>
        </row>
        <row r="18216">
          <cell r="E18216" t="str">
            <v>LUC-EZZ-490216-01</v>
          </cell>
          <cell r="F18216" t="str">
            <v>SEBL25090115</v>
          </cell>
        </row>
        <row r="18217">
          <cell r="E18217" t="str">
            <v>LUC-EZZ-490216-01</v>
          </cell>
          <cell r="F18217" t="str">
            <v>SEBL25090115</v>
          </cell>
        </row>
        <row r="18218">
          <cell r="E18218" t="str">
            <v>LUC-EZZ-490307-01</v>
          </cell>
          <cell r="F18218" t="str">
            <v>SEBL25090115</v>
          </cell>
        </row>
        <row r="18219">
          <cell r="E18219" t="str">
            <v>LUC-EZZ-490121-06</v>
          </cell>
          <cell r="F18219" t="str">
            <v>SEBL25090115</v>
          </cell>
        </row>
        <row r="18220">
          <cell r="E18220" t="str">
            <v>LUC-EZZ-490121-06</v>
          </cell>
          <cell r="F18220" t="str">
            <v>SEBL25090115</v>
          </cell>
        </row>
        <row r="18221">
          <cell r="E18221" t="str">
            <v>LUC-EZZ-490200-07</v>
          </cell>
          <cell r="F18221" t="str">
            <v>SEBL25090115</v>
          </cell>
        </row>
        <row r="18222">
          <cell r="E18222" t="str">
            <v>LUC-EZZ-490201-07</v>
          </cell>
          <cell r="F18222" t="str">
            <v>SEBL25090115</v>
          </cell>
        </row>
        <row r="18223">
          <cell r="E18223" t="str">
            <v>LUC-EZZ-490307-01</v>
          </cell>
          <cell r="F18223" t="str">
            <v>SEBL25090115</v>
          </cell>
        </row>
        <row r="18224">
          <cell r="E18224" t="str">
            <v>LUC-EZZ-490201-07</v>
          </cell>
          <cell r="F18224" t="str">
            <v>SEBL25090115</v>
          </cell>
        </row>
        <row r="18225">
          <cell r="E18225" t="str">
            <v>AGI-510-40123-01</v>
          </cell>
          <cell r="F18225" t="str">
            <v>HKHPG2509164</v>
          </cell>
        </row>
        <row r="18226">
          <cell r="E18226" t="str">
            <v>AGI-510-40123-01</v>
          </cell>
          <cell r="F18226" t="str">
            <v>HKHPG2509164</v>
          </cell>
        </row>
        <row r="18227">
          <cell r="E18227" t="str">
            <v>AGI-510-40123-01</v>
          </cell>
          <cell r="F18227" t="str">
            <v>HKHPG2509164</v>
          </cell>
        </row>
        <row r="18228">
          <cell r="E18228" t="str">
            <v>AGI-510-40123-01</v>
          </cell>
          <cell r="F18228" t="str">
            <v>HKHPG2509164</v>
          </cell>
        </row>
        <row r="18229">
          <cell r="E18229" t="str">
            <v>PUR-05-0031-00</v>
          </cell>
          <cell r="F18229">
            <v>1810988712</v>
          </cell>
        </row>
        <row r="18230">
          <cell r="E18230" t="str">
            <v>LUC-E00-480015-01</v>
          </cell>
          <cell r="F18230">
            <v>119209638026</v>
          </cell>
        </row>
        <row r="18231">
          <cell r="E18231" t="str">
            <v>LUC-E00-470432-00</v>
          </cell>
          <cell r="F18231">
            <v>119209638026</v>
          </cell>
        </row>
        <row r="18232">
          <cell r="E18232" t="str">
            <v>LUC-EZZ-440192-00</v>
          </cell>
          <cell r="F18232">
            <v>119209638026</v>
          </cell>
        </row>
        <row r="18233">
          <cell r="E18233" t="str">
            <v>LUC-E00-450149-01</v>
          </cell>
          <cell r="F18233">
            <v>119209638026</v>
          </cell>
        </row>
        <row r="18234">
          <cell r="E18234" t="str">
            <v>LUC-E00-450149-01</v>
          </cell>
          <cell r="F18234">
            <v>119209638026</v>
          </cell>
        </row>
        <row r="18235">
          <cell r="E18235" t="str">
            <v>LUC-E00-470432-00</v>
          </cell>
          <cell r="F18235">
            <v>119209638026</v>
          </cell>
        </row>
        <row r="18236">
          <cell r="E18236" t="str">
            <v>LUC-E00-470432-00</v>
          </cell>
          <cell r="F18236">
            <v>119209638026</v>
          </cell>
        </row>
        <row r="18237">
          <cell r="E18237" t="str">
            <v>122-001250</v>
          </cell>
          <cell r="F18237">
            <v>119209638026</v>
          </cell>
        </row>
        <row r="18238">
          <cell r="E18238" t="str">
            <v>PUR-09-0427-00</v>
          </cell>
          <cell r="F18238">
            <v>119209638026</v>
          </cell>
        </row>
        <row r="18239">
          <cell r="E18239" t="str">
            <v>PUR-09-0427-00</v>
          </cell>
          <cell r="F18239">
            <v>119209638026</v>
          </cell>
        </row>
        <row r="18240">
          <cell r="E18240" t="str">
            <v>LUC-EZZ-450236-00</v>
          </cell>
          <cell r="F18240">
            <v>119209638026</v>
          </cell>
        </row>
        <row r="18241">
          <cell r="E18241" t="str">
            <v>LUC-EZZ-450177-00</v>
          </cell>
          <cell r="F18241">
            <v>119209638026</v>
          </cell>
        </row>
        <row r="18242">
          <cell r="E18242" t="str">
            <v>LUC-EZZ-450177-00</v>
          </cell>
          <cell r="F18242">
            <v>119209638026</v>
          </cell>
        </row>
        <row r="18243">
          <cell r="E18243" t="str">
            <v>PUR-24-0028-00</v>
          </cell>
          <cell r="F18243">
            <v>119209638026</v>
          </cell>
        </row>
        <row r="18244">
          <cell r="E18244" t="str">
            <v>PUR-09-0427-00</v>
          </cell>
          <cell r="F18244">
            <v>119209638026</v>
          </cell>
        </row>
        <row r="18245">
          <cell r="E18245" t="str">
            <v>LUC-EZZ-450112-00</v>
          </cell>
          <cell r="F18245">
            <v>119209638026</v>
          </cell>
        </row>
        <row r="18246">
          <cell r="E18246" t="str">
            <v>103-000229.X.X</v>
          </cell>
          <cell r="F18246">
            <v>441659523471</v>
          </cell>
        </row>
        <row r="18247">
          <cell r="E18247" t="str">
            <v>103-000229.X.X</v>
          </cell>
          <cell r="F18247">
            <v>441659523471</v>
          </cell>
        </row>
        <row r="18248">
          <cell r="E18248" t="str">
            <v>HLOB-07-0315-00</v>
          </cell>
          <cell r="F18248">
            <v>477859589379</v>
          </cell>
        </row>
        <row r="18249">
          <cell r="E18249" t="str">
            <v>HLOB-07-0315-00</v>
          </cell>
          <cell r="F18249">
            <v>477859589379</v>
          </cell>
        </row>
        <row r="18250">
          <cell r="E18250" t="str">
            <v>LUC-EZZ-400205-00</v>
          </cell>
          <cell r="F18250">
            <v>483042013405</v>
          </cell>
        </row>
        <row r="18251">
          <cell r="E18251" t="str">
            <v>EF-45077523.X.X</v>
          </cell>
          <cell r="F18251">
            <v>884691314640</v>
          </cell>
        </row>
        <row r="18252">
          <cell r="E18252" t="str">
            <v>LUC-E00-420027-05</v>
          </cell>
          <cell r="F18252">
            <v>884691314640</v>
          </cell>
        </row>
        <row r="18253">
          <cell r="E18253" t="str">
            <v>LUC-EZZ-470421-00</v>
          </cell>
          <cell r="F18253">
            <v>393680912784</v>
          </cell>
        </row>
        <row r="18254">
          <cell r="E18254" t="str">
            <v>LUC-EZZ-470421-00</v>
          </cell>
          <cell r="F18254">
            <v>393680912784</v>
          </cell>
        </row>
        <row r="18255">
          <cell r="E18255" t="str">
            <v>LUC-EZZ-470421-00</v>
          </cell>
          <cell r="F18255">
            <v>393680912784</v>
          </cell>
        </row>
        <row r="18256">
          <cell r="E18256" t="str">
            <v>LUC-EZZ-470211-00</v>
          </cell>
          <cell r="F18256">
            <v>393680912784</v>
          </cell>
        </row>
        <row r="18257">
          <cell r="E18257" t="str">
            <v>LUC-E00-400074-00</v>
          </cell>
          <cell r="F18257">
            <v>619345531685</v>
          </cell>
        </row>
        <row r="18258">
          <cell r="E18258" t="str">
            <v>LUC-E00-400074-00</v>
          </cell>
          <cell r="F18258">
            <v>619345531685</v>
          </cell>
        </row>
        <row r="18259">
          <cell r="E18259" t="str">
            <v>LUC-EZZ-440200-00</v>
          </cell>
          <cell r="F18259">
            <v>619345531685</v>
          </cell>
        </row>
        <row r="18260">
          <cell r="E18260" t="str">
            <v>LUC-E00-440003-01</v>
          </cell>
          <cell r="F18260">
            <v>619345531685</v>
          </cell>
        </row>
        <row r="18261">
          <cell r="E18261" t="str">
            <v>LUC-E00-440044-00</v>
          </cell>
          <cell r="F18261">
            <v>619345531685</v>
          </cell>
        </row>
        <row r="18262">
          <cell r="E18262" t="str">
            <v>LUC-E00-440045-00</v>
          </cell>
          <cell r="F18262">
            <v>619345531685</v>
          </cell>
        </row>
        <row r="18263">
          <cell r="E18263" t="str">
            <v>LUC-EZZ-440162-00</v>
          </cell>
          <cell r="F18263">
            <v>619345531685</v>
          </cell>
        </row>
        <row r="18264">
          <cell r="E18264" t="str">
            <v>LUC-EZZ-440072-00</v>
          </cell>
          <cell r="F18264">
            <v>619345531685</v>
          </cell>
        </row>
        <row r="18265">
          <cell r="E18265" t="str">
            <v>LUC-E00-440013-01</v>
          </cell>
          <cell r="F18265">
            <v>619345531685</v>
          </cell>
        </row>
        <row r="18266">
          <cell r="E18266" t="str">
            <v>LUC-EZZ-470811-00</v>
          </cell>
          <cell r="F18266">
            <v>619345531685</v>
          </cell>
        </row>
        <row r="18267">
          <cell r="E18267" t="str">
            <v>LUC-E00-470033-00</v>
          </cell>
          <cell r="F18267">
            <v>619345531685</v>
          </cell>
        </row>
        <row r="18268">
          <cell r="E18268" t="str">
            <v>LUC-E00-470081-00</v>
          </cell>
          <cell r="F18268">
            <v>619345531685</v>
          </cell>
        </row>
        <row r="18269">
          <cell r="E18269" t="str">
            <v>LUC-EZZ-470091-00</v>
          </cell>
          <cell r="F18269">
            <v>619345531685</v>
          </cell>
        </row>
        <row r="18270">
          <cell r="E18270" t="str">
            <v>LUC-EZZ-510638-00</v>
          </cell>
          <cell r="F18270">
            <v>619345531685</v>
          </cell>
        </row>
        <row r="18271">
          <cell r="E18271" t="str">
            <v>LUC-EZZ-690145-00</v>
          </cell>
          <cell r="F18271">
            <v>619345531685</v>
          </cell>
        </row>
        <row r="18272">
          <cell r="E18272" t="str">
            <v>LUC-EZZ-690145-00</v>
          </cell>
          <cell r="F18272">
            <v>619345531685</v>
          </cell>
        </row>
        <row r="18273">
          <cell r="E18273" t="str">
            <v>LUC-EZZ-690241-00</v>
          </cell>
          <cell r="F18273">
            <v>619345531685</v>
          </cell>
        </row>
        <row r="18274">
          <cell r="E18274" t="str">
            <v>EF-45037753.X.X</v>
          </cell>
          <cell r="F18274">
            <v>884687593313</v>
          </cell>
        </row>
        <row r="18275">
          <cell r="E18275" t="str">
            <v>PUR-13-0159-00</v>
          </cell>
          <cell r="F18275">
            <v>884687593313</v>
          </cell>
        </row>
        <row r="18276">
          <cell r="E18276" t="str">
            <v>PUR-12-0343-00</v>
          </cell>
          <cell r="F18276">
            <v>884687593313</v>
          </cell>
        </row>
        <row r="18277">
          <cell r="E18277" t="str">
            <v>AGI-530-40004-01</v>
          </cell>
          <cell r="F18277">
            <v>884687593313</v>
          </cell>
        </row>
        <row r="18278">
          <cell r="E18278" t="str">
            <v>122-001191</v>
          </cell>
          <cell r="F18278">
            <v>884687593313</v>
          </cell>
        </row>
        <row r="18279">
          <cell r="E18279" t="str">
            <v>122-001191</v>
          </cell>
          <cell r="F18279">
            <v>884687593313</v>
          </cell>
        </row>
        <row r="18280">
          <cell r="E18280" t="str">
            <v>122-001191</v>
          </cell>
          <cell r="F18280">
            <v>884687593313</v>
          </cell>
        </row>
        <row r="18281">
          <cell r="E18281" t="str">
            <v>121-000585.X.X</v>
          </cell>
          <cell r="F18281">
            <v>884687593313</v>
          </cell>
        </row>
        <row r="18282">
          <cell r="E18282" t="str">
            <v>LUC-E00-420037-02</v>
          </cell>
          <cell r="F18282">
            <v>619345531755</v>
          </cell>
        </row>
        <row r="18283">
          <cell r="E18283" t="str">
            <v>LUC-E00-420027-04</v>
          </cell>
          <cell r="F18283">
            <v>619345531755</v>
          </cell>
        </row>
        <row r="18284">
          <cell r="E18284" t="str">
            <v>LUC-EZZ-420095-00</v>
          </cell>
          <cell r="F18284">
            <v>619345531755</v>
          </cell>
        </row>
        <row r="18285">
          <cell r="E18285" t="str">
            <v>LUC-EZZ-421534-00</v>
          </cell>
          <cell r="F18285">
            <v>619345531755</v>
          </cell>
        </row>
        <row r="18286">
          <cell r="E18286" t="str">
            <v>LUC-EZZ-420289-00</v>
          </cell>
          <cell r="F18286">
            <v>619345531755</v>
          </cell>
        </row>
        <row r="18287">
          <cell r="E18287" t="str">
            <v>LUC-EZZ-420695-01</v>
          </cell>
          <cell r="F18287">
            <v>619345531755</v>
          </cell>
        </row>
        <row r="18288">
          <cell r="E18288" t="str">
            <v>LUC-E00-420027-05</v>
          </cell>
          <cell r="F18288">
            <v>619345531755</v>
          </cell>
        </row>
        <row r="18289">
          <cell r="E18289" t="str">
            <v>LUC-EZZ-420159-00</v>
          </cell>
          <cell r="F18289">
            <v>619345531755</v>
          </cell>
        </row>
        <row r="18290">
          <cell r="E18290" t="str">
            <v>LUC-EZZ-421047-00</v>
          </cell>
          <cell r="F18290">
            <v>619345531755</v>
          </cell>
        </row>
        <row r="18291">
          <cell r="E18291" t="str">
            <v>LUC-EZZ-420665-00</v>
          </cell>
          <cell r="F18291">
            <v>619345531755</v>
          </cell>
        </row>
        <row r="18292">
          <cell r="E18292" t="str">
            <v>LUC-EZZ-420143-00</v>
          </cell>
          <cell r="F18292">
            <v>619345531755</v>
          </cell>
        </row>
        <row r="18293">
          <cell r="E18293" t="str">
            <v>LUC-EZZ-401043-00</v>
          </cell>
          <cell r="F18293">
            <v>619345531755</v>
          </cell>
        </row>
        <row r="18294">
          <cell r="E18294" t="str">
            <v>LUC-EZZ-440206-00</v>
          </cell>
          <cell r="F18294">
            <v>619345531755</v>
          </cell>
        </row>
        <row r="18295">
          <cell r="E18295" t="str">
            <v>LUC-EZZ-470136-00</v>
          </cell>
          <cell r="F18295">
            <v>619345531755</v>
          </cell>
        </row>
        <row r="18296">
          <cell r="E18296" t="str">
            <v>LUC-EZZ-510007-00</v>
          </cell>
          <cell r="F18296">
            <v>619345531755</v>
          </cell>
        </row>
        <row r="18297">
          <cell r="E18297" t="str">
            <v>LUC-EZZ-450620-00</v>
          </cell>
          <cell r="F18297">
            <v>619345531755</v>
          </cell>
        </row>
        <row r="18298">
          <cell r="E18298" t="str">
            <v>LUC-EZZ-450214-00</v>
          </cell>
          <cell r="F18298">
            <v>619345531755</v>
          </cell>
        </row>
        <row r="18299">
          <cell r="E18299" t="str">
            <v>LUC-EZZ-450213-00</v>
          </cell>
          <cell r="F18299">
            <v>619345531755</v>
          </cell>
        </row>
        <row r="18300">
          <cell r="E18300" t="str">
            <v>LUC-E00-480006-00</v>
          </cell>
          <cell r="F18300">
            <v>619345531755</v>
          </cell>
        </row>
        <row r="18301">
          <cell r="E18301" t="str">
            <v>LUC-E00-450054-00</v>
          </cell>
          <cell r="F18301">
            <v>619345531755</v>
          </cell>
        </row>
        <row r="18302">
          <cell r="E18302" t="str">
            <v>123-000467</v>
          </cell>
          <cell r="F18302">
            <v>884658886357</v>
          </cell>
        </row>
        <row r="18303">
          <cell r="E18303" t="str">
            <v>141-002797</v>
          </cell>
          <cell r="F18303">
            <v>884741410896</v>
          </cell>
        </row>
        <row r="18304">
          <cell r="E18304" t="str">
            <v>EF-45155479</v>
          </cell>
          <cell r="F18304">
            <v>884744445948</v>
          </cell>
        </row>
        <row r="18305">
          <cell r="E18305" t="str">
            <v>LUC-E00-470094-00</v>
          </cell>
          <cell r="F18305">
            <v>393654525087</v>
          </cell>
        </row>
        <row r="18306">
          <cell r="E18306" t="str">
            <v>LUC-EZZ-470091-00</v>
          </cell>
          <cell r="F18306">
            <v>884743134453</v>
          </cell>
        </row>
        <row r="18307">
          <cell r="E18307" t="str">
            <v>LUC-EZZ-470358-00</v>
          </cell>
          <cell r="F18307">
            <v>884743134453</v>
          </cell>
        </row>
        <row r="18308">
          <cell r="E18308" t="str">
            <v>AIC-MP-IC006862-S02</v>
          </cell>
          <cell r="F18308">
            <v>884743134453</v>
          </cell>
        </row>
        <row r="18309">
          <cell r="E18309" t="str">
            <v>LUC-E00-420045-00</v>
          </cell>
          <cell r="F18309">
            <v>884743134453</v>
          </cell>
        </row>
        <row r="18310">
          <cell r="E18310" t="str">
            <v>LUC-EZZ-440037-00</v>
          </cell>
          <cell r="F18310">
            <v>884743134453</v>
          </cell>
        </row>
        <row r="18311">
          <cell r="E18311" t="str">
            <v>PURET-12-0029-00</v>
          </cell>
          <cell r="F18311">
            <v>884743134453</v>
          </cell>
        </row>
        <row r="18312">
          <cell r="E18312" t="str">
            <v>LUC-EZZ-420049-00</v>
          </cell>
          <cell r="F18312">
            <v>884743134453</v>
          </cell>
        </row>
        <row r="18313">
          <cell r="E18313" t="str">
            <v>PURET-13-0009-00</v>
          </cell>
          <cell r="F18313">
            <v>884743134453</v>
          </cell>
        </row>
        <row r="18314">
          <cell r="E18314" t="str">
            <v>PUR-13-0238-00</v>
          </cell>
          <cell r="F18314">
            <v>884743134453</v>
          </cell>
        </row>
        <row r="18315">
          <cell r="E18315" t="str">
            <v>HLOB-13-0238-00</v>
          </cell>
          <cell r="F18315">
            <v>884743134453</v>
          </cell>
        </row>
        <row r="18316">
          <cell r="E18316" t="str">
            <v>PUR-13-0238-00</v>
          </cell>
          <cell r="F18316">
            <v>884743134453</v>
          </cell>
        </row>
        <row r="18317">
          <cell r="E18317" t="str">
            <v>HLOB-13-0022-00</v>
          </cell>
          <cell r="F18317">
            <v>884743134453</v>
          </cell>
        </row>
        <row r="18318">
          <cell r="E18318" t="str">
            <v>HLOB-13-0238-00</v>
          </cell>
          <cell r="F18318">
            <v>884743134453</v>
          </cell>
        </row>
        <row r="18319">
          <cell r="E18319" t="str">
            <v>PUR-13-0155-00</v>
          </cell>
          <cell r="F18319">
            <v>884743134453</v>
          </cell>
        </row>
        <row r="18320">
          <cell r="E18320" t="str">
            <v>EF-45092354.X.X</v>
          </cell>
          <cell r="F18320">
            <v>472187581517</v>
          </cell>
        </row>
        <row r="18321">
          <cell r="E18321" t="str">
            <v>AIC-132-001526</v>
          </cell>
          <cell r="F18321">
            <v>884742825896</v>
          </cell>
        </row>
        <row r="18322">
          <cell r="E18322" t="str">
            <v>LUC-E00-690029-00</v>
          </cell>
          <cell r="F18322">
            <v>884653977320</v>
          </cell>
        </row>
        <row r="18323">
          <cell r="E18323" t="str">
            <v>LUC-E00-690029-00</v>
          </cell>
          <cell r="F18323">
            <v>884653977320</v>
          </cell>
        </row>
        <row r="18324">
          <cell r="E18324" t="str">
            <v>LUC-EZZ-470297-00</v>
          </cell>
          <cell r="F18324">
            <v>393656475975</v>
          </cell>
        </row>
        <row r="18325">
          <cell r="E18325" t="str">
            <v>LUC-E00-470085-00</v>
          </cell>
          <cell r="F18325">
            <v>393656475975</v>
          </cell>
        </row>
        <row r="18326">
          <cell r="E18326" t="str">
            <v>LUC-E00-470071-01</v>
          </cell>
          <cell r="F18326">
            <v>393656475975</v>
          </cell>
        </row>
        <row r="18327">
          <cell r="E18327" t="str">
            <v>LUC-EZZ-470305-00</v>
          </cell>
          <cell r="F18327">
            <v>393656475975</v>
          </cell>
        </row>
        <row r="18328">
          <cell r="E18328" t="str">
            <v>LUC-E00-690003-00</v>
          </cell>
          <cell r="F18328">
            <v>409298806930</v>
          </cell>
        </row>
        <row r="18329">
          <cell r="E18329" t="str">
            <v>LUC-E00-400022-000</v>
          </cell>
          <cell r="F18329">
            <v>409298806930</v>
          </cell>
        </row>
        <row r="18330">
          <cell r="E18330" t="str">
            <v>LUC-EZZ-420175-00</v>
          </cell>
          <cell r="F18330">
            <v>409298806930</v>
          </cell>
        </row>
        <row r="18331">
          <cell r="E18331" t="str">
            <v>LUC-EZZ-420188-00</v>
          </cell>
          <cell r="F18331">
            <v>409298806930</v>
          </cell>
        </row>
        <row r="18332">
          <cell r="E18332" t="str">
            <v>LUC-E00-420047-02</v>
          </cell>
          <cell r="F18332">
            <v>409298806930</v>
          </cell>
        </row>
        <row r="18333">
          <cell r="E18333" t="str">
            <v>LUC-E00-420047-02</v>
          </cell>
          <cell r="F18333">
            <v>409298806930</v>
          </cell>
        </row>
        <row r="18334">
          <cell r="E18334" t="str">
            <v>PUR-12-0470-00</v>
          </cell>
          <cell r="F18334">
            <v>409298806930</v>
          </cell>
        </row>
        <row r="18335">
          <cell r="E18335" t="str">
            <v>LUC-EZZ-440073-00</v>
          </cell>
          <cell r="F18335">
            <v>409298806930</v>
          </cell>
        </row>
        <row r="18336">
          <cell r="E18336" t="str">
            <v>LUC-E00-690003-00</v>
          </cell>
          <cell r="F18336">
            <v>409298806930</v>
          </cell>
        </row>
        <row r="18337">
          <cell r="E18337" t="str">
            <v>LUC-E00-440032-01</v>
          </cell>
          <cell r="F18337">
            <v>409298806930</v>
          </cell>
        </row>
        <row r="18338">
          <cell r="E18338" t="str">
            <v>LUC-E00-420055-05</v>
          </cell>
          <cell r="F18338">
            <v>409298806930</v>
          </cell>
        </row>
        <row r="18339">
          <cell r="E18339" t="str">
            <v>LUC-E00-420060-03</v>
          </cell>
          <cell r="F18339">
            <v>409298806930</v>
          </cell>
        </row>
        <row r="18340">
          <cell r="E18340" t="str">
            <v>LUC-E00-420060-03</v>
          </cell>
          <cell r="F18340">
            <v>409298806930</v>
          </cell>
        </row>
        <row r="18341">
          <cell r="E18341" t="str">
            <v>LUC-E00-460042-00</v>
          </cell>
          <cell r="F18341">
            <v>409298806930</v>
          </cell>
        </row>
        <row r="18342">
          <cell r="E18342" t="str">
            <v>LUC-E00-420235-00</v>
          </cell>
          <cell r="F18342">
            <v>409298806930</v>
          </cell>
        </row>
        <row r="18343">
          <cell r="E18343" t="str">
            <v>LUC-E00-400267-00</v>
          </cell>
          <cell r="F18343">
            <v>409298806930</v>
          </cell>
        </row>
        <row r="18344">
          <cell r="E18344" t="str">
            <v>LUC-E00-440144-00</v>
          </cell>
          <cell r="F18344">
            <v>409298806930</v>
          </cell>
        </row>
        <row r="18345">
          <cell r="E18345" t="str">
            <v>LUC-E00-440144-00</v>
          </cell>
          <cell r="F18345">
            <v>409298806930</v>
          </cell>
        </row>
        <row r="18346">
          <cell r="E18346" t="str">
            <v>LUC-E00-440144-00</v>
          </cell>
          <cell r="F18346">
            <v>409298806930</v>
          </cell>
        </row>
        <row r="18347">
          <cell r="E18347" t="str">
            <v>LUC-E00-420049-00</v>
          </cell>
          <cell r="F18347">
            <v>409298806930</v>
          </cell>
        </row>
        <row r="18348">
          <cell r="E18348" t="str">
            <v>LUC-E00-420049-00</v>
          </cell>
          <cell r="F18348">
            <v>409298806930</v>
          </cell>
        </row>
        <row r="18349">
          <cell r="E18349" t="str">
            <v>LUC-E00-420049-01</v>
          </cell>
          <cell r="F18349">
            <v>409298806930</v>
          </cell>
        </row>
        <row r="18350">
          <cell r="E18350" t="str">
            <v>LUC-EZZ-450236-00</v>
          </cell>
          <cell r="F18350">
            <v>409298806930</v>
          </cell>
        </row>
        <row r="18351">
          <cell r="E18351" t="str">
            <v>LUC-EZZ-450236-00</v>
          </cell>
          <cell r="F18351">
            <v>409298806930</v>
          </cell>
        </row>
        <row r="18352">
          <cell r="E18352" t="str">
            <v>LUC-E00-420033-00</v>
          </cell>
          <cell r="F18352">
            <v>409298806930</v>
          </cell>
        </row>
        <row r="18353">
          <cell r="E18353" t="str">
            <v>LUC-E00-420002-09</v>
          </cell>
          <cell r="F18353">
            <v>409298806930</v>
          </cell>
        </row>
        <row r="18354">
          <cell r="E18354" t="str">
            <v>LUC-E00-420047-02</v>
          </cell>
          <cell r="F18354">
            <v>409298806930</v>
          </cell>
        </row>
        <row r="18355">
          <cell r="E18355" t="str">
            <v>LUC-E00-420047-02</v>
          </cell>
          <cell r="F18355">
            <v>409298806930</v>
          </cell>
        </row>
        <row r="18356">
          <cell r="E18356" t="str">
            <v>LUC-E00-420014-03</v>
          </cell>
          <cell r="F18356">
            <v>409298806930</v>
          </cell>
        </row>
        <row r="18357">
          <cell r="E18357" t="str">
            <v>LUC-E00-420014-03</v>
          </cell>
          <cell r="F18357">
            <v>409298806930</v>
          </cell>
        </row>
        <row r="18358">
          <cell r="E18358" t="str">
            <v>LUC-E00-420002-03</v>
          </cell>
          <cell r="F18358">
            <v>409298806930</v>
          </cell>
        </row>
        <row r="18359">
          <cell r="E18359" t="str">
            <v>LUC-E00-420003-00</v>
          </cell>
          <cell r="F18359">
            <v>409298806930</v>
          </cell>
        </row>
        <row r="18360">
          <cell r="E18360" t="str">
            <v>LUC-E00-440011-00</v>
          </cell>
          <cell r="F18360">
            <v>409298806930</v>
          </cell>
        </row>
        <row r="18361">
          <cell r="E18361" t="str">
            <v>LUC-E00-440012-00</v>
          </cell>
          <cell r="F18361">
            <v>409298806930</v>
          </cell>
        </row>
        <row r="18362">
          <cell r="E18362" t="str">
            <v>LUC-E00-440012-00</v>
          </cell>
          <cell r="F18362">
            <v>409298806930</v>
          </cell>
        </row>
        <row r="18363">
          <cell r="E18363" t="str">
            <v>LUC-E00-420016-00</v>
          </cell>
          <cell r="F18363">
            <v>409298806930</v>
          </cell>
        </row>
        <row r="18364">
          <cell r="E18364" t="str">
            <v>LUC-E00-400334-00</v>
          </cell>
          <cell r="F18364">
            <v>409298806930</v>
          </cell>
        </row>
        <row r="18365">
          <cell r="E18365" t="str">
            <v>LUC-E00-440032-01</v>
          </cell>
          <cell r="F18365">
            <v>409298806930</v>
          </cell>
        </row>
        <row r="18366">
          <cell r="E18366" t="str">
            <v>LUC-EZZ-400426-00</v>
          </cell>
          <cell r="F18366">
            <v>409298806930</v>
          </cell>
        </row>
        <row r="18367">
          <cell r="E18367" t="str">
            <v>LUC-EZZ-420173-00</v>
          </cell>
          <cell r="F18367">
            <v>409298806930</v>
          </cell>
        </row>
        <row r="18368">
          <cell r="E18368" t="str">
            <v>LUC-E00-420047-02</v>
          </cell>
          <cell r="F18368">
            <v>409298806930</v>
          </cell>
        </row>
        <row r="18369">
          <cell r="E18369" t="str">
            <v>LUC-E00-440031-00</v>
          </cell>
          <cell r="F18369">
            <v>409298806930</v>
          </cell>
        </row>
        <row r="18370">
          <cell r="E18370" t="str">
            <v>LUC-E00-440031-00</v>
          </cell>
          <cell r="F18370">
            <v>409298806930</v>
          </cell>
        </row>
        <row r="18371">
          <cell r="E18371" t="str">
            <v>LUC-EZZ-400454-00</v>
          </cell>
          <cell r="F18371">
            <v>409298806930</v>
          </cell>
        </row>
        <row r="18372">
          <cell r="E18372" t="str">
            <v>LUC-EZZ-400454-00</v>
          </cell>
          <cell r="F18372">
            <v>409298806930</v>
          </cell>
        </row>
        <row r="18373">
          <cell r="E18373" t="str">
            <v>LUC-EZZ-400454-00</v>
          </cell>
          <cell r="F18373">
            <v>409298806930</v>
          </cell>
        </row>
        <row r="18374">
          <cell r="E18374" t="str">
            <v>LUC-E00-420002-09</v>
          </cell>
          <cell r="F18374">
            <v>409298806930</v>
          </cell>
        </row>
        <row r="18375">
          <cell r="E18375" t="str">
            <v>LUC-E00-420002-07</v>
          </cell>
          <cell r="F18375">
            <v>409298806930</v>
          </cell>
        </row>
        <row r="18376">
          <cell r="E18376" t="str">
            <v>LUC-E00-440011-00</v>
          </cell>
          <cell r="F18376">
            <v>409298806930</v>
          </cell>
        </row>
        <row r="18377">
          <cell r="E18377" t="str">
            <v>LUC-EZZ-420098-00</v>
          </cell>
          <cell r="F18377">
            <v>409298806930</v>
          </cell>
        </row>
        <row r="18378">
          <cell r="E18378" t="str">
            <v>LUC-EZZ-420095-00</v>
          </cell>
          <cell r="F18378">
            <v>409298806930</v>
          </cell>
        </row>
        <row r="18379">
          <cell r="E18379" t="str">
            <v>LUC-E00-420002-07</v>
          </cell>
          <cell r="F18379">
            <v>409298806930</v>
          </cell>
        </row>
        <row r="18380">
          <cell r="E18380" t="str">
            <v>LUC-E00-420070-00</v>
          </cell>
          <cell r="F18380">
            <v>409298806930</v>
          </cell>
        </row>
        <row r="18381">
          <cell r="E18381" t="str">
            <v>LUC-E00-440024-00</v>
          </cell>
          <cell r="F18381">
            <v>409298806930</v>
          </cell>
        </row>
        <row r="18382">
          <cell r="E18382" t="str">
            <v>LUC-E00-440024-00</v>
          </cell>
          <cell r="F18382">
            <v>409298806930</v>
          </cell>
        </row>
        <row r="18383">
          <cell r="E18383" t="str">
            <v>LUC-E00-440024-00</v>
          </cell>
          <cell r="F18383">
            <v>409298806930</v>
          </cell>
        </row>
        <row r="18384">
          <cell r="E18384" t="str">
            <v>LUC-E00-420016-00</v>
          </cell>
          <cell r="F18384">
            <v>409298806930</v>
          </cell>
        </row>
        <row r="18385">
          <cell r="E18385" t="str">
            <v>LUC-E00-420016-00</v>
          </cell>
          <cell r="F18385">
            <v>409298806930</v>
          </cell>
        </row>
        <row r="18386">
          <cell r="E18386" t="str">
            <v>LUC-E00-440012-00</v>
          </cell>
          <cell r="F18386">
            <v>409298806930</v>
          </cell>
        </row>
        <row r="18387">
          <cell r="E18387" t="str">
            <v>LUC-E00-440030-00</v>
          </cell>
          <cell r="F18387">
            <v>409298806930</v>
          </cell>
        </row>
        <row r="18388">
          <cell r="E18388" t="str">
            <v>LUC-E00-440030-00</v>
          </cell>
          <cell r="F18388">
            <v>409298806930</v>
          </cell>
        </row>
        <row r="18389">
          <cell r="E18389" t="str">
            <v>LUC-EZZ-420143-00</v>
          </cell>
          <cell r="F18389">
            <v>409298806930</v>
          </cell>
        </row>
        <row r="18390">
          <cell r="E18390" t="str">
            <v>LUC-EZZ-420159-00</v>
          </cell>
          <cell r="F18390">
            <v>409298806930</v>
          </cell>
        </row>
        <row r="18391">
          <cell r="E18391" t="str">
            <v>LUC-EZZ-420085-00</v>
          </cell>
          <cell r="F18391">
            <v>409298806930</v>
          </cell>
        </row>
        <row r="18392">
          <cell r="E18392" t="str">
            <v>LUC-EZZ-400475-00</v>
          </cell>
          <cell r="F18392">
            <v>409298806930</v>
          </cell>
        </row>
        <row r="18393">
          <cell r="E18393" t="str">
            <v>LUC-EZZ-420289-00</v>
          </cell>
          <cell r="F18393">
            <v>409298806930</v>
          </cell>
        </row>
        <row r="18394">
          <cell r="E18394" t="str">
            <v>LUC-EZZ-420357-00</v>
          </cell>
          <cell r="F18394">
            <v>409298806930</v>
          </cell>
        </row>
        <row r="18395">
          <cell r="E18395" t="str">
            <v>LUC-EZZ-421362-00</v>
          </cell>
          <cell r="F18395">
            <v>409298806930</v>
          </cell>
        </row>
        <row r="18396">
          <cell r="E18396" t="str">
            <v>LUC-EZZ-420210-00</v>
          </cell>
          <cell r="F18396">
            <v>409298806930</v>
          </cell>
        </row>
        <row r="18397">
          <cell r="E18397" t="str">
            <v>LUC-EZZ-420392-00</v>
          </cell>
          <cell r="F18397">
            <v>409298806930</v>
          </cell>
        </row>
        <row r="18398">
          <cell r="E18398" t="str">
            <v>LUC-EZZ-400260-00</v>
          </cell>
          <cell r="F18398">
            <v>409298806930</v>
          </cell>
        </row>
        <row r="18399">
          <cell r="E18399" t="str">
            <v>HLOB-12-0467-00</v>
          </cell>
          <cell r="F18399">
            <v>409298806930</v>
          </cell>
        </row>
        <row r="18400">
          <cell r="E18400" t="str">
            <v>LUC-EZZ-420084-00</v>
          </cell>
          <cell r="F18400">
            <v>409298806930</v>
          </cell>
        </row>
        <row r="18401">
          <cell r="E18401" t="str">
            <v>LUC-EZZ-441599-00</v>
          </cell>
          <cell r="F18401">
            <v>409298806930</v>
          </cell>
        </row>
        <row r="18402">
          <cell r="E18402" t="str">
            <v>LUC-EZZ-440867-00</v>
          </cell>
          <cell r="F18402">
            <v>409298806930</v>
          </cell>
        </row>
        <row r="18403">
          <cell r="E18403" t="str">
            <v>AGI-500-40216-01</v>
          </cell>
          <cell r="F18403">
            <v>409298806930</v>
          </cell>
        </row>
        <row r="18404">
          <cell r="E18404" t="str">
            <v>AGI-500-40216-01</v>
          </cell>
          <cell r="F18404">
            <v>409298806930</v>
          </cell>
        </row>
        <row r="18405">
          <cell r="E18405" t="str">
            <v>LUC-EZZ-420403-00</v>
          </cell>
          <cell r="F18405">
            <v>409298806930</v>
          </cell>
        </row>
        <row r="18406">
          <cell r="E18406" t="str">
            <v>EF-45046948.X.X</v>
          </cell>
          <cell r="F18406">
            <v>409298806930</v>
          </cell>
        </row>
        <row r="18407">
          <cell r="E18407" t="str">
            <v>LUC-EZZ-400246-00</v>
          </cell>
          <cell r="F18407">
            <v>409298806930</v>
          </cell>
        </row>
        <row r="18408">
          <cell r="E18408" t="str">
            <v>LUC-E00-420034-01</v>
          </cell>
          <cell r="F18408">
            <v>409298806930</v>
          </cell>
        </row>
        <row r="18409">
          <cell r="E18409" t="str">
            <v>LUC-EZZ-420058-00</v>
          </cell>
          <cell r="F18409">
            <v>409298806930</v>
          </cell>
        </row>
        <row r="18410">
          <cell r="E18410" t="str">
            <v>LUC-EZZ-400426-00</v>
          </cell>
          <cell r="F18410">
            <v>409298806930</v>
          </cell>
        </row>
        <row r="18411">
          <cell r="E18411" t="str">
            <v>LUC-E00-420055-00</v>
          </cell>
          <cell r="F18411">
            <v>409298806930</v>
          </cell>
        </row>
        <row r="18412">
          <cell r="E18412" t="str">
            <v>LUC-E00-400010-004</v>
          </cell>
          <cell r="F18412">
            <v>409298806930</v>
          </cell>
        </row>
        <row r="18413">
          <cell r="E18413" t="str">
            <v>LUC-E00-400011-000</v>
          </cell>
          <cell r="F18413">
            <v>409298806930</v>
          </cell>
        </row>
        <row r="18414">
          <cell r="E18414" t="str">
            <v>AIC-MP-00006982-000</v>
          </cell>
          <cell r="F18414">
            <v>884692045578</v>
          </cell>
        </row>
        <row r="18415">
          <cell r="E18415" t="str">
            <v>AGI-450-40126-01</v>
          </cell>
          <cell r="F18415">
            <v>884692045578</v>
          </cell>
        </row>
        <row r="18416">
          <cell r="E18416" t="str">
            <v>LUC-E00-420056-02</v>
          </cell>
          <cell r="F18416">
            <v>884692045578</v>
          </cell>
        </row>
        <row r="18417">
          <cell r="E18417" t="str">
            <v>LUC-EZZ-470138-00</v>
          </cell>
          <cell r="F18417">
            <v>884692045578</v>
          </cell>
        </row>
        <row r="18418">
          <cell r="E18418" t="str">
            <v>LUC-E00-470519-00</v>
          </cell>
          <cell r="F18418">
            <v>884692045578</v>
          </cell>
        </row>
        <row r="18419">
          <cell r="E18419" t="str">
            <v>LUC-E00-470124-00</v>
          </cell>
          <cell r="F18419">
            <v>884692045578</v>
          </cell>
        </row>
        <row r="18420">
          <cell r="E18420" t="str">
            <v>LUC-EZZ-510030-00</v>
          </cell>
          <cell r="F18420">
            <v>884692045578</v>
          </cell>
        </row>
        <row r="18421">
          <cell r="E18421" t="str">
            <v>LUC-EZZ-420211-00</v>
          </cell>
          <cell r="F18421">
            <v>884692045578</v>
          </cell>
        </row>
        <row r="18422">
          <cell r="E18422" t="str">
            <v>LUC-E00-400011-005</v>
          </cell>
          <cell r="F18422">
            <v>884692045578</v>
          </cell>
        </row>
        <row r="18423">
          <cell r="E18423" t="str">
            <v>LUC-E00-400059-140</v>
          </cell>
          <cell r="F18423">
            <v>884692045578</v>
          </cell>
        </row>
        <row r="18424">
          <cell r="E18424" t="str">
            <v>LUC-EZZ-400011-00</v>
          </cell>
          <cell r="F18424">
            <v>884692045578</v>
          </cell>
        </row>
        <row r="18425">
          <cell r="E18425" t="str">
            <v>LUC-E00-420011-04</v>
          </cell>
          <cell r="F18425">
            <v>884692045578</v>
          </cell>
        </row>
        <row r="18426">
          <cell r="E18426" t="str">
            <v>LUC-E00-400011-005</v>
          </cell>
          <cell r="F18426">
            <v>884692045578</v>
          </cell>
        </row>
        <row r="18427">
          <cell r="E18427" t="str">
            <v>LUC-E00-470036-00</v>
          </cell>
          <cell r="F18427">
            <v>884692045578</v>
          </cell>
        </row>
        <row r="18428">
          <cell r="E18428" t="str">
            <v>LUC-EZZ-400011-00</v>
          </cell>
          <cell r="F18428">
            <v>884692045578</v>
          </cell>
        </row>
        <row r="18429">
          <cell r="E18429" t="str">
            <v>EF-45076928.X.X</v>
          </cell>
          <cell r="F18429">
            <v>884692045578</v>
          </cell>
        </row>
        <row r="18430">
          <cell r="E18430" t="str">
            <v>LUC-E00-510046-00</v>
          </cell>
          <cell r="F18430">
            <v>884692045578</v>
          </cell>
        </row>
        <row r="18431">
          <cell r="E18431" t="str">
            <v>LUC-E00-400059-004</v>
          </cell>
          <cell r="F18431">
            <v>884692045578</v>
          </cell>
        </row>
        <row r="18432">
          <cell r="E18432" t="str">
            <v>LUC-E00-400011-005</v>
          </cell>
          <cell r="F18432">
            <v>884692045578</v>
          </cell>
        </row>
        <row r="18433">
          <cell r="E18433" t="str">
            <v>LUC-E00-510034-00</v>
          </cell>
          <cell r="F18433">
            <v>884692045578</v>
          </cell>
        </row>
        <row r="18434">
          <cell r="E18434" t="str">
            <v>LUC-EZZ-400011-00</v>
          </cell>
          <cell r="F18434">
            <v>884692045578</v>
          </cell>
        </row>
        <row r="18435">
          <cell r="E18435" t="str">
            <v>LUC-E00-690001-00</v>
          </cell>
          <cell r="F18435">
            <v>884692045578</v>
          </cell>
        </row>
        <row r="18436">
          <cell r="E18436" t="str">
            <v>LUC-E00-400011-004</v>
          </cell>
          <cell r="F18436">
            <v>480947508749</v>
          </cell>
        </row>
        <row r="18437">
          <cell r="E18437" t="str">
            <v>LUC-EZZ-400579-00</v>
          </cell>
          <cell r="F18437">
            <v>483042011001</v>
          </cell>
        </row>
        <row r="18438">
          <cell r="E18438" t="str">
            <v>EF-45043246.X.X</v>
          </cell>
          <cell r="F18438">
            <v>741993785455</v>
          </cell>
        </row>
        <row r="18439">
          <cell r="E18439" t="str">
            <v>PUR-24-0031-00</v>
          </cell>
          <cell r="F18439">
            <v>884743596967</v>
          </cell>
        </row>
        <row r="18440">
          <cell r="E18440" t="str">
            <v>HLOB-24-0031-00</v>
          </cell>
          <cell r="F18440">
            <v>884743596967</v>
          </cell>
        </row>
        <row r="18441">
          <cell r="E18441" t="str">
            <v>HLOB-24-0031-00</v>
          </cell>
          <cell r="F18441">
            <v>884743596967</v>
          </cell>
        </row>
        <row r="18442">
          <cell r="E18442" t="str">
            <v>PUR-24-0031-00</v>
          </cell>
          <cell r="F18442">
            <v>884743596967</v>
          </cell>
        </row>
        <row r="18443">
          <cell r="E18443" t="str">
            <v>EF-45227728</v>
          </cell>
          <cell r="F18443">
            <v>461596527448</v>
          </cell>
        </row>
        <row r="18444">
          <cell r="E18444" t="str">
            <v>LUC-E00-450047-00</v>
          </cell>
          <cell r="F18444">
            <v>419341585938</v>
          </cell>
        </row>
        <row r="18445">
          <cell r="E18445" t="str">
            <v>LUC-EZZ-690244-00</v>
          </cell>
          <cell r="F18445">
            <v>393575741577</v>
          </cell>
        </row>
        <row r="18446">
          <cell r="E18446" t="str">
            <v>130-000425.X.X</v>
          </cell>
          <cell r="F18446">
            <v>470186558748</v>
          </cell>
        </row>
        <row r="18447">
          <cell r="E18447" t="str">
            <v>LUC-E00-400010-005</v>
          </cell>
          <cell r="F18447">
            <v>679486521925</v>
          </cell>
        </row>
        <row r="18448">
          <cell r="E18448" t="str">
            <v>EF-45041260</v>
          </cell>
          <cell r="F18448">
            <v>884814811263</v>
          </cell>
        </row>
        <row r="18449">
          <cell r="E18449" t="str">
            <v>LUC-EZZ-401250-00</v>
          </cell>
          <cell r="F18449">
            <v>884814811263</v>
          </cell>
        </row>
        <row r="18450">
          <cell r="E18450" t="str">
            <v>LUC-EZZ-401250-00</v>
          </cell>
          <cell r="F18450">
            <v>884814811263</v>
          </cell>
        </row>
        <row r="18451">
          <cell r="E18451" t="str">
            <v>LUC-EZZ-400196-00</v>
          </cell>
          <cell r="F18451">
            <v>884814811263</v>
          </cell>
        </row>
        <row r="18452">
          <cell r="E18452" t="str">
            <v>LUC-EZZ-510102-00</v>
          </cell>
          <cell r="F18452">
            <v>884814811263</v>
          </cell>
        </row>
        <row r="18453">
          <cell r="E18453" t="str">
            <v>EF-45037786</v>
          </cell>
          <cell r="F18453">
            <v>884814811263</v>
          </cell>
        </row>
        <row r="18454">
          <cell r="E18454" t="str">
            <v>121-000585.X.X</v>
          </cell>
          <cell r="F18454">
            <v>884814811263</v>
          </cell>
        </row>
        <row r="18455">
          <cell r="E18455" t="str">
            <v>PUR-07-0332-00</v>
          </cell>
          <cell r="F18455">
            <v>884741603580</v>
          </cell>
        </row>
        <row r="18456">
          <cell r="E18456" t="str">
            <v>PUR-07-0333-00</v>
          </cell>
          <cell r="F18456">
            <v>884741603580</v>
          </cell>
        </row>
        <row r="18457">
          <cell r="E18457" t="str">
            <v>PUR-07-0333-00</v>
          </cell>
          <cell r="F18457">
            <v>884741603580</v>
          </cell>
        </row>
        <row r="18458">
          <cell r="E18458" t="str">
            <v>EF-45016917</v>
          </cell>
          <cell r="F18458">
            <v>393676890636</v>
          </cell>
        </row>
        <row r="18459">
          <cell r="E18459" t="str">
            <v>AIC-MP-XS002198-S01</v>
          </cell>
          <cell r="F18459">
            <v>476615828319</v>
          </cell>
        </row>
        <row r="18460">
          <cell r="E18460" t="str">
            <v>LUC-E00-470071-01</v>
          </cell>
          <cell r="F18460">
            <v>393668711954</v>
          </cell>
        </row>
        <row r="18461">
          <cell r="E18461" t="str">
            <v>LUC-E00-420072-00</v>
          </cell>
          <cell r="F18461">
            <v>473879362042</v>
          </cell>
        </row>
        <row r="18462">
          <cell r="E18462" t="str">
            <v>LUC-EZZ-440021-00</v>
          </cell>
          <cell r="F18462">
            <v>473879362042</v>
          </cell>
        </row>
        <row r="18463">
          <cell r="E18463" t="str">
            <v>LUC-E00-510019-00</v>
          </cell>
          <cell r="F18463">
            <v>473879362042</v>
          </cell>
        </row>
        <row r="18464">
          <cell r="E18464" t="str">
            <v>LUC-E00-420072-00</v>
          </cell>
          <cell r="F18464">
            <v>473879362042</v>
          </cell>
        </row>
        <row r="18465">
          <cell r="E18465" t="str">
            <v>LUC-E00-690010-02</v>
          </cell>
          <cell r="F18465">
            <v>393617697533</v>
          </cell>
        </row>
        <row r="18466">
          <cell r="E18466" t="str">
            <v>LUC-E00-470017-00</v>
          </cell>
          <cell r="F18466">
            <v>393778298706</v>
          </cell>
        </row>
        <row r="18467">
          <cell r="E18467" t="str">
            <v>LUC-E00-470069-00</v>
          </cell>
          <cell r="F18467">
            <v>393778298706</v>
          </cell>
        </row>
        <row r="18468">
          <cell r="E18468" t="str">
            <v>LUC-E00-470069-00</v>
          </cell>
          <cell r="F18468">
            <v>393778298706</v>
          </cell>
        </row>
        <row r="18469">
          <cell r="E18469" t="str">
            <v>LUC-P21-K33600-02</v>
          </cell>
          <cell r="F18469" t="str">
            <v>ITISHAHPG2509147</v>
          </cell>
        </row>
        <row r="18470">
          <cell r="E18470" t="str">
            <v>LUC-P21-K33200-02</v>
          </cell>
          <cell r="F18470" t="str">
            <v>ITISHAHPG2509147</v>
          </cell>
        </row>
        <row r="18471">
          <cell r="E18471" t="str">
            <v>LUC-P21-K33600-02</v>
          </cell>
          <cell r="F18471" t="str">
            <v>ITISHAHPG2509147</v>
          </cell>
        </row>
        <row r="18472">
          <cell r="E18472" t="str">
            <v>LUC-P21-K34500-02</v>
          </cell>
          <cell r="F18472" t="str">
            <v>ITISHAHPG2509147</v>
          </cell>
        </row>
        <row r="18473">
          <cell r="E18473" t="str">
            <v>LUC-P21-K34600-02</v>
          </cell>
          <cell r="F18473" t="str">
            <v>ITISHAHPG2509147</v>
          </cell>
        </row>
        <row r="18474">
          <cell r="E18474" t="str">
            <v>LUC-P21-K61200-02</v>
          </cell>
          <cell r="F18474" t="str">
            <v>ITISHAHPG2509147</v>
          </cell>
        </row>
        <row r="18475">
          <cell r="E18475" t="str">
            <v>LUC-E00-470110-00</v>
          </cell>
          <cell r="F18475">
            <v>393732680004</v>
          </cell>
        </row>
        <row r="18476">
          <cell r="E18476" t="str">
            <v>LUC-E00-690033-00</v>
          </cell>
          <cell r="F18476" t="str">
            <v>LSHHPH2509057</v>
          </cell>
        </row>
        <row r="18477">
          <cell r="E18477" t="str">
            <v>LUC-E00-690033-01</v>
          </cell>
          <cell r="F18477" t="str">
            <v>LSHHPH2509057</v>
          </cell>
        </row>
        <row r="18478">
          <cell r="E18478" t="str">
            <v>LUC-E00-690033-02</v>
          </cell>
          <cell r="F18478" t="str">
            <v>LSHHPH2509057</v>
          </cell>
        </row>
        <row r="18479">
          <cell r="E18479" t="str">
            <v>LUC-E00-690033-02</v>
          </cell>
          <cell r="F18479" t="str">
            <v>LSHHPH2509057</v>
          </cell>
        </row>
        <row r="18480">
          <cell r="E18480" t="str">
            <v>LUC-E00-690033-03</v>
          </cell>
          <cell r="F18480" t="str">
            <v>LSHHPH2509057</v>
          </cell>
        </row>
        <row r="18481">
          <cell r="E18481" t="str">
            <v>LUC-E00-690033-03</v>
          </cell>
          <cell r="F18481" t="str">
            <v>LSHHPH2509057</v>
          </cell>
        </row>
        <row r="18482">
          <cell r="E18482" t="str">
            <v>LUC-P21-K33200-02</v>
          </cell>
          <cell r="F18482" t="str">
            <v>HWHPH2503050</v>
          </cell>
        </row>
        <row r="18483">
          <cell r="E18483" t="str">
            <v>AGI-188-011449</v>
          </cell>
          <cell r="F18483" t="str">
            <v>HWHPH2503058</v>
          </cell>
        </row>
        <row r="18484">
          <cell r="E18484" t="str">
            <v>AGI-188-011448</v>
          </cell>
          <cell r="F18484" t="str">
            <v>HWHPH2503058</v>
          </cell>
        </row>
        <row r="18485">
          <cell r="E18485" t="str">
            <v>AGI-188-011449</v>
          </cell>
          <cell r="F18485" t="str">
            <v>HWHPH2503058</v>
          </cell>
        </row>
        <row r="18486">
          <cell r="E18486" t="str">
            <v>AGI-188-011448</v>
          </cell>
          <cell r="F18486" t="str">
            <v>HWHPH2503058</v>
          </cell>
        </row>
        <row r="18487">
          <cell r="E18487" t="str">
            <v>AGI-188-011449</v>
          </cell>
          <cell r="F18487" t="str">
            <v>HWHPH2503058</v>
          </cell>
        </row>
        <row r="18488">
          <cell r="E18488" t="str">
            <v>AGI-188-011448</v>
          </cell>
          <cell r="F18488" t="str">
            <v>HWHPH2503058</v>
          </cell>
        </row>
        <row r="18489">
          <cell r="E18489" t="str">
            <v>AGI-188-011449</v>
          </cell>
          <cell r="F18489" t="str">
            <v>HWHPH2503058</v>
          </cell>
        </row>
        <row r="18490">
          <cell r="E18490" t="str">
            <v>AGI-188-011448</v>
          </cell>
          <cell r="F18490" t="str">
            <v>HWHPH2503058</v>
          </cell>
        </row>
        <row r="18491">
          <cell r="E18491" t="str">
            <v>AGI-188-011449</v>
          </cell>
          <cell r="F18491" t="str">
            <v>HWHPH2503058</v>
          </cell>
        </row>
        <row r="18492">
          <cell r="E18492" t="str">
            <v>AGI-188-011448</v>
          </cell>
          <cell r="F18492" t="str">
            <v>HWHPH2503058</v>
          </cell>
        </row>
        <row r="18493">
          <cell r="E18493" t="str">
            <v>AGI-188-011449</v>
          </cell>
          <cell r="F18493" t="str">
            <v>HWHPH2503058</v>
          </cell>
        </row>
        <row r="18494">
          <cell r="E18494" t="str">
            <v>AGI-188-011448</v>
          </cell>
          <cell r="F18494" t="str">
            <v>HWHPH2503058</v>
          </cell>
        </row>
        <row r="18495">
          <cell r="E18495" t="str">
            <v>LUC-E00-420086-00</v>
          </cell>
          <cell r="F18495">
            <v>9056570320</v>
          </cell>
        </row>
        <row r="18496">
          <cell r="E18496" t="str">
            <v>LUC-E00-420086-00</v>
          </cell>
          <cell r="F18496">
            <v>9056570320</v>
          </cell>
        </row>
        <row r="18497">
          <cell r="E18497" t="str">
            <v>LUC-EZZ-420536-00</v>
          </cell>
          <cell r="F18497">
            <v>9056570320</v>
          </cell>
        </row>
        <row r="18498">
          <cell r="E18498" t="str">
            <v>PUR-27-0028-00</v>
          </cell>
          <cell r="F18498">
            <v>9056570320</v>
          </cell>
        </row>
        <row r="18499">
          <cell r="E18499" t="str">
            <v>LUC-EZZ-421298-00</v>
          </cell>
          <cell r="F18499">
            <v>9056570320</v>
          </cell>
        </row>
        <row r="18500">
          <cell r="E18500" t="str">
            <v>LUC-EZZ-421298-00</v>
          </cell>
          <cell r="F18500">
            <v>9056570320</v>
          </cell>
        </row>
        <row r="18501">
          <cell r="E18501" t="str">
            <v>LUC-E00-400192-00</v>
          </cell>
          <cell r="F18501">
            <v>9056570320</v>
          </cell>
        </row>
        <row r="18502">
          <cell r="E18502" t="str">
            <v>LUC-EZZ-421298-00</v>
          </cell>
          <cell r="F18502">
            <v>9056570320</v>
          </cell>
        </row>
        <row r="18503">
          <cell r="E18503" t="str">
            <v>LUC-EZZ-421298-00</v>
          </cell>
          <cell r="F18503">
            <v>9056570320</v>
          </cell>
        </row>
        <row r="18504">
          <cell r="E18504" t="str">
            <v>EF-45223815</v>
          </cell>
          <cell r="F18504">
            <v>9056570320</v>
          </cell>
        </row>
        <row r="18505">
          <cell r="E18505" t="str">
            <v>LUC-E00-450044-00</v>
          </cell>
          <cell r="F18505">
            <v>9056570320</v>
          </cell>
        </row>
        <row r="18506">
          <cell r="E18506" t="str">
            <v>122-000646.X.X</v>
          </cell>
          <cell r="F18506">
            <v>9056570320</v>
          </cell>
        </row>
        <row r="18507">
          <cell r="E18507" t="str">
            <v>LUC-EZZ-420136-00</v>
          </cell>
          <cell r="F18507">
            <v>9056570320</v>
          </cell>
        </row>
        <row r="18508">
          <cell r="E18508" t="str">
            <v>LUC-E00-420049-01</v>
          </cell>
          <cell r="F18508">
            <v>9056570320</v>
          </cell>
        </row>
        <row r="18509">
          <cell r="E18509" t="str">
            <v>LUC-EZZ-420493-00</v>
          </cell>
          <cell r="F18509">
            <v>9056570320</v>
          </cell>
        </row>
        <row r="18510">
          <cell r="E18510" t="str">
            <v>LUC-EZZ-401060-00</v>
          </cell>
          <cell r="F18510">
            <v>9056570320</v>
          </cell>
        </row>
        <row r="18511">
          <cell r="E18511" t="str">
            <v>LUC-EZZ-440127-00</v>
          </cell>
          <cell r="F18511">
            <v>9056570320</v>
          </cell>
        </row>
        <row r="18512">
          <cell r="E18512" t="str">
            <v>LUC-EZZ-400264-00</v>
          </cell>
          <cell r="F18512">
            <v>9056570320</v>
          </cell>
        </row>
        <row r="18513">
          <cell r="E18513" t="str">
            <v>LUC-E00-420056-02</v>
          </cell>
          <cell r="F18513">
            <v>9056570320</v>
          </cell>
        </row>
        <row r="18514">
          <cell r="E18514" t="str">
            <v>LUC-EZZ-400554-00</v>
          </cell>
          <cell r="F18514">
            <v>9056570320</v>
          </cell>
        </row>
        <row r="18515">
          <cell r="E18515" t="str">
            <v>LUC-EZZ-490231-05</v>
          </cell>
          <cell r="F18515">
            <v>1516556</v>
          </cell>
        </row>
        <row r="18516">
          <cell r="E18516" t="str">
            <v>LUC-EZZ-490305-05</v>
          </cell>
          <cell r="F18516">
            <v>1516556</v>
          </cell>
        </row>
        <row r="18517">
          <cell r="E18517" t="str">
            <v>LUC-EZZ-490316-02</v>
          </cell>
          <cell r="F18517">
            <v>1516556</v>
          </cell>
        </row>
        <row r="18518">
          <cell r="E18518" t="str">
            <v>LUC-EZZ-490317-04</v>
          </cell>
          <cell r="F18518">
            <v>1516556</v>
          </cell>
        </row>
        <row r="18519">
          <cell r="E18519" t="str">
            <v>LUC-EZZ-490304-04</v>
          </cell>
          <cell r="F18519">
            <v>1516556</v>
          </cell>
        </row>
        <row r="18520">
          <cell r="E18520" t="str">
            <v>LUC-EZZ-490050-03</v>
          </cell>
          <cell r="F18520">
            <v>1516556</v>
          </cell>
        </row>
        <row r="18521">
          <cell r="E18521" t="str">
            <v>LUC-EZZ-490304-04</v>
          </cell>
          <cell r="F18521">
            <v>1516556</v>
          </cell>
        </row>
        <row r="18522">
          <cell r="E18522" t="str">
            <v>LUC-EZZ-490307-01</v>
          </cell>
          <cell r="F18522">
            <v>1516556</v>
          </cell>
        </row>
        <row r="18523">
          <cell r="E18523" t="str">
            <v>LUC-P11-K41C00-00</v>
          </cell>
          <cell r="F18523">
            <v>462303416934</v>
          </cell>
        </row>
        <row r="18524">
          <cell r="E18524" t="str">
            <v>PUR-24-0024-00</v>
          </cell>
          <cell r="F18524">
            <v>1811004952</v>
          </cell>
        </row>
        <row r="18525">
          <cell r="E18525" t="str">
            <v>LUC-E00-400067-162</v>
          </cell>
          <cell r="F18525">
            <v>1811004952</v>
          </cell>
        </row>
        <row r="18526">
          <cell r="E18526" t="str">
            <v>LUC-E00-400067-294</v>
          </cell>
          <cell r="F18526">
            <v>1811004952</v>
          </cell>
        </row>
        <row r="18527">
          <cell r="E18527" t="str">
            <v>124-002751</v>
          </cell>
          <cell r="F18527">
            <v>1811004952</v>
          </cell>
        </row>
        <row r="18528">
          <cell r="E18528" t="str">
            <v>LUC-EZZ-450093-00</v>
          </cell>
          <cell r="F18528">
            <v>1811004952</v>
          </cell>
        </row>
        <row r="18529">
          <cell r="E18529" t="str">
            <v>LUC-EZZ-450093-00</v>
          </cell>
          <cell r="F18529">
            <v>1811004952</v>
          </cell>
        </row>
        <row r="18530">
          <cell r="E18530" t="str">
            <v>PURET-24-0002-00</v>
          </cell>
          <cell r="F18530">
            <v>1811004952</v>
          </cell>
        </row>
        <row r="18531">
          <cell r="E18531" t="str">
            <v>LUC-EZZ-450231-00</v>
          </cell>
          <cell r="F18531">
            <v>1811004952</v>
          </cell>
        </row>
        <row r="18532">
          <cell r="E18532" t="str">
            <v>LUC-EZZ-420151-00</v>
          </cell>
          <cell r="F18532">
            <v>1811004952</v>
          </cell>
        </row>
        <row r="18533">
          <cell r="E18533" t="str">
            <v>LUC-EZZ-420151-00</v>
          </cell>
          <cell r="F18533">
            <v>1811004952</v>
          </cell>
        </row>
        <row r="18534">
          <cell r="E18534" t="str">
            <v>PURET-24-0002-00</v>
          </cell>
          <cell r="F18534">
            <v>1811004952</v>
          </cell>
        </row>
        <row r="18535">
          <cell r="E18535" t="str">
            <v>PURET-24-0002-00</v>
          </cell>
          <cell r="F18535">
            <v>1811004952</v>
          </cell>
        </row>
        <row r="18536">
          <cell r="E18536" t="str">
            <v>HLOB-12-0430-00</v>
          </cell>
          <cell r="F18536">
            <v>1811004952</v>
          </cell>
        </row>
        <row r="18537">
          <cell r="E18537" t="str">
            <v>PUR-14-0097-00</v>
          </cell>
          <cell r="F18537">
            <v>1811004952</v>
          </cell>
        </row>
        <row r="18538">
          <cell r="E18538" t="str">
            <v>EF-45046347.X.X</v>
          </cell>
          <cell r="F18538">
            <v>1811004952</v>
          </cell>
        </row>
        <row r="18539">
          <cell r="E18539" t="str">
            <v>LUC-EZZ-400801-00</v>
          </cell>
          <cell r="F18539">
            <v>1811004952</v>
          </cell>
        </row>
        <row r="18540">
          <cell r="E18540" t="str">
            <v>EF-45051532.X.X</v>
          </cell>
          <cell r="F18540">
            <v>1811004952</v>
          </cell>
        </row>
        <row r="18541">
          <cell r="E18541" t="str">
            <v>LUC-EZZ-451277-00</v>
          </cell>
          <cell r="F18541">
            <v>1811004952</v>
          </cell>
        </row>
        <row r="18542">
          <cell r="E18542" t="str">
            <v>LUC-EZZ-451277-00</v>
          </cell>
          <cell r="F18542">
            <v>1811004952</v>
          </cell>
        </row>
        <row r="18543">
          <cell r="E18543" t="str">
            <v>LUC-EZZ-451277-00</v>
          </cell>
          <cell r="F18543">
            <v>1811004952</v>
          </cell>
        </row>
        <row r="18544">
          <cell r="E18544" t="str">
            <v>HLOB-24-0024-00</v>
          </cell>
          <cell r="F18544">
            <v>1811004952</v>
          </cell>
        </row>
        <row r="18545">
          <cell r="E18545" t="str">
            <v>HLOB-24-0008-00</v>
          </cell>
          <cell r="F18545">
            <v>1811004952</v>
          </cell>
        </row>
        <row r="18546">
          <cell r="E18546" t="str">
            <v>HLOB-13-0125-00</v>
          </cell>
          <cell r="F18546">
            <v>1811004952</v>
          </cell>
        </row>
        <row r="18547">
          <cell r="E18547" t="str">
            <v>PUR-13-0125-00</v>
          </cell>
          <cell r="F18547">
            <v>1811004952</v>
          </cell>
        </row>
        <row r="18548">
          <cell r="E18548" t="str">
            <v>PURET-24-0002-00</v>
          </cell>
          <cell r="F18548">
            <v>1811004952</v>
          </cell>
        </row>
        <row r="18549">
          <cell r="E18549" t="str">
            <v>LUC-E00-470074-01</v>
          </cell>
          <cell r="F18549">
            <v>1811004952</v>
          </cell>
        </row>
        <row r="18550">
          <cell r="E18550" t="str">
            <v>EF-45072100.X.X</v>
          </cell>
          <cell r="F18550">
            <v>1811004952</v>
          </cell>
        </row>
        <row r="18551">
          <cell r="E18551" t="str">
            <v>PURET-12-0084-00</v>
          </cell>
          <cell r="F18551">
            <v>1811004952</v>
          </cell>
        </row>
        <row r="18552">
          <cell r="E18552" t="str">
            <v>LUC-EZZ-401680-00</v>
          </cell>
          <cell r="F18552">
            <v>1811004952</v>
          </cell>
        </row>
        <row r="18553">
          <cell r="E18553" t="str">
            <v>EF-45139770</v>
          </cell>
          <cell r="F18553">
            <v>1811004952</v>
          </cell>
        </row>
        <row r="18554">
          <cell r="E18554" t="str">
            <v>AIC-MP-00000271-000</v>
          </cell>
          <cell r="F18554">
            <v>1811004952</v>
          </cell>
        </row>
        <row r="18555">
          <cell r="E18555" t="str">
            <v>AIC-MP-00004401-000</v>
          </cell>
          <cell r="F18555">
            <v>1811004952</v>
          </cell>
        </row>
        <row r="18556">
          <cell r="E18556" t="str">
            <v>EF-45139805</v>
          </cell>
          <cell r="F18556">
            <v>1811004952</v>
          </cell>
        </row>
        <row r="18557">
          <cell r="E18557" t="str">
            <v>EF-45130563</v>
          </cell>
          <cell r="F18557">
            <v>1811004952</v>
          </cell>
        </row>
        <row r="18558">
          <cell r="E18558" t="str">
            <v>LUC-E00-450044-00</v>
          </cell>
          <cell r="F18558">
            <v>1811004952</v>
          </cell>
        </row>
        <row r="18559">
          <cell r="E18559" t="str">
            <v>AGI-500-40192-01</v>
          </cell>
          <cell r="F18559">
            <v>1811004952</v>
          </cell>
        </row>
        <row r="18560">
          <cell r="E18560" t="str">
            <v>EF-45054135.X.X</v>
          </cell>
          <cell r="F18560">
            <v>1811004952</v>
          </cell>
        </row>
        <row r="18561">
          <cell r="E18561" t="str">
            <v>EF-45104926</v>
          </cell>
          <cell r="F18561">
            <v>1811004952</v>
          </cell>
        </row>
        <row r="18562">
          <cell r="E18562" t="str">
            <v>EF-45121796</v>
          </cell>
          <cell r="F18562">
            <v>1811004952</v>
          </cell>
        </row>
        <row r="18563">
          <cell r="E18563" t="str">
            <v>LUC-EZZ-450093-00</v>
          </cell>
          <cell r="F18563">
            <v>1811004952</v>
          </cell>
        </row>
        <row r="18564">
          <cell r="E18564" t="str">
            <v>LUC-E00-510061-01</v>
          </cell>
          <cell r="F18564">
            <v>1811004952</v>
          </cell>
        </row>
        <row r="18565">
          <cell r="E18565" t="str">
            <v>LUC-EZZ-451368-00</v>
          </cell>
          <cell r="F18565">
            <v>1811004952</v>
          </cell>
        </row>
        <row r="18566">
          <cell r="E18566" t="str">
            <v>EF-45126672</v>
          </cell>
          <cell r="F18566">
            <v>1811004952</v>
          </cell>
        </row>
        <row r="18567">
          <cell r="E18567" t="str">
            <v>LUC-E00-470004-00</v>
          </cell>
          <cell r="F18567">
            <v>393756691502</v>
          </cell>
        </row>
        <row r="18568">
          <cell r="E18568" t="str">
            <v>LUC-EZZ-400260-00</v>
          </cell>
          <cell r="F18568">
            <v>412069767934</v>
          </cell>
        </row>
        <row r="18569">
          <cell r="E18569" t="str">
            <v>LUC-P21-KA3100-00</v>
          </cell>
          <cell r="F18569">
            <v>884847354676</v>
          </cell>
        </row>
        <row r="18570">
          <cell r="E18570" t="str">
            <v>LUC-EZZ-420281-00</v>
          </cell>
          <cell r="F18570">
            <v>475888794675</v>
          </cell>
        </row>
        <row r="18571">
          <cell r="E18571" t="str">
            <v>LUC-EZZ-420391-00</v>
          </cell>
          <cell r="F18571">
            <v>475888794675</v>
          </cell>
        </row>
        <row r="18572">
          <cell r="E18572" t="str">
            <v>LUC-EZZ-420536-00</v>
          </cell>
          <cell r="F18572">
            <v>475888794675</v>
          </cell>
        </row>
        <row r="18573">
          <cell r="E18573" t="str">
            <v>LUC-EZZ-420536-00</v>
          </cell>
          <cell r="F18573">
            <v>475888794675</v>
          </cell>
        </row>
        <row r="18574">
          <cell r="E18574" t="str">
            <v>EF-45179595</v>
          </cell>
          <cell r="F18574">
            <v>475888794675</v>
          </cell>
        </row>
        <row r="18575">
          <cell r="E18575" t="str">
            <v>124-002703</v>
          </cell>
          <cell r="F18575">
            <v>475888794675</v>
          </cell>
        </row>
        <row r="18576">
          <cell r="E18576" t="str">
            <v>LUC-E00-510018-00</v>
          </cell>
          <cell r="F18576">
            <v>475888794675</v>
          </cell>
        </row>
        <row r="18577">
          <cell r="E18577" t="str">
            <v>LUC-E00-420037-03</v>
          </cell>
          <cell r="F18577">
            <v>475888794675</v>
          </cell>
        </row>
        <row r="18578">
          <cell r="E18578" t="str">
            <v>LUC-E00-690003-00</v>
          </cell>
          <cell r="F18578">
            <v>475888794675</v>
          </cell>
        </row>
        <row r="18579">
          <cell r="E18579" t="str">
            <v>EF-45179595</v>
          </cell>
          <cell r="F18579">
            <v>475888794675</v>
          </cell>
        </row>
        <row r="18580">
          <cell r="E18580" t="str">
            <v>LUC-E00-470004-00</v>
          </cell>
          <cell r="F18580">
            <v>475888794675</v>
          </cell>
        </row>
        <row r="18581">
          <cell r="E18581" t="str">
            <v>LUC-EZZ-420173-00</v>
          </cell>
          <cell r="F18581">
            <v>475888794675</v>
          </cell>
        </row>
        <row r="18582">
          <cell r="E18582" t="str">
            <v>LUC-EZZ-441599-00</v>
          </cell>
          <cell r="F18582">
            <v>475888794675</v>
          </cell>
        </row>
        <row r="18583">
          <cell r="E18583" t="str">
            <v>LUC-EZZ-400211-00</v>
          </cell>
          <cell r="F18583">
            <v>475888794675</v>
          </cell>
        </row>
        <row r="18584">
          <cell r="E18584" t="str">
            <v>LUC-EZZ-690241-00</v>
          </cell>
          <cell r="F18584">
            <v>475888794675</v>
          </cell>
        </row>
        <row r="18585">
          <cell r="E18585" t="str">
            <v>LUC-EZZ-400291-00</v>
          </cell>
          <cell r="F18585">
            <v>475888794675</v>
          </cell>
        </row>
        <row r="18586">
          <cell r="E18586" t="str">
            <v>LUC-EZZ-450180-00</v>
          </cell>
          <cell r="F18586">
            <v>475888794675</v>
          </cell>
        </row>
        <row r="18587">
          <cell r="E18587" t="str">
            <v>LUC-EZZ-450246-00</v>
          </cell>
          <cell r="F18587">
            <v>475888794675</v>
          </cell>
        </row>
        <row r="18588">
          <cell r="E18588" t="str">
            <v>LUC-EZZ-420345-00</v>
          </cell>
          <cell r="F18588">
            <v>475888794675</v>
          </cell>
        </row>
        <row r="18589">
          <cell r="E18589" t="str">
            <v>LUC-E00-420186-00</v>
          </cell>
          <cell r="F18589">
            <v>475888794675</v>
          </cell>
        </row>
        <row r="18590">
          <cell r="E18590" t="str">
            <v>122-003229</v>
          </cell>
          <cell r="F18590">
            <v>475888794675</v>
          </cell>
        </row>
        <row r="18591">
          <cell r="E18591" t="str">
            <v>HLOB-14-0086-00</v>
          </cell>
          <cell r="F18591">
            <v>483042066486</v>
          </cell>
        </row>
        <row r="18592">
          <cell r="E18592" t="str">
            <v>LUC-EZZ-440129-00</v>
          </cell>
          <cell r="F18592">
            <v>393747360143</v>
          </cell>
        </row>
        <row r="18593">
          <cell r="E18593" t="str">
            <v>LUC-E00-400010-002</v>
          </cell>
          <cell r="F18593">
            <v>483042077748</v>
          </cell>
        </row>
        <row r="18594">
          <cell r="E18594" t="str">
            <v>LUC-E00-470047-00</v>
          </cell>
          <cell r="F18594">
            <v>884782650601</v>
          </cell>
        </row>
        <row r="18595">
          <cell r="E18595" t="str">
            <v>LUC-E00-470047-00</v>
          </cell>
          <cell r="F18595">
            <v>884782650601</v>
          </cell>
        </row>
        <row r="18596">
          <cell r="E18596" t="str">
            <v>LUC-E00-470047-00</v>
          </cell>
          <cell r="F18596">
            <v>884782650601</v>
          </cell>
        </row>
        <row r="18597">
          <cell r="E18597" t="str">
            <v>LUC-E00-470047-00</v>
          </cell>
          <cell r="F18597">
            <v>884782650601</v>
          </cell>
        </row>
        <row r="18598">
          <cell r="E18598" t="str">
            <v>LUC-E00-470047-00</v>
          </cell>
          <cell r="F18598">
            <v>884782650601</v>
          </cell>
        </row>
        <row r="18599">
          <cell r="E18599" t="str">
            <v>LUC-P21-K33R00-01</v>
          </cell>
          <cell r="F18599">
            <v>884783133976</v>
          </cell>
        </row>
        <row r="18600">
          <cell r="E18600" t="str">
            <v>HLOB-03-0038-00</v>
          </cell>
          <cell r="F18600">
            <v>470603600113</v>
          </cell>
        </row>
        <row r="18601">
          <cell r="E18601" t="str">
            <v>HLOB-03-0038-00</v>
          </cell>
          <cell r="F18601">
            <v>470603604520</v>
          </cell>
        </row>
        <row r="18602">
          <cell r="E18602" t="str">
            <v>LUC-E00-470112-00</v>
          </cell>
          <cell r="F18602">
            <v>393627431178</v>
          </cell>
        </row>
        <row r="18603">
          <cell r="E18603" t="str">
            <v>124-001196</v>
          </cell>
          <cell r="F18603">
            <v>2386128614</v>
          </cell>
        </row>
        <row r="18604">
          <cell r="E18604" t="str">
            <v>LUC-E00-420019-00</v>
          </cell>
          <cell r="F18604">
            <v>2386128614</v>
          </cell>
        </row>
        <row r="18605">
          <cell r="E18605" t="str">
            <v>LUC-E00-460038-00</v>
          </cell>
          <cell r="F18605">
            <v>2386128614</v>
          </cell>
        </row>
        <row r="18606">
          <cell r="E18606" t="str">
            <v>LUC-E00-460038-00</v>
          </cell>
          <cell r="F18606">
            <v>2386128614</v>
          </cell>
        </row>
        <row r="18607">
          <cell r="E18607" t="str">
            <v>LUC-E00-450132-00</v>
          </cell>
          <cell r="F18607">
            <v>2386128614</v>
          </cell>
        </row>
        <row r="18608">
          <cell r="E18608" t="str">
            <v>LUC-E00-400010-025</v>
          </cell>
          <cell r="F18608">
            <v>2386128614</v>
          </cell>
        </row>
        <row r="18609">
          <cell r="E18609" t="str">
            <v>LUC-E00-420055-15</v>
          </cell>
          <cell r="F18609">
            <v>2386128614</v>
          </cell>
        </row>
        <row r="18610">
          <cell r="E18610" t="str">
            <v>LUC-EZZ-400465-00</v>
          </cell>
          <cell r="F18610">
            <v>2386128614</v>
          </cell>
        </row>
        <row r="18611">
          <cell r="E18611" t="str">
            <v>LUC-EZZ-420120-00</v>
          </cell>
          <cell r="F18611">
            <v>2386128614</v>
          </cell>
        </row>
        <row r="18612">
          <cell r="E18612" t="str">
            <v>LUC-EZZ-460737-00</v>
          </cell>
          <cell r="F18612">
            <v>2386128614</v>
          </cell>
        </row>
        <row r="18613">
          <cell r="E18613" t="str">
            <v>LUC-EZZ-510639-00</v>
          </cell>
          <cell r="F18613">
            <v>2386128614</v>
          </cell>
        </row>
        <row r="18614">
          <cell r="E18614" t="str">
            <v>LUC-EZZ-420352-00</v>
          </cell>
          <cell r="F18614">
            <v>2386128614</v>
          </cell>
        </row>
        <row r="18615">
          <cell r="E18615" t="str">
            <v>LUC-EZZ-460737-00</v>
          </cell>
          <cell r="F18615">
            <v>2386128614</v>
          </cell>
        </row>
        <row r="18616">
          <cell r="E18616" t="str">
            <v>LUC-EZZ-420352-00</v>
          </cell>
          <cell r="F18616">
            <v>2386128614</v>
          </cell>
        </row>
        <row r="18617">
          <cell r="E18617" t="str">
            <v>LUC-E00-480006-00</v>
          </cell>
          <cell r="F18617">
            <v>2386128614</v>
          </cell>
        </row>
        <row r="18618">
          <cell r="E18618" t="str">
            <v>LUC-E00-480006-00</v>
          </cell>
          <cell r="F18618">
            <v>2386128614</v>
          </cell>
        </row>
        <row r="18619">
          <cell r="E18619" t="str">
            <v>LUC-E00-470087-00</v>
          </cell>
          <cell r="F18619">
            <v>2386128614</v>
          </cell>
        </row>
        <row r="18620">
          <cell r="E18620" t="str">
            <v>LUC-E00-470087-00</v>
          </cell>
          <cell r="F18620">
            <v>2386128614</v>
          </cell>
        </row>
        <row r="18621">
          <cell r="E18621" t="str">
            <v>LUC-E00-510084-00</v>
          </cell>
          <cell r="F18621">
            <v>2386128614</v>
          </cell>
        </row>
        <row r="18622">
          <cell r="E18622" t="str">
            <v>LUC-E00-510084-00</v>
          </cell>
          <cell r="F18622">
            <v>2386128614</v>
          </cell>
        </row>
        <row r="18623">
          <cell r="E18623" t="str">
            <v>LUC-E00-400010-007</v>
          </cell>
          <cell r="F18623">
            <v>2386128614</v>
          </cell>
        </row>
        <row r="18624">
          <cell r="E18624" t="str">
            <v>LUC-EZZ-400225-00</v>
          </cell>
          <cell r="F18624">
            <v>2386128614</v>
          </cell>
        </row>
        <row r="18625">
          <cell r="E18625" t="str">
            <v>LUC-EZZ-420046-00</v>
          </cell>
          <cell r="F18625">
            <v>2386128614</v>
          </cell>
        </row>
        <row r="18626">
          <cell r="E18626" t="str">
            <v>LUC-EZZ-400245-00</v>
          </cell>
          <cell r="F18626">
            <v>2386128614</v>
          </cell>
        </row>
        <row r="18627">
          <cell r="E18627" t="str">
            <v>LUC-E00-420171-00</v>
          </cell>
          <cell r="F18627">
            <v>2386128614</v>
          </cell>
        </row>
        <row r="18628">
          <cell r="E18628" t="str">
            <v>LUC-E00-420171-00</v>
          </cell>
          <cell r="F18628">
            <v>2386128614</v>
          </cell>
        </row>
        <row r="18629">
          <cell r="E18629" t="str">
            <v>LUC-EZZ-400221-00</v>
          </cell>
          <cell r="F18629">
            <v>2386128614</v>
          </cell>
        </row>
        <row r="18630">
          <cell r="E18630" t="str">
            <v>AGI-534-40006-01</v>
          </cell>
          <cell r="F18630">
            <v>2386128614</v>
          </cell>
        </row>
        <row r="18631">
          <cell r="E18631" t="str">
            <v>LUC-EZZ-420002-00</v>
          </cell>
          <cell r="F18631">
            <v>2386128614</v>
          </cell>
        </row>
        <row r="18632">
          <cell r="E18632" t="str">
            <v>LUC-EZZ-420002-00</v>
          </cell>
          <cell r="F18632">
            <v>2386128614</v>
          </cell>
        </row>
        <row r="18633">
          <cell r="E18633" t="str">
            <v>LUC-EZZ-420002-00</v>
          </cell>
          <cell r="F18633">
            <v>2386128614</v>
          </cell>
        </row>
        <row r="18634">
          <cell r="E18634" t="str">
            <v>LUC-E00-450039-00</v>
          </cell>
          <cell r="F18634">
            <v>2386128614</v>
          </cell>
        </row>
        <row r="18635">
          <cell r="E18635" t="str">
            <v>LUC-EZZ-440176-00</v>
          </cell>
          <cell r="F18635">
            <v>2386128614</v>
          </cell>
        </row>
        <row r="18636">
          <cell r="E18636" t="str">
            <v>LUC-EZZ-440176-00</v>
          </cell>
          <cell r="F18636">
            <v>2386128614</v>
          </cell>
        </row>
        <row r="18637">
          <cell r="E18637" t="str">
            <v>LUC-E00-400067-211</v>
          </cell>
          <cell r="F18637">
            <v>2386128614</v>
          </cell>
        </row>
        <row r="18638">
          <cell r="E18638" t="str">
            <v>LUC-E00-400067-211</v>
          </cell>
          <cell r="F18638">
            <v>2386128614</v>
          </cell>
        </row>
        <row r="18639">
          <cell r="E18639" t="str">
            <v>LUC-E00-400067-211</v>
          </cell>
          <cell r="F18639">
            <v>2386128614</v>
          </cell>
        </row>
        <row r="18640">
          <cell r="E18640" t="str">
            <v>LUC-E00-470049-00</v>
          </cell>
          <cell r="F18640">
            <v>2386128614</v>
          </cell>
        </row>
        <row r="18641">
          <cell r="E18641" t="str">
            <v>LUC-E00-400048-00</v>
          </cell>
          <cell r="F18641">
            <v>2386128614</v>
          </cell>
        </row>
        <row r="18642">
          <cell r="E18642" t="str">
            <v>LUC-E00-470123-00</v>
          </cell>
          <cell r="F18642">
            <v>2386128614</v>
          </cell>
        </row>
        <row r="18643">
          <cell r="E18643" t="str">
            <v>LUC-E00-470123-00</v>
          </cell>
          <cell r="F18643">
            <v>2386128614</v>
          </cell>
        </row>
        <row r="18644">
          <cell r="E18644" t="str">
            <v>LUC-E00-460038-00</v>
          </cell>
          <cell r="F18644">
            <v>2386128614</v>
          </cell>
        </row>
        <row r="18645">
          <cell r="E18645" t="str">
            <v>LUC-E00-470379-00</v>
          </cell>
          <cell r="F18645">
            <v>2386128614</v>
          </cell>
        </row>
        <row r="18646">
          <cell r="E18646" t="str">
            <v>LUC-E00-440026-00</v>
          </cell>
          <cell r="F18646">
            <v>2386128614</v>
          </cell>
        </row>
        <row r="18647">
          <cell r="E18647" t="str">
            <v>LUC-E00-400010-039</v>
          </cell>
          <cell r="F18647">
            <v>2386128614</v>
          </cell>
        </row>
        <row r="18648">
          <cell r="E18648" t="str">
            <v>LUC-E00-400010-039</v>
          </cell>
          <cell r="F18648">
            <v>2386128614</v>
          </cell>
        </row>
        <row r="18649">
          <cell r="E18649" t="str">
            <v>LUC-EZZ-400228-00</v>
          </cell>
          <cell r="F18649">
            <v>2386128614</v>
          </cell>
        </row>
        <row r="18650">
          <cell r="E18650" t="str">
            <v>LUC-E00-460001-01</v>
          </cell>
          <cell r="F18650">
            <v>2386128614</v>
          </cell>
        </row>
        <row r="18651">
          <cell r="E18651" t="str">
            <v>LUC-E00-460023-00</v>
          </cell>
          <cell r="F18651">
            <v>2386128614</v>
          </cell>
        </row>
        <row r="18652">
          <cell r="E18652" t="str">
            <v>LUC-E00-510028-00</v>
          </cell>
          <cell r="F18652">
            <v>2386128614</v>
          </cell>
        </row>
        <row r="18653">
          <cell r="E18653" t="str">
            <v>LUC-E00-460008-00</v>
          </cell>
          <cell r="F18653">
            <v>2386128614</v>
          </cell>
        </row>
        <row r="18654">
          <cell r="E18654" t="str">
            <v>LUC-E00-470131-00</v>
          </cell>
          <cell r="F18654">
            <v>2386128614</v>
          </cell>
        </row>
        <row r="18655">
          <cell r="E18655" t="str">
            <v>LUC-E00-470131-00</v>
          </cell>
          <cell r="F18655">
            <v>2386128614</v>
          </cell>
        </row>
        <row r="18656">
          <cell r="E18656" t="str">
            <v>LUC-E00-510041-00</v>
          </cell>
          <cell r="F18656">
            <v>2386128614</v>
          </cell>
        </row>
        <row r="18657">
          <cell r="E18657" t="str">
            <v>LUC-E00-480008-00</v>
          </cell>
          <cell r="F18657">
            <v>2386128614</v>
          </cell>
        </row>
        <row r="18658">
          <cell r="E18658" t="str">
            <v>LUC-EZZ-450179-00</v>
          </cell>
          <cell r="F18658">
            <v>2386128614</v>
          </cell>
        </row>
        <row r="18659">
          <cell r="E18659" t="str">
            <v>LUC-EZZ-470431-00</v>
          </cell>
          <cell r="F18659">
            <v>2386128614</v>
          </cell>
        </row>
        <row r="18660">
          <cell r="E18660" t="str">
            <v>LUC-EZZ-420123-00</v>
          </cell>
          <cell r="F18660">
            <v>2386128614</v>
          </cell>
        </row>
        <row r="18661">
          <cell r="E18661" t="str">
            <v>LUC-EZZ-420189-00</v>
          </cell>
          <cell r="F18661">
            <v>2386128614</v>
          </cell>
        </row>
        <row r="18662">
          <cell r="E18662" t="str">
            <v>LUC-E00-440026-00</v>
          </cell>
          <cell r="F18662">
            <v>2386128614</v>
          </cell>
        </row>
        <row r="18663">
          <cell r="E18663" t="str">
            <v>LUC-E00-440026-00</v>
          </cell>
          <cell r="F18663">
            <v>2386128614</v>
          </cell>
        </row>
        <row r="18664">
          <cell r="E18664" t="str">
            <v>LUC-EZZ-510031-00</v>
          </cell>
          <cell r="F18664">
            <v>2386128614</v>
          </cell>
        </row>
        <row r="18665">
          <cell r="E18665" t="str">
            <v>LUC-E00-440029-00</v>
          </cell>
          <cell r="F18665">
            <v>2386128614</v>
          </cell>
        </row>
        <row r="18666">
          <cell r="E18666" t="str">
            <v>LUC-E00-450056-00</v>
          </cell>
          <cell r="F18666">
            <v>2386128614</v>
          </cell>
        </row>
        <row r="18667">
          <cell r="E18667" t="str">
            <v>LUC-E00-400010-015</v>
          </cell>
          <cell r="F18667">
            <v>2386128614</v>
          </cell>
        </row>
        <row r="18668">
          <cell r="E18668" t="str">
            <v>LUC-E00-480014-00</v>
          </cell>
          <cell r="F18668">
            <v>2386128614</v>
          </cell>
        </row>
        <row r="18669">
          <cell r="E18669" t="str">
            <v>LUC-E00-510031-00</v>
          </cell>
          <cell r="F18669">
            <v>2386128614</v>
          </cell>
        </row>
        <row r="18670">
          <cell r="E18670" t="str">
            <v>LUC-E00-470080-00</v>
          </cell>
          <cell r="F18670">
            <v>2386128614</v>
          </cell>
        </row>
        <row r="18671">
          <cell r="E18671" t="str">
            <v>LUC-E00-470123-00</v>
          </cell>
          <cell r="F18671">
            <v>2386128614</v>
          </cell>
        </row>
        <row r="18672">
          <cell r="E18672" t="str">
            <v>LUC-E00-420241-00</v>
          </cell>
          <cell r="F18672">
            <v>2386128614</v>
          </cell>
        </row>
        <row r="18673">
          <cell r="E18673" t="str">
            <v>LUC-E00-470119-00</v>
          </cell>
          <cell r="F18673">
            <v>2386128614</v>
          </cell>
        </row>
        <row r="18674">
          <cell r="E18674" t="str">
            <v>LUC-E00-470120-00</v>
          </cell>
          <cell r="F18674">
            <v>2386128614</v>
          </cell>
        </row>
        <row r="18675">
          <cell r="E18675" t="str">
            <v>LUC-EZZ-421047-00</v>
          </cell>
          <cell r="F18675">
            <v>2386128614</v>
          </cell>
        </row>
        <row r="18676">
          <cell r="E18676" t="str">
            <v>LUC-EZZ-421047-00</v>
          </cell>
          <cell r="F18676">
            <v>2386128614</v>
          </cell>
        </row>
        <row r="18677">
          <cell r="E18677" t="str">
            <v>LUC-E00-400010-032</v>
          </cell>
          <cell r="F18677">
            <v>2386128614</v>
          </cell>
        </row>
        <row r="18678">
          <cell r="E18678" t="str">
            <v>LUC-E00-470009-00</v>
          </cell>
          <cell r="F18678">
            <v>2386128614</v>
          </cell>
        </row>
        <row r="18679">
          <cell r="E18679" t="str">
            <v>LUC-E00-400010-009</v>
          </cell>
          <cell r="F18679">
            <v>2386128614</v>
          </cell>
        </row>
        <row r="18680">
          <cell r="E18680" t="str">
            <v>LUC-E00-420015-00</v>
          </cell>
          <cell r="F18680">
            <v>2386128614</v>
          </cell>
        </row>
        <row r="18681">
          <cell r="E18681" t="str">
            <v>LUC-EZZ-450053-00</v>
          </cell>
          <cell r="F18681">
            <v>2386128614</v>
          </cell>
        </row>
        <row r="18682">
          <cell r="E18682" t="str">
            <v>LUC-EZZ-450053-00</v>
          </cell>
          <cell r="F18682">
            <v>2386128614</v>
          </cell>
        </row>
        <row r="18683">
          <cell r="E18683" t="str">
            <v>LUC-EZZ-421362-00</v>
          </cell>
          <cell r="F18683">
            <v>2386128614</v>
          </cell>
        </row>
        <row r="18684">
          <cell r="E18684" t="str">
            <v>LUC-EZZ-440166-00</v>
          </cell>
          <cell r="F18684">
            <v>2386128614</v>
          </cell>
        </row>
        <row r="18685">
          <cell r="E18685" t="str">
            <v>LUC-E00-400003-007</v>
          </cell>
          <cell r="F18685">
            <v>2386128614</v>
          </cell>
        </row>
        <row r="18686">
          <cell r="E18686" t="str">
            <v>LUC-E00-400003-007</v>
          </cell>
          <cell r="F18686">
            <v>2386128614</v>
          </cell>
        </row>
        <row r="18687">
          <cell r="E18687" t="str">
            <v>LUC-E00-400003-007</v>
          </cell>
          <cell r="F18687">
            <v>2386128614</v>
          </cell>
        </row>
        <row r="18688">
          <cell r="E18688" t="str">
            <v>LUC-EZZ-400301-00</v>
          </cell>
          <cell r="F18688">
            <v>2386128614</v>
          </cell>
        </row>
        <row r="18689">
          <cell r="E18689" t="str">
            <v>LUC-EZZ-420345-00</v>
          </cell>
          <cell r="F18689">
            <v>2386128614</v>
          </cell>
        </row>
        <row r="18690">
          <cell r="E18690" t="str">
            <v>LUC-EZZ-420345-00</v>
          </cell>
          <cell r="F18690">
            <v>2386128614</v>
          </cell>
        </row>
        <row r="18691">
          <cell r="E18691" t="str">
            <v>LUC-EZZ-420345-00</v>
          </cell>
          <cell r="F18691">
            <v>2386128614</v>
          </cell>
        </row>
        <row r="18692">
          <cell r="E18692" t="str">
            <v>LUC-EZZ-470152-02</v>
          </cell>
          <cell r="F18692">
            <v>2386128614</v>
          </cell>
        </row>
        <row r="18693">
          <cell r="E18693" t="str">
            <v>LUC-EZZ-470152-00</v>
          </cell>
          <cell r="F18693">
            <v>2386128614</v>
          </cell>
        </row>
        <row r="18694">
          <cell r="E18694" t="str">
            <v>LUC-EZZ-400580-00</v>
          </cell>
          <cell r="F18694">
            <v>2386128614</v>
          </cell>
        </row>
        <row r="18695">
          <cell r="E18695" t="str">
            <v>LUC-EZZ-420490-00</v>
          </cell>
          <cell r="F18695">
            <v>2386128614</v>
          </cell>
        </row>
        <row r="18696">
          <cell r="E18696" t="str">
            <v>LUC-EZZ-420320-00</v>
          </cell>
          <cell r="F18696">
            <v>2386128614</v>
          </cell>
        </row>
        <row r="18697">
          <cell r="E18697" t="str">
            <v>LUC-EZZ-420090-00</v>
          </cell>
          <cell r="F18697">
            <v>2386128614</v>
          </cell>
        </row>
        <row r="18698">
          <cell r="E18698" t="str">
            <v>LUC-EZZ-420281-00</v>
          </cell>
          <cell r="F18698">
            <v>2386128614</v>
          </cell>
        </row>
        <row r="18699">
          <cell r="E18699" t="str">
            <v>LUC-EZZ-450149-00</v>
          </cell>
          <cell r="F18699">
            <v>2386128614</v>
          </cell>
        </row>
        <row r="18700">
          <cell r="E18700" t="str">
            <v>LUC-EZZ-470155-00</v>
          </cell>
          <cell r="F18700">
            <v>2386128614</v>
          </cell>
        </row>
        <row r="18701">
          <cell r="E18701" t="str">
            <v>LUC-EZZ-510058-00</v>
          </cell>
          <cell r="F18701">
            <v>2386128614</v>
          </cell>
        </row>
        <row r="18702">
          <cell r="E18702" t="str">
            <v>LUC-E00-400010-034</v>
          </cell>
          <cell r="F18702">
            <v>2386128614</v>
          </cell>
        </row>
        <row r="18703">
          <cell r="E18703" t="str">
            <v>LUC-EZZ-400204-00</v>
          </cell>
          <cell r="F18703">
            <v>2386128614</v>
          </cell>
        </row>
        <row r="18704">
          <cell r="E18704" t="str">
            <v>LUC-EZZ-471619-01</v>
          </cell>
          <cell r="F18704">
            <v>2386128614</v>
          </cell>
        </row>
        <row r="18705">
          <cell r="E18705" t="str">
            <v>LUC-EZZ-400554-00</v>
          </cell>
          <cell r="F18705">
            <v>2386128614</v>
          </cell>
        </row>
        <row r="18706">
          <cell r="E18706" t="str">
            <v>LUC-E00-510032-00</v>
          </cell>
          <cell r="F18706">
            <v>470049447431</v>
          </cell>
        </row>
        <row r="18707">
          <cell r="E18707" t="str">
            <v>LUC-E00-460018-00</v>
          </cell>
          <cell r="F18707">
            <v>470049447431</v>
          </cell>
        </row>
        <row r="18708">
          <cell r="E18708" t="str">
            <v>LUC-E00-690030-03</v>
          </cell>
          <cell r="F18708">
            <v>445170605839</v>
          </cell>
        </row>
        <row r="18709">
          <cell r="E18709" t="str">
            <v>LUC-E00-690030-03</v>
          </cell>
          <cell r="F18709">
            <v>445170605839</v>
          </cell>
        </row>
        <row r="18710">
          <cell r="E18710" t="str">
            <v>LUC-P11-L1AU00-02</v>
          </cell>
          <cell r="F18710" t="str">
            <v>LSHHPH2509282</v>
          </cell>
        </row>
        <row r="18711">
          <cell r="E18711" t="str">
            <v>LUC-P21-K81001-01</v>
          </cell>
          <cell r="F18711" t="str">
            <v>LSHHPH2508893</v>
          </cell>
        </row>
        <row r="18712">
          <cell r="E18712" t="str">
            <v>LUC-P21-K81100-01</v>
          </cell>
          <cell r="F18712" t="str">
            <v>LSHHPH2508893</v>
          </cell>
        </row>
        <row r="18713">
          <cell r="E18713" t="str">
            <v>LUC-P21-K81101-01</v>
          </cell>
          <cell r="F18713" t="str">
            <v>LSHHPH2508893</v>
          </cell>
        </row>
        <row r="18714">
          <cell r="E18714" t="str">
            <v>LUC-P21-K81201-01</v>
          </cell>
          <cell r="F18714" t="str">
            <v>LSHHPH2508893</v>
          </cell>
        </row>
        <row r="18715">
          <cell r="E18715" t="str">
            <v>LUC-P21-K81202-00</v>
          </cell>
          <cell r="F18715" t="str">
            <v>LSHHPH2508893</v>
          </cell>
        </row>
        <row r="18716">
          <cell r="E18716" t="str">
            <v>LUC-P11-K2B400-02</v>
          </cell>
          <cell r="F18716" t="str">
            <v>WTPKELHPH250635</v>
          </cell>
        </row>
        <row r="18717">
          <cell r="E18717" t="str">
            <v>LUC-P11-K2B400-02</v>
          </cell>
          <cell r="F18717" t="str">
            <v>WTPKELHPH250635</v>
          </cell>
        </row>
        <row r="18718">
          <cell r="E18718" t="str">
            <v>LUC-P11-K2B300-03</v>
          </cell>
          <cell r="F18718" t="str">
            <v>WTPKELHPH250635</v>
          </cell>
        </row>
        <row r="18719">
          <cell r="E18719" t="str">
            <v>LUC-EZZ-470097-01</v>
          </cell>
          <cell r="F18719">
            <v>4110329317</v>
          </cell>
        </row>
        <row r="18720">
          <cell r="E18720" t="str">
            <v>LUC-EZZ-470097-01</v>
          </cell>
          <cell r="F18720">
            <v>4110329318</v>
          </cell>
        </row>
        <row r="18721">
          <cell r="E18721" t="str">
            <v>LUC-E00-690001-00</v>
          </cell>
          <cell r="F18721">
            <v>4110329498</v>
          </cell>
        </row>
        <row r="18722">
          <cell r="E18722" t="str">
            <v>LUC-EZZ-421047-00</v>
          </cell>
          <cell r="F18722">
            <v>476513899327</v>
          </cell>
        </row>
        <row r="18723">
          <cell r="E18723" t="str">
            <v>LUC-EZZ-400207-00</v>
          </cell>
          <cell r="F18723">
            <v>483042027250</v>
          </cell>
        </row>
        <row r="18724">
          <cell r="E18724" t="str">
            <v>LUC-EZZ-400542-00</v>
          </cell>
          <cell r="F18724">
            <v>483042080056</v>
          </cell>
        </row>
        <row r="18725">
          <cell r="E18725" t="str">
            <v>LUC-E00-400025-09</v>
          </cell>
          <cell r="F18725">
            <v>483042080056</v>
          </cell>
        </row>
        <row r="18726">
          <cell r="E18726" t="str">
            <v>LUC-E00-400054-01</v>
          </cell>
          <cell r="F18726">
            <v>483042080056</v>
          </cell>
        </row>
        <row r="18727">
          <cell r="E18727" t="str">
            <v>LUC-E00-400010-021</v>
          </cell>
          <cell r="F18727">
            <v>483042080056</v>
          </cell>
        </row>
        <row r="18728">
          <cell r="E18728" t="str">
            <v>LUC-E00-440172-00</v>
          </cell>
          <cell r="F18728">
            <v>483042080056</v>
          </cell>
        </row>
        <row r="18729">
          <cell r="E18729" t="str">
            <v>LUC-E00-400025-09</v>
          </cell>
          <cell r="F18729">
            <v>483042080056</v>
          </cell>
        </row>
        <row r="18730">
          <cell r="E18730" t="str">
            <v>LUC-EZZ-400205-00</v>
          </cell>
          <cell r="F18730">
            <v>483042080056</v>
          </cell>
        </row>
        <row r="18731">
          <cell r="E18731" t="str">
            <v>LUC-E00-400010-021</v>
          </cell>
          <cell r="F18731">
            <v>483042080056</v>
          </cell>
        </row>
        <row r="18732">
          <cell r="E18732" t="str">
            <v>LUC-E00-400010-016</v>
          </cell>
          <cell r="F18732">
            <v>483042080056</v>
          </cell>
        </row>
        <row r="18733">
          <cell r="E18733" t="str">
            <v>PUR-14-0086-00</v>
          </cell>
          <cell r="F18733">
            <v>483042080056</v>
          </cell>
        </row>
        <row r="18734">
          <cell r="E18734" t="str">
            <v>LUC-EZZ-400206-00</v>
          </cell>
          <cell r="F18734">
            <v>483042080056</v>
          </cell>
        </row>
        <row r="18735">
          <cell r="E18735" t="str">
            <v>LUC-E00-400025-09</v>
          </cell>
          <cell r="F18735">
            <v>483042080056</v>
          </cell>
        </row>
        <row r="18736">
          <cell r="E18736" t="str">
            <v>LUC-EZZ-400205-00</v>
          </cell>
          <cell r="F18736">
            <v>483042080056</v>
          </cell>
        </row>
        <row r="18737">
          <cell r="E18737" t="str">
            <v>LUC-EZZ-400205-00</v>
          </cell>
          <cell r="F18737">
            <v>483042080056</v>
          </cell>
        </row>
        <row r="18738">
          <cell r="E18738" t="str">
            <v>LUC-E00-470062-00</v>
          </cell>
          <cell r="F18738">
            <v>483042080056</v>
          </cell>
        </row>
        <row r="18739">
          <cell r="E18739" t="str">
            <v>LUC-E00-510018-00</v>
          </cell>
          <cell r="F18739">
            <v>483042080056</v>
          </cell>
        </row>
        <row r="18740">
          <cell r="E18740" t="str">
            <v>LUC-EZZ-400205-00</v>
          </cell>
          <cell r="F18740">
            <v>483042080056</v>
          </cell>
        </row>
        <row r="18741">
          <cell r="E18741" t="str">
            <v>LUC-E00-400010-021</v>
          </cell>
          <cell r="F18741">
            <v>483042080056</v>
          </cell>
        </row>
        <row r="18742">
          <cell r="E18742" t="str">
            <v>LUC-E00-400010-022</v>
          </cell>
          <cell r="F18742">
            <v>483042080056</v>
          </cell>
        </row>
        <row r="18743">
          <cell r="E18743" t="str">
            <v>LUC-E00-400028-001</v>
          </cell>
          <cell r="F18743">
            <v>483042080056</v>
          </cell>
        </row>
        <row r="18744">
          <cell r="E18744" t="str">
            <v>LUC-EZZ-400542-00</v>
          </cell>
          <cell r="F18744">
            <v>483042080056</v>
          </cell>
        </row>
        <row r="18745">
          <cell r="E18745" t="str">
            <v>LUC-EZZ-400261-00</v>
          </cell>
          <cell r="F18745">
            <v>483042080056</v>
          </cell>
        </row>
        <row r="18746">
          <cell r="E18746" t="str">
            <v>LUC-E00-400025-09</v>
          </cell>
          <cell r="F18746">
            <v>483042080056</v>
          </cell>
        </row>
        <row r="18747">
          <cell r="E18747" t="str">
            <v>LUC-E00-400010-022</v>
          </cell>
          <cell r="F18747">
            <v>483042080056</v>
          </cell>
        </row>
        <row r="18748">
          <cell r="E18748" t="str">
            <v>LUC-E00-400028-001</v>
          </cell>
          <cell r="F18748">
            <v>483042080056</v>
          </cell>
        </row>
        <row r="18749">
          <cell r="E18749" t="str">
            <v>LUC-EZZ-400205-00</v>
          </cell>
          <cell r="F18749">
            <v>483042080056</v>
          </cell>
        </row>
        <row r="18750">
          <cell r="E18750" t="str">
            <v>LUC-EZZ-400454-00</v>
          </cell>
          <cell r="F18750">
            <v>483042080056</v>
          </cell>
        </row>
        <row r="18751">
          <cell r="E18751" t="str">
            <v>LUC-E00-400010-016</v>
          </cell>
          <cell r="F18751">
            <v>483042080056</v>
          </cell>
        </row>
        <row r="18752">
          <cell r="E18752" t="str">
            <v>LUC-E00-400010-016</v>
          </cell>
          <cell r="F18752">
            <v>483042080056</v>
          </cell>
        </row>
        <row r="18753">
          <cell r="E18753" t="str">
            <v>LUC-EZZ-400261-00</v>
          </cell>
          <cell r="F18753">
            <v>483042080056</v>
          </cell>
        </row>
        <row r="18754">
          <cell r="E18754" t="str">
            <v>LUC-EZZ-400542-00</v>
          </cell>
          <cell r="F18754">
            <v>483042080056</v>
          </cell>
        </row>
        <row r="18755">
          <cell r="E18755" t="str">
            <v>LUC-EZZ-440127-00</v>
          </cell>
          <cell r="F18755">
            <v>483042080056</v>
          </cell>
        </row>
        <row r="18756">
          <cell r="E18756" t="str">
            <v>LUC-EZZ-400231-00</v>
          </cell>
          <cell r="F18756">
            <v>483042080056</v>
          </cell>
        </row>
        <row r="18757">
          <cell r="E18757" t="str">
            <v>LUC-E00-400010-021</v>
          </cell>
          <cell r="F18757">
            <v>483042080056</v>
          </cell>
        </row>
        <row r="18758">
          <cell r="E18758" t="str">
            <v>LUC-EZZ-400205-00</v>
          </cell>
          <cell r="F18758">
            <v>483042080056</v>
          </cell>
        </row>
        <row r="18759">
          <cell r="E18759" t="str">
            <v>LUC-EZZ-400205-00</v>
          </cell>
          <cell r="F18759">
            <v>483042080056</v>
          </cell>
        </row>
        <row r="18760">
          <cell r="E18760" t="str">
            <v>AIC-120-012783</v>
          </cell>
          <cell r="F18760">
            <v>884815713226</v>
          </cell>
        </row>
        <row r="18761">
          <cell r="E18761" t="str">
            <v>AIC-MP-00002120-000</v>
          </cell>
          <cell r="F18761">
            <v>884815713226</v>
          </cell>
        </row>
        <row r="18762">
          <cell r="E18762" t="str">
            <v>LUC-E00-470036-00</v>
          </cell>
          <cell r="F18762">
            <v>393739912275</v>
          </cell>
        </row>
        <row r="18763">
          <cell r="E18763" t="str">
            <v>LUC-EZZ-400205-00</v>
          </cell>
          <cell r="F18763">
            <v>483042110122</v>
          </cell>
        </row>
        <row r="18764">
          <cell r="E18764" t="str">
            <v>LUC-EZZ-400205-00</v>
          </cell>
          <cell r="F18764">
            <v>483042110122</v>
          </cell>
        </row>
        <row r="18765">
          <cell r="E18765" t="str">
            <v>LUC-EZZ-400205-00</v>
          </cell>
          <cell r="F18765">
            <v>483042110122</v>
          </cell>
        </row>
        <row r="18766">
          <cell r="E18766" t="str">
            <v>LUC-EZZ-400231-00</v>
          </cell>
          <cell r="F18766">
            <v>483042110122</v>
          </cell>
        </row>
        <row r="18767">
          <cell r="E18767" t="str">
            <v>LUC-EZZ-400205-00</v>
          </cell>
          <cell r="F18767">
            <v>483042110122</v>
          </cell>
        </row>
        <row r="18768">
          <cell r="E18768" t="str">
            <v>LUC-EZZ-400205-00</v>
          </cell>
          <cell r="F18768">
            <v>483042110122</v>
          </cell>
        </row>
        <row r="18769">
          <cell r="E18769" t="str">
            <v>LUC-E00-400010-000</v>
          </cell>
          <cell r="F18769">
            <v>483042110122</v>
          </cell>
        </row>
        <row r="18770">
          <cell r="E18770" t="str">
            <v>LUC-EZZ-421242-00</v>
          </cell>
          <cell r="F18770">
            <v>483042110122</v>
          </cell>
        </row>
        <row r="18771">
          <cell r="E18771" t="str">
            <v>LUC-EZZ-400231-00</v>
          </cell>
          <cell r="F18771">
            <v>483042110122</v>
          </cell>
        </row>
        <row r="18772">
          <cell r="E18772" t="str">
            <v>LUC-E00-400010-026</v>
          </cell>
          <cell r="F18772">
            <v>483042110122</v>
          </cell>
        </row>
        <row r="18773">
          <cell r="E18773" t="str">
            <v>LUC-EZZ-400205-00</v>
          </cell>
          <cell r="F18773">
            <v>483042110122</v>
          </cell>
        </row>
        <row r="18774">
          <cell r="E18774" t="str">
            <v>LUC-EZZ-400205-00</v>
          </cell>
          <cell r="F18774">
            <v>483042110122</v>
          </cell>
        </row>
        <row r="18775">
          <cell r="E18775" t="str">
            <v>LUC-EZZ-400288-00</v>
          </cell>
          <cell r="F18775">
            <v>483042110122</v>
          </cell>
        </row>
        <row r="18776">
          <cell r="E18776" t="str">
            <v>LUC-E00-400010-002</v>
          </cell>
          <cell r="F18776">
            <v>483042110122</v>
          </cell>
        </row>
        <row r="18777">
          <cell r="E18777" t="str">
            <v>LUC-E00-400010-002</v>
          </cell>
          <cell r="F18777">
            <v>483042110122</v>
          </cell>
        </row>
        <row r="18778">
          <cell r="E18778" t="str">
            <v>LUC-EZZ-400231-00</v>
          </cell>
          <cell r="F18778">
            <v>483042110122</v>
          </cell>
        </row>
        <row r="18779">
          <cell r="E18779" t="str">
            <v>LUC-E00-400010-021</v>
          </cell>
          <cell r="F18779">
            <v>483042110122</v>
          </cell>
        </row>
        <row r="18780">
          <cell r="E18780" t="str">
            <v>LUC-EZZ-420136-00</v>
          </cell>
          <cell r="F18780">
            <v>972682052291</v>
          </cell>
        </row>
        <row r="18781">
          <cell r="E18781" t="str">
            <v>LUC-EZZ-400248-00</v>
          </cell>
          <cell r="F18781">
            <v>972682052291</v>
          </cell>
        </row>
        <row r="18782">
          <cell r="E18782" t="str">
            <v>LUC-EZZ-400248-00</v>
          </cell>
          <cell r="F18782">
            <v>972682052291</v>
          </cell>
        </row>
        <row r="18783">
          <cell r="E18783" t="str">
            <v>LUC-EZZ-420120-00</v>
          </cell>
          <cell r="F18783">
            <v>972682052291</v>
          </cell>
        </row>
        <row r="18784">
          <cell r="E18784" t="str">
            <v>PUR-11-0127-04</v>
          </cell>
          <cell r="F18784" t="str">
            <v>HKHPG251004</v>
          </cell>
        </row>
        <row r="18785">
          <cell r="E18785" t="str">
            <v>PUR-11-0127-04</v>
          </cell>
          <cell r="F18785" t="str">
            <v>HKHPG251004</v>
          </cell>
        </row>
        <row r="18786">
          <cell r="E18786" t="str">
            <v>LUC-EZZ-510052-00</v>
          </cell>
          <cell r="F18786">
            <v>4711884896</v>
          </cell>
        </row>
        <row r="18787">
          <cell r="E18787" t="str">
            <v>LUC-EZZ-420344-00</v>
          </cell>
          <cell r="F18787">
            <v>4711884896</v>
          </cell>
        </row>
        <row r="18788">
          <cell r="E18788" t="str">
            <v>HLOB-13-0001-00</v>
          </cell>
          <cell r="F18788">
            <v>4711884896</v>
          </cell>
        </row>
        <row r="18789">
          <cell r="E18789" t="str">
            <v>LUC-E00-510029-00</v>
          </cell>
          <cell r="F18789">
            <v>4711884896</v>
          </cell>
        </row>
        <row r="18790">
          <cell r="E18790" t="str">
            <v>LUC-E00-510029-00</v>
          </cell>
          <cell r="F18790">
            <v>4711884896</v>
          </cell>
        </row>
        <row r="18791">
          <cell r="E18791" t="str">
            <v>LUC-EZZ-511304-00</v>
          </cell>
          <cell r="F18791">
            <v>4711884896</v>
          </cell>
        </row>
        <row r="18792">
          <cell r="E18792" t="str">
            <v>LUC-E00-470389-00</v>
          </cell>
          <cell r="F18792">
            <v>4711884896</v>
          </cell>
        </row>
        <row r="18793">
          <cell r="E18793" t="str">
            <v>HLOB-13-0131-00</v>
          </cell>
          <cell r="F18793">
            <v>4711884896</v>
          </cell>
        </row>
        <row r="18794">
          <cell r="E18794" t="str">
            <v>LUC-EZZ-420331-00</v>
          </cell>
          <cell r="F18794">
            <v>4711884896</v>
          </cell>
        </row>
        <row r="18795">
          <cell r="E18795" t="str">
            <v>LUC-EZZ-440189-00</v>
          </cell>
          <cell r="F18795">
            <v>4711884896</v>
          </cell>
        </row>
        <row r="18796">
          <cell r="E18796" t="str">
            <v>LUC-EZZ-420695-01</v>
          </cell>
          <cell r="F18796">
            <v>4711884896</v>
          </cell>
        </row>
        <row r="18797">
          <cell r="E18797" t="str">
            <v>LUC-EZZ-420695-01</v>
          </cell>
          <cell r="F18797">
            <v>4711884896</v>
          </cell>
        </row>
        <row r="18798">
          <cell r="E18798" t="str">
            <v>LUC-EZZ-520030-00</v>
          </cell>
          <cell r="F18798">
            <v>4711884896</v>
          </cell>
        </row>
        <row r="18799">
          <cell r="E18799" t="str">
            <v>LUC-EZZ-420665-00</v>
          </cell>
          <cell r="F18799">
            <v>4711884896</v>
          </cell>
        </row>
        <row r="18800">
          <cell r="E18800" t="str">
            <v>LUC-EZZ-420665-00</v>
          </cell>
          <cell r="F18800">
            <v>4711884896</v>
          </cell>
        </row>
        <row r="18801">
          <cell r="E18801" t="str">
            <v>PUR-21-0026-00</v>
          </cell>
          <cell r="F18801">
            <v>4711884896</v>
          </cell>
        </row>
        <row r="18802">
          <cell r="E18802" t="str">
            <v>LUC-E00-400067-314</v>
          </cell>
          <cell r="F18802">
            <v>4711884896</v>
          </cell>
        </row>
        <row r="18803">
          <cell r="E18803" t="str">
            <v>AGI-510-40118-01</v>
          </cell>
          <cell r="F18803">
            <v>4711884896</v>
          </cell>
        </row>
        <row r="18804">
          <cell r="E18804" t="str">
            <v>LUC-E00-400025-01</v>
          </cell>
          <cell r="F18804">
            <v>4711884896</v>
          </cell>
        </row>
        <row r="18805">
          <cell r="E18805" t="str">
            <v>AGI-510-40118-01</v>
          </cell>
          <cell r="F18805">
            <v>4711884896</v>
          </cell>
        </row>
        <row r="18806">
          <cell r="E18806" t="str">
            <v>AGI-510-40118-01</v>
          </cell>
          <cell r="F18806">
            <v>4711884896</v>
          </cell>
        </row>
        <row r="18807">
          <cell r="E18807" t="str">
            <v>HLOB-25-0009-00</v>
          </cell>
          <cell r="F18807">
            <v>4711884896</v>
          </cell>
        </row>
        <row r="18808">
          <cell r="E18808" t="str">
            <v>LUC-EZZ-401556-00</v>
          </cell>
          <cell r="F18808">
            <v>4711884896</v>
          </cell>
        </row>
        <row r="18809">
          <cell r="E18809" t="str">
            <v>EF-45086573</v>
          </cell>
          <cell r="F18809">
            <v>4711884896</v>
          </cell>
        </row>
        <row r="18810">
          <cell r="E18810" t="str">
            <v>LUC-E00-440154-00</v>
          </cell>
          <cell r="F18810">
            <v>4711884896</v>
          </cell>
        </row>
        <row r="18811">
          <cell r="E18811" t="str">
            <v>LUC-E00-440154-00</v>
          </cell>
          <cell r="F18811">
            <v>4711884896</v>
          </cell>
        </row>
        <row r="18812">
          <cell r="E18812" t="str">
            <v>LUC-E00-440154-00</v>
          </cell>
          <cell r="F18812">
            <v>4711884896</v>
          </cell>
        </row>
        <row r="18813">
          <cell r="E18813" t="str">
            <v>LUC-E00-440154-00</v>
          </cell>
          <cell r="F18813">
            <v>4711884896</v>
          </cell>
        </row>
        <row r="18814">
          <cell r="E18814" t="str">
            <v>LUC-E00-440154-00</v>
          </cell>
          <cell r="F18814">
            <v>4711884896</v>
          </cell>
        </row>
        <row r="18815">
          <cell r="E18815" t="str">
            <v>LUC-E00-440154-00</v>
          </cell>
          <cell r="F18815">
            <v>4711884896</v>
          </cell>
        </row>
        <row r="18816">
          <cell r="E18816" t="str">
            <v>LUC-E00-440154-00</v>
          </cell>
          <cell r="F18816">
            <v>4711884896</v>
          </cell>
        </row>
        <row r="18817">
          <cell r="E18817" t="str">
            <v>LUC-E00-440154-00</v>
          </cell>
          <cell r="F18817">
            <v>4711884896</v>
          </cell>
        </row>
        <row r="18818">
          <cell r="E18818" t="str">
            <v>LUC-E00-440154-00</v>
          </cell>
          <cell r="F18818">
            <v>4711884896</v>
          </cell>
        </row>
        <row r="18819">
          <cell r="E18819" t="str">
            <v>LUC-E00-440154-00</v>
          </cell>
          <cell r="F18819">
            <v>4711884896</v>
          </cell>
        </row>
        <row r="18820">
          <cell r="E18820" t="str">
            <v>LUC-E00-400067-344</v>
          </cell>
          <cell r="F18820">
            <v>4711884896</v>
          </cell>
        </row>
        <row r="18821">
          <cell r="E18821" t="str">
            <v>LUC-EZZ-400145-00</v>
          </cell>
          <cell r="F18821">
            <v>4711884896</v>
          </cell>
        </row>
        <row r="18822">
          <cell r="E18822" t="str">
            <v>LUC-E00-400011-000</v>
          </cell>
          <cell r="F18822">
            <v>4711884896</v>
          </cell>
        </row>
        <row r="18823">
          <cell r="E18823" t="str">
            <v>LUC-E00-400067-487</v>
          </cell>
          <cell r="F18823">
            <v>4711884896</v>
          </cell>
        </row>
        <row r="18824">
          <cell r="E18824" t="str">
            <v>LUC-E00-400023-000</v>
          </cell>
          <cell r="F18824">
            <v>4711884896</v>
          </cell>
        </row>
        <row r="18825">
          <cell r="E18825" t="str">
            <v>LUC-EZZ-420695-01</v>
          </cell>
          <cell r="F18825">
            <v>4711884896</v>
          </cell>
        </row>
        <row r="18826">
          <cell r="E18826" t="str">
            <v>PURET-13-0119-00</v>
          </cell>
          <cell r="F18826">
            <v>4711884896</v>
          </cell>
        </row>
        <row r="18827">
          <cell r="E18827" t="str">
            <v>HLOB-13-0119-00</v>
          </cell>
          <cell r="F18827">
            <v>4711884896</v>
          </cell>
        </row>
        <row r="18828">
          <cell r="E18828" t="str">
            <v>HLOB-13-0119-00</v>
          </cell>
          <cell r="F18828">
            <v>4711884896</v>
          </cell>
        </row>
        <row r="18829">
          <cell r="E18829" t="str">
            <v>LUC-EZZ-420695-01</v>
          </cell>
          <cell r="F18829">
            <v>4711884896</v>
          </cell>
        </row>
        <row r="18830">
          <cell r="E18830" t="str">
            <v>LUC-EZZ-420695-01</v>
          </cell>
          <cell r="F18830">
            <v>4711884896</v>
          </cell>
        </row>
        <row r="18831">
          <cell r="E18831" t="str">
            <v>LUC-EZZ-400289-00</v>
          </cell>
          <cell r="F18831">
            <v>4711884896</v>
          </cell>
        </row>
        <row r="18832">
          <cell r="E18832" t="str">
            <v>LUC-E00-470252-00</v>
          </cell>
          <cell r="F18832">
            <v>4711884896</v>
          </cell>
        </row>
        <row r="18833">
          <cell r="E18833" t="str">
            <v>LUC-E00-470252-00</v>
          </cell>
          <cell r="F18833">
            <v>4711884896</v>
          </cell>
        </row>
        <row r="18834">
          <cell r="E18834" t="str">
            <v>LUC-E00-400090-01</v>
          </cell>
          <cell r="F18834">
            <v>4711884896</v>
          </cell>
        </row>
        <row r="18835">
          <cell r="E18835" t="str">
            <v>LUC-E00-470252-00</v>
          </cell>
          <cell r="F18835">
            <v>4711884896</v>
          </cell>
        </row>
        <row r="18836">
          <cell r="E18836" t="str">
            <v>LUC-EZZ-421554-00</v>
          </cell>
          <cell r="F18836">
            <v>4711884896</v>
          </cell>
        </row>
        <row r="18837">
          <cell r="E18837" t="str">
            <v>LUC-EZZ-440016-00</v>
          </cell>
          <cell r="F18837">
            <v>4711884896</v>
          </cell>
        </row>
        <row r="18838">
          <cell r="E18838" t="str">
            <v>LUC-E00-450037-00</v>
          </cell>
          <cell r="F18838">
            <v>4711884896</v>
          </cell>
        </row>
        <row r="18839">
          <cell r="E18839" t="str">
            <v>AIC-MP-IC005827-S02</v>
          </cell>
          <cell r="F18839">
            <v>4711884896</v>
          </cell>
        </row>
        <row r="18840">
          <cell r="E18840" t="str">
            <v>AIC-133-001104</v>
          </cell>
          <cell r="F18840">
            <v>4711884896</v>
          </cell>
        </row>
        <row r="18841">
          <cell r="E18841" t="str">
            <v>LUC-EZZ-471623-00</v>
          </cell>
          <cell r="F18841">
            <v>4711884896</v>
          </cell>
        </row>
        <row r="18842">
          <cell r="E18842" t="str">
            <v>AGI-510-40118-01</v>
          </cell>
          <cell r="F18842">
            <v>4711884896</v>
          </cell>
        </row>
        <row r="18843">
          <cell r="E18843" t="str">
            <v>PUR-13-0158-00</v>
          </cell>
          <cell r="F18843">
            <v>4711884896</v>
          </cell>
        </row>
        <row r="18844">
          <cell r="E18844" t="str">
            <v>AIC-122-004446</v>
          </cell>
          <cell r="F18844">
            <v>4711884896</v>
          </cell>
        </row>
        <row r="18845">
          <cell r="E18845" t="str">
            <v>AGI-510-40118-01</v>
          </cell>
          <cell r="F18845">
            <v>4711884896</v>
          </cell>
        </row>
        <row r="18846">
          <cell r="E18846" t="str">
            <v>AGI-510-40118-01</v>
          </cell>
          <cell r="F18846">
            <v>4711884896</v>
          </cell>
        </row>
        <row r="18847">
          <cell r="E18847" t="str">
            <v>LUC-EZZ-440036-00</v>
          </cell>
          <cell r="F18847">
            <v>4711884896</v>
          </cell>
        </row>
        <row r="18848">
          <cell r="E18848" t="str">
            <v>LUC-E00-420055-08</v>
          </cell>
          <cell r="F18848">
            <v>4711884896</v>
          </cell>
        </row>
        <row r="18849">
          <cell r="E18849" t="str">
            <v>LUC-E00-400090-01</v>
          </cell>
          <cell r="F18849">
            <v>4711884896</v>
          </cell>
        </row>
        <row r="18850">
          <cell r="E18850" t="str">
            <v>LUC-EZZ-420252-00</v>
          </cell>
          <cell r="F18850">
            <v>4711884896</v>
          </cell>
        </row>
        <row r="18851">
          <cell r="E18851" t="str">
            <v>LUC-E00-420055-06</v>
          </cell>
          <cell r="F18851">
            <v>4711884896</v>
          </cell>
        </row>
        <row r="18852">
          <cell r="E18852" t="str">
            <v>LUC-EZZ-420195-00</v>
          </cell>
          <cell r="F18852">
            <v>4711884896</v>
          </cell>
        </row>
        <row r="18853">
          <cell r="E18853" t="str">
            <v>LUC-EZZ-420195-00</v>
          </cell>
          <cell r="F18853">
            <v>4711884896</v>
          </cell>
        </row>
        <row r="18854">
          <cell r="E18854" t="str">
            <v>AIC-122-004447</v>
          </cell>
          <cell r="F18854">
            <v>4711884896</v>
          </cell>
        </row>
        <row r="18855">
          <cell r="E18855" t="str">
            <v>LUC-E00-510018-00</v>
          </cell>
          <cell r="F18855">
            <v>4711884896</v>
          </cell>
        </row>
        <row r="18856">
          <cell r="E18856" t="str">
            <v>AIC-MP-00004930-000</v>
          </cell>
          <cell r="F18856">
            <v>4711884896</v>
          </cell>
        </row>
        <row r="18857">
          <cell r="E18857" t="str">
            <v>LUC-E00-400090-01</v>
          </cell>
          <cell r="F18857">
            <v>4711884896</v>
          </cell>
        </row>
        <row r="18858">
          <cell r="E18858" t="str">
            <v>LUC-E00-420046-00</v>
          </cell>
          <cell r="F18858">
            <v>4711884896</v>
          </cell>
        </row>
        <row r="18859">
          <cell r="E18859" t="str">
            <v>LUC-E00-540019-00</v>
          </cell>
          <cell r="F18859">
            <v>4711884896</v>
          </cell>
        </row>
        <row r="18860">
          <cell r="E18860" t="str">
            <v>LUC-EZZ-420261-00</v>
          </cell>
          <cell r="F18860">
            <v>4812849523</v>
          </cell>
        </row>
        <row r="18861">
          <cell r="E18861" t="str">
            <v>HLOB-13-0229-00</v>
          </cell>
          <cell r="F18861">
            <v>4812849523</v>
          </cell>
        </row>
        <row r="18862">
          <cell r="E18862" t="str">
            <v>HLOB-13-0229-00</v>
          </cell>
          <cell r="F18862">
            <v>4812849523</v>
          </cell>
        </row>
        <row r="18863">
          <cell r="E18863" t="str">
            <v>LUC-EZZ-420321-00</v>
          </cell>
          <cell r="F18863">
            <v>4812849523</v>
          </cell>
        </row>
        <row r="18864">
          <cell r="E18864" t="str">
            <v>PUR-13-0212-00</v>
          </cell>
          <cell r="F18864">
            <v>4812849523</v>
          </cell>
        </row>
        <row r="18865">
          <cell r="E18865" t="str">
            <v>HLOB-13-0212-00</v>
          </cell>
          <cell r="F18865">
            <v>4812849523</v>
          </cell>
        </row>
        <row r="18866">
          <cell r="E18866" t="str">
            <v>PUR-13-0138-00</v>
          </cell>
          <cell r="F18866">
            <v>4812849523</v>
          </cell>
        </row>
        <row r="18867">
          <cell r="E18867" t="str">
            <v>PUR-13-0229-00</v>
          </cell>
          <cell r="F18867">
            <v>4812849523</v>
          </cell>
        </row>
        <row r="18868">
          <cell r="E18868" t="str">
            <v>PUR-13-0138-00</v>
          </cell>
          <cell r="F18868">
            <v>4812849523</v>
          </cell>
        </row>
        <row r="18869">
          <cell r="E18869" t="str">
            <v>HLOB-13-0212-00</v>
          </cell>
          <cell r="F18869">
            <v>4812849523</v>
          </cell>
        </row>
        <row r="18870">
          <cell r="E18870" t="str">
            <v>HLOB-13-0134-00</v>
          </cell>
          <cell r="F18870">
            <v>4812849523</v>
          </cell>
        </row>
        <row r="18871">
          <cell r="E18871" t="str">
            <v>HLOB-13-0229-00</v>
          </cell>
          <cell r="F18871">
            <v>4812849523</v>
          </cell>
        </row>
        <row r="18872">
          <cell r="E18872" t="str">
            <v>HLOB-13-0229-00</v>
          </cell>
          <cell r="F18872">
            <v>4812849523</v>
          </cell>
        </row>
        <row r="18873">
          <cell r="E18873" t="str">
            <v>PURET-13-0066-00</v>
          </cell>
          <cell r="F18873">
            <v>4812849523</v>
          </cell>
        </row>
        <row r="18874">
          <cell r="E18874" t="str">
            <v>PUR-13-0138-00</v>
          </cell>
          <cell r="F18874">
            <v>4812849523</v>
          </cell>
        </row>
        <row r="18875">
          <cell r="E18875" t="str">
            <v>PUR-13-0229-00</v>
          </cell>
          <cell r="F18875">
            <v>4812849523</v>
          </cell>
        </row>
        <row r="18876">
          <cell r="E18876" t="str">
            <v>PURET-13-0002-00</v>
          </cell>
          <cell r="F18876">
            <v>4812849523</v>
          </cell>
        </row>
        <row r="18877">
          <cell r="E18877" t="str">
            <v>PUR-13-0134-00</v>
          </cell>
          <cell r="F18877">
            <v>4812849523</v>
          </cell>
        </row>
        <row r="18878">
          <cell r="E18878" t="str">
            <v>PUR-13-0138-00</v>
          </cell>
          <cell r="F18878">
            <v>4812849523</v>
          </cell>
        </row>
        <row r="18879">
          <cell r="E18879" t="str">
            <v>HLOB-13-0138-00</v>
          </cell>
          <cell r="F18879">
            <v>4812849523</v>
          </cell>
        </row>
        <row r="18880">
          <cell r="E18880" t="str">
            <v>LUC-EZZ-690942-00</v>
          </cell>
          <cell r="F18880">
            <v>4110329525</v>
          </cell>
        </row>
        <row r="18881">
          <cell r="E18881" t="str">
            <v>LUC-E00-690062-01</v>
          </cell>
          <cell r="F18881">
            <v>4110329583</v>
          </cell>
        </row>
        <row r="18882">
          <cell r="E18882" t="str">
            <v>LUC-E00-690062-01</v>
          </cell>
          <cell r="F18882">
            <v>4110329583</v>
          </cell>
        </row>
        <row r="18883">
          <cell r="E18883" t="str">
            <v>LUC-EZZ-690241-00</v>
          </cell>
          <cell r="F18883">
            <v>4110329584</v>
          </cell>
        </row>
        <row r="18884">
          <cell r="E18884" t="str">
            <v>LUC-EZZ-690241-00</v>
          </cell>
          <cell r="F18884">
            <v>4110329584</v>
          </cell>
        </row>
        <row r="18885">
          <cell r="E18885" t="str">
            <v>LUC-EZZ-690241-00</v>
          </cell>
          <cell r="F18885">
            <v>4110329585</v>
          </cell>
        </row>
        <row r="18886">
          <cell r="E18886" t="str">
            <v>LUC-EZZ-690241-00</v>
          </cell>
          <cell r="F18886">
            <v>4110329585</v>
          </cell>
        </row>
        <row r="18887">
          <cell r="E18887" t="str">
            <v>LUC-E00-470036-00</v>
          </cell>
          <cell r="F18887">
            <v>480081387149</v>
          </cell>
        </row>
        <row r="18888">
          <cell r="E18888" t="str">
            <v>LUC-EZZ-400780-00</v>
          </cell>
          <cell r="F18888">
            <v>480081387149</v>
          </cell>
        </row>
        <row r="18889">
          <cell r="E18889" t="str">
            <v>LUC-EZZ-470272-00</v>
          </cell>
          <cell r="F18889">
            <v>480081387149</v>
          </cell>
        </row>
        <row r="18890">
          <cell r="E18890" t="str">
            <v>LUC-EZZ-420507-00</v>
          </cell>
          <cell r="F18890">
            <v>480081387149</v>
          </cell>
        </row>
        <row r="18891">
          <cell r="E18891" t="str">
            <v>LUC-E00-470062-00</v>
          </cell>
          <cell r="F18891">
            <v>480081387149</v>
          </cell>
        </row>
        <row r="18892">
          <cell r="E18892" t="str">
            <v>EF-45071390.X.X</v>
          </cell>
          <cell r="F18892">
            <v>480081387149</v>
          </cell>
        </row>
        <row r="18893">
          <cell r="E18893" t="str">
            <v>LUC-E00-400003-007</v>
          </cell>
          <cell r="F18893">
            <v>480081387149</v>
          </cell>
        </row>
        <row r="18894">
          <cell r="E18894" t="str">
            <v>LUC-EZZ-400301-00</v>
          </cell>
          <cell r="F18894">
            <v>480081387149</v>
          </cell>
        </row>
        <row r="18895">
          <cell r="E18895" t="str">
            <v>LUC-EZZ-400554-00</v>
          </cell>
          <cell r="F18895">
            <v>480081387149</v>
          </cell>
        </row>
        <row r="18896">
          <cell r="E18896" t="str">
            <v>LUC-E00-470318-00</v>
          </cell>
          <cell r="F18896">
            <v>480081387149</v>
          </cell>
        </row>
        <row r="18897">
          <cell r="E18897" t="str">
            <v>EF-45033295</v>
          </cell>
          <cell r="F18897">
            <v>480081387149</v>
          </cell>
        </row>
        <row r="18898">
          <cell r="E18898" t="str">
            <v>LUC-P11-K41300-00</v>
          </cell>
          <cell r="F18898">
            <v>480081387149</v>
          </cell>
        </row>
        <row r="18899">
          <cell r="E18899" t="str">
            <v>LUC-E00-400067-111</v>
          </cell>
          <cell r="F18899">
            <v>480081387149</v>
          </cell>
        </row>
        <row r="18900">
          <cell r="E18900" t="str">
            <v>LUC-EZZ-421047-00</v>
          </cell>
          <cell r="F18900">
            <v>480081387149</v>
          </cell>
        </row>
        <row r="18901">
          <cell r="E18901" t="str">
            <v>121-000252.X.X</v>
          </cell>
          <cell r="F18901">
            <v>480081387149</v>
          </cell>
        </row>
        <row r="18902">
          <cell r="E18902" t="str">
            <v>LUC-EZZ-400207-00</v>
          </cell>
          <cell r="F18902">
            <v>483042027099</v>
          </cell>
        </row>
        <row r="18903">
          <cell r="E18903" t="str">
            <v>LUC-E00-400026-00</v>
          </cell>
          <cell r="F18903">
            <v>707296238370</v>
          </cell>
        </row>
        <row r="18904">
          <cell r="E18904" t="str">
            <v>LUC-EZZ-440129-00</v>
          </cell>
          <cell r="F18904">
            <v>393839634220</v>
          </cell>
        </row>
        <row r="18905">
          <cell r="E18905" t="str">
            <v>LUC-E00-690032-00</v>
          </cell>
          <cell r="F18905">
            <v>393839634220</v>
          </cell>
        </row>
        <row r="18906">
          <cell r="E18906" t="str">
            <v>LUC-E00-690011-00</v>
          </cell>
          <cell r="F18906">
            <v>393839634220</v>
          </cell>
        </row>
        <row r="18907">
          <cell r="E18907" t="str">
            <v>AGI-450-40087-01</v>
          </cell>
          <cell r="F18907">
            <v>393821599921</v>
          </cell>
        </row>
        <row r="18908">
          <cell r="E18908" t="str">
            <v>LUC-E00-470161-01</v>
          </cell>
          <cell r="F18908">
            <v>393898293320</v>
          </cell>
        </row>
        <row r="18909">
          <cell r="E18909" t="str">
            <v>LUC-E00-470093-00</v>
          </cell>
          <cell r="F18909">
            <v>393862976120</v>
          </cell>
        </row>
        <row r="18910">
          <cell r="E18910" t="str">
            <v>LUC-P11-JA4100-00</v>
          </cell>
          <cell r="F18910">
            <v>608226966858</v>
          </cell>
        </row>
        <row r="18911">
          <cell r="E18911" t="str">
            <v>LUC-E00-470383-00</v>
          </cell>
          <cell r="F18911">
            <v>884848303178</v>
          </cell>
        </row>
        <row r="18912">
          <cell r="E18912" t="str">
            <v>LUC-P11-JA4100-00</v>
          </cell>
          <cell r="F18912">
            <v>884877997314</v>
          </cell>
        </row>
        <row r="18913">
          <cell r="E18913" t="str">
            <v>LUC-P21-KA3100-00</v>
          </cell>
          <cell r="F18913">
            <v>884877997314</v>
          </cell>
        </row>
        <row r="18914">
          <cell r="E18914" t="str">
            <v>LUC-EZZ-510061-00</v>
          </cell>
          <cell r="F18914">
            <v>884847890690</v>
          </cell>
        </row>
        <row r="18915">
          <cell r="E18915" t="str">
            <v>LUC-E00-690037-00</v>
          </cell>
          <cell r="F18915">
            <v>884847890690</v>
          </cell>
        </row>
        <row r="18916">
          <cell r="E18916" t="str">
            <v>LUC-E00-450030-00</v>
          </cell>
          <cell r="F18916">
            <v>884847890690</v>
          </cell>
        </row>
        <row r="18917">
          <cell r="E18917" t="str">
            <v>LUC-EZZ-420507-00</v>
          </cell>
          <cell r="F18917">
            <v>884847890690</v>
          </cell>
        </row>
        <row r="18918">
          <cell r="E18918" t="str">
            <v>LUC-EZZ-441177-00</v>
          </cell>
          <cell r="F18918">
            <v>884847890690</v>
          </cell>
        </row>
        <row r="18919">
          <cell r="E18919" t="str">
            <v>LUC-EZZ-450017-00</v>
          </cell>
          <cell r="F18919">
            <v>884847890690</v>
          </cell>
        </row>
        <row r="18920">
          <cell r="E18920" t="str">
            <v>134-000473</v>
          </cell>
          <cell r="F18920">
            <v>469369173047</v>
          </cell>
        </row>
        <row r="18921">
          <cell r="E18921" t="str">
            <v>LUC-EZZ-690243-00</v>
          </cell>
          <cell r="F18921">
            <v>393681381902</v>
          </cell>
        </row>
        <row r="18922">
          <cell r="E18922" t="str">
            <v>LUC-E00-690010-02</v>
          </cell>
          <cell r="F18922">
            <v>393737074655</v>
          </cell>
        </row>
        <row r="18923">
          <cell r="E18923" t="str">
            <v>LUC-E00-690010-01</v>
          </cell>
          <cell r="F18923">
            <v>393737074655</v>
          </cell>
        </row>
        <row r="18924">
          <cell r="E18924" t="str">
            <v>LUC-E00-690055-00</v>
          </cell>
          <cell r="F18924">
            <v>393737074655</v>
          </cell>
        </row>
        <row r="18925">
          <cell r="E18925" t="str">
            <v>HLOB-09-0427-00</v>
          </cell>
          <cell r="F18925">
            <v>119209639880</v>
          </cell>
        </row>
        <row r="18926">
          <cell r="E18926" t="str">
            <v>PUR-09-0427-00</v>
          </cell>
          <cell r="F18926">
            <v>119209639880</v>
          </cell>
        </row>
        <row r="18927">
          <cell r="E18927" t="str">
            <v>PUR-09-0427-00</v>
          </cell>
          <cell r="F18927">
            <v>119209639880</v>
          </cell>
        </row>
        <row r="18928">
          <cell r="E18928" t="str">
            <v>PUR-09-0427-00</v>
          </cell>
          <cell r="F18928">
            <v>119209639880</v>
          </cell>
        </row>
        <row r="18929">
          <cell r="E18929" t="str">
            <v>PUR-09-0427-00</v>
          </cell>
          <cell r="F18929">
            <v>119209639880</v>
          </cell>
        </row>
        <row r="18930">
          <cell r="E18930" t="str">
            <v>PUR-24-0028-00</v>
          </cell>
          <cell r="F18930">
            <v>119209639880</v>
          </cell>
        </row>
        <row r="18931">
          <cell r="E18931" t="str">
            <v>HLOB-24-0028-00</v>
          </cell>
          <cell r="F18931">
            <v>119209639880</v>
          </cell>
        </row>
        <row r="18932">
          <cell r="E18932" t="str">
            <v>LUC-P11-K41E00-01</v>
          </cell>
          <cell r="F18932">
            <v>119209639880</v>
          </cell>
        </row>
        <row r="18933">
          <cell r="E18933" t="str">
            <v>LUC-EZZ-421252-00</v>
          </cell>
          <cell r="F18933">
            <v>119209639880</v>
          </cell>
        </row>
        <row r="18934">
          <cell r="E18934" t="str">
            <v>LUC-EZZ-420191-00</v>
          </cell>
          <cell r="F18934">
            <v>119209639880</v>
          </cell>
        </row>
        <row r="18935">
          <cell r="E18935" t="str">
            <v>PUR-24-0028-00</v>
          </cell>
          <cell r="F18935">
            <v>119209639880</v>
          </cell>
        </row>
        <row r="18936">
          <cell r="E18936" t="str">
            <v>HLOB-24-0028-00</v>
          </cell>
          <cell r="F18936">
            <v>119209639880</v>
          </cell>
        </row>
        <row r="18937">
          <cell r="E18937" t="str">
            <v>LUC-EZZ-450177-00</v>
          </cell>
          <cell r="F18937">
            <v>119209639880</v>
          </cell>
        </row>
        <row r="18938">
          <cell r="E18938" t="str">
            <v>PUR-09-0256-00</v>
          </cell>
          <cell r="F18938">
            <v>119209639880</v>
          </cell>
        </row>
        <row r="18939">
          <cell r="E18939" t="str">
            <v>LUC-EZZ-450112-00</v>
          </cell>
          <cell r="F18939">
            <v>119209639880</v>
          </cell>
        </row>
        <row r="18940">
          <cell r="E18940" t="str">
            <v>LUC-E00-400010-045</v>
          </cell>
          <cell r="F18940">
            <v>445170610312</v>
          </cell>
        </row>
        <row r="18941">
          <cell r="E18941" t="str">
            <v>PUR-12-0338-00</v>
          </cell>
          <cell r="F18941">
            <v>445170610220</v>
          </cell>
        </row>
        <row r="18942">
          <cell r="E18942" t="str">
            <v>LUC-E00-400028-002</v>
          </cell>
          <cell r="F18942">
            <v>445170608746</v>
          </cell>
        </row>
        <row r="18943">
          <cell r="E18943" t="str">
            <v>LUC-E00-400028-002</v>
          </cell>
          <cell r="F18943">
            <v>445170608746</v>
          </cell>
        </row>
        <row r="18944">
          <cell r="E18944" t="str">
            <v>LUC-E00-400028-002</v>
          </cell>
          <cell r="F18944">
            <v>445170608746</v>
          </cell>
        </row>
        <row r="18945">
          <cell r="E18945" t="str">
            <v>LUC-EZZ-450070-00</v>
          </cell>
          <cell r="F18945">
            <v>445170608746</v>
          </cell>
        </row>
        <row r="18946">
          <cell r="E18946" t="str">
            <v>LUC-E00-470028-00</v>
          </cell>
          <cell r="F18946">
            <v>445170608746</v>
          </cell>
        </row>
        <row r="18947">
          <cell r="E18947" t="str">
            <v>HLOB-09-0422-00</v>
          </cell>
          <cell r="F18947">
            <v>445170608746</v>
          </cell>
        </row>
        <row r="18948">
          <cell r="E18948" t="str">
            <v>PUR-09-0477-00</v>
          </cell>
          <cell r="F18948">
            <v>445170608746</v>
          </cell>
        </row>
        <row r="18949">
          <cell r="E18949" t="str">
            <v>EF-45091073.X.X</v>
          </cell>
          <cell r="F18949">
            <v>445170608746</v>
          </cell>
        </row>
        <row r="18950">
          <cell r="E18950" t="str">
            <v>LUC-E00-470125-00</v>
          </cell>
          <cell r="F18950">
            <v>445170608746</v>
          </cell>
        </row>
        <row r="18951">
          <cell r="E18951" t="str">
            <v>LUC-EZZ-470191-00</v>
          </cell>
          <cell r="F18951">
            <v>445170608746</v>
          </cell>
        </row>
        <row r="18952">
          <cell r="E18952" t="str">
            <v>LUC-EZZ-470096-00</v>
          </cell>
          <cell r="F18952">
            <v>445170608746</v>
          </cell>
        </row>
        <row r="18953">
          <cell r="E18953" t="str">
            <v>EF-45241780</v>
          </cell>
          <cell r="F18953">
            <v>445170608746</v>
          </cell>
        </row>
        <row r="18954">
          <cell r="E18954" t="str">
            <v>LUC-E00-470071-01</v>
          </cell>
          <cell r="F18954">
            <v>445170608746</v>
          </cell>
        </row>
        <row r="18955">
          <cell r="E18955" t="str">
            <v>HLOB-09-0477-00</v>
          </cell>
          <cell r="F18955">
            <v>445170608746</v>
          </cell>
        </row>
        <row r="18956">
          <cell r="E18956" t="str">
            <v>HLOB-09-0477-00</v>
          </cell>
          <cell r="F18956">
            <v>445170608746</v>
          </cell>
        </row>
        <row r="18957">
          <cell r="E18957" t="str">
            <v>LUC-EZZ-470095-00</v>
          </cell>
          <cell r="F18957">
            <v>445170608746</v>
          </cell>
        </row>
        <row r="18958">
          <cell r="E18958" t="str">
            <v>LUC-EZZ-470095-00</v>
          </cell>
          <cell r="F18958">
            <v>445170608746</v>
          </cell>
        </row>
        <row r="18959">
          <cell r="E18959" t="str">
            <v>HLOB-09-0213-00</v>
          </cell>
          <cell r="F18959">
            <v>445170608746</v>
          </cell>
        </row>
        <row r="18960">
          <cell r="E18960" t="str">
            <v>HLOB-09-0422-00</v>
          </cell>
          <cell r="F18960">
            <v>445170608746</v>
          </cell>
        </row>
        <row r="18961">
          <cell r="E18961" t="str">
            <v>EF-45241780</v>
          </cell>
          <cell r="F18961">
            <v>445170608746</v>
          </cell>
        </row>
        <row r="18962">
          <cell r="E18962" t="str">
            <v>EF-45120874.X.X</v>
          </cell>
          <cell r="F18962">
            <v>445170608746</v>
          </cell>
        </row>
        <row r="18963">
          <cell r="E18963" t="str">
            <v>EF-45120874.X.X</v>
          </cell>
          <cell r="F18963">
            <v>445170608746</v>
          </cell>
        </row>
        <row r="18964">
          <cell r="E18964" t="str">
            <v>EF-45188480</v>
          </cell>
          <cell r="F18964">
            <v>445170608746</v>
          </cell>
        </row>
        <row r="18965">
          <cell r="E18965" t="str">
            <v>LUC-EZZ-470181-00</v>
          </cell>
          <cell r="F18965">
            <v>445170608746</v>
          </cell>
        </row>
        <row r="18966">
          <cell r="E18966" t="str">
            <v>HLOB-09-0422-00</v>
          </cell>
          <cell r="F18966">
            <v>445170608746</v>
          </cell>
        </row>
        <row r="18967">
          <cell r="E18967" t="str">
            <v>LUC-EZZ-470095-00</v>
          </cell>
          <cell r="F18967">
            <v>445170608746</v>
          </cell>
        </row>
        <row r="18968">
          <cell r="E18968" t="str">
            <v>HLOB-09-0434-00</v>
          </cell>
          <cell r="F18968">
            <v>445170608746</v>
          </cell>
        </row>
        <row r="18969">
          <cell r="E18969" t="str">
            <v>HLOB-09-0422-00</v>
          </cell>
          <cell r="F18969">
            <v>445170608746</v>
          </cell>
        </row>
        <row r="18970">
          <cell r="E18970" t="str">
            <v>PUR-09-0477-00</v>
          </cell>
          <cell r="F18970">
            <v>445170608746</v>
          </cell>
        </row>
        <row r="18971">
          <cell r="E18971" t="str">
            <v>PUR-09-0477-00</v>
          </cell>
          <cell r="F18971">
            <v>445170608746</v>
          </cell>
        </row>
        <row r="18972">
          <cell r="E18972" t="str">
            <v>PUR-09-0434-00</v>
          </cell>
          <cell r="F18972">
            <v>445170608746</v>
          </cell>
        </row>
        <row r="18973">
          <cell r="E18973" t="str">
            <v>LUC-E00-470127-00</v>
          </cell>
          <cell r="F18973">
            <v>445170611146</v>
          </cell>
        </row>
        <row r="18974">
          <cell r="E18974" t="str">
            <v>HLOB-09-0422-00</v>
          </cell>
          <cell r="F18974">
            <v>445170611168</v>
          </cell>
        </row>
        <row r="18975">
          <cell r="E18975" t="str">
            <v>LUC-EZZ-470422-00</v>
          </cell>
          <cell r="F18975">
            <v>445170611845</v>
          </cell>
        </row>
        <row r="18976">
          <cell r="E18976" t="str">
            <v>LUC-E00-400010-022</v>
          </cell>
          <cell r="F18976">
            <v>445170612267</v>
          </cell>
        </row>
        <row r="18977">
          <cell r="E18977" t="str">
            <v>LUC-E00-400011-004</v>
          </cell>
          <cell r="F18977">
            <v>445170612142</v>
          </cell>
        </row>
        <row r="18978">
          <cell r="E18978" t="str">
            <v>EF-45090995</v>
          </cell>
          <cell r="F18978">
            <v>445170614616</v>
          </cell>
        </row>
        <row r="18979">
          <cell r="E18979" t="str">
            <v>LUC-E00-400010-045</v>
          </cell>
          <cell r="F18979">
            <v>445170613366</v>
          </cell>
        </row>
        <row r="18980">
          <cell r="E18980" t="str">
            <v>LUC-E00-420011-04</v>
          </cell>
          <cell r="F18980">
            <v>884900445164</v>
          </cell>
        </row>
        <row r="18981">
          <cell r="E18981" t="str">
            <v>LUC-EZZ-420211-00</v>
          </cell>
          <cell r="F18981">
            <v>884900445164</v>
          </cell>
        </row>
        <row r="18982">
          <cell r="E18982" t="str">
            <v>LUC-EZZ-420211-00</v>
          </cell>
          <cell r="F18982">
            <v>884900445164</v>
          </cell>
        </row>
        <row r="18983">
          <cell r="E18983" t="str">
            <v>LUC-EZZ-420211-00</v>
          </cell>
          <cell r="F18983">
            <v>884900445164</v>
          </cell>
        </row>
        <row r="18984">
          <cell r="E18984" t="str">
            <v>LUC-EZZ-510030-00</v>
          </cell>
          <cell r="F18984">
            <v>884900445164</v>
          </cell>
        </row>
        <row r="18985">
          <cell r="E18985" t="str">
            <v>LUC-E00-420011-04</v>
          </cell>
          <cell r="F18985">
            <v>884900445164</v>
          </cell>
        </row>
        <row r="18986">
          <cell r="E18986" t="str">
            <v>LUC-EZZ-510030-00</v>
          </cell>
          <cell r="F18986">
            <v>884900445164</v>
          </cell>
        </row>
        <row r="18987">
          <cell r="E18987" t="str">
            <v>LUC-EZZ-440200-00</v>
          </cell>
          <cell r="F18987">
            <v>884900445164</v>
          </cell>
        </row>
        <row r="18988">
          <cell r="E18988" t="str">
            <v>LUC-EZZ-450006-00</v>
          </cell>
          <cell r="F18988">
            <v>884900445164</v>
          </cell>
        </row>
        <row r="18989">
          <cell r="E18989" t="str">
            <v>LUC-E00-420238-00</v>
          </cell>
          <cell r="F18989">
            <v>884900445164</v>
          </cell>
        </row>
        <row r="18990">
          <cell r="E18990" t="str">
            <v>LUC-E00-470085-00</v>
          </cell>
          <cell r="F18990">
            <v>884900445164</v>
          </cell>
        </row>
        <row r="18991">
          <cell r="E18991" t="str">
            <v>LUC-E00-470001-00</v>
          </cell>
          <cell r="F18991">
            <v>884900445164</v>
          </cell>
        </row>
        <row r="18992">
          <cell r="E18992" t="str">
            <v>LUC-E00-400040-01</v>
          </cell>
          <cell r="F18992">
            <v>884900445164</v>
          </cell>
        </row>
        <row r="18993">
          <cell r="E18993" t="str">
            <v>LUC-EZZ-470855-00</v>
          </cell>
          <cell r="F18993">
            <v>884900445164</v>
          </cell>
        </row>
        <row r="18994">
          <cell r="E18994" t="str">
            <v>LUC-EZZ-450006-00</v>
          </cell>
          <cell r="F18994">
            <v>884900445164</v>
          </cell>
        </row>
        <row r="18995">
          <cell r="E18995" t="str">
            <v>LUC-EZZ-450006-00</v>
          </cell>
          <cell r="F18995">
            <v>884900445164</v>
          </cell>
        </row>
        <row r="18996">
          <cell r="E18996" t="str">
            <v>LUC-E00-400003-21</v>
          </cell>
          <cell r="F18996">
            <v>483042122435</v>
          </cell>
        </row>
        <row r="18997">
          <cell r="E18997" t="str">
            <v>LUC-EZZ-481784-00</v>
          </cell>
          <cell r="F18997">
            <v>480820762959</v>
          </cell>
        </row>
        <row r="18998">
          <cell r="E18998" t="str">
            <v>LUC-E00-440003-00</v>
          </cell>
          <cell r="F18998">
            <v>451257550895</v>
          </cell>
        </row>
        <row r="18999">
          <cell r="E18999" t="str">
            <v>LUC-E00-440003-01</v>
          </cell>
          <cell r="F18999">
            <v>451257550895</v>
          </cell>
        </row>
        <row r="19000">
          <cell r="E19000" t="str">
            <v>LUC-E00-440003-02</v>
          </cell>
          <cell r="F19000">
            <v>451257550895</v>
          </cell>
        </row>
        <row r="19001">
          <cell r="E19001" t="str">
            <v>LUC-E00-440003-02</v>
          </cell>
          <cell r="F19001">
            <v>451257550895</v>
          </cell>
        </row>
        <row r="19002">
          <cell r="E19002" t="str">
            <v>LUC-E00-440003-02</v>
          </cell>
          <cell r="F19002">
            <v>451257550895</v>
          </cell>
        </row>
        <row r="19003">
          <cell r="E19003" t="str">
            <v>LUC-E00-440013-00</v>
          </cell>
          <cell r="F19003">
            <v>451257550895</v>
          </cell>
        </row>
        <row r="19004">
          <cell r="E19004" t="str">
            <v>LUC-E00-440013-01</v>
          </cell>
          <cell r="F19004">
            <v>451257550895</v>
          </cell>
        </row>
        <row r="19005">
          <cell r="E19005" t="str">
            <v>LUC-E00-440014-00</v>
          </cell>
          <cell r="F19005">
            <v>451257550895</v>
          </cell>
        </row>
        <row r="19006">
          <cell r="E19006" t="str">
            <v>LUC-E00-440014-01</v>
          </cell>
          <cell r="F19006">
            <v>451257550895</v>
          </cell>
        </row>
        <row r="19007">
          <cell r="E19007" t="str">
            <v>LUC-E00-440023-02</v>
          </cell>
          <cell r="F19007">
            <v>451257550895</v>
          </cell>
        </row>
        <row r="19008">
          <cell r="E19008" t="str">
            <v>LUC-E00-440046-00</v>
          </cell>
          <cell r="F19008">
            <v>451257550895</v>
          </cell>
        </row>
        <row r="19009">
          <cell r="E19009" t="str">
            <v>LUC-E00-440046-00</v>
          </cell>
          <cell r="F19009">
            <v>451257550895</v>
          </cell>
        </row>
        <row r="19010">
          <cell r="E19010" t="str">
            <v>LUC-E00-440048-00</v>
          </cell>
          <cell r="F19010">
            <v>451257550895</v>
          </cell>
        </row>
        <row r="19011">
          <cell r="E19011" t="str">
            <v>LUC-E00-440124-00</v>
          </cell>
          <cell r="F19011">
            <v>451257550895</v>
          </cell>
        </row>
        <row r="19012">
          <cell r="E19012" t="str">
            <v>LUC-EZZ-440018-00</v>
          </cell>
          <cell r="F19012">
            <v>451257550895</v>
          </cell>
        </row>
        <row r="19013">
          <cell r="E19013" t="str">
            <v>LUC-EZZ-440028-00</v>
          </cell>
          <cell r="F19013">
            <v>451257550895</v>
          </cell>
        </row>
        <row r="19014">
          <cell r="E19014" t="str">
            <v>LUC-EZZ-440162-00</v>
          </cell>
          <cell r="F19014">
            <v>451257550895</v>
          </cell>
        </row>
        <row r="19015">
          <cell r="E19015" t="str">
            <v>LUC-EZZ-440911-00</v>
          </cell>
          <cell r="F19015">
            <v>451257550895</v>
          </cell>
        </row>
        <row r="19016">
          <cell r="E19016" t="str">
            <v>LUC-EZZ-440032-00</v>
          </cell>
          <cell r="F19016">
            <v>451257550895</v>
          </cell>
        </row>
        <row r="19017">
          <cell r="E19017" t="str">
            <v>LUC-EZZ-440032-00</v>
          </cell>
          <cell r="F19017">
            <v>451257550895</v>
          </cell>
        </row>
        <row r="19018">
          <cell r="E19018" t="str">
            <v>LUC-EZZ-440090-00</v>
          </cell>
          <cell r="F19018">
            <v>451257550895</v>
          </cell>
        </row>
        <row r="19019">
          <cell r="E19019" t="str">
            <v>LUC-E00-440077-02</v>
          </cell>
          <cell r="F19019">
            <v>451257550895</v>
          </cell>
        </row>
        <row r="19020">
          <cell r="E19020" t="str">
            <v>LUC-E00-440051-01</v>
          </cell>
          <cell r="F19020">
            <v>451257550895</v>
          </cell>
        </row>
        <row r="19021">
          <cell r="E19021" t="str">
            <v>LUC-E00-440051-01</v>
          </cell>
          <cell r="F19021">
            <v>451257550895</v>
          </cell>
        </row>
        <row r="19022">
          <cell r="E19022" t="str">
            <v>LUC-EZZ-440099-00</v>
          </cell>
          <cell r="F19022">
            <v>451257550895</v>
          </cell>
        </row>
        <row r="19023">
          <cell r="E19023" t="str">
            <v>120-000257.X.X</v>
          </cell>
          <cell r="F19023">
            <v>719546661516</v>
          </cell>
        </row>
        <row r="19024">
          <cell r="E19024" t="str">
            <v>PUR-27-0017-00</v>
          </cell>
          <cell r="F19024">
            <v>707296238119</v>
          </cell>
        </row>
        <row r="19025">
          <cell r="E19025" t="str">
            <v>EF-45043231</v>
          </cell>
          <cell r="F19025">
            <v>884778886671</v>
          </cell>
        </row>
        <row r="19026">
          <cell r="E19026" t="str">
            <v>LUC-E00-470137-00</v>
          </cell>
          <cell r="F19026">
            <v>884781466930</v>
          </cell>
        </row>
        <row r="19027">
          <cell r="E19027" t="str">
            <v>LUC-E00-470137-00</v>
          </cell>
          <cell r="F19027">
            <v>884781466930</v>
          </cell>
        </row>
        <row r="19028">
          <cell r="E19028" t="str">
            <v>LUC-P11-KA4000-00</v>
          </cell>
          <cell r="F19028">
            <v>884784209558</v>
          </cell>
        </row>
        <row r="19029">
          <cell r="E19029" t="str">
            <v>EF-45130022</v>
          </cell>
          <cell r="F19029">
            <v>884799621828</v>
          </cell>
        </row>
        <row r="19030">
          <cell r="E19030" t="str">
            <v>LUC-E00-470137-00</v>
          </cell>
          <cell r="F19030">
            <v>884814536339</v>
          </cell>
        </row>
        <row r="19031">
          <cell r="E19031" t="str">
            <v>LUC-E00-470137-00</v>
          </cell>
          <cell r="F19031">
            <v>884814536339</v>
          </cell>
        </row>
        <row r="19032">
          <cell r="E19032" t="str">
            <v>141-001581</v>
          </cell>
          <cell r="F19032">
            <v>884876074610</v>
          </cell>
        </row>
        <row r="19033">
          <cell r="E19033" t="str">
            <v>EF-45129873</v>
          </cell>
          <cell r="F19033">
            <v>461244039832</v>
          </cell>
        </row>
        <row r="19034">
          <cell r="E19034" t="str">
            <v>EF-45224843</v>
          </cell>
          <cell r="F19034">
            <v>461244039832</v>
          </cell>
        </row>
        <row r="19035">
          <cell r="E19035" t="str">
            <v>LUC-EZZ-470423-00</v>
          </cell>
          <cell r="F19035">
            <v>477592535910</v>
          </cell>
        </row>
        <row r="19036">
          <cell r="E19036" t="str">
            <v>LUC-E00-470109-00</v>
          </cell>
          <cell r="F19036">
            <v>477592535910</v>
          </cell>
        </row>
        <row r="19037">
          <cell r="E19037" t="str">
            <v>LUC-E00-470041-00</v>
          </cell>
          <cell r="F19037">
            <v>393795624535</v>
          </cell>
        </row>
        <row r="19038">
          <cell r="E19038" t="str">
            <v>LUC-E00-470353-00</v>
          </cell>
          <cell r="F19038">
            <v>393778199960</v>
          </cell>
        </row>
        <row r="19039">
          <cell r="E19039" t="str">
            <v>LUC-E00-470030-00</v>
          </cell>
          <cell r="F19039">
            <v>393735272806</v>
          </cell>
        </row>
        <row r="19040">
          <cell r="E19040" t="str">
            <v>LUC-E00-470196-00</v>
          </cell>
          <cell r="F19040">
            <v>393823755449</v>
          </cell>
        </row>
        <row r="19041">
          <cell r="E19041" t="str">
            <v>AGI-720-50001-01</v>
          </cell>
          <cell r="F19041">
            <v>719546661446</v>
          </cell>
        </row>
        <row r="19042">
          <cell r="E19042" t="str">
            <v>LUC-P21-K33900-00</v>
          </cell>
          <cell r="F19042">
            <v>884785183013</v>
          </cell>
        </row>
        <row r="19043">
          <cell r="E19043" t="str">
            <v>LUC-P21-K33900-00</v>
          </cell>
          <cell r="F19043">
            <v>884785183013</v>
          </cell>
        </row>
        <row r="19044">
          <cell r="E19044" t="str">
            <v>LUC-P00-F193DG-00</v>
          </cell>
          <cell r="F19044">
            <v>884874527763</v>
          </cell>
        </row>
        <row r="19045">
          <cell r="E19045" t="str">
            <v>LUC-P00-F260CG-00</v>
          </cell>
          <cell r="F19045">
            <v>884874527763</v>
          </cell>
        </row>
        <row r="19046">
          <cell r="E19046" t="str">
            <v>LUC-P00-F856AY-01</v>
          </cell>
          <cell r="F19046">
            <v>884874527763</v>
          </cell>
        </row>
        <row r="19047">
          <cell r="E19047" t="str">
            <v>LUC-EZZ-400261-00</v>
          </cell>
          <cell r="F19047">
            <v>393889344385</v>
          </cell>
        </row>
        <row r="19048">
          <cell r="E19048" t="str">
            <v>LUC-EZZ-400145-00</v>
          </cell>
          <cell r="F19048">
            <v>393776048964</v>
          </cell>
        </row>
        <row r="19049">
          <cell r="E19049" t="str">
            <v>PUR-13-0258-00</v>
          </cell>
          <cell r="F19049">
            <v>480591278477</v>
          </cell>
        </row>
        <row r="19050">
          <cell r="E19050" t="str">
            <v>LUC-E00-400022-000</v>
          </cell>
          <cell r="F19050">
            <v>483199553297</v>
          </cell>
        </row>
        <row r="19051">
          <cell r="E19051" t="str">
            <v>LUC-E00-420235-00</v>
          </cell>
          <cell r="F19051">
            <v>483199553297</v>
          </cell>
        </row>
        <row r="19052">
          <cell r="E19052" t="str">
            <v>LUC-E00-400067-207</v>
          </cell>
          <cell r="F19052">
            <v>483199553297</v>
          </cell>
        </row>
        <row r="19053">
          <cell r="E19053" t="str">
            <v>LUC-E00-400067-320</v>
          </cell>
          <cell r="F19053">
            <v>483199553297</v>
          </cell>
        </row>
        <row r="19054">
          <cell r="E19054" t="str">
            <v>LUC-EZZ-400234-00</v>
          </cell>
          <cell r="F19054">
            <v>483199553297</v>
          </cell>
        </row>
        <row r="19055">
          <cell r="E19055" t="str">
            <v>LUC-E00-400067-374</v>
          </cell>
          <cell r="F19055">
            <v>483199553297</v>
          </cell>
        </row>
        <row r="19056">
          <cell r="E19056" t="str">
            <v>142-000043</v>
          </cell>
          <cell r="F19056">
            <v>483199553297</v>
          </cell>
        </row>
        <row r="19057">
          <cell r="E19057" t="str">
            <v>LUC-EZZ-400554-00</v>
          </cell>
          <cell r="F19057">
            <v>483199553297</v>
          </cell>
        </row>
        <row r="19058">
          <cell r="E19058" t="str">
            <v>LUC-E00-400010-013</v>
          </cell>
          <cell r="F19058">
            <v>483199553297</v>
          </cell>
        </row>
        <row r="19059">
          <cell r="E19059" t="str">
            <v>LUC-E00-420055-19</v>
          </cell>
          <cell r="F19059">
            <v>483199553297</v>
          </cell>
        </row>
        <row r="19060">
          <cell r="E19060" t="str">
            <v>LUC-EZZ-420527-00</v>
          </cell>
          <cell r="F19060">
            <v>483199553297</v>
          </cell>
        </row>
        <row r="19061">
          <cell r="E19061" t="str">
            <v>LUC-EZZ-400291-00</v>
          </cell>
          <cell r="F19061">
            <v>483199553297</v>
          </cell>
        </row>
        <row r="19062">
          <cell r="E19062" t="str">
            <v>LUC-E00-450029-00</v>
          </cell>
          <cell r="F19062">
            <v>483199553297</v>
          </cell>
        </row>
        <row r="19063">
          <cell r="E19063" t="str">
            <v>110-000068.X.X</v>
          </cell>
          <cell r="F19063">
            <v>483199553297</v>
          </cell>
        </row>
        <row r="19064">
          <cell r="E19064" t="str">
            <v>LUC-E00-420027-03</v>
          </cell>
          <cell r="F19064">
            <v>483199553297</v>
          </cell>
        </row>
        <row r="19065">
          <cell r="E19065" t="str">
            <v>LUC-E00-470036-00</v>
          </cell>
          <cell r="F19065">
            <v>483199553297</v>
          </cell>
        </row>
        <row r="19066">
          <cell r="E19066" t="str">
            <v>LUC-EZZ-400269-00</v>
          </cell>
          <cell r="F19066">
            <v>483199553297</v>
          </cell>
        </row>
        <row r="19067">
          <cell r="E19067" t="str">
            <v>LUC-E00-400044-00</v>
          </cell>
          <cell r="F19067">
            <v>483199553297</v>
          </cell>
        </row>
        <row r="19068">
          <cell r="E19068" t="str">
            <v>EF-45079919</v>
          </cell>
          <cell r="F19068">
            <v>483199553297</v>
          </cell>
        </row>
        <row r="19069">
          <cell r="E19069" t="str">
            <v>LUC-EZZ-400192-00</v>
          </cell>
          <cell r="F19069">
            <v>483199553297</v>
          </cell>
        </row>
        <row r="19070">
          <cell r="E19070" t="str">
            <v>LUC-EZZ-400192-00</v>
          </cell>
          <cell r="F19070">
            <v>483199553297</v>
          </cell>
        </row>
        <row r="19071">
          <cell r="E19071" t="str">
            <v>LUC-E00-400035-00</v>
          </cell>
          <cell r="F19071">
            <v>483199553297</v>
          </cell>
        </row>
        <row r="19072">
          <cell r="E19072" t="str">
            <v>LUC-EZZ-470424-00</v>
          </cell>
          <cell r="F19072">
            <v>483199553297</v>
          </cell>
        </row>
        <row r="19073">
          <cell r="E19073" t="str">
            <v>LUC-EZZ-440169-00</v>
          </cell>
          <cell r="F19073">
            <v>483042119840</v>
          </cell>
        </row>
        <row r="19074">
          <cell r="E19074" t="str">
            <v>PUR-16-0044-01</v>
          </cell>
          <cell r="F19074" t="str">
            <v>42I0231449</v>
          </cell>
        </row>
        <row r="19075">
          <cell r="E19075" t="str">
            <v>PUR-16-0046-01</v>
          </cell>
          <cell r="F19075" t="str">
            <v>42I0231449</v>
          </cell>
        </row>
        <row r="19076">
          <cell r="E19076" t="str">
            <v>PUR-16-0046-01</v>
          </cell>
          <cell r="F19076" t="str">
            <v>42I0231449</v>
          </cell>
        </row>
        <row r="19077">
          <cell r="E19077" t="str">
            <v>PUR-16-0046-01</v>
          </cell>
          <cell r="F19077" t="str">
            <v>42I0231449</v>
          </cell>
        </row>
        <row r="19078">
          <cell r="E19078" t="str">
            <v>LUC-E00-470043-00</v>
          </cell>
          <cell r="F19078">
            <v>393908676491</v>
          </cell>
        </row>
        <row r="19079">
          <cell r="E19079" t="str">
            <v>LUC-E00-470037-00</v>
          </cell>
          <cell r="F19079">
            <v>393908676491</v>
          </cell>
        </row>
        <row r="19080">
          <cell r="E19080" t="str">
            <v>LUC-EZZ-470181-00</v>
          </cell>
          <cell r="F19080">
            <v>393908676491</v>
          </cell>
        </row>
        <row r="19081">
          <cell r="E19081" t="str">
            <v>LUC-E00-470125-00</v>
          </cell>
          <cell r="F19081">
            <v>393908676491</v>
          </cell>
        </row>
        <row r="19082">
          <cell r="E19082" t="str">
            <v>LUC-E00-470038-00</v>
          </cell>
          <cell r="F19082">
            <v>393908676491</v>
          </cell>
        </row>
        <row r="19083">
          <cell r="E19083" t="str">
            <v>LUC-EZZ-471621-00</v>
          </cell>
          <cell r="F19083">
            <v>445170617442</v>
          </cell>
        </row>
        <row r="19084">
          <cell r="E19084" t="str">
            <v>LUC-E00-470121-01</v>
          </cell>
          <cell r="F19084">
            <v>393972233956</v>
          </cell>
        </row>
        <row r="19085">
          <cell r="E19085" t="str">
            <v>LUC-E00-420072-00</v>
          </cell>
          <cell r="F19085">
            <v>473879403480</v>
          </cell>
        </row>
        <row r="19086">
          <cell r="E19086" t="str">
            <v>LUC-EZZ-440021-00</v>
          </cell>
          <cell r="F19086">
            <v>473879403480</v>
          </cell>
        </row>
        <row r="19087">
          <cell r="E19087" t="str">
            <v>LUC-EZZ-440192-00</v>
          </cell>
          <cell r="F19087">
            <v>473879403480</v>
          </cell>
        </row>
        <row r="19088">
          <cell r="E19088" t="str">
            <v>LUC-EZZ-470422-00</v>
          </cell>
          <cell r="F19088">
            <v>445170619206</v>
          </cell>
        </row>
        <row r="19089">
          <cell r="E19089" t="str">
            <v>HLOB-09-0279-00</v>
          </cell>
          <cell r="F19089">
            <v>445170619250</v>
          </cell>
        </row>
        <row r="19090">
          <cell r="E19090" t="str">
            <v>LUC-E00-470081-00</v>
          </cell>
          <cell r="F19090">
            <v>479730080313</v>
          </cell>
        </row>
        <row r="19091">
          <cell r="E19091" t="str">
            <v>LUC-E00-420051-02</v>
          </cell>
          <cell r="F19091">
            <v>478682597858</v>
          </cell>
        </row>
        <row r="19092">
          <cell r="E19092" t="str">
            <v>EF-45074500.X.X</v>
          </cell>
          <cell r="F19092">
            <v>483042127014</v>
          </cell>
        </row>
        <row r="19093">
          <cell r="E19093" t="str">
            <v>LUC-E00-440148-00</v>
          </cell>
          <cell r="F19093">
            <v>650969653112</v>
          </cell>
        </row>
        <row r="19094">
          <cell r="E19094" t="str">
            <v>LUC-E00-400010-001</v>
          </cell>
          <cell r="F19094">
            <v>479730081423</v>
          </cell>
        </row>
        <row r="19095">
          <cell r="E19095" t="str">
            <v>AGI-500-40220-01</v>
          </cell>
          <cell r="F19095">
            <v>884922459500</v>
          </cell>
        </row>
        <row r="19096">
          <cell r="E19096" t="str">
            <v>LUC-EZZ-400043-00</v>
          </cell>
          <cell r="F19096">
            <v>884922459500</v>
          </cell>
        </row>
        <row r="19097">
          <cell r="E19097" t="str">
            <v>LUC-EZZ-400297-00</v>
          </cell>
          <cell r="F19097">
            <v>884922459500</v>
          </cell>
        </row>
        <row r="19098">
          <cell r="E19098" t="str">
            <v>LUC-EZZ-400297-00</v>
          </cell>
          <cell r="F19098">
            <v>884922459500</v>
          </cell>
        </row>
        <row r="19099">
          <cell r="E19099" t="str">
            <v>LUC-EZZ-400297-00</v>
          </cell>
          <cell r="F19099">
            <v>884922459500</v>
          </cell>
        </row>
        <row r="19100">
          <cell r="E19100" t="str">
            <v>LUC-EZZ-420140-00</v>
          </cell>
          <cell r="F19100">
            <v>884922459500</v>
          </cell>
        </row>
        <row r="19101">
          <cell r="E19101" t="str">
            <v>LUC-E00-400075-00</v>
          </cell>
          <cell r="F19101">
            <v>884922459500</v>
          </cell>
        </row>
        <row r="19102">
          <cell r="E19102" t="str">
            <v>LUC-E00-400012-09</v>
          </cell>
          <cell r="F19102">
            <v>884922459500</v>
          </cell>
        </row>
        <row r="19103">
          <cell r="E19103" t="str">
            <v>PURET-12-0029-00</v>
          </cell>
          <cell r="F19103">
            <v>884922459500</v>
          </cell>
        </row>
        <row r="19104">
          <cell r="E19104" t="str">
            <v>LUC-EZZ-401043-00</v>
          </cell>
          <cell r="F19104">
            <v>884922459500</v>
          </cell>
        </row>
        <row r="19105">
          <cell r="E19105" t="str">
            <v>LUC-EZZ-401043-00</v>
          </cell>
          <cell r="F19105">
            <v>884922459500</v>
          </cell>
        </row>
        <row r="19106">
          <cell r="E19106" t="str">
            <v>LUC-EZZ-401043-00</v>
          </cell>
          <cell r="F19106">
            <v>884922459500</v>
          </cell>
        </row>
        <row r="19107">
          <cell r="E19107" t="str">
            <v>EF-45122009</v>
          </cell>
          <cell r="F19107">
            <v>884922459500</v>
          </cell>
        </row>
        <row r="19108">
          <cell r="E19108" t="str">
            <v>EF-45122009</v>
          </cell>
          <cell r="F19108">
            <v>884922459500</v>
          </cell>
        </row>
        <row r="19109">
          <cell r="E19109" t="str">
            <v>EF-45027595</v>
          </cell>
          <cell r="F19109">
            <v>884922459500</v>
          </cell>
        </row>
        <row r="19110">
          <cell r="E19110" t="str">
            <v>122-000113.X.X</v>
          </cell>
          <cell r="F19110">
            <v>884922459500</v>
          </cell>
        </row>
        <row r="19111">
          <cell r="E19111" t="str">
            <v>PUR-13-0244-00</v>
          </cell>
          <cell r="F19111">
            <v>884922459500</v>
          </cell>
        </row>
        <row r="19112">
          <cell r="E19112" t="str">
            <v>PURET-13-0009-00</v>
          </cell>
          <cell r="F19112">
            <v>884922459500</v>
          </cell>
        </row>
        <row r="19113">
          <cell r="E19113" t="str">
            <v>EF-45057846.X.X</v>
          </cell>
          <cell r="F19113">
            <v>884922459500</v>
          </cell>
        </row>
        <row r="19114">
          <cell r="E19114" t="str">
            <v>EF-45057846.X.X</v>
          </cell>
          <cell r="F19114">
            <v>884922459500</v>
          </cell>
        </row>
        <row r="19115">
          <cell r="E19115" t="str">
            <v>EF-45058007.X.X</v>
          </cell>
          <cell r="F19115">
            <v>884922459500</v>
          </cell>
        </row>
        <row r="19116">
          <cell r="E19116" t="str">
            <v>EF-45058007.X.X</v>
          </cell>
          <cell r="F19116">
            <v>884922459500</v>
          </cell>
        </row>
        <row r="19117">
          <cell r="E19117" t="str">
            <v>EF-45057846.X.X</v>
          </cell>
          <cell r="F19117">
            <v>884922459500</v>
          </cell>
        </row>
        <row r="19118">
          <cell r="E19118" t="str">
            <v>PUR-13-0155-00</v>
          </cell>
          <cell r="F19118">
            <v>884922459500</v>
          </cell>
        </row>
        <row r="19119">
          <cell r="E19119" t="str">
            <v>EF-45057846.X.X</v>
          </cell>
          <cell r="F19119">
            <v>884922459500</v>
          </cell>
        </row>
        <row r="19120">
          <cell r="E19120" t="str">
            <v>LUC-E00-470079-00</v>
          </cell>
          <cell r="F19120">
            <v>393830004175</v>
          </cell>
        </row>
        <row r="19121">
          <cell r="E19121" t="str">
            <v>LUC-EZZ-510049-00</v>
          </cell>
          <cell r="F19121">
            <v>393830004175</v>
          </cell>
        </row>
        <row r="19122">
          <cell r="E19122" t="str">
            <v>LUC-E00-420037-01</v>
          </cell>
          <cell r="F19122">
            <v>471783747614</v>
          </cell>
        </row>
        <row r="19123">
          <cell r="E19123" t="str">
            <v>LUC-E00-420037-01</v>
          </cell>
          <cell r="F19123">
            <v>471783747614</v>
          </cell>
        </row>
        <row r="19124">
          <cell r="E19124" t="str">
            <v>LUC-E00-420037-01</v>
          </cell>
          <cell r="F19124">
            <v>471783747614</v>
          </cell>
        </row>
        <row r="19125">
          <cell r="E19125" t="str">
            <v>LUC-E00-420037-01</v>
          </cell>
          <cell r="F19125">
            <v>471783747614</v>
          </cell>
        </row>
        <row r="19126">
          <cell r="E19126" t="str">
            <v>LUC-EZZ-420097-00</v>
          </cell>
          <cell r="F19126">
            <v>471797718132</v>
          </cell>
        </row>
        <row r="19127">
          <cell r="E19127" t="str">
            <v>LUC-EZZ-420118-00</v>
          </cell>
          <cell r="F19127">
            <v>471797718132</v>
          </cell>
        </row>
        <row r="19128">
          <cell r="E19128" t="str">
            <v>LUC-EZZ-420219-00</v>
          </cell>
          <cell r="F19128">
            <v>471797718132</v>
          </cell>
        </row>
        <row r="19129">
          <cell r="E19129" t="str">
            <v>LUC-EZZ-420178-00</v>
          </cell>
          <cell r="F19129">
            <v>471797718132</v>
          </cell>
        </row>
        <row r="19130">
          <cell r="E19130" t="str">
            <v>LUC-E00-420048-00</v>
          </cell>
          <cell r="F19130">
            <v>471797718132</v>
          </cell>
        </row>
        <row r="19131">
          <cell r="E19131" t="str">
            <v>LUC-E00-420037-03</v>
          </cell>
          <cell r="F19131">
            <v>471797718132</v>
          </cell>
        </row>
        <row r="19132">
          <cell r="E19132" t="str">
            <v>PUR-13-0229-00</v>
          </cell>
          <cell r="F19132">
            <v>471797718132</v>
          </cell>
        </row>
        <row r="19133">
          <cell r="E19133" t="str">
            <v>PUR-13-0229-00</v>
          </cell>
          <cell r="F19133">
            <v>471797718132</v>
          </cell>
        </row>
        <row r="19134">
          <cell r="E19134" t="str">
            <v>LUC-E00-420002-00</v>
          </cell>
          <cell r="F19134">
            <v>471797718132</v>
          </cell>
        </row>
        <row r="19135">
          <cell r="E19135" t="str">
            <v>LUC-E00-420002-00</v>
          </cell>
          <cell r="F19135">
            <v>471797718132</v>
          </cell>
        </row>
        <row r="19136">
          <cell r="E19136" t="str">
            <v>LUC-E00-420002-00</v>
          </cell>
          <cell r="F19136">
            <v>471797718132</v>
          </cell>
        </row>
        <row r="19137">
          <cell r="E19137" t="str">
            <v>LUC-E00-400059-098</v>
          </cell>
          <cell r="F19137">
            <v>471797718132</v>
          </cell>
        </row>
        <row r="19138">
          <cell r="E19138" t="str">
            <v>LUC-E00-420072-00</v>
          </cell>
          <cell r="F19138">
            <v>471797718132</v>
          </cell>
        </row>
        <row r="19139">
          <cell r="E19139" t="str">
            <v>LUC-EZZ-420539-00</v>
          </cell>
          <cell r="F19139">
            <v>471797718132</v>
          </cell>
        </row>
        <row r="19140">
          <cell r="E19140" t="str">
            <v>LUC-EZZ-420539-00</v>
          </cell>
          <cell r="F19140">
            <v>471797718132</v>
          </cell>
        </row>
        <row r="19141">
          <cell r="E19141" t="str">
            <v>EF-45059919.X.X</v>
          </cell>
          <cell r="F19141">
            <v>471797718132</v>
          </cell>
        </row>
        <row r="19142">
          <cell r="E19142" t="str">
            <v>PURET-13-0066-00</v>
          </cell>
          <cell r="F19142">
            <v>471797718132</v>
          </cell>
        </row>
        <row r="19143">
          <cell r="E19143" t="str">
            <v>LUC-E00-420185-00</v>
          </cell>
          <cell r="F19143">
            <v>471797718132</v>
          </cell>
        </row>
        <row r="19144">
          <cell r="E19144" t="str">
            <v>LUC-EZZ-420133-00</v>
          </cell>
          <cell r="F19144">
            <v>471797718132</v>
          </cell>
        </row>
        <row r="19145">
          <cell r="E19145" t="str">
            <v>LUC-E00-470045-00</v>
          </cell>
          <cell r="F19145">
            <v>393788230593</v>
          </cell>
        </row>
        <row r="19146">
          <cell r="E19146" t="str">
            <v>LUC-E00-470127-00</v>
          </cell>
          <cell r="F19146">
            <v>393788230593</v>
          </cell>
        </row>
        <row r="19147">
          <cell r="E19147" t="str">
            <v>LUC-EZZ-470308-00</v>
          </cell>
          <cell r="F19147">
            <v>393788230593</v>
          </cell>
        </row>
        <row r="19148">
          <cell r="E19148" t="str">
            <v>LUC-EZZ-470422-00</v>
          </cell>
          <cell r="F19148">
            <v>393788230593</v>
          </cell>
        </row>
        <row r="19149">
          <cell r="E19149" t="str">
            <v>LUC-E00-420055-15</v>
          </cell>
          <cell r="F19149">
            <v>483042155860</v>
          </cell>
        </row>
        <row r="19150">
          <cell r="E19150" t="str">
            <v>HLOB-13-0236-00</v>
          </cell>
          <cell r="F19150">
            <v>4914968272</v>
          </cell>
        </row>
        <row r="19151">
          <cell r="E19151" t="str">
            <v>PUR-13-0236-00</v>
          </cell>
          <cell r="F19151">
            <v>4914968272</v>
          </cell>
        </row>
        <row r="19152">
          <cell r="E19152" t="str">
            <v>PUR-13-0236-00</v>
          </cell>
          <cell r="F19152">
            <v>4914968272</v>
          </cell>
        </row>
        <row r="19153">
          <cell r="E19153" t="str">
            <v>LUC-E00-690037-00</v>
          </cell>
          <cell r="F19153">
            <v>4110329581</v>
          </cell>
        </row>
        <row r="19154">
          <cell r="E19154" t="str">
            <v>LUC-E00-690037-00</v>
          </cell>
          <cell r="F19154">
            <v>4110329581</v>
          </cell>
        </row>
        <row r="19155">
          <cell r="E19155" t="str">
            <v>LUC-E00-690037-00</v>
          </cell>
          <cell r="F19155">
            <v>4110329581</v>
          </cell>
        </row>
        <row r="19156">
          <cell r="E19156" t="str">
            <v>LUC-E00-690037-00</v>
          </cell>
          <cell r="F19156">
            <v>4110329581</v>
          </cell>
        </row>
        <row r="19157">
          <cell r="E19157" t="str">
            <v>LUC-E00-690037-00</v>
          </cell>
          <cell r="F19157">
            <v>4110329581</v>
          </cell>
        </row>
        <row r="19158">
          <cell r="E19158" t="str">
            <v>LUC-EZZ-690942-00</v>
          </cell>
          <cell r="F19158">
            <v>4110329582</v>
          </cell>
        </row>
        <row r="19159">
          <cell r="E19159" t="str">
            <v>LUC-E00-690217-01</v>
          </cell>
          <cell r="F19159">
            <v>4110329582</v>
          </cell>
        </row>
        <row r="19160">
          <cell r="E19160" t="str">
            <v>LUC-EZZ-690942-00</v>
          </cell>
          <cell r="F19160">
            <v>4110329582</v>
          </cell>
        </row>
        <row r="19161">
          <cell r="E19161" t="str">
            <v>LUC-EZZ-690942-00</v>
          </cell>
          <cell r="F19161">
            <v>4110329582</v>
          </cell>
        </row>
        <row r="19162">
          <cell r="E19162" t="str">
            <v>LUC-E00-690001-00</v>
          </cell>
          <cell r="F19162">
            <v>4110329617</v>
          </cell>
        </row>
        <row r="19163">
          <cell r="E19163" t="str">
            <v>LUC-EZZ-690131-00</v>
          </cell>
          <cell r="F19163">
            <v>4110329622</v>
          </cell>
        </row>
        <row r="19164">
          <cell r="E19164" t="str">
            <v>LUC-EZZ-690131-00</v>
          </cell>
          <cell r="F19164">
            <v>4110329622</v>
          </cell>
        </row>
        <row r="19165">
          <cell r="E19165" t="str">
            <v>LUC-EZZ-690131-00</v>
          </cell>
          <cell r="F19165">
            <v>4110329622</v>
          </cell>
        </row>
        <row r="19166">
          <cell r="E19166" t="str">
            <v>LUC-EZZ-690131-00</v>
          </cell>
          <cell r="F19166">
            <v>4110329622</v>
          </cell>
        </row>
        <row r="19167">
          <cell r="E19167" t="str">
            <v>LUC-EZZ-690708-00</v>
          </cell>
          <cell r="F19167">
            <v>4110329624</v>
          </cell>
        </row>
        <row r="19168">
          <cell r="E19168" t="str">
            <v>PUR-09-0434-00</v>
          </cell>
          <cell r="F19168">
            <v>484789593410</v>
          </cell>
        </row>
        <row r="19169">
          <cell r="E19169" t="str">
            <v>LUC-EZZ-420101-00</v>
          </cell>
          <cell r="F19169">
            <v>409298807558</v>
          </cell>
        </row>
        <row r="19170">
          <cell r="E19170" t="str">
            <v>LUC-EZZ-420101-00</v>
          </cell>
          <cell r="F19170">
            <v>409298807558</v>
          </cell>
        </row>
        <row r="19171">
          <cell r="E19171" t="str">
            <v>LUC-EZZ-420101-00</v>
          </cell>
          <cell r="F19171">
            <v>409298807558</v>
          </cell>
        </row>
        <row r="19172">
          <cell r="E19172" t="str">
            <v>LUC-E00-420049-00</v>
          </cell>
          <cell r="F19172">
            <v>409298807558</v>
          </cell>
        </row>
        <row r="19173">
          <cell r="E19173" t="str">
            <v>LUC-E00-420049-00</v>
          </cell>
          <cell r="F19173">
            <v>409298807558</v>
          </cell>
        </row>
        <row r="19174">
          <cell r="E19174" t="str">
            <v>LUC-E00-420047-00</v>
          </cell>
          <cell r="F19174">
            <v>409298807558</v>
          </cell>
        </row>
        <row r="19175">
          <cell r="E19175" t="str">
            <v>LUC-E00-420047-00</v>
          </cell>
          <cell r="F19175">
            <v>409298807558</v>
          </cell>
        </row>
        <row r="19176">
          <cell r="E19176" t="str">
            <v>LUC-E00-420047-00</v>
          </cell>
          <cell r="F19176">
            <v>409298807558</v>
          </cell>
        </row>
        <row r="19177">
          <cell r="E19177" t="str">
            <v>LUC-E00-420047-00</v>
          </cell>
          <cell r="F19177">
            <v>409298807558</v>
          </cell>
        </row>
        <row r="19178">
          <cell r="E19178" t="str">
            <v>LUC-E00-420047-00</v>
          </cell>
          <cell r="F19178">
            <v>409298807558</v>
          </cell>
        </row>
        <row r="19179">
          <cell r="E19179" t="str">
            <v>LUC-E00-420002-03</v>
          </cell>
          <cell r="F19179">
            <v>409298807558</v>
          </cell>
        </row>
        <row r="19180">
          <cell r="E19180" t="str">
            <v>LUC-E00-400018-01</v>
          </cell>
          <cell r="F19180">
            <v>409298807558</v>
          </cell>
        </row>
        <row r="19181">
          <cell r="E19181" t="str">
            <v>EF-45036465</v>
          </cell>
          <cell r="F19181">
            <v>409298807558</v>
          </cell>
        </row>
        <row r="19182">
          <cell r="E19182" t="str">
            <v>LUC-EZZ-401517-00</v>
          </cell>
          <cell r="F19182">
            <v>409298807558</v>
          </cell>
        </row>
        <row r="19183">
          <cell r="E19183" t="str">
            <v>LUC-E00-400010-004</v>
          </cell>
          <cell r="F19183">
            <v>409298807558</v>
          </cell>
        </row>
        <row r="19184">
          <cell r="E19184" t="str">
            <v>LUC-E00-420002-03</v>
          </cell>
          <cell r="F19184">
            <v>409298807558</v>
          </cell>
        </row>
        <row r="19185">
          <cell r="E19185" t="str">
            <v>LUC-E00-420003-00</v>
          </cell>
          <cell r="F19185">
            <v>409298807558</v>
          </cell>
        </row>
        <row r="19186">
          <cell r="E19186" t="str">
            <v>LUC-E00-420011-00</v>
          </cell>
          <cell r="F19186">
            <v>409298807558</v>
          </cell>
        </row>
        <row r="19187">
          <cell r="E19187" t="str">
            <v>LUC-EZZ-420098-00</v>
          </cell>
          <cell r="F19187">
            <v>409298807558</v>
          </cell>
        </row>
        <row r="19188">
          <cell r="E19188" t="str">
            <v>LUC-EZZ-420091-00</v>
          </cell>
          <cell r="F19188">
            <v>409298807558</v>
          </cell>
        </row>
        <row r="19189">
          <cell r="E19189" t="str">
            <v>LUC-EZZ-420101-00</v>
          </cell>
          <cell r="F19189">
            <v>409298807558</v>
          </cell>
        </row>
        <row r="19190">
          <cell r="E19190" t="str">
            <v>LUC-EZZ-420101-00</v>
          </cell>
          <cell r="F19190">
            <v>409298807558</v>
          </cell>
        </row>
        <row r="19191">
          <cell r="E19191" t="str">
            <v>LUC-EZZ-420159-00</v>
          </cell>
          <cell r="F19191">
            <v>409298807558</v>
          </cell>
        </row>
        <row r="19192">
          <cell r="E19192" t="str">
            <v>LUC-E00-420049-01</v>
          </cell>
          <cell r="F19192">
            <v>409298807558</v>
          </cell>
        </row>
        <row r="19193">
          <cell r="E19193" t="str">
            <v>LUC-EZZ-420210-00</v>
          </cell>
          <cell r="F19193">
            <v>409298807558</v>
          </cell>
        </row>
        <row r="19194">
          <cell r="E19194" t="str">
            <v>LUC-EZZ-400260-00</v>
          </cell>
          <cell r="F19194">
            <v>409298807558</v>
          </cell>
        </row>
        <row r="19195">
          <cell r="E19195" t="str">
            <v>LUC-EZZ-421534-00</v>
          </cell>
          <cell r="F19195">
            <v>409298807558</v>
          </cell>
        </row>
        <row r="19196">
          <cell r="E19196" t="str">
            <v>LUC-EZZ-400260-00</v>
          </cell>
          <cell r="F19196">
            <v>409298807558</v>
          </cell>
        </row>
        <row r="19197">
          <cell r="E19197" t="str">
            <v>LUC-E00-420059-00</v>
          </cell>
          <cell r="F19197">
            <v>409298807558</v>
          </cell>
        </row>
        <row r="19198">
          <cell r="E19198" t="str">
            <v>LUC-EZZ-420098-00</v>
          </cell>
          <cell r="F19198">
            <v>409298807558</v>
          </cell>
        </row>
        <row r="19199">
          <cell r="E19199" t="str">
            <v>LUC-EZZ-420493-00</v>
          </cell>
          <cell r="F19199">
            <v>409298807558</v>
          </cell>
        </row>
        <row r="19200">
          <cell r="E19200" t="str">
            <v>LUC-EZZ-420289-00</v>
          </cell>
          <cell r="F19200">
            <v>409298807558</v>
          </cell>
        </row>
        <row r="19201">
          <cell r="E19201" t="str">
            <v>LUC-EZZ-421362-00</v>
          </cell>
          <cell r="F19201">
            <v>409298807558</v>
          </cell>
        </row>
        <row r="19202">
          <cell r="E19202" t="str">
            <v>LUC-EZZ-420143-00</v>
          </cell>
          <cell r="F19202">
            <v>409298807558</v>
          </cell>
        </row>
        <row r="19203">
          <cell r="E19203" t="str">
            <v>LUC-EZZ-420084-00</v>
          </cell>
          <cell r="F19203">
            <v>409298807558</v>
          </cell>
        </row>
        <row r="19204">
          <cell r="E19204" t="str">
            <v>LUC-EZZ-400609-00</v>
          </cell>
          <cell r="F19204">
            <v>409298807558</v>
          </cell>
        </row>
        <row r="19205">
          <cell r="E19205" t="str">
            <v>LUC-E00-420033-00</v>
          </cell>
          <cell r="F19205">
            <v>409298807558</v>
          </cell>
        </row>
        <row r="19206">
          <cell r="E19206" t="str">
            <v>EF-45046948.X.X</v>
          </cell>
          <cell r="F19206">
            <v>409298807558</v>
          </cell>
        </row>
        <row r="19207">
          <cell r="E19207" t="str">
            <v>LUC-E00-440011-00</v>
          </cell>
          <cell r="F19207">
            <v>409298807558</v>
          </cell>
        </row>
        <row r="19208">
          <cell r="E19208" t="str">
            <v>LUC-EZZ-420058-00</v>
          </cell>
          <cell r="F19208">
            <v>409298807558</v>
          </cell>
        </row>
        <row r="19209">
          <cell r="E19209" t="str">
            <v>LUC-EZZ-420101-00</v>
          </cell>
          <cell r="F19209">
            <v>409298807558</v>
          </cell>
        </row>
        <row r="19210">
          <cell r="E19210" t="str">
            <v>LUC-EZZ-420101-00</v>
          </cell>
          <cell r="F19210">
            <v>409298807558</v>
          </cell>
        </row>
        <row r="19211">
          <cell r="E19211" t="str">
            <v>LUC-E00-420059-00</v>
          </cell>
          <cell r="F19211">
            <v>409298807558</v>
          </cell>
        </row>
        <row r="19212">
          <cell r="E19212" t="str">
            <v>LUC-E00-420047-00</v>
          </cell>
          <cell r="F19212">
            <v>409298807558</v>
          </cell>
        </row>
        <row r="19213">
          <cell r="E19213" t="str">
            <v>LUC-EZZ-420392-00</v>
          </cell>
          <cell r="F19213">
            <v>409298807558</v>
          </cell>
        </row>
        <row r="19214">
          <cell r="E19214" t="str">
            <v>LUC-EZZ-420159-00</v>
          </cell>
          <cell r="F19214">
            <v>409298807558</v>
          </cell>
        </row>
        <row r="19215">
          <cell r="E19215" t="str">
            <v>LUC-EZZ-420210-00</v>
          </cell>
          <cell r="F19215">
            <v>409298807558</v>
          </cell>
        </row>
        <row r="19216">
          <cell r="E19216" t="str">
            <v>LUC-EZZ-420403-00</v>
          </cell>
          <cell r="F19216">
            <v>409298807558</v>
          </cell>
        </row>
        <row r="19217">
          <cell r="E19217" t="str">
            <v>LUC-EZZ-420101-00</v>
          </cell>
          <cell r="F19217">
            <v>409298807558</v>
          </cell>
        </row>
        <row r="19218">
          <cell r="E19218" t="str">
            <v>LUC-EZZ-420058-00</v>
          </cell>
          <cell r="F19218">
            <v>409298807558</v>
          </cell>
        </row>
        <row r="19219">
          <cell r="E19219" t="str">
            <v>LUC-EZZ-420085-00</v>
          </cell>
          <cell r="F19219">
            <v>409298807558</v>
          </cell>
        </row>
        <row r="19220">
          <cell r="E19220" t="str">
            <v>LUC-EZZ-420101-00</v>
          </cell>
          <cell r="F19220">
            <v>409298807558</v>
          </cell>
        </row>
        <row r="19221">
          <cell r="E19221" t="str">
            <v>LUC-E00-400034-118</v>
          </cell>
          <cell r="F19221">
            <v>409298807558</v>
          </cell>
        </row>
        <row r="19222">
          <cell r="E19222" t="str">
            <v>LUC-EZZ-400228-00</v>
          </cell>
          <cell r="F19222">
            <v>409298807558</v>
          </cell>
        </row>
        <row r="19223">
          <cell r="E19223" t="str">
            <v>EF-45035930.X.X</v>
          </cell>
          <cell r="F19223">
            <v>419341587702</v>
          </cell>
        </row>
        <row r="19224">
          <cell r="E19224" t="str">
            <v>EF-45093131.X.X</v>
          </cell>
          <cell r="F19224">
            <v>419341587702</v>
          </cell>
        </row>
        <row r="19225">
          <cell r="E19225" t="str">
            <v>EF-45093131.X.X</v>
          </cell>
          <cell r="F19225">
            <v>419341587702</v>
          </cell>
        </row>
        <row r="19226">
          <cell r="E19226" t="str">
            <v>EF-45059490.X.X</v>
          </cell>
          <cell r="F19226">
            <v>419341587702</v>
          </cell>
        </row>
        <row r="19227">
          <cell r="E19227" t="str">
            <v>EF-45048818</v>
          </cell>
          <cell r="F19227">
            <v>419341587702</v>
          </cell>
        </row>
        <row r="19228">
          <cell r="E19228" t="str">
            <v>EF-45093131.X.X</v>
          </cell>
          <cell r="F19228">
            <v>419341587702</v>
          </cell>
        </row>
        <row r="19229">
          <cell r="E19229" t="str">
            <v>EF-45037442.X.X</v>
          </cell>
          <cell r="F19229">
            <v>419341587702</v>
          </cell>
        </row>
        <row r="19230">
          <cell r="E19230" t="str">
            <v>EF-45057845.X.X</v>
          </cell>
          <cell r="F19230">
            <v>419341587702</v>
          </cell>
        </row>
        <row r="19231">
          <cell r="E19231" t="str">
            <v>LUC-E00-450047-00</v>
          </cell>
          <cell r="F19231">
            <v>419341587702</v>
          </cell>
        </row>
        <row r="19232">
          <cell r="E19232" t="str">
            <v>HLOB-09-0477-00</v>
          </cell>
          <cell r="F19232">
            <v>445170619283</v>
          </cell>
        </row>
        <row r="19233">
          <cell r="E19233" t="str">
            <v>LUC-E00-470413-01</v>
          </cell>
          <cell r="F19233">
            <v>479730082073</v>
          </cell>
        </row>
        <row r="19234">
          <cell r="E19234" t="str">
            <v>PURET-21-0009-00</v>
          </cell>
          <cell r="F19234">
            <v>479730082095</v>
          </cell>
        </row>
        <row r="19235">
          <cell r="E19235" t="str">
            <v>EF-45090995</v>
          </cell>
          <cell r="F19235">
            <v>479730082084</v>
          </cell>
        </row>
        <row r="19236">
          <cell r="E19236" t="str">
            <v>PUR-09-0213-00</v>
          </cell>
          <cell r="F19236">
            <v>479730082750</v>
          </cell>
        </row>
        <row r="19237">
          <cell r="E19237" t="str">
            <v>LUC-EZZ-470114-00</v>
          </cell>
          <cell r="F19237">
            <v>479730082577</v>
          </cell>
        </row>
        <row r="19238">
          <cell r="E19238" t="str">
            <v>LUC-E00-470070-00</v>
          </cell>
          <cell r="F19238">
            <v>479730082110</v>
          </cell>
        </row>
        <row r="19239">
          <cell r="E19239" t="str">
            <v>PUR-09-0434-00</v>
          </cell>
          <cell r="F19239">
            <v>484789597909</v>
          </cell>
        </row>
        <row r="19240">
          <cell r="E19240" t="str">
            <v>LUC-E00-400003-011</v>
          </cell>
          <cell r="F19240">
            <v>479730083460</v>
          </cell>
        </row>
        <row r="19241">
          <cell r="E19241" t="str">
            <v>LUC-EZZ-470369-00</v>
          </cell>
          <cell r="F19241">
            <v>884955861466</v>
          </cell>
        </row>
        <row r="19242">
          <cell r="E19242" t="str">
            <v>AGI-500-40220-01</v>
          </cell>
          <cell r="F19242">
            <v>884955861466</v>
          </cell>
        </row>
        <row r="19243">
          <cell r="E19243" t="str">
            <v>AIC-MP-00000937-000</v>
          </cell>
          <cell r="F19243">
            <v>884952609261</v>
          </cell>
        </row>
        <row r="19244">
          <cell r="E19244" t="str">
            <v>AIC-MP-00000935-000</v>
          </cell>
          <cell r="F19244">
            <v>884952609261</v>
          </cell>
        </row>
        <row r="19245">
          <cell r="E19245" t="str">
            <v>AIC-119-001260</v>
          </cell>
          <cell r="F19245">
            <v>884952609261</v>
          </cell>
        </row>
        <row r="19246">
          <cell r="E19246" t="str">
            <v>LUC-E00-470413-01</v>
          </cell>
          <cell r="F19246">
            <v>393921957995</v>
          </cell>
        </row>
        <row r="19247">
          <cell r="E19247" t="str">
            <v>LUC-E00-400267-00</v>
          </cell>
          <cell r="F19247">
            <v>476513900780</v>
          </cell>
        </row>
        <row r="19248">
          <cell r="E19248" t="str">
            <v>121-000585.X.X</v>
          </cell>
          <cell r="F19248">
            <v>4914968265</v>
          </cell>
        </row>
        <row r="19249">
          <cell r="E19249" t="str">
            <v>LUC-E00-420024-00</v>
          </cell>
          <cell r="F19249">
            <v>4914968265</v>
          </cell>
        </row>
        <row r="19250">
          <cell r="E19250" t="str">
            <v>122-000212.X.X</v>
          </cell>
          <cell r="F19250">
            <v>4914968265</v>
          </cell>
        </row>
        <row r="19251">
          <cell r="E19251" t="str">
            <v>AIC-MP-00003528-000</v>
          </cell>
          <cell r="F19251">
            <v>4914968265</v>
          </cell>
        </row>
        <row r="19252">
          <cell r="E19252" t="str">
            <v>122-000673.X.X</v>
          </cell>
          <cell r="F19252">
            <v>4914968265</v>
          </cell>
        </row>
        <row r="19253">
          <cell r="E19253" t="str">
            <v>AIC-MP-00000047-000</v>
          </cell>
          <cell r="F19253">
            <v>4914968265</v>
          </cell>
        </row>
        <row r="19254">
          <cell r="E19254" t="str">
            <v>LUC-EZZ-401538-00</v>
          </cell>
          <cell r="F19254">
            <v>4914968265</v>
          </cell>
        </row>
        <row r="19255">
          <cell r="E19255" t="str">
            <v>LUC-EZZ-400042-00</v>
          </cell>
          <cell r="F19255">
            <v>4914968265</v>
          </cell>
        </row>
        <row r="19256">
          <cell r="E19256" t="str">
            <v>LUC-EZZ-400042-00</v>
          </cell>
          <cell r="F19256">
            <v>4914968265</v>
          </cell>
        </row>
        <row r="19257">
          <cell r="E19257" t="str">
            <v>LUC-E00-400035-04</v>
          </cell>
          <cell r="F19257">
            <v>4914968265</v>
          </cell>
        </row>
        <row r="19258">
          <cell r="E19258" t="str">
            <v>LUC-E00-400020-000</v>
          </cell>
          <cell r="F19258">
            <v>4914968265</v>
          </cell>
        </row>
        <row r="19259">
          <cell r="E19259" t="str">
            <v>PUR-12-0284-00</v>
          </cell>
          <cell r="F19259">
            <v>4914968265</v>
          </cell>
        </row>
        <row r="19260">
          <cell r="E19260" t="str">
            <v>PUR-12-0293-00</v>
          </cell>
          <cell r="F19260">
            <v>4914968265</v>
          </cell>
        </row>
        <row r="19261">
          <cell r="E19261" t="str">
            <v>121-000193.X.X</v>
          </cell>
          <cell r="F19261">
            <v>4914968265</v>
          </cell>
        </row>
        <row r="19262">
          <cell r="E19262" t="str">
            <v>121-000525.X.X</v>
          </cell>
          <cell r="F19262">
            <v>4914968265</v>
          </cell>
        </row>
        <row r="19263">
          <cell r="E19263" t="str">
            <v>121-000525.X.X</v>
          </cell>
          <cell r="F19263">
            <v>4914968265</v>
          </cell>
        </row>
        <row r="19264">
          <cell r="E19264" t="str">
            <v>121-000356.X.X</v>
          </cell>
          <cell r="F19264">
            <v>4914968265</v>
          </cell>
        </row>
        <row r="19265">
          <cell r="E19265" t="str">
            <v>AIC-MP-00000061-000</v>
          </cell>
          <cell r="F19265">
            <v>4914968265</v>
          </cell>
        </row>
        <row r="19266">
          <cell r="E19266" t="str">
            <v>AIC-MP-00000073-000</v>
          </cell>
          <cell r="F19266">
            <v>4914968265</v>
          </cell>
        </row>
        <row r="19267">
          <cell r="E19267" t="str">
            <v>PUR-12-0467-00</v>
          </cell>
          <cell r="F19267">
            <v>4914968265</v>
          </cell>
        </row>
        <row r="19268">
          <cell r="E19268" t="str">
            <v>121-000525.X.X</v>
          </cell>
          <cell r="F19268">
            <v>4914968265</v>
          </cell>
        </row>
        <row r="19269">
          <cell r="E19269" t="str">
            <v>121-000525.X.X</v>
          </cell>
          <cell r="F19269">
            <v>4914968265</v>
          </cell>
        </row>
        <row r="19270">
          <cell r="E19270" t="str">
            <v>LUC-E00-400035-04</v>
          </cell>
          <cell r="F19270">
            <v>4914968265</v>
          </cell>
        </row>
        <row r="19271">
          <cell r="E19271" t="str">
            <v>121-000253.X.X</v>
          </cell>
          <cell r="F19271">
            <v>4914968265</v>
          </cell>
        </row>
        <row r="19272">
          <cell r="E19272" t="str">
            <v>121-000253.X.X</v>
          </cell>
          <cell r="F19272">
            <v>4914968265</v>
          </cell>
        </row>
        <row r="19273">
          <cell r="E19273" t="str">
            <v>AIC-MP-00003561-000</v>
          </cell>
          <cell r="F19273">
            <v>4914968265</v>
          </cell>
        </row>
        <row r="19274">
          <cell r="E19274" t="str">
            <v>LUC-E00-420025-03</v>
          </cell>
          <cell r="F19274">
            <v>4914968265</v>
          </cell>
        </row>
        <row r="19275">
          <cell r="E19275" t="str">
            <v>LUC-EZZ-420822-00</v>
          </cell>
          <cell r="F19275">
            <v>4914968265</v>
          </cell>
        </row>
        <row r="19276">
          <cell r="E19276" t="str">
            <v>LUC-E00-420025-02</v>
          </cell>
          <cell r="F19276">
            <v>4914968265</v>
          </cell>
        </row>
        <row r="19277">
          <cell r="E19277" t="str">
            <v>LUC-E00-420025-02</v>
          </cell>
          <cell r="F19277">
            <v>4914968265</v>
          </cell>
        </row>
        <row r="19278">
          <cell r="E19278" t="str">
            <v>LUC-E00-420135-00</v>
          </cell>
          <cell r="F19278">
            <v>4914968265</v>
          </cell>
        </row>
        <row r="19279">
          <cell r="E19279" t="str">
            <v>LUC-E00-420135-00</v>
          </cell>
          <cell r="F19279">
            <v>4914968265</v>
          </cell>
        </row>
        <row r="19280">
          <cell r="E19280" t="str">
            <v>122-000821.X.X</v>
          </cell>
          <cell r="F19280">
            <v>4914968265</v>
          </cell>
        </row>
        <row r="19281">
          <cell r="E19281" t="str">
            <v>122-000756.X.X</v>
          </cell>
          <cell r="F19281">
            <v>4914968265</v>
          </cell>
        </row>
        <row r="19282">
          <cell r="E19282" t="str">
            <v>122-000756.X.X</v>
          </cell>
          <cell r="F19282">
            <v>4914968265</v>
          </cell>
        </row>
        <row r="19283">
          <cell r="E19283" t="str">
            <v>121-000359.X.X</v>
          </cell>
          <cell r="F19283">
            <v>4914968265</v>
          </cell>
        </row>
        <row r="19284">
          <cell r="E19284" t="str">
            <v>121-000359.X.X</v>
          </cell>
          <cell r="F19284">
            <v>4914968265</v>
          </cell>
        </row>
        <row r="19285">
          <cell r="E19285" t="str">
            <v>121-001611</v>
          </cell>
          <cell r="F19285">
            <v>4914968265</v>
          </cell>
        </row>
        <row r="19286">
          <cell r="E19286" t="str">
            <v>121-001611</v>
          </cell>
          <cell r="F19286">
            <v>4914968265</v>
          </cell>
        </row>
        <row r="19287">
          <cell r="E19287" t="str">
            <v>121-001611</v>
          </cell>
          <cell r="F19287">
            <v>4914968265</v>
          </cell>
        </row>
        <row r="19288">
          <cell r="E19288" t="str">
            <v>121-001823</v>
          </cell>
          <cell r="F19288">
            <v>4914968265</v>
          </cell>
        </row>
        <row r="19289">
          <cell r="E19289" t="str">
            <v>121-001823</v>
          </cell>
          <cell r="F19289">
            <v>4914968265</v>
          </cell>
        </row>
        <row r="19290">
          <cell r="E19290" t="str">
            <v>121-001823</v>
          </cell>
          <cell r="F19290">
            <v>4914968265</v>
          </cell>
        </row>
        <row r="19291">
          <cell r="E19291" t="str">
            <v>121-000033.X.X</v>
          </cell>
          <cell r="F19291">
            <v>4914968265</v>
          </cell>
        </row>
        <row r="19292">
          <cell r="E19292" t="str">
            <v>121-000153.X.X</v>
          </cell>
          <cell r="F19292">
            <v>4914968265</v>
          </cell>
        </row>
        <row r="19293">
          <cell r="E19293" t="str">
            <v>122-000362.X.X</v>
          </cell>
          <cell r="F19293">
            <v>4914968265</v>
          </cell>
        </row>
        <row r="19294">
          <cell r="E19294" t="str">
            <v>122-000362.X.X</v>
          </cell>
          <cell r="F19294">
            <v>4914968265</v>
          </cell>
        </row>
        <row r="19295">
          <cell r="E19295" t="str">
            <v>122-000453.X.X</v>
          </cell>
          <cell r="F19295">
            <v>4914968265</v>
          </cell>
        </row>
        <row r="19296">
          <cell r="E19296" t="str">
            <v>122-000453.X.X</v>
          </cell>
          <cell r="F19296">
            <v>4914968265</v>
          </cell>
        </row>
        <row r="19297">
          <cell r="E19297" t="str">
            <v>122-000453.X.X</v>
          </cell>
          <cell r="F19297">
            <v>4914968265</v>
          </cell>
        </row>
        <row r="19298">
          <cell r="E19298" t="str">
            <v>122-000453.X.X</v>
          </cell>
          <cell r="F19298">
            <v>4914968265</v>
          </cell>
        </row>
        <row r="19299">
          <cell r="E19299" t="str">
            <v>122-000453.X.X</v>
          </cell>
          <cell r="F19299">
            <v>4914968265</v>
          </cell>
        </row>
        <row r="19300">
          <cell r="E19300" t="str">
            <v>122-000821.X.X</v>
          </cell>
          <cell r="F19300">
            <v>4914968265</v>
          </cell>
        </row>
        <row r="19301">
          <cell r="E19301" t="str">
            <v>122-000821.X.X</v>
          </cell>
          <cell r="F19301">
            <v>4914968265</v>
          </cell>
        </row>
        <row r="19302">
          <cell r="E19302" t="str">
            <v>122-000821.X.X</v>
          </cell>
          <cell r="F19302">
            <v>4914968265</v>
          </cell>
        </row>
        <row r="19303">
          <cell r="E19303" t="str">
            <v>122-000701.X.X</v>
          </cell>
          <cell r="F19303">
            <v>4914968265</v>
          </cell>
        </row>
        <row r="19304">
          <cell r="E19304" t="str">
            <v>122-000701.X.X</v>
          </cell>
          <cell r="F19304">
            <v>4914968265</v>
          </cell>
        </row>
        <row r="19305">
          <cell r="E19305" t="str">
            <v>121-000519.X.X</v>
          </cell>
          <cell r="F19305">
            <v>4914968265</v>
          </cell>
        </row>
        <row r="19306">
          <cell r="E19306" t="str">
            <v>121-000519.X.X</v>
          </cell>
          <cell r="F19306">
            <v>4914968265</v>
          </cell>
        </row>
        <row r="19307">
          <cell r="E19307" t="str">
            <v>121-001609</v>
          </cell>
          <cell r="F19307">
            <v>4914968265</v>
          </cell>
        </row>
        <row r="19308">
          <cell r="E19308" t="str">
            <v>121-001610</v>
          </cell>
          <cell r="F19308">
            <v>4914968265</v>
          </cell>
        </row>
        <row r="19309">
          <cell r="E19309" t="str">
            <v>121-000359.X.X</v>
          </cell>
          <cell r="F19309">
            <v>4914968265</v>
          </cell>
        </row>
        <row r="19310">
          <cell r="E19310" t="str">
            <v>121-000359.X.X</v>
          </cell>
          <cell r="F19310">
            <v>4914968265</v>
          </cell>
        </row>
        <row r="19311">
          <cell r="E19311" t="str">
            <v>121-000359.X.X</v>
          </cell>
          <cell r="F19311">
            <v>4914968265</v>
          </cell>
        </row>
        <row r="19312">
          <cell r="E19312" t="str">
            <v>AGI-500-40015-01</v>
          </cell>
          <cell r="F19312">
            <v>4914968265</v>
          </cell>
        </row>
        <row r="19313">
          <cell r="E19313" t="str">
            <v>LUC-E00-420135-00</v>
          </cell>
          <cell r="F19313">
            <v>4914968265</v>
          </cell>
        </row>
        <row r="19314">
          <cell r="E19314" t="str">
            <v>PUR-14-0086-00</v>
          </cell>
          <cell r="F19314">
            <v>4914968265</v>
          </cell>
        </row>
        <row r="19315">
          <cell r="E19315" t="str">
            <v>PUR-15-0220-00</v>
          </cell>
          <cell r="F19315">
            <v>4914968269</v>
          </cell>
        </row>
        <row r="19316">
          <cell r="E19316" t="str">
            <v>HLOB-15-0220-00</v>
          </cell>
          <cell r="F19316">
            <v>4914968269</v>
          </cell>
        </row>
        <row r="19317">
          <cell r="E19317" t="str">
            <v>PUR-15-0220-00</v>
          </cell>
          <cell r="F19317">
            <v>4914968269</v>
          </cell>
        </row>
        <row r="19318">
          <cell r="E19318" t="str">
            <v>PUR-15-0220-00</v>
          </cell>
          <cell r="F19318">
            <v>4914968269</v>
          </cell>
        </row>
        <row r="19319">
          <cell r="E19319" t="str">
            <v>PUR-15-0220-00</v>
          </cell>
          <cell r="F19319">
            <v>4914968269</v>
          </cell>
        </row>
        <row r="19320">
          <cell r="E19320" t="str">
            <v>LUC-EZZ-470171-00</v>
          </cell>
          <cell r="F19320">
            <v>479730082625</v>
          </cell>
        </row>
        <row r="19321">
          <cell r="E19321" t="str">
            <v>102-000424</v>
          </cell>
          <cell r="F19321">
            <v>4914968271</v>
          </cell>
        </row>
        <row r="19322">
          <cell r="E19322" t="str">
            <v>LUC-EZZ-400425-00</v>
          </cell>
          <cell r="F19322">
            <v>462303419223</v>
          </cell>
        </row>
        <row r="19323">
          <cell r="E19323" t="str">
            <v>LUC-E00-510032-00</v>
          </cell>
          <cell r="F19323">
            <v>470049447980</v>
          </cell>
        </row>
        <row r="19324">
          <cell r="E19324" t="str">
            <v>AIC-MP-00006744-000</v>
          </cell>
          <cell r="F19324">
            <v>470049447980</v>
          </cell>
        </row>
        <row r="19325">
          <cell r="E19325" t="str">
            <v>LUC-EZZ-470276-00</v>
          </cell>
          <cell r="F19325">
            <v>470049447980</v>
          </cell>
        </row>
        <row r="19326">
          <cell r="E19326" t="str">
            <v>AIC-MP-00006358-000</v>
          </cell>
          <cell r="F19326">
            <v>885023195450</v>
          </cell>
        </row>
        <row r="19327">
          <cell r="E19327" t="str">
            <v>AIC-123-001958</v>
          </cell>
          <cell r="F19327">
            <v>885023195450</v>
          </cell>
        </row>
        <row r="19328">
          <cell r="E19328" t="str">
            <v>AIC-MP-00006358-000</v>
          </cell>
          <cell r="F19328">
            <v>885023195450</v>
          </cell>
        </row>
        <row r="19329">
          <cell r="E19329" t="str">
            <v>LUC-E00-470069-00</v>
          </cell>
          <cell r="F19329">
            <v>479730081294</v>
          </cell>
        </row>
        <row r="19330">
          <cell r="E19330" t="str">
            <v>LUC-E00-450199-00</v>
          </cell>
          <cell r="F19330">
            <v>479730081570</v>
          </cell>
        </row>
        <row r="19331">
          <cell r="E19331" t="str">
            <v>LUC-E00-470069-00</v>
          </cell>
          <cell r="F19331">
            <v>479730082121</v>
          </cell>
        </row>
        <row r="19332">
          <cell r="E19332" t="str">
            <v>LUC-E00-470069-00</v>
          </cell>
          <cell r="F19332">
            <v>479730082474</v>
          </cell>
        </row>
        <row r="19333">
          <cell r="E19333" t="str">
            <v>LUC-EZZ-470171-00</v>
          </cell>
          <cell r="F19333">
            <v>479730082603</v>
          </cell>
        </row>
        <row r="19334">
          <cell r="E19334" t="str">
            <v>LUC-E00-470070-00</v>
          </cell>
          <cell r="F19334">
            <v>479730082544</v>
          </cell>
        </row>
        <row r="19335">
          <cell r="E19335" t="str">
            <v>LUC-E00-470472-00</v>
          </cell>
          <cell r="F19335">
            <v>479730082739</v>
          </cell>
        </row>
        <row r="19336">
          <cell r="E19336" t="str">
            <v>HLOB-09-0324-00</v>
          </cell>
          <cell r="F19336">
            <v>479730084157</v>
          </cell>
        </row>
        <row r="19337">
          <cell r="E19337" t="str">
            <v>HLOB-13-0235-00</v>
          </cell>
          <cell r="F19337">
            <v>479730085738</v>
          </cell>
        </row>
        <row r="19338">
          <cell r="E19338" t="str">
            <v>LUC-E00-400025-09</v>
          </cell>
          <cell r="F19338">
            <v>479730085750</v>
          </cell>
        </row>
        <row r="19339">
          <cell r="E19339" t="str">
            <v>LUC-E00-440114-00</v>
          </cell>
          <cell r="F19339">
            <v>393947260981</v>
          </cell>
        </row>
        <row r="19340">
          <cell r="E19340" t="str">
            <v>LUC-E00-400010-044</v>
          </cell>
          <cell r="F19340">
            <v>479730085782</v>
          </cell>
        </row>
        <row r="19341">
          <cell r="E19341" t="str">
            <v>141-001534</v>
          </cell>
          <cell r="F19341">
            <v>884993155050</v>
          </cell>
        </row>
        <row r="19342">
          <cell r="E19342" t="str">
            <v>141-002770</v>
          </cell>
          <cell r="F19342">
            <v>884992359916</v>
          </cell>
        </row>
        <row r="19343">
          <cell r="E19343" t="str">
            <v>AIC-120-012764</v>
          </cell>
          <cell r="F19343">
            <v>884954813939</v>
          </cell>
        </row>
        <row r="19344">
          <cell r="E19344" t="str">
            <v>AIC-MP-00004184-000</v>
          </cell>
          <cell r="F19344">
            <v>884954813939</v>
          </cell>
        </row>
        <row r="19345">
          <cell r="E19345" t="str">
            <v>AIC-MP-00004185-000</v>
          </cell>
          <cell r="F19345">
            <v>884954813939</v>
          </cell>
        </row>
        <row r="19346">
          <cell r="E19346" t="str">
            <v>AIC-MP-00001508-000</v>
          </cell>
          <cell r="F19346">
            <v>884954813939</v>
          </cell>
        </row>
        <row r="19347">
          <cell r="E19347" t="str">
            <v>AIC-MP-00005080-000</v>
          </cell>
          <cell r="F19347">
            <v>884954813939</v>
          </cell>
        </row>
        <row r="19348">
          <cell r="E19348" t="str">
            <v>AIC-MP-00000219-000</v>
          </cell>
          <cell r="F19348">
            <v>884954813939</v>
          </cell>
        </row>
        <row r="19349">
          <cell r="E19349" t="str">
            <v>AIC-MP-00002151-000</v>
          </cell>
          <cell r="F19349">
            <v>884956483591</v>
          </cell>
        </row>
        <row r="19350">
          <cell r="E19350" t="str">
            <v>AIC-MP-00005825-000</v>
          </cell>
          <cell r="F19350">
            <v>884986624903</v>
          </cell>
        </row>
        <row r="19351">
          <cell r="E19351" t="str">
            <v>102-001626</v>
          </cell>
          <cell r="F19351">
            <v>484161190742</v>
          </cell>
        </row>
        <row r="19352">
          <cell r="E19352" t="str">
            <v>121-000034.X.X</v>
          </cell>
          <cell r="F19352">
            <v>884974732793</v>
          </cell>
        </row>
        <row r="19353">
          <cell r="E19353" t="str">
            <v>121-000355.X.X</v>
          </cell>
          <cell r="F19353">
            <v>884974732793</v>
          </cell>
        </row>
        <row r="19354">
          <cell r="E19354" t="str">
            <v>121-001824</v>
          </cell>
          <cell r="F19354">
            <v>884974732793</v>
          </cell>
        </row>
        <row r="19355">
          <cell r="E19355" t="str">
            <v>102-001561</v>
          </cell>
          <cell r="F19355">
            <v>484161191602</v>
          </cell>
        </row>
        <row r="19356">
          <cell r="E19356" t="str">
            <v>LUC-E00-440097-00</v>
          </cell>
          <cell r="F19356">
            <v>3362069406</v>
          </cell>
        </row>
        <row r="19357">
          <cell r="E19357" t="str">
            <v>LUC-E00-400010-025</v>
          </cell>
          <cell r="F19357">
            <v>3362069406</v>
          </cell>
        </row>
        <row r="19358">
          <cell r="E19358" t="str">
            <v>LUC-E00-400012-001</v>
          </cell>
          <cell r="F19358">
            <v>3362069406</v>
          </cell>
        </row>
        <row r="19359">
          <cell r="E19359" t="str">
            <v>LUC-EZZ-400213-00</v>
          </cell>
          <cell r="F19359">
            <v>3362069406</v>
          </cell>
        </row>
        <row r="19360">
          <cell r="E19360" t="str">
            <v>LUC-EZZ-470274-00</v>
          </cell>
          <cell r="F19360">
            <v>3362069406</v>
          </cell>
        </row>
        <row r="19361">
          <cell r="E19361" t="str">
            <v>LUC-EZZ-470152-02</v>
          </cell>
          <cell r="F19361">
            <v>3362069406</v>
          </cell>
        </row>
        <row r="19362">
          <cell r="E19362" t="str">
            <v>LUC-EZZ-470152-02</v>
          </cell>
          <cell r="F19362">
            <v>3362069406</v>
          </cell>
        </row>
        <row r="19363">
          <cell r="E19363" t="str">
            <v>LUC-E00-400067-111</v>
          </cell>
          <cell r="F19363">
            <v>3362069406</v>
          </cell>
        </row>
        <row r="19364">
          <cell r="E19364" t="str">
            <v>LUC-E00-400067-111</v>
          </cell>
          <cell r="F19364">
            <v>3362069406</v>
          </cell>
        </row>
        <row r="19365">
          <cell r="E19365" t="str">
            <v>LUC-E00-400067-111</v>
          </cell>
          <cell r="F19365">
            <v>3362069406</v>
          </cell>
        </row>
        <row r="19366">
          <cell r="E19366" t="str">
            <v>LUC-EZZ-440189-00</v>
          </cell>
          <cell r="F19366">
            <v>3362069406</v>
          </cell>
        </row>
        <row r="19367">
          <cell r="E19367" t="str">
            <v>LUC-EZZ-420331-00</v>
          </cell>
          <cell r="F19367">
            <v>3362069406</v>
          </cell>
        </row>
        <row r="19368">
          <cell r="E19368" t="str">
            <v>LUC-EZZ-420020-00</v>
          </cell>
          <cell r="F19368">
            <v>3362069406</v>
          </cell>
        </row>
        <row r="19369">
          <cell r="E19369" t="str">
            <v>LUC-EZZ-420013-00</v>
          </cell>
          <cell r="F19369">
            <v>3362069406</v>
          </cell>
        </row>
        <row r="19370">
          <cell r="E19370" t="str">
            <v>109-000192</v>
          </cell>
          <cell r="F19370">
            <v>3362069406</v>
          </cell>
        </row>
        <row r="19371">
          <cell r="E19371" t="str">
            <v>LUC-E00-450036-00</v>
          </cell>
          <cell r="F19371">
            <v>3362069406</v>
          </cell>
        </row>
        <row r="19372">
          <cell r="E19372" t="str">
            <v>LUC-E00-470049-00</v>
          </cell>
          <cell r="F19372">
            <v>3362069406</v>
          </cell>
        </row>
        <row r="19373">
          <cell r="E19373" t="str">
            <v>LUC-E00-470049-00</v>
          </cell>
          <cell r="F19373">
            <v>3362069406</v>
          </cell>
        </row>
        <row r="19374">
          <cell r="E19374" t="str">
            <v>LUC-E00-470033-00</v>
          </cell>
          <cell r="F19374">
            <v>3362069406</v>
          </cell>
        </row>
        <row r="19375">
          <cell r="E19375" t="str">
            <v>LUC-EZZ-470424-00</v>
          </cell>
          <cell r="F19375">
            <v>3362069406</v>
          </cell>
        </row>
        <row r="19376">
          <cell r="E19376" t="str">
            <v>LUC-E00-450046-00</v>
          </cell>
          <cell r="F19376">
            <v>3362069406</v>
          </cell>
        </row>
        <row r="19377">
          <cell r="E19377" t="str">
            <v>LUC-E00-420116-01</v>
          </cell>
          <cell r="F19377">
            <v>3362069406</v>
          </cell>
        </row>
        <row r="19378">
          <cell r="E19378" t="str">
            <v>LUC-E00-460008-00</v>
          </cell>
          <cell r="F19378">
            <v>3362069406</v>
          </cell>
        </row>
        <row r="19379">
          <cell r="E19379" t="str">
            <v>LUC-E00-510112-00</v>
          </cell>
          <cell r="F19379">
            <v>3362069406</v>
          </cell>
        </row>
        <row r="19380">
          <cell r="E19380" t="str">
            <v>LUC-E00-420002-10</v>
          </cell>
          <cell r="F19380">
            <v>3362069406</v>
          </cell>
        </row>
        <row r="19381">
          <cell r="E19381" t="str">
            <v>LUC-E00-440028-00</v>
          </cell>
          <cell r="F19381">
            <v>3362069406</v>
          </cell>
        </row>
        <row r="19382">
          <cell r="E19382" t="str">
            <v>LUC-E00-510041-00</v>
          </cell>
          <cell r="F19382">
            <v>3362069406</v>
          </cell>
        </row>
        <row r="19383">
          <cell r="E19383" t="str">
            <v>LUC-E00-510041-00</v>
          </cell>
          <cell r="F19383">
            <v>3362069406</v>
          </cell>
        </row>
        <row r="19384">
          <cell r="E19384" t="str">
            <v>LUC-EZZ-470274-00</v>
          </cell>
          <cell r="F19384">
            <v>3362069406</v>
          </cell>
        </row>
        <row r="19385">
          <cell r="E19385" t="str">
            <v>LUC-EZZ-450181-00</v>
          </cell>
          <cell r="F19385">
            <v>3362069406</v>
          </cell>
        </row>
        <row r="19386">
          <cell r="E19386" t="str">
            <v>LUC-E00-510037-00</v>
          </cell>
          <cell r="F19386">
            <v>3362069406</v>
          </cell>
        </row>
        <row r="19387">
          <cell r="E19387" t="str">
            <v>LUC-EZZ-450053-00</v>
          </cell>
          <cell r="F19387">
            <v>3362069406</v>
          </cell>
        </row>
        <row r="19388">
          <cell r="E19388" t="str">
            <v>LUC-EZZ-450053-00</v>
          </cell>
          <cell r="F19388">
            <v>3362069406</v>
          </cell>
        </row>
        <row r="19389">
          <cell r="E19389" t="str">
            <v>LUC-EZZ-420490-00</v>
          </cell>
          <cell r="F19389">
            <v>3362069406</v>
          </cell>
        </row>
        <row r="19390">
          <cell r="E19390" t="str">
            <v>LUC-E00-450046-00</v>
          </cell>
          <cell r="F19390">
            <v>3362069406</v>
          </cell>
        </row>
        <row r="19391">
          <cell r="E19391" t="str">
            <v>LUC-EZZ-470152-02</v>
          </cell>
          <cell r="F19391">
            <v>3362069406</v>
          </cell>
        </row>
        <row r="19392">
          <cell r="E19392" t="str">
            <v>LUC-EZZ-420345-00</v>
          </cell>
          <cell r="F19392">
            <v>3362069406</v>
          </cell>
        </row>
        <row r="19393">
          <cell r="E19393" t="str">
            <v>LUC-E00-460015-00</v>
          </cell>
          <cell r="F19393">
            <v>3362069406</v>
          </cell>
        </row>
        <row r="19394">
          <cell r="E19394" t="str">
            <v>LUC-E00-420027-03</v>
          </cell>
          <cell r="F19394">
            <v>3362069406</v>
          </cell>
        </row>
        <row r="19395">
          <cell r="E19395" t="str">
            <v>LUC-E00-420019-00</v>
          </cell>
          <cell r="F19395">
            <v>3362069406</v>
          </cell>
        </row>
        <row r="19396">
          <cell r="E19396" t="str">
            <v>LUC-E00-420027-03</v>
          </cell>
          <cell r="F19396">
            <v>3362069406</v>
          </cell>
        </row>
        <row r="19397">
          <cell r="E19397" t="str">
            <v>LUC-EZZ-400200-00</v>
          </cell>
          <cell r="F19397">
            <v>3362069406</v>
          </cell>
        </row>
        <row r="19398">
          <cell r="E19398" t="str">
            <v>LUC-EZZ-420695-01</v>
          </cell>
          <cell r="F19398">
            <v>3362069406</v>
          </cell>
        </row>
        <row r="19399">
          <cell r="E19399" t="str">
            <v>LUC-E00-540004-00</v>
          </cell>
          <cell r="F19399">
            <v>3362069406</v>
          </cell>
        </row>
        <row r="19400">
          <cell r="E19400" t="str">
            <v>LUC-E00-480008-00</v>
          </cell>
          <cell r="F19400">
            <v>3362069406</v>
          </cell>
        </row>
        <row r="19401">
          <cell r="E19401" t="str">
            <v>LUC-E00-420116-01</v>
          </cell>
          <cell r="F19401">
            <v>3362069406</v>
          </cell>
        </row>
        <row r="19402">
          <cell r="E19402" t="str">
            <v>LUC-EZZ-420352-00</v>
          </cell>
          <cell r="F19402">
            <v>3362069406</v>
          </cell>
        </row>
        <row r="19403">
          <cell r="E19403" t="str">
            <v>LUC-E00-450041-00</v>
          </cell>
          <cell r="F19403">
            <v>3362069406</v>
          </cell>
        </row>
        <row r="19404">
          <cell r="E19404" t="str">
            <v>LUC-EZZ-420352-00</v>
          </cell>
          <cell r="F19404">
            <v>3362069406</v>
          </cell>
        </row>
        <row r="19405">
          <cell r="E19405" t="str">
            <v>LUC-E00-690020-00</v>
          </cell>
          <cell r="F19405">
            <v>3362069406</v>
          </cell>
        </row>
        <row r="19406">
          <cell r="E19406" t="str">
            <v>LUC-E00-690020-00</v>
          </cell>
          <cell r="F19406">
            <v>3362069406</v>
          </cell>
        </row>
        <row r="19407">
          <cell r="E19407" t="str">
            <v>LUC-EZZ-420089-00</v>
          </cell>
          <cell r="F19407">
            <v>3362069406</v>
          </cell>
        </row>
        <row r="19408">
          <cell r="E19408" t="str">
            <v>LUC-EZZ-420089-00</v>
          </cell>
          <cell r="F19408">
            <v>3362069406</v>
          </cell>
        </row>
        <row r="19409">
          <cell r="E19409" t="str">
            <v>LUC-E00-690020-00</v>
          </cell>
          <cell r="F19409">
            <v>3362069406</v>
          </cell>
        </row>
        <row r="19410">
          <cell r="E19410" t="str">
            <v>LUC-E00-690020-00</v>
          </cell>
          <cell r="F19410">
            <v>3362069406</v>
          </cell>
        </row>
        <row r="19411">
          <cell r="E19411" t="str">
            <v>LUC-EZZ-470152-01</v>
          </cell>
          <cell r="F19411">
            <v>3362069406</v>
          </cell>
        </row>
        <row r="19412">
          <cell r="E19412" t="str">
            <v>LUC-EZZ-420219-00</v>
          </cell>
          <cell r="F19412">
            <v>3362069406</v>
          </cell>
        </row>
        <row r="19413">
          <cell r="E19413" t="str">
            <v>LUC-EZZ-450835-00</v>
          </cell>
          <cell r="F19413">
            <v>3362069406</v>
          </cell>
        </row>
        <row r="19414">
          <cell r="E19414" t="str">
            <v>LUC-EZZ-511304-00</v>
          </cell>
          <cell r="F19414">
            <v>3362069406</v>
          </cell>
        </row>
        <row r="19415">
          <cell r="E19415" t="str">
            <v>LUC-EZZ-420665-00</v>
          </cell>
          <cell r="F19415">
            <v>3362069406</v>
          </cell>
        </row>
        <row r="19416">
          <cell r="E19416" t="str">
            <v>LUC-EZZ-520030-00</v>
          </cell>
          <cell r="F19416">
            <v>3362069406</v>
          </cell>
        </row>
        <row r="19417">
          <cell r="E19417" t="str">
            <v>LUC-EZZ-400291-00</v>
          </cell>
          <cell r="F19417">
            <v>3362069406</v>
          </cell>
        </row>
        <row r="19418">
          <cell r="E19418" t="str">
            <v>LUC-EZZ-451368-00</v>
          </cell>
          <cell r="F19418">
            <v>3362069406</v>
          </cell>
        </row>
        <row r="19419">
          <cell r="E19419" t="str">
            <v>LUC-EZZ-420089-00</v>
          </cell>
          <cell r="F19419">
            <v>3362069406</v>
          </cell>
        </row>
        <row r="19420">
          <cell r="E19420" t="str">
            <v>LUC-EZZ-420089-00</v>
          </cell>
          <cell r="F19420">
            <v>3362069406</v>
          </cell>
        </row>
        <row r="19421">
          <cell r="E19421" t="str">
            <v>LUC-EZZ-450108-00</v>
          </cell>
          <cell r="F19421">
            <v>3362069406</v>
          </cell>
        </row>
        <row r="19422">
          <cell r="E19422" t="str">
            <v>LUC-EZZ-450108-00</v>
          </cell>
          <cell r="F19422">
            <v>3362069406</v>
          </cell>
        </row>
        <row r="19423">
          <cell r="E19423" t="str">
            <v>LUC-EZZ-480029-00</v>
          </cell>
          <cell r="F19423">
            <v>3362069406</v>
          </cell>
        </row>
        <row r="19424">
          <cell r="E19424" t="str">
            <v>LUC-EZZ-470431-00</v>
          </cell>
          <cell r="F19424">
            <v>3362069406</v>
          </cell>
        </row>
        <row r="19425">
          <cell r="E19425" t="str">
            <v>LUC-EZZ-470431-00</v>
          </cell>
          <cell r="F19425">
            <v>3362069406</v>
          </cell>
        </row>
        <row r="19426">
          <cell r="E19426" t="str">
            <v>LUC-EZZ-480029-00</v>
          </cell>
          <cell r="F19426">
            <v>3362069406</v>
          </cell>
        </row>
        <row r="19427">
          <cell r="E19427" t="str">
            <v>LUC-EZZ-460737-00</v>
          </cell>
          <cell r="F19427">
            <v>3362069406</v>
          </cell>
        </row>
        <row r="19428">
          <cell r="E19428" t="str">
            <v>LUC-EZZ-460737-00</v>
          </cell>
          <cell r="F19428">
            <v>3362069406</v>
          </cell>
        </row>
        <row r="19429">
          <cell r="E19429" t="str">
            <v>LUC-EZZ-460737-00</v>
          </cell>
          <cell r="F19429">
            <v>3362069406</v>
          </cell>
        </row>
        <row r="19430">
          <cell r="E19430" t="str">
            <v>LUC-EZZ-460737-00</v>
          </cell>
          <cell r="F19430">
            <v>3362069406</v>
          </cell>
        </row>
        <row r="19431">
          <cell r="E19431" t="str">
            <v>LUC-EZZ-510014-00</v>
          </cell>
          <cell r="F19431">
            <v>3362069406</v>
          </cell>
        </row>
        <row r="19432">
          <cell r="E19432" t="str">
            <v>LUC-EZZ-510014-00</v>
          </cell>
          <cell r="F19432">
            <v>3362069406</v>
          </cell>
        </row>
        <row r="19433">
          <cell r="E19433" t="str">
            <v>LUC-EZZ-510014-00</v>
          </cell>
          <cell r="F19433">
            <v>3362069406</v>
          </cell>
        </row>
        <row r="19434">
          <cell r="E19434" t="str">
            <v>LUC-EZZ-420352-00</v>
          </cell>
          <cell r="F19434">
            <v>3362069406</v>
          </cell>
        </row>
        <row r="19435">
          <cell r="E19435" t="str">
            <v>LUC-EZZ-450835-00</v>
          </cell>
          <cell r="F19435">
            <v>3362069406</v>
          </cell>
        </row>
        <row r="19436">
          <cell r="E19436" t="str">
            <v>LUC-E00-540004-00</v>
          </cell>
          <cell r="F19436">
            <v>3362069406</v>
          </cell>
        </row>
        <row r="19437">
          <cell r="E19437" t="str">
            <v>LUC-E00-540004-00</v>
          </cell>
          <cell r="F19437">
            <v>3362069406</v>
          </cell>
        </row>
        <row r="19438">
          <cell r="E19438" t="str">
            <v>LUC-E00-420116-01</v>
          </cell>
          <cell r="F19438">
            <v>3362069406</v>
          </cell>
        </row>
        <row r="19439">
          <cell r="E19439" t="str">
            <v>LUC-E00-480008-00</v>
          </cell>
          <cell r="F19439">
            <v>3362069406</v>
          </cell>
        </row>
        <row r="19440">
          <cell r="E19440" t="str">
            <v>LUC-E00-480008-00</v>
          </cell>
          <cell r="F19440">
            <v>3362069406</v>
          </cell>
        </row>
        <row r="19441">
          <cell r="E19441" t="str">
            <v>169-001024</v>
          </cell>
          <cell r="F19441">
            <v>3362069406</v>
          </cell>
        </row>
        <row r="19442">
          <cell r="E19442" t="str">
            <v>LUC-E00-460007-00</v>
          </cell>
          <cell r="F19442">
            <v>480081403193</v>
          </cell>
        </row>
        <row r="19443">
          <cell r="E19443" t="str">
            <v>LUC-P11-K41700-00</v>
          </cell>
          <cell r="F19443">
            <v>480081403193</v>
          </cell>
        </row>
        <row r="19444">
          <cell r="E19444" t="str">
            <v>LUC-P11-K41700-00</v>
          </cell>
          <cell r="F19444">
            <v>480081403193</v>
          </cell>
        </row>
        <row r="19445">
          <cell r="E19445" t="str">
            <v>121-000324.X.X</v>
          </cell>
          <cell r="F19445">
            <v>480081403193</v>
          </cell>
        </row>
        <row r="19446">
          <cell r="E19446" t="str">
            <v>LUC-EZZ-470139-00</v>
          </cell>
          <cell r="F19446">
            <v>480081403193</v>
          </cell>
        </row>
        <row r="19447">
          <cell r="E19447" t="str">
            <v>LUC-EZZ-490201-07</v>
          </cell>
          <cell r="F19447">
            <v>5782867554</v>
          </cell>
        </row>
        <row r="19448">
          <cell r="E19448" t="str">
            <v>LUC-P11-K37000-02</v>
          </cell>
          <cell r="F19448">
            <v>3655715372</v>
          </cell>
        </row>
        <row r="19449">
          <cell r="E19449" t="str">
            <v>AIC-MP-00007020-000</v>
          </cell>
          <cell r="F19449">
            <v>3655715372</v>
          </cell>
        </row>
        <row r="19450">
          <cell r="E19450" t="str">
            <v>LUC-EZZ-400629-00</v>
          </cell>
          <cell r="F19450">
            <v>3655715372</v>
          </cell>
        </row>
        <row r="19451">
          <cell r="E19451" t="str">
            <v>LUC-EZZ-400629-00</v>
          </cell>
          <cell r="F19451">
            <v>3655715372</v>
          </cell>
        </row>
        <row r="19452">
          <cell r="E19452" t="str">
            <v>LUC-EZZ-421298-00</v>
          </cell>
          <cell r="F19452">
            <v>3655715372</v>
          </cell>
        </row>
        <row r="19453">
          <cell r="E19453" t="str">
            <v>LUC-E00-400192-00</v>
          </cell>
          <cell r="F19453">
            <v>3655715372</v>
          </cell>
        </row>
        <row r="19454">
          <cell r="E19454" t="str">
            <v>EF-45130942</v>
          </cell>
          <cell r="F19454">
            <v>3655715372</v>
          </cell>
        </row>
        <row r="19455">
          <cell r="E19455" t="str">
            <v>LUC-EZZ-400831-00</v>
          </cell>
          <cell r="F19455">
            <v>3655715372</v>
          </cell>
        </row>
        <row r="19456">
          <cell r="E19456" t="str">
            <v>LUC-E00-400026-00</v>
          </cell>
          <cell r="F19456">
            <v>3655715372</v>
          </cell>
        </row>
        <row r="19457">
          <cell r="E19457" t="str">
            <v>LUC-EZZ-400766-00</v>
          </cell>
          <cell r="F19457">
            <v>3655715372</v>
          </cell>
        </row>
        <row r="19458">
          <cell r="E19458" t="str">
            <v>LUC-EZZ-401719-00</v>
          </cell>
          <cell r="F19458">
            <v>3655715372</v>
          </cell>
        </row>
        <row r="19459">
          <cell r="E19459" t="str">
            <v>LUC-EZZ-400253-00</v>
          </cell>
          <cell r="F19459">
            <v>3655715372</v>
          </cell>
        </row>
        <row r="19460">
          <cell r="E19460" t="str">
            <v>LUC-E00-420054-05</v>
          </cell>
          <cell r="F19460">
            <v>3655715372</v>
          </cell>
        </row>
        <row r="19461">
          <cell r="E19461" t="str">
            <v>LUC-EZZ-421706-00</v>
          </cell>
          <cell r="F19461">
            <v>3655715372</v>
          </cell>
        </row>
        <row r="19462">
          <cell r="E19462" t="str">
            <v>119-000025.X.X</v>
          </cell>
          <cell r="F19462">
            <v>3655715372</v>
          </cell>
        </row>
        <row r="19463">
          <cell r="E19463" t="str">
            <v>LUC-EZZ-440036-00</v>
          </cell>
          <cell r="F19463">
            <v>3655715372</v>
          </cell>
        </row>
        <row r="19464">
          <cell r="E19464" t="str">
            <v>LUC-E00-690217-01</v>
          </cell>
          <cell r="F19464">
            <v>4110329655</v>
          </cell>
        </row>
        <row r="19465">
          <cell r="E19465" t="str">
            <v>LUC-EZZ-690131-00</v>
          </cell>
          <cell r="F19465">
            <v>4110329656</v>
          </cell>
        </row>
        <row r="19466">
          <cell r="E19466" t="str">
            <v>LUC-EZZ-690131-00</v>
          </cell>
          <cell r="F19466">
            <v>4110329656</v>
          </cell>
        </row>
        <row r="19467">
          <cell r="E19467" t="str">
            <v>LUC-EZZ-690131-00</v>
          </cell>
          <cell r="F19467">
            <v>4110329674</v>
          </cell>
        </row>
        <row r="19468">
          <cell r="E19468" t="str">
            <v>LUC-EZZ-690131-00</v>
          </cell>
          <cell r="F19468">
            <v>4110329674</v>
          </cell>
        </row>
        <row r="19469">
          <cell r="E19469" t="str">
            <v>LUC-EZZ-690131-00</v>
          </cell>
          <cell r="F19469">
            <v>4110329674</v>
          </cell>
        </row>
        <row r="19470">
          <cell r="E19470" t="str">
            <v>LUC-EZZ-690131-00</v>
          </cell>
          <cell r="F19470">
            <v>4110329674</v>
          </cell>
        </row>
        <row r="19471">
          <cell r="E19471" t="str">
            <v>LUC-EZZ-690131-00</v>
          </cell>
          <cell r="F19471">
            <v>4110329674</v>
          </cell>
        </row>
        <row r="19472">
          <cell r="E19472" t="str">
            <v>LUC-EZZ-450249-00</v>
          </cell>
          <cell r="F19472">
            <v>1811020131</v>
          </cell>
        </row>
        <row r="19473">
          <cell r="E19473" t="str">
            <v>AGI-530-40013-01</v>
          </cell>
          <cell r="F19473">
            <v>1811020131</v>
          </cell>
        </row>
        <row r="19474">
          <cell r="E19474" t="str">
            <v>AGI-530-40013-01</v>
          </cell>
          <cell r="F19474">
            <v>1811020131</v>
          </cell>
        </row>
        <row r="19475">
          <cell r="E19475" t="str">
            <v>LUC-P11-K18000-00</v>
          </cell>
          <cell r="F19475">
            <v>1811020131</v>
          </cell>
        </row>
        <row r="19476">
          <cell r="E19476" t="str">
            <v>LUC-P11-K41700-00</v>
          </cell>
          <cell r="F19476">
            <v>1811020131</v>
          </cell>
        </row>
        <row r="19477">
          <cell r="E19477" t="str">
            <v>LUC-P11-K41700-00</v>
          </cell>
          <cell r="F19477">
            <v>1811020131</v>
          </cell>
        </row>
        <row r="19478">
          <cell r="E19478" t="str">
            <v>LUC-EZZ-450093-00</v>
          </cell>
          <cell r="F19478">
            <v>1811020131</v>
          </cell>
        </row>
        <row r="19479">
          <cell r="E19479" t="str">
            <v>LUC-P11-K41800-00</v>
          </cell>
          <cell r="F19479">
            <v>1811020131</v>
          </cell>
        </row>
        <row r="19480">
          <cell r="E19480" t="str">
            <v>LUC-P11-K41800-00</v>
          </cell>
          <cell r="F19480">
            <v>1811020131</v>
          </cell>
        </row>
        <row r="19481">
          <cell r="E19481" t="str">
            <v>LUC-P11-K41800-00</v>
          </cell>
          <cell r="F19481">
            <v>1811020131</v>
          </cell>
        </row>
        <row r="19482">
          <cell r="E19482" t="str">
            <v>LUC-P11-K41800-00</v>
          </cell>
          <cell r="F19482">
            <v>1811020131</v>
          </cell>
        </row>
        <row r="19483">
          <cell r="E19483" t="str">
            <v>LUC-P11-K41300-00</v>
          </cell>
          <cell r="F19483">
            <v>1811020131</v>
          </cell>
        </row>
        <row r="19484">
          <cell r="E19484" t="str">
            <v>LUC-P11-K41300-00</v>
          </cell>
          <cell r="F19484">
            <v>1811020131</v>
          </cell>
        </row>
        <row r="19485">
          <cell r="E19485" t="str">
            <v>LUC-P11-K41300-00</v>
          </cell>
          <cell r="F19485">
            <v>1811020131</v>
          </cell>
        </row>
        <row r="19486">
          <cell r="E19486" t="str">
            <v>LUC-EZZ-400192-00</v>
          </cell>
          <cell r="F19486">
            <v>1811020131</v>
          </cell>
        </row>
        <row r="19487">
          <cell r="E19487" t="str">
            <v>LUC-EZZ-400831-00</v>
          </cell>
          <cell r="F19487">
            <v>1811020131</v>
          </cell>
        </row>
        <row r="19488">
          <cell r="E19488" t="str">
            <v>LUC-E00-400004-01</v>
          </cell>
          <cell r="F19488">
            <v>1811020131</v>
          </cell>
        </row>
        <row r="19489">
          <cell r="E19489" t="str">
            <v>PUR-12-0288-00</v>
          </cell>
          <cell r="F19489">
            <v>1811020131</v>
          </cell>
        </row>
        <row r="19490">
          <cell r="E19490" t="str">
            <v>LUC-EZZ-400110-00</v>
          </cell>
          <cell r="F19490">
            <v>1811020131</v>
          </cell>
        </row>
        <row r="19491">
          <cell r="E19491" t="str">
            <v>LUC-EZZ-400213-00</v>
          </cell>
          <cell r="F19491">
            <v>1811020131</v>
          </cell>
        </row>
        <row r="19492">
          <cell r="E19492" t="str">
            <v>LUC-EZZ-400036-00</v>
          </cell>
          <cell r="F19492">
            <v>1811020131</v>
          </cell>
        </row>
        <row r="19493">
          <cell r="E19493" t="str">
            <v>LUC-E00-400001-003</v>
          </cell>
          <cell r="F19493">
            <v>1811020131</v>
          </cell>
        </row>
        <row r="19494">
          <cell r="E19494" t="str">
            <v>LUC-E00-400001-003</v>
          </cell>
          <cell r="F19494">
            <v>1811020131</v>
          </cell>
        </row>
        <row r="19495">
          <cell r="E19495" t="str">
            <v>LUC-EZZ-400412-00</v>
          </cell>
          <cell r="F19495">
            <v>1811020131</v>
          </cell>
        </row>
        <row r="19496">
          <cell r="E19496" t="str">
            <v>LUC-EZZ-401610-00</v>
          </cell>
          <cell r="F19496">
            <v>1811020131</v>
          </cell>
        </row>
        <row r="19497">
          <cell r="E19497" t="str">
            <v>LUC-EZZ-400241-00</v>
          </cell>
          <cell r="F19497">
            <v>1811020131</v>
          </cell>
        </row>
        <row r="19498">
          <cell r="E19498" t="str">
            <v>LUC-E00-400028-06</v>
          </cell>
          <cell r="F19498">
            <v>1811020131</v>
          </cell>
        </row>
        <row r="19499">
          <cell r="E19499" t="str">
            <v>LUC-E00-400024-04</v>
          </cell>
          <cell r="F19499">
            <v>1811020131</v>
          </cell>
        </row>
        <row r="19500">
          <cell r="E19500" t="str">
            <v>LUC-E00-450044-00</v>
          </cell>
          <cell r="F19500">
            <v>1811020131</v>
          </cell>
        </row>
        <row r="19501">
          <cell r="E19501" t="str">
            <v>LUC-E00-450039-01</v>
          </cell>
          <cell r="F19501">
            <v>1811020131</v>
          </cell>
        </row>
        <row r="19502">
          <cell r="E19502" t="str">
            <v>LUC-E00-450070-00</v>
          </cell>
          <cell r="F19502">
            <v>1811020131</v>
          </cell>
        </row>
        <row r="19503">
          <cell r="E19503" t="str">
            <v>LUC-E00-400024-04</v>
          </cell>
          <cell r="F19503">
            <v>1811020131</v>
          </cell>
        </row>
        <row r="19504">
          <cell r="E19504" t="str">
            <v>LUC-EZZ-470162-00</v>
          </cell>
          <cell r="F19504">
            <v>1811021030</v>
          </cell>
        </row>
        <row r="19505">
          <cell r="E19505" t="str">
            <v>LUC-EZZ-510199-00</v>
          </cell>
          <cell r="F19505">
            <v>1811021030</v>
          </cell>
        </row>
        <row r="19506">
          <cell r="E19506" t="str">
            <v>LUC-EZZ-420151-00</v>
          </cell>
          <cell r="F19506">
            <v>1811021030</v>
          </cell>
        </row>
        <row r="19507">
          <cell r="E19507" t="str">
            <v>LUC-EZZ-420151-00</v>
          </cell>
          <cell r="F19507">
            <v>1811021030</v>
          </cell>
        </row>
        <row r="19508">
          <cell r="E19508" t="str">
            <v>EF-45108861.X.X</v>
          </cell>
          <cell r="F19508">
            <v>1811021030</v>
          </cell>
        </row>
        <row r="19509">
          <cell r="E19509" t="str">
            <v>EF-45108861.X.X</v>
          </cell>
          <cell r="F19509">
            <v>1811021030</v>
          </cell>
        </row>
        <row r="19510">
          <cell r="E19510" t="str">
            <v>121-000521.X.X</v>
          </cell>
          <cell r="F19510">
            <v>1811021030</v>
          </cell>
        </row>
        <row r="19511">
          <cell r="E19511" t="str">
            <v>HLOB-24-0002-00</v>
          </cell>
          <cell r="F19511">
            <v>1811021030</v>
          </cell>
        </row>
        <row r="19512">
          <cell r="E19512" t="str">
            <v>HLOB-09-0329-00</v>
          </cell>
          <cell r="F19512">
            <v>1811021030</v>
          </cell>
        </row>
        <row r="19513">
          <cell r="E19513" t="str">
            <v>PUR-09-0329-00</v>
          </cell>
          <cell r="F19513">
            <v>1811021030</v>
          </cell>
        </row>
        <row r="19514">
          <cell r="E19514" t="str">
            <v>PUR-14-0077-00</v>
          </cell>
          <cell r="F19514">
            <v>1811021030</v>
          </cell>
        </row>
        <row r="19515">
          <cell r="E19515" t="str">
            <v>LUC-E00-690033-00</v>
          </cell>
          <cell r="F19515" t="str">
            <v>LSHHPH2509335</v>
          </cell>
        </row>
        <row r="19516">
          <cell r="E19516" t="str">
            <v>LUC-E00-690033-01</v>
          </cell>
          <cell r="F19516" t="str">
            <v>LSHHPH2509335</v>
          </cell>
        </row>
        <row r="19517">
          <cell r="E19517" t="str">
            <v>LUC-E00-690033-02</v>
          </cell>
          <cell r="F19517" t="str">
            <v>LSHHPH2509335</v>
          </cell>
        </row>
        <row r="19518">
          <cell r="E19518" t="str">
            <v>LUC-E00-690033-03</v>
          </cell>
          <cell r="F19518" t="str">
            <v>LSHHPH2509335</v>
          </cell>
        </row>
        <row r="19519">
          <cell r="E19519" t="str">
            <v>LUC-E00-690106-00</v>
          </cell>
          <cell r="F19519" t="str">
            <v>LSHHPH2509335</v>
          </cell>
        </row>
        <row r="19520">
          <cell r="E19520" t="str">
            <v>LUC-E00-690106-00</v>
          </cell>
          <cell r="F19520" t="str">
            <v>LSHHPH2509335</v>
          </cell>
        </row>
        <row r="19521">
          <cell r="E19521" t="str">
            <v>LUC-E00-690106-01</v>
          </cell>
          <cell r="F19521" t="str">
            <v>LSHHPH2509335</v>
          </cell>
        </row>
        <row r="19522">
          <cell r="E19522" t="str">
            <v>LUC-E00-690106-01</v>
          </cell>
          <cell r="F19522" t="str">
            <v>LSHHPH2509335</v>
          </cell>
        </row>
        <row r="19523">
          <cell r="E19523" t="str">
            <v>LUC-E00-690106-01</v>
          </cell>
          <cell r="F19523" t="str">
            <v>LSHHPH2509335</v>
          </cell>
        </row>
        <row r="19524">
          <cell r="E19524" t="str">
            <v>LUC-EZZ-690138-00</v>
          </cell>
          <cell r="F19524" t="str">
            <v>LNBHPH255714</v>
          </cell>
        </row>
        <row r="19525">
          <cell r="E19525" t="str">
            <v>LUC-EZZ-690138-01</v>
          </cell>
          <cell r="F19525" t="str">
            <v>LNBHPH255714</v>
          </cell>
        </row>
        <row r="19526">
          <cell r="E19526" t="str">
            <v>LUC-EZZ-690138-04</v>
          </cell>
          <cell r="F19526" t="str">
            <v>LNBHPH255714</v>
          </cell>
        </row>
        <row r="19527">
          <cell r="E19527" t="str">
            <v>LUC-P11-JA2100-00</v>
          </cell>
          <cell r="F19527" t="str">
            <v>HWHPH2503097</v>
          </cell>
        </row>
        <row r="19528">
          <cell r="E19528" t="str">
            <v>LUC-P11-JA2100-00</v>
          </cell>
          <cell r="F19528" t="str">
            <v>HWHPH2503097</v>
          </cell>
        </row>
        <row r="19529">
          <cell r="E19529" t="str">
            <v>LUC-EZZ-491535-AE</v>
          </cell>
          <cell r="F19529">
            <v>5783063042</v>
          </cell>
        </row>
        <row r="19530">
          <cell r="E19530" t="str">
            <v>LUC-EZZ-490231-05</v>
          </cell>
          <cell r="F19530">
            <v>5783065315</v>
          </cell>
        </row>
        <row r="19531">
          <cell r="E19531" t="str">
            <v>LUC-EZZ-490231-05</v>
          </cell>
          <cell r="F19531">
            <v>5783065315</v>
          </cell>
        </row>
        <row r="19532">
          <cell r="E19532" t="str">
            <v>LUC-EZZ-490230-05</v>
          </cell>
          <cell r="F19532">
            <v>5783085206</v>
          </cell>
        </row>
        <row r="19533">
          <cell r="E19533" t="str">
            <v>EF-45051535</v>
          </cell>
          <cell r="F19533">
            <v>484988043672</v>
          </cell>
        </row>
        <row r="19534">
          <cell r="E19534" t="str">
            <v>LUC-P21-K3AB00-00</v>
          </cell>
          <cell r="F19534" t="str">
            <v>LSHHPH2509337</v>
          </cell>
        </row>
        <row r="19535">
          <cell r="E19535" t="str">
            <v>LUC-P21-K3AT00-00</v>
          </cell>
          <cell r="F19535" t="str">
            <v>LSHHPH2509337</v>
          </cell>
        </row>
        <row r="19536">
          <cell r="E19536" t="str">
            <v>LUC-P21-K2C400-02</v>
          </cell>
          <cell r="F19536" t="str">
            <v>LSHHPH2509014</v>
          </cell>
        </row>
        <row r="19537">
          <cell r="E19537" t="str">
            <v>PUR-12-0432-00</v>
          </cell>
          <cell r="F19537">
            <v>885024809280</v>
          </cell>
        </row>
        <row r="19538">
          <cell r="E19538" t="str">
            <v>HLOB-12-0432-00</v>
          </cell>
          <cell r="F19538">
            <v>885024809280</v>
          </cell>
        </row>
        <row r="19539">
          <cell r="E19539" t="str">
            <v>HLOB-12-0420-00</v>
          </cell>
          <cell r="F19539">
            <v>885024809280</v>
          </cell>
        </row>
        <row r="19540">
          <cell r="E19540" t="str">
            <v>HLOB-12-0475-00</v>
          </cell>
          <cell r="F19540">
            <v>885024809280</v>
          </cell>
        </row>
        <row r="19541">
          <cell r="E19541" t="str">
            <v>HLOB-12-0170-00</v>
          </cell>
          <cell r="F19541">
            <v>885024809280</v>
          </cell>
        </row>
        <row r="19542">
          <cell r="E19542" t="str">
            <v>HLOB-12-0257-00</v>
          </cell>
          <cell r="F19542">
            <v>885024809280</v>
          </cell>
        </row>
        <row r="19543">
          <cell r="E19543" t="str">
            <v>HLOB-12-0088-00</v>
          </cell>
          <cell r="F19543">
            <v>885024809280</v>
          </cell>
        </row>
        <row r="19544">
          <cell r="E19544" t="str">
            <v>HLOB-12-0271-00</v>
          </cell>
          <cell r="F19544">
            <v>885024809280</v>
          </cell>
        </row>
        <row r="19545">
          <cell r="E19545" t="str">
            <v>HLOB-12-0293-00</v>
          </cell>
          <cell r="F19545">
            <v>885024809280</v>
          </cell>
        </row>
        <row r="19546">
          <cell r="E19546" t="str">
            <v>PUR-12-0472-00</v>
          </cell>
          <cell r="F19546">
            <v>885024809280</v>
          </cell>
        </row>
        <row r="19547">
          <cell r="E19547" t="str">
            <v>HLOB-12-0483-00</v>
          </cell>
          <cell r="F19547">
            <v>885024809280</v>
          </cell>
        </row>
        <row r="19548">
          <cell r="E19548" t="str">
            <v>HLOB-12-0460-00</v>
          </cell>
          <cell r="F19548">
            <v>885024809280</v>
          </cell>
        </row>
        <row r="19549">
          <cell r="E19549" t="str">
            <v>PURET-12-0088-00</v>
          </cell>
          <cell r="F19549">
            <v>885024809280</v>
          </cell>
        </row>
        <row r="19550">
          <cell r="E19550" t="str">
            <v>PUR-12-0065-00</v>
          </cell>
          <cell r="F19550">
            <v>885024809280</v>
          </cell>
        </row>
        <row r="19551">
          <cell r="E19551" t="str">
            <v>EF-45171838</v>
          </cell>
          <cell r="F19551">
            <v>437723140288</v>
          </cell>
        </row>
        <row r="19552">
          <cell r="E19552" t="str">
            <v>PUR-18-0579-00</v>
          </cell>
          <cell r="F19552">
            <v>885065389398</v>
          </cell>
        </row>
        <row r="19553">
          <cell r="E19553" t="str">
            <v>PUR-33-0009-00</v>
          </cell>
          <cell r="F19553">
            <v>885065389398</v>
          </cell>
        </row>
        <row r="19554">
          <cell r="E19554" t="str">
            <v>AIC-MP-ID003773-S01</v>
          </cell>
          <cell r="F19554">
            <v>394041741181</v>
          </cell>
        </row>
        <row r="19555">
          <cell r="E19555" t="str">
            <v>LUC-E00-400010-003</v>
          </cell>
          <cell r="F19555">
            <v>484789628121</v>
          </cell>
        </row>
        <row r="19556">
          <cell r="E19556" t="str">
            <v>LUC-P11-K41700-00</v>
          </cell>
          <cell r="F19556">
            <v>484789628121</v>
          </cell>
        </row>
        <row r="19557">
          <cell r="E19557" t="str">
            <v>HLOB-09-0346-00</v>
          </cell>
          <cell r="F19557">
            <v>484789628121</v>
          </cell>
        </row>
        <row r="19558">
          <cell r="E19558" t="str">
            <v>LUC-EZZ-400201-00</v>
          </cell>
          <cell r="F19558">
            <v>484789628121</v>
          </cell>
        </row>
        <row r="19559">
          <cell r="E19559" t="str">
            <v>LUC-EZZ-400207-00</v>
          </cell>
          <cell r="F19559">
            <v>484789628121</v>
          </cell>
        </row>
        <row r="19560">
          <cell r="E19560" t="str">
            <v>LUC-E00-400010-003</v>
          </cell>
          <cell r="F19560">
            <v>484789628121</v>
          </cell>
        </row>
        <row r="19561">
          <cell r="E19561" t="str">
            <v>LUC-EZZ-400162-00</v>
          </cell>
          <cell r="F19561">
            <v>484789628121</v>
          </cell>
        </row>
        <row r="19562">
          <cell r="E19562" t="str">
            <v>LUC-EZZ-400162-00</v>
          </cell>
          <cell r="F19562">
            <v>484789628121</v>
          </cell>
        </row>
        <row r="19563">
          <cell r="E19563" t="str">
            <v>LUC-EZZ-400201-00</v>
          </cell>
          <cell r="F19563">
            <v>484789628121</v>
          </cell>
        </row>
        <row r="19564">
          <cell r="E19564" t="str">
            <v>LUC-E00-400010-003</v>
          </cell>
          <cell r="F19564">
            <v>484789628121</v>
          </cell>
        </row>
        <row r="19565">
          <cell r="E19565" t="str">
            <v>LUC-EZZ-400201-00</v>
          </cell>
          <cell r="F19565">
            <v>484789628121</v>
          </cell>
        </row>
        <row r="19566">
          <cell r="E19566" t="str">
            <v>LUC-EZZ-400201-00</v>
          </cell>
          <cell r="F19566">
            <v>484789628121</v>
          </cell>
        </row>
        <row r="19567">
          <cell r="E19567" t="str">
            <v>LUC-EZZ-400205-00</v>
          </cell>
          <cell r="F19567">
            <v>484789628121</v>
          </cell>
        </row>
        <row r="19568">
          <cell r="E19568" t="str">
            <v>AIC-MP-DE000171-S01</v>
          </cell>
          <cell r="F19568">
            <v>484789628121</v>
          </cell>
        </row>
        <row r="19569">
          <cell r="E19569" t="str">
            <v>LUC-EZZ-400162-00</v>
          </cell>
          <cell r="F19569">
            <v>484789628121</v>
          </cell>
        </row>
        <row r="19570">
          <cell r="E19570" t="str">
            <v>LUC-E00-400003-43</v>
          </cell>
          <cell r="F19570">
            <v>484789628121</v>
          </cell>
        </row>
        <row r="19571">
          <cell r="E19571" t="str">
            <v>LUC-E00-400010-001</v>
          </cell>
          <cell r="F19571">
            <v>484789628121</v>
          </cell>
        </row>
        <row r="19572">
          <cell r="E19572" t="str">
            <v>LUC-EZZ-400207-00</v>
          </cell>
          <cell r="F19572">
            <v>484789628121</v>
          </cell>
        </row>
        <row r="19573">
          <cell r="E19573" t="str">
            <v>LUC-E00-440003-01</v>
          </cell>
          <cell r="F19573">
            <v>484361636961</v>
          </cell>
        </row>
        <row r="19574">
          <cell r="E19574" t="str">
            <v>LUC-E00-440013-00</v>
          </cell>
          <cell r="F19574">
            <v>484361636961</v>
          </cell>
        </row>
        <row r="19575">
          <cell r="E19575" t="str">
            <v>LUC-E00-440014-00</v>
          </cell>
          <cell r="F19575">
            <v>484361636961</v>
          </cell>
        </row>
        <row r="19576">
          <cell r="E19576" t="str">
            <v>LUC-E00-440014-01</v>
          </cell>
          <cell r="F19576">
            <v>484361636961</v>
          </cell>
        </row>
        <row r="19577">
          <cell r="E19577" t="str">
            <v>LUC-E00-440124-00</v>
          </cell>
          <cell r="F19577">
            <v>484361636961</v>
          </cell>
        </row>
        <row r="19578">
          <cell r="E19578" t="str">
            <v>LUC-EZZ-440028-00</v>
          </cell>
          <cell r="F19578">
            <v>484361636961</v>
          </cell>
        </row>
        <row r="19579">
          <cell r="E19579" t="str">
            <v>LUC-EZZ-440072-00</v>
          </cell>
          <cell r="F19579">
            <v>484361636961</v>
          </cell>
        </row>
        <row r="19580">
          <cell r="E19580" t="str">
            <v>LUC-EZZ-440078-01</v>
          </cell>
          <cell r="F19580">
            <v>484361636961</v>
          </cell>
        </row>
        <row r="19581">
          <cell r="E19581" t="str">
            <v>LUC-EZZ-440162-00</v>
          </cell>
          <cell r="F19581">
            <v>484361636961</v>
          </cell>
        </row>
        <row r="19582">
          <cell r="E19582" t="str">
            <v>LUC-EZZ-440911-00</v>
          </cell>
          <cell r="F19582">
            <v>484361636961</v>
          </cell>
        </row>
        <row r="19583">
          <cell r="E19583" t="str">
            <v>LUC-EZZ-440030-00</v>
          </cell>
          <cell r="F19583">
            <v>484361636961</v>
          </cell>
        </row>
        <row r="19584">
          <cell r="E19584" t="str">
            <v>LUC-EZZ-440032-00</v>
          </cell>
          <cell r="F19584">
            <v>484361636961</v>
          </cell>
        </row>
        <row r="19585">
          <cell r="E19585" t="str">
            <v>LUC-EZZ-440090-00</v>
          </cell>
          <cell r="F19585">
            <v>484361636961</v>
          </cell>
        </row>
        <row r="19586">
          <cell r="E19586" t="str">
            <v>LUC-E00-440077-02</v>
          </cell>
          <cell r="F19586">
            <v>484361636961</v>
          </cell>
        </row>
        <row r="19587">
          <cell r="E19587" t="str">
            <v>LUC-E00-440051-01</v>
          </cell>
          <cell r="F19587">
            <v>484361636961</v>
          </cell>
        </row>
        <row r="19588">
          <cell r="E19588" t="str">
            <v>LUC-EZZ-440099-00</v>
          </cell>
          <cell r="F19588">
            <v>484361636961</v>
          </cell>
        </row>
        <row r="19589">
          <cell r="E19589" t="str">
            <v>LUC-EZZ-440100-00</v>
          </cell>
          <cell r="F19589">
            <v>484361636961</v>
          </cell>
        </row>
        <row r="19590">
          <cell r="E19590" t="str">
            <v>LUC-EZZ-400117-00</v>
          </cell>
          <cell r="F19590">
            <v>484988103009</v>
          </cell>
        </row>
        <row r="19591">
          <cell r="E19591" t="str">
            <v>LUC-EZZ-400568-00</v>
          </cell>
          <cell r="F19591">
            <v>484988103009</v>
          </cell>
        </row>
        <row r="19592">
          <cell r="E19592" t="str">
            <v>LUC-EZZ-400554-00</v>
          </cell>
          <cell r="F19592">
            <v>484988103009</v>
          </cell>
        </row>
        <row r="19593">
          <cell r="E19593" t="str">
            <v>LUC-EZZ-420493-00</v>
          </cell>
          <cell r="F19593">
            <v>409298808072</v>
          </cell>
        </row>
        <row r="19594">
          <cell r="E19594" t="str">
            <v>LUC-E00-420011-05</v>
          </cell>
          <cell r="F19594">
            <v>409298808072</v>
          </cell>
        </row>
        <row r="19595">
          <cell r="E19595" t="str">
            <v>LUC-EZZ-420099-00</v>
          </cell>
          <cell r="F19595">
            <v>409298808072</v>
          </cell>
        </row>
        <row r="19596">
          <cell r="E19596" t="str">
            <v>LUC-E00-440032-01</v>
          </cell>
          <cell r="F19596">
            <v>409298808072</v>
          </cell>
        </row>
        <row r="19597">
          <cell r="E19597" t="str">
            <v>LUC-E00-440144-00</v>
          </cell>
          <cell r="F19597">
            <v>409298808072</v>
          </cell>
        </row>
        <row r="19598">
          <cell r="E19598" t="str">
            <v>LUC-EZZ-400426-00</v>
          </cell>
          <cell r="F19598">
            <v>409298808072</v>
          </cell>
        </row>
        <row r="19599">
          <cell r="E19599" t="str">
            <v>LUC-EZZ-420143-00</v>
          </cell>
          <cell r="F19599">
            <v>409298808072</v>
          </cell>
        </row>
        <row r="19600">
          <cell r="E19600" t="str">
            <v>LUC-EZZ-420100-00</v>
          </cell>
          <cell r="F19600">
            <v>409298808072</v>
          </cell>
        </row>
        <row r="19601">
          <cell r="E19601" t="str">
            <v>LUC-EZZ-420194-00</v>
          </cell>
          <cell r="F19601">
            <v>409298808072</v>
          </cell>
        </row>
        <row r="19602">
          <cell r="E19602" t="str">
            <v>LUC-EZZ-400246-00</v>
          </cell>
          <cell r="F19602">
            <v>409298808072</v>
          </cell>
        </row>
        <row r="19603">
          <cell r="E19603" t="str">
            <v>LUC-EZZ-400454-00</v>
          </cell>
          <cell r="F19603">
            <v>409298808072</v>
          </cell>
        </row>
        <row r="19604">
          <cell r="E19604" t="str">
            <v>LUC-EZZ-421534-00</v>
          </cell>
          <cell r="F19604">
            <v>409298808072</v>
          </cell>
        </row>
        <row r="19605">
          <cell r="E19605" t="str">
            <v>LUC-EZZ-441599-00</v>
          </cell>
          <cell r="F19605">
            <v>409298808072</v>
          </cell>
        </row>
        <row r="19606">
          <cell r="E19606" t="str">
            <v>LUC-EZZ-420084-00</v>
          </cell>
          <cell r="F19606">
            <v>409298808072</v>
          </cell>
        </row>
        <row r="19607">
          <cell r="E19607" t="str">
            <v>LUC-E00-440144-00</v>
          </cell>
          <cell r="F19607">
            <v>409298808072</v>
          </cell>
        </row>
        <row r="19608">
          <cell r="E19608" t="str">
            <v>LUC-EZZ-420098-00</v>
          </cell>
          <cell r="F19608">
            <v>409298808072</v>
          </cell>
        </row>
        <row r="19609">
          <cell r="E19609" t="str">
            <v>LUC-EZZ-420179-00</v>
          </cell>
          <cell r="F19609">
            <v>409298808072</v>
          </cell>
        </row>
        <row r="19610">
          <cell r="E19610" t="str">
            <v>LUC-EZZ-420084-00</v>
          </cell>
          <cell r="F19610">
            <v>409298808072</v>
          </cell>
        </row>
        <row r="19611">
          <cell r="E19611" t="str">
            <v>LUC-EZZ-420085-00</v>
          </cell>
          <cell r="F19611">
            <v>409298808072</v>
          </cell>
        </row>
        <row r="19612">
          <cell r="E19612" t="str">
            <v>LUC-EZZ-420210-00</v>
          </cell>
          <cell r="F19612">
            <v>409298808072</v>
          </cell>
        </row>
        <row r="19613">
          <cell r="E19613" t="str">
            <v>LUC-EZZ-420058-00</v>
          </cell>
          <cell r="F19613">
            <v>409298808072</v>
          </cell>
        </row>
        <row r="19614">
          <cell r="E19614" t="str">
            <v>LUC-EZZ-400200-00</v>
          </cell>
          <cell r="F19614">
            <v>409298808072</v>
          </cell>
        </row>
        <row r="19615">
          <cell r="E19615" t="str">
            <v>LUC-EZZ-441297-00</v>
          </cell>
          <cell r="F19615">
            <v>4711886497</v>
          </cell>
        </row>
        <row r="19616">
          <cell r="E19616" t="str">
            <v>LUC-EZZ-400289-00</v>
          </cell>
          <cell r="F19616">
            <v>4711886497</v>
          </cell>
        </row>
        <row r="19617">
          <cell r="E19617" t="str">
            <v>EF-45127982</v>
          </cell>
          <cell r="F19617">
            <v>4711886497</v>
          </cell>
        </row>
        <row r="19618">
          <cell r="E19618" t="str">
            <v>LUC-EZZ-420005-00</v>
          </cell>
          <cell r="F19618">
            <v>4711886497</v>
          </cell>
        </row>
        <row r="19619">
          <cell r="E19619" t="str">
            <v>LUC-E00-400074-00</v>
          </cell>
          <cell r="F19619">
            <v>4711886497</v>
          </cell>
        </row>
        <row r="19620">
          <cell r="E19620" t="str">
            <v>LUC-EZZ-400621-00</v>
          </cell>
          <cell r="F19620">
            <v>4711886497</v>
          </cell>
        </row>
        <row r="19621">
          <cell r="E19621" t="str">
            <v>HLOB-13-0119-00</v>
          </cell>
          <cell r="F19621">
            <v>4711886497</v>
          </cell>
        </row>
        <row r="19622">
          <cell r="E19622" t="str">
            <v>AGI-510-40118-01</v>
          </cell>
          <cell r="F19622">
            <v>4711886497</v>
          </cell>
        </row>
        <row r="19623">
          <cell r="E19623" t="str">
            <v>HLOB-13-0131-00</v>
          </cell>
          <cell r="F19623">
            <v>4711886497</v>
          </cell>
        </row>
        <row r="19624">
          <cell r="E19624" t="str">
            <v>LUC-E00-400034-023</v>
          </cell>
          <cell r="F19624">
            <v>4711886497</v>
          </cell>
        </row>
        <row r="19625">
          <cell r="E19625" t="str">
            <v>LUC-E00-400074-00</v>
          </cell>
          <cell r="F19625">
            <v>4711886497</v>
          </cell>
        </row>
        <row r="19626">
          <cell r="E19626" t="str">
            <v>LUC-E00-400074-00</v>
          </cell>
          <cell r="F19626">
            <v>4711886497</v>
          </cell>
        </row>
        <row r="19627">
          <cell r="E19627" t="str">
            <v>LUC-EZZ-400278-00</v>
          </cell>
          <cell r="F19627">
            <v>4711886497</v>
          </cell>
        </row>
        <row r="19628">
          <cell r="E19628" t="str">
            <v>HLOB-13-0131-00</v>
          </cell>
          <cell r="F19628">
            <v>4711886497</v>
          </cell>
        </row>
        <row r="19629">
          <cell r="E19629" t="str">
            <v>LUC-EZZ-441297-00</v>
          </cell>
          <cell r="F19629">
            <v>4711886497</v>
          </cell>
        </row>
        <row r="19630">
          <cell r="E19630" t="str">
            <v>LUC-E00-400023-000</v>
          </cell>
          <cell r="F19630">
            <v>4711886497</v>
          </cell>
        </row>
        <row r="19631">
          <cell r="E19631" t="str">
            <v>LUC-EZZ-400010-00</v>
          </cell>
          <cell r="F19631">
            <v>4711886497</v>
          </cell>
        </row>
        <row r="19632">
          <cell r="E19632" t="str">
            <v>EF-45126913</v>
          </cell>
          <cell r="F19632">
            <v>4711886497</v>
          </cell>
        </row>
        <row r="19633">
          <cell r="E19633" t="str">
            <v>LUC-E00-400034-019</v>
          </cell>
          <cell r="F19633">
            <v>4711886497</v>
          </cell>
        </row>
        <row r="19634">
          <cell r="E19634" t="str">
            <v>LUC-E00-400074-00</v>
          </cell>
          <cell r="F19634">
            <v>4711886497</v>
          </cell>
        </row>
        <row r="19635">
          <cell r="E19635" t="str">
            <v>LUC-E00-400034-069</v>
          </cell>
          <cell r="F19635">
            <v>4711886497</v>
          </cell>
        </row>
        <row r="19636">
          <cell r="E19636" t="str">
            <v>LUC-E00-400011-000</v>
          </cell>
          <cell r="F19636">
            <v>4711886497</v>
          </cell>
        </row>
        <row r="19637">
          <cell r="E19637" t="str">
            <v>LUC-EZZ-510052-00</v>
          </cell>
          <cell r="F19637">
            <v>4711886497</v>
          </cell>
        </row>
        <row r="19638">
          <cell r="E19638" t="str">
            <v>EF-45114287</v>
          </cell>
          <cell r="F19638">
            <v>4711886497</v>
          </cell>
        </row>
        <row r="19639">
          <cell r="E19639" t="str">
            <v>LUC-E00-420068-00</v>
          </cell>
          <cell r="F19639">
            <v>4711886497</v>
          </cell>
        </row>
        <row r="19640">
          <cell r="E19640" t="str">
            <v>LUC-E00-420073-00</v>
          </cell>
          <cell r="F19640">
            <v>4711886497</v>
          </cell>
        </row>
        <row r="19641">
          <cell r="E19641" t="str">
            <v>LUC-E00-450154-00</v>
          </cell>
          <cell r="F19641">
            <v>4711886497</v>
          </cell>
        </row>
        <row r="19642">
          <cell r="E19642" t="str">
            <v>LUC-E00-450154-00</v>
          </cell>
          <cell r="F19642">
            <v>4711886497</v>
          </cell>
        </row>
        <row r="19643">
          <cell r="E19643" t="str">
            <v>LUC-E00-450154-00</v>
          </cell>
          <cell r="F19643">
            <v>4711886497</v>
          </cell>
        </row>
        <row r="19644">
          <cell r="E19644" t="str">
            <v>LUC-E00-450010-00</v>
          </cell>
          <cell r="F19644">
            <v>4711886497</v>
          </cell>
        </row>
        <row r="19645">
          <cell r="E19645" t="str">
            <v>LUC-E00-450010-00</v>
          </cell>
          <cell r="F19645">
            <v>4711886497</v>
          </cell>
        </row>
        <row r="19646">
          <cell r="E19646" t="str">
            <v>LUC-E00-460005-00</v>
          </cell>
          <cell r="F19646">
            <v>4711886497</v>
          </cell>
        </row>
        <row r="19647">
          <cell r="E19647" t="str">
            <v>LUC-E00-460005-00</v>
          </cell>
          <cell r="F19647">
            <v>4711886497</v>
          </cell>
        </row>
        <row r="19648">
          <cell r="E19648" t="str">
            <v>EF-45234399</v>
          </cell>
          <cell r="F19648">
            <v>4711886497</v>
          </cell>
        </row>
        <row r="19649">
          <cell r="E19649" t="str">
            <v>HLOB-13-0001-00</v>
          </cell>
          <cell r="F19649">
            <v>4711886497</v>
          </cell>
        </row>
        <row r="19650">
          <cell r="E19650" t="str">
            <v>LUC-E00-420073-00</v>
          </cell>
          <cell r="F19650">
            <v>4711886497</v>
          </cell>
        </row>
        <row r="19651">
          <cell r="E19651" t="str">
            <v>LUC-E00-470252-00</v>
          </cell>
          <cell r="F19651">
            <v>4711886497</v>
          </cell>
        </row>
        <row r="19652">
          <cell r="E19652" t="str">
            <v>LUC-EZZ-510106-00</v>
          </cell>
          <cell r="F19652">
            <v>4711886497</v>
          </cell>
        </row>
        <row r="19653">
          <cell r="E19653" t="str">
            <v>LUC-E00-470331-00</v>
          </cell>
          <cell r="F19653">
            <v>4711886497</v>
          </cell>
        </row>
        <row r="19654">
          <cell r="E19654" t="str">
            <v>LUC-E00-460005-00</v>
          </cell>
          <cell r="F19654">
            <v>4711886497</v>
          </cell>
        </row>
        <row r="19655">
          <cell r="E19655" t="str">
            <v>LUC-E00-510029-00</v>
          </cell>
          <cell r="F19655">
            <v>4711886497</v>
          </cell>
        </row>
        <row r="19656">
          <cell r="E19656" t="str">
            <v>LUC-E00-510029-00</v>
          </cell>
          <cell r="F19656">
            <v>4711886497</v>
          </cell>
        </row>
        <row r="19657">
          <cell r="E19657" t="str">
            <v>LUC-E00-420036-00</v>
          </cell>
          <cell r="F19657">
            <v>4711886497</v>
          </cell>
        </row>
        <row r="19658">
          <cell r="E19658" t="str">
            <v>LUC-E00-470331-00</v>
          </cell>
          <cell r="F19658">
            <v>4711886497</v>
          </cell>
        </row>
        <row r="19659">
          <cell r="E19659" t="str">
            <v>LUC-E00-470331-00</v>
          </cell>
          <cell r="F19659">
            <v>4711886497</v>
          </cell>
        </row>
        <row r="19660">
          <cell r="E19660" t="str">
            <v>LUC-E00-470331-00</v>
          </cell>
          <cell r="F19660">
            <v>4711886497</v>
          </cell>
        </row>
        <row r="19661">
          <cell r="E19661" t="str">
            <v>LUC-EZZ-450176-00</v>
          </cell>
          <cell r="F19661">
            <v>4711886497</v>
          </cell>
        </row>
        <row r="19662">
          <cell r="E19662" t="str">
            <v>LUC-E00-400034-069</v>
          </cell>
          <cell r="F19662">
            <v>4711886497</v>
          </cell>
        </row>
        <row r="19663">
          <cell r="E19663" t="str">
            <v>LUC-EZZ-400554-00</v>
          </cell>
          <cell r="F19663">
            <v>4711886497</v>
          </cell>
        </row>
        <row r="19664">
          <cell r="E19664" t="str">
            <v>LUC-EZZ-400554-00</v>
          </cell>
          <cell r="F19664">
            <v>4711886497</v>
          </cell>
        </row>
        <row r="19665">
          <cell r="E19665" t="str">
            <v>LUC-EZZ-691595-00</v>
          </cell>
          <cell r="F19665">
            <v>4110329776</v>
          </cell>
        </row>
        <row r="19666">
          <cell r="E19666" t="str">
            <v>LUC-EZZ-691595-00</v>
          </cell>
          <cell r="F19666">
            <v>4110329776</v>
          </cell>
        </row>
        <row r="19667">
          <cell r="E19667" t="str">
            <v>LUC-EZZ-691595-00</v>
          </cell>
          <cell r="F19667">
            <v>4110329776</v>
          </cell>
        </row>
        <row r="19668">
          <cell r="E19668" t="str">
            <v>LUC-EZZ-691595-00</v>
          </cell>
          <cell r="F19668">
            <v>4110329776</v>
          </cell>
        </row>
        <row r="19669">
          <cell r="E19669" t="str">
            <v>LUC-EZZ-691595-00</v>
          </cell>
          <cell r="F19669">
            <v>4110329776</v>
          </cell>
        </row>
        <row r="19670">
          <cell r="E19670" t="str">
            <v>LUC-EZZ-691595-00</v>
          </cell>
          <cell r="F19670">
            <v>4110329776</v>
          </cell>
        </row>
        <row r="19671">
          <cell r="E19671" t="str">
            <v>LUC-EZZ-691595-00</v>
          </cell>
          <cell r="F19671">
            <v>4110329777</v>
          </cell>
        </row>
        <row r="19672">
          <cell r="E19672" t="str">
            <v>LUC-EZZ-691595-00</v>
          </cell>
          <cell r="F19672">
            <v>4110329816</v>
          </cell>
        </row>
        <row r="19673">
          <cell r="E19673" t="str">
            <v>HLOB-03-0113-00</v>
          </cell>
          <cell r="F19673" t="str">
            <v>8XN0089</v>
          </cell>
        </row>
        <row r="19674">
          <cell r="E19674" t="str">
            <v>HLOB-03-0113-00</v>
          </cell>
          <cell r="F19674" t="str">
            <v>8XN0090</v>
          </cell>
        </row>
        <row r="19675">
          <cell r="E19675" t="str">
            <v>PUR-03-0104-03</v>
          </cell>
          <cell r="F19675" t="str">
            <v>8XN0091</v>
          </cell>
        </row>
        <row r="19676">
          <cell r="E19676" t="str">
            <v>141-001484-02</v>
          </cell>
          <cell r="F19676" t="str">
            <v>HKHPG251045</v>
          </cell>
        </row>
        <row r="19677">
          <cell r="E19677" t="str">
            <v>LUC-E00-400010-000</v>
          </cell>
          <cell r="F19677">
            <v>479730089273</v>
          </cell>
        </row>
        <row r="19678">
          <cell r="E19678" t="str">
            <v>LUC-E00-690030-03</v>
          </cell>
          <cell r="F19678">
            <v>479730089468</v>
          </cell>
        </row>
        <row r="19679">
          <cell r="E19679" t="str">
            <v>PUR-10-0245-01</v>
          </cell>
          <cell r="F19679">
            <v>426080015251</v>
          </cell>
        </row>
        <row r="19680">
          <cell r="E19680" t="str">
            <v>EF-45122321</v>
          </cell>
          <cell r="F19680">
            <v>426080015251</v>
          </cell>
        </row>
        <row r="19681">
          <cell r="E19681" t="str">
            <v>LUC-E00-470109-00</v>
          </cell>
          <cell r="F19681">
            <v>426080015251</v>
          </cell>
        </row>
        <row r="19682">
          <cell r="E19682" t="str">
            <v>PURET-09-0050-00</v>
          </cell>
          <cell r="F19682">
            <v>426080015251</v>
          </cell>
        </row>
        <row r="19683">
          <cell r="E19683" t="str">
            <v>PUR-13-0133-00</v>
          </cell>
          <cell r="F19683">
            <v>426080015251</v>
          </cell>
        </row>
        <row r="19684">
          <cell r="E19684" t="str">
            <v>PUR-31-0103-01</v>
          </cell>
          <cell r="F19684">
            <v>426080015251</v>
          </cell>
        </row>
        <row r="19685">
          <cell r="E19685" t="str">
            <v>LUC-E00-420050-00</v>
          </cell>
          <cell r="F19685">
            <v>426080015251</v>
          </cell>
        </row>
        <row r="19686">
          <cell r="E19686" t="str">
            <v>122-000113.X.X</v>
          </cell>
          <cell r="F19686">
            <v>426080015251</v>
          </cell>
        </row>
        <row r="19687">
          <cell r="E19687" t="str">
            <v>AGI-510-50006-01</v>
          </cell>
          <cell r="F19687">
            <v>426080015251</v>
          </cell>
        </row>
        <row r="19688">
          <cell r="E19688" t="str">
            <v>PURET-13-0028-00</v>
          </cell>
          <cell r="F19688">
            <v>426080015251</v>
          </cell>
        </row>
        <row r="19689">
          <cell r="E19689" t="str">
            <v>122-001191</v>
          </cell>
          <cell r="F19689">
            <v>426080015251</v>
          </cell>
        </row>
        <row r="19690">
          <cell r="E19690" t="str">
            <v>PUR-14-0087-00</v>
          </cell>
          <cell r="F19690">
            <v>426080015251</v>
          </cell>
        </row>
        <row r="19691">
          <cell r="E19691" t="str">
            <v>PUR-11-0104-05</v>
          </cell>
          <cell r="F19691" t="str">
            <v>PSHPH25A0019</v>
          </cell>
        </row>
        <row r="19692">
          <cell r="E19692" t="str">
            <v>PUR-11-0104-05</v>
          </cell>
          <cell r="F19692" t="str">
            <v>PSHPH25A0019</v>
          </cell>
        </row>
        <row r="19693">
          <cell r="E19693" t="str">
            <v>PUR-11-0104-05</v>
          </cell>
          <cell r="F19693" t="str">
            <v>PSHPH25A0019</v>
          </cell>
        </row>
        <row r="19694">
          <cell r="E19694" t="str">
            <v>PUR-11-0104-05</v>
          </cell>
          <cell r="F19694" t="str">
            <v>PSHPH25A0019</v>
          </cell>
        </row>
        <row r="19695">
          <cell r="E19695" t="str">
            <v>PUR-11-0105-04</v>
          </cell>
          <cell r="F19695" t="str">
            <v>PSHPH25A0019</v>
          </cell>
        </row>
        <row r="19696">
          <cell r="E19696" t="str">
            <v>PUR-11-0105-04</v>
          </cell>
          <cell r="F19696" t="str">
            <v>PSHPH25A0019</v>
          </cell>
        </row>
        <row r="19697">
          <cell r="E19697" t="str">
            <v>PUR-11-0105-04</v>
          </cell>
          <cell r="F19697" t="str">
            <v>PSHPH25A0019</v>
          </cell>
        </row>
        <row r="19698">
          <cell r="E19698" t="str">
            <v>PUR-11-0105-04</v>
          </cell>
          <cell r="F19698" t="str">
            <v>PSHPH25A0019</v>
          </cell>
        </row>
        <row r="19699">
          <cell r="E19699" t="str">
            <v>PUR-11-0105-04</v>
          </cell>
          <cell r="F19699" t="str">
            <v>PSHPH25A0019</v>
          </cell>
        </row>
        <row r="19700">
          <cell r="E19700" t="str">
            <v>PUR-11-0105-04</v>
          </cell>
          <cell r="F19700" t="str">
            <v>PSHPH25A0019</v>
          </cell>
        </row>
        <row r="19701">
          <cell r="E19701" t="str">
            <v>PUR-11-0128-04</v>
          </cell>
          <cell r="F19701" t="str">
            <v>PSHPH25A0019</v>
          </cell>
        </row>
        <row r="19702">
          <cell r="E19702" t="str">
            <v>PUR-11-0106-05</v>
          </cell>
          <cell r="F19702" t="str">
            <v>PSHPH25A0019</v>
          </cell>
        </row>
        <row r="19703">
          <cell r="E19703" t="str">
            <v>PUR-11-0106-05</v>
          </cell>
          <cell r="F19703" t="str">
            <v>PSHPH25A0019</v>
          </cell>
        </row>
        <row r="19704">
          <cell r="E19704" t="str">
            <v>PUR-11-0106-05</v>
          </cell>
          <cell r="F19704" t="str">
            <v>PSHPH25A0019</v>
          </cell>
        </row>
        <row r="19705">
          <cell r="E19705" t="str">
            <v>LUC-E00-690030-03</v>
          </cell>
          <cell r="F19705">
            <v>394108047508</v>
          </cell>
        </row>
        <row r="19706">
          <cell r="E19706" t="str">
            <v>PUR-24-0031-00</v>
          </cell>
          <cell r="F19706">
            <v>885058651703</v>
          </cell>
        </row>
        <row r="19707">
          <cell r="E19707" t="str">
            <v>HLOB-24-0031-00</v>
          </cell>
          <cell r="F19707">
            <v>885058651703</v>
          </cell>
        </row>
        <row r="19708">
          <cell r="E19708" t="str">
            <v>PUR-24-0031-00</v>
          </cell>
          <cell r="F19708">
            <v>885058651703</v>
          </cell>
        </row>
        <row r="19709">
          <cell r="E19709" t="str">
            <v>AIC-MP-00000755-000</v>
          </cell>
          <cell r="F19709">
            <v>885058651703</v>
          </cell>
        </row>
        <row r="19710">
          <cell r="E19710" t="str">
            <v>LUC-E00-420184-00</v>
          </cell>
          <cell r="F19710">
            <v>885058651703</v>
          </cell>
        </row>
        <row r="19711">
          <cell r="E19711" t="str">
            <v>PUR-24-0031-00</v>
          </cell>
          <cell r="F19711">
            <v>885058651703</v>
          </cell>
        </row>
        <row r="19712">
          <cell r="E19712" t="str">
            <v>EF-45083316.X.X</v>
          </cell>
          <cell r="F19712">
            <v>885058651703</v>
          </cell>
        </row>
        <row r="19713">
          <cell r="E19713" t="str">
            <v>126-000386</v>
          </cell>
          <cell r="F19713">
            <v>885058651703</v>
          </cell>
        </row>
        <row r="19714">
          <cell r="E19714" t="str">
            <v>126-000386</v>
          </cell>
          <cell r="F19714">
            <v>885058651703</v>
          </cell>
        </row>
        <row r="19715">
          <cell r="E19715" t="str">
            <v>126-000386</v>
          </cell>
          <cell r="F19715">
            <v>885058651703</v>
          </cell>
        </row>
        <row r="19716">
          <cell r="E19716" t="str">
            <v>126-000386</v>
          </cell>
          <cell r="F19716">
            <v>885058651703</v>
          </cell>
        </row>
        <row r="19717">
          <cell r="E19717" t="str">
            <v>126-000344</v>
          </cell>
          <cell r="F19717">
            <v>885058651703</v>
          </cell>
        </row>
        <row r="19718">
          <cell r="E19718" t="str">
            <v>126-000344</v>
          </cell>
          <cell r="F19718">
            <v>885058651703</v>
          </cell>
        </row>
        <row r="19719">
          <cell r="E19719" t="str">
            <v>126-000391</v>
          </cell>
          <cell r="F19719">
            <v>885058651703</v>
          </cell>
        </row>
        <row r="19720">
          <cell r="E19720" t="str">
            <v>126-000391</v>
          </cell>
          <cell r="F19720">
            <v>885058651703</v>
          </cell>
        </row>
        <row r="19721">
          <cell r="E19721" t="str">
            <v>EF-45227728</v>
          </cell>
          <cell r="F19721">
            <v>461596528363</v>
          </cell>
        </row>
        <row r="19722">
          <cell r="E19722" t="str">
            <v>LUC-E00-690062-01</v>
          </cell>
          <cell r="F19722">
            <v>742783549326</v>
          </cell>
        </row>
        <row r="19723">
          <cell r="E19723" t="str">
            <v>LUC-E00-690010-02</v>
          </cell>
          <cell r="F19723">
            <v>393922332010</v>
          </cell>
        </row>
        <row r="19724">
          <cell r="E19724" t="str">
            <v>LUC-E00-690010-01</v>
          </cell>
          <cell r="F19724">
            <v>393922332010</v>
          </cell>
        </row>
        <row r="19725">
          <cell r="E19725" t="str">
            <v>LUC-E00-690010-01</v>
          </cell>
          <cell r="F19725">
            <v>393922332010</v>
          </cell>
        </row>
        <row r="19726">
          <cell r="E19726" t="str">
            <v>LUC-E00-690055-00</v>
          </cell>
          <cell r="F19726">
            <v>393969441839</v>
          </cell>
        </row>
        <row r="19727">
          <cell r="E19727" t="str">
            <v>LUC-EZZ-690242-00</v>
          </cell>
          <cell r="F19727">
            <v>393923133750</v>
          </cell>
        </row>
        <row r="19728">
          <cell r="E19728" t="str">
            <v>LUC-EZZ-690242-00</v>
          </cell>
          <cell r="F19728">
            <v>393923133750</v>
          </cell>
        </row>
        <row r="19729">
          <cell r="E19729" t="str">
            <v>LUC-EZZ-690243-00</v>
          </cell>
          <cell r="F19729">
            <v>393923133750</v>
          </cell>
        </row>
        <row r="19730">
          <cell r="E19730" t="str">
            <v>LUC-EZZ-690242-00</v>
          </cell>
          <cell r="F19730">
            <v>393923133750</v>
          </cell>
        </row>
        <row r="19731">
          <cell r="E19731" t="str">
            <v>LUC-EZZ-690243-00</v>
          </cell>
          <cell r="F19731">
            <v>393923133750</v>
          </cell>
        </row>
        <row r="19732">
          <cell r="E19732" t="str">
            <v>LUC-EZZ-690243-00</v>
          </cell>
          <cell r="F19732">
            <v>393923133750</v>
          </cell>
        </row>
        <row r="19733">
          <cell r="E19733" t="str">
            <v>LUC-EZZ-690244-00</v>
          </cell>
          <cell r="F19733">
            <v>393923133750</v>
          </cell>
        </row>
        <row r="19734">
          <cell r="E19734" t="str">
            <v>LUC-E00-690055-00</v>
          </cell>
          <cell r="F19734">
            <v>393977027637</v>
          </cell>
        </row>
        <row r="19735">
          <cell r="E19735" t="str">
            <v>LUC-EZZ-470155-00</v>
          </cell>
          <cell r="F19735">
            <v>394032292092</v>
          </cell>
        </row>
        <row r="19736">
          <cell r="E19736" t="str">
            <v>LUC-E00-510043-00</v>
          </cell>
          <cell r="F19736">
            <v>394074804527</v>
          </cell>
        </row>
        <row r="19737">
          <cell r="E19737" t="str">
            <v>LUC-E00-510043-00</v>
          </cell>
          <cell r="F19737">
            <v>394074804527</v>
          </cell>
        </row>
        <row r="19738">
          <cell r="E19738" t="str">
            <v>LUC-EZZ-420159-00</v>
          </cell>
          <cell r="F19738">
            <v>473879444322</v>
          </cell>
        </row>
        <row r="19739">
          <cell r="E19739" t="str">
            <v>LUC-EZZ-470114-00</v>
          </cell>
          <cell r="F19739">
            <v>479730084135</v>
          </cell>
        </row>
        <row r="19740">
          <cell r="E19740" t="str">
            <v>PURET-21-0009-00</v>
          </cell>
          <cell r="F19740">
            <v>479730084293</v>
          </cell>
        </row>
        <row r="19741">
          <cell r="E19741" t="str">
            <v>LUC-EZZ-400434-00</v>
          </cell>
          <cell r="F19741">
            <v>479730085749</v>
          </cell>
        </row>
        <row r="19742">
          <cell r="E19742" t="str">
            <v>LUC-E00-450068-00</v>
          </cell>
          <cell r="F19742">
            <v>479730085760</v>
          </cell>
        </row>
        <row r="19743">
          <cell r="E19743" t="str">
            <v>LUC-E00-400010-026</v>
          </cell>
          <cell r="F19743">
            <v>479730085900</v>
          </cell>
        </row>
        <row r="19744">
          <cell r="E19744" t="str">
            <v>LUC-EZZ-400206-00</v>
          </cell>
          <cell r="F19744">
            <v>479730087259</v>
          </cell>
        </row>
        <row r="19745">
          <cell r="E19745" t="str">
            <v>LUC-E00-400001-012</v>
          </cell>
          <cell r="F19745">
            <v>479730085771</v>
          </cell>
        </row>
        <row r="19746">
          <cell r="E19746" t="str">
            <v>LUC-E00-470021-00</v>
          </cell>
          <cell r="F19746">
            <v>479730087833</v>
          </cell>
        </row>
        <row r="19747">
          <cell r="E19747" t="str">
            <v>LUC-E00-470021-00</v>
          </cell>
          <cell r="F19747">
            <v>479730087384</v>
          </cell>
        </row>
        <row r="19748">
          <cell r="E19748" t="str">
            <v>LUC-EZZ-400231-00</v>
          </cell>
          <cell r="F19748">
            <v>479730087855</v>
          </cell>
        </row>
        <row r="19749">
          <cell r="E19749" t="str">
            <v>LUC-EZZ-400231-00</v>
          </cell>
          <cell r="F19749">
            <v>479730087969</v>
          </cell>
        </row>
        <row r="19750">
          <cell r="E19750" t="str">
            <v>PUR-09-0424-00</v>
          </cell>
          <cell r="F19750">
            <v>479730088082</v>
          </cell>
        </row>
        <row r="19751">
          <cell r="E19751" t="str">
            <v>LUC-EZZ-400568-00</v>
          </cell>
          <cell r="F19751">
            <v>479730088093</v>
          </cell>
        </row>
        <row r="19752">
          <cell r="E19752" t="str">
            <v>LUC-EZZ-400261-00</v>
          </cell>
          <cell r="F19752">
            <v>479730088163</v>
          </cell>
        </row>
        <row r="19753">
          <cell r="E19753" t="str">
            <v>LUC-E00-470021-00</v>
          </cell>
          <cell r="F19753">
            <v>479730087877</v>
          </cell>
        </row>
        <row r="19754">
          <cell r="E19754" t="str">
            <v>PUR-09-0424-00</v>
          </cell>
          <cell r="F19754">
            <v>479730088185</v>
          </cell>
        </row>
        <row r="19755">
          <cell r="E19755" t="str">
            <v>LUC-EZZ-400542-00</v>
          </cell>
          <cell r="F19755">
            <v>479730088792</v>
          </cell>
        </row>
        <row r="19756">
          <cell r="E19756" t="str">
            <v>LUC-E00-400010-045</v>
          </cell>
          <cell r="F19756">
            <v>479730088829</v>
          </cell>
        </row>
        <row r="19757">
          <cell r="E19757" t="str">
            <v>LUC-E00-400010-003</v>
          </cell>
          <cell r="F19757">
            <v>479730089078</v>
          </cell>
        </row>
        <row r="19758">
          <cell r="E19758" t="str">
            <v>HLOB-09-0424-00</v>
          </cell>
          <cell r="F19758">
            <v>479730089056</v>
          </cell>
        </row>
        <row r="19759">
          <cell r="E19759" t="str">
            <v>LUC-EZZ-471621-00</v>
          </cell>
          <cell r="F19759">
            <v>479730089229</v>
          </cell>
        </row>
        <row r="19760">
          <cell r="E19760" t="str">
            <v>LUC-EZZ-400542-00</v>
          </cell>
          <cell r="F19760">
            <v>479730089126</v>
          </cell>
        </row>
        <row r="19761">
          <cell r="E19761" t="str">
            <v>LUC-EZZ-471621-00</v>
          </cell>
          <cell r="F19761">
            <v>479730089300</v>
          </cell>
        </row>
        <row r="19762">
          <cell r="E19762" t="str">
            <v>LUC-E00-400025-09</v>
          </cell>
          <cell r="F19762">
            <v>479730090520</v>
          </cell>
        </row>
        <row r="19763">
          <cell r="E19763" t="str">
            <v>LUC-EZZ-400261-00</v>
          </cell>
          <cell r="F19763">
            <v>479730089803</v>
          </cell>
        </row>
        <row r="19764">
          <cell r="E19764" t="str">
            <v>LUC-EZZ-470139-00</v>
          </cell>
          <cell r="F19764">
            <v>479730090895</v>
          </cell>
        </row>
        <row r="19765">
          <cell r="E19765" t="str">
            <v>LUC-EZZ-470139-00</v>
          </cell>
          <cell r="F19765">
            <v>479730091468</v>
          </cell>
        </row>
        <row r="19766">
          <cell r="E19766" t="str">
            <v>LUC-EZZ-470248-02</v>
          </cell>
          <cell r="F19766">
            <v>479730091468</v>
          </cell>
        </row>
        <row r="19767">
          <cell r="E19767" t="str">
            <v>LUC-E00-400025-09</v>
          </cell>
          <cell r="F19767">
            <v>484789660915</v>
          </cell>
        </row>
        <row r="19768">
          <cell r="E19768" t="str">
            <v>HLOB-09-0424-00</v>
          </cell>
          <cell r="F19768">
            <v>479730093460</v>
          </cell>
        </row>
        <row r="19769">
          <cell r="E19769" t="str">
            <v>LUC-E00-400011-004</v>
          </cell>
          <cell r="F19769">
            <v>479730091814</v>
          </cell>
        </row>
        <row r="19770">
          <cell r="E19770" t="str">
            <v>LUC-E00-470021-00</v>
          </cell>
          <cell r="F19770">
            <v>479730093221</v>
          </cell>
        </row>
        <row r="19771">
          <cell r="E19771" t="str">
            <v>LUC-E00-470021-00</v>
          </cell>
          <cell r="F19771">
            <v>479730093221</v>
          </cell>
        </row>
        <row r="19772">
          <cell r="E19772" t="str">
            <v>LUC-E00-470017-00</v>
          </cell>
          <cell r="F19772">
            <v>484789665755</v>
          </cell>
        </row>
        <row r="19773">
          <cell r="E19773" t="str">
            <v>121-001324</v>
          </cell>
          <cell r="F19773">
            <v>484789668217</v>
          </cell>
        </row>
        <row r="19774">
          <cell r="E19774" t="str">
            <v>LUC-EZZ-400205-00</v>
          </cell>
          <cell r="F19774">
            <v>484789670879</v>
          </cell>
        </row>
        <row r="19775">
          <cell r="E19775" t="str">
            <v>HLOB-13-0235-00</v>
          </cell>
          <cell r="F19775">
            <v>484789671051</v>
          </cell>
        </row>
        <row r="19776">
          <cell r="E19776" t="str">
            <v>LUC-E00-470038-00</v>
          </cell>
          <cell r="F19776">
            <v>484789673330</v>
          </cell>
        </row>
        <row r="19777">
          <cell r="E19777" t="str">
            <v>HLOB-12-0343-00</v>
          </cell>
          <cell r="F19777">
            <v>885063844030</v>
          </cell>
        </row>
        <row r="19778">
          <cell r="E19778" t="str">
            <v>HLOB-13-0068-00</v>
          </cell>
          <cell r="F19778">
            <v>885063844030</v>
          </cell>
        </row>
        <row r="19779">
          <cell r="E19779" t="str">
            <v>HLOB-13-0227-00</v>
          </cell>
          <cell r="F19779">
            <v>885063844030</v>
          </cell>
        </row>
        <row r="19780">
          <cell r="E19780" t="str">
            <v>AGI-520-40025-01</v>
          </cell>
          <cell r="F19780">
            <v>885063844030</v>
          </cell>
        </row>
        <row r="19781">
          <cell r="E19781" t="str">
            <v>PUR-12-0346-00</v>
          </cell>
          <cell r="F19781">
            <v>885063844030</v>
          </cell>
        </row>
        <row r="19782">
          <cell r="E19782" t="str">
            <v>PUR-12-0337-00</v>
          </cell>
          <cell r="F19782">
            <v>885063844030</v>
          </cell>
        </row>
        <row r="19783">
          <cell r="E19783" t="str">
            <v>AIC-122-004341</v>
          </cell>
          <cell r="F19783">
            <v>885063844030</v>
          </cell>
        </row>
        <row r="19784">
          <cell r="E19784" t="str">
            <v>PURET-13-0068-00</v>
          </cell>
          <cell r="F19784">
            <v>885063844030</v>
          </cell>
        </row>
        <row r="19785">
          <cell r="E19785" t="str">
            <v>PUR-13-0245-00</v>
          </cell>
          <cell r="F19785">
            <v>885063844030</v>
          </cell>
        </row>
        <row r="19786">
          <cell r="E19786" t="str">
            <v>LUC-EZZ-400196-00</v>
          </cell>
          <cell r="F19786">
            <v>885063844030</v>
          </cell>
        </row>
        <row r="19787">
          <cell r="E19787" t="str">
            <v>PURET-13-0068-00</v>
          </cell>
          <cell r="F19787">
            <v>885063844030</v>
          </cell>
        </row>
        <row r="19788">
          <cell r="E19788" t="str">
            <v>122-000293.X.X</v>
          </cell>
          <cell r="F19788">
            <v>885063844030</v>
          </cell>
        </row>
        <row r="19789">
          <cell r="E19789" t="str">
            <v>122-000293.X.X</v>
          </cell>
          <cell r="F19789">
            <v>885063844030</v>
          </cell>
        </row>
        <row r="19790">
          <cell r="E19790" t="str">
            <v>122-000293.X.X</v>
          </cell>
          <cell r="F19790">
            <v>885063844030</v>
          </cell>
        </row>
        <row r="19791">
          <cell r="E19791" t="str">
            <v>121-000533.X.X</v>
          </cell>
          <cell r="F19791">
            <v>885063844030</v>
          </cell>
        </row>
        <row r="19792">
          <cell r="E19792" t="str">
            <v>122-001112</v>
          </cell>
          <cell r="F19792">
            <v>885063844030</v>
          </cell>
        </row>
        <row r="19793">
          <cell r="E19793" t="str">
            <v>121-000256.X.X</v>
          </cell>
          <cell r="F19793">
            <v>885063844030</v>
          </cell>
        </row>
        <row r="19794">
          <cell r="E19794" t="str">
            <v>121-000107.X.X</v>
          </cell>
          <cell r="F19794">
            <v>885063844030</v>
          </cell>
        </row>
        <row r="19795">
          <cell r="E19795" t="str">
            <v>122-000673.X.X</v>
          </cell>
          <cell r="F19795">
            <v>885063844030</v>
          </cell>
        </row>
        <row r="19796">
          <cell r="E19796" t="str">
            <v>122-000673.X.X</v>
          </cell>
          <cell r="F19796">
            <v>885063844030</v>
          </cell>
        </row>
        <row r="19797">
          <cell r="E19797" t="str">
            <v>122-000673.X.X</v>
          </cell>
          <cell r="F19797">
            <v>885063844030</v>
          </cell>
        </row>
        <row r="19798">
          <cell r="E19798" t="str">
            <v>122-000673.X.X</v>
          </cell>
          <cell r="F19798">
            <v>885063844030</v>
          </cell>
        </row>
        <row r="19799">
          <cell r="E19799" t="str">
            <v>AIC-123-001962</v>
          </cell>
          <cell r="F19799">
            <v>885063844030</v>
          </cell>
        </row>
        <row r="19800">
          <cell r="E19800" t="str">
            <v>LUC-EZZ-400568-00</v>
          </cell>
          <cell r="F19800">
            <v>484789690322</v>
          </cell>
        </row>
        <row r="19801">
          <cell r="E19801" t="str">
            <v>LUC-E00-440045-00</v>
          </cell>
          <cell r="F19801">
            <v>394035567353</v>
          </cell>
        </row>
        <row r="19802">
          <cell r="E19802" t="str">
            <v>LUC-E00-470472-00</v>
          </cell>
          <cell r="F19802">
            <v>393986540356</v>
          </cell>
        </row>
        <row r="19803">
          <cell r="E19803" t="str">
            <v>AIC-111-001518</v>
          </cell>
          <cell r="F19803">
            <v>393986540356</v>
          </cell>
        </row>
        <row r="19804">
          <cell r="E19804" t="str">
            <v>LUC-E00-470070-00</v>
          </cell>
          <cell r="F19804">
            <v>394023271608</v>
          </cell>
        </row>
        <row r="19805">
          <cell r="E19805" t="str">
            <v>LUC-EZZ-470248-02</v>
          </cell>
          <cell r="F19805">
            <v>394020072426</v>
          </cell>
        </row>
        <row r="19806">
          <cell r="E19806" t="str">
            <v>LUC-E00-470038-00</v>
          </cell>
          <cell r="F19806">
            <v>394020072426</v>
          </cell>
        </row>
        <row r="19807">
          <cell r="E19807" t="str">
            <v>LUC-EZZ-470171-00</v>
          </cell>
          <cell r="F19807">
            <v>394068955271</v>
          </cell>
        </row>
        <row r="19808">
          <cell r="E19808" t="str">
            <v>LUC-E00-470081-00</v>
          </cell>
          <cell r="F19808">
            <v>394068955271</v>
          </cell>
        </row>
        <row r="19809">
          <cell r="E19809" t="str">
            <v>PUR-13-0258-00</v>
          </cell>
          <cell r="F19809">
            <v>481855359920</v>
          </cell>
        </row>
        <row r="19810">
          <cell r="E19810" t="str">
            <v>LUC-EZZ-420058-00</v>
          </cell>
          <cell r="F19810">
            <v>484789613725</v>
          </cell>
        </row>
        <row r="19811">
          <cell r="E19811" t="str">
            <v>LUC-E00-420047-00</v>
          </cell>
          <cell r="F19811">
            <v>483200439850</v>
          </cell>
        </row>
        <row r="19812">
          <cell r="E19812" t="str">
            <v>AGI-450-40087-01</v>
          </cell>
          <cell r="F19812">
            <v>483200439850</v>
          </cell>
        </row>
        <row r="19813">
          <cell r="E19813" t="str">
            <v>LUC-P11-K18000-00</v>
          </cell>
          <cell r="F19813">
            <v>483200439850</v>
          </cell>
        </row>
        <row r="19814">
          <cell r="E19814" t="str">
            <v>LUC-EZZ-540018-00</v>
          </cell>
          <cell r="F19814">
            <v>483200439850</v>
          </cell>
        </row>
        <row r="19815">
          <cell r="E19815" t="str">
            <v>LUC-EZZ-440037-00</v>
          </cell>
          <cell r="F19815">
            <v>483200439850</v>
          </cell>
        </row>
        <row r="19816">
          <cell r="E19816" t="str">
            <v>121-001824</v>
          </cell>
          <cell r="F19816">
            <v>483200439850</v>
          </cell>
        </row>
        <row r="19817">
          <cell r="E19817" t="str">
            <v>LUC-EZZ-470431-00</v>
          </cell>
          <cell r="F19817">
            <v>483200439850</v>
          </cell>
        </row>
        <row r="19818">
          <cell r="E19818" t="str">
            <v>142-000043</v>
          </cell>
          <cell r="F19818">
            <v>483200439850</v>
          </cell>
        </row>
        <row r="19819">
          <cell r="E19819" t="str">
            <v>LUC-EZZ-470093-00</v>
          </cell>
          <cell r="F19819">
            <v>483200439850</v>
          </cell>
        </row>
        <row r="19820">
          <cell r="E19820" t="str">
            <v>LUC-E00-470036-00</v>
          </cell>
          <cell r="F19820">
            <v>483200439850</v>
          </cell>
        </row>
        <row r="19821">
          <cell r="E19821" t="str">
            <v>LUC-E00-420027-03</v>
          </cell>
          <cell r="F19821">
            <v>481855345084</v>
          </cell>
        </row>
        <row r="19822">
          <cell r="E19822" t="str">
            <v>LUC-EZZ-470128-00</v>
          </cell>
          <cell r="F19822">
            <v>394147500419</v>
          </cell>
        </row>
        <row r="19823">
          <cell r="E19823" t="str">
            <v>PUR-09-0513-00</v>
          </cell>
          <cell r="F19823">
            <v>394068446906</v>
          </cell>
        </row>
        <row r="19824">
          <cell r="E19824" t="str">
            <v>PUR-09-0513-00</v>
          </cell>
          <cell r="F19824">
            <v>394068446906</v>
          </cell>
        </row>
        <row r="19825">
          <cell r="E19825" t="str">
            <v>PUR-09-0513-00</v>
          </cell>
          <cell r="F19825">
            <v>394068446906</v>
          </cell>
        </row>
        <row r="19826">
          <cell r="E19826" t="str">
            <v>EF-45225755</v>
          </cell>
          <cell r="F19826">
            <v>417969480080</v>
          </cell>
        </row>
        <row r="19827">
          <cell r="E19827" t="str">
            <v>EF-45227728</v>
          </cell>
          <cell r="F19827">
            <v>461596528797</v>
          </cell>
        </row>
        <row r="19828">
          <cell r="E19828" t="str">
            <v>LUC-E00-400028-002</v>
          </cell>
          <cell r="F19828">
            <v>479730093405</v>
          </cell>
        </row>
        <row r="19829">
          <cell r="E19829" t="str">
            <v>LUC-E00-400010-045</v>
          </cell>
          <cell r="F19829">
            <v>479730094537</v>
          </cell>
        </row>
        <row r="19830">
          <cell r="E19830" t="str">
            <v>LUC-E00-400010-045</v>
          </cell>
          <cell r="F19830">
            <v>479730094537</v>
          </cell>
        </row>
        <row r="19831">
          <cell r="E19831" t="str">
            <v>LUC-E00-400010-045</v>
          </cell>
          <cell r="F19831">
            <v>479730094537</v>
          </cell>
        </row>
        <row r="19832">
          <cell r="E19832" t="str">
            <v>LUC-E00-400010-045</v>
          </cell>
          <cell r="F19832">
            <v>479730094537</v>
          </cell>
        </row>
        <row r="19833">
          <cell r="E19833" t="str">
            <v>EF-45224843</v>
          </cell>
          <cell r="F19833">
            <v>461244040067</v>
          </cell>
        </row>
        <row r="19834">
          <cell r="E19834" t="str">
            <v>EF-45225702</v>
          </cell>
          <cell r="F19834">
            <v>461244040067</v>
          </cell>
        </row>
        <row r="19835">
          <cell r="E19835" t="str">
            <v>LUC-EZZ-481784-00</v>
          </cell>
          <cell r="F19835">
            <v>480820788694</v>
          </cell>
        </row>
        <row r="19836">
          <cell r="E19836" t="str">
            <v>LUC-EZZ-400206-00</v>
          </cell>
          <cell r="F19836">
            <v>479730094950</v>
          </cell>
        </row>
        <row r="19837">
          <cell r="E19837" t="str">
            <v>LUC-E00-470039-00</v>
          </cell>
          <cell r="F19837">
            <v>885061703527</v>
          </cell>
        </row>
        <row r="19838">
          <cell r="E19838" t="str">
            <v>LUC-EZZ-470094-00</v>
          </cell>
          <cell r="F19838">
            <v>885061703527</v>
          </cell>
        </row>
        <row r="19839">
          <cell r="E19839" t="str">
            <v>LUC-E00-420028-00</v>
          </cell>
          <cell r="F19839">
            <v>885061703527</v>
          </cell>
        </row>
        <row r="19840">
          <cell r="E19840" t="str">
            <v>LUC-E00-400059-140</v>
          </cell>
          <cell r="F19840">
            <v>885061703527</v>
          </cell>
        </row>
        <row r="19841">
          <cell r="E19841" t="str">
            <v>LUC-E00-400011-005</v>
          </cell>
          <cell r="F19841">
            <v>885061703527</v>
          </cell>
        </row>
        <row r="19842">
          <cell r="E19842" t="str">
            <v>LUC-EZZ-470297-00</v>
          </cell>
          <cell r="F19842">
            <v>885061703527</v>
          </cell>
        </row>
        <row r="19843">
          <cell r="E19843" t="str">
            <v>AIC-122-004367</v>
          </cell>
          <cell r="F19843">
            <v>885061703527</v>
          </cell>
        </row>
        <row r="19844">
          <cell r="E19844" t="str">
            <v>LUC-E00-510034-00</v>
          </cell>
          <cell r="F19844">
            <v>885061703527</v>
          </cell>
        </row>
        <row r="19845">
          <cell r="E19845" t="str">
            <v>LUC-EZZ-420211-00</v>
          </cell>
          <cell r="F19845">
            <v>885061703527</v>
          </cell>
        </row>
        <row r="19846">
          <cell r="E19846" t="str">
            <v>AIC-MP-00005093-000</v>
          </cell>
          <cell r="F19846">
            <v>885025881905</v>
          </cell>
        </row>
        <row r="19847">
          <cell r="E19847" t="str">
            <v>LUC-E00-400010-021</v>
          </cell>
          <cell r="F19847">
            <v>479730093232</v>
          </cell>
        </row>
        <row r="19848">
          <cell r="E19848" t="str">
            <v>LUC-EZZ-690242-00</v>
          </cell>
          <cell r="F19848">
            <v>393977597096</v>
          </cell>
        </row>
        <row r="19849">
          <cell r="E19849" t="str">
            <v>LUC-P11-K41C00-00</v>
          </cell>
          <cell r="F19849">
            <v>473879452721</v>
          </cell>
        </row>
        <row r="19850">
          <cell r="E19850" t="str">
            <v>LUC-EZZ-400226-00</v>
          </cell>
          <cell r="F19850">
            <v>479730088027</v>
          </cell>
        </row>
        <row r="19851">
          <cell r="E19851" t="str">
            <v>LUC-EZZ-400568-00</v>
          </cell>
          <cell r="F19851">
            <v>479730088152</v>
          </cell>
        </row>
        <row r="19852">
          <cell r="E19852" t="str">
            <v>PUR-17-0283-02</v>
          </cell>
          <cell r="F19852" t="str">
            <v>PSHPH25A0041</v>
          </cell>
        </row>
        <row r="19853">
          <cell r="E19853" t="str">
            <v>PUR-31-0061-02</v>
          </cell>
          <cell r="F19853" t="str">
            <v>PSHPH25A0041</v>
          </cell>
        </row>
        <row r="19854">
          <cell r="E19854" t="str">
            <v>PUR-31-0066-02</v>
          </cell>
          <cell r="F19854" t="str">
            <v>PSHPH25A0041</v>
          </cell>
        </row>
        <row r="19855">
          <cell r="E19855" t="str">
            <v>PUR-31-0066-02</v>
          </cell>
          <cell r="F19855" t="str">
            <v>PSHPH25A0041</v>
          </cell>
        </row>
        <row r="19856">
          <cell r="E19856" t="str">
            <v>HLOB-05-0031-00</v>
          </cell>
          <cell r="F19856">
            <v>1811034665</v>
          </cell>
        </row>
        <row r="19857">
          <cell r="E19857" t="str">
            <v>PUR-05-0031-00</v>
          </cell>
          <cell r="F19857">
            <v>1811034665</v>
          </cell>
        </row>
        <row r="19858">
          <cell r="E19858" t="str">
            <v>121-001824</v>
          </cell>
          <cell r="F19858">
            <v>471783761401</v>
          </cell>
        </row>
        <row r="19859">
          <cell r="E19859" t="str">
            <v>LUC-E00-470093-00</v>
          </cell>
          <cell r="F19859">
            <v>394173908830</v>
          </cell>
        </row>
        <row r="19860">
          <cell r="E19860" t="str">
            <v>LUC-E00-470093-00</v>
          </cell>
          <cell r="F19860">
            <v>394173908830</v>
          </cell>
        </row>
        <row r="19861">
          <cell r="E19861" t="str">
            <v>EF-45130849</v>
          </cell>
          <cell r="F19861">
            <v>394149535346</v>
          </cell>
        </row>
        <row r="19862">
          <cell r="E19862" t="str">
            <v>LUC-E00-470121-01</v>
          </cell>
          <cell r="F19862">
            <v>394149535346</v>
          </cell>
        </row>
        <row r="19863">
          <cell r="E19863" t="str">
            <v>LUC-EZZ-470421-00</v>
          </cell>
          <cell r="F19863">
            <v>394149535346</v>
          </cell>
        </row>
        <row r="19864">
          <cell r="E19864" t="str">
            <v>LUC-EZZ-470421-00</v>
          </cell>
          <cell r="F19864">
            <v>394149535346</v>
          </cell>
        </row>
        <row r="19865">
          <cell r="E19865" t="str">
            <v>AGI-450-40087-01</v>
          </cell>
          <cell r="F19865">
            <v>394149535346</v>
          </cell>
        </row>
        <row r="19866">
          <cell r="E19866" t="str">
            <v>AGI-450-40087-01</v>
          </cell>
          <cell r="F19866">
            <v>394149535346</v>
          </cell>
        </row>
        <row r="19867">
          <cell r="E19867" t="str">
            <v>AGI-450-40087-01</v>
          </cell>
          <cell r="F19867">
            <v>394149535346</v>
          </cell>
        </row>
        <row r="19868">
          <cell r="E19868" t="str">
            <v>LUC-EZZ-470114-00</v>
          </cell>
          <cell r="F19868">
            <v>479730084190</v>
          </cell>
        </row>
        <row r="19869">
          <cell r="E19869" t="str">
            <v>LUC-EZZ-471621-00</v>
          </cell>
          <cell r="F19869">
            <v>479730084180</v>
          </cell>
        </row>
        <row r="19870">
          <cell r="E19870" t="str">
            <v>AIC-111-001496</v>
          </cell>
          <cell r="F19870">
            <v>479730084205</v>
          </cell>
        </row>
        <row r="19871">
          <cell r="E19871" t="str">
            <v>HLOB-13-0235-00</v>
          </cell>
          <cell r="F19871">
            <v>479730084319</v>
          </cell>
        </row>
        <row r="19872">
          <cell r="E19872" t="str">
            <v>LUC-EZZ-400162-00</v>
          </cell>
          <cell r="F19872">
            <v>479730084396</v>
          </cell>
        </row>
        <row r="19873">
          <cell r="E19873" t="str">
            <v>LUC-E00-420071-00</v>
          </cell>
          <cell r="F19873">
            <v>479730084374</v>
          </cell>
        </row>
        <row r="19874">
          <cell r="E19874" t="str">
            <v>LUC-E00-400010-050</v>
          </cell>
          <cell r="F19874">
            <v>479730086881</v>
          </cell>
        </row>
        <row r="19875">
          <cell r="E19875" t="str">
            <v>LUC-EZZ-400117-00</v>
          </cell>
          <cell r="F19875">
            <v>479730086116</v>
          </cell>
        </row>
        <row r="19876">
          <cell r="E19876" t="str">
            <v>LUC-EZZ-400205-00</v>
          </cell>
          <cell r="F19876">
            <v>479730087362</v>
          </cell>
        </row>
        <row r="19877">
          <cell r="E19877" t="str">
            <v>PUR-09-0324-00</v>
          </cell>
          <cell r="F19877">
            <v>479730087190</v>
          </cell>
        </row>
        <row r="19878">
          <cell r="E19878" t="str">
            <v>LUC-E00-470021-00</v>
          </cell>
          <cell r="F19878">
            <v>479730087866</v>
          </cell>
        </row>
        <row r="19879">
          <cell r="E19879" t="str">
            <v>EF-45090995</v>
          </cell>
          <cell r="F19879">
            <v>479730087899</v>
          </cell>
        </row>
        <row r="19880">
          <cell r="E19880" t="str">
            <v>LUC-EZZ-400264-00</v>
          </cell>
          <cell r="F19880">
            <v>479730087980</v>
          </cell>
        </row>
        <row r="19881">
          <cell r="E19881" t="str">
            <v>LUC-EZZ-400542-00</v>
          </cell>
          <cell r="F19881">
            <v>479730087947</v>
          </cell>
        </row>
        <row r="19882">
          <cell r="E19882" t="str">
            <v>LUC-E00-400010-026</v>
          </cell>
          <cell r="F19882">
            <v>479730087925</v>
          </cell>
        </row>
        <row r="19883">
          <cell r="E19883" t="str">
            <v>LUC-EZZ-400205-00</v>
          </cell>
          <cell r="F19883">
            <v>479730087991</v>
          </cell>
        </row>
        <row r="19884">
          <cell r="E19884" t="str">
            <v>LUC-EZZ-400226-00</v>
          </cell>
          <cell r="F19884">
            <v>479730088038</v>
          </cell>
        </row>
        <row r="19885">
          <cell r="E19885" t="str">
            <v>LUC-E00-400010-021</v>
          </cell>
          <cell r="F19885">
            <v>479730088050</v>
          </cell>
        </row>
        <row r="19886">
          <cell r="E19886" t="str">
            <v>LUC-EZZ-400231-00</v>
          </cell>
          <cell r="F19886">
            <v>479730088071</v>
          </cell>
        </row>
        <row r="19887">
          <cell r="E19887" t="str">
            <v>LUC-EZZ-400542-00</v>
          </cell>
          <cell r="F19887">
            <v>479730088119</v>
          </cell>
        </row>
        <row r="19888">
          <cell r="E19888" t="str">
            <v>LUC-EZZ-400537-00</v>
          </cell>
          <cell r="F19888">
            <v>479730088108</v>
          </cell>
        </row>
        <row r="19889">
          <cell r="E19889" t="str">
            <v>LUC-E00-400028-004</v>
          </cell>
          <cell r="F19889">
            <v>479730088120</v>
          </cell>
        </row>
        <row r="19890">
          <cell r="E19890" t="str">
            <v>LUC-EZZ-400231-00</v>
          </cell>
          <cell r="F19890">
            <v>479730088130</v>
          </cell>
        </row>
        <row r="19891">
          <cell r="E19891" t="str">
            <v>PUR-09-0324-00</v>
          </cell>
          <cell r="F19891">
            <v>479730088141</v>
          </cell>
        </row>
        <row r="19892">
          <cell r="E19892" t="str">
            <v>PUR-09-0424-00</v>
          </cell>
          <cell r="F19892">
            <v>479730088200</v>
          </cell>
        </row>
        <row r="19893">
          <cell r="E19893" t="str">
            <v>LUC-E00-400010-002</v>
          </cell>
          <cell r="F19893">
            <v>479730088277</v>
          </cell>
        </row>
        <row r="19894">
          <cell r="E19894" t="str">
            <v>LUC-EZZ-400117-00</v>
          </cell>
          <cell r="F19894">
            <v>479730088222</v>
          </cell>
        </row>
        <row r="19895">
          <cell r="E19895" t="str">
            <v>PUR-09-0324-00</v>
          </cell>
          <cell r="F19895">
            <v>479730088299</v>
          </cell>
        </row>
        <row r="19896">
          <cell r="E19896" t="str">
            <v>LUC-EZZ-451277-00</v>
          </cell>
          <cell r="F19896">
            <v>479730088943</v>
          </cell>
        </row>
        <row r="19897">
          <cell r="E19897" t="str">
            <v>LUC-E00-400028-002</v>
          </cell>
          <cell r="F19897">
            <v>479730088818</v>
          </cell>
        </row>
        <row r="19898">
          <cell r="E19898" t="str">
            <v>LUC-EZZ-450070-00</v>
          </cell>
          <cell r="F19898">
            <v>479730088895</v>
          </cell>
        </row>
        <row r="19899">
          <cell r="E19899" t="str">
            <v>LUC-EZZ-400201-00</v>
          </cell>
          <cell r="F19899">
            <v>479730088862</v>
          </cell>
        </row>
        <row r="19900">
          <cell r="E19900" t="str">
            <v>LUC-EZZ-400226-00</v>
          </cell>
          <cell r="F19900">
            <v>479730088965</v>
          </cell>
        </row>
        <row r="19901">
          <cell r="E19901" t="str">
            <v>LUC-EZZ-400542-00</v>
          </cell>
          <cell r="F19901">
            <v>479730089045</v>
          </cell>
        </row>
        <row r="19902">
          <cell r="E19902" t="str">
            <v>LUC-EZZ-400261-00</v>
          </cell>
          <cell r="F19902">
            <v>479730088976</v>
          </cell>
        </row>
        <row r="19903">
          <cell r="E19903" t="str">
            <v>LUC-E00-400025-09</v>
          </cell>
          <cell r="F19903">
            <v>479730089089</v>
          </cell>
        </row>
        <row r="19904">
          <cell r="E19904" t="str">
            <v>LUC-E00-400010-026</v>
          </cell>
          <cell r="F19904">
            <v>479730089104</v>
          </cell>
        </row>
        <row r="19905">
          <cell r="E19905" t="str">
            <v>LUC-EZZ-400261-00</v>
          </cell>
          <cell r="F19905">
            <v>479730089115</v>
          </cell>
        </row>
        <row r="19906">
          <cell r="E19906" t="str">
            <v>LUC-E00-420071-00</v>
          </cell>
          <cell r="F19906">
            <v>479730089148</v>
          </cell>
        </row>
        <row r="19907">
          <cell r="E19907" t="str">
            <v>LUC-EZZ-400244-00</v>
          </cell>
          <cell r="F19907">
            <v>479730089137</v>
          </cell>
        </row>
        <row r="19908">
          <cell r="E19908" t="str">
            <v>LUC-EZZ-470139-00</v>
          </cell>
          <cell r="F19908">
            <v>479730089181</v>
          </cell>
        </row>
        <row r="19909">
          <cell r="E19909" t="str">
            <v>LUC-E00-400010-003</v>
          </cell>
          <cell r="F19909">
            <v>479730089160</v>
          </cell>
        </row>
        <row r="19910">
          <cell r="E19910" t="str">
            <v>LUC-E00-400010-001</v>
          </cell>
          <cell r="F19910">
            <v>479730089159</v>
          </cell>
        </row>
        <row r="19911">
          <cell r="E19911" t="str">
            <v>LUC-EZZ-400205-00</v>
          </cell>
          <cell r="F19911">
            <v>479730089402</v>
          </cell>
        </row>
        <row r="19912">
          <cell r="E19912" t="str">
            <v>LUC-E00-470028-00</v>
          </cell>
          <cell r="F19912">
            <v>479730089365</v>
          </cell>
        </row>
        <row r="19913">
          <cell r="E19913" t="str">
            <v>LUC-EZZ-400542-00</v>
          </cell>
          <cell r="F19913">
            <v>479730089788</v>
          </cell>
        </row>
        <row r="19914">
          <cell r="E19914" t="str">
            <v>AIC-MP-00007012-000</v>
          </cell>
          <cell r="F19914">
            <v>479730089928</v>
          </cell>
        </row>
        <row r="19915">
          <cell r="E19915" t="str">
            <v>PUR-09-0352-00</v>
          </cell>
          <cell r="F19915">
            <v>479730090439</v>
          </cell>
        </row>
        <row r="19916">
          <cell r="E19916" t="str">
            <v>LUC-EZZ-400434-00</v>
          </cell>
          <cell r="F19916">
            <v>479730090233</v>
          </cell>
        </row>
        <row r="19917">
          <cell r="E19917" t="str">
            <v>LUC-EZZ-400433-00</v>
          </cell>
          <cell r="F19917">
            <v>479730090233</v>
          </cell>
        </row>
        <row r="19918">
          <cell r="E19918" t="str">
            <v>LUC-E00-470071-00</v>
          </cell>
          <cell r="F19918">
            <v>479730090266</v>
          </cell>
        </row>
        <row r="19919">
          <cell r="E19919" t="str">
            <v>LUC-E00-450068-00</v>
          </cell>
          <cell r="F19919">
            <v>479730093493</v>
          </cell>
        </row>
        <row r="19920">
          <cell r="E19920" t="str">
            <v>LUC-E00-400010-055</v>
          </cell>
          <cell r="F19920">
            <v>479730095213</v>
          </cell>
        </row>
        <row r="19921">
          <cell r="E19921" t="str">
            <v>LUC-E00-400010-055</v>
          </cell>
          <cell r="F19921">
            <v>479730095213</v>
          </cell>
        </row>
        <row r="19922">
          <cell r="E19922" t="str">
            <v>PUR-09-0352-00</v>
          </cell>
          <cell r="F19922">
            <v>479730093450</v>
          </cell>
        </row>
        <row r="19923">
          <cell r="E19923" t="str">
            <v>LUC-E00-480007-00</v>
          </cell>
          <cell r="F19923">
            <v>484789687462</v>
          </cell>
        </row>
        <row r="19924">
          <cell r="E19924" t="str">
            <v>LUC-E00-420002-03</v>
          </cell>
          <cell r="F19924">
            <v>484789687462</v>
          </cell>
        </row>
        <row r="19925">
          <cell r="E19925" t="str">
            <v>LUC-EZZ-400568-00</v>
          </cell>
          <cell r="F19925">
            <v>484789669224</v>
          </cell>
        </row>
        <row r="19926">
          <cell r="E19926" t="str">
            <v>132-001552</v>
          </cell>
          <cell r="F19926">
            <v>885092656284</v>
          </cell>
        </row>
        <row r="19927">
          <cell r="E19927" t="str">
            <v>141-001581</v>
          </cell>
          <cell r="F19927">
            <v>885115805879</v>
          </cell>
        </row>
        <row r="19928">
          <cell r="E19928" t="str">
            <v>141-001581</v>
          </cell>
          <cell r="F19928">
            <v>885115805879</v>
          </cell>
        </row>
        <row r="19929">
          <cell r="E19929" t="str">
            <v>LUC-EZZ-420330-00</v>
          </cell>
          <cell r="F19929">
            <v>679486523560</v>
          </cell>
        </row>
        <row r="19930">
          <cell r="E19930" t="str">
            <v>LUC-EZZ-420330-00</v>
          </cell>
          <cell r="F19930">
            <v>679486523560</v>
          </cell>
        </row>
        <row r="19931">
          <cell r="E19931" t="str">
            <v>PUR-03-0091-02</v>
          </cell>
          <cell r="F19931">
            <v>485323681190</v>
          </cell>
        </row>
        <row r="19932">
          <cell r="E19932" t="str">
            <v>PUR-03-0091-02</v>
          </cell>
          <cell r="F19932">
            <v>485323681190</v>
          </cell>
        </row>
        <row r="19933">
          <cell r="E19933" t="str">
            <v>HLOB-24-0028-00</v>
          </cell>
          <cell r="F19933">
            <v>119209642408</v>
          </cell>
        </row>
        <row r="19934">
          <cell r="E19934" t="str">
            <v>LUC-EZZ-440192-00</v>
          </cell>
          <cell r="F19934">
            <v>119209642408</v>
          </cell>
        </row>
        <row r="19935">
          <cell r="E19935" t="str">
            <v>LUC-EZZ-510014-00</v>
          </cell>
          <cell r="F19935">
            <v>119209642408</v>
          </cell>
        </row>
        <row r="19936">
          <cell r="E19936" t="str">
            <v>LUC-E00-400010-016</v>
          </cell>
          <cell r="F19936">
            <v>479730090016</v>
          </cell>
        </row>
        <row r="19937">
          <cell r="E19937" t="str">
            <v>LUC-P21-K87100-00</v>
          </cell>
          <cell r="F19937">
            <v>4812853344</v>
          </cell>
        </row>
        <row r="19938">
          <cell r="E19938" t="str">
            <v>LUC-EZZ-420321-00</v>
          </cell>
          <cell r="F19938">
            <v>4812853440</v>
          </cell>
        </row>
        <row r="19939">
          <cell r="E19939" t="str">
            <v>LUC-EZZ-420097-00</v>
          </cell>
          <cell r="F19939">
            <v>4812853440</v>
          </cell>
        </row>
        <row r="19940">
          <cell r="E19940" t="str">
            <v>LUC-E00-420048-00</v>
          </cell>
          <cell r="F19940">
            <v>4812853440</v>
          </cell>
        </row>
        <row r="19941">
          <cell r="E19941" t="str">
            <v>AIC-MP-CP005744-S01</v>
          </cell>
          <cell r="F19941">
            <v>4812853440</v>
          </cell>
        </row>
        <row r="19942">
          <cell r="E19942" t="str">
            <v>AIC-MP-00005346-000</v>
          </cell>
          <cell r="F19942">
            <v>4812853440</v>
          </cell>
        </row>
        <row r="19943">
          <cell r="E19943" t="str">
            <v>EF-45059919.X.X</v>
          </cell>
          <cell r="F19943">
            <v>4812853440</v>
          </cell>
        </row>
        <row r="19944">
          <cell r="E19944" t="str">
            <v>PUR-13-0138-00</v>
          </cell>
          <cell r="F19944">
            <v>4812853440</v>
          </cell>
        </row>
        <row r="19945">
          <cell r="E19945" t="str">
            <v>PUR-13-0138-00</v>
          </cell>
          <cell r="F19945">
            <v>4812853440</v>
          </cell>
        </row>
        <row r="19946">
          <cell r="E19946" t="str">
            <v>HLOB-13-0212-00</v>
          </cell>
          <cell r="F19946">
            <v>4812853440</v>
          </cell>
        </row>
        <row r="19947">
          <cell r="E19947" t="str">
            <v>HLOB-13-0212-00</v>
          </cell>
          <cell r="F19947">
            <v>4812853440</v>
          </cell>
        </row>
        <row r="19948">
          <cell r="E19948" t="str">
            <v>PUR-13-0212-00</v>
          </cell>
          <cell r="F19948">
            <v>4812853440</v>
          </cell>
        </row>
        <row r="19949">
          <cell r="E19949" t="str">
            <v>PURET-13-0002-00</v>
          </cell>
          <cell r="F19949">
            <v>4812853440</v>
          </cell>
        </row>
        <row r="19950">
          <cell r="E19950" t="str">
            <v>PURET-13-0002-00</v>
          </cell>
          <cell r="F19950">
            <v>4812853440</v>
          </cell>
        </row>
        <row r="19951">
          <cell r="E19951" t="str">
            <v>HLOB-13-0002-00</v>
          </cell>
          <cell r="F19951">
            <v>4812853440</v>
          </cell>
        </row>
        <row r="19952">
          <cell r="E19952" t="str">
            <v>HLOB-13-0002-00</v>
          </cell>
          <cell r="F19952">
            <v>4812853440</v>
          </cell>
        </row>
        <row r="19953">
          <cell r="E19953" t="str">
            <v>HLOB-13-0002-00</v>
          </cell>
          <cell r="F19953">
            <v>4812853440</v>
          </cell>
        </row>
        <row r="19954">
          <cell r="E19954" t="str">
            <v>HLOB-13-0002-00</v>
          </cell>
          <cell r="F19954">
            <v>4812853440</v>
          </cell>
        </row>
        <row r="19955">
          <cell r="E19955" t="str">
            <v>PURET-13-0069-00</v>
          </cell>
          <cell r="F19955">
            <v>4812853440</v>
          </cell>
        </row>
        <row r="19956">
          <cell r="E19956" t="str">
            <v>LUC-E00-420185-00</v>
          </cell>
          <cell r="F19956">
            <v>4812853440</v>
          </cell>
        </row>
        <row r="19957">
          <cell r="E19957" t="str">
            <v>HLOB-13-0022-00</v>
          </cell>
          <cell r="F19957">
            <v>4812853440</v>
          </cell>
        </row>
        <row r="19958">
          <cell r="E19958" t="str">
            <v>HLOB-13-0022-00</v>
          </cell>
          <cell r="F19958">
            <v>4812853440</v>
          </cell>
        </row>
        <row r="19959">
          <cell r="E19959" t="str">
            <v>PURET-13-0009-00</v>
          </cell>
          <cell r="F19959">
            <v>4812853440</v>
          </cell>
        </row>
        <row r="19960">
          <cell r="E19960" t="str">
            <v>LUC-E00-470029-00</v>
          </cell>
          <cell r="F19960">
            <v>420859025710</v>
          </cell>
        </row>
        <row r="19961">
          <cell r="E19961" t="str">
            <v>LUC-EZZ-400297-00</v>
          </cell>
          <cell r="F19961">
            <v>4711887543</v>
          </cell>
        </row>
        <row r="19962">
          <cell r="E19962" t="str">
            <v>LUC-EZZ-400283-00</v>
          </cell>
          <cell r="F19962">
            <v>4711887543</v>
          </cell>
        </row>
        <row r="19963">
          <cell r="E19963" t="str">
            <v>LUC-EZZ-400297-00</v>
          </cell>
          <cell r="F19963">
            <v>4711887543</v>
          </cell>
        </row>
        <row r="19964">
          <cell r="E19964" t="str">
            <v>HLOB-12-0035-00</v>
          </cell>
          <cell r="F19964">
            <v>4711887543</v>
          </cell>
        </row>
        <row r="19965">
          <cell r="E19965" t="str">
            <v>PUR-13-0155-00</v>
          </cell>
          <cell r="F19965">
            <v>4711887543</v>
          </cell>
        </row>
        <row r="19966">
          <cell r="E19966" t="str">
            <v>PUR-13-0244-00</v>
          </cell>
          <cell r="F19966">
            <v>4711887543</v>
          </cell>
        </row>
        <row r="19967">
          <cell r="E19967" t="str">
            <v>LUC-E00-510020-00</v>
          </cell>
          <cell r="F19967">
            <v>4711887543</v>
          </cell>
        </row>
        <row r="19968">
          <cell r="E19968" t="str">
            <v>LUC-E00-420038-01</v>
          </cell>
          <cell r="F19968">
            <v>4711887543</v>
          </cell>
        </row>
        <row r="19969">
          <cell r="E19969" t="str">
            <v>LUC-EZZ-440037-00</v>
          </cell>
          <cell r="F19969">
            <v>4711887543</v>
          </cell>
        </row>
        <row r="19970">
          <cell r="E19970" t="str">
            <v>LUC-E00-420045-01</v>
          </cell>
          <cell r="F19970">
            <v>4711887543</v>
          </cell>
        </row>
        <row r="19971">
          <cell r="E19971" t="str">
            <v>LUC-E00-420045-01</v>
          </cell>
          <cell r="F19971">
            <v>4711887543</v>
          </cell>
        </row>
        <row r="19972">
          <cell r="E19972" t="str">
            <v>LUC-E00-420045-01</v>
          </cell>
          <cell r="F19972">
            <v>4711887543</v>
          </cell>
        </row>
        <row r="19973">
          <cell r="E19973" t="str">
            <v>LUC-E00-400012-18</v>
          </cell>
          <cell r="F19973">
            <v>4711887543</v>
          </cell>
        </row>
        <row r="19974">
          <cell r="E19974" t="str">
            <v>LUC-EZZ-400071-00</v>
          </cell>
          <cell r="F19974">
            <v>4711887543</v>
          </cell>
        </row>
        <row r="19975">
          <cell r="E19975" t="str">
            <v>LUC-E00-400012-10</v>
          </cell>
          <cell r="F19975">
            <v>4711887543</v>
          </cell>
        </row>
        <row r="19976">
          <cell r="E19976" t="str">
            <v>LUC-E00-400012-15</v>
          </cell>
          <cell r="F19976">
            <v>4711887543</v>
          </cell>
        </row>
        <row r="19977">
          <cell r="E19977" t="str">
            <v>LUC-E00-400012-19</v>
          </cell>
          <cell r="F19977">
            <v>4711887543</v>
          </cell>
        </row>
        <row r="19978">
          <cell r="E19978" t="str">
            <v>LUC-EZZ-400054-00</v>
          </cell>
          <cell r="F19978">
            <v>4711887543</v>
          </cell>
        </row>
        <row r="19979">
          <cell r="E19979" t="str">
            <v>LUC-E00-400012-001</v>
          </cell>
          <cell r="F19979">
            <v>4711887543</v>
          </cell>
        </row>
        <row r="19980">
          <cell r="E19980" t="str">
            <v>LUC-E00-400012-04</v>
          </cell>
          <cell r="F19980">
            <v>4711887543</v>
          </cell>
        </row>
        <row r="19981">
          <cell r="E19981" t="str">
            <v>LUC-E00-400012-03</v>
          </cell>
          <cell r="F19981">
            <v>4711887543</v>
          </cell>
        </row>
        <row r="19982">
          <cell r="E19982" t="str">
            <v>LUC-EZZ-400071-00</v>
          </cell>
          <cell r="F19982">
            <v>4711887543</v>
          </cell>
        </row>
        <row r="19983">
          <cell r="E19983" t="str">
            <v>LUC-E00-400012-001</v>
          </cell>
          <cell r="F19983">
            <v>4711887543</v>
          </cell>
        </row>
        <row r="19984">
          <cell r="E19984" t="str">
            <v>LUC-E00-400012-19</v>
          </cell>
          <cell r="F19984">
            <v>4711887543</v>
          </cell>
        </row>
        <row r="19985">
          <cell r="E19985" t="str">
            <v>LUC-EZZ-401043-00</v>
          </cell>
          <cell r="F19985">
            <v>4711887543</v>
          </cell>
        </row>
        <row r="19986">
          <cell r="E19986" t="str">
            <v>PURET-12-0029-00</v>
          </cell>
          <cell r="F19986">
            <v>4711887543</v>
          </cell>
        </row>
        <row r="19987">
          <cell r="E19987" t="str">
            <v>LUC-E00-400075-00</v>
          </cell>
          <cell r="F19987">
            <v>4711887543</v>
          </cell>
        </row>
        <row r="19988">
          <cell r="E19988" t="str">
            <v>LUC-E00-420037-02</v>
          </cell>
          <cell r="F19988">
            <v>4711887543</v>
          </cell>
        </row>
        <row r="19989">
          <cell r="E19989" t="str">
            <v>PUR-11-0106-05</v>
          </cell>
          <cell r="F19989" t="str">
            <v>LSZHPH2512377</v>
          </cell>
        </row>
        <row r="19990">
          <cell r="E19990" t="str">
            <v>PUR-11-0106-05</v>
          </cell>
          <cell r="F19990" t="str">
            <v>LSZHPH2512377</v>
          </cell>
        </row>
        <row r="19991">
          <cell r="E19991" t="str">
            <v>PUR-11-0106-05</v>
          </cell>
          <cell r="F19991" t="str">
            <v>LSZHPH2512377</v>
          </cell>
        </row>
        <row r="19992">
          <cell r="E19992" t="str">
            <v>LUC-EZZ-471621-00</v>
          </cell>
          <cell r="F19992">
            <v>479730082706</v>
          </cell>
        </row>
        <row r="19993">
          <cell r="E19993" t="str">
            <v>LUC-E00-400010-001</v>
          </cell>
          <cell r="F19993">
            <v>479730089001</v>
          </cell>
        </row>
        <row r="19994">
          <cell r="E19994" t="str">
            <v>LUC-EZZ-470308-00</v>
          </cell>
          <cell r="F19994">
            <v>479730082062</v>
          </cell>
        </row>
        <row r="19995">
          <cell r="E19995" t="str">
            <v>LUC-GF1500-00-60-50CC</v>
          </cell>
          <cell r="F19995">
            <v>485444601264</v>
          </cell>
        </row>
        <row r="19996">
          <cell r="E19996" t="str">
            <v>LUC-E00-440057-00</v>
          </cell>
          <cell r="F19996">
            <v>485444601264</v>
          </cell>
        </row>
        <row r="19997">
          <cell r="E19997" t="str">
            <v>EF-45087419</v>
          </cell>
          <cell r="F19997">
            <v>485444601264</v>
          </cell>
        </row>
        <row r="19998">
          <cell r="E19998" t="str">
            <v>LUC-EZZ-480029-00</v>
          </cell>
          <cell r="F19998">
            <v>485444601264</v>
          </cell>
        </row>
        <row r="19999">
          <cell r="E19999" t="str">
            <v>LUC-E00-420037-00</v>
          </cell>
          <cell r="F19999">
            <v>485444601264</v>
          </cell>
        </row>
        <row r="20000">
          <cell r="E20000" t="str">
            <v>LUC-E00-400028-13</v>
          </cell>
          <cell r="F20000">
            <v>485444601264</v>
          </cell>
        </row>
        <row r="20001">
          <cell r="E20001" t="str">
            <v>LUC-E00-400011-000</v>
          </cell>
          <cell r="F20001">
            <v>485444601264</v>
          </cell>
        </row>
        <row r="20002">
          <cell r="E20002" t="str">
            <v>LUC-E00-690055-00</v>
          </cell>
          <cell r="F20002">
            <v>394106664798</v>
          </cell>
        </row>
        <row r="20003">
          <cell r="E20003" t="str">
            <v>LUC-EZZ-400331-00</v>
          </cell>
          <cell r="F20003">
            <v>479730090005</v>
          </cell>
        </row>
        <row r="20004">
          <cell r="E20004" t="str">
            <v>LUC-EZZ-400264-00</v>
          </cell>
          <cell r="F20004">
            <v>479730090038</v>
          </cell>
        </row>
        <row r="20005">
          <cell r="E20005" t="str">
            <v>LUC-EZZ-400433-00</v>
          </cell>
          <cell r="F20005">
            <v>479730090050</v>
          </cell>
        </row>
        <row r="20006">
          <cell r="E20006" t="str">
            <v>LUC-E00-470071-01</v>
          </cell>
          <cell r="F20006">
            <v>479730090185</v>
          </cell>
        </row>
        <row r="20007">
          <cell r="E20007" t="str">
            <v>LUC-EZZ-400434-00</v>
          </cell>
          <cell r="F20007">
            <v>479730090222</v>
          </cell>
        </row>
        <row r="20008">
          <cell r="E20008" t="str">
            <v>LUC-EZZ-400331-00</v>
          </cell>
          <cell r="F20008">
            <v>479730090060</v>
          </cell>
        </row>
        <row r="20009">
          <cell r="E20009" t="str">
            <v>HLOB-13-0235-00</v>
          </cell>
          <cell r="F20009">
            <v>479730095154</v>
          </cell>
        </row>
        <row r="20010">
          <cell r="E20010" t="str">
            <v>LUC-E00-400010-022</v>
          </cell>
          <cell r="F20010">
            <v>479730092523</v>
          </cell>
        </row>
        <row r="20011">
          <cell r="E20011" t="str">
            <v>LUC-E00-400010-016</v>
          </cell>
          <cell r="F20011">
            <v>479730095224</v>
          </cell>
        </row>
        <row r="20012">
          <cell r="E20012" t="str">
            <v>LUC-E00-400010-002</v>
          </cell>
          <cell r="F20012">
            <v>479730095522</v>
          </cell>
        </row>
        <row r="20013">
          <cell r="E20013" t="str">
            <v>LUC-E00-420274-00</v>
          </cell>
          <cell r="F20013">
            <v>479730095463</v>
          </cell>
        </row>
        <row r="20014">
          <cell r="E20014" t="str">
            <v>LUC-EZZ-400264-00</v>
          </cell>
          <cell r="F20014">
            <v>479730095740</v>
          </cell>
        </row>
        <row r="20015">
          <cell r="E20015" t="str">
            <v>LUC-EZZ-400205-00</v>
          </cell>
          <cell r="F20015">
            <v>479730095875</v>
          </cell>
        </row>
        <row r="20016">
          <cell r="E20016" t="str">
            <v>LUC-E00-400010-021</v>
          </cell>
          <cell r="F20016">
            <v>479730095853</v>
          </cell>
        </row>
        <row r="20017">
          <cell r="E20017" t="str">
            <v>LUC-EZZ-400201-00</v>
          </cell>
          <cell r="F20017">
            <v>484789715591</v>
          </cell>
        </row>
        <row r="20018">
          <cell r="E20018" t="str">
            <v>LUC-E00-400010-000</v>
          </cell>
          <cell r="F20018">
            <v>479730096139</v>
          </cell>
        </row>
        <row r="20019">
          <cell r="E20019" t="str">
            <v>LUC-EZZ-400201-00</v>
          </cell>
          <cell r="F20019">
            <v>484789715570</v>
          </cell>
        </row>
        <row r="20020">
          <cell r="E20020" t="str">
            <v>141-002762</v>
          </cell>
          <cell r="F20020">
            <v>885152303097</v>
          </cell>
        </row>
        <row r="20021">
          <cell r="E20021" t="str">
            <v>LUC-EZZ-400201-00</v>
          </cell>
          <cell r="F20021">
            <v>484789717311</v>
          </cell>
        </row>
        <row r="20022">
          <cell r="E20022" t="str">
            <v>LUC-E00-470274-00</v>
          </cell>
          <cell r="F20022">
            <v>394169774010</v>
          </cell>
        </row>
        <row r="20023">
          <cell r="E20023" t="str">
            <v>LUC-E00-420025-03</v>
          </cell>
          <cell r="F20023">
            <v>471783764032</v>
          </cell>
        </row>
        <row r="20024">
          <cell r="E20024" t="str">
            <v>LUC-EZZ-420822-00</v>
          </cell>
          <cell r="F20024">
            <v>471783764032</v>
          </cell>
        </row>
        <row r="20025">
          <cell r="E20025" t="str">
            <v>LUC-EZZ-420822-00</v>
          </cell>
          <cell r="F20025">
            <v>471783764032</v>
          </cell>
        </row>
        <row r="20026">
          <cell r="E20026" t="str">
            <v>122-000215.X.X</v>
          </cell>
          <cell r="F20026">
            <v>471783764032</v>
          </cell>
        </row>
        <row r="20027">
          <cell r="E20027" t="str">
            <v>LUC-E00-420024-00</v>
          </cell>
          <cell r="F20027">
            <v>471783764032</v>
          </cell>
        </row>
        <row r="20028">
          <cell r="E20028" t="str">
            <v>122-000756.X.X</v>
          </cell>
          <cell r="F20028">
            <v>471783764032</v>
          </cell>
        </row>
        <row r="20029">
          <cell r="E20029" t="str">
            <v>122-000756.X.X</v>
          </cell>
          <cell r="F20029">
            <v>471783764032</v>
          </cell>
        </row>
        <row r="20030">
          <cell r="E20030" t="str">
            <v>122-000453.X.X</v>
          </cell>
          <cell r="F20030">
            <v>471783764032</v>
          </cell>
        </row>
        <row r="20031">
          <cell r="E20031" t="str">
            <v>AIC-MP-00000047-000</v>
          </cell>
          <cell r="F20031">
            <v>471783764032</v>
          </cell>
        </row>
        <row r="20032">
          <cell r="E20032" t="str">
            <v>122-000821.X.X</v>
          </cell>
          <cell r="F20032">
            <v>471783764032</v>
          </cell>
        </row>
        <row r="20033">
          <cell r="E20033" t="str">
            <v>AIC-MP-00003342-000</v>
          </cell>
          <cell r="F20033">
            <v>471783764032</v>
          </cell>
        </row>
        <row r="20034">
          <cell r="E20034" t="str">
            <v>PUR-13-0246-00</v>
          </cell>
          <cell r="F20034">
            <v>471783764032</v>
          </cell>
        </row>
        <row r="20035">
          <cell r="E20035" t="str">
            <v>122-000701.X.X</v>
          </cell>
          <cell r="F20035">
            <v>471783764032</v>
          </cell>
        </row>
        <row r="20036">
          <cell r="E20036" t="str">
            <v>AIC-122-004396</v>
          </cell>
          <cell r="F20036">
            <v>471783764032</v>
          </cell>
        </row>
        <row r="20037">
          <cell r="E20037" t="str">
            <v>122-000821.X.X</v>
          </cell>
          <cell r="F20037">
            <v>471783764032</v>
          </cell>
        </row>
        <row r="20038">
          <cell r="E20038" t="str">
            <v>122-000821.X.X</v>
          </cell>
          <cell r="F20038">
            <v>471783764032</v>
          </cell>
        </row>
        <row r="20039">
          <cell r="E20039" t="str">
            <v>122-000701.X.X</v>
          </cell>
          <cell r="F20039">
            <v>471783764032</v>
          </cell>
        </row>
        <row r="20040">
          <cell r="E20040" t="str">
            <v>122-000756.X.X</v>
          </cell>
          <cell r="F20040">
            <v>471783764032</v>
          </cell>
        </row>
        <row r="20041">
          <cell r="E20041" t="str">
            <v>LUC-EZZ-400042-00</v>
          </cell>
          <cell r="F20041">
            <v>471783764032</v>
          </cell>
        </row>
        <row r="20042">
          <cell r="E20042" t="str">
            <v>LUC-E00-400035-04</v>
          </cell>
          <cell r="F20042">
            <v>471783764032</v>
          </cell>
        </row>
        <row r="20043">
          <cell r="E20043" t="str">
            <v>LUC-EZZ-400035-00</v>
          </cell>
          <cell r="F20043">
            <v>471783764032</v>
          </cell>
        </row>
        <row r="20044">
          <cell r="E20044" t="str">
            <v>PURET-12-0035-00</v>
          </cell>
          <cell r="F20044">
            <v>471783764032</v>
          </cell>
        </row>
        <row r="20045">
          <cell r="E20045" t="str">
            <v>EF-45065452.X.X</v>
          </cell>
          <cell r="F20045">
            <v>471783764032</v>
          </cell>
        </row>
        <row r="20046">
          <cell r="E20046" t="str">
            <v>PURET-12-0212-00</v>
          </cell>
          <cell r="F20046">
            <v>471783764032</v>
          </cell>
        </row>
        <row r="20047">
          <cell r="E20047" t="str">
            <v>AIC-MP-00002327-000</v>
          </cell>
          <cell r="F20047">
            <v>471783764032</v>
          </cell>
        </row>
        <row r="20048">
          <cell r="E20048" t="str">
            <v>AIC-MP-00002358-000</v>
          </cell>
          <cell r="F20048">
            <v>471783764032</v>
          </cell>
        </row>
        <row r="20049">
          <cell r="E20049" t="str">
            <v>AIC-MP-00005563-000</v>
          </cell>
          <cell r="F20049">
            <v>471783764032</v>
          </cell>
        </row>
        <row r="20050">
          <cell r="E20050" t="str">
            <v>EF-45060499.X.X</v>
          </cell>
          <cell r="F20050">
            <v>471783764032</v>
          </cell>
        </row>
        <row r="20051">
          <cell r="E20051" t="str">
            <v>PUR-12-0293-00</v>
          </cell>
          <cell r="F20051">
            <v>471783764032</v>
          </cell>
        </row>
        <row r="20052">
          <cell r="E20052" t="str">
            <v>AIC-MP-00002561-000</v>
          </cell>
          <cell r="F20052">
            <v>471783764032</v>
          </cell>
        </row>
        <row r="20053">
          <cell r="E20053" t="str">
            <v>PUR-12-0304-00</v>
          </cell>
          <cell r="F20053">
            <v>471783764032</v>
          </cell>
        </row>
        <row r="20054">
          <cell r="E20054" t="str">
            <v>EF-45043496.X.X</v>
          </cell>
          <cell r="F20054">
            <v>471783764032</v>
          </cell>
        </row>
        <row r="20055">
          <cell r="E20055" t="str">
            <v>EF-45043496.X.X</v>
          </cell>
          <cell r="F20055">
            <v>471783764032</v>
          </cell>
        </row>
        <row r="20056">
          <cell r="E20056" t="str">
            <v>EF-45043491.X.X</v>
          </cell>
          <cell r="F20056">
            <v>471783764032</v>
          </cell>
        </row>
        <row r="20057">
          <cell r="E20057" t="str">
            <v>121-001611</v>
          </cell>
          <cell r="F20057">
            <v>471783764032</v>
          </cell>
        </row>
        <row r="20058">
          <cell r="E20058" t="str">
            <v>AIC-MP-00002268-000</v>
          </cell>
          <cell r="F20058">
            <v>471783764032</v>
          </cell>
        </row>
        <row r="20059">
          <cell r="E20059" t="str">
            <v>PUR-12-0470-00</v>
          </cell>
          <cell r="F20059">
            <v>471783764032</v>
          </cell>
        </row>
        <row r="20060">
          <cell r="E20060" t="str">
            <v>121-001823</v>
          </cell>
          <cell r="F20060">
            <v>471783764032</v>
          </cell>
        </row>
        <row r="20061">
          <cell r="E20061" t="str">
            <v>121-001823</v>
          </cell>
          <cell r="F20061">
            <v>471783764032</v>
          </cell>
        </row>
        <row r="20062">
          <cell r="E20062" t="str">
            <v>121-001824</v>
          </cell>
          <cell r="F20062">
            <v>471783764032</v>
          </cell>
        </row>
        <row r="20063">
          <cell r="E20063" t="str">
            <v>121-001610</v>
          </cell>
          <cell r="F20063">
            <v>471783764032</v>
          </cell>
        </row>
        <row r="20064">
          <cell r="E20064" t="str">
            <v>LUC-E00-420037-01</v>
          </cell>
          <cell r="F20064">
            <v>471783764032</v>
          </cell>
        </row>
        <row r="20065">
          <cell r="E20065" t="str">
            <v>LUC-EZZ-420257-00</v>
          </cell>
          <cell r="F20065">
            <v>471783764032</v>
          </cell>
        </row>
        <row r="20066">
          <cell r="E20066" t="str">
            <v>LUC-EZZ-421132-00</v>
          </cell>
          <cell r="F20066">
            <v>471783764032</v>
          </cell>
        </row>
        <row r="20067">
          <cell r="E20067" t="str">
            <v>LUC-E00-420025-04</v>
          </cell>
          <cell r="F20067">
            <v>471783764032</v>
          </cell>
        </row>
        <row r="20068">
          <cell r="E20068" t="str">
            <v>LUC-EZZ-420148-00</v>
          </cell>
          <cell r="F20068">
            <v>471783764032</v>
          </cell>
        </row>
        <row r="20069">
          <cell r="E20069" t="str">
            <v>LUC-EZZ-420148-00</v>
          </cell>
          <cell r="F20069">
            <v>471783764032</v>
          </cell>
        </row>
        <row r="20070">
          <cell r="E20070" t="str">
            <v>LUC-EZZ-421132-00</v>
          </cell>
          <cell r="F20070">
            <v>471783764032</v>
          </cell>
        </row>
        <row r="20071">
          <cell r="E20071" t="str">
            <v>121-000519.X.X</v>
          </cell>
          <cell r="F20071">
            <v>471783764032</v>
          </cell>
        </row>
        <row r="20072">
          <cell r="E20072" t="str">
            <v>LUC-E00-420025-03</v>
          </cell>
          <cell r="F20072">
            <v>471783764032</v>
          </cell>
        </row>
        <row r="20073">
          <cell r="E20073" t="str">
            <v>LUC-EZZ-420822-00</v>
          </cell>
          <cell r="F20073">
            <v>471783764032</v>
          </cell>
        </row>
        <row r="20074">
          <cell r="E20074" t="str">
            <v>LUC-EZZ-420822-00</v>
          </cell>
          <cell r="F20074">
            <v>471783764032</v>
          </cell>
        </row>
        <row r="20075">
          <cell r="E20075" t="str">
            <v>PUR-14-0086-00</v>
          </cell>
          <cell r="F20075">
            <v>471783764032</v>
          </cell>
        </row>
        <row r="20076">
          <cell r="E20076" t="str">
            <v>121-000585.X.X</v>
          </cell>
          <cell r="F20076">
            <v>471783764032</v>
          </cell>
        </row>
        <row r="20077">
          <cell r="E20077" t="str">
            <v>121-000585.X.X</v>
          </cell>
          <cell r="F20077">
            <v>471783764032</v>
          </cell>
        </row>
        <row r="20078">
          <cell r="E20078" t="str">
            <v>AIC-MP-00006013-000</v>
          </cell>
          <cell r="F20078">
            <v>885114719887</v>
          </cell>
        </row>
        <row r="20079">
          <cell r="E20079" t="str">
            <v>LUC-E00-690029-00</v>
          </cell>
          <cell r="F20079">
            <v>885114719887</v>
          </cell>
        </row>
        <row r="20080">
          <cell r="E20080" t="str">
            <v>102-000431</v>
          </cell>
          <cell r="F20080">
            <v>485149766728</v>
          </cell>
        </row>
        <row r="20081">
          <cell r="E20081" t="str">
            <v>LUC-EZZ-450050-00</v>
          </cell>
          <cell r="F20081">
            <v>885190228607</v>
          </cell>
        </row>
        <row r="20082">
          <cell r="E20082" t="str">
            <v>LUC-E00-420060-03</v>
          </cell>
          <cell r="F20082">
            <v>885190228607</v>
          </cell>
        </row>
        <row r="20083">
          <cell r="E20083" t="str">
            <v>LUC-EZZ-480029-00</v>
          </cell>
          <cell r="F20083">
            <v>885190228607</v>
          </cell>
        </row>
        <row r="20084">
          <cell r="E20084" t="str">
            <v>LUC-E00-400010-021</v>
          </cell>
          <cell r="F20084">
            <v>479730095831</v>
          </cell>
        </row>
        <row r="20085">
          <cell r="E20085" t="str">
            <v>LUC-EZZ-420364-00</v>
          </cell>
          <cell r="F20085" t="str">
            <v>TXGHPHK25O10</v>
          </cell>
        </row>
        <row r="20086">
          <cell r="E20086" t="str">
            <v>LUC-EZZ-400206-00</v>
          </cell>
          <cell r="F20086" t="str">
            <v>TXGHPHK25O10</v>
          </cell>
        </row>
        <row r="20087">
          <cell r="E20087" t="str">
            <v>LUC-EZZ-401538-00</v>
          </cell>
          <cell r="F20087" t="str">
            <v>TXGHPHK25O10</v>
          </cell>
        </row>
        <row r="20088">
          <cell r="E20088" t="str">
            <v>LUC-E00-400035-00</v>
          </cell>
          <cell r="F20088" t="str">
            <v>TXGHPHK25O10</v>
          </cell>
        </row>
        <row r="20089">
          <cell r="E20089" t="str">
            <v>LUC-EZZ-400078-00</v>
          </cell>
          <cell r="F20089" t="str">
            <v>TXGHPHK25O10</v>
          </cell>
        </row>
        <row r="20090">
          <cell r="E20090" t="str">
            <v>LUC-EZZ-401662-00</v>
          </cell>
          <cell r="F20090" t="str">
            <v>TXGHPHK25O10</v>
          </cell>
        </row>
        <row r="20091">
          <cell r="E20091" t="str">
            <v>LUC-EZZ-401720-00</v>
          </cell>
          <cell r="F20091" t="str">
            <v>TXGHPHK25O10</v>
          </cell>
        </row>
        <row r="20092">
          <cell r="E20092" t="str">
            <v>LUC-E00-400074-00</v>
          </cell>
          <cell r="F20092" t="str">
            <v>TXGHPHK25O10</v>
          </cell>
        </row>
        <row r="20093">
          <cell r="E20093" t="str">
            <v>LUC-EZZ-440200-00</v>
          </cell>
          <cell r="F20093" t="str">
            <v>TXGHPHK25O10</v>
          </cell>
        </row>
        <row r="20094">
          <cell r="E20094" t="str">
            <v>LUC-E00-440124-00</v>
          </cell>
          <cell r="F20094" t="str">
            <v>TXGHPHK25O10</v>
          </cell>
        </row>
        <row r="20095">
          <cell r="E20095" t="str">
            <v>LUC-EZZ-440032-00</v>
          </cell>
          <cell r="F20095" t="str">
            <v>TXGHPHK25O10</v>
          </cell>
        </row>
        <row r="20096">
          <cell r="E20096" t="str">
            <v>LUC-EZZ-440911-00</v>
          </cell>
          <cell r="F20096" t="str">
            <v>TXGHPHK25O10</v>
          </cell>
        </row>
        <row r="20097">
          <cell r="E20097" t="str">
            <v>LUC-EZZ-470308-00</v>
          </cell>
          <cell r="F20097" t="str">
            <v>TXGHPHK25O10</v>
          </cell>
        </row>
        <row r="20098">
          <cell r="E20098" t="str">
            <v>LUC-EZZ-470248-02</v>
          </cell>
          <cell r="F20098" t="str">
            <v>TXGHPHK25O10</v>
          </cell>
        </row>
        <row r="20099">
          <cell r="E20099" t="str">
            <v>LUC-E00-470127-00</v>
          </cell>
          <cell r="F20099" t="str">
            <v>TXGHPHK25O10</v>
          </cell>
        </row>
        <row r="20100">
          <cell r="E20100" t="str">
            <v>LUC-EZZ-470114-00</v>
          </cell>
          <cell r="F20100" t="str">
            <v>TXGHPHK25O10</v>
          </cell>
        </row>
        <row r="20101">
          <cell r="E20101" t="str">
            <v>LUC-EZZ-470350-00</v>
          </cell>
          <cell r="F20101" t="str">
            <v>TXGHPHK25O10</v>
          </cell>
        </row>
        <row r="20102">
          <cell r="E20102" t="str">
            <v>LUC-EZZ-470095-00</v>
          </cell>
          <cell r="F20102" t="str">
            <v>TXGHPHK25O10</v>
          </cell>
        </row>
        <row r="20103">
          <cell r="E20103" t="str">
            <v>LUC-EZZ-470304-00</v>
          </cell>
          <cell r="F20103" t="str">
            <v>TXGHPHK25O10</v>
          </cell>
        </row>
        <row r="20104">
          <cell r="E20104" t="str">
            <v>LUC-EZZ-471743-00</v>
          </cell>
          <cell r="F20104" t="str">
            <v>TXGHPHK25O10</v>
          </cell>
        </row>
        <row r="20105">
          <cell r="E20105" t="str">
            <v>LUC-EZZ-470192-00</v>
          </cell>
          <cell r="F20105" t="str">
            <v>TXGHPHK25O10</v>
          </cell>
        </row>
        <row r="20106">
          <cell r="E20106" t="str">
            <v>LUC-EZZ-470421-00</v>
          </cell>
          <cell r="F20106" t="str">
            <v>TXGHPHK25O10</v>
          </cell>
        </row>
        <row r="20107">
          <cell r="E20107" t="str">
            <v>LUC-EZZ-470431-00</v>
          </cell>
          <cell r="F20107" t="str">
            <v>TXGHPHK25O10</v>
          </cell>
        </row>
        <row r="20108">
          <cell r="E20108" t="str">
            <v>LUC-E00-470038-00</v>
          </cell>
          <cell r="F20108" t="str">
            <v>TXGHPHK25O10</v>
          </cell>
        </row>
        <row r="20109">
          <cell r="E20109" t="str">
            <v>LUC-EZZ-470092-00</v>
          </cell>
          <cell r="F20109" t="str">
            <v>TXGHPHK25O10</v>
          </cell>
        </row>
        <row r="20110">
          <cell r="E20110" t="str">
            <v>LUC-EZZ-470305-00</v>
          </cell>
          <cell r="F20110" t="str">
            <v>TXGHPHK25O10</v>
          </cell>
        </row>
        <row r="20111">
          <cell r="E20111" t="str">
            <v>LUC-EZZ-471571-00</v>
          </cell>
          <cell r="F20111" t="str">
            <v>TXGHPHK25O10</v>
          </cell>
        </row>
        <row r="20112">
          <cell r="E20112" t="str">
            <v>LUC-EZZ-470211-00</v>
          </cell>
          <cell r="F20112" t="str">
            <v>TXGHPHK25O10</v>
          </cell>
        </row>
        <row r="20113">
          <cell r="E20113" t="str">
            <v>LUC-EZZ-470128-00</v>
          </cell>
          <cell r="F20113" t="str">
            <v>TXGHPHK25O10</v>
          </cell>
        </row>
        <row r="20114">
          <cell r="E20114" t="str">
            <v>LUC-E00-510030-00</v>
          </cell>
          <cell r="F20114" t="str">
            <v>TXGHPHK25O10</v>
          </cell>
        </row>
        <row r="20115">
          <cell r="E20115" t="str">
            <v>LUC-E00-510018-00</v>
          </cell>
          <cell r="F20115" t="str">
            <v>TXGHPHK25O10</v>
          </cell>
        </row>
        <row r="20116">
          <cell r="E20116" t="str">
            <v>LUC-EZZ-510030-00</v>
          </cell>
          <cell r="F20116" t="str">
            <v>TXGHPHK25O10</v>
          </cell>
        </row>
        <row r="20117">
          <cell r="E20117" t="str">
            <v>LUC-E00-450056-00</v>
          </cell>
          <cell r="F20117" t="str">
            <v>TXGHPHK25O10</v>
          </cell>
        </row>
        <row r="20118">
          <cell r="E20118" t="str">
            <v>LUC-E00-460006-00</v>
          </cell>
          <cell r="F20118" t="str">
            <v>TXGHPHK25O10</v>
          </cell>
        </row>
        <row r="20119">
          <cell r="E20119" t="str">
            <v>LUC-EZZ-450231-00</v>
          </cell>
          <cell r="F20119" t="str">
            <v>TXGHPHK25O10</v>
          </cell>
        </row>
        <row r="20120">
          <cell r="E20120" t="str">
            <v>LUC-E00-460009-00</v>
          </cell>
          <cell r="F20120" t="str">
            <v>TXGHPHK25O10</v>
          </cell>
        </row>
        <row r="20121">
          <cell r="E20121" t="str">
            <v>LUC-E00-460009-00</v>
          </cell>
          <cell r="F20121" t="str">
            <v>TXGHPHK25O10</v>
          </cell>
        </row>
        <row r="20122">
          <cell r="E20122" t="str">
            <v>LUC-EZZ-540018-00</v>
          </cell>
          <cell r="F20122" t="str">
            <v>TXGHPHK25O10</v>
          </cell>
        </row>
        <row r="20123">
          <cell r="E20123" t="str">
            <v>LUC-P11-K41300-00</v>
          </cell>
          <cell r="F20123" t="str">
            <v>TXGHPHK25O10</v>
          </cell>
        </row>
        <row r="20124">
          <cell r="E20124" t="str">
            <v>LUC-P11-K41E00-01</v>
          </cell>
          <cell r="F20124" t="str">
            <v>TXGHPHK25O10</v>
          </cell>
        </row>
        <row r="20125">
          <cell r="E20125" t="str">
            <v>LUC-P11-JA4100-00</v>
          </cell>
          <cell r="F20125" t="str">
            <v>TXGHPHK25O10</v>
          </cell>
        </row>
        <row r="20126">
          <cell r="E20126" t="str">
            <v>LUC-P00-F853AY-00</v>
          </cell>
          <cell r="F20126" t="str">
            <v>TXGHPHK25O10</v>
          </cell>
        </row>
        <row r="20127">
          <cell r="E20127" t="str">
            <v>LUC-P00-F143AG-00</v>
          </cell>
          <cell r="F20127" t="str">
            <v>TXGHPHK25O10</v>
          </cell>
        </row>
        <row r="20128">
          <cell r="E20128" t="str">
            <v>LUC-P11-J81300-01</v>
          </cell>
          <cell r="F20128" t="str">
            <v>TXGHPHK25O10</v>
          </cell>
        </row>
        <row r="20129">
          <cell r="E20129" t="str">
            <v>LUC-P11-K2B400-02</v>
          </cell>
          <cell r="F20129" t="str">
            <v>TXGHPHK25O10</v>
          </cell>
        </row>
        <row r="20130">
          <cell r="E20130" t="str">
            <v>LUC-EZZ-690708-00</v>
          </cell>
          <cell r="F20130" t="str">
            <v>TXGHPHK25O10</v>
          </cell>
        </row>
        <row r="20131">
          <cell r="E20131" t="str">
            <v>LUC-E00-690020-00</v>
          </cell>
          <cell r="F20131" t="str">
            <v>TXGHPHK25O10</v>
          </cell>
        </row>
        <row r="20132">
          <cell r="E20132" t="str">
            <v>LUC-EZZ-690243-00</v>
          </cell>
          <cell r="F20132" t="str">
            <v>TXGHPHK25O10</v>
          </cell>
        </row>
        <row r="20133">
          <cell r="E20133" t="str">
            <v>LUC-EZZ-690242-00</v>
          </cell>
          <cell r="F20133" t="str">
            <v>TXGHPHK25O10</v>
          </cell>
        </row>
        <row r="20134">
          <cell r="E20134" t="str">
            <v>LUC-EZZ-690244-00</v>
          </cell>
          <cell r="F20134" t="str">
            <v>TXGHPHK25O10</v>
          </cell>
        </row>
        <row r="20135">
          <cell r="E20135" t="str">
            <v>LUC-E00-690037-00</v>
          </cell>
          <cell r="F20135" t="str">
            <v>TXGHPHK25O10</v>
          </cell>
        </row>
        <row r="20136">
          <cell r="E20136" t="str">
            <v>LUC-EZZ-420342-00</v>
          </cell>
          <cell r="F20136" t="str">
            <v>TXGHPHK25O10</v>
          </cell>
        </row>
        <row r="20137">
          <cell r="E20137" t="str">
            <v>LUC-EZZ-420507-00</v>
          </cell>
          <cell r="F20137" t="str">
            <v>TXGHPHK25O10</v>
          </cell>
        </row>
        <row r="20138">
          <cell r="E20138" t="str">
            <v>LUC-E00-420002-00</v>
          </cell>
          <cell r="F20138" t="str">
            <v>TXGHPHK25O10</v>
          </cell>
        </row>
        <row r="20139">
          <cell r="E20139" t="str">
            <v>LUC-EZZ-420095-00</v>
          </cell>
          <cell r="F20139" t="str">
            <v>TXGHPHK25O10</v>
          </cell>
        </row>
        <row r="20140">
          <cell r="E20140" t="str">
            <v>LUC-EZZ-420124-00</v>
          </cell>
          <cell r="F20140" t="str">
            <v>TXGHPHK25O10</v>
          </cell>
        </row>
        <row r="20141">
          <cell r="E20141" t="str">
            <v>LUC-EZZ-420490-00</v>
          </cell>
          <cell r="F20141" t="str">
            <v>TXGHPHK25O10</v>
          </cell>
        </row>
        <row r="20142">
          <cell r="E20142" t="str">
            <v>LUC-EZZ-420125-00</v>
          </cell>
          <cell r="F20142" t="str">
            <v>TXGHPHK25O10</v>
          </cell>
        </row>
        <row r="20143">
          <cell r="E20143" t="str">
            <v>LUC-EZZ-421252-00</v>
          </cell>
          <cell r="F20143" t="str">
            <v>TXGHPHK25O10</v>
          </cell>
        </row>
        <row r="20144">
          <cell r="E20144" t="str">
            <v>LUC-EZZ-420188-00</v>
          </cell>
          <cell r="F20144" t="str">
            <v>TXGHPHK25O10</v>
          </cell>
        </row>
        <row r="20145">
          <cell r="E20145" t="str">
            <v>LUC-EZZ-420200-00</v>
          </cell>
          <cell r="F20145" t="str">
            <v>TXGHPHK25O10</v>
          </cell>
        </row>
        <row r="20146">
          <cell r="E20146" t="str">
            <v>LUC-E00-420020-03</v>
          </cell>
          <cell r="F20146" t="str">
            <v>TXGHPHK25O10</v>
          </cell>
        </row>
        <row r="20147">
          <cell r="E20147" t="str">
            <v>LUC-EZZ-420121-00</v>
          </cell>
          <cell r="F20147" t="str">
            <v>TXGHPHK25O10</v>
          </cell>
        </row>
        <row r="20148">
          <cell r="E20148" t="str">
            <v>LUC-EZZ-421554-00</v>
          </cell>
          <cell r="F20148" t="str">
            <v>TXGHPHK25O10</v>
          </cell>
        </row>
        <row r="20149">
          <cell r="E20149" t="str">
            <v>LUC-EZZ-420099-00</v>
          </cell>
          <cell r="F20149" t="str">
            <v>TXGHPHK25O10</v>
          </cell>
        </row>
        <row r="20150">
          <cell r="E20150" t="str">
            <v>LUC-EZZ-420866-00</v>
          </cell>
          <cell r="F20150" t="str">
            <v>TXGHPHK25O10</v>
          </cell>
        </row>
        <row r="20151">
          <cell r="E20151" t="str">
            <v>LUC-EZZ-420175-00</v>
          </cell>
          <cell r="F20151" t="str">
            <v>TXGHPHK25O10</v>
          </cell>
        </row>
        <row r="20152">
          <cell r="E20152" t="str">
            <v>LUC-EZZ-421281-00</v>
          </cell>
          <cell r="F20152" t="str">
            <v>TXGHPHK25O10</v>
          </cell>
        </row>
        <row r="20153">
          <cell r="E20153" t="str">
            <v>LUC-E00-420055-09</v>
          </cell>
          <cell r="F20153" t="str">
            <v>TXGHPHK25O10</v>
          </cell>
        </row>
        <row r="20154">
          <cell r="E20154" t="str">
            <v>LUC-EZZ-420098-00</v>
          </cell>
          <cell r="F20154" t="str">
            <v>TXGHPHK25O10</v>
          </cell>
        </row>
        <row r="20155">
          <cell r="E20155" t="str">
            <v>LUC-EZZ-420123-00</v>
          </cell>
          <cell r="F20155" t="str">
            <v>TXGHPHK25O10</v>
          </cell>
        </row>
        <row r="20156">
          <cell r="E20156" t="str">
            <v>LUC-EZZ-420023-00</v>
          </cell>
          <cell r="F20156" t="str">
            <v>TXGHPHK25O10</v>
          </cell>
        </row>
        <row r="20157">
          <cell r="E20157" t="str">
            <v>LUC-EZZ-420256-00</v>
          </cell>
          <cell r="F20157" t="str">
            <v>TXGHPHK25O10</v>
          </cell>
        </row>
        <row r="20158">
          <cell r="E20158" t="str">
            <v>LUC-EZZ-420100-00</v>
          </cell>
          <cell r="F20158" t="str">
            <v>TXGHPHK25O10</v>
          </cell>
        </row>
        <row r="20159">
          <cell r="E20159" t="str">
            <v>LUC-EZZ-420013-00</v>
          </cell>
          <cell r="F20159" t="str">
            <v>TXGHPHK25O10</v>
          </cell>
        </row>
        <row r="20160">
          <cell r="E20160" t="str">
            <v>LUC-EZZ-400041-00</v>
          </cell>
          <cell r="F20160" t="str">
            <v>TXGHPHK25O10</v>
          </cell>
        </row>
        <row r="20161">
          <cell r="E20161" t="str">
            <v>LUC-E00-400015-07</v>
          </cell>
          <cell r="F20161" t="str">
            <v>TXGHPHK25O10</v>
          </cell>
        </row>
        <row r="20162">
          <cell r="E20162" t="str">
            <v>LUC-E00-400048-00</v>
          </cell>
          <cell r="F20162" t="str">
            <v>TXGHPHK25O10</v>
          </cell>
        </row>
        <row r="20163">
          <cell r="E20163" t="str">
            <v>LUC-EZZ-441297-00</v>
          </cell>
          <cell r="F20163" t="str">
            <v>TXGHPHK25O10</v>
          </cell>
        </row>
        <row r="20164">
          <cell r="E20164" t="str">
            <v>LUC-E00-440029-00</v>
          </cell>
          <cell r="F20164" t="str">
            <v>TXGHPHK25O10</v>
          </cell>
        </row>
        <row r="20165">
          <cell r="E20165" t="str">
            <v>LUC-EZZ-440037-00</v>
          </cell>
          <cell r="F20165" t="str">
            <v>TXGHPHK25O10</v>
          </cell>
        </row>
        <row r="20166">
          <cell r="E20166" t="str">
            <v>LUC-EZZ-441672-00</v>
          </cell>
          <cell r="F20166" t="str">
            <v>TXGHPHK25O10</v>
          </cell>
        </row>
        <row r="20167">
          <cell r="E20167" t="str">
            <v>LUC-EZZ-440166-00</v>
          </cell>
          <cell r="F20167" t="str">
            <v>TXGHPHK25O10</v>
          </cell>
        </row>
        <row r="20168">
          <cell r="E20168" t="str">
            <v>LUC-EZZ-440176-00</v>
          </cell>
          <cell r="F20168" t="str">
            <v>TXGHPHK25O10</v>
          </cell>
        </row>
        <row r="20169">
          <cell r="E20169" t="str">
            <v>LUC-EZZ-470136-00</v>
          </cell>
          <cell r="F20169" t="str">
            <v>TXGHPHK25O10</v>
          </cell>
        </row>
        <row r="20170">
          <cell r="E20170" t="str">
            <v>LUC-EZZ-470235-00</v>
          </cell>
          <cell r="F20170" t="str">
            <v>TXGHPHK25O10</v>
          </cell>
        </row>
        <row r="20171">
          <cell r="E20171" t="str">
            <v>LUC-E00-470080-00</v>
          </cell>
          <cell r="F20171" t="str">
            <v>TXGHPHK25O10</v>
          </cell>
        </row>
        <row r="20172">
          <cell r="E20172" t="str">
            <v>LUC-E00-470028-00</v>
          </cell>
          <cell r="F20172" t="str">
            <v>TXGHPHK25O10</v>
          </cell>
        </row>
        <row r="20173">
          <cell r="E20173" t="str">
            <v>LUC-E00-470074-01</v>
          </cell>
          <cell r="F20173" t="str">
            <v>TXGHPHK25O10</v>
          </cell>
        </row>
        <row r="20174">
          <cell r="E20174" t="str">
            <v>LUC-EZZ-470272-00</v>
          </cell>
          <cell r="F20174" t="str">
            <v>TXGHPHK25O10</v>
          </cell>
        </row>
        <row r="20175">
          <cell r="E20175" t="str">
            <v>LUC-EZZ-470464-00</v>
          </cell>
          <cell r="F20175" t="str">
            <v>TXGHPHK25O10</v>
          </cell>
        </row>
        <row r="20176">
          <cell r="E20176" t="str">
            <v>LUC-E00-470048-00</v>
          </cell>
          <cell r="F20176" t="str">
            <v>TXGHPHK25O10</v>
          </cell>
        </row>
        <row r="20177">
          <cell r="E20177" t="str">
            <v>LUC-E00-470090-00</v>
          </cell>
          <cell r="F20177" t="str">
            <v>TXGHPHK25O10</v>
          </cell>
        </row>
        <row r="20178">
          <cell r="E20178" t="str">
            <v>LUC-E00-470032-00</v>
          </cell>
          <cell r="F20178" t="str">
            <v>TXGHPHK25O10</v>
          </cell>
        </row>
        <row r="20179">
          <cell r="E20179" t="str">
            <v>LUC-E00-470447-00</v>
          </cell>
          <cell r="F20179" t="str">
            <v>TXGHPHK25O10</v>
          </cell>
        </row>
        <row r="20180">
          <cell r="E20180" t="str">
            <v>LUC-EZZ-510048-00</v>
          </cell>
          <cell r="F20180" t="str">
            <v>TXGHPHK25O10</v>
          </cell>
        </row>
        <row r="20181">
          <cell r="E20181" t="str">
            <v>LUC-EZZ-511370-00</v>
          </cell>
          <cell r="F20181" t="str">
            <v>TXGHPHK25O10</v>
          </cell>
        </row>
        <row r="20182">
          <cell r="E20182" t="str">
            <v>LUC-EZZ-510047-00</v>
          </cell>
          <cell r="F20182" t="str">
            <v>TXGHPHK25O10</v>
          </cell>
        </row>
        <row r="20183">
          <cell r="E20183" t="str">
            <v>LUC-EZZ-510077-00</v>
          </cell>
          <cell r="F20183" t="str">
            <v>TXGHPHK25O10</v>
          </cell>
        </row>
        <row r="20184">
          <cell r="E20184" t="str">
            <v>LUC-E00-450026-00</v>
          </cell>
          <cell r="F20184" t="str">
            <v>TXGHPHK25O10</v>
          </cell>
        </row>
        <row r="20185">
          <cell r="E20185" t="str">
            <v>LUC-E00-450028-00</v>
          </cell>
          <cell r="F20185" t="str">
            <v>TXGHPHK25O10</v>
          </cell>
        </row>
        <row r="20186">
          <cell r="E20186" t="str">
            <v>LUC-E00-460015-01</v>
          </cell>
          <cell r="F20186" t="str">
            <v>TXGHPHK25O10</v>
          </cell>
        </row>
        <row r="20187">
          <cell r="E20187" t="str">
            <v>LUC-EZZ-470696-00</v>
          </cell>
          <cell r="F20187" t="str">
            <v>TXGHPHK25O10</v>
          </cell>
        </row>
        <row r="20188">
          <cell r="E20188" t="str">
            <v>LUC-EZZ-450246-00</v>
          </cell>
          <cell r="F20188" t="str">
            <v>TXGHPHK25O10</v>
          </cell>
        </row>
        <row r="20189">
          <cell r="E20189" t="str">
            <v>LUC-EZZ-450006-00</v>
          </cell>
          <cell r="F20189" t="str">
            <v>TXGHPHK25O10</v>
          </cell>
        </row>
        <row r="20190">
          <cell r="E20190" t="str">
            <v>LUC-EZZ-450476-00</v>
          </cell>
          <cell r="F20190" t="str">
            <v>TXGHPHK25O10</v>
          </cell>
        </row>
        <row r="20191">
          <cell r="E20191" t="str">
            <v>LUC-E00-450043-00</v>
          </cell>
          <cell r="F20191" t="str">
            <v>TXGHPHK25O10</v>
          </cell>
        </row>
        <row r="20192">
          <cell r="E20192" t="str">
            <v>LUC-EZZ-450176-00</v>
          </cell>
          <cell r="F20192" t="str">
            <v>TXGHPHK25O10</v>
          </cell>
        </row>
        <row r="20193">
          <cell r="E20193" t="str">
            <v>LUC-EZZ-450618-00</v>
          </cell>
          <cell r="F20193" t="str">
            <v>TXGHPHK25O10</v>
          </cell>
        </row>
        <row r="20194">
          <cell r="E20194" t="str">
            <v>LUC-E00-450047-00</v>
          </cell>
          <cell r="F20194" t="str">
            <v>TXGHPHK25O10</v>
          </cell>
        </row>
        <row r="20195">
          <cell r="E20195" t="str">
            <v>LUC-EZZ-480029-00</v>
          </cell>
          <cell r="F20195" t="str">
            <v>TXGHPHK25O10</v>
          </cell>
        </row>
        <row r="20196">
          <cell r="E20196" t="str">
            <v>LUC-P11-J81500-01</v>
          </cell>
          <cell r="F20196" t="str">
            <v>TXGHPHK25O10</v>
          </cell>
        </row>
        <row r="20197">
          <cell r="E20197" t="str">
            <v>LUC-EZZ-690175-00</v>
          </cell>
          <cell r="F20197" t="str">
            <v>TXGHPHK25O10</v>
          </cell>
        </row>
        <row r="20198">
          <cell r="E20198" t="str">
            <v>LUC-EZZ-690758-00</v>
          </cell>
          <cell r="F20198" t="str">
            <v>TXGHPHK25O10</v>
          </cell>
        </row>
        <row r="20199">
          <cell r="E20199" t="str">
            <v>LUC-E00-470119-00</v>
          </cell>
          <cell r="F20199" t="str">
            <v>TXGHPHK25O10</v>
          </cell>
        </row>
        <row r="20200">
          <cell r="E20200" t="str">
            <v>LUC-E00-470048-00</v>
          </cell>
          <cell r="F20200" t="str">
            <v>TXGHPHK25O10</v>
          </cell>
        </row>
        <row r="20201">
          <cell r="E20201" t="str">
            <v>LUC-P21-K33600-02</v>
          </cell>
          <cell r="F20201" t="str">
            <v>FLK2510151235</v>
          </cell>
        </row>
        <row r="20202">
          <cell r="E20202" t="str">
            <v>LUC-P21-K33200-02</v>
          </cell>
          <cell r="F20202" t="str">
            <v>FLK2510151235</v>
          </cell>
        </row>
        <row r="20203">
          <cell r="E20203" t="str">
            <v>LUC-P21-K34200-00</v>
          </cell>
          <cell r="F20203" t="str">
            <v>FLK2510151235</v>
          </cell>
        </row>
        <row r="20204">
          <cell r="E20204" t="str">
            <v>LUC-P21-K61200-02</v>
          </cell>
          <cell r="F20204" t="str">
            <v>FLK2510151235</v>
          </cell>
        </row>
        <row r="20205">
          <cell r="E20205" t="str">
            <v>LUC-P21-K34600-02</v>
          </cell>
          <cell r="F20205" t="str">
            <v>FLK2510151235</v>
          </cell>
        </row>
        <row r="20206">
          <cell r="E20206" t="str">
            <v>LUC-EZZ-471584-00</v>
          </cell>
          <cell r="F20206">
            <v>4812854298</v>
          </cell>
        </row>
        <row r="20207">
          <cell r="E20207" t="str">
            <v>LUC-P11-KA6000-03</v>
          </cell>
          <cell r="F20207">
            <v>4812854298</v>
          </cell>
        </row>
        <row r="20208">
          <cell r="E20208" t="str">
            <v>LUC-EZZ-480735-00</v>
          </cell>
          <cell r="F20208">
            <v>885186915967</v>
          </cell>
        </row>
        <row r="20209">
          <cell r="E20209" t="str">
            <v>LUC-E00-400001-005</v>
          </cell>
          <cell r="F20209">
            <v>479730096091</v>
          </cell>
        </row>
        <row r="20210">
          <cell r="E20210" t="str">
            <v>LUC-E00-470111-00</v>
          </cell>
          <cell r="F20210">
            <v>1595834100</v>
          </cell>
        </row>
        <row r="20211">
          <cell r="E20211" t="str">
            <v>LUC-P21-K3AB00-00</v>
          </cell>
          <cell r="F20211" t="str">
            <v>AS258580</v>
          </cell>
        </row>
        <row r="20212">
          <cell r="E20212" t="str">
            <v>LUC-P21-K3AT00-00</v>
          </cell>
          <cell r="F20212" t="str">
            <v>AS258580</v>
          </cell>
        </row>
        <row r="20213">
          <cell r="E20213" t="str">
            <v>AGI-450-40069-01</v>
          </cell>
          <cell r="F20213">
            <v>1811049800</v>
          </cell>
        </row>
        <row r="20214">
          <cell r="E20214" t="str">
            <v>AGI-450-40069-01</v>
          </cell>
          <cell r="F20214">
            <v>1811049800</v>
          </cell>
        </row>
        <row r="20215">
          <cell r="E20215" t="str">
            <v>AGI-450-40069-01</v>
          </cell>
          <cell r="F20215">
            <v>1811049800</v>
          </cell>
        </row>
        <row r="20216">
          <cell r="E20216" t="str">
            <v>LUC-EZZ-470211-00</v>
          </cell>
          <cell r="F20216">
            <v>394267868966</v>
          </cell>
        </row>
        <row r="20217">
          <cell r="E20217" t="str">
            <v>AGI-450-40087-01</v>
          </cell>
          <cell r="F20217">
            <v>394267868966</v>
          </cell>
        </row>
        <row r="20218">
          <cell r="E20218" t="str">
            <v>LUC-EZZ-690244-00</v>
          </cell>
          <cell r="F20218">
            <v>394106694985</v>
          </cell>
        </row>
        <row r="20219">
          <cell r="E20219" t="str">
            <v>AGI-450-40087-01</v>
          </cell>
          <cell r="F20219">
            <v>394310516471</v>
          </cell>
        </row>
        <row r="20220">
          <cell r="E20220" t="str">
            <v>AGI-500-40179-01</v>
          </cell>
          <cell r="F20220">
            <v>419341589500</v>
          </cell>
        </row>
        <row r="20221">
          <cell r="E20221" t="str">
            <v>LUC-E00-460007-00</v>
          </cell>
          <cell r="F20221">
            <v>484789712673</v>
          </cell>
        </row>
        <row r="20222">
          <cell r="E20222" t="str">
            <v>LUC-EZZ-470155-00</v>
          </cell>
          <cell r="F20222">
            <v>394182782508</v>
          </cell>
        </row>
        <row r="20223">
          <cell r="E20223" t="str">
            <v>LUC-EZZ-400117-00</v>
          </cell>
          <cell r="F20223">
            <v>479730090120</v>
          </cell>
        </row>
        <row r="20224">
          <cell r="E20224" t="str">
            <v>LUC-E00-690030-03</v>
          </cell>
          <cell r="F20224">
            <v>484789733568</v>
          </cell>
        </row>
        <row r="20225">
          <cell r="E20225" t="str">
            <v>LUC-EZZ-400253-00</v>
          </cell>
          <cell r="F20225">
            <v>484789742390</v>
          </cell>
        </row>
        <row r="20226">
          <cell r="E20226" t="str">
            <v>LUC-E00-420027-05</v>
          </cell>
          <cell r="F20226">
            <v>484789742390</v>
          </cell>
        </row>
        <row r="20227">
          <cell r="E20227" t="str">
            <v>LUC-EZZ-400253-00</v>
          </cell>
          <cell r="F20227">
            <v>484789742390</v>
          </cell>
        </row>
        <row r="20228">
          <cell r="E20228" t="str">
            <v>EF-45074500.X.X</v>
          </cell>
          <cell r="F20228">
            <v>484789742390</v>
          </cell>
        </row>
        <row r="20229">
          <cell r="E20229" t="str">
            <v>LUC-E00-420027-05</v>
          </cell>
          <cell r="F20229">
            <v>484789742390</v>
          </cell>
        </row>
        <row r="20230">
          <cell r="E20230" t="str">
            <v>LUC-EZZ-400253-00</v>
          </cell>
          <cell r="F20230">
            <v>484789742390</v>
          </cell>
        </row>
        <row r="20231">
          <cell r="E20231" t="str">
            <v>LUC-EZZ-400207-00</v>
          </cell>
          <cell r="F20231">
            <v>484789742390</v>
          </cell>
        </row>
        <row r="20232">
          <cell r="E20232" t="str">
            <v>LUC-E00-440140-01</v>
          </cell>
          <cell r="F20232">
            <v>394197760653</v>
          </cell>
        </row>
        <row r="20233">
          <cell r="E20233" t="str">
            <v>LUC-EZZ-440129-00</v>
          </cell>
          <cell r="F20233">
            <v>394200551907</v>
          </cell>
        </row>
        <row r="20234">
          <cell r="E20234" t="str">
            <v>122-002923</v>
          </cell>
          <cell r="F20234">
            <v>643036777695</v>
          </cell>
        </row>
        <row r="20235">
          <cell r="E20235" t="str">
            <v>HLOB-09-0343-00</v>
          </cell>
          <cell r="F20235">
            <v>480820796898</v>
          </cell>
        </row>
        <row r="20236">
          <cell r="E20236" t="str">
            <v>HLOB-03-0038-00</v>
          </cell>
          <cell r="F20236">
            <v>485323681113</v>
          </cell>
        </row>
        <row r="20237">
          <cell r="E20237" t="str">
            <v>HLOB-03-0038-00</v>
          </cell>
          <cell r="F20237">
            <v>485323681113</v>
          </cell>
        </row>
        <row r="20238">
          <cell r="E20238" t="str">
            <v>LUC-EZZ-490315-02</v>
          </cell>
          <cell r="F20238">
            <v>1516645</v>
          </cell>
        </row>
        <row r="20239">
          <cell r="E20239" t="str">
            <v>LUC-EZZ-490315-02</v>
          </cell>
          <cell r="F20239">
            <v>1516645</v>
          </cell>
        </row>
        <row r="20240">
          <cell r="E20240" t="str">
            <v>LUC-EZZ-490535-00</v>
          </cell>
          <cell r="F20240">
            <v>1516645</v>
          </cell>
        </row>
        <row r="20241">
          <cell r="E20241" t="str">
            <v>LUC-EZZ-490307-01</v>
          </cell>
          <cell r="F20241">
            <v>1516645</v>
          </cell>
        </row>
        <row r="20242">
          <cell r="E20242" t="str">
            <v>LUC-EZZ-490259-00</v>
          </cell>
          <cell r="F20242">
            <v>1516645</v>
          </cell>
        </row>
        <row r="20243">
          <cell r="E20243" t="str">
            <v>LUC-EZZ-490306-00</v>
          </cell>
          <cell r="F20243">
            <v>1516645</v>
          </cell>
        </row>
        <row r="20244">
          <cell r="E20244" t="str">
            <v>LUC-EZZ-490317-04</v>
          </cell>
          <cell r="F20244">
            <v>1516645</v>
          </cell>
        </row>
        <row r="20245">
          <cell r="E20245" t="str">
            <v>LUC-EZZ-400232-00</v>
          </cell>
          <cell r="F20245">
            <v>1595834763</v>
          </cell>
        </row>
        <row r="20246">
          <cell r="E20246" t="str">
            <v>LUC-EZZ-510640-00</v>
          </cell>
          <cell r="F20246">
            <v>1595834763</v>
          </cell>
        </row>
        <row r="20247">
          <cell r="E20247" t="str">
            <v>LUC-EZZ-420320-00</v>
          </cell>
          <cell r="F20247">
            <v>1595834763</v>
          </cell>
        </row>
        <row r="20248">
          <cell r="E20248" t="str">
            <v>LUC-E00-420027-03</v>
          </cell>
          <cell r="F20248">
            <v>1595834763</v>
          </cell>
        </row>
        <row r="20249">
          <cell r="E20249" t="str">
            <v>LUC-E00-420027-03</v>
          </cell>
          <cell r="F20249">
            <v>1595834763</v>
          </cell>
        </row>
        <row r="20250">
          <cell r="E20250" t="str">
            <v>LUC-E00-400010-035</v>
          </cell>
          <cell r="F20250">
            <v>1595834763</v>
          </cell>
        </row>
        <row r="20251">
          <cell r="E20251" t="str">
            <v>LUC-E00-420027-03</v>
          </cell>
          <cell r="F20251">
            <v>1595834763</v>
          </cell>
        </row>
        <row r="20252">
          <cell r="E20252" t="str">
            <v>PUR-03-0082-02</v>
          </cell>
          <cell r="F20252">
            <v>486378647680</v>
          </cell>
        </row>
        <row r="20253">
          <cell r="E20253" t="str">
            <v>PUR-03-0091-02</v>
          </cell>
          <cell r="F20253">
            <v>486378684869</v>
          </cell>
        </row>
        <row r="20254">
          <cell r="E20254" t="str">
            <v>LUC-EZZ-510030-00</v>
          </cell>
          <cell r="F20254">
            <v>1595834763</v>
          </cell>
        </row>
        <row r="20255">
          <cell r="E20255" t="str">
            <v>LUC-E00-450029-00</v>
          </cell>
          <cell r="F20255">
            <v>1595834763</v>
          </cell>
        </row>
        <row r="20256">
          <cell r="E20256" t="str">
            <v>LUC-E00-4700104-00</v>
          </cell>
          <cell r="F20256">
            <v>1595834763</v>
          </cell>
        </row>
        <row r="20257">
          <cell r="E20257" t="str">
            <v>LUC-EZZ-420046-00</v>
          </cell>
          <cell r="F20257">
            <v>1595834763</v>
          </cell>
        </row>
        <row r="20258">
          <cell r="E20258" t="str">
            <v>LUC-EZZ-420399-00</v>
          </cell>
          <cell r="F20258">
            <v>1595834763</v>
          </cell>
        </row>
        <row r="20259">
          <cell r="E20259" t="str">
            <v>LUC-EZZ-420399-00</v>
          </cell>
          <cell r="F20259">
            <v>1595834763</v>
          </cell>
        </row>
        <row r="20260">
          <cell r="E20260" t="str">
            <v>LUC-EZZ-420399-00</v>
          </cell>
          <cell r="F20260">
            <v>1595834763</v>
          </cell>
        </row>
        <row r="20261">
          <cell r="E20261" t="str">
            <v>LUC-EZZ-450149-00</v>
          </cell>
          <cell r="F20261">
            <v>1595834763</v>
          </cell>
        </row>
        <row r="20262">
          <cell r="E20262" t="str">
            <v>LUC-E00-450029-00</v>
          </cell>
          <cell r="F20262">
            <v>1595834763</v>
          </cell>
        </row>
        <row r="20263">
          <cell r="E20263" t="str">
            <v>LUC-EZZ-470431-00</v>
          </cell>
          <cell r="F20263">
            <v>1595834763</v>
          </cell>
        </row>
        <row r="20264">
          <cell r="E20264" t="str">
            <v>LUC-EZZ-420125-00</v>
          </cell>
          <cell r="F20264">
            <v>1595834763</v>
          </cell>
        </row>
        <row r="20265">
          <cell r="E20265" t="str">
            <v>LUC-E00-510027-00</v>
          </cell>
          <cell r="F20265">
            <v>1595834763</v>
          </cell>
        </row>
        <row r="20266">
          <cell r="E20266" t="str">
            <v>LUC-E00-420027-03</v>
          </cell>
          <cell r="F20266">
            <v>1595834763</v>
          </cell>
        </row>
        <row r="20267">
          <cell r="E20267" t="str">
            <v>LUC-E00-420050-00</v>
          </cell>
          <cell r="F20267">
            <v>1595834763</v>
          </cell>
        </row>
        <row r="20268">
          <cell r="E20268" t="str">
            <v>LUC-EZZ-420507-00</v>
          </cell>
          <cell r="F20268">
            <v>1595834763</v>
          </cell>
        </row>
        <row r="20269">
          <cell r="E20269" t="str">
            <v>LUC-E00-420050-00</v>
          </cell>
          <cell r="F20269">
            <v>1595834763</v>
          </cell>
        </row>
        <row r="20270">
          <cell r="E20270" t="str">
            <v>LUC-E00-420054-00</v>
          </cell>
          <cell r="F20270">
            <v>1595834763</v>
          </cell>
        </row>
        <row r="20271">
          <cell r="E20271" t="str">
            <v>LUC-E00-420050-00</v>
          </cell>
          <cell r="F20271">
            <v>1595834763</v>
          </cell>
        </row>
        <row r="20272">
          <cell r="E20272" t="str">
            <v>LUC-E00-420054-00</v>
          </cell>
          <cell r="F20272">
            <v>1595834763</v>
          </cell>
        </row>
        <row r="20273">
          <cell r="E20273" t="str">
            <v>LUC-E00-400010-039</v>
          </cell>
          <cell r="F20273">
            <v>1595834763</v>
          </cell>
        </row>
        <row r="20274">
          <cell r="E20274" t="str">
            <v>LUC-EZZ-420322-00</v>
          </cell>
          <cell r="F20274">
            <v>1595834763</v>
          </cell>
        </row>
        <row r="20275">
          <cell r="E20275" t="str">
            <v>LUC-E00-400010-009</v>
          </cell>
          <cell r="F20275">
            <v>1595834763</v>
          </cell>
        </row>
        <row r="20276">
          <cell r="E20276" t="str">
            <v>LUC-E00-420020-03</v>
          </cell>
          <cell r="F20276">
            <v>1595834763</v>
          </cell>
        </row>
        <row r="20277">
          <cell r="E20277" t="str">
            <v>LUC-E00-470330-00</v>
          </cell>
          <cell r="F20277">
            <v>1595834763</v>
          </cell>
        </row>
        <row r="20278">
          <cell r="E20278" t="str">
            <v>LUC-E00-470343-00</v>
          </cell>
          <cell r="F20278">
            <v>1595834763</v>
          </cell>
        </row>
        <row r="20279">
          <cell r="E20279" t="str">
            <v>LUC-EZZ-470153-00</v>
          </cell>
          <cell r="F20279">
            <v>1595834763</v>
          </cell>
        </row>
        <row r="20280">
          <cell r="E20280" t="str">
            <v>LUC-E00-470059-00</v>
          </cell>
          <cell r="F20280">
            <v>1595834763</v>
          </cell>
        </row>
        <row r="20281">
          <cell r="E20281" t="str">
            <v>LUC-EZZ-421706-00</v>
          </cell>
          <cell r="F20281">
            <v>1595834763</v>
          </cell>
        </row>
        <row r="20282">
          <cell r="E20282" t="str">
            <v>LUC-E00-470049-00</v>
          </cell>
          <cell r="F20282">
            <v>1595834763</v>
          </cell>
        </row>
        <row r="20283">
          <cell r="E20283" t="str">
            <v>LUC-E00-470049-00</v>
          </cell>
          <cell r="F20283">
            <v>1595834763</v>
          </cell>
        </row>
        <row r="20284">
          <cell r="E20284" t="str">
            <v>LUC-E00-510084-00</v>
          </cell>
          <cell r="F20284">
            <v>1595834763</v>
          </cell>
        </row>
        <row r="20285">
          <cell r="E20285" t="str">
            <v>LUC-E00-480014-00</v>
          </cell>
          <cell r="F20285">
            <v>1595834763</v>
          </cell>
        </row>
        <row r="20286">
          <cell r="E20286" t="str">
            <v>LUC-E00-420171-00</v>
          </cell>
          <cell r="F20286">
            <v>1595834763</v>
          </cell>
        </row>
        <row r="20287">
          <cell r="E20287" t="str">
            <v>LUC-EZZ-450087-00</v>
          </cell>
          <cell r="F20287">
            <v>1595834763</v>
          </cell>
        </row>
        <row r="20288">
          <cell r="E20288" t="str">
            <v>LUC-E00-510066-00</v>
          </cell>
          <cell r="F20288">
            <v>1595834763</v>
          </cell>
        </row>
        <row r="20289">
          <cell r="E20289" t="str">
            <v>LUC-EZZ-420281-00</v>
          </cell>
          <cell r="F20289">
            <v>1595834763</v>
          </cell>
        </row>
        <row r="20290">
          <cell r="E20290" t="str">
            <v>LUC-EZZ-421047-00</v>
          </cell>
          <cell r="F20290">
            <v>1595834763</v>
          </cell>
        </row>
        <row r="20291">
          <cell r="E20291" t="str">
            <v>LUC-EZZ-421047-00</v>
          </cell>
          <cell r="F20291">
            <v>1595834763</v>
          </cell>
        </row>
        <row r="20292">
          <cell r="E20292" t="str">
            <v>LUC-EZZ-420014-00</v>
          </cell>
          <cell r="F20292">
            <v>1595834763</v>
          </cell>
        </row>
        <row r="20293">
          <cell r="E20293" t="str">
            <v>LUC-EZZ-440206-00</v>
          </cell>
          <cell r="F20293">
            <v>1595834763</v>
          </cell>
        </row>
        <row r="20294">
          <cell r="E20294" t="str">
            <v>LUC-EZZ-470192-00</v>
          </cell>
          <cell r="F20294">
            <v>1595834763</v>
          </cell>
        </row>
        <row r="20295">
          <cell r="E20295" t="str">
            <v>LUC-EZZ-450179-00</v>
          </cell>
          <cell r="F20295">
            <v>1595834763</v>
          </cell>
        </row>
        <row r="20296">
          <cell r="E20296" t="str">
            <v>LUC-EZZ-460737-00</v>
          </cell>
          <cell r="F20296">
            <v>1595834763</v>
          </cell>
        </row>
        <row r="20297">
          <cell r="E20297" t="str">
            <v>LUC-EZZ-400245-00</v>
          </cell>
          <cell r="F20297">
            <v>1595834763</v>
          </cell>
        </row>
        <row r="20298">
          <cell r="E20298" t="str">
            <v>LUC-EZZ-450237-00</v>
          </cell>
          <cell r="F20298">
            <v>1595834763</v>
          </cell>
        </row>
        <row r="20299">
          <cell r="E20299" t="str">
            <v>LUC-E00-420027-03</v>
          </cell>
          <cell r="F20299">
            <v>1595834763</v>
          </cell>
        </row>
        <row r="20300">
          <cell r="E20300" t="str">
            <v>LUC-EZZ-450149-00</v>
          </cell>
          <cell r="F20300">
            <v>1595834763</v>
          </cell>
        </row>
        <row r="20301">
          <cell r="E20301" t="str">
            <v>LUC-E00-420027-03</v>
          </cell>
          <cell r="F20301">
            <v>1595834763</v>
          </cell>
        </row>
        <row r="20302">
          <cell r="E20302" t="str">
            <v>LUC-E00-420027-03</v>
          </cell>
          <cell r="F20302">
            <v>1595834763</v>
          </cell>
        </row>
        <row r="20303">
          <cell r="E20303" t="str">
            <v>LUC-E00-450041-00</v>
          </cell>
          <cell r="F20303">
            <v>1595834763</v>
          </cell>
        </row>
        <row r="20304">
          <cell r="E20304" t="str">
            <v>LUC-E00-450041-00</v>
          </cell>
          <cell r="F20304">
            <v>1595834763</v>
          </cell>
        </row>
        <row r="20305">
          <cell r="E20305" t="str">
            <v>LUC-E00-470048-00</v>
          </cell>
          <cell r="F20305">
            <v>1595834763</v>
          </cell>
        </row>
        <row r="20306">
          <cell r="E20306" t="str">
            <v>LUC-E00-470048-00</v>
          </cell>
          <cell r="F20306">
            <v>1595834763</v>
          </cell>
        </row>
        <row r="20307">
          <cell r="E20307" t="str">
            <v>LUC-E00-470059-00</v>
          </cell>
          <cell r="F20307">
            <v>1595834763</v>
          </cell>
        </row>
        <row r="20308">
          <cell r="E20308" t="str">
            <v>LUC-E00-470059-00</v>
          </cell>
          <cell r="F20308">
            <v>1595834763</v>
          </cell>
        </row>
        <row r="20309">
          <cell r="E20309" t="str">
            <v>LUC-E00-470059-00</v>
          </cell>
          <cell r="F20309">
            <v>1595834763</v>
          </cell>
        </row>
        <row r="20310">
          <cell r="E20310" t="str">
            <v>LUC-E00-470061-00</v>
          </cell>
          <cell r="F20310">
            <v>1595834763</v>
          </cell>
        </row>
        <row r="20311">
          <cell r="E20311" t="str">
            <v>LUC-E00-400003-007</v>
          </cell>
          <cell r="F20311">
            <v>1595834763</v>
          </cell>
        </row>
        <row r="20312">
          <cell r="E20312" t="str">
            <v>LUC-E00-470033-00</v>
          </cell>
          <cell r="F20312">
            <v>1595834763</v>
          </cell>
        </row>
        <row r="20313">
          <cell r="E20313" t="str">
            <v>LUC-E00-420027-04</v>
          </cell>
          <cell r="F20313">
            <v>1595834763</v>
          </cell>
        </row>
        <row r="20314">
          <cell r="E20314" t="str">
            <v>LUC-EZZ-510048-00</v>
          </cell>
          <cell r="F20314">
            <v>1595834763</v>
          </cell>
        </row>
        <row r="20315">
          <cell r="E20315" t="str">
            <v>LUC-EZZ-510048-00</v>
          </cell>
          <cell r="F20315">
            <v>1595834763</v>
          </cell>
        </row>
        <row r="20316">
          <cell r="E20316" t="str">
            <v>LUC-EZZ-510048-00</v>
          </cell>
          <cell r="F20316">
            <v>1595834763</v>
          </cell>
        </row>
        <row r="20317">
          <cell r="E20317" t="str">
            <v>LUC-E00-470173-00</v>
          </cell>
          <cell r="F20317">
            <v>1595834763</v>
          </cell>
        </row>
        <row r="20318">
          <cell r="E20318" t="str">
            <v>LUC-E00-510019-00</v>
          </cell>
          <cell r="F20318">
            <v>1595834763</v>
          </cell>
        </row>
        <row r="20319">
          <cell r="E20319" t="str">
            <v>LUC-EZZ-440169-00</v>
          </cell>
          <cell r="F20319">
            <v>1595834763</v>
          </cell>
        </row>
        <row r="20320">
          <cell r="E20320" t="str">
            <v>LUC-EZZ-420110-00</v>
          </cell>
          <cell r="F20320">
            <v>1595834763</v>
          </cell>
        </row>
        <row r="20321">
          <cell r="E20321" t="str">
            <v>LUC-EZZ-470431-00</v>
          </cell>
          <cell r="F20321">
            <v>1595834763</v>
          </cell>
        </row>
        <row r="20322">
          <cell r="E20322" t="str">
            <v>LUC-E00-510014-00</v>
          </cell>
          <cell r="F20322">
            <v>1595834763</v>
          </cell>
        </row>
        <row r="20323">
          <cell r="E20323" t="str">
            <v>LUC-E00-510014-00</v>
          </cell>
          <cell r="F20323">
            <v>1595834763</v>
          </cell>
        </row>
        <row r="20324">
          <cell r="E20324" t="str">
            <v>LUC-E00-460001-01</v>
          </cell>
          <cell r="F20324">
            <v>1595834763</v>
          </cell>
        </row>
        <row r="20325">
          <cell r="E20325" t="str">
            <v>LUC-E00-460001-01</v>
          </cell>
          <cell r="F20325">
            <v>1595834763</v>
          </cell>
        </row>
        <row r="20326">
          <cell r="E20326" t="str">
            <v>LUC-E00-450148-01</v>
          </cell>
          <cell r="F20326">
            <v>1595834763</v>
          </cell>
        </row>
        <row r="20327">
          <cell r="E20327" t="str">
            <v>LUC-EZZ-400194-00</v>
          </cell>
          <cell r="F20327">
            <v>1595834763</v>
          </cell>
        </row>
        <row r="20328">
          <cell r="E20328" t="str">
            <v>LUC-E00-510041-00</v>
          </cell>
          <cell r="F20328">
            <v>1595834763</v>
          </cell>
        </row>
        <row r="20329">
          <cell r="E20329" t="str">
            <v>LUC-E00-480008-00</v>
          </cell>
          <cell r="F20329">
            <v>1595834763</v>
          </cell>
        </row>
        <row r="20330">
          <cell r="E20330" t="str">
            <v>LUC-EZZ-450047-00</v>
          </cell>
          <cell r="F20330">
            <v>1595834763</v>
          </cell>
        </row>
        <row r="20331">
          <cell r="E20331" t="str">
            <v>LUC-E00-450041-00</v>
          </cell>
          <cell r="F20331">
            <v>1595834763</v>
          </cell>
        </row>
        <row r="20332">
          <cell r="E20332" t="str">
            <v>LUC-E00-510082-00</v>
          </cell>
          <cell r="F20332">
            <v>1595834763</v>
          </cell>
        </row>
        <row r="20333">
          <cell r="E20333" t="str">
            <v>LUC-E00-400056-01</v>
          </cell>
          <cell r="F20333">
            <v>1595834763</v>
          </cell>
        </row>
        <row r="20334">
          <cell r="E20334" t="str">
            <v>LUC-E00-400056-01</v>
          </cell>
          <cell r="F20334">
            <v>1595834763</v>
          </cell>
        </row>
        <row r="20335">
          <cell r="E20335" t="str">
            <v>LUC-E00-510030-00</v>
          </cell>
          <cell r="F20335">
            <v>1595834763</v>
          </cell>
        </row>
        <row r="20336">
          <cell r="E20336" t="str">
            <v>LUC-EZZ-510023-00</v>
          </cell>
          <cell r="F20336">
            <v>1595834763</v>
          </cell>
        </row>
        <row r="20337">
          <cell r="E20337" t="str">
            <v>LUC-EZZ-450053-00</v>
          </cell>
          <cell r="F20337">
            <v>1595834763</v>
          </cell>
        </row>
        <row r="20338">
          <cell r="E20338" t="str">
            <v>LUC-E00-510001-00</v>
          </cell>
          <cell r="F20338">
            <v>1595834763</v>
          </cell>
        </row>
        <row r="20339">
          <cell r="E20339" t="str">
            <v>LUC-E00-510064-00</v>
          </cell>
          <cell r="F20339">
            <v>1595834763</v>
          </cell>
        </row>
        <row r="20340">
          <cell r="E20340" t="str">
            <v>LUC-EZZ-420352-00</v>
          </cell>
          <cell r="F20340">
            <v>1595834763</v>
          </cell>
        </row>
        <row r="20341">
          <cell r="E20341" t="str">
            <v>LUC-E00-540004-00</v>
          </cell>
          <cell r="F20341">
            <v>1595834763</v>
          </cell>
        </row>
        <row r="20342">
          <cell r="E20342" t="str">
            <v>LUC-E00-480008-00</v>
          </cell>
          <cell r="F20342">
            <v>1595834763</v>
          </cell>
        </row>
        <row r="20343">
          <cell r="E20343" t="str">
            <v>LUC-EZZ-450053-00</v>
          </cell>
          <cell r="F20343">
            <v>1595834763</v>
          </cell>
        </row>
        <row r="20344">
          <cell r="E20344" t="str">
            <v>LUC-EZZ-460737-00</v>
          </cell>
          <cell r="F20344">
            <v>1595834763</v>
          </cell>
        </row>
        <row r="20345">
          <cell r="E20345" t="str">
            <v>LUC-EZZ-510640-00</v>
          </cell>
          <cell r="F20345">
            <v>1595834763</v>
          </cell>
        </row>
        <row r="20346">
          <cell r="E20346" t="str">
            <v>LUC-EZZ-510640-00</v>
          </cell>
          <cell r="F20346">
            <v>1595834763</v>
          </cell>
        </row>
        <row r="20347">
          <cell r="E20347" t="str">
            <v>LUC-EZZ-510640-00</v>
          </cell>
          <cell r="F20347">
            <v>1595834763</v>
          </cell>
        </row>
        <row r="20348">
          <cell r="E20348" t="str">
            <v>LUC-E00-420025-05</v>
          </cell>
          <cell r="F20348">
            <v>1595834763</v>
          </cell>
        </row>
        <row r="20349">
          <cell r="E20349" t="str">
            <v>LUC-E00-420025-05</v>
          </cell>
          <cell r="F20349">
            <v>1595834763</v>
          </cell>
        </row>
        <row r="20350">
          <cell r="E20350" t="str">
            <v>LUC-E00-420025-05</v>
          </cell>
          <cell r="F20350">
            <v>1595834763</v>
          </cell>
        </row>
        <row r="20351">
          <cell r="E20351" t="str">
            <v>LUC-E00-420025-05</v>
          </cell>
          <cell r="F20351">
            <v>1595834763</v>
          </cell>
        </row>
        <row r="20352">
          <cell r="E20352" t="str">
            <v>LUC-E00-420025-05</v>
          </cell>
          <cell r="F20352">
            <v>1595834763</v>
          </cell>
        </row>
        <row r="20353">
          <cell r="E20353" t="str">
            <v>LUC-EZZ-420345-00</v>
          </cell>
          <cell r="F20353">
            <v>1595834763</v>
          </cell>
        </row>
        <row r="20354">
          <cell r="E20354" t="str">
            <v>LUC-E00-420025-05</v>
          </cell>
          <cell r="F20354">
            <v>1595834763</v>
          </cell>
        </row>
        <row r="20355">
          <cell r="E20355" t="str">
            <v>LUC-E00-420025-05</v>
          </cell>
          <cell r="F20355">
            <v>1595834763</v>
          </cell>
        </row>
        <row r="20356">
          <cell r="E20356" t="str">
            <v>LUC-EZZ-510061-00</v>
          </cell>
          <cell r="F20356">
            <v>1595834763</v>
          </cell>
        </row>
        <row r="20357">
          <cell r="E20357" t="str">
            <v>LUC-E00-440026-00</v>
          </cell>
          <cell r="F20357">
            <v>1595834763</v>
          </cell>
        </row>
        <row r="20358">
          <cell r="E20358" t="str">
            <v>LUC-EZZ-471023-00</v>
          </cell>
          <cell r="F20358">
            <v>1595834763</v>
          </cell>
        </row>
        <row r="20359">
          <cell r="E20359" t="str">
            <v>LUC-E00-450039-00</v>
          </cell>
          <cell r="F20359">
            <v>1595834763</v>
          </cell>
        </row>
        <row r="20360">
          <cell r="E20360" t="str">
            <v>LUC-E00-510021-00</v>
          </cell>
          <cell r="F20360">
            <v>1595834763</v>
          </cell>
        </row>
        <row r="20361">
          <cell r="E20361" t="str">
            <v>LUC-E00-510021-00</v>
          </cell>
          <cell r="F20361">
            <v>1595834763</v>
          </cell>
        </row>
        <row r="20362">
          <cell r="E20362" t="str">
            <v>LUC-EZZ-450047-00</v>
          </cell>
          <cell r="F20362">
            <v>1595834763</v>
          </cell>
        </row>
        <row r="20363">
          <cell r="E20363" t="str">
            <v>LUC-E00-450039-00</v>
          </cell>
          <cell r="F20363">
            <v>1595834763</v>
          </cell>
        </row>
        <row r="20364">
          <cell r="E20364" t="str">
            <v>LUC-E00-450039-00</v>
          </cell>
          <cell r="F20364">
            <v>1595834763</v>
          </cell>
        </row>
        <row r="20365">
          <cell r="E20365" t="str">
            <v>LUC-E00-510021-00</v>
          </cell>
          <cell r="F20365">
            <v>1595834763</v>
          </cell>
        </row>
        <row r="20366">
          <cell r="E20366" t="str">
            <v>LUC-E00-510021-00</v>
          </cell>
          <cell r="F20366">
            <v>1595834763</v>
          </cell>
        </row>
        <row r="20367">
          <cell r="E20367" t="str">
            <v>LUC-E00-510021-00</v>
          </cell>
          <cell r="F20367">
            <v>1595834763</v>
          </cell>
        </row>
        <row r="20368">
          <cell r="E20368" t="str">
            <v>LUC-E00-510021-00</v>
          </cell>
          <cell r="F20368">
            <v>1595834763</v>
          </cell>
        </row>
        <row r="20369">
          <cell r="E20369" t="str">
            <v>LUC-E00-510021-00</v>
          </cell>
          <cell r="F20369">
            <v>1595834763</v>
          </cell>
        </row>
        <row r="20370">
          <cell r="E20370" t="str">
            <v>LUC-E00-510021-00</v>
          </cell>
          <cell r="F20370">
            <v>1595834763</v>
          </cell>
        </row>
        <row r="20371">
          <cell r="E20371" t="str">
            <v>LUC-E00-470087-00</v>
          </cell>
          <cell r="F20371">
            <v>1595834763</v>
          </cell>
        </row>
        <row r="20372">
          <cell r="E20372" t="str">
            <v>LUC-E00-470087-00</v>
          </cell>
          <cell r="F20372">
            <v>1595834763</v>
          </cell>
        </row>
        <row r="20373">
          <cell r="E20373" t="str">
            <v>LUC-E00-510001-00</v>
          </cell>
          <cell r="F20373">
            <v>1595834763</v>
          </cell>
        </row>
        <row r="20374">
          <cell r="E20374" t="str">
            <v>LUC-EZZ-460737-00</v>
          </cell>
          <cell r="F20374">
            <v>1595834763</v>
          </cell>
        </row>
        <row r="20375">
          <cell r="E20375" t="str">
            <v>LUC-EZZ-460737-00</v>
          </cell>
          <cell r="F20375">
            <v>1595834763</v>
          </cell>
        </row>
        <row r="20376">
          <cell r="E20376" t="str">
            <v>LUC-EZZ-510014-00</v>
          </cell>
          <cell r="F20376">
            <v>1595834763</v>
          </cell>
        </row>
        <row r="20377">
          <cell r="E20377" t="str">
            <v>LUC-E00-450039-00</v>
          </cell>
          <cell r="F20377">
            <v>1595834763</v>
          </cell>
        </row>
        <row r="20378">
          <cell r="E20378" t="str">
            <v>LUC-EZZ-510053-00</v>
          </cell>
          <cell r="F20378">
            <v>1595834763</v>
          </cell>
        </row>
        <row r="20379">
          <cell r="E20379" t="str">
            <v>LUC-E00-470095-00</v>
          </cell>
          <cell r="F20379">
            <v>1595834763</v>
          </cell>
        </row>
        <row r="20380">
          <cell r="E20380" t="str">
            <v>LUC-E00-470020-01</v>
          </cell>
          <cell r="F20380">
            <v>1595834763</v>
          </cell>
        </row>
        <row r="20381">
          <cell r="E20381" t="str">
            <v>LUC-E00-420037-10</v>
          </cell>
          <cell r="F20381">
            <v>1595834763</v>
          </cell>
        </row>
        <row r="20382">
          <cell r="E20382" t="str">
            <v>LUC-E00-470175-00</v>
          </cell>
          <cell r="F20382">
            <v>1595834763</v>
          </cell>
        </row>
        <row r="20383">
          <cell r="E20383" t="str">
            <v>LUC-E00-510031-00</v>
          </cell>
          <cell r="F20383">
            <v>1595834763</v>
          </cell>
        </row>
        <row r="20384">
          <cell r="E20384" t="str">
            <v>LUC-EZZ-450476-00</v>
          </cell>
          <cell r="F20384">
            <v>1595834763</v>
          </cell>
        </row>
        <row r="20385">
          <cell r="E20385" t="str">
            <v>LUC-E00-460023-00</v>
          </cell>
          <cell r="F20385">
            <v>1595834763</v>
          </cell>
        </row>
        <row r="20386">
          <cell r="E20386" t="str">
            <v>LUC-E00-470048-00</v>
          </cell>
          <cell r="F20386">
            <v>1595834763</v>
          </cell>
        </row>
        <row r="20387">
          <cell r="E20387" t="str">
            <v>LUC-E00-470077-00</v>
          </cell>
          <cell r="F20387">
            <v>1595834763</v>
          </cell>
        </row>
        <row r="20388">
          <cell r="E20388" t="str">
            <v>LUC-EZZ-440042-00</v>
          </cell>
          <cell r="F20388">
            <v>1595834763</v>
          </cell>
        </row>
        <row r="20389">
          <cell r="E20389" t="str">
            <v>LUC-EZZ-510639-00</v>
          </cell>
          <cell r="F20389">
            <v>1595834763</v>
          </cell>
        </row>
        <row r="20390">
          <cell r="E20390" t="str">
            <v>LUC-EZZ-510638-00</v>
          </cell>
          <cell r="F20390">
            <v>1595834763</v>
          </cell>
        </row>
        <row r="20391">
          <cell r="E20391" t="str">
            <v>LUC-EZZ-450113-00</v>
          </cell>
          <cell r="F20391">
            <v>1595834763</v>
          </cell>
        </row>
        <row r="20392">
          <cell r="E20392" t="str">
            <v>LUC-EZZ-490535-00</v>
          </cell>
          <cell r="F20392">
            <v>5784051011</v>
          </cell>
        </row>
        <row r="20393">
          <cell r="E20393" t="str">
            <v>LUC-EZZ-490535-00</v>
          </cell>
          <cell r="F20393">
            <v>5784051011</v>
          </cell>
        </row>
        <row r="20394">
          <cell r="E20394" t="str">
            <v>LUC-EZZ-400203-00</v>
          </cell>
          <cell r="F20394">
            <v>484789741691</v>
          </cell>
        </row>
        <row r="20395">
          <cell r="E20395" t="str">
            <v>LUC-P11-K41700-00</v>
          </cell>
          <cell r="F20395">
            <v>481855381510</v>
          </cell>
        </row>
        <row r="20396">
          <cell r="E20396" t="str">
            <v>LUC-E00-470263-00</v>
          </cell>
          <cell r="F20396">
            <v>484112423583</v>
          </cell>
        </row>
        <row r="20397">
          <cell r="E20397" t="str">
            <v>LUC-P11-K33800-04</v>
          </cell>
          <cell r="F20397" t="str">
            <v>HKHPG251061</v>
          </cell>
        </row>
        <row r="20398">
          <cell r="E20398" t="str">
            <v>LUC-P11-K34000-03</v>
          </cell>
          <cell r="F20398" t="str">
            <v>HKHPG251061</v>
          </cell>
        </row>
        <row r="20399">
          <cell r="E20399" t="str">
            <v>AIC-MP-00006633-000</v>
          </cell>
          <cell r="F20399">
            <v>6782769103</v>
          </cell>
        </row>
        <row r="20400">
          <cell r="E20400" t="str">
            <v>LUC-EZZ-420536-00</v>
          </cell>
          <cell r="F20400">
            <v>6782769103</v>
          </cell>
        </row>
        <row r="20401">
          <cell r="E20401" t="str">
            <v>LUC-EZZ-400629-00</v>
          </cell>
          <cell r="F20401">
            <v>6782769103</v>
          </cell>
        </row>
        <row r="20402">
          <cell r="E20402" t="str">
            <v>LUC-EZZ-400629-00</v>
          </cell>
          <cell r="F20402">
            <v>6782769103</v>
          </cell>
        </row>
        <row r="20403">
          <cell r="E20403" t="str">
            <v>LUC-EZZ-400629-00</v>
          </cell>
          <cell r="F20403">
            <v>6782769103</v>
          </cell>
        </row>
        <row r="20404">
          <cell r="E20404" t="str">
            <v>LUC-EZZ-421298-00</v>
          </cell>
          <cell r="F20404">
            <v>6782769103</v>
          </cell>
        </row>
        <row r="20405">
          <cell r="E20405" t="str">
            <v>LUC-EZZ-421298-00</v>
          </cell>
          <cell r="F20405">
            <v>6782769103</v>
          </cell>
        </row>
        <row r="20406">
          <cell r="E20406" t="str">
            <v>LUC-E00-400047-00</v>
          </cell>
          <cell r="F20406">
            <v>6782769103</v>
          </cell>
        </row>
        <row r="20407">
          <cell r="E20407" t="str">
            <v>LUC-E00-400047-00</v>
          </cell>
          <cell r="F20407">
            <v>6782769103</v>
          </cell>
        </row>
        <row r="20408">
          <cell r="E20408" t="str">
            <v>LUC-E00-400018-000</v>
          </cell>
          <cell r="F20408">
            <v>6782769103</v>
          </cell>
        </row>
        <row r="20409">
          <cell r="E20409" t="str">
            <v>LUC-E00-400018-000</v>
          </cell>
          <cell r="F20409">
            <v>6782769103</v>
          </cell>
        </row>
        <row r="20410">
          <cell r="E20410" t="str">
            <v>LUC-E00-400192-00</v>
          </cell>
          <cell r="F20410">
            <v>6782769103</v>
          </cell>
        </row>
        <row r="20411">
          <cell r="E20411" t="str">
            <v>LUC-EZZ-441374-00</v>
          </cell>
          <cell r="F20411">
            <v>6782769103</v>
          </cell>
        </row>
        <row r="20412">
          <cell r="E20412" t="str">
            <v>LUC-E00-400047-00</v>
          </cell>
          <cell r="F20412">
            <v>6782769103</v>
          </cell>
        </row>
        <row r="20413">
          <cell r="E20413" t="str">
            <v>119-000025.X.X</v>
          </cell>
          <cell r="F20413">
            <v>6782769103</v>
          </cell>
        </row>
        <row r="20414">
          <cell r="E20414" t="str">
            <v>LUC-EZZ-440016-00</v>
          </cell>
          <cell r="F20414">
            <v>6782769103</v>
          </cell>
        </row>
        <row r="20415">
          <cell r="E20415" t="str">
            <v>LUC-EZZ-420151-00</v>
          </cell>
          <cell r="F20415">
            <v>6782769103</v>
          </cell>
        </row>
        <row r="20416">
          <cell r="E20416" t="str">
            <v>LUC-EZZ-400260-00</v>
          </cell>
          <cell r="F20416">
            <v>6782769103</v>
          </cell>
        </row>
        <row r="20417">
          <cell r="E20417" t="str">
            <v>LUC-EZZ-400162-00</v>
          </cell>
          <cell r="F20417">
            <v>6782769103</v>
          </cell>
        </row>
        <row r="20418">
          <cell r="E20418" t="str">
            <v>LUC-EZZ-400241-00</v>
          </cell>
          <cell r="F20418">
            <v>6782769103</v>
          </cell>
        </row>
        <row r="20419">
          <cell r="E20419" t="str">
            <v>LUC-EZZ-401652-00</v>
          </cell>
          <cell r="F20419">
            <v>6782769103</v>
          </cell>
        </row>
        <row r="20420">
          <cell r="E20420" t="str">
            <v>LUC-E00-420059-00</v>
          </cell>
          <cell r="F20420">
            <v>6782769103</v>
          </cell>
        </row>
        <row r="20421">
          <cell r="E20421" t="str">
            <v>LUC-EZZ-420121-00</v>
          </cell>
          <cell r="F20421">
            <v>6782769103</v>
          </cell>
        </row>
        <row r="20422">
          <cell r="E20422" t="str">
            <v>LUC-P11-K34A00-03</v>
          </cell>
          <cell r="F20422" t="str">
            <v>HWHPH2503193</v>
          </cell>
        </row>
        <row r="20423">
          <cell r="E20423" t="str">
            <v>LUC-P11-K34A00-03</v>
          </cell>
          <cell r="F20423" t="str">
            <v>HWHPH2503193</v>
          </cell>
        </row>
        <row r="20424">
          <cell r="E20424" t="str">
            <v>LUC-P11-K34900-02</v>
          </cell>
          <cell r="F20424" t="str">
            <v>HWHPH2503193</v>
          </cell>
        </row>
        <row r="20425">
          <cell r="E20425" t="str">
            <v>LUC-P11-K34900-02</v>
          </cell>
          <cell r="F20425" t="str">
            <v>HWHPH2503193</v>
          </cell>
        </row>
        <row r="20426">
          <cell r="E20426" t="str">
            <v>LUC-P11-K35500-04</v>
          </cell>
          <cell r="F20426" t="str">
            <v>HWHPH2503193</v>
          </cell>
        </row>
        <row r="20427">
          <cell r="E20427" t="str">
            <v>LUC-P11-K35500-04</v>
          </cell>
          <cell r="F20427" t="str">
            <v>HWHPH2503193</v>
          </cell>
        </row>
        <row r="20428">
          <cell r="E20428" t="str">
            <v>LUC-P11-K35400-03</v>
          </cell>
          <cell r="F20428" t="str">
            <v>HWHPH2503193</v>
          </cell>
        </row>
        <row r="20429">
          <cell r="E20429" t="str">
            <v>LUC-P11-K35400-03</v>
          </cell>
          <cell r="F20429" t="str">
            <v>HWHPH2503193</v>
          </cell>
        </row>
        <row r="20430">
          <cell r="E20430" t="str">
            <v>LUC-EZZ-400201-00</v>
          </cell>
          <cell r="F20430">
            <v>484789715558</v>
          </cell>
        </row>
        <row r="20431">
          <cell r="E20431" t="str">
            <v>LUC-P21-K61800-00</v>
          </cell>
          <cell r="F20431">
            <v>426080015365</v>
          </cell>
        </row>
        <row r="20432">
          <cell r="E20432" t="str">
            <v>LUC-EZZ-691595-00</v>
          </cell>
          <cell r="F20432">
            <v>4110329864</v>
          </cell>
        </row>
        <row r="20433">
          <cell r="E20433" t="str">
            <v>LUC-EZZ-691595-00</v>
          </cell>
          <cell r="F20433">
            <v>4110329864</v>
          </cell>
        </row>
        <row r="20434">
          <cell r="E20434" t="str">
            <v>LUC-E00-690001-00</v>
          </cell>
          <cell r="F20434">
            <v>4110329889</v>
          </cell>
        </row>
        <row r="20435">
          <cell r="E20435" t="str">
            <v>LUC-E00-690001-00</v>
          </cell>
          <cell r="F20435">
            <v>4110329889</v>
          </cell>
        </row>
        <row r="20436">
          <cell r="E20436" t="str">
            <v>LUC-EZZ-691595-00</v>
          </cell>
          <cell r="F20436">
            <v>4110329916</v>
          </cell>
        </row>
        <row r="20437">
          <cell r="E20437" t="str">
            <v>LUC-EZZ-691595-00</v>
          </cell>
          <cell r="F20437">
            <v>4110329916</v>
          </cell>
        </row>
        <row r="20438">
          <cell r="E20438" t="str">
            <v>LUC-E00-690062-01</v>
          </cell>
          <cell r="F20438">
            <v>4110329916</v>
          </cell>
        </row>
        <row r="20439">
          <cell r="E20439" t="str">
            <v>LUC-E00-690062-01</v>
          </cell>
          <cell r="F20439">
            <v>4110329916</v>
          </cell>
        </row>
        <row r="20440">
          <cell r="E20440" t="str">
            <v>LUC-E00-690062-01</v>
          </cell>
          <cell r="F20440">
            <v>4110329924</v>
          </cell>
        </row>
        <row r="20441">
          <cell r="E20441" t="str">
            <v>LUC-E00-690062-01</v>
          </cell>
          <cell r="F20441">
            <v>4110329924</v>
          </cell>
        </row>
        <row r="20442">
          <cell r="E20442" t="str">
            <v>PUR-03-0096-02</v>
          </cell>
          <cell r="F20442" t="str">
            <v>8XN0107</v>
          </cell>
        </row>
        <row r="20443">
          <cell r="E20443" t="str">
            <v>PUR-12-0468-00</v>
          </cell>
          <cell r="F20443">
            <v>1811060834</v>
          </cell>
        </row>
        <row r="20444">
          <cell r="E20444" t="str">
            <v>LUC-E00-400069-00</v>
          </cell>
          <cell r="F20444">
            <v>1811060834</v>
          </cell>
        </row>
        <row r="20445">
          <cell r="E20445" t="str">
            <v>LUC-E00-400069-00</v>
          </cell>
          <cell r="F20445">
            <v>1811060834</v>
          </cell>
        </row>
        <row r="20446">
          <cell r="E20446" t="str">
            <v>LUC-E00-400069-00</v>
          </cell>
          <cell r="F20446">
            <v>1811060834</v>
          </cell>
        </row>
        <row r="20447">
          <cell r="E20447" t="str">
            <v>LUC-EZZ-450087-00</v>
          </cell>
          <cell r="F20447">
            <v>1811060834</v>
          </cell>
        </row>
        <row r="20448">
          <cell r="E20448" t="str">
            <v>HLOB-12-0468-00</v>
          </cell>
          <cell r="F20448">
            <v>1811060834</v>
          </cell>
        </row>
        <row r="20449">
          <cell r="E20449" t="str">
            <v>HLOB-12-0468-00</v>
          </cell>
          <cell r="F20449">
            <v>1811060834</v>
          </cell>
        </row>
        <row r="20450">
          <cell r="E20450" t="str">
            <v>LUC-E00-400069-00</v>
          </cell>
          <cell r="F20450">
            <v>1811060834</v>
          </cell>
        </row>
        <row r="20451">
          <cell r="E20451" t="str">
            <v>LUC-EZZ-450093-00</v>
          </cell>
          <cell r="F20451">
            <v>1811060834</v>
          </cell>
        </row>
        <row r="20452">
          <cell r="E20452" t="str">
            <v>EF-45108861.X.X</v>
          </cell>
          <cell r="F20452">
            <v>1811060834</v>
          </cell>
        </row>
        <row r="20453">
          <cell r="E20453" t="str">
            <v>HLOB-12-0468-00</v>
          </cell>
          <cell r="F20453">
            <v>1811060834</v>
          </cell>
        </row>
        <row r="20454">
          <cell r="E20454" t="str">
            <v>LUC-E00-460006-00</v>
          </cell>
          <cell r="F20454">
            <v>1811060834</v>
          </cell>
        </row>
        <row r="20455">
          <cell r="E20455" t="str">
            <v>LUC-EZZ-690758-00</v>
          </cell>
          <cell r="F20455">
            <v>1811060834</v>
          </cell>
        </row>
        <row r="20456">
          <cell r="E20456" t="str">
            <v>LUC-EZZ-690758-00</v>
          </cell>
          <cell r="F20456">
            <v>1811060834</v>
          </cell>
        </row>
        <row r="20457">
          <cell r="E20457" t="str">
            <v>LUC-EZZ-690758-00</v>
          </cell>
          <cell r="F20457">
            <v>1811060834</v>
          </cell>
        </row>
        <row r="20458">
          <cell r="E20458" t="str">
            <v>LUC-P11-K41300-00</v>
          </cell>
          <cell r="F20458">
            <v>1811060834</v>
          </cell>
        </row>
        <row r="20459">
          <cell r="E20459" t="str">
            <v>LUC-EZZ-451368-00</v>
          </cell>
          <cell r="F20459">
            <v>1811060834</v>
          </cell>
        </row>
        <row r="20460">
          <cell r="E20460" t="str">
            <v>LUC-E00-420135-00</v>
          </cell>
          <cell r="F20460">
            <v>1811060834</v>
          </cell>
        </row>
        <row r="20461">
          <cell r="E20461" t="str">
            <v>PUR-14-0083-00</v>
          </cell>
          <cell r="F20461">
            <v>1811060834</v>
          </cell>
        </row>
        <row r="20462">
          <cell r="E20462" t="str">
            <v>PUR-14-0083-00</v>
          </cell>
          <cell r="F20462">
            <v>1811060834</v>
          </cell>
        </row>
        <row r="20463">
          <cell r="E20463" t="str">
            <v>PUR-14-0083-00</v>
          </cell>
          <cell r="F20463">
            <v>1811060834</v>
          </cell>
        </row>
        <row r="20464">
          <cell r="E20464" t="str">
            <v>HLOB-14-0083-00</v>
          </cell>
          <cell r="F20464">
            <v>1811060834</v>
          </cell>
        </row>
        <row r="20465">
          <cell r="E20465" t="str">
            <v>HLOB-14-0083-00</v>
          </cell>
          <cell r="F20465">
            <v>1811060834</v>
          </cell>
        </row>
        <row r="20466">
          <cell r="E20466" t="str">
            <v>PUR-14-0083-00</v>
          </cell>
          <cell r="F20466">
            <v>1811060834</v>
          </cell>
        </row>
        <row r="20467">
          <cell r="E20467" t="str">
            <v>LUC-E00-460006-00</v>
          </cell>
          <cell r="F20467">
            <v>1811060834</v>
          </cell>
        </row>
        <row r="20468">
          <cell r="E20468" t="str">
            <v>LUC-E00-420135-00</v>
          </cell>
          <cell r="F20468">
            <v>1811060834</v>
          </cell>
        </row>
        <row r="20469">
          <cell r="E20469" t="str">
            <v>LUC-E00-420135-00</v>
          </cell>
          <cell r="F20469">
            <v>1811060834</v>
          </cell>
        </row>
        <row r="20470">
          <cell r="E20470" t="str">
            <v>LUC-EZZ-400485-00</v>
          </cell>
          <cell r="F20470">
            <v>1811060834</v>
          </cell>
        </row>
        <row r="20471">
          <cell r="E20471" t="str">
            <v>PUR-14-0077-00</v>
          </cell>
          <cell r="F20471">
            <v>1811060834</v>
          </cell>
        </row>
        <row r="20472">
          <cell r="E20472" t="str">
            <v>HLOB-14-0077-00</v>
          </cell>
          <cell r="F20472">
            <v>1811060834</v>
          </cell>
        </row>
        <row r="20473">
          <cell r="E20473" t="str">
            <v>PUR-14-0077-00</v>
          </cell>
          <cell r="F20473">
            <v>1811060834</v>
          </cell>
        </row>
        <row r="20474">
          <cell r="E20474" t="str">
            <v>HLOB-14-0077-00</v>
          </cell>
          <cell r="F20474">
            <v>1811060834</v>
          </cell>
        </row>
        <row r="20475">
          <cell r="E20475" t="str">
            <v>PUR-14-0083-00</v>
          </cell>
          <cell r="F20475">
            <v>1811060834</v>
          </cell>
        </row>
        <row r="20476">
          <cell r="E20476" t="str">
            <v>PUR-14-0077-00</v>
          </cell>
          <cell r="F20476">
            <v>1811060834</v>
          </cell>
        </row>
        <row r="20477">
          <cell r="E20477" t="str">
            <v>HLOB-14-0077-00</v>
          </cell>
          <cell r="F20477">
            <v>1811060834</v>
          </cell>
        </row>
        <row r="20478">
          <cell r="E20478" t="str">
            <v>HLOB-14-0077-00</v>
          </cell>
          <cell r="F20478">
            <v>1811060834</v>
          </cell>
        </row>
        <row r="20479">
          <cell r="E20479" t="str">
            <v>HLOB-12-0084-00</v>
          </cell>
          <cell r="F20479">
            <v>1811060834</v>
          </cell>
        </row>
        <row r="20480">
          <cell r="E20480" t="str">
            <v>EF-45042451</v>
          </cell>
          <cell r="F20480">
            <v>1811060834</v>
          </cell>
        </row>
        <row r="20481">
          <cell r="E20481" t="str">
            <v>EF-45130563</v>
          </cell>
          <cell r="F20481">
            <v>1811060834</v>
          </cell>
        </row>
        <row r="20482">
          <cell r="E20482" t="str">
            <v>LUC-EZZ-400264-00</v>
          </cell>
          <cell r="F20482">
            <v>1811060834</v>
          </cell>
        </row>
        <row r="20483">
          <cell r="E20483" t="str">
            <v>PURET-12-0084-00</v>
          </cell>
          <cell r="F20483">
            <v>1811060834</v>
          </cell>
        </row>
        <row r="20484">
          <cell r="E20484" t="str">
            <v>LUC-E00-400059-054</v>
          </cell>
          <cell r="F20484">
            <v>1811060834</v>
          </cell>
        </row>
        <row r="20485">
          <cell r="E20485" t="str">
            <v>HLOB-09-0444-00</v>
          </cell>
          <cell r="F20485">
            <v>1811060834</v>
          </cell>
        </row>
        <row r="20486">
          <cell r="E20486" t="str">
            <v>LUC-EZZ-470162-00</v>
          </cell>
          <cell r="F20486">
            <v>1811060834</v>
          </cell>
        </row>
        <row r="20487">
          <cell r="E20487" t="str">
            <v>PUR-09-0444-00</v>
          </cell>
          <cell r="F20487">
            <v>1811060834</v>
          </cell>
        </row>
        <row r="20488">
          <cell r="E20488" t="str">
            <v>LUC-EZZ-451277-00</v>
          </cell>
          <cell r="F20488">
            <v>1811060834</v>
          </cell>
        </row>
        <row r="20489">
          <cell r="E20489" t="str">
            <v>LUC-EZZ-401060-00</v>
          </cell>
          <cell r="F20489">
            <v>1811060834</v>
          </cell>
        </row>
        <row r="20490">
          <cell r="E20490" t="str">
            <v>LUC-E00-450044-00</v>
          </cell>
          <cell r="F20490">
            <v>1811060834</v>
          </cell>
        </row>
        <row r="20491">
          <cell r="E20491" t="str">
            <v>HLOB-14-0077-00</v>
          </cell>
          <cell r="F20491">
            <v>1811060834</v>
          </cell>
        </row>
        <row r="20492">
          <cell r="E20492" t="str">
            <v>PUR-13-0125-00</v>
          </cell>
          <cell r="F20492">
            <v>1811060834</v>
          </cell>
        </row>
        <row r="20493">
          <cell r="E20493" t="str">
            <v>LUC-EZZ-690758-00</v>
          </cell>
          <cell r="F20493">
            <v>1811060834</v>
          </cell>
        </row>
        <row r="20494">
          <cell r="E20494" t="str">
            <v>PUR-09-0444-00</v>
          </cell>
          <cell r="F20494">
            <v>1811060834</v>
          </cell>
        </row>
        <row r="20495">
          <cell r="E20495" t="str">
            <v>LUC-EZZ-401060-00</v>
          </cell>
          <cell r="F20495">
            <v>1811060834</v>
          </cell>
        </row>
        <row r="20496">
          <cell r="E20496" t="str">
            <v>LUC-EZZ-401060-00</v>
          </cell>
          <cell r="F20496">
            <v>1811060834</v>
          </cell>
        </row>
        <row r="20497">
          <cell r="E20497" t="str">
            <v>EF-45120156</v>
          </cell>
          <cell r="F20497">
            <v>1811060834</v>
          </cell>
        </row>
        <row r="20498">
          <cell r="E20498" t="str">
            <v>LUC-EZZ-450074-02</v>
          </cell>
          <cell r="F20498">
            <v>1811060834</v>
          </cell>
        </row>
        <row r="20499">
          <cell r="E20499" t="str">
            <v>LUC-E00-450100-00</v>
          </cell>
          <cell r="F20499">
            <v>1811060834</v>
          </cell>
        </row>
        <row r="20500">
          <cell r="E20500" t="str">
            <v>LUC-EZZ-450091-00</v>
          </cell>
          <cell r="F20500">
            <v>1811060834</v>
          </cell>
        </row>
        <row r="20501">
          <cell r="E20501" t="str">
            <v>LUC-EZZ-690758-00</v>
          </cell>
          <cell r="F20501">
            <v>1811060834</v>
          </cell>
        </row>
        <row r="20502">
          <cell r="E20502" t="str">
            <v>LUC-E00-400024-04</v>
          </cell>
          <cell r="F20502">
            <v>1811060834</v>
          </cell>
        </row>
        <row r="20503">
          <cell r="E20503" t="str">
            <v>PURET-24-0002-00</v>
          </cell>
          <cell r="F20503">
            <v>1811060834</v>
          </cell>
        </row>
        <row r="20504">
          <cell r="E20504" t="str">
            <v>HLOB-24-0002-00</v>
          </cell>
          <cell r="F20504">
            <v>1811060834</v>
          </cell>
        </row>
        <row r="20505">
          <cell r="E20505" t="str">
            <v>PUR-24-0028-00</v>
          </cell>
          <cell r="F20505">
            <v>1811060834</v>
          </cell>
        </row>
        <row r="20506">
          <cell r="E20506" t="str">
            <v>PURET-24-0002-00</v>
          </cell>
          <cell r="F20506">
            <v>1811060834</v>
          </cell>
        </row>
        <row r="20507">
          <cell r="E20507" t="str">
            <v>EF-45044114.X.X</v>
          </cell>
          <cell r="F20507">
            <v>1811060834</v>
          </cell>
        </row>
        <row r="20508">
          <cell r="E20508" t="str">
            <v>EF-45044050.X.X</v>
          </cell>
          <cell r="F20508">
            <v>1811060834</v>
          </cell>
        </row>
        <row r="20509">
          <cell r="E20509" t="str">
            <v>EF-45044050.X.X</v>
          </cell>
          <cell r="F20509">
            <v>1811060834</v>
          </cell>
        </row>
        <row r="20510">
          <cell r="E20510" t="str">
            <v>LUC-EZZ-490307-01</v>
          </cell>
          <cell r="F20510">
            <v>5784243964</v>
          </cell>
        </row>
        <row r="20511">
          <cell r="E20511" t="str">
            <v>EF-45055016</v>
          </cell>
          <cell r="F20511">
            <v>885254010291</v>
          </cell>
        </row>
        <row r="20512">
          <cell r="E20512" t="str">
            <v>HLOB-12-0431-00</v>
          </cell>
          <cell r="F20512">
            <v>885254010291</v>
          </cell>
        </row>
        <row r="20513">
          <cell r="E20513" t="str">
            <v>HLOB-12-0474-00</v>
          </cell>
          <cell r="F20513">
            <v>885254010291</v>
          </cell>
        </row>
        <row r="20514">
          <cell r="E20514" t="str">
            <v>HLOB-12-0284-00</v>
          </cell>
          <cell r="F20514">
            <v>885254010291</v>
          </cell>
        </row>
        <row r="20515">
          <cell r="E20515" t="str">
            <v>EF-45092460.X.X</v>
          </cell>
          <cell r="F20515">
            <v>885254010291</v>
          </cell>
        </row>
        <row r="20516">
          <cell r="E20516" t="str">
            <v>EF-45035542.X.X</v>
          </cell>
          <cell r="F20516">
            <v>885254010291</v>
          </cell>
        </row>
        <row r="20517">
          <cell r="E20517" t="str">
            <v>PUR-12-0294-00</v>
          </cell>
          <cell r="F20517">
            <v>885254010291</v>
          </cell>
        </row>
        <row r="20518">
          <cell r="E20518" t="str">
            <v>PUR-12-0432-00</v>
          </cell>
          <cell r="F20518">
            <v>885254010291</v>
          </cell>
        </row>
        <row r="20519">
          <cell r="E20519" t="str">
            <v>PUR-12-0475-00</v>
          </cell>
          <cell r="F20519">
            <v>885254010291</v>
          </cell>
        </row>
        <row r="20520">
          <cell r="E20520" t="str">
            <v>PURET-12-0088-00</v>
          </cell>
          <cell r="F20520">
            <v>885254010291</v>
          </cell>
        </row>
        <row r="20521">
          <cell r="E20521" t="str">
            <v>PUR-12-0472-00</v>
          </cell>
          <cell r="F20521">
            <v>885254010291</v>
          </cell>
        </row>
        <row r="20522">
          <cell r="E20522" t="str">
            <v>PUR-12-0474-00</v>
          </cell>
          <cell r="F20522">
            <v>885254010291</v>
          </cell>
        </row>
        <row r="20523">
          <cell r="E20523" t="str">
            <v>PUR-12-0475-00</v>
          </cell>
          <cell r="F20523">
            <v>885254010291</v>
          </cell>
        </row>
        <row r="20524">
          <cell r="E20524" t="str">
            <v>PUR-12-0294-00</v>
          </cell>
          <cell r="F20524">
            <v>885254010291</v>
          </cell>
        </row>
        <row r="20525">
          <cell r="E20525" t="str">
            <v>PUR-12-0483-00</v>
          </cell>
          <cell r="F20525">
            <v>885254010291</v>
          </cell>
        </row>
        <row r="20526">
          <cell r="E20526" t="str">
            <v>LUC-E00-690010-01</v>
          </cell>
          <cell r="F20526">
            <v>394025210767</v>
          </cell>
        </row>
        <row r="20527">
          <cell r="E20527" t="str">
            <v>LUC-E00-440003-01</v>
          </cell>
          <cell r="F20527">
            <v>446064254065</v>
          </cell>
        </row>
        <row r="20528">
          <cell r="E20528" t="str">
            <v>AIC-MP-DE000171-S01</v>
          </cell>
          <cell r="F20528">
            <v>436368144215</v>
          </cell>
        </row>
        <row r="20529">
          <cell r="E20529" t="str">
            <v>LUC-EZZ-400203-00</v>
          </cell>
          <cell r="F20529">
            <v>484789755264</v>
          </cell>
        </row>
        <row r="20530">
          <cell r="E20530" t="str">
            <v>LUC-E00-440048-00</v>
          </cell>
          <cell r="F20530">
            <v>446064254444</v>
          </cell>
        </row>
        <row r="20531">
          <cell r="E20531" t="str">
            <v>LUC-EZZ-400203-00</v>
          </cell>
          <cell r="F20531">
            <v>484789755849</v>
          </cell>
        </row>
        <row r="20532">
          <cell r="E20532" t="str">
            <v>EF-45060149.X.X</v>
          </cell>
          <cell r="F20532">
            <v>426080015402</v>
          </cell>
        </row>
        <row r="20533">
          <cell r="E20533" t="str">
            <v>HLOB-03-0113-00</v>
          </cell>
          <cell r="F20533" t="str">
            <v>8XN0127</v>
          </cell>
        </row>
        <row r="20534">
          <cell r="E20534" t="str">
            <v>HLOB-03-0113-00</v>
          </cell>
          <cell r="F20534" t="str">
            <v>8XN0099</v>
          </cell>
        </row>
        <row r="20535">
          <cell r="E20535" t="str">
            <v>HLOB-03-0113-00</v>
          </cell>
          <cell r="F20535" t="str">
            <v>8XN0098</v>
          </cell>
        </row>
        <row r="20536">
          <cell r="E20536" t="str">
            <v>HLOB-03-0113-00</v>
          </cell>
          <cell r="F20536" t="str">
            <v>8XN0103</v>
          </cell>
        </row>
        <row r="20537">
          <cell r="E20537" t="str">
            <v>HLOB-03-0113-00</v>
          </cell>
          <cell r="F20537" t="str">
            <v>8XN0130</v>
          </cell>
        </row>
        <row r="20538">
          <cell r="E20538" t="str">
            <v>HLOB-03-0113-00</v>
          </cell>
          <cell r="F20538" t="str">
            <v>8XN0118</v>
          </cell>
        </row>
        <row r="20539">
          <cell r="E20539" t="str">
            <v>PUR-03-0099-03</v>
          </cell>
          <cell r="F20539" t="str">
            <v>8XN0106</v>
          </cell>
        </row>
        <row r="20540">
          <cell r="E20540" t="str">
            <v>HLOB-03-0113-00</v>
          </cell>
          <cell r="F20540" t="str">
            <v>8XN0134</v>
          </cell>
        </row>
        <row r="20541">
          <cell r="E20541" t="str">
            <v>HLOB-03-0113-00</v>
          </cell>
          <cell r="F20541" t="str">
            <v>8XN0128</v>
          </cell>
        </row>
        <row r="20542">
          <cell r="E20542" t="str">
            <v>HLOB-03-0113-00</v>
          </cell>
          <cell r="F20542" t="str">
            <v>8XN0117</v>
          </cell>
        </row>
        <row r="20543">
          <cell r="E20543" t="str">
            <v>HLOB-03-0113-00</v>
          </cell>
          <cell r="F20543" t="str">
            <v>8XN0104</v>
          </cell>
        </row>
        <row r="20544">
          <cell r="E20544" t="str">
            <v>HLOB-03-0113-00</v>
          </cell>
          <cell r="F20544" t="str">
            <v>8XN0101</v>
          </cell>
        </row>
        <row r="20545">
          <cell r="E20545" t="str">
            <v>HLOB-03-0113-00</v>
          </cell>
          <cell r="F20545" t="str">
            <v>8XN0131</v>
          </cell>
        </row>
        <row r="20546">
          <cell r="E20546" t="str">
            <v>HLOB-03-0113-00</v>
          </cell>
          <cell r="F20546" t="str">
            <v>8XN0100</v>
          </cell>
        </row>
        <row r="20547">
          <cell r="E20547" t="str">
            <v>HLOB-03-0113-00</v>
          </cell>
          <cell r="F20547" t="str">
            <v>8XN0102</v>
          </cell>
        </row>
        <row r="20548">
          <cell r="E20548" t="str">
            <v>HLOB-03-0113-00</v>
          </cell>
          <cell r="F20548" t="str">
            <v>8XN0132</v>
          </cell>
        </row>
        <row r="20549">
          <cell r="E20549" t="str">
            <v>HLOB-03-0113-00</v>
          </cell>
          <cell r="F20549" t="str">
            <v>8XN0105</v>
          </cell>
        </row>
        <row r="20550">
          <cell r="E20550" t="str">
            <v>HLOB-03-0113-00</v>
          </cell>
          <cell r="F20550" t="str">
            <v>8XN0129</v>
          </cell>
        </row>
        <row r="20551">
          <cell r="E20551" t="str">
            <v>HLOB-03-0113-00</v>
          </cell>
          <cell r="F20551" t="str">
            <v>8XN0116</v>
          </cell>
        </row>
        <row r="20552">
          <cell r="E20552" t="str">
            <v>HLOB-03-0113-00</v>
          </cell>
          <cell r="F20552" t="str">
            <v>8XN0133</v>
          </cell>
        </row>
        <row r="20553">
          <cell r="E20553" t="str">
            <v>AGI-188-011449</v>
          </cell>
          <cell r="F20553" t="str">
            <v>HWHPH2503235</v>
          </cell>
        </row>
        <row r="20554">
          <cell r="E20554" t="str">
            <v>AGI-188-011448</v>
          </cell>
          <cell r="F20554" t="str">
            <v>HWHPH2503235</v>
          </cell>
        </row>
        <row r="20555">
          <cell r="E20555" t="str">
            <v>AGI-188-011449</v>
          </cell>
          <cell r="F20555" t="str">
            <v>HWHPH2503235</v>
          </cell>
        </row>
        <row r="20556">
          <cell r="E20556" t="str">
            <v>AGI-188-011448</v>
          </cell>
          <cell r="F20556" t="str">
            <v>HWHPH2503235</v>
          </cell>
        </row>
        <row r="20557">
          <cell r="E20557" t="str">
            <v>LUC-P00-F18AAG-00</v>
          </cell>
          <cell r="F20557">
            <v>4720750178</v>
          </cell>
        </row>
        <row r="20558">
          <cell r="E20558" t="str">
            <v>LUC-P00-F18AAG-00</v>
          </cell>
          <cell r="F20558">
            <v>4720750178</v>
          </cell>
        </row>
        <row r="20559">
          <cell r="E20559" t="str">
            <v>LUC-P00-F85MDY-00</v>
          </cell>
          <cell r="F20559">
            <v>4720750178</v>
          </cell>
        </row>
        <row r="20560">
          <cell r="E20560" t="str">
            <v>LUC-P00-F193DG-00</v>
          </cell>
          <cell r="F20560">
            <v>4720750178</v>
          </cell>
        </row>
        <row r="20561">
          <cell r="E20561" t="str">
            <v>LUC-P00-F856AY-01</v>
          </cell>
          <cell r="F20561">
            <v>4720750178</v>
          </cell>
        </row>
        <row r="20562">
          <cell r="E20562" t="str">
            <v>LUC-P00-F134CG-00</v>
          </cell>
          <cell r="F20562">
            <v>4720750178</v>
          </cell>
        </row>
        <row r="20563">
          <cell r="E20563" t="str">
            <v>LUC-P00-F116CF-00</v>
          </cell>
          <cell r="F20563">
            <v>4720750178</v>
          </cell>
        </row>
        <row r="20564">
          <cell r="E20564" t="str">
            <v>LUC-P00-F116CF-00</v>
          </cell>
          <cell r="F20564">
            <v>4720750178</v>
          </cell>
        </row>
        <row r="20565">
          <cell r="E20565" t="str">
            <v>LUC-BNA-201-329</v>
          </cell>
          <cell r="F20565">
            <v>4720750178</v>
          </cell>
        </row>
        <row r="20566">
          <cell r="E20566" t="str">
            <v>LUC-P00-F143AG-00</v>
          </cell>
          <cell r="F20566">
            <v>4720750178</v>
          </cell>
        </row>
        <row r="20567">
          <cell r="E20567" t="str">
            <v>LUC-P00-F187DG-00</v>
          </cell>
          <cell r="F20567">
            <v>4720750178</v>
          </cell>
        </row>
        <row r="20568">
          <cell r="E20568" t="str">
            <v>LUC-P00-F856AY-01</v>
          </cell>
          <cell r="F20568">
            <v>4720750178</v>
          </cell>
        </row>
        <row r="20569">
          <cell r="E20569" t="str">
            <v>LUC-P00-F193DG-00</v>
          </cell>
          <cell r="F20569">
            <v>4720750178</v>
          </cell>
        </row>
        <row r="20570">
          <cell r="E20570" t="str">
            <v>LUC-P00-F85MDY-00</v>
          </cell>
          <cell r="F20570">
            <v>4720750178</v>
          </cell>
        </row>
        <row r="20571">
          <cell r="E20571" t="str">
            <v>LUC-P00-F189AG-00</v>
          </cell>
          <cell r="F20571">
            <v>4720750178</v>
          </cell>
        </row>
        <row r="20572">
          <cell r="E20572" t="str">
            <v>LUC-P00-F185AG-00</v>
          </cell>
          <cell r="F20572">
            <v>4720750178</v>
          </cell>
        </row>
        <row r="20573">
          <cell r="E20573" t="str">
            <v>LUC-P00-F134CG-00</v>
          </cell>
          <cell r="F20573">
            <v>4720750178</v>
          </cell>
        </row>
        <row r="20574">
          <cell r="E20574" t="str">
            <v>LUC-E00-440003-01</v>
          </cell>
          <cell r="F20574">
            <v>4711888076</v>
          </cell>
        </row>
        <row r="20575">
          <cell r="E20575" t="str">
            <v>LUC-E00-440003-01</v>
          </cell>
          <cell r="F20575">
            <v>4711888076</v>
          </cell>
        </row>
        <row r="20576">
          <cell r="E20576" t="str">
            <v>LUC-E00-440013-00</v>
          </cell>
          <cell r="F20576">
            <v>4711888076</v>
          </cell>
        </row>
        <row r="20577">
          <cell r="E20577" t="str">
            <v>LUC-E00-440014-00</v>
          </cell>
          <cell r="F20577">
            <v>4711888076</v>
          </cell>
        </row>
        <row r="20578">
          <cell r="E20578" t="str">
            <v>LUC-E00-440014-01</v>
          </cell>
          <cell r="F20578">
            <v>4711888076</v>
          </cell>
        </row>
        <row r="20579">
          <cell r="E20579" t="str">
            <v>LUC-E00-440072-01</v>
          </cell>
          <cell r="F20579">
            <v>4711888076</v>
          </cell>
        </row>
        <row r="20580">
          <cell r="E20580" t="str">
            <v>LUC-EZZ-440018-00</v>
          </cell>
          <cell r="F20580">
            <v>4711888076</v>
          </cell>
        </row>
        <row r="20581">
          <cell r="E20581" t="str">
            <v>LUC-EZZ-440069-00</v>
          </cell>
          <cell r="F20581">
            <v>4711888076</v>
          </cell>
        </row>
        <row r="20582">
          <cell r="E20582" t="str">
            <v>LUC-EZZ-440069-00</v>
          </cell>
          <cell r="F20582">
            <v>4711888076</v>
          </cell>
        </row>
        <row r="20583">
          <cell r="E20583" t="str">
            <v>LUC-EZZ-440030-00</v>
          </cell>
          <cell r="F20583">
            <v>4711888076</v>
          </cell>
        </row>
        <row r="20584">
          <cell r="E20584" t="str">
            <v>LUC-EZZ-440030-00</v>
          </cell>
          <cell r="F20584">
            <v>4711888076</v>
          </cell>
        </row>
        <row r="20585">
          <cell r="E20585" t="str">
            <v>LUC-EZZ-440030-00</v>
          </cell>
          <cell r="F20585">
            <v>4711888076</v>
          </cell>
        </row>
        <row r="20586">
          <cell r="E20586" t="str">
            <v>LUC-EZZ-440032-00</v>
          </cell>
          <cell r="F20586">
            <v>4711888076</v>
          </cell>
        </row>
        <row r="20587">
          <cell r="E20587" t="str">
            <v>LUC-EZZ-440090-00</v>
          </cell>
          <cell r="F20587">
            <v>4711888076</v>
          </cell>
        </row>
        <row r="20588">
          <cell r="E20588" t="str">
            <v>LUC-EZZ-440090-00</v>
          </cell>
          <cell r="F20588">
            <v>4711888076</v>
          </cell>
        </row>
        <row r="20589">
          <cell r="E20589" t="str">
            <v>LUC-EZZ-440090-00</v>
          </cell>
          <cell r="F20589">
            <v>4711888076</v>
          </cell>
        </row>
        <row r="20590">
          <cell r="E20590" t="str">
            <v>LUC-E00-440077-02</v>
          </cell>
          <cell r="F20590">
            <v>4711888076</v>
          </cell>
        </row>
        <row r="20591">
          <cell r="E20591" t="str">
            <v>LUC-EZZ-440099-00</v>
          </cell>
          <cell r="F20591">
            <v>4711888076</v>
          </cell>
        </row>
        <row r="20592">
          <cell r="E20592" t="str">
            <v>LUC-EZZ-440100-00</v>
          </cell>
          <cell r="F20592">
            <v>4711888076</v>
          </cell>
        </row>
        <row r="20593">
          <cell r="E20593" t="str">
            <v>LUC-E00-420036-00</v>
          </cell>
          <cell r="F20593">
            <v>4711888159</v>
          </cell>
        </row>
        <row r="20594">
          <cell r="E20594" t="str">
            <v>LUC-E00-400025-01</v>
          </cell>
          <cell r="F20594">
            <v>4711888159</v>
          </cell>
        </row>
        <row r="20595">
          <cell r="E20595" t="str">
            <v>LUC-E00-400025-01</v>
          </cell>
          <cell r="F20595">
            <v>4711888159</v>
          </cell>
        </row>
        <row r="20596">
          <cell r="E20596" t="str">
            <v>LUC-E00-400025-01</v>
          </cell>
          <cell r="F20596">
            <v>4711888159</v>
          </cell>
        </row>
        <row r="20597">
          <cell r="E20597" t="str">
            <v>LUC-E00-400025-01</v>
          </cell>
          <cell r="F20597">
            <v>4711888159</v>
          </cell>
        </row>
        <row r="20598">
          <cell r="E20598" t="str">
            <v>LUC-E00-420073-00</v>
          </cell>
          <cell r="F20598">
            <v>4711888159</v>
          </cell>
        </row>
        <row r="20599">
          <cell r="E20599" t="str">
            <v>LUC-E00-420073-00</v>
          </cell>
          <cell r="F20599">
            <v>4711888159</v>
          </cell>
        </row>
        <row r="20600">
          <cell r="E20600" t="str">
            <v>LUC-E00-420073-00</v>
          </cell>
          <cell r="F20600">
            <v>4711888159</v>
          </cell>
        </row>
        <row r="20601">
          <cell r="E20601" t="str">
            <v>LUC-E00-420073-00</v>
          </cell>
          <cell r="F20601">
            <v>4711888159</v>
          </cell>
        </row>
        <row r="20602">
          <cell r="E20602" t="str">
            <v>LUC-E00-510029-00</v>
          </cell>
          <cell r="F20602">
            <v>4711888159</v>
          </cell>
        </row>
        <row r="20603">
          <cell r="E20603" t="str">
            <v>LUC-E00-470331-00</v>
          </cell>
          <cell r="F20603">
            <v>4711888159</v>
          </cell>
        </row>
        <row r="20604">
          <cell r="E20604" t="str">
            <v>LUC-E00-420046-00</v>
          </cell>
          <cell r="F20604">
            <v>4711888159</v>
          </cell>
        </row>
        <row r="20605">
          <cell r="E20605" t="str">
            <v>LUC-EZZ-420482-00</v>
          </cell>
          <cell r="F20605">
            <v>4711888159</v>
          </cell>
        </row>
        <row r="20606">
          <cell r="E20606" t="str">
            <v>PUR-09-0408-00</v>
          </cell>
          <cell r="F20606">
            <v>4711888159</v>
          </cell>
        </row>
        <row r="20607">
          <cell r="E20607" t="str">
            <v>EF-45046354</v>
          </cell>
          <cell r="F20607">
            <v>4711888159</v>
          </cell>
        </row>
        <row r="20608">
          <cell r="E20608" t="str">
            <v>LUC-EZZ-420482-00</v>
          </cell>
          <cell r="F20608">
            <v>4711888159</v>
          </cell>
        </row>
        <row r="20609">
          <cell r="E20609" t="str">
            <v>LUC-EZZ-420482-00</v>
          </cell>
          <cell r="F20609">
            <v>4711888159</v>
          </cell>
        </row>
        <row r="20610">
          <cell r="E20610" t="str">
            <v>LUC-EZZ-420665-00</v>
          </cell>
          <cell r="F20610">
            <v>4711888159</v>
          </cell>
        </row>
        <row r="20611">
          <cell r="E20611" t="str">
            <v>LUC-EZZ-420665-00</v>
          </cell>
          <cell r="F20611">
            <v>4711888159</v>
          </cell>
        </row>
        <row r="20612">
          <cell r="E20612" t="str">
            <v>HLOB-25-0009-00</v>
          </cell>
          <cell r="F20612">
            <v>4711888159</v>
          </cell>
        </row>
        <row r="20613">
          <cell r="E20613" t="str">
            <v>LUC-EZZ-450176-00</v>
          </cell>
          <cell r="F20613">
            <v>4711888159</v>
          </cell>
        </row>
        <row r="20614">
          <cell r="E20614" t="str">
            <v>HLOB-09-0346-00</v>
          </cell>
          <cell r="F20614">
            <v>4711888159</v>
          </cell>
        </row>
        <row r="20615">
          <cell r="E20615" t="str">
            <v>AIC-MP-00006703-000</v>
          </cell>
          <cell r="F20615">
            <v>4711888159</v>
          </cell>
        </row>
        <row r="20616">
          <cell r="E20616" t="str">
            <v>AIC-MP-00006703-000</v>
          </cell>
          <cell r="F20616">
            <v>4711888159</v>
          </cell>
        </row>
        <row r="20617">
          <cell r="E20617" t="str">
            <v>LUC-E00-460005-00</v>
          </cell>
          <cell r="F20617">
            <v>4711888159</v>
          </cell>
        </row>
        <row r="20618">
          <cell r="E20618" t="str">
            <v>LUC-EZZ-450176-00</v>
          </cell>
          <cell r="F20618">
            <v>4711888159</v>
          </cell>
        </row>
        <row r="20619">
          <cell r="E20619" t="str">
            <v>LUC-E00-450154-00</v>
          </cell>
          <cell r="F20619">
            <v>4711888159</v>
          </cell>
        </row>
        <row r="20620">
          <cell r="E20620" t="str">
            <v>LUC-E00-420084-00</v>
          </cell>
          <cell r="F20620">
            <v>4711888159</v>
          </cell>
        </row>
        <row r="20621">
          <cell r="E20621" t="str">
            <v>LUC-E00-460005-00</v>
          </cell>
          <cell r="F20621">
            <v>4711888159</v>
          </cell>
        </row>
        <row r="20622">
          <cell r="E20622" t="str">
            <v>LUC-E00-420043-01</v>
          </cell>
          <cell r="F20622">
            <v>4711888159</v>
          </cell>
        </row>
        <row r="20623">
          <cell r="E20623" t="str">
            <v>LUC-E00-400034-023</v>
          </cell>
          <cell r="F20623">
            <v>4711888159</v>
          </cell>
        </row>
        <row r="20624">
          <cell r="E20624" t="str">
            <v>EF-45046354</v>
          </cell>
          <cell r="F20624">
            <v>4711888159</v>
          </cell>
        </row>
        <row r="20625">
          <cell r="E20625" t="str">
            <v>LUC-EZZ-401556-00</v>
          </cell>
          <cell r="F20625">
            <v>4711888159</v>
          </cell>
        </row>
        <row r="20626">
          <cell r="E20626" t="str">
            <v>LUC-E00-400067-152</v>
          </cell>
          <cell r="F20626">
            <v>4711888159</v>
          </cell>
        </row>
        <row r="20627">
          <cell r="E20627" t="str">
            <v>LUC-EZZ-420344-00</v>
          </cell>
          <cell r="F20627">
            <v>4711888159</v>
          </cell>
        </row>
        <row r="20628">
          <cell r="E20628" t="str">
            <v>LUC-E00-420055-06</v>
          </cell>
          <cell r="F20628">
            <v>4711888159</v>
          </cell>
        </row>
        <row r="20629">
          <cell r="E20629" t="str">
            <v>LUC-E00-420055-06</v>
          </cell>
          <cell r="F20629">
            <v>4711888159</v>
          </cell>
        </row>
        <row r="20630">
          <cell r="E20630" t="str">
            <v>LUC-E00-420052-00</v>
          </cell>
          <cell r="F20630">
            <v>4711888159</v>
          </cell>
        </row>
        <row r="20631">
          <cell r="E20631" t="str">
            <v>LUC-E00-420054-06</v>
          </cell>
          <cell r="F20631">
            <v>4711888159</v>
          </cell>
        </row>
        <row r="20632">
          <cell r="E20632" t="str">
            <v>LUC-E00-420055-01</v>
          </cell>
          <cell r="F20632">
            <v>4711888159</v>
          </cell>
        </row>
        <row r="20633">
          <cell r="E20633" t="str">
            <v>LUC-EZZ-420145-00</v>
          </cell>
          <cell r="F20633">
            <v>4711888159</v>
          </cell>
        </row>
        <row r="20634">
          <cell r="E20634" t="str">
            <v>LUC-EZZ-420251-00</v>
          </cell>
          <cell r="F20634">
            <v>4711888159</v>
          </cell>
        </row>
        <row r="20635">
          <cell r="E20635" t="str">
            <v>LUC-EZZ-440202-00</v>
          </cell>
          <cell r="F20635">
            <v>4711888159</v>
          </cell>
        </row>
        <row r="20636">
          <cell r="E20636" t="str">
            <v>LUC-EZZ-420200-00</v>
          </cell>
          <cell r="F20636">
            <v>4711888159</v>
          </cell>
        </row>
        <row r="20637">
          <cell r="E20637" t="str">
            <v>LUC-EZZ-420256-00</v>
          </cell>
          <cell r="F20637">
            <v>4711888159</v>
          </cell>
        </row>
        <row r="20638">
          <cell r="E20638" t="str">
            <v>LUC-EZZ-420396-00</v>
          </cell>
          <cell r="F20638">
            <v>4711888159</v>
          </cell>
        </row>
        <row r="20639">
          <cell r="E20639" t="str">
            <v>LUC-E00-420054-03</v>
          </cell>
          <cell r="F20639">
            <v>4711888159</v>
          </cell>
        </row>
        <row r="20640">
          <cell r="E20640" t="str">
            <v>LUC-EZZ-440077-00</v>
          </cell>
          <cell r="F20640">
            <v>4711888159</v>
          </cell>
        </row>
        <row r="20641">
          <cell r="E20641" t="str">
            <v>LUC-EZZ-440077-00</v>
          </cell>
          <cell r="F20641">
            <v>4711888159</v>
          </cell>
        </row>
        <row r="20642">
          <cell r="E20642" t="str">
            <v>LUC-EZZ-420396-00</v>
          </cell>
          <cell r="F20642">
            <v>4711888159</v>
          </cell>
        </row>
        <row r="20643">
          <cell r="E20643" t="str">
            <v>LUC-E00-420052-00</v>
          </cell>
          <cell r="F20643">
            <v>4711888159</v>
          </cell>
        </row>
        <row r="20644">
          <cell r="E20644" t="str">
            <v>LUC-E00-440022-00</v>
          </cell>
          <cell r="F20644">
            <v>4711888159</v>
          </cell>
        </row>
        <row r="20645">
          <cell r="E20645" t="str">
            <v>PUR-13-0131-00</v>
          </cell>
          <cell r="F20645">
            <v>4711888159</v>
          </cell>
        </row>
        <row r="20646">
          <cell r="E20646" t="str">
            <v>LUC-E00-420054-06</v>
          </cell>
          <cell r="F20646">
            <v>4711888159</v>
          </cell>
        </row>
        <row r="20647">
          <cell r="E20647" t="str">
            <v>LUC-E00-420055-08</v>
          </cell>
          <cell r="F20647">
            <v>4711888159</v>
          </cell>
        </row>
        <row r="20648">
          <cell r="E20648" t="str">
            <v>LUC-E00-420055-08</v>
          </cell>
          <cell r="F20648">
            <v>4711888159</v>
          </cell>
        </row>
        <row r="20649">
          <cell r="E20649" t="str">
            <v>LUC-E00-420055-08</v>
          </cell>
          <cell r="F20649">
            <v>4711888159</v>
          </cell>
        </row>
        <row r="20650">
          <cell r="E20650" t="str">
            <v>LUC-E00-420084-00</v>
          </cell>
          <cell r="F20650">
            <v>4711888159</v>
          </cell>
        </row>
        <row r="20651">
          <cell r="E20651" t="str">
            <v>LUC-EZZ-420195-00</v>
          </cell>
          <cell r="F20651">
            <v>4711888159</v>
          </cell>
        </row>
        <row r="20652">
          <cell r="E20652" t="str">
            <v>LUC-E00-420054-06</v>
          </cell>
          <cell r="F20652">
            <v>4711888159</v>
          </cell>
        </row>
        <row r="20653">
          <cell r="E20653" t="str">
            <v>EF-45206275</v>
          </cell>
          <cell r="F20653">
            <v>4711888159</v>
          </cell>
        </row>
        <row r="20654">
          <cell r="E20654" t="str">
            <v>LUC-E00-400067-405</v>
          </cell>
          <cell r="F20654">
            <v>4711888159</v>
          </cell>
        </row>
        <row r="20655">
          <cell r="E20655" t="str">
            <v>HLOB-09-0346-00</v>
          </cell>
          <cell r="F20655">
            <v>4711888159</v>
          </cell>
        </row>
        <row r="20656">
          <cell r="E20656" t="str">
            <v>AGI-450-40128-01</v>
          </cell>
          <cell r="F20656">
            <v>4711888159</v>
          </cell>
        </row>
        <row r="20657">
          <cell r="E20657" t="str">
            <v>AGI-450-40128-01</v>
          </cell>
          <cell r="F20657">
            <v>4711888159</v>
          </cell>
        </row>
        <row r="20658">
          <cell r="E20658" t="str">
            <v>LUC-E00-400025-01</v>
          </cell>
          <cell r="F20658">
            <v>4711888159</v>
          </cell>
        </row>
        <row r="20659">
          <cell r="E20659" t="str">
            <v>LUC-EZZ-420342-00</v>
          </cell>
          <cell r="F20659">
            <v>4711888159</v>
          </cell>
        </row>
        <row r="20660">
          <cell r="E20660" t="str">
            <v>LUC-EZZ-420665-00</v>
          </cell>
          <cell r="F20660">
            <v>4711888159</v>
          </cell>
        </row>
        <row r="20661">
          <cell r="E20661" t="str">
            <v>LUC-EZZ-420665-00</v>
          </cell>
          <cell r="F20661">
            <v>4711888159</v>
          </cell>
        </row>
        <row r="20662">
          <cell r="E20662" t="str">
            <v>LUC-E00-480007-00</v>
          </cell>
          <cell r="F20662">
            <v>4711888159</v>
          </cell>
        </row>
        <row r="20663">
          <cell r="E20663" t="str">
            <v>LUC-EZZ-420665-00</v>
          </cell>
          <cell r="F20663">
            <v>4711888159</v>
          </cell>
        </row>
        <row r="20664">
          <cell r="E20664" t="str">
            <v>LUC-EZZ-420665-00</v>
          </cell>
          <cell r="F20664">
            <v>4711888159</v>
          </cell>
        </row>
        <row r="20665">
          <cell r="E20665" t="str">
            <v>LUC-E00-420074-00</v>
          </cell>
          <cell r="F20665">
            <v>4711888159</v>
          </cell>
        </row>
        <row r="20666">
          <cell r="E20666" t="str">
            <v>LUC-E00-420074-00</v>
          </cell>
          <cell r="F20666">
            <v>4711888159</v>
          </cell>
        </row>
        <row r="20667">
          <cell r="E20667" t="str">
            <v>LUC-E00-420051-02</v>
          </cell>
          <cell r="F20667">
            <v>4711888159</v>
          </cell>
        </row>
        <row r="20668">
          <cell r="E20668" t="str">
            <v>LUC-E00-420051-02</v>
          </cell>
          <cell r="F20668">
            <v>4711888159</v>
          </cell>
        </row>
        <row r="20669">
          <cell r="E20669" t="str">
            <v>LUC-EZZ-691595-00</v>
          </cell>
          <cell r="F20669">
            <v>4110329993</v>
          </cell>
        </row>
        <row r="20670">
          <cell r="E20670" t="str">
            <v>LUC-EZZ-691595-00</v>
          </cell>
          <cell r="F20670">
            <v>4110329993</v>
          </cell>
        </row>
        <row r="20671">
          <cell r="E20671" t="str">
            <v>LUC-EZZ-691595-00</v>
          </cell>
          <cell r="F20671">
            <v>4110329993</v>
          </cell>
        </row>
        <row r="20672">
          <cell r="E20672" t="str">
            <v>LUC-EZZ-691595-00</v>
          </cell>
          <cell r="F20672">
            <v>4110329993</v>
          </cell>
        </row>
        <row r="20673">
          <cell r="E20673" t="str">
            <v>LUC-EZZ-691595-00</v>
          </cell>
          <cell r="F20673">
            <v>4110329993</v>
          </cell>
        </row>
        <row r="20674">
          <cell r="E20674" t="str">
            <v>LUC-EZZ-691595-00</v>
          </cell>
          <cell r="F20674">
            <v>4110329993</v>
          </cell>
        </row>
        <row r="20675">
          <cell r="E20675" t="str">
            <v>LUC-EZZ-691595-00</v>
          </cell>
          <cell r="F20675">
            <v>4110329993</v>
          </cell>
        </row>
        <row r="20676">
          <cell r="E20676" t="str">
            <v>LUC-EZZ-691595-00</v>
          </cell>
          <cell r="F20676">
            <v>4110329993</v>
          </cell>
        </row>
        <row r="20677">
          <cell r="E20677" t="str">
            <v>HLOB-07-0167-00</v>
          </cell>
          <cell r="F20677">
            <v>4914968277</v>
          </cell>
        </row>
        <row r="20678">
          <cell r="E20678" t="str">
            <v>PUR-07-0167-00</v>
          </cell>
          <cell r="F20678">
            <v>4914968277</v>
          </cell>
        </row>
        <row r="20679">
          <cell r="E20679" t="str">
            <v>PUR-07-0167-00</v>
          </cell>
          <cell r="F20679">
            <v>4914968277</v>
          </cell>
        </row>
        <row r="20680">
          <cell r="E20680" t="str">
            <v>102-001541</v>
          </cell>
          <cell r="F20680">
            <v>4914980768</v>
          </cell>
        </row>
        <row r="20681">
          <cell r="E20681" t="str">
            <v>141-001484-02</v>
          </cell>
          <cell r="F20681">
            <v>4914980774</v>
          </cell>
        </row>
        <row r="20682">
          <cell r="E20682" t="str">
            <v>LUC-EZZ-690131-00</v>
          </cell>
          <cell r="F20682">
            <v>4110329960</v>
          </cell>
        </row>
        <row r="20683">
          <cell r="E20683" t="str">
            <v>LUC-EZZ-690145-00</v>
          </cell>
          <cell r="F20683">
            <v>4110329961</v>
          </cell>
        </row>
        <row r="20684">
          <cell r="E20684" t="str">
            <v>LUC-EZZ-690145-00</v>
          </cell>
          <cell r="F20684">
            <v>4110329961</v>
          </cell>
        </row>
        <row r="20685">
          <cell r="E20685" t="str">
            <v>LUC-EZZ-690145-00</v>
          </cell>
          <cell r="F20685">
            <v>4110329962</v>
          </cell>
        </row>
        <row r="20686">
          <cell r="E20686" t="str">
            <v>LUC-EZZ-690942-00</v>
          </cell>
          <cell r="F20686">
            <v>4110329992</v>
          </cell>
        </row>
        <row r="20687">
          <cell r="E20687" t="str">
            <v>LUC-EZZ-490071-06</v>
          </cell>
          <cell r="F20687">
            <v>1516672</v>
          </cell>
        </row>
        <row r="20688">
          <cell r="E20688" t="str">
            <v>LUC-EZZ-490071-06</v>
          </cell>
          <cell r="F20688">
            <v>1516672</v>
          </cell>
        </row>
        <row r="20689">
          <cell r="E20689" t="str">
            <v>LUC-EZZ-490225-05</v>
          </cell>
          <cell r="F20689">
            <v>1516672</v>
          </cell>
        </row>
        <row r="20690">
          <cell r="E20690" t="str">
            <v>LUC-EZZ-490071-06</v>
          </cell>
          <cell r="F20690">
            <v>1516672</v>
          </cell>
        </row>
        <row r="20691">
          <cell r="E20691" t="str">
            <v>LUC-EZZ-490316-02</v>
          </cell>
          <cell r="F20691">
            <v>1516672</v>
          </cell>
        </row>
        <row r="20692">
          <cell r="E20692" t="str">
            <v>LUC-EZZ-490307-01</v>
          </cell>
          <cell r="F20692">
            <v>1516672</v>
          </cell>
        </row>
        <row r="20693">
          <cell r="E20693" t="str">
            <v>LUC-EZZ-490317-04</v>
          </cell>
          <cell r="F20693">
            <v>1516672</v>
          </cell>
        </row>
        <row r="20694">
          <cell r="E20694" t="str">
            <v>LUC-EZZ-490317-04</v>
          </cell>
          <cell r="F20694">
            <v>1516672</v>
          </cell>
        </row>
        <row r="20695">
          <cell r="E20695" t="str">
            <v>LUC-EZZ-490200-07</v>
          </cell>
          <cell r="F20695">
            <v>1516672</v>
          </cell>
        </row>
        <row r="20696">
          <cell r="E20696" t="str">
            <v>LUC-EZZ-490306-00</v>
          </cell>
          <cell r="F20696">
            <v>1516672</v>
          </cell>
        </row>
        <row r="20697">
          <cell r="E20697" t="str">
            <v>LUC-EZZ-490306-00</v>
          </cell>
          <cell r="F20697">
            <v>1516672</v>
          </cell>
        </row>
        <row r="20698">
          <cell r="E20698" t="str">
            <v>LUC-EZZ-490307-01</v>
          </cell>
          <cell r="F20698">
            <v>1516672</v>
          </cell>
        </row>
        <row r="20699">
          <cell r="E20699" t="str">
            <v>LUC-EZZ-490307-01</v>
          </cell>
          <cell r="F20699">
            <v>1516672</v>
          </cell>
        </row>
        <row r="20700">
          <cell r="E20700" t="str">
            <v>LUC-EZZ-490305-05</v>
          </cell>
          <cell r="F20700">
            <v>1516672</v>
          </cell>
        </row>
        <row r="20701">
          <cell r="E20701" t="str">
            <v>LUC-EZZ-490310-04</v>
          </cell>
          <cell r="F20701">
            <v>1516672</v>
          </cell>
        </row>
        <row r="20702">
          <cell r="E20702" t="str">
            <v>LUC-EZZ-490305-05</v>
          </cell>
          <cell r="F20702">
            <v>1516672</v>
          </cell>
        </row>
        <row r="20703">
          <cell r="E20703" t="str">
            <v>LUC-EZZ-490315-02</v>
          </cell>
          <cell r="F20703">
            <v>1516672</v>
          </cell>
        </row>
        <row r="20704">
          <cell r="E20704" t="str">
            <v>LUC-EZZ-490315-02</v>
          </cell>
          <cell r="F20704">
            <v>1516672</v>
          </cell>
        </row>
        <row r="20705">
          <cell r="E20705" t="str">
            <v>LUC-EZZ-490201-07</v>
          </cell>
          <cell r="F20705">
            <v>1516672</v>
          </cell>
        </row>
        <row r="20706">
          <cell r="E20706" t="str">
            <v>LUC-EZZ-490201-07</v>
          </cell>
          <cell r="F20706">
            <v>1516672</v>
          </cell>
        </row>
        <row r="20707">
          <cell r="E20707" t="str">
            <v>LUC-EZZ-490071-06</v>
          </cell>
          <cell r="F20707">
            <v>1516672</v>
          </cell>
        </row>
        <row r="20708">
          <cell r="E20708" t="str">
            <v>LUC-E00-470161-01</v>
          </cell>
          <cell r="F20708">
            <v>394353838180</v>
          </cell>
        </row>
        <row r="20709">
          <cell r="E20709" t="str">
            <v>LUC-E00-4700103-00</v>
          </cell>
          <cell r="F20709">
            <v>394353838180</v>
          </cell>
        </row>
        <row r="20710">
          <cell r="E20710" t="str">
            <v>LUC-E00-4700103-00</v>
          </cell>
          <cell r="F20710">
            <v>394353838180</v>
          </cell>
        </row>
        <row r="20711">
          <cell r="E20711" t="str">
            <v>LUC-E00-470161-01</v>
          </cell>
          <cell r="F20711">
            <v>394353838180</v>
          </cell>
        </row>
        <row r="20712">
          <cell r="E20712" t="str">
            <v>LUC-E00-470110-00</v>
          </cell>
          <cell r="F20712">
            <v>394349569144</v>
          </cell>
        </row>
        <row r="20713">
          <cell r="E20713" t="str">
            <v>LUC-E00-470121-01</v>
          </cell>
          <cell r="F20713">
            <v>394390458130</v>
          </cell>
        </row>
        <row r="20714">
          <cell r="E20714" t="str">
            <v>LUC-E00-470121-01</v>
          </cell>
          <cell r="F20714">
            <v>394390458130</v>
          </cell>
        </row>
        <row r="20715">
          <cell r="E20715" t="str">
            <v>LUC-EZZ-470421-00</v>
          </cell>
          <cell r="F20715">
            <v>394354603716</v>
          </cell>
        </row>
        <row r="20716">
          <cell r="E20716" t="str">
            <v>LUC-EZZ-470421-00</v>
          </cell>
          <cell r="F20716">
            <v>394354603716</v>
          </cell>
        </row>
        <row r="20717">
          <cell r="E20717" t="str">
            <v>LUC-E00-4700103-00</v>
          </cell>
          <cell r="F20717">
            <v>394390888329</v>
          </cell>
        </row>
        <row r="20718">
          <cell r="E20718" t="str">
            <v>LUC-EZZ-470276-00</v>
          </cell>
          <cell r="F20718">
            <v>470049449320</v>
          </cell>
        </row>
        <row r="20719">
          <cell r="E20719" t="str">
            <v>LUC-EZZ-470276-00</v>
          </cell>
          <cell r="F20719">
            <v>470049449320</v>
          </cell>
        </row>
        <row r="20720">
          <cell r="E20720" t="str">
            <v>LUC-E00-470013-00</v>
          </cell>
          <cell r="F20720">
            <v>470049449320</v>
          </cell>
        </row>
        <row r="20721">
          <cell r="E20721" t="str">
            <v>LUC-E00-460018-00</v>
          </cell>
          <cell r="F20721">
            <v>470049449320</v>
          </cell>
        </row>
        <row r="20722">
          <cell r="E20722" t="str">
            <v>LUC-E00-460018-00</v>
          </cell>
          <cell r="F20722">
            <v>470049449320</v>
          </cell>
        </row>
        <row r="20723">
          <cell r="E20723" t="str">
            <v>LUC-E00-460018-00</v>
          </cell>
          <cell r="F20723">
            <v>470049449320</v>
          </cell>
        </row>
        <row r="20724">
          <cell r="E20724" t="str">
            <v>PUR-09-0422-00</v>
          </cell>
          <cell r="F20724">
            <v>480820806837</v>
          </cell>
        </row>
        <row r="20725">
          <cell r="E20725" t="str">
            <v>PUR-09-0422-00</v>
          </cell>
          <cell r="F20725">
            <v>480820806837</v>
          </cell>
        </row>
        <row r="20726">
          <cell r="E20726" t="str">
            <v>PUR-09-0422-00</v>
          </cell>
          <cell r="F20726">
            <v>480820806837</v>
          </cell>
        </row>
        <row r="20727">
          <cell r="E20727" t="str">
            <v>LUC-E00-470383-00</v>
          </cell>
          <cell r="F20727">
            <v>885218109649</v>
          </cell>
        </row>
        <row r="20728">
          <cell r="E20728" t="str">
            <v>PUR-15-0207-00</v>
          </cell>
          <cell r="F20728">
            <v>885251139423</v>
          </cell>
        </row>
        <row r="20729">
          <cell r="E20729" t="str">
            <v>LUC-E00-690010-03</v>
          </cell>
          <cell r="F20729">
            <v>394223019533</v>
          </cell>
        </row>
        <row r="20730">
          <cell r="E20730" t="str">
            <v>LUC-EZZ-400211-00</v>
          </cell>
          <cell r="F20730">
            <v>119209644628</v>
          </cell>
        </row>
        <row r="20731">
          <cell r="E20731" t="str">
            <v>HLOB-09-0427-00</v>
          </cell>
          <cell r="F20731">
            <v>119209644628</v>
          </cell>
        </row>
        <row r="20732">
          <cell r="E20732" t="str">
            <v>LUC-P11-K41E00-01</v>
          </cell>
          <cell r="F20732">
            <v>119209644628</v>
          </cell>
        </row>
        <row r="20733">
          <cell r="E20733" t="str">
            <v>AIC-109-001571</v>
          </cell>
          <cell r="F20733">
            <v>119209644628</v>
          </cell>
        </row>
        <row r="20734">
          <cell r="E20734" t="str">
            <v>LUC-P11-K41E00-01</v>
          </cell>
          <cell r="F20734">
            <v>119209644628</v>
          </cell>
        </row>
        <row r="20735">
          <cell r="E20735" t="str">
            <v>LUC-P11-K41E00-01</v>
          </cell>
          <cell r="F20735">
            <v>119209644628</v>
          </cell>
        </row>
        <row r="20736">
          <cell r="E20736" t="str">
            <v>HLOB-24-0028-00</v>
          </cell>
          <cell r="F20736">
            <v>119209644628</v>
          </cell>
        </row>
        <row r="20737">
          <cell r="E20737" t="str">
            <v>LUC-EZZ-400244-00</v>
          </cell>
          <cell r="F20737">
            <v>119209644628</v>
          </cell>
        </row>
        <row r="20738">
          <cell r="E20738" t="str">
            <v>LUC-EZZ-450113-00</v>
          </cell>
          <cell r="F20738">
            <v>473879484679</v>
          </cell>
        </row>
        <row r="20739">
          <cell r="E20739" t="str">
            <v>LUC-EZZ-440192-00</v>
          </cell>
          <cell r="F20739">
            <v>473879484679</v>
          </cell>
        </row>
        <row r="20740">
          <cell r="E20740" t="str">
            <v>LUC-EZZ-440192-00</v>
          </cell>
          <cell r="F20740">
            <v>473879484679</v>
          </cell>
        </row>
        <row r="20741">
          <cell r="E20741" t="str">
            <v>LUC-EZZ-420398-00</v>
          </cell>
          <cell r="F20741">
            <v>473879484679</v>
          </cell>
        </row>
        <row r="20742">
          <cell r="E20742" t="str">
            <v>LUC-E00-690010-00</v>
          </cell>
          <cell r="F20742">
            <v>394269124515</v>
          </cell>
        </row>
        <row r="20743">
          <cell r="E20743" t="str">
            <v>LUC-EZZ-440028-00</v>
          </cell>
          <cell r="F20743">
            <v>446064262133</v>
          </cell>
        </row>
        <row r="20744">
          <cell r="E20744" t="str">
            <v>LUC-EZZ-440030-00</v>
          </cell>
          <cell r="F20744">
            <v>446064262133</v>
          </cell>
        </row>
        <row r="20745">
          <cell r="E20745" t="str">
            <v>LUC-E00-400010-045</v>
          </cell>
          <cell r="F20745">
            <v>479730090748</v>
          </cell>
        </row>
        <row r="20746">
          <cell r="E20746" t="str">
            <v>LUC-E00-400010-045</v>
          </cell>
          <cell r="F20746">
            <v>479730090748</v>
          </cell>
        </row>
        <row r="20747">
          <cell r="E20747" t="str">
            <v>LUC-E00-450068-00</v>
          </cell>
          <cell r="F20747">
            <v>479730091284</v>
          </cell>
        </row>
        <row r="20748">
          <cell r="E20748" t="str">
            <v>LUC-EZZ-450234-00</v>
          </cell>
          <cell r="F20748">
            <v>479730099653</v>
          </cell>
        </row>
        <row r="20749">
          <cell r="E20749" t="str">
            <v>LUC-E00-400028-002</v>
          </cell>
          <cell r="F20749">
            <v>479730100915</v>
          </cell>
        </row>
        <row r="20750">
          <cell r="E20750" t="str">
            <v>LUC-E00-400010-021</v>
          </cell>
          <cell r="F20750">
            <v>479730100650</v>
          </cell>
        </row>
        <row r="20751">
          <cell r="E20751" t="str">
            <v>LUC-E00-400010-004</v>
          </cell>
          <cell r="F20751">
            <v>479730100710</v>
          </cell>
        </row>
        <row r="20752">
          <cell r="E20752" t="str">
            <v>LUC-EZZ-400264-00</v>
          </cell>
          <cell r="F20752">
            <v>479730101131</v>
          </cell>
        </row>
        <row r="20753">
          <cell r="E20753" t="str">
            <v>PUR-14-0087-00</v>
          </cell>
          <cell r="F20753">
            <v>479730105273</v>
          </cell>
        </row>
        <row r="20754">
          <cell r="E20754" t="str">
            <v>LUC-E00-400054-01</v>
          </cell>
          <cell r="F20754">
            <v>479730101429</v>
          </cell>
        </row>
        <row r="20755">
          <cell r="E20755" t="str">
            <v>PUR-09-0346-00</v>
          </cell>
          <cell r="F20755">
            <v>479730105262</v>
          </cell>
        </row>
        <row r="20756">
          <cell r="E20756" t="str">
            <v>EF-45129595</v>
          </cell>
          <cell r="F20756">
            <v>479730105354</v>
          </cell>
        </row>
        <row r="20757">
          <cell r="E20757" t="str">
            <v>LUC-EZZ-470181-00</v>
          </cell>
          <cell r="F20757">
            <v>479730107298</v>
          </cell>
        </row>
        <row r="20758">
          <cell r="E20758" t="str">
            <v>LUC-E00-400010-003</v>
          </cell>
          <cell r="F20758">
            <v>479730107633</v>
          </cell>
        </row>
        <row r="20759">
          <cell r="E20759" t="str">
            <v>103-000230.X.X</v>
          </cell>
          <cell r="F20759">
            <v>480304816128</v>
          </cell>
        </row>
        <row r="20760">
          <cell r="E20760" t="str">
            <v>103-000217.X.X</v>
          </cell>
          <cell r="F20760">
            <v>480304816128</v>
          </cell>
        </row>
        <row r="20761">
          <cell r="E20761" t="str">
            <v>PUR-09-0422-00</v>
          </cell>
          <cell r="F20761">
            <v>479730107666</v>
          </cell>
        </row>
        <row r="20762">
          <cell r="E20762" t="str">
            <v>LUC-EZZ-470139-00</v>
          </cell>
          <cell r="F20762">
            <v>479730105480</v>
          </cell>
        </row>
        <row r="20763">
          <cell r="E20763" t="str">
            <v>142-000035.X.X</v>
          </cell>
          <cell r="F20763">
            <v>480820807134</v>
          </cell>
        </row>
        <row r="20764">
          <cell r="E20764" t="str">
            <v>LUC-E00-480007-00</v>
          </cell>
          <cell r="F20764">
            <v>707296240141</v>
          </cell>
        </row>
        <row r="20765">
          <cell r="E20765" t="str">
            <v>HLOB-12-0407-00</v>
          </cell>
          <cell r="F20765">
            <v>484789776148</v>
          </cell>
        </row>
        <row r="20766">
          <cell r="E20766" t="str">
            <v>AIC-MP-CN006281-S01</v>
          </cell>
          <cell r="F20766">
            <v>885255125580</v>
          </cell>
        </row>
        <row r="20767">
          <cell r="E20767" t="str">
            <v>EF-45047403.X.X</v>
          </cell>
          <cell r="F20767">
            <v>885253351250</v>
          </cell>
        </row>
        <row r="20768">
          <cell r="E20768" t="str">
            <v>HLOB-13-0227-00</v>
          </cell>
          <cell r="F20768">
            <v>885253351250</v>
          </cell>
        </row>
        <row r="20769">
          <cell r="E20769" t="str">
            <v>AIC-MP-00000070-000</v>
          </cell>
          <cell r="F20769">
            <v>885253351250</v>
          </cell>
        </row>
        <row r="20770">
          <cell r="E20770" t="str">
            <v>PUR-12-0343-00</v>
          </cell>
          <cell r="F20770">
            <v>885253351250</v>
          </cell>
        </row>
        <row r="20771">
          <cell r="E20771" t="str">
            <v>PUR-13-0159-00</v>
          </cell>
          <cell r="F20771">
            <v>885253351250</v>
          </cell>
        </row>
        <row r="20772">
          <cell r="E20772" t="str">
            <v>PUR-12-0337-00</v>
          </cell>
          <cell r="F20772">
            <v>885253351250</v>
          </cell>
        </row>
        <row r="20773">
          <cell r="E20773" t="str">
            <v>PUR-12-0343-00</v>
          </cell>
          <cell r="F20773">
            <v>885253351250</v>
          </cell>
        </row>
        <row r="20774">
          <cell r="E20774" t="str">
            <v>LUC-E00-450009-00</v>
          </cell>
          <cell r="F20774">
            <v>885253351250</v>
          </cell>
        </row>
        <row r="20775">
          <cell r="E20775" t="str">
            <v>PUR-13-0159-00</v>
          </cell>
          <cell r="F20775">
            <v>885253351250</v>
          </cell>
        </row>
        <row r="20776">
          <cell r="E20776" t="str">
            <v>PUR-13-0159-00</v>
          </cell>
          <cell r="F20776">
            <v>885253351250</v>
          </cell>
        </row>
        <row r="20777">
          <cell r="E20777" t="str">
            <v>LUC-EZZ-400196-00</v>
          </cell>
          <cell r="F20777">
            <v>885253351250</v>
          </cell>
        </row>
        <row r="20778">
          <cell r="E20778" t="str">
            <v>EF-45044048.X.X</v>
          </cell>
          <cell r="F20778">
            <v>885253351250</v>
          </cell>
        </row>
        <row r="20779">
          <cell r="E20779" t="str">
            <v>LUC-EZZ-510102-00</v>
          </cell>
          <cell r="F20779">
            <v>885253351250</v>
          </cell>
        </row>
        <row r="20780">
          <cell r="E20780" t="str">
            <v>121-000206.X.X</v>
          </cell>
          <cell r="F20780">
            <v>885253351250</v>
          </cell>
        </row>
        <row r="20781">
          <cell r="E20781" t="str">
            <v>122-001191</v>
          </cell>
          <cell r="F20781">
            <v>885253351250</v>
          </cell>
        </row>
        <row r="20782">
          <cell r="E20782" t="str">
            <v>122-001191</v>
          </cell>
          <cell r="F20782">
            <v>885253351250</v>
          </cell>
        </row>
        <row r="20783">
          <cell r="E20783" t="str">
            <v>LUC-P11-KA4000-00</v>
          </cell>
          <cell r="F20783">
            <v>885218036021</v>
          </cell>
        </row>
        <row r="20784">
          <cell r="E20784" t="str">
            <v>LUC-E00-690032-00</v>
          </cell>
          <cell r="F20784">
            <v>394254674510</v>
          </cell>
        </row>
        <row r="20785">
          <cell r="E20785" t="str">
            <v>LUC-EZZ-470423-00</v>
          </cell>
          <cell r="F20785">
            <v>477592537692</v>
          </cell>
        </row>
        <row r="20786">
          <cell r="E20786" t="str">
            <v>EF-45155479</v>
          </cell>
          <cell r="F20786">
            <v>885218625568</v>
          </cell>
        </row>
        <row r="20787">
          <cell r="E20787" t="str">
            <v>LUC-E00-470069-00</v>
          </cell>
          <cell r="F20787">
            <v>394220109915</v>
          </cell>
        </row>
        <row r="20788">
          <cell r="E20788" t="str">
            <v>AIC-MP-00006293-000</v>
          </cell>
          <cell r="F20788">
            <v>885183006535</v>
          </cell>
        </row>
        <row r="20789">
          <cell r="E20789" t="str">
            <v>AIC-MP-IC006101-S01</v>
          </cell>
          <cell r="F20789">
            <v>885183006535</v>
          </cell>
        </row>
        <row r="20790">
          <cell r="E20790" t="str">
            <v>AIC-MP-00006293-000</v>
          </cell>
          <cell r="F20790">
            <v>885183006535</v>
          </cell>
        </row>
        <row r="20791">
          <cell r="E20791" t="str">
            <v>LUC-P21-K33900-00</v>
          </cell>
          <cell r="F20791">
            <v>885184575877</v>
          </cell>
        </row>
        <row r="20792">
          <cell r="E20792" t="str">
            <v>EF-45141572</v>
          </cell>
          <cell r="F20792">
            <v>885216806587</v>
          </cell>
        </row>
        <row r="20793">
          <cell r="E20793" t="str">
            <v>AIC-MP-00004186-000</v>
          </cell>
          <cell r="F20793">
            <v>885251802675</v>
          </cell>
        </row>
        <row r="20794">
          <cell r="E20794" t="str">
            <v>HLOB-03-0038-00</v>
          </cell>
          <cell r="F20794">
            <v>485323734121</v>
          </cell>
        </row>
        <row r="20795">
          <cell r="E20795" t="str">
            <v>HLOB-03-0038-00</v>
          </cell>
          <cell r="F20795">
            <v>485323734121</v>
          </cell>
        </row>
        <row r="20796">
          <cell r="E20796" t="str">
            <v>LUC-P00-F189AG-00</v>
          </cell>
          <cell r="F20796">
            <v>885252655393</v>
          </cell>
        </row>
        <row r="20797">
          <cell r="E20797" t="str">
            <v>LUC-P00-F189AG-00</v>
          </cell>
          <cell r="F20797">
            <v>885252655393</v>
          </cell>
        </row>
        <row r="20798">
          <cell r="E20798" t="str">
            <v>LUC-P00-F143AG-00</v>
          </cell>
          <cell r="F20798">
            <v>885252655393</v>
          </cell>
        </row>
        <row r="20799">
          <cell r="E20799" t="str">
            <v>LUC-P00-F143AG-00</v>
          </cell>
          <cell r="F20799">
            <v>885252655393</v>
          </cell>
        </row>
        <row r="20800">
          <cell r="E20800" t="str">
            <v>PUR-03-0082-02</v>
          </cell>
          <cell r="F20800">
            <v>485567173080</v>
          </cell>
        </row>
        <row r="20801">
          <cell r="E20801" t="str">
            <v>LUC-EZZ-400542-00</v>
          </cell>
          <cell r="F20801">
            <v>412069770952</v>
          </cell>
        </row>
        <row r="20802">
          <cell r="E20802" t="str">
            <v>LUC-EZZ-420090-00</v>
          </cell>
          <cell r="F20802">
            <v>412069770952</v>
          </cell>
        </row>
        <row r="20803">
          <cell r="E20803" t="str">
            <v>LUC-EZZ-420046-00</v>
          </cell>
          <cell r="F20803">
            <v>484789752861</v>
          </cell>
        </row>
        <row r="20804">
          <cell r="E20804" t="str">
            <v>LUC-EZZ-400466-00</v>
          </cell>
          <cell r="F20804">
            <v>484789776777</v>
          </cell>
        </row>
        <row r="20805">
          <cell r="E20805" t="str">
            <v>LUC-EZZ-420174-00</v>
          </cell>
          <cell r="F20805">
            <v>484789776777</v>
          </cell>
        </row>
        <row r="20806">
          <cell r="E20806" t="str">
            <v>LUC-EZZ-470423-00</v>
          </cell>
          <cell r="F20806">
            <v>477592537707</v>
          </cell>
        </row>
        <row r="20807">
          <cell r="E20807" t="str">
            <v>EF-45232795</v>
          </cell>
          <cell r="F20807">
            <v>481855452480</v>
          </cell>
        </row>
        <row r="20808">
          <cell r="E20808" t="str">
            <v>LUC-E00-420275-00</v>
          </cell>
          <cell r="F20808">
            <v>484353016910</v>
          </cell>
        </row>
        <row r="20809">
          <cell r="E20809" t="str">
            <v>AIC-MP-ID004086-S01</v>
          </cell>
          <cell r="F20809">
            <v>484353016910</v>
          </cell>
        </row>
        <row r="20810">
          <cell r="E20810" t="str">
            <v>LUC-E00-400067-207</v>
          </cell>
          <cell r="F20810">
            <v>484353016910</v>
          </cell>
        </row>
        <row r="20811">
          <cell r="E20811" t="str">
            <v>LUC-EZZ-450037-00</v>
          </cell>
          <cell r="F20811">
            <v>484353016910</v>
          </cell>
        </row>
        <row r="20812">
          <cell r="E20812" t="str">
            <v>LUC-E00-510046-00</v>
          </cell>
          <cell r="F20812">
            <v>484353016910</v>
          </cell>
        </row>
        <row r="20813">
          <cell r="E20813" t="str">
            <v>AIC-MP-00006746-000</v>
          </cell>
          <cell r="F20813">
            <v>484353016910</v>
          </cell>
        </row>
        <row r="20814">
          <cell r="E20814" t="str">
            <v>LUC-EZZ-450047-00</v>
          </cell>
          <cell r="F20814">
            <v>484353016910</v>
          </cell>
        </row>
        <row r="20815">
          <cell r="E20815" t="str">
            <v>PUR-03-0082-02</v>
          </cell>
          <cell r="F20815">
            <v>485567173090</v>
          </cell>
        </row>
        <row r="20816">
          <cell r="E20816" t="str">
            <v>PUR-03-0082-02</v>
          </cell>
          <cell r="F20816">
            <v>485567173090</v>
          </cell>
        </row>
        <row r="20817">
          <cell r="E20817" t="str">
            <v>LUC-EZZ-470211-00</v>
          </cell>
          <cell r="F20817">
            <v>394422953418</v>
          </cell>
        </row>
        <row r="20818">
          <cell r="E20818" t="str">
            <v>LUC-E00-470272-01</v>
          </cell>
          <cell r="F20818">
            <v>486135039909</v>
          </cell>
        </row>
        <row r="20819">
          <cell r="E20819" t="str">
            <v>LUC-E00-470039-00</v>
          </cell>
          <cell r="F20819">
            <v>486135039909</v>
          </cell>
        </row>
        <row r="20820">
          <cell r="E20820" t="str">
            <v>LUC-E00-470042-00</v>
          </cell>
          <cell r="F20820">
            <v>486135039909</v>
          </cell>
        </row>
        <row r="20821">
          <cell r="E20821" t="str">
            <v>LUC-E00-470042-00</v>
          </cell>
          <cell r="F20821">
            <v>486135039909</v>
          </cell>
        </row>
        <row r="20822">
          <cell r="E20822" t="str">
            <v>LUC-E00-470042-00</v>
          </cell>
          <cell r="F20822">
            <v>486135039909</v>
          </cell>
        </row>
        <row r="20823">
          <cell r="E20823" t="str">
            <v>LUC-EZZ-470855-00</v>
          </cell>
          <cell r="F20823">
            <v>486135039909</v>
          </cell>
        </row>
        <row r="20824">
          <cell r="E20824" t="str">
            <v>LUC-EZZ-470350-00</v>
          </cell>
          <cell r="F20824">
            <v>486135039909</v>
          </cell>
        </row>
        <row r="20825">
          <cell r="E20825" t="str">
            <v>HLOB-24-0031-00</v>
          </cell>
          <cell r="F20825">
            <v>885282008074</v>
          </cell>
        </row>
        <row r="20826">
          <cell r="E20826" t="str">
            <v>PUR-24-0031-00</v>
          </cell>
          <cell r="F20826">
            <v>885282008074</v>
          </cell>
        </row>
        <row r="20827">
          <cell r="E20827" t="str">
            <v>PUR-13-0141-00</v>
          </cell>
          <cell r="F20827">
            <v>885282008074</v>
          </cell>
        </row>
        <row r="20828">
          <cell r="E20828" t="str">
            <v>PUR-13-0141-00</v>
          </cell>
          <cell r="F20828">
            <v>885282008074</v>
          </cell>
        </row>
        <row r="20829">
          <cell r="E20829" t="str">
            <v>PUR-13-0235-00</v>
          </cell>
          <cell r="F20829">
            <v>885282008074</v>
          </cell>
        </row>
        <row r="20830">
          <cell r="E20830" t="str">
            <v>AIC-MP-00000750-000</v>
          </cell>
          <cell r="F20830">
            <v>885282008074</v>
          </cell>
        </row>
        <row r="20831">
          <cell r="E20831" t="str">
            <v>AIC-MP-00000279-000</v>
          </cell>
          <cell r="F20831">
            <v>885282008074</v>
          </cell>
        </row>
        <row r="20832">
          <cell r="E20832" t="str">
            <v>AIC-122-004332</v>
          </cell>
          <cell r="F20832">
            <v>885282008074</v>
          </cell>
        </row>
        <row r="20833">
          <cell r="E20833" t="str">
            <v>AIC-MP-00000101-000</v>
          </cell>
          <cell r="F20833">
            <v>885282008074</v>
          </cell>
        </row>
        <row r="20834">
          <cell r="E20834" t="str">
            <v>AIC-MP-00000783-000</v>
          </cell>
          <cell r="F20834">
            <v>885282008074</v>
          </cell>
        </row>
        <row r="20835">
          <cell r="E20835" t="str">
            <v>AIC-MP-00000140-000</v>
          </cell>
          <cell r="F20835">
            <v>885282008074</v>
          </cell>
        </row>
        <row r="20836">
          <cell r="E20836" t="str">
            <v>AIC-MP-00001213-000</v>
          </cell>
          <cell r="F20836">
            <v>885282008074</v>
          </cell>
        </row>
        <row r="20837">
          <cell r="E20837" t="str">
            <v>EF-45043819.X.X</v>
          </cell>
          <cell r="F20837">
            <v>885282008074</v>
          </cell>
        </row>
        <row r="20838">
          <cell r="E20838" t="str">
            <v>PUR-13-0235-00</v>
          </cell>
          <cell r="F20838">
            <v>885282008074</v>
          </cell>
        </row>
        <row r="20839">
          <cell r="E20839" t="str">
            <v>AIC-MP-00005447-000</v>
          </cell>
          <cell r="F20839">
            <v>885282008074</v>
          </cell>
        </row>
        <row r="20840">
          <cell r="E20840" t="str">
            <v>AIC-121-005908</v>
          </cell>
          <cell r="F20840">
            <v>885282008074</v>
          </cell>
        </row>
        <row r="20841">
          <cell r="E20841" t="str">
            <v>AIC-121-005913</v>
          </cell>
          <cell r="F20841">
            <v>885282008074</v>
          </cell>
        </row>
        <row r="20842">
          <cell r="E20842" t="str">
            <v>AIC-121-005900</v>
          </cell>
          <cell r="F20842">
            <v>885282008074</v>
          </cell>
        </row>
        <row r="20843">
          <cell r="E20843" t="str">
            <v>AIC-121-005910</v>
          </cell>
          <cell r="F20843">
            <v>885282008074</v>
          </cell>
        </row>
        <row r="20844">
          <cell r="E20844" t="str">
            <v>AIC-122-004340</v>
          </cell>
          <cell r="F20844">
            <v>885282008074</v>
          </cell>
        </row>
        <row r="20845">
          <cell r="E20845" t="str">
            <v>AIC-121-005916</v>
          </cell>
          <cell r="F20845">
            <v>885282008074</v>
          </cell>
        </row>
        <row r="20846">
          <cell r="E20846" t="str">
            <v>AIC-121-005904</v>
          </cell>
          <cell r="F20846">
            <v>885282008074</v>
          </cell>
        </row>
        <row r="20847">
          <cell r="E20847" t="str">
            <v>AIC-121-005918</v>
          </cell>
          <cell r="F20847">
            <v>885282008074</v>
          </cell>
        </row>
        <row r="20848">
          <cell r="E20848" t="str">
            <v>AIC-121-005901</v>
          </cell>
          <cell r="F20848">
            <v>885282008074</v>
          </cell>
        </row>
        <row r="20849">
          <cell r="E20849" t="str">
            <v>AIC-121-005907</v>
          </cell>
          <cell r="F20849">
            <v>885282008074</v>
          </cell>
        </row>
        <row r="20850">
          <cell r="E20850" t="str">
            <v>AIC-MP-00003230-000</v>
          </cell>
          <cell r="F20850">
            <v>885282008074</v>
          </cell>
        </row>
        <row r="20851">
          <cell r="E20851" t="str">
            <v>PURET-12-0017-00</v>
          </cell>
          <cell r="F20851">
            <v>885282008074</v>
          </cell>
        </row>
        <row r="20852">
          <cell r="E20852" t="str">
            <v>EF-45083316.X.X</v>
          </cell>
          <cell r="F20852">
            <v>885282008074</v>
          </cell>
        </row>
        <row r="20853">
          <cell r="E20853" t="str">
            <v>EF-45037930.X.X</v>
          </cell>
          <cell r="F20853">
            <v>885282008074</v>
          </cell>
        </row>
        <row r="20854">
          <cell r="E20854" t="str">
            <v>PURET-12-0056-00</v>
          </cell>
          <cell r="F20854">
            <v>885282008074</v>
          </cell>
        </row>
        <row r="20855">
          <cell r="E20855" t="str">
            <v>PUR-24-0031-00</v>
          </cell>
          <cell r="F20855">
            <v>885282008074</v>
          </cell>
        </row>
        <row r="20856">
          <cell r="E20856" t="str">
            <v>PURET-12-0017-00</v>
          </cell>
          <cell r="F20856">
            <v>885282008074</v>
          </cell>
        </row>
        <row r="20857">
          <cell r="E20857" t="str">
            <v>PUR-13-0245-00</v>
          </cell>
          <cell r="F20857">
            <v>885282008074</v>
          </cell>
        </row>
        <row r="20858">
          <cell r="E20858" t="str">
            <v>EF-45047403.X.X</v>
          </cell>
          <cell r="F20858">
            <v>885282008074</v>
          </cell>
        </row>
        <row r="20859">
          <cell r="E20859" t="str">
            <v>LUC-EZZ-400433-00</v>
          </cell>
          <cell r="F20859">
            <v>479730095198</v>
          </cell>
        </row>
        <row r="20860">
          <cell r="E20860" t="str">
            <v>LUC-EZZ-400434-00</v>
          </cell>
          <cell r="F20860">
            <v>479730095198</v>
          </cell>
        </row>
        <row r="20861">
          <cell r="E20861" t="str">
            <v>LUC-E00-400010-000</v>
          </cell>
          <cell r="F20861">
            <v>479730102995</v>
          </cell>
        </row>
        <row r="20862">
          <cell r="E20862" t="str">
            <v>LUC-E00-400010-000</v>
          </cell>
          <cell r="F20862">
            <v>479730102995</v>
          </cell>
        </row>
        <row r="20863">
          <cell r="E20863" t="str">
            <v>PUR-09-0424-00</v>
          </cell>
          <cell r="F20863">
            <v>479730105192</v>
          </cell>
        </row>
        <row r="20864">
          <cell r="E20864" t="str">
            <v>HLOB-09-0329-00</v>
          </cell>
          <cell r="F20864">
            <v>479730105207</v>
          </cell>
        </row>
        <row r="20865">
          <cell r="E20865" t="str">
            <v>LUC-EZZ-470247-00</v>
          </cell>
          <cell r="F20865">
            <v>479730105387</v>
          </cell>
        </row>
        <row r="20866">
          <cell r="E20866" t="str">
            <v>LUC-E00-470038-00</v>
          </cell>
          <cell r="F20866">
            <v>479730106100</v>
          </cell>
        </row>
        <row r="20867">
          <cell r="E20867" t="str">
            <v>LUC-E00-400010-000</v>
          </cell>
          <cell r="F20867">
            <v>479730106063</v>
          </cell>
        </row>
        <row r="20868">
          <cell r="E20868" t="str">
            <v>LUC-E00-400010-000</v>
          </cell>
          <cell r="F20868">
            <v>479730106063</v>
          </cell>
        </row>
        <row r="20869">
          <cell r="E20869" t="str">
            <v>LUC-EZZ-470422-00</v>
          </cell>
          <cell r="F20869">
            <v>479730106225</v>
          </cell>
        </row>
        <row r="20870">
          <cell r="E20870" t="str">
            <v>LUC-E00-450199-00</v>
          </cell>
          <cell r="F20870">
            <v>479730108000</v>
          </cell>
        </row>
        <row r="20871">
          <cell r="E20871" t="str">
            <v>LUC-E00-470038-00</v>
          </cell>
          <cell r="F20871">
            <v>479730107883</v>
          </cell>
        </row>
        <row r="20872">
          <cell r="E20872" t="str">
            <v>LUC-EZZ-470181-00</v>
          </cell>
          <cell r="F20872">
            <v>479730109029</v>
          </cell>
        </row>
        <row r="20873">
          <cell r="E20873" t="str">
            <v>LUC-E00-470353-00</v>
          </cell>
          <cell r="F20873">
            <v>479730109095</v>
          </cell>
        </row>
        <row r="20874">
          <cell r="E20874" t="str">
            <v>LUC-EZZ-470359-00</v>
          </cell>
          <cell r="F20874">
            <v>479730109360</v>
          </cell>
        </row>
        <row r="20875">
          <cell r="E20875" t="str">
            <v>LUC-EZZ-470181-00</v>
          </cell>
          <cell r="F20875">
            <v>479730109040</v>
          </cell>
        </row>
        <row r="20876">
          <cell r="E20876" t="str">
            <v>PURET-21-0009-00</v>
          </cell>
          <cell r="F20876">
            <v>479730109658</v>
          </cell>
        </row>
        <row r="20877">
          <cell r="E20877" t="str">
            <v>LUC-EZZ-470181-00</v>
          </cell>
          <cell r="F20877">
            <v>479730109408</v>
          </cell>
        </row>
        <row r="20878">
          <cell r="E20878" t="str">
            <v>LUC-E00-470183-00</v>
          </cell>
          <cell r="F20878">
            <v>480820819517</v>
          </cell>
        </row>
        <row r="20879">
          <cell r="E20879" t="str">
            <v>LUC-EZZ-470961-00</v>
          </cell>
          <cell r="F20879">
            <v>643036778235</v>
          </cell>
        </row>
        <row r="20880">
          <cell r="E20880" t="str">
            <v>LUC-EZZ-510061-00</v>
          </cell>
          <cell r="F20880">
            <v>643036778235</v>
          </cell>
        </row>
        <row r="20881">
          <cell r="E20881" t="str">
            <v>LUC-EZZ-420330-00</v>
          </cell>
          <cell r="F20881">
            <v>679486525048</v>
          </cell>
        </row>
        <row r="20882">
          <cell r="E20882" t="str">
            <v>LUC-E00-420071-00</v>
          </cell>
          <cell r="F20882">
            <v>479730102859</v>
          </cell>
        </row>
        <row r="20883">
          <cell r="E20883" t="str">
            <v>LUC-EZZ-420345-00</v>
          </cell>
          <cell r="F20883">
            <v>484789801360</v>
          </cell>
        </row>
        <row r="20884">
          <cell r="E20884" t="str">
            <v>LUC-EZZ-400608-00</v>
          </cell>
          <cell r="F20884">
            <v>394383573532</v>
          </cell>
        </row>
        <row r="20885">
          <cell r="E20885" t="str">
            <v>LUC-E00-470024-00</v>
          </cell>
          <cell r="F20885">
            <v>885376030268</v>
          </cell>
        </row>
        <row r="20886">
          <cell r="E20886" t="str">
            <v>LUC-P21-K34500-02</v>
          </cell>
          <cell r="F20886" t="str">
            <v>BSJSH0087859</v>
          </cell>
        </row>
        <row r="20887">
          <cell r="E20887" t="str">
            <v>LUC-P21-K33200-02</v>
          </cell>
          <cell r="F20887" t="str">
            <v>BSJSH0087859</v>
          </cell>
        </row>
        <row r="20888">
          <cell r="E20888" t="str">
            <v>LUC-P21-K61200-02</v>
          </cell>
          <cell r="F20888" t="str">
            <v>BSJSH0087859</v>
          </cell>
        </row>
        <row r="20889">
          <cell r="E20889" t="str">
            <v>LUC-P21-K34200-00</v>
          </cell>
          <cell r="F20889" t="str">
            <v>BSJSH0087859</v>
          </cell>
        </row>
        <row r="20890">
          <cell r="E20890" t="str">
            <v>LUC-P21-K34600-02</v>
          </cell>
          <cell r="F20890" t="str">
            <v>BSJSH0087859</v>
          </cell>
        </row>
        <row r="20891">
          <cell r="E20891" t="str">
            <v>AGI-600-40049-01</v>
          </cell>
          <cell r="F20891">
            <v>885380475142</v>
          </cell>
        </row>
        <row r="20892">
          <cell r="E20892" t="str">
            <v>LUC-EZZ-691595-00</v>
          </cell>
          <cell r="F20892">
            <v>4110330021</v>
          </cell>
        </row>
        <row r="20893">
          <cell r="E20893" t="str">
            <v>LUC-EZZ-691595-00</v>
          </cell>
          <cell r="F20893">
            <v>4110330021</v>
          </cell>
        </row>
        <row r="20894">
          <cell r="E20894" t="str">
            <v>LUC-EZZ-690131-00</v>
          </cell>
          <cell r="F20894">
            <v>4110330023</v>
          </cell>
        </row>
        <row r="20895">
          <cell r="E20895" t="str">
            <v>LUC-EZZ-691595-00</v>
          </cell>
          <cell r="F20895">
            <v>4110330024</v>
          </cell>
        </row>
        <row r="20896">
          <cell r="E20896" t="str">
            <v>LUC-EZZ-691595-00</v>
          </cell>
          <cell r="F20896">
            <v>4110330024</v>
          </cell>
        </row>
        <row r="20897">
          <cell r="E20897" t="str">
            <v>LUC-EZZ-691595-00</v>
          </cell>
          <cell r="F20897">
            <v>4110330024</v>
          </cell>
        </row>
        <row r="20898">
          <cell r="E20898" t="str">
            <v>LUC-E00-470021-00</v>
          </cell>
          <cell r="F20898">
            <v>479730109441</v>
          </cell>
        </row>
        <row r="20899">
          <cell r="E20899" t="str">
            <v>LUC-E00-690010-00</v>
          </cell>
          <cell r="F20899">
            <v>394311055059</v>
          </cell>
        </row>
        <row r="20900">
          <cell r="E20900" t="str">
            <v>HLOB-09-0424-00</v>
          </cell>
          <cell r="F20900">
            <v>479730109864</v>
          </cell>
        </row>
        <row r="20901">
          <cell r="E20901" t="str">
            <v>LUC-EZZ-470181-00</v>
          </cell>
          <cell r="F20901">
            <v>479730108993</v>
          </cell>
        </row>
        <row r="20902">
          <cell r="E20902" t="str">
            <v>HLOB-21-0009-00</v>
          </cell>
          <cell r="F20902">
            <v>479730110879</v>
          </cell>
        </row>
        <row r="20903">
          <cell r="E20903" t="str">
            <v>LUC-EZZ-470069-00</v>
          </cell>
          <cell r="F20903">
            <v>479730109599</v>
          </cell>
        </row>
        <row r="20904">
          <cell r="E20904" t="str">
            <v>LUC-E00-400010-014</v>
          </cell>
          <cell r="F20904">
            <v>484789837305</v>
          </cell>
        </row>
        <row r="20905">
          <cell r="E20905" t="str">
            <v>AIC-126-002388</v>
          </cell>
          <cell r="F20905">
            <v>476615844576</v>
          </cell>
        </row>
        <row r="20906">
          <cell r="E20906" t="str">
            <v>AIC-126-002334</v>
          </cell>
          <cell r="F20906">
            <v>476615844576</v>
          </cell>
        </row>
        <row r="20907">
          <cell r="E20907" t="str">
            <v>AIC-MP-00006260-000</v>
          </cell>
          <cell r="F20907">
            <v>476615844576</v>
          </cell>
        </row>
        <row r="20908">
          <cell r="E20908" t="str">
            <v>LUC-EZZ-510053-00</v>
          </cell>
          <cell r="F20908">
            <v>885378256163</v>
          </cell>
        </row>
        <row r="20909">
          <cell r="E20909" t="str">
            <v>LUC-E00-450029-00</v>
          </cell>
          <cell r="F20909">
            <v>885378256163</v>
          </cell>
        </row>
        <row r="20910">
          <cell r="E20910" t="str">
            <v>LUC-EZZ-510007-00</v>
          </cell>
          <cell r="F20910">
            <v>885378256163</v>
          </cell>
        </row>
        <row r="20911">
          <cell r="E20911" t="str">
            <v>LUC-EZZ-420399-00</v>
          </cell>
          <cell r="F20911">
            <v>885378256163</v>
          </cell>
        </row>
        <row r="20912">
          <cell r="E20912" t="str">
            <v>PUR-05-0031-00</v>
          </cell>
          <cell r="F20912">
            <v>1811077030</v>
          </cell>
        </row>
        <row r="20913">
          <cell r="E20913" t="str">
            <v>HLOB-05-0031-00</v>
          </cell>
          <cell r="F20913">
            <v>1811077030</v>
          </cell>
        </row>
        <row r="20914">
          <cell r="E20914" t="str">
            <v>HLOB-03-0113-00</v>
          </cell>
          <cell r="F20914" t="str">
            <v>8XN0138</v>
          </cell>
        </row>
        <row r="20915">
          <cell r="E20915" t="str">
            <v>HLOB-03-0113-00</v>
          </cell>
          <cell r="F20915" t="str">
            <v>8XN0139</v>
          </cell>
        </row>
        <row r="20916">
          <cell r="E20916" t="str">
            <v>LUC-E00-690106-01</v>
          </cell>
          <cell r="F20916" t="str">
            <v>LSHHPH2509630</v>
          </cell>
        </row>
        <row r="20917">
          <cell r="E20917" t="str">
            <v>LUC-E00-690106-01</v>
          </cell>
          <cell r="F20917" t="str">
            <v>LSHHPH2509630</v>
          </cell>
        </row>
        <row r="20918">
          <cell r="E20918" t="str">
            <v>LUC-E00-690106-01</v>
          </cell>
          <cell r="F20918" t="str">
            <v>LSHHPH2509630</v>
          </cell>
        </row>
        <row r="20919">
          <cell r="E20919" t="str">
            <v>LUC-E00-690106-01</v>
          </cell>
          <cell r="F20919" t="str">
            <v>LSHHPH2509630</v>
          </cell>
        </row>
        <row r="20920">
          <cell r="E20920" t="str">
            <v>LUC-E00-690033-00</v>
          </cell>
          <cell r="F20920" t="str">
            <v>LSHHPH2509630</v>
          </cell>
        </row>
        <row r="20921">
          <cell r="E20921" t="str">
            <v>LUC-E00-690033-01</v>
          </cell>
          <cell r="F20921" t="str">
            <v>LSHHPH2509630</v>
          </cell>
        </row>
        <row r="20922">
          <cell r="E20922" t="str">
            <v>LUC-E00-690033-02</v>
          </cell>
          <cell r="F20922" t="str">
            <v>LSHHPH2509630</v>
          </cell>
        </row>
        <row r="20923">
          <cell r="E20923" t="str">
            <v>LUC-E00-690033-02</v>
          </cell>
          <cell r="F20923" t="str">
            <v>LSHHPH2509630</v>
          </cell>
        </row>
        <row r="20924">
          <cell r="E20924" t="str">
            <v>LUC-E00-690033-03</v>
          </cell>
          <cell r="F20924" t="str">
            <v>LSHHPH2509630</v>
          </cell>
        </row>
        <row r="20925">
          <cell r="E20925" t="str">
            <v>LUC-E00-690033-03</v>
          </cell>
          <cell r="F20925" t="str">
            <v>LSHHPH2509630</v>
          </cell>
        </row>
        <row r="20926">
          <cell r="E20926" t="str">
            <v>LUC-E00-690106-01</v>
          </cell>
          <cell r="F20926" t="str">
            <v>LSHHPH2509630</v>
          </cell>
        </row>
        <row r="20927">
          <cell r="E20927" t="str">
            <v>LUC-E00-690106-00</v>
          </cell>
          <cell r="F20927" t="str">
            <v>LSHHPH2509630</v>
          </cell>
        </row>
        <row r="20928">
          <cell r="E20928" t="str">
            <v>LUC-P11-K82200-01</v>
          </cell>
          <cell r="F20928" t="str">
            <v>XH25100814</v>
          </cell>
        </row>
        <row r="20929">
          <cell r="E20929" t="str">
            <v>LUC-P11-K82200-01</v>
          </cell>
          <cell r="F20929" t="str">
            <v>XH25100814</v>
          </cell>
        </row>
        <row r="20930">
          <cell r="E20930" t="str">
            <v>LUC-P11-K82200-01</v>
          </cell>
          <cell r="F20930" t="str">
            <v>XH25100814</v>
          </cell>
        </row>
        <row r="20931">
          <cell r="E20931" t="str">
            <v>LUC-P11-K82200-01</v>
          </cell>
          <cell r="F20931" t="str">
            <v>XH25100814</v>
          </cell>
        </row>
        <row r="20932">
          <cell r="E20932" t="str">
            <v>LUC-P11-K82300-00</v>
          </cell>
          <cell r="F20932" t="str">
            <v>XH25100814</v>
          </cell>
        </row>
        <row r="20933">
          <cell r="E20933" t="str">
            <v>LUC-P11-K82300-00</v>
          </cell>
          <cell r="F20933" t="str">
            <v>XH25100814</v>
          </cell>
        </row>
        <row r="20934">
          <cell r="E20934" t="str">
            <v>LUC-P11-K82300-00</v>
          </cell>
          <cell r="F20934" t="str">
            <v>XH25100814</v>
          </cell>
        </row>
        <row r="20935">
          <cell r="E20935" t="str">
            <v>LUC-P11-K82300-00</v>
          </cell>
          <cell r="F20935" t="str">
            <v>XH25100814</v>
          </cell>
        </row>
        <row r="20936">
          <cell r="E20936" t="str">
            <v>LUC-EZZ-450112-00</v>
          </cell>
          <cell r="F20936">
            <v>394445679693</v>
          </cell>
        </row>
        <row r="20937">
          <cell r="E20937" t="str">
            <v>LUC-EZZ-450112-00</v>
          </cell>
          <cell r="F20937">
            <v>394445679693</v>
          </cell>
        </row>
        <row r="20938">
          <cell r="E20938" t="str">
            <v>PUR-07-0328-00</v>
          </cell>
          <cell r="F20938">
            <v>4914980777</v>
          </cell>
        </row>
        <row r="20939">
          <cell r="E20939" t="str">
            <v>HLOB-07-0167-00</v>
          </cell>
          <cell r="F20939">
            <v>4914980777</v>
          </cell>
        </row>
        <row r="20940">
          <cell r="E20940" t="str">
            <v>PUR-07-0167-00</v>
          </cell>
          <cell r="F20940">
            <v>4914980777</v>
          </cell>
        </row>
        <row r="20941">
          <cell r="E20941" t="str">
            <v>PUR-07-0315-00</v>
          </cell>
          <cell r="F20941">
            <v>4914980777</v>
          </cell>
        </row>
        <row r="20942">
          <cell r="E20942" t="str">
            <v>HLOB-13-0236-00</v>
          </cell>
          <cell r="F20942">
            <v>4914988247</v>
          </cell>
        </row>
        <row r="20943">
          <cell r="E20943" t="str">
            <v>PUR-13-0236-00</v>
          </cell>
          <cell r="F20943">
            <v>4914988247</v>
          </cell>
        </row>
        <row r="20944">
          <cell r="E20944" t="str">
            <v>LUC-EZZ-421242-00</v>
          </cell>
          <cell r="F20944">
            <v>885343493695</v>
          </cell>
        </row>
        <row r="20945">
          <cell r="E20945" t="str">
            <v>LUC-EZZ-421242-00</v>
          </cell>
          <cell r="F20945">
            <v>885343493695</v>
          </cell>
        </row>
        <row r="20946">
          <cell r="E20946" t="str">
            <v>LUC-EZZ-421242-00</v>
          </cell>
          <cell r="F20946">
            <v>885343493695</v>
          </cell>
        </row>
        <row r="20947">
          <cell r="E20947" t="str">
            <v>LUC-E00-420038-01</v>
          </cell>
          <cell r="F20947">
            <v>885343493695</v>
          </cell>
        </row>
        <row r="20948">
          <cell r="E20948" t="str">
            <v>LUC-EZZ-421242-00</v>
          </cell>
          <cell r="F20948">
            <v>885343493695</v>
          </cell>
        </row>
        <row r="20949">
          <cell r="E20949" t="str">
            <v>LUC-E00-400012-001</v>
          </cell>
          <cell r="F20949">
            <v>885343493695</v>
          </cell>
        </row>
        <row r="20950">
          <cell r="E20950" t="str">
            <v>LUC-E00-400012-18</v>
          </cell>
          <cell r="F20950">
            <v>885343493695</v>
          </cell>
        </row>
        <row r="20951">
          <cell r="E20951" t="str">
            <v>LUC-E00-400012-18</v>
          </cell>
          <cell r="F20951">
            <v>885343493695</v>
          </cell>
        </row>
        <row r="20952">
          <cell r="E20952" t="str">
            <v>AGI-450-40069-01</v>
          </cell>
          <cell r="F20952">
            <v>885343493695</v>
          </cell>
        </row>
        <row r="20953">
          <cell r="E20953" t="str">
            <v>LUC-EZZ-420140-00</v>
          </cell>
          <cell r="F20953">
            <v>885343493695</v>
          </cell>
        </row>
        <row r="20954">
          <cell r="E20954" t="str">
            <v>EF-45059919.X.X</v>
          </cell>
          <cell r="F20954">
            <v>885343493695</v>
          </cell>
        </row>
        <row r="20955">
          <cell r="E20955" t="str">
            <v>PURET-13-0028-00</v>
          </cell>
          <cell r="F20955">
            <v>885343493695</v>
          </cell>
        </row>
        <row r="20956">
          <cell r="E20956" t="str">
            <v>LUC-EZZ-450050-00</v>
          </cell>
          <cell r="F20956">
            <v>885343493695</v>
          </cell>
        </row>
        <row r="20957">
          <cell r="E20957" t="str">
            <v>PURET-13-0022-00</v>
          </cell>
          <cell r="F20957">
            <v>885343493695</v>
          </cell>
        </row>
        <row r="20958">
          <cell r="E20958" t="str">
            <v>PURET-13-0022-00</v>
          </cell>
          <cell r="F20958">
            <v>885343493695</v>
          </cell>
        </row>
        <row r="20959">
          <cell r="E20959" t="str">
            <v>EF-45059919.X.X</v>
          </cell>
          <cell r="F20959">
            <v>885343493695</v>
          </cell>
        </row>
        <row r="20960">
          <cell r="E20960" t="str">
            <v>LUC-EZZ-470237-00</v>
          </cell>
          <cell r="F20960">
            <v>885343493695</v>
          </cell>
        </row>
        <row r="20961">
          <cell r="E20961" t="str">
            <v>LUC-EZZ-470238-00</v>
          </cell>
          <cell r="F20961">
            <v>885343493695</v>
          </cell>
        </row>
        <row r="20962">
          <cell r="E20962" t="str">
            <v>LUC-P11-K35000-02</v>
          </cell>
          <cell r="F20962">
            <v>885343287672</v>
          </cell>
        </row>
        <row r="20963">
          <cell r="E20963" t="str">
            <v>EF-45227728</v>
          </cell>
          <cell r="F20963">
            <v>461596529598</v>
          </cell>
        </row>
        <row r="20964">
          <cell r="E20964" t="str">
            <v>LUC-E00-450039-00</v>
          </cell>
          <cell r="F20964">
            <v>394442592081</v>
          </cell>
        </row>
        <row r="20965">
          <cell r="E20965" t="str">
            <v>LUC-E00-450039-00</v>
          </cell>
          <cell r="F20965">
            <v>394442592081</v>
          </cell>
        </row>
        <row r="20966">
          <cell r="E20966" t="str">
            <v>AIC-MP-00004287-000</v>
          </cell>
          <cell r="F20966">
            <v>885373857418</v>
          </cell>
        </row>
        <row r="20967">
          <cell r="E20967" t="str">
            <v>AIC-MP-00000331-000</v>
          </cell>
          <cell r="F20967">
            <v>885373857418</v>
          </cell>
        </row>
        <row r="20968">
          <cell r="E20968" t="str">
            <v>AIC-MP-CN004517-S01</v>
          </cell>
          <cell r="F20968">
            <v>885373857418</v>
          </cell>
        </row>
        <row r="20969">
          <cell r="E20969" t="str">
            <v>AIC-MP-CN004121-S01</v>
          </cell>
          <cell r="F20969">
            <v>885373857418</v>
          </cell>
        </row>
        <row r="20970">
          <cell r="E20970" t="str">
            <v>AIC-MP-CN004286-S01</v>
          </cell>
          <cell r="F20970">
            <v>885373857418</v>
          </cell>
        </row>
        <row r="20971">
          <cell r="E20971" t="str">
            <v>AIC-MP-CN005479-S01</v>
          </cell>
          <cell r="F20971">
            <v>885373857418</v>
          </cell>
        </row>
        <row r="20972">
          <cell r="E20972" t="str">
            <v>AIC-MP-CN003770-S01</v>
          </cell>
          <cell r="F20972">
            <v>885373857418</v>
          </cell>
        </row>
        <row r="20973">
          <cell r="E20973" t="str">
            <v>AIC-MP-00007078-000</v>
          </cell>
          <cell r="F20973">
            <v>885373857418</v>
          </cell>
        </row>
        <row r="20974">
          <cell r="E20974" t="str">
            <v>HLOB-09-0256-00</v>
          </cell>
          <cell r="F20974">
            <v>479730109316</v>
          </cell>
        </row>
        <row r="20975">
          <cell r="E20975" t="str">
            <v>PUR-09-0346-00</v>
          </cell>
          <cell r="F20975">
            <v>479730109327</v>
          </cell>
        </row>
        <row r="20976">
          <cell r="E20976" t="str">
            <v>HLOB-09-0477-00</v>
          </cell>
          <cell r="F20976">
            <v>479730109636</v>
          </cell>
        </row>
        <row r="20977">
          <cell r="E20977" t="str">
            <v>LUC-EZZ-470181-00</v>
          </cell>
          <cell r="F20977">
            <v>479730109420</v>
          </cell>
        </row>
        <row r="20978">
          <cell r="E20978" t="str">
            <v>LUC-EZZ-470181-00</v>
          </cell>
          <cell r="F20978">
            <v>479730111430</v>
          </cell>
        </row>
        <row r="20979">
          <cell r="E20979" t="str">
            <v>PURET-21-0009-00</v>
          </cell>
          <cell r="F20979">
            <v>479730111496</v>
          </cell>
        </row>
        <row r="20980">
          <cell r="E20980" t="str">
            <v>LUC-EZZ-400206-00</v>
          </cell>
          <cell r="F20980">
            <v>479730113205</v>
          </cell>
        </row>
        <row r="20981">
          <cell r="E20981" t="str">
            <v>LUC-EZZ-400206-00</v>
          </cell>
          <cell r="F20981">
            <v>479730112654</v>
          </cell>
        </row>
        <row r="20982">
          <cell r="E20982" t="str">
            <v>HLOB-14-0086-00</v>
          </cell>
          <cell r="F20982">
            <v>486655226921</v>
          </cell>
        </row>
        <row r="20983">
          <cell r="E20983" t="str">
            <v>LUC-E00-400010-003</v>
          </cell>
          <cell r="F20983">
            <v>479730113282</v>
          </cell>
        </row>
        <row r="20984">
          <cell r="E20984" t="str">
            <v>LUC-EZZ-450108-00</v>
          </cell>
          <cell r="F20984">
            <v>485186738160</v>
          </cell>
        </row>
        <row r="20985">
          <cell r="E20985" t="str">
            <v>LUC-E00-400010-026</v>
          </cell>
          <cell r="F20985">
            <v>486655229817</v>
          </cell>
        </row>
        <row r="20986">
          <cell r="E20986" t="str">
            <v>LUC-EZZ-400433-00</v>
          </cell>
          <cell r="F20986">
            <v>486655229817</v>
          </cell>
        </row>
        <row r="20987">
          <cell r="E20987" t="str">
            <v>LUC-E00-400010-001</v>
          </cell>
          <cell r="F20987">
            <v>486655229817</v>
          </cell>
        </row>
        <row r="20988">
          <cell r="E20988" t="str">
            <v>LUC-EZZ-400248-00</v>
          </cell>
          <cell r="F20988">
            <v>486655229817</v>
          </cell>
        </row>
        <row r="20989">
          <cell r="E20989" t="str">
            <v>LUC-E00-400010-005</v>
          </cell>
          <cell r="F20989">
            <v>486655229817</v>
          </cell>
        </row>
        <row r="20990">
          <cell r="E20990" t="str">
            <v>LUC-E00-420076-00</v>
          </cell>
          <cell r="F20990">
            <v>486655233820</v>
          </cell>
        </row>
        <row r="20991">
          <cell r="E20991" t="str">
            <v>LUC-EZZ-400253-00</v>
          </cell>
          <cell r="F20991">
            <v>486655233820</v>
          </cell>
        </row>
        <row r="20992">
          <cell r="E20992" t="str">
            <v>LUC-EZZ-510639-00</v>
          </cell>
          <cell r="F20992">
            <v>486655233820</v>
          </cell>
        </row>
        <row r="20993">
          <cell r="E20993" t="str">
            <v>EF-45127606</v>
          </cell>
          <cell r="F20993">
            <v>486655233820</v>
          </cell>
        </row>
        <row r="20994">
          <cell r="E20994" t="str">
            <v>LUC-E00-400010-045</v>
          </cell>
          <cell r="F20994">
            <v>486655233820</v>
          </cell>
        </row>
        <row r="20995">
          <cell r="E20995" t="str">
            <v>LUC-EZZ-420133-00</v>
          </cell>
          <cell r="F20995">
            <v>486655233820</v>
          </cell>
        </row>
        <row r="20996">
          <cell r="E20996" t="str">
            <v>AIC-122-004334</v>
          </cell>
          <cell r="F20996">
            <v>486655233820</v>
          </cell>
        </row>
        <row r="20997">
          <cell r="E20997" t="str">
            <v>LUC-EZZ-400207-00</v>
          </cell>
          <cell r="F20997">
            <v>486655233820</v>
          </cell>
        </row>
        <row r="20998">
          <cell r="E20998" t="str">
            <v>LUC-E00-440172-00</v>
          </cell>
          <cell r="F20998">
            <v>486655233820</v>
          </cell>
        </row>
        <row r="20999">
          <cell r="E20999" t="str">
            <v>LUC-E00-420027-05</v>
          </cell>
          <cell r="F20999">
            <v>486655233820</v>
          </cell>
        </row>
        <row r="21000">
          <cell r="E21000" t="str">
            <v>LUC-E00-420037-08</v>
          </cell>
          <cell r="F21000">
            <v>486655233820</v>
          </cell>
        </row>
        <row r="21001">
          <cell r="E21001" t="str">
            <v>HLOB-33-0027-00</v>
          </cell>
          <cell r="F21001">
            <v>885379348197</v>
          </cell>
        </row>
        <row r="21002">
          <cell r="E21002" t="str">
            <v>HLOB-18-0640-00</v>
          </cell>
          <cell r="F21002">
            <v>885379348197</v>
          </cell>
        </row>
        <row r="21003">
          <cell r="E21003" t="str">
            <v>LUC-E00-420037-06</v>
          </cell>
          <cell r="F21003">
            <v>471797718636</v>
          </cell>
        </row>
        <row r="21004">
          <cell r="E21004" t="str">
            <v>LUC-E00-420072-00</v>
          </cell>
          <cell r="F21004">
            <v>471797718636</v>
          </cell>
        </row>
        <row r="21005">
          <cell r="E21005" t="str">
            <v>EF-45060487.X.X</v>
          </cell>
          <cell r="F21005">
            <v>471797718636</v>
          </cell>
        </row>
        <row r="21006">
          <cell r="E21006" t="str">
            <v>PUR-13-0134-00</v>
          </cell>
          <cell r="F21006">
            <v>471797718636</v>
          </cell>
        </row>
        <row r="21007">
          <cell r="E21007" t="str">
            <v>PUR-13-0134-00</v>
          </cell>
          <cell r="F21007">
            <v>471797718636</v>
          </cell>
        </row>
        <row r="21008">
          <cell r="E21008" t="str">
            <v>PUR-13-0134-00</v>
          </cell>
          <cell r="F21008">
            <v>471797718636</v>
          </cell>
        </row>
        <row r="21009">
          <cell r="E21009" t="str">
            <v>HLOB-13-0134-00</v>
          </cell>
          <cell r="F21009">
            <v>471797718636</v>
          </cell>
        </row>
        <row r="21010">
          <cell r="E21010" t="str">
            <v>PUR-13-0134-00</v>
          </cell>
          <cell r="F21010">
            <v>471797718636</v>
          </cell>
        </row>
        <row r="21011">
          <cell r="E21011" t="str">
            <v>PUR-13-0212-00</v>
          </cell>
          <cell r="F21011">
            <v>471797718636</v>
          </cell>
        </row>
        <row r="21012">
          <cell r="E21012" t="str">
            <v>PUR-13-0212-00</v>
          </cell>
          <cell r="F21012">
            <v>471797718636</v>
          </cell>
        </row>
        <row r="21013">
          <cell r="E21013" t="str">
            <v>PURET-13-0069-00</v>
          </cell>
          <cell r="F21013">
            <v>471797718636</v>
          </cell>
        </row>
        <row r="21014">
          <cell r="E21014" t="str">
            <v>HLOB-13-0069-00</v>
          </cell>
          <cell r="F21014">
            <v>471797718636</v>
          </cell>
        </row>
        <row r="21015">
          <cell r="E21015" t="str">
            <v>PURET-13-0069-00</v>
          </cell>
          <cell r="F21015">
            <v>471797718636</v>
          </cell>
        </row>
        <row r="21016">
          <cell r="E21016" t="str">
            <v>PURET-13-0066-00</v>
          </cell>
          <cell r="F21016">
            <v>471797718636</v>
          </cell>
        </row>
        <row r="21017">
          <cell r="E21017" t="str">
            <v>PURET-13-0066-00</v>
          </cell>
          <cell r="F21017">
            <v>471797718636</v>
          </cell>
        </row>
        <row r="21018">
          <cell r="E21018" t="str">
            <v>HLOB-13-0066-00</v>
          </cell>
          <cell r="F21018">
            <v>471797718636</v>
          </cell>
        </row>
        <row r="21019">
          <cell r="E21019" t="str">
            <v>PUR-13-0138-00</v>
          </cell>
          <cell r="F21019">
            <v>471797718636</v>
          </cell>
        </row>
        <row r="21020">
          <cell r="E21020" t="str">
            <v>PUR-13-0138-00</v>
          </cell>
          <cell r="F21020">
            <v>471797718636</v>
          </cell>
        </row>
        <row r="21021">
          <cell r="E21021" t="str">
            <v>LUC-E00-420185-00</v>
          </cell>
          <cell r="F21021">
            <v>471797718636</v>
          </cell>
        </row>
        <row r="21022">
          <cell r="E21022" t="str">
            <v>AIC-MP-00006429-000</v>
          </cell>
          <cell r="F21022">
            <v>471797718636</v>
          </cell>
        </row>
        <row r="21023">
          <cell r="E21023" t="str">
            <v>PUR-13-0229-00</v>
          </cell>
          <cell r="F21023">
            <v>471797718636</v>
          </cell>
        </row>
        <row r="21024">
          <cell r="E21024" t="str">
            <v>PUR-13-0229-00</v>
          </cell>
          <cell r="F21024">
            <v>471797718636</v>
          </cell>
        </row>
        <row r="21025">
          <cell r="E21025" t="str">
            <v>PUR-13-0229-00</v>
          </cell>
          <cell r="F21025">
            <v>471797718636</v>
          </cell>
        </row>
        <row r="21026">
          <cell r="E21026" t="str">
            <v>PUR-13-0229-00</v>
          </cell>
          <cell r="F21026">
            <v>471797718636</v>
          </cell>
        </row>
        <row r="21027">
          <cell r="E21027" t="str">
            <v>PURET-13-0002-00</v>
          </cell>
          <cell r="F21027">
            <v>471797718636</v>
          </cell>
        </row>
        <row r="21028">
          <cell r="E21028" t="str">
            <v>PURET-13-0002-00</v>
          </cell>
          <cell r="F21028">
            <v>471797718636</v>
          </cell>
        </row>
        <row r="21029">
          <cell r="E21029" t="str">
            <v>PUR-13-0212-00</v>
          </cell>
          <cell r="F21029">
            <v>471797718636</v>
          </cell>
        </row>
        <row r="21030">
          <cell r="E21030" t="str">
            <v>PURET-13-0069-00</v>
          </cell>
          <cell r="F21030">
            <v>471797718636</v>
          </cell>
        </row>
        <row r="21031">
          <cell r="E21031" t="str">
            <v>141-001484-02</v>
          </cell>
          <cell r="F21031">
            <v>885379080857</v>
          </cell>
        </row>
        <row r="21032">
          <cell r="E21032" t="str">
            <v>141-001480-01</v>
          </cell>
          <cell r="F21032">
            <v>885379080857</v>
          </cell>
        </row>
        <row r="21033">
          <cell r="E21033" t="str">
            <v>130-000513</v>
          </cell>
          <cell r="F21033">
            <v>476994460570</v>
          </cell>
        </row>
        <row r="21034">
          <cell r="E21034" t="str">
            <v>LUC-EZZ-470423-00</v>
          </cell>
          <cell r="F21034">
            <v>477592538840</v>
          </cell>
        </row>
        <row r="21035">
          <cell r="E21035" t="str">
            <v>AIC-MP-00007007-000</v>
          </cell>
          <cell r="F21035">
            <v>885340909406</v>
          </cell>
        </row>
        <row r="21036">
          <cell r="E21036" t="str">
            <v>LUC-HJ-A317</v>
          </cell>
          <cell r="F21036">
            <v>885374984877</v>
          </cell>
        </row>
        <row r="21037">
          <cell r="E21037" t="str">
            <v>121-000113.X.X</v>
          </cell>
          <cell r="F21037">
            <v>885331373300</v>
          </cell>
        </row>
        <row r="21038">
          <cell r="E21038" t="str">
            <v>121-000179.X.X</v>
          </cell>
          <cell r="F21038">
            <v>885331373300</v>
          </cell>
        </row>
        <row r="21039">
          <cell r="E21039" t="str">
            <v>122-000291.X.X</v>
          </cell>
          <cell r="F21039">
            <v>885331373300</v>
          </cell>
        </row>
        <row r="21040">
          <cell r="E21040" t="str">
            <v>LUC-EZZ-440911-00</v>
          </cell>
          <cell r="F21040">
            <v>485186805918</v>
          </cell>
        </row>
        <row r="21041">
          <cell r="E21041" t="str">
            <v>LUC-EZZ-440911-00</v>
          </cell>
          <cell r="F21041">
            <v>394508519190</v>
          </cell>
        </row>
        <row r="21042">
          <cell r="E21042" t="str">
            <v>LUC-EZZ-421002-00</v>
          </cell>
          <cell r="F21042">
            <v>479730095820</v>
          </cell>
        </row>
        <row r="21043">
          <cell r="E21043" t="str">
            <v>LUC-EZZ-400192-00</v>
          </cell>
          <cell r="F21043">
            <v>394457141347</v>
          </cell>
        </row>
        <row r="21044">
          <cell r="E21044" t="str">
            <v>134-000458.X.X</v>
          </cell>
          <cell r="F21044">
            <v>885341469356</v>
          </cell>
        </row>
        <row r="21045">
          <cell r="E21045" t="str">
            <v>120-010212.X.X</v>
          </cell>
          <cell r="F21045">
            <v>484705363670</v>
          </cell>
        </row>
        <row r="21046">
          <cell r="E21046" t="str">
            <v>LUC-P11-K41300-00</v>
          </cell>
          <cell r="F21046">
            <v>480081467551</v>
          </cell>
        </row>
        <row r="21047">
          <cell r="E21047" t="str">
            <v>LUC-E00-470004-00</v>
          </cell>
          <cell r="F21047">
            <v>480081467551</v>
          </cell>
        </row>
        <row r="21048">
          <cell r="E21048" t="str">
            <v>LUC-EZZ-510007-00</v>
          </cell>
          <cell r="F21048">
            <v>480081467551</v>
          </cell>
        </row>
        <row r="21049">
          <cell r="E21049" t="str">
            <v>LUC-E00-460007-00</v>
          </cell>
          <cell r="F21049">
            <v>480081467551</v>
          </cell>
        </row>
        <row r="21050">
          <cell r="E21050" t="str">
            <v>EF-45051535</v>
          </cell>
          <cell r="F21050">
            <v>480081467551</v>
          </cell>
        </row>
        <row r="21051">
          <cell r="E21051" t="str">
            <v>LUC-E00-450029-00</v>
          </cell>
          <cell r="F21051">
            <v>480081467551</v>
          </cell>
        </row>
        <row r="21052">
          <cell r="E21052" t="str">
            <v>HLOB-09-0279-00</v>
          </cell>
          <cell r="F21052">
            <v>480081467551</v>
          </cell>
        </row>
        <row r="21053">
          <cell r="E21053" t="str">
            <v>EF-45051535</v>
          </cell>
          <cell r="F21053">
            <v>480081467551</v>
          </cell>
        </row>
        <row r="21054">
          <cell r="E21054" t="str">
            <v>122-000777.X.X</v>
          </cell>
          <cell r="F21054">
            <v>480081467551</v>
          </cell>
        </row>
        <row r="21055">
          <cell r="E21055" t="str">
            <v>LUC-EZZ-510061-00</v>
          </cell>
          <cell r="F21055">
            <v>480081467551</v>
          </cell>
        </row>
        <row r="21056">
          <cell r="E21056" t="str">
            <v>LUC-E00-470071-01</v>
          </cell>
          <cell r="F21056">
            <v>480081467551</v>
          </cell>
        </row>
        <row r="21057">
          <cell r="E21057" t="str">
            <v>LUC-EZZ-400210-00</v>
          </cell>
          <cell r="F21057">
            <v>480081467551</v>
          </cell>
        </row>
        <row r="21058">
          <cell r="E21058" t="str">
            <v>LUC-EZZ-420281-00</v>
          </cell>
          <cell r="F21058">
            <v>480081467551</v>
          </cell>
        </row>
        <row r="21059">
          <cell r="E21059" t="str">
            <v>LUC-E00-470087-00</v>
          </cell>
          <cell r="F21059">
            <v>480081467551</v>
          </cell>
        </row>
        <row r="21060">
          <cell r="E21060" t="str">
            <v>LUC-EZZ-400609-00</v>
          </cell>
          <cell r="F21060">
            <v>480081467551</v>
          </cell>
        </row>
        <row r="21061">
          <cell r="E21061" t="str">
            <v>142-000043</v>
          </cell>
          <cell r="F21061">
            <v>480081467551</v>
          </cell>
        </row>
        <row r="21062">
          <cell r="E21062" t="str">
            <v>142-000043</v>
          </cell>
          <cell r="F21062">
            <v>480081467551</v>
          </cell>
        </row>
        <row r="21063">
          <cell r="E21063" t="str">
            <v>PUR-03-0104-03</v>
          </cell>
          <cell r="F21063" t="str">
            <v>8XN0148</v>
          </cell>
        </row>
        <row r="21064">
          <cell r="E21064" t="str">
            <v>HLOB-03-0113-00</v>
          </cell>
          <cell r="F21064" t="str">
            <v>8XN0146</v>
          </cell>
        </row>
        <row r="21065">
          <cell r="E21065" t="str">
            <v>PUR-03-0099-03</v>
          </cell>
          <cell r="F21065" t="str">
            <v>8XN0147</v>
          </cell>
        </row>
        <row r="21066">
          <cell r="E21066" t="str">
            <v>LUC-E00-470122-01</v>
          </cell>
          <cell r="F21066">
            <v>2451649395</v>
          </cell>
        </row>
        <row r="21067">
          <cell r="E21067" t="str">
            <v>LUC-E00-470122-01</v>
          </cell>
          <cell r="F21067">
            <v>2451649395</v>
          </cell>
        </row>
        <row r="21068">
          <cell r="E21068" t="str">
            <v>LUC-E00-420057-00</v>
          </cell>
          <cell r="F21068">
            <v>2451649395</v>
          </cell>
        </row>
        <row r="21069">
          <cell r="E21069" t="str">
            <v>LUC-EZZ-400580-00</v>
          </cell>
          <cell r="F21069">
            <v>2451649395</v>
          </cell>
        </row>
        <row r="21070">
          <cell r="E21070" t="str">
            <v>LUC-E00-450132-00</v>
          </cell>
          <cell r="F21070">
            <v>2451649395</v>
          </cell>
        </row>
        <row r="21071">
          <cell r="E21071" t="str">
            <v>LUC-E00-450132-00</v>
          </cell>
          <cell r="F21071">
            <v>2451649395</v>
          </cell>
        </row>
        <row r="21072">
          <cell r="E21072" t="str">
            <v>LUC-EZZ-510640-00</v>
          </cell>
          <cell r="F21072">
            <v>2451649395</v>
          </cell>
        </row>
        <row r="21073">
          <cell r="E21073" t="str">
            <v>LUC-E00-510021-00</v>
          </cell>
          <cell r="F21073">
            <v>2451649395</v>
          </cell>
        </row>
        <row r="21074">
          <cell r="E21074" t="str">
            <v>LUC-E00-510061-01</v>
          </cell>
          <cell r="F21074">
            <v>2451649395</v>
          </cell>
        </row>
        <row r="21075">
          <cell r="E21075" t="str">
            <v>LUC-E00-510021-00</v>
          </cell>
          <cell r="F21075">
            <v>2451649395</v>
          </cell>
        </row>
        <row r="21076">
          <cell r="E21076" t="str">
            <v>LUC-E00-510061-01</v>
          </cell>
          <cell r="F21076">
            <v>2451649395</v>
          </cell>
        </row>
        <row r="21077">
          <cell r="E21077" t="str">
            <v>LUC-E00-450132-00</v>
          </cell>
          <cell r="F21077">
            <v>2451649395</v>
          </cell>
        </row>
        <row r="21078">
          <cell r="E21078" t="str">
            <v>LUC-E00-450132-00</v>
          </cell>
          <cell r="F21078">
            <v>2451649395</v>
          </cell>
        </row>
        <row r="21079">
          <cell r="E21079" t="str">
            <v>LUC-E00-510021-00</v>
          </cell>
          <cell r="F21079">
            <v>2451649395</v>
          </cell>
        </row>
        <row r="21080">
          <cell r="E21080" t="str">
            <v>LUC-E00-470063-00</v>
          </cell>
          <cell r="F21080">
            <v>2451649395</v>
          </cell>
        </row>
        <row r="21081">
          <cell r="E21081" t="str">
            <v>LUC-E00-450132-00</v>
          </cell>
          <cell r="F21081">
            <v>2451649395</v>
          </cell>
        </row>
        <row r="21082">
          <cell r="E21082" t="str">
            <v>LUC-E00-450132-00</v>
          </cell>
          <cell r="F21082">
            <v>2451649395</v>
          </cell>
        </row>
        <row r="21083">
          <cell r="E21083" t="str">
            <v>LUC-E00-510061-01</v>
          </cell>
          <cell r="F21083">
            <v>2451649395</v>
          </cell>
        </row>
        <row r="21084">
          <cell r="E21084" t="str">
            <v>LUC-E00-420173-00</v>
          </cell>
          <cell r="F21084">
            <v>2451649395</v>
          </cell>
        </row>
        <row r="21085">
          <cell r="E21085" t="str">
            <v>LUC-E00-480006-00</v>
          </cell>
          <cell r="F21085">
            <v>2451649395</v>
          </cell>
        </row>
        <row r="21086">
          <cell r="E21086" t="str">
            <v>LUC-E00-480006-00</v>
          </cell>
          <cell r="F21086">
            <v>2451649395</v>
          </cell>
        </row>
        <row r="21087">
          <cell r="E21087" t="str">
            <v>LUC-EZZ-510080-00</v>
          </cell>
          <cell r="F21087">
            <v>2451649395</v>
          </cell>
        </row>
        <row r="21088">
          <cell r="E21088" t="str">
            <v>LUC-EZZ-510080-00</v>
          </cell>
          <cell r="F21088">
            <v>2451649395</v>
          </cell>
        </row>
        <row r="21089">
          <cell r="E21089" t="str">
            <v>LUC-EZZ-510080-00</v>
          </cell>
          <cell r="F21089">
            <v>2451649395</v>
          </cell>
        </row>
        <row r="21090">
          <cell r="E21090" t="str">
            <v>LUC-EZZ-450213-00</v>
          </cell>
          <cell r="F21090">
            <v>2451649395</v>
          </cell>
        </row>
        <row r="21091">
          <cell r="E21091" t="str">
            <v>LUC-EZZ-470136-00</v>
          </cell>
          <cell r="F21091">
            <v>2451649395</v>
          </cell>
        </row>
        <row r="21092">
          <cell r="E21092" t="str">
            <v>LUC-EZZ-470136-00</v>
          </cell>
          <cell r="F21092">
            <v>2451649395</v>
          </cell>
        </row>
        <row r="21093">
          <cell r="E21093" t="str">
            <v>LUC-E00-470447-00</v>
          </cell>
          <cell r="F21093">
            <v>2451649395</v>
          </cell>
        </row>
        <row r="21094">
          <cell r="E21094" t="str">
            <v>LUC-E00-470447-00</v>
          </cell>
          <cell r="F21094">
            <v>2451649395</v>
          </cell>
        </row>
        <row r="21095">
          <cell r="E21095" t="str">
            <v>LUC-E00-460038-00</v>
          </cell>
          <cell r="F21095">
            <v>2451649395</v>
          </cell>
        </row>
        <row r="21096">
          <cell r="E21096" t="str">
            <v>LUC-E00-420037-09</v>
          </cell>
          <cell r="F21096">
            <v>2451649395</v>
          </cell>
        </row>
        <row r="21097">
          <cell r="E21097" t="str">
            <v>LUC-E00-460008-00</v>
          </cell>
          <cell r="F21097">
            <v>2451649395</v>
          </cell>
        </row>
        <row r="21098">
          <cell r="E21098" t="str">
            <v>LUC-E00-460008-00</v>
          </cell>
          <cell r="F21098">
            <v>2451649395</v>
          </cell>
        </row>
        <row r="21099">
          <cell r="E21099" t="str">
            <v>LUC-E00-470131-00</v>
          </cell>
          <cell r="F21099">
            <v>2451649395</v>
          </cell>
        </row>
        <row r="21100">
          <cell r="E21100" t="str">
            <v>LUC-E00-470131-00</v>
          </cell>
          <cell r="F21100">
            <v>2451649395</v>
          </cell>
        </row>
        <row r="21101">
          <cell r="E21101" t="str">
            <v>LUC-E00-470131-00</v>
          </cell>
          <cell r="F21101">
            <v>2451649395</v>
          </cell>
        </row>
        <row r="21102">
          <cell r="E21102" t="str">
            <v>LUC-E00-510064-00</v>
          </cell>
          <cell r="F21102">
            <v>2451649395</v>
          </cell>
        </row>
        <row r="21103">
          <cell r="E21103" t="str">
            <v>LUC-EZZ-450053-00</v>
          </cell>
          <cell r="F21103">
            <v>2451649395</v>
          </cell>
        </row>
        <row r="21104">
          <cell r="E21104" t="str">
            <v>LUC-EZZ-450053-00</v>
          </cell>
          <cell r="F21104">
            <v>2451649395</v>
          </cell>
        </row>
        <row r="21105">
          <cell r="E21105" t="str">
            <v>LUC-E00-470331-00</v>
          </cell>
          <cell r="F21105">
            <v>2451649395</v>
          </cell>
        </row>
        <row r="21106">
          <cell r="E21106" t="str">
            <v>LUC-E00-470175-00</v>
          </cell>
          <cell r="F21106">
            <v>2451649395</v>
          </cell>
        </row>
        <row r="21107">
          <cell r="E21107" t="str">
            <v>LUC-EZZ-470961-00</v>
          </cell>
          <cell r="F21107">
            <v>2451649395</v>
          </cell>
        </row>
        <row r="21108">
          <cell r="E21108" t="str">
            <v>LUC-EZZ-470961-00</v>
          </cell>
          <cell r="F21108">
            <v>2451649395</v>
          </cell>
        </row>
        <row r="21109">
          <cell r="E21109" t="str">
            <v>LUC-EZZ-420089-00</v>
          </cell>
          <cell r="F21109">
            <v>2451649395</v>
          </cell>
        </row>
        <row r="21110">
          <cell r="E21110" t="str">
            <v>LUC-EZZ-420089-00</v>
          </cell>
          <cell r="F21110">
            <v>2451649395</v>
          </cell>
        </row>
        <row r="21111">
          <cell r="E21111" t="str">
            <v>LUC-EZZ-420089-00</v>
          </cell>
          <cell r="F21111">
            <v>2451649395</v>
          </cell>
        </row>
        <row r="21112">
          <cell r="E21112" t="str">
            <v>LUC-EZZ-420089-00</v>
          </cell>
          <cell r="F21112">
            <v>2451649395</v>
          </cell>
        </row>
        <row r="21113">
          <cell r="E21113" t="str">
            <v>LUC-EZZ-420089-00</v>
          </cell>
          <cell r="F21113">
            <v>2451649395</v>
          </cell>
        </row>
        <row r="21114">
          <cell r="E21114" t="str">
            <v>LUC-EZZ-420089-00</v>
          </cell>
          <cell r="F21114">
            <v>2451649395</v>
          </cell>
        </row>
        <row r="21115">
          <cell r="E21115" t="str">
            <v>LUC-E00-420055-12</v>
          </cell>
          <cell r="F21115">
            <v>2451649395</v>
          </cell>
        </row>
        <row r="21116">
          <cell r="E21116" t="str">
            <v>LUC-EZZ-450053-00</v>
          </cell>
          <cell r="F21116">
            <v>2451649395</v>
          </cell>
        </row>
        <row r="21117">
          <cell r="E21117" t="str">
            <v>LUC-EZZ-450053-00</v>
          </cell>
          <cell r="F21117">
            <v>2451649395</v>
          </cell>
        </row>
        <row r="21118">
          <cell r="E21118" t="str">
            <v>LUC-EZZ-420331-00</v>
          </cell>
          <cell r="F21118">
            <v>2451649395</v>
          </cell>
        </row>
        <row r="21119">
          <cell r="E21119" t="str">
            <v>LUC-EZZ-470961-00</v>
          </cell>
          <cell r="F21119">
            <v>2451649395</v>
          </cell>
        </row>
        <row r="21120">
          <cell r="E21120" t="str">
            <v>LUC-EZZ-420089-00</v>
          </cell>
          <cell r="F21120">
            <v>2451649395</v>
          </cell>
        </row>
        <row r="21121">
          <cell r="E21121" t="str">
            <v>LUC-E00-470379-00</v>
          </cell>
          <cell r="F21121">
            <v>2451649395</v>
          </cell>
        </row>
        <row r="21122">
          <cell r="E21122" t="str">
            <v>HLOB-21-0009-00</v>
          </cell>
          <cell r="F21122">
            <v>2451649395</v>
          </cell>
        </row>
        <row r="21123">
          <cell r="E21123" t="str">
            <v>PURET-21-0009-00</v>
          </cell>
          <cell r="F21123">
            <v>2451649395</v>
          </cell>
        </row>
        <row r="21124">
          <cell r="E21124" t="str">
            <v>LUC-E00-400048-00</v>
          </cell>
          <cell r="F21124">
            <v>2451649395</v>
          </cell>
        </row>
        <row r="21125">
          <cell r="E21125" t="str">
            <v>LUC-E00-510066-00</v>
          </cell>
          <cell r="F21125">
            <v>2451649395</v>
          </cell>
        </row>
        <row r="21126">
          <cell r="E21126" t="str">
            <v>LUC-EZZ-420002-00</v>
          </cell>
          <cell r="F21126">
            <v>2451649395</v>
          </cell>
        </row>
        <row r="21127">
          <cell r="E21127" t="str">
            <v>LUC-EZZ-420002-00</v>
          </cell>
          <cell r="F21127">
            <v>2451649395</v>
          </cell>
        </row>
        <row r="21128">
          <cell r="E21128" t="str">
            <v>LUC-EZZ-420002-00</v>
          </cell>
          <cell r="F21128">
            <v>2451649395</v>
          </cell>
        </row>
        <row r="21129">
          <cell r="E21129" t="str">
            <v>LUC-EZZ-420002-00</v>
          </cell>
          <cell r="F21129">
            <v>2451649395</v>
          </cell>
        </row>
        <row r="21130">
          <cell r="E21130" t="str">
            <v>LUC-EZZ-420002-00</v>
          </cell>
          <cell r="F21130">
            <v>2451649395</v>
          </cell>
        </row>
        <row r="21131">
          <cell r="E21131" t="str">
            <v>LUC-EZZ-420002-00</v>
          </cell>
          <cell r="F21131">
            <v>2451649395</v>
          </cell>
        </row>
        <row r="21132">
          <cell r="E21132" t="str">
            <v>LUC-EZZ-420002-00</v>
          </cell>
          <cell r="F21132">
            <v>2451649395</v>
          </cell>
        </row>
        <row r="21133">
          <cell r="E21133" t="str">
            <v>LUC-EZZ-420002-00</v>
          </cell>
          <cell r="F21133">
            <v>2451649395</v>
          </cell>
        </row>
        <row r="21134">
          <cell r="E21134" t="str">
            <v>LUC-EZZ-420020-00</v>
          </cell>
          <cell r="F21134">
            <v>2451649395</v>
          </cell>
        </row>
        <row r="21135">
          <cell r="E21135" t="str">
            <v>LUC-E00-420015-00</v>
          </cell>
          <cell r="F21135">
            <v>2451649395</v>
          </cell>
        </row>
        <row r="21136">
          <cell r="E21136" t="str">
            <v>LUC-E00-420015-00</v>
          </cell>
          <cell r="F21136">
            <v>2451649395</v>
          </cell>
        </row>
        <row r="21137">
          <cell r="E21137" t="str">
            <v>LUC-E00-420015-00</v>
          </cell>
          <cell r="F21137">
            <v>2451649395</v>
          </cell>
        </row>
        <row r="21138">
          <cell r="E21138" t="str">
            <v>LUC-E00-420015-00</v>
          </cell>
          <cell r="F21138">
            <v>2451649395</v>
          </cell>
        </row>
        <row r="21139">
          <cell r="E21139" t="str">
            <v>LUC-E00-420015-00</v>
          </cell>
          <cell r="F21139">
            <v>2451649395</v>
          </cell>
        </row>
        <row r="21140">
          <cell r="E21140" t="str">
            <v>LUC-E00-400010-037</v>
          </cell>
          <cell r="F21140">
            <v>2451649395</v>
          </cell>
        </row>
        <row r="21141">
          <cell r="E21141" t="str">
            <v>LUC-E00-460015-01</v>
          </cell>
          <cell r="F21141">
            <v>2451649395</v>
          </cell>
        </row>
        <row r="21142">
          <cell r="E21142" t="str">
            <v>LUC-EZZ-420046-00</v>
          </cell>
          <cell r="F21142">
            <v>2451649395</v>
          </cell>
        </row>
        <row r="21143">
          <cell r="E21143" t="str">
            <v>LUC-EZZ-420046-00</v>
          </cell>
          <cell r="F21143">
            <v>2451649395</v>
          </cell>
        </row>
        <row r="21144">
          <cell r="E21144" t="str">
            <v>LUC-EZZ-470192-00</v>
          </cell>
          <cell r="F21144">
            <v>2451649395</v>
          </cell>
        </row>
        <row r="21145">
          <cell r="E21145" t="str">
            <v>EF-45110875.X.X</v>
          </cell>
          <cell r="F21145">
            <v>2451649395</v>
          </cell>
        </row>
        <row r="21146">
          <cell r="E21146" t="str">
            <v>LUC-E00-420027-05</v>
          </cell>
          <cell r="F21146">
            <v>2451649395</v>
          </cell>
        </row>
        <row r="21147">
          <cell r="E21147" t="str">
            <v>LUC-E00-440047-00</v>
          </cell>
          <cell r="F21147">
            <v>2451649395</v>
          </cell>
        </row>
        <row r="21148">
          <cell r="E21148" t="str">
            <v>LUC-EZZ-420324-00</v>
          </cell>
          <cell r="F21148">
            <v>2451649395</v>
          </cell>
        </row>
        <row r="21149">
          <cell r="E21149" t="str">
            <v>LUC-E00-470096-00</v>
          </cell>
          <cell r="F21149">
            <v>2451649395</v>
          </cell>
        </row>
        <row r="21150">
          <cell r="E21150" t="str">
            <v>LUC-E00-470096-00</v>
          </cell>
          <cell r="F21150">
            <v>2451649395</v>
          </cell>
        </row>
        <row r="21151">
          <cell r="E21151" t="str">
            <v>LUC-EZZ-511304-00</v>
          </cell>
          <cell r="F21151">
            <v>2451649395</v>
          </cell>
        </row>
        <row r="21152">
          <cell r="E21152" t="str">
            <v>LUC-E00-440026-00</v>
          </cell>
          <cell r="F21152">
            <v>2451649395</v>
          </cell>
        </row>
        <row r="21153">
          <cell r="E21153" t="str">
            <v>LUC-EZZ-470961-00</v>
          </cell>
          <cell r="F21153">
            <v>2451649395</v>
          </cell>
        </row>
        <row r="21154">
          <cell r="E21154" t="str">
            <v>LUC-EZZ-450213-00</v>
          </cell>
          <cell r="F21154">
            <v>2451649395</v>
          </cell>
        </row>
        <row r="21155">
          <cell r="E21155" t="str">
            <v>LUC-EZZ-420136-00</v>
          </cell>
          <cell r="F21155">
            <v>2451649395</v>
          </cell>
        </row>
        <row r="21156">
          <cell r="E21156" t="str">
            <v>LUC-EZZ-420121-00</v>
          </cell>
          <cell r="F21156">
            <v>2451649395</v>
          </cell>
        </row>
        <row r="21157">
          <cell r="E21157" t="str">
            <v>LUC-EZZ-420172-00</v>
          </cell>
          <cell r="F21157">
            <v>2451649395</v>
          </cell>
        </row>
        <row r="21158">
          <cell r="E21158" t="str">
            <v>LUC-EZZ-450237-00</v>
          </cell>
          <cell r="F21158">
            <v>2451649395</v>
          </cell>
        </row>
        <row r="21159">
          <cell r="E21159" t="str">
            <v>LUC-E00-420116-01</v>
          </cell>
          <cell r="F21159">
            <v>2451649395</v>
          </cell>
        </row>
        <row r="21160">
          <cell r="E21160" t="str">
            <v>LUC-EZZ-470136-00</v>
          </cell>
          <cell r="F21160">
            <v>2451649395</v>
          </cell>
        </row>
        <row r="21161">
          <cell r="E21161" t="str">
            <v>LUC-E00-400012-06</v>
          </cell>
          <cell r="F21161">
            <v>2451649395</v>
          </cell>
        </row>
        <row r="21162">
          <cell r="E21162" t="str">
            <v>LUC-E00-420037-00</v>
          </cell>
          <cell r="F21162">
            <v>2451649395</v>
          </cell>
        </row>
        <row r="21163">
          <cell r="E21163" t="str">
            <v>LUC-E00-470389-00</v>
          </cell>
          <cell r="F21163">
            <v>2451649395</v>
          </cell>
        </row>
        <row r="21164">
          <cell r="E21164" t="str">
            <v>LUC-E00-400001-010</v>
          </cell>
          <cell r="F21164">
            <v>2451649395</v>
          </cell>
        </row>
        <row r="21165">
          <cell r="E21165" t="str">
            <v>LUC-EZZ-420046-00</v>
          </cell>
          <cell r="F21165">
            <v>2451649395</v>
          </cell>
        </row>
        <row r="21166">
          <cell r="E21166" t="str">
            <v>LUC-EZZ-451368-00</v>
          </cell>
          <cell r="F21166">
            <v>2451649395</v>
          </cell>
        </row>
        <row r="21167">
          <cell r="E21167" t="str">
            <v>LUC-E00-690030-03</v>
          </cell>
          <cell r="F21167">
            <v>2451649395</v>
          </cell>
        </row>
        <row r="21168">
          <cell r="E21168" t="str">
            <v>LUC-E00-450046-00</v>
          </cell>
          <cell r="F21168">
            <v>2451649395</v>
          </cell>
        </row>
        <row r="21169">
          <cell r="E21169" t="str">
            <v>LUC-E00-450046-00</v>
          </cell>
          <cell r="F21169">
            <v>2451649395</v>
          </cell>
        </row>
        <row r="21170">
          <cell r="E21170" t="str">
            <v>LUC-E00-450046-00</v>
          </cell>
          <cell r="F21170">
            <v>2451649395</v>
          </cell>
        </row>
        <row r="21171">
          <cell r="E21171" t="str">
            <v>LUC-E00-690030-03</v>
          </cell>
          <cell r="F21171">
            <v>2451649395</v>
          </cell>
        </row>
        <row r="21172">
          <cell r="E21172" t="str">
            <v>LUC-EZZ-510080-00</v>
          </cell>
          <cell r="F21172">
            <v>2451649395</v>
          </cell>
        </row>
        <row r="21173">
          <cell r="E21173" t="str">
            <v>LUC-EZZ-510080-00</v>
          </cell>
          <cell r="F21173">
            <v>2451649395</v>
          </cell>
        </row>
        <row r="21174">
          <cell r="E21174" t="str">
            <v>LUC-E00-510016-00</v>
          </cell>
          <cell r="F21174">
            <v>2451649395</v>
          </cell>
        </row>
        <row r="21175">
          <cell r="E21175" t="str">
            <v>LUC-E00-510016-00</v>
          </cell>
          <cell r="F21175">
            <v>2451649395</v>
          </cell>
        </row>
        <row r="21176">
          <cell r="E21176" t="str">
            <v>LUC-EZZ-440166-00</v>
          </cell>
          <cell r="F21176">
            <v>2451649395</v>
          </cell>
        </row>
        <row r="21177">
          <cell r="E21177" t="str">
            <v>LUC-EZZ-400245-00</v>
          </cell>
          <cell r="F21177">
            <v>2451649395</v>
          </cell>
        </row>
        <row r="21178">
          <cell r="E21178" t="str">
            <v>LUC-EZZ-470424-00</v>
          </cell>
          <cell r="F21178">
            <v>2451649395</v>
          </cell>
        </row>
        <row r="21179">
          <cell r="E21179" t="str">
            <v>LUC-EZZ-450053-00</v>
          </cell>
          <cell r="F21179">
            <v>2451649395</v>
          </cell>
        </row>
        <row r="21180">
          <cell r="E21180" t="str">
            <v>LUC-EZZ-450053-00</v>
          </cell>
          <cell r="F21180">
            <v>2451649395</v>
          </cell>
        </row>
        <row r="21181">
          <cell r="E21181" t="str">
            <v>LUC-EZZ-450053-00</v>
          </cell>
          <cell r="F21181">
            <v>2451649395</v>
          </cell>
        </row>
        <row r="21182">
          <cell r="E21182" t="str">
            <v>LUC-EZZ-450053-00</v>
          </cell>
          <cell r="F21182">
            <v>2451649395</v>
          </cell>
        </row>
        <row r="21183">
          <cell r="E21183" t="str">
            <v>LUC-EZZ-450053-00</v>
          </cell>
          <cell r="F21183">
            <v>2451649395</v>
          </cell>
        </row>
        <row r="21184">
          <cell r="E21184" t="str">
            <v>LUC-E00-440097-00</v>
          </cell>
          <cell r="F21184">
            <v>2451649395</v>
          </cell>
        </row>
        <row r="21185">
          <cell r="E21185" t="str">
            <v>LUC-E00-440097-00</v>
          </cell>
          <cell r="F21185">
            <v>2451649395</v>
          </cell>
        </row>
        <row r="21186">
          <cell r="E21186" t="str">
            <v>LUC-E00-440097-00</v>
          </cell>
          <cell r="F21186">
            <v>2451649395</v>
          </cell>
        </row>
        <row r="21187">
          <cell r="E21187" t="str">
            <v>LUC-E00-470131-00</v>
          </cell>
          <cell r="F21187">
            <v>2451649395</v>
          </cell>
        </row>
        <row r="21188">
          <cell r="E21188" t="str">
            <v>LUC-E00-470131-00</v>
          </cell>
          <cell r="F21188">
            <v>2451649395</v>
          </cell>
        </row>
        <row r="21189">
          <cell r="E21189" t="str">
            <v>LUC-E00-460008-00</v>
          </cell>
          <cell r="F21189">
            <v>2451649395</v>
          </cell>
        </row>
        <row r="21190">
          <cell r="E21190" t="str">
            <v>LUC-E00-510014-00</v>
          </cell>
          <cell r="F21190">
            <v>2451649395</v>
          </cell>
        </row>
        <row r="21191">
          <cell r="E21191" t="str">
            <v>LUC-E00-510041-00</v>
          </cell>
          <cell r="F21191">
            <v>2451649395</v>
          </cell>
        </row>
        <row r="21192">
          <cell r="E21192" t="str">
            <v>LUC-E00-450036-00</v>
          </cell>
          <cell r="F21192">
            <v>2451649395</v>
          </cell>
        </row>
        <row r="21193">
          <cell r="E21193" t="str">
            <v>LUC-EZZ-401043-00</v>
          </cell>
          <cell r="F21193">
            <v>2451649395</v>
          </cell>
        </row>
        <row r="21194">
          <cell r="E21194" t="str">
            <v>LUC-EZZ-470464-00</v>
          </cell>
          <cell r="F21194">
            <v>2451649395</v>
          </cell>
        </row>
        <row r="21195">
          <cell r="E21195" t="str">
            <v>LUC-EZZ-420089-00</v>
          </cell>
          <cell r="F21195">
            <v>2451649395</v>
          </cell>
        </row>
        <row r="21196">
          <cell r="E21196" t="str">
            <v>LUC-E00-510014-00</v>
          </cell>
          <cell r="F21196">
            <v>2451649395</v>
          </cell>
        </row>
        <row r="21197">
          <cell r="E21197" t="str">
            <v>LUC-E00-510014-00</v>
          </cell>
          <cell r="F21197">
            <v>2451649395</v>
          </cell>
        </row>
        <row r="21198">
          <cell r="E21198" t="str">
            <v>LUC-E00-510014-00</v>
          </cell>
          <cell r="F21198">
            <v>2451649395</v>
          </cell>
        </row>
        <row r="21199">
          <cell r="E21199" t="str">
            <v>LUC-E00-510014-00</v>
          </cell>
          <cell r="F21199">
            <v>2451649395</v>
          </cell>
        </row>
        <row r="21200">
          <cell r="E21200" t="str">
            <v>LUC-EZZ-480029-00</v>
          </cell>
          <cell r="F21200">
            <v>2451649395</v>
          </cell>
        </row>
        <row r="21201">
          <cell r="E21201" t="str">
            <v>LUC-E00-470009-00</v>
          </cell>
          <cell r="F21201">
            <v>2451649395</v>
          </cell>
        </row>
        <row r="21202">
          <cell r="E21202" t="str">
            <v>LUC-EZZ-420102-00</v>
          </cell>
          <cell r="F21202">
            <v>2451649395</v>
          </cell>
        </row>
        <row r="21203">
          <cell r="E21203" t="str">
            <v>LUC-E00-440028-00</v>
          </cell>
          <cell r="F21203">
            <v>2451649395</v>
          </cell>
        </row>
        <row r="21204">
          <cell r="E21204" t="str">
            <v>LUC-EZZ-420020-00</v>
          </cell>
          <cell r="F21204">
            <v>2451649395</v>
          </cell>
        </row>
        <row r="21205">
          <cell r="E21205" t="str">
            <v>LUC-EZZ-420020-00</v>
          </cell>
          <cell r="F21205">
            <v>2451649395</v>
          </cell>
        </row>
        <row r="21206">
          <cell r="E21206" t="str">
            <v>LUC-EZZ-450179-00</v>
          </cell>
          <cell r="F21206">
            <v>2451649395</v>
          </cell>
        </row>
        <row r="21207">
          <cell r="E21207" t="str">
            <v>LUC-EZZ-450179-00</v>
          </cell>
          <cell r="F21207">
            <v>2451649395</v>
          </cell>
        </row>
        <row r="21208">
          <cell r="E21208" t="str">
            <v>LUC-EZZ-450179-00</v>
          </cell>
          <cell r="F21208">
            <v>2451649395</v>
          </cell>
        </row>
        <row r="21209">
          <cell r="E21209" t="str">
            <v>LUC-EZZ-450179-00</v>
          </cell>
          <cell r="F21209">
            <v>2451649395</v>
          </cell>
        </row>
        <row r="21210">
          <cell r="E21210" t="str">
            <v>LUC-E00-400067-285</v>
          </cell>
          <cell r="F21210">
            <v>2451649395</v>
          </cell>
        </row>
        <row r="21211">
          <cell r="E21211" t="str">
            <v>LUC-E00-450060-00</v>
          </cell>
          <cell r="F21211">
            <v>2451649395</v>
          </cell>
        </row>
        <row r="21212">
          <cell r="E21212" t="str">
            <v>LUC-E00-450060-00</v>
          </cell>
          <cell r="F21212">
            <v>2451649395</v>
          </cell>
        </row>
        <row r="21213">
          <cell r="E21213" t="str">
            <v>LUC-E00-450039-00</v>
          </cell>
          <cell r="F21213">
            <v>2451649395</v>
          </cell>
        </row>
        <row r="21214">
          <cell r="E21214" t="str">
            <v>LUC-EZZ-460737-00</v>
          </cell>
          <cell r="F21214">
            <v>2451649395</v>
          </cell>
        </row>
        <row r="21215">
          <cell r="E21215" t="str">
            <v>LUC-E00-510082-00</v>
          </cell>
          <cell r="F21215">
            <v>2451649395</v>
          </cell>
        </row>
        <row r="21216">
          <cell r="E21216" t="str">
            <v>LUC-E00-510082-00</v>
          </cell>
          <cell r="F21216">
            <v>2451649395</v>
          </cell>
        </row>
        <row r="21217">
          <cell r="E21217" t="str">
            <v>LUC-E00-510082-00</v>
          </cell>
          <cell r="F21217">
            <v>2451649395</v>
          </cell>
        </row>
        <row r="21218">
          <cell r="E21218" t="str">
            <v>LUC-EZZ-420330-00</v>
          </cell>
          <cell r="F21218">
            <v>2451649395</v>
          </cell>
        </row>
        <row r="21219">
          <cell r="E21219" t="str">
            <v>LUC-E00-470061-00</v>
          </cell>
          <cell r="F21219">
            <v>2451649395</v>
          </cell>
        </row>
        <row r="21220">
          <cell r="E21220" t="str">
            <v>LUC-EZZ-420090-00</v>
          </cell>
          <cell r="F21220">
            <v>2451649395</v>
          </cell>
        </row>
        <row r="21221">
          <cell r="E21221" t="str">
            <v>LUC-E00-470061-00</v>
          </cell>
          <cell r="F21221">
            <v>2451649395</v>
          </cell>
        </row>
        <row r="21222">
          <cell r="E21222" t="str">
            <v>LUC-EZZ-420023-00</v>
          </cell>
          <cell r="F21222">
            <v>2451649395</v>
          </cell>
        </row>
        <row r="21223">
          <cell r="E21223" t="str">
            <v>LUC-EZZ-420490-00</v>
          </cell>
          <cell r="F21223">
            <v>2451649395</v>
          </cell>
        </row>
        <row r="21224">
          <cell r="E21224" t="str">
            <v>LUC-E00-420027-03</v>
          </cell>
          <cell r="F21224">
            <v>2451649395</v>
          </cell>
        </row>
        <row r="21225">
          <cell r="E21225" t="str">
            <v>LUC-E00-470111-00</v>
          </cell>
          <cell r="F21225">
            <v>2451649395</v>
          </cell>
        </row>
        <row r="21226">
          <cell r="E21226" t="str">
            <v>LUC-E00-400067-211</v>
          </cell>
          <cell r="F21226">
            <v>2451649395</v>
          </cell>
        </row>
        <row r="21227">
          <cell r="E21227" t="str">
            <v>LUC-E00-510084-00</v>
          </cell>
          <cell r="F21227">
            <v>2451649395</v>
          </cell>
        </row>
        <row r="21228">
          <cell r="E21228" t="str">
            <v>LUC-EZZ-420046-00</v>
          </cell>
          <cell r="F21228">
            <v>2451649395</v>
          </cell>
        </row>
        <row r="21229">
          <cell r="E21229" t="str">
            <v>LUC-EZZ-400225-00</v>
          </cell>
          <cell r="F21229">
            <v>2451649395</v>
          </cell>
        </row>
        <row r="21230">
          <cell r="E21230" t="str">
            <v>LUC-EZZ-420281-00</v>
          </cell>
          <cell r="F21230">
            <v>2451649395</v>
          </cell>
        </row>
        <row r="21231">
          <cell r="E21231" t="str">
            <v>LUC-E00-470111-00</v>
          </cell>
          <cell r="F21231">
            <v>2451649395</v>
          </cell>
        </row>
        <row r="21232">
          <cell r="E21232" t="str">
            <v>LUC-E00-400067-143</v>
          </cell>
          <cell r="F21232">
            <v>2451649395</v>
          </cell>
        </row>
        <row r="21233">
          <cell r="E21233" t="str">
            <v>LUC-E00-420027-05</v>
          </cell>
          <cell r="F21233">
            <v>2451649395</v>
          </cell>
        </row>
        <row r="21234">
          <cell r="E21234" t="str">
            <v>LUC-E00-400067-211</v>
          </cell>
          <cell r="F21234">
            <v>2451649395</v>
          </cell>
        </row>
        <row r="21235">
          <cell r="E21235" t="str">
            <v>LUC-EZZ-400245-00</v>
          </cell>
          <cell r="F21235">
            <v>2451649395</v>
          </cell>
        </row>
        <row r="21236">
          <cell r="E21236" t="str">
            <v>LUC-EZZ-470431-00</v>
          </cell>
          <cell r="F21236">
            <v>2451649395</v>
          </cell>
        </row>
        <row r="21237">
          <cell r="E21237" t="str">
            <v>LUC-E00-440028-00</v>
          </cell>
          <cell r="F21237">
            <v>2451649395</v>
          </cell>
        </row>
        <row r="21238">
          <cell r="E21238" t="str">
            <v>LUC-EZZ-420089-00</v>
          </cell>
          <cell r="F21238">
            <v>2451649395</v>
          </cell>
        </row>
        <row r="21239">
          <cell r="E21239" t="str">
            <v>LUC-EZZ-420089-00</v>
          </cell>
          <cell r="F21239">
            <v>2451649395</v>
          </cell>
        </row>
        <row r="21240">
          <cell r="E21240" t="str">
            <v>LUC-EZZ-420089-00</v>
          </cell>
          <cell r="F21240">
            <v>2451649395</v>
          </cell>
        </row>
        <row r="21241">
          <cell r="E21241" t="str">
            <v>LUC-EZZ-450087-00</v>
          </cell>
          <cell r="F21241">
            <v>2451649395</v>
          </cell>
        </row>
        <row r="21242">
          <cell r="E21242" t="str">
            <v>LUC-E00-400010-026</v>
          </cell>
          <cell r="F21242">
            <v>2451649395</v>
          </cell>
        </row>
        <row r="21243">
          <cell r="E21243" t="str">
            <v>LUC-E00-400010-022</v>
          </cell>
          <cell r="F21243">
            <v>2451649395</v>
          </cell>
        </row>
        <row r="21244">
          <cell r="E21244" t="str">
            <v>LUC-EZZ-400542-00</v>
          </cell>
          <cell r="F21244">
            <v>2451649395</v>
          </cell>
        </row>
        <row r="21245">
          <cell r="E21245" t="str">
            <v>LUC-E00-510093-00</v>
          </cell>
          <cell r="F21245">
            <v>2451649395</v>
          </cell>
        </row>
        <row r="21246">
          <cell r="E21246" t="str">
            <v>LUC-EZZ-420200-00</v>
          </cell>
          <cell r="F21246">
            <v>2451649395</v>
          </cell>
        </row>
        <row r="21247">
          <cell r="E21247" t="str">
            <v>LUC-E00-400010-012</v>
          </cell>
          <cell r="F21247">
            <v>2451649395</v>
          </cell>
        </row>
        <row r="21248">
          <cell r="E21248" t="str">
            <v>LUC-E00-420037-00</v>
          </cell>
          <cell r="F21248">
            <v>2451649395</v>
          </cell>
        </row>
        <row r="21249">
          <cell r="E21249" t="str">
            <v>LUC-EZZ-440166-00</v>
          </cell>
          <cell r="F21249">
            <v>2451649395</v>
          </cell>
        </row>
        <row r="21250">
          <cell r="E21250" t="str">
            <v>LUC-E00-420050-00</v>
          </cell>
          <cell r="F21250">
            <v>2451649395</v>
          </cell>
        </row>
        <row r="21251">
          <cell r="E21251" t="str">
            <v>LUC-E00-420050-00</v>
          </cell>
          <cell r="F21251">
            <v>2451649395</v>
          </cell>
        </row>
        <row r="21252">
          <cell r="E21252" t="str">
            <v>LUC-EZZ-420046-00</v>
          </cell>
          <cell r="F21252">
            <v>2451649395</v>
          </cell>
        </row>
        <row r="21253">
          <cell r="E21253" t="str">
            <v>LUC-E00-420054-05</v>
          </cell>
          <cell r="F21253">
            <v>2451649395</v>
          </cell>
        </row>
        <row r="21254">
          <cell r="E21254" t="str">
            <v>LUC-E00-400056-00</v>
          </cell>
          <cell r="F21254">
            <v>2451649395</v>
          </cell>
        </row>
        <row r="21255">
          <cell r="E21255" t="str">
            <v>LUC-EZZ-450070-00</v>
          </cell>
          <cell r="F21255">
            <v>4812855657</v>
          </cell>
        </row>
        <row r="21256">
          <cell r="E21256" t="str">
            <v>LUC-EZZ-450070-00</v>
          </cell>
          <cell r="F21256">
            <v>4812855657</v>
          </cell>
        </row>
        <row r="21257">
          <cell r="E21257" t="str">
            <v>LUC-EZZ-400766-00</v>
          </cell>
          <cell r="F21257">
            <v>4215686366</v>
          </cell>
        </row>
        <row r="21258">
          <cell r="E21258" t="str">
            <v>174-000139</v>
          </cell>
          <cell r="F21258">
            <v>4215686366</v>
          </cell>
        </row>
        <row r="21259">
          <cell r="E21259" t="str">
            <v>LUC-EZZ-400234-00</v>
          </cell>
          <cell r="F21259">
            <v>4215686366</v>
          </cell>
        </row>
        <row r="21260">
          <cell r="E21260" t="str">
            <v>LUC-EZZ-400606-00</v>
          </cell>
          <cell r="F21260">
            <v>4215686366</v>
          </cell>
        </row>
        <row r="21261">
          <cell r="E21261" t="str">
            <v>LUC-EZZ-400218-00</v>
          </cell>
          <cell r="F21261">
            <v>4215686366</v>
          </cell>
        </row>
        <row r="21262">
          <cell r="E21262" t="str">
            <v>LUC-EZZ-400194-00</v>
          </cell>
          <cell r="F21262">
            <v>4215686366</v>
          </cell>
        </row>
        <row r="21263">
          <cell r="E21263" t="str">
            <v>LUC-EZZ-400235-00</v>
          </cell>
          <cell r="F21263">
            <v>4215686366</v>
          </cell>
        </row>
        <row r="21264">
          <cell r="E21264" t="str">
            <v>LUC-E00-460005-00</v>
          </cell>
          <cell r="F21264">
            <v>4215686366</v>
          </cell>
        </row>
        <row r="21265">
          <cell r="E21265" t="str">
            <v>LUC-E00-510061-01</v>
          </cell>
          <cell r="F21265">
            <v>4215686366</v>
          </cell>
        </row>
        <row r="21266">
          <cell r="E21266" t="str">
            <v>LUC-EZZ-420396-00</v>
          </cell>
          <cell r="F21266">
            <v>4215686366</v>
          </cell>
        </row>
        <row r="21267">
          <cell r="E21267" t="str">
            <v>LUC-EZZ-400259-00</v>
          </cell>
          <cell r="F21267">
            <v>4215686366</v>
          </cell>
        </row>
        <row r="21268">
          <cell r="E21268" t="str">
            <v>LUC-EZZ-450214-00</v>
          </cell>
          <cell r="F21268">
            <v>4215686366</v>
          </cell>
        </row>
        <row r="21269">
          <cell r="E21269" t="str">
            <v>LUC-E00-400023-000</v>
          </cell>
          <cell r="F21269">
            <v>4215686366</v>
          </cell>
        </row>
        <row r="21270">
          <cell r="E21270" t="str">
            <v>LUC-E00-420037-02</v>
          </cell>
          <cell r="F21270">
            <v>4215686366</v>
          </cell>
        </row>
        <row r="21271">
          <cell r="E21271" t="str">
            <v>LUC-EZZ-420536-00</v>
          </cell>
          <cell r="F21271">
            <v>4215687556</v>
          </cell>
        </row>
        <row r="21272">
          <cell r="E21272" t="str">
            <v>LUC-EZZ-421298-00</v>
          </cell>
          <cell r="F21272">
            <v>4215687556</v>
          </cell>
        </row>
        <row r="21273">
          <cell r="E21273" t="str">
            <v>LUC-E00-400192-00</v>
          </cell>
          <cell r="F21273">
            <v>4215687556</v>
          </cell>
        </row>
        <row r="21274">
          <cell r="E21274" t="str">
            <v>LUC-E00-510001-00</v>
          </cell>
          <cell r="F21274">
            <v>4215687556</v>
          </cell>
        </row>
        <row r="21275">
          <cell r="E21275" t="str">
            <v>LUC-EZZ-510014-00</v>
          </cell>
          <cell r="F21275">
            <v>4215687556</v>
          </cell>
        </row>
        <row r="21276">
          <cell r="E21276" t="str">
            <v>LUC-EZZ-400223-00</v>
          </cell>
          <cell r="F21276">
            <v>4215687556</v>
          </cell>
        </row>
        <row r="21277">
          <cell r="E21277" t="str">
            <v>LUC-EZZ-400239-00</v>
          </cell>
          <cell r="F21277">
            <v>4215687556</v>
          </cell>
        </row>
        <row r="21278">
          <cell r="E21278" t="str">
            <v>LUC-EZZ-400205-00</v>
          </cell>
          <cell r="F21278">
            <v>4215687556</v>
          </cell>
        </row>
        <row r="21279">
          <cell r="E21279" t="str">
            <v>LUC-EZZ-400011-00</v>
          </cell>
          <cell r="F21279">
            <v>4215687556</v>
          </cell>
        </row>
        <row r="21280">
          <cell r="E21280" t="str">
            <v>LUC-EZZ-420189-00</v>
          </cell>
          <cell r="F21280">
            <v>4215687556</v>
          </cell>
        </row>
        <row r="21281">
          <cell r="E21281" t="str">
            <v>LUC-EZZ-400192-00</v>
          </cell>
          <cell r="F21281">
            <v>4215687556</v>
          </cell>
        </row>
        <row r="21282">
          <cell r="E21282" t="str">
            <v>LUC-EZZ-420211-00</v>
          </cell>
          <cell r="F21282">
            <v>4215687556</v>
          </cell>
        </row>
        <row r="21283">
          <cell r="E21283" t="str">
            <v>LUC-EZZ-400248-00</v>
          </cell>
          <cell r="F21283">
            <v>4215687556</v>
          </cell>
        </row>
        <row r="21284">
          <cell r="E21284" t="str">
            <v>LUC-EZZ-420094-00</v>
          </cell>
          <cell r="F21284">
            <v>4215687556</v>
          </cell>
        </row>
        <row r="21285">
          <cell r="E21285" t="str">
            <v>LUC-E00-420049-01</v>
          </cell>
          <cell r="F21285">
            <v>4215687556</v>
          </cell>
        </row>
        <row r="21286">
          <cell r="E21286" t="str">
            <v>LUC-EZZ-420099-00</v>
          </cell>
          <cell r="F21286">
            <v>4215687556</v>
          </cell>
        </row>
        <row r="21287">
          <cell r="E21287" t="str">
            <v>LUC-EZZ-400414-00</v>
          </cell>
          <cell r="F21287">
            <v>4215687556</v>
          </cell>
        </row>
        <row r="21288">
          <cell r="E21288" t="str">
            <v>LUC-E00-400010-012</v>
          </cell>
          <cell r="F21288">
            <v>4215687556</v>
          </cell>
        </row>
        <row r="21289">
          <cell r="E21289" t="str">
            <v>LUC-E00-420003-00</v>
          </cell>
          <cell r="F21289">
            <v>4215687556</v>
          </cell>
        </row>
        <row r="21290">
          <cell r="E21290" t="str">
            <v>LUC-EZZ-400260-00</v>
          </cell>
          <cell r="F21290">
            <v>4215687556</v>
          </cell>
        </row>
        <row r="21291">
          <cell r="E21291" t="str">
            <v>LUC-EZZ-400812-00</v>
          </cell>
          <cell r="F21291">
            <v>4215687556</v>
          </cell>
        </row>
        <row r="21292">
          <cell r="E21292" t="str">
            <v>LUC-E00-400010-004</v>
          </cell>
          <cell r="F21292">
            <v>4215687556</v>
          </cell>
        </row>
        <row r="21293">
          <cell r="E21293" t="str">
            <v>LUC-E00-420173-00</v>
          </cell>
          <cell r="F21293">
            <v>4215687556</v>
          </cell>
        </row>
        <row r="21294">
          <cell r="E21294" t="str">
            <v>LUC-E00-400010-008</v>
          </cell>
          <cell r="F21294">
            <v>4215687556</v>
          </cell>
        </row>
        <row r="21295">
          <cell r="E21295" t="str">
            <v>LUC-EZZ-401720-00</v>
          </cell>
          <cell r="F21295">
            <v>4215687556</v>
          </cell>
        </row>
        <row r="21296">
          <cell r="E21296" t="str">
            <v>LUC-EZZ-440022-00</v>
          </cell>
          <cell r="F21296">
            <v>4215687556</v>
          </cell>
        </row>
        <row r="21297">
          <cell r="E21297" t="str">
            <v>LUC-EZZ-400831-00</v>
          </cell>
          <cell r="F21297">
            <v>4215687556</v>
          </cell>
        </row>
        <row r="21298">
          <cell r="E21298" t="str">
            <v>LUC-EZZ-400036-00</v>
          </cell>
          <cell r="F21298">
            <v>4215687556</v>
          </cell>
        </row>
        <row r="21299">
          <cell r="E21299" t="str">
            <v>LUC-EZZ-400208-00</v>
          </cell>
          <cell r="F21299">
            <v>4215687556</v>
          </cell>
        </row>
        <row r="21300">
          <cell r="E21300" t="str">
            <v>LUC-P11-KA6000-04</v>
          </cell>
          <cell r="F21300" t="str">
            <v>HWHPH2503292</v>
          </cell>
        </row>
        <row r="21301">
          <cell r="E21301" t="str">
            <v>LUC-P11-L1AU00-02</v>
          </cell>
          <cell r="F21301" t="str">
            <v>HWHPH2503299</v>
          </cell>
        </row>
        <row r="21302">
          <cell r="E21302" t="str">
            <v>LUC-EZZ-490316-02</v>
          </cell>
          <cell r="F21302">
            <v>1516716</v>
          </cell>
        </row>
        <row r="21303">
          <cell r="E21303" t="str">
            <v>LUC-EZZ-490259-00</v>
          </cell>
          <cell r="F21303">
            <v>1516716</v>
          </cell>
        </row>
        <row r="21304">
          <cell r="E21304" t="str">
            <v>LUC-EZZ-490259-00</v>
          </cell>
          <cell r="F21304">
            <v>1516716</v>
          </cell>
        </row>
        <row r="21305">
          <cell r="E21305" t="str">
            <v>LUC-EZZ-490231-05</v>
          </cell>
          <cell r="F21305">
            <v>1516716</v>
          </cell>
        </row>
        <row r="21306">
          <cell r="E21306" t="str">
            <v>LUC-EZZ-490310-04</v>
          </cell>
          <cell r="F21306">
            <v>1516716</v>
          </cell>
        </row>
        <row r="21307">
          <cell r="E21307" t="str">
            <v>LUC-EZZ-490304-04</v>
          </cell>
          <cell r="F21307">
            <v>1516716</v>
          </cell>
        </row>
        <row r="21308">
          <cell r="E21308" t="str">
            <v>LUC-EZZ-490310-04</v>
          </cell>
          <cell r="F21308">
            <v>1516716</v>
          </cell>
        </row>
        <row r="21309">
          <cell r="E21309" t="str">
            <v>LUC-EZZ-490200-07</v>
          </cell>
          <cell r="F21309">
            <v>1516716</v>
          </cell>
        </row>
        <row r="21310">
          <cell r="E21310" t="str">
            <v>LUC-EZZ-490121-06</v>
          </cell>
          <cell r="F21310">
            <v>1516716</v>
          </cell>
        </row>
        <row r="21311">
          <cell r="E21311" t="str">
            <v>LUC-P11-K2B300-03</v>
          </cell>
          <cell r="F21311" t="str">
            <v>WTPKELHPH250674</v>
          </cell>
        </row>
        <row r="21312">
          <cell r="E21312" t="str">
            <v>LUC-P11-K2B400-02</v>
          </cell>
          <cell r="F21312" t="str">
            <v>WTPKELHPH250674</v>
          </cell>
        </row>
        <row r="21313">
          <cell r="E21313" t="str">
            <v>LUC-P11-K2B300-03</v>
          </cell>
          <cell r="F21313" t="str">
            <v>WTPKELHPH250674</v>
          </cell>
        </row>
        <row r="21314">
          <cell r="E21314" t="str">
            <v>LUC-EZZ-400210-00</v>
          </cell>
          <cell r="F21314">
            <v>3184325281</v>
          </cell>
        </row>
        <row r="21315">
          <cell r="E21315" t="str">
            <v>LUC-EZZ-400225-00</v>
          </cell>
          <cell r="F21315">
            <v>3184325281</v>
          </cell>
        </row>
        <row r="21316">
          <cell r="E21316" t="str">
            <v>LUC-EZZ-420210-00</v>
          </cell>
          <cell r="F21316">
            <v>3184325281</v>
          </cell>
        </row>
        <row r="21317">
          <cell r="E21317" t="str">
            <v>LUC-EZZ-450179-00</v>
          </cell>
          <cell r="F21317">
            <v>3184325281</v>
          </cell>
        </row>
        <row r="21318">
          <cell r="E21318" t="str">
            <v>LUC-EZZ-420172-00</v>
          </cell>
          <cell r="F21318">
            <v>3184325281</v>
          </cell>
        </row>
        <row r="21319">
          <cell r="E21319" t="str">
            <v>LUC-EZZ-470464-00</v>
          </cell>
          <cell r="F21319">
            <v>3184325281</v>
          </cell>
        </row>
        <row r="21320">
          <cell r="E21320" t="str">
            <v>LUC-EZZ-450249-00</v>
          </cell>
          <cell r="F21320">
            <v>3184325281</v>
          </cell>
        </row>
        <row r="21321">
          <cell r="E21321" t="str">
            <v>LUC-E00-470047-00</v>
          </cell>
          <cell r="F21321">
            <v>7932870072</v>
          </cell>
        </row>
        <row r="21322">
          <cell r="E21322" t="str">
            <v>PUR-03-0092-03</v>
          </cell>
          <cell r="F21322" t="str">
            <v>8XN0190</v>
          </cell>
        </row>
        <row r="21323">
          <cell r="E21323" t="str">
            <v>PUR-03-0092-03</v>
          </cell>
          <cell r="F21323" t="str">
            <v>8XN0179</v>
          </cell>
        </row>
        <row r="21324">
          <cell r="E21324" t="str">
            <v>PUR-03-0104-03</v>
          </cell>
          <cell r="F21324" t="str">
            <v>8XN0168</v>
          </cell>
        </row>
        <row r="21325">
          <cell r="E21325" t="str">
            <v>PUR-03-0092-03</v>
          </cell>
          <cell r="F21325" t="str">
            <v>8XN0178</v>
          </cell>
        </row>
        <row r="21326">
          <cell r="E21326" t="str">
            <v>PUR-03-0092-03</v>
          </cell>
          <cell r="F21326" t="str">
            <v>8XN0177</v>
          </cell>
        </row>
        <row r="21327">
          <cell r="E21327" t="str">
            <v>HLOB-03-0113-00</v>
          </cell>
          <cell r="F21327" t="str">
            <v>8XN0162</v>
          </cell>
        </row>
        <row r="21328">
          <cell r="E21328" t="str">
            <v>PUR-03-0092-03</v>
          </cell>
          <cell r="F21328" t="str">
            <v>8XN0175</v>
          </cell>
        </row>
        <row r="21329">
          <cell r="E21329" t="str">
            <v>PUR-03-0092-03</v>
          </cell>
          <cell r="F21329" t="str">
            <v>8XN0180</v>
          </cell>
        </row>
        <row r="21330">
          <cell r="E21330" t="str">
            <v>PUR-03-0092-03</v>
          </cell>
          <cell r="F21330" t="str">
            <v>8XN0181</v>
          </cell>
        </row>
        <row r="21331">
          <cell r="E21331" t="str">
            <v>PUR-03-0092-03</v>
          </cell>
          <cell r="F21331" t="str">
            <v>8XN0173</v>
          </cell>
        </row>
        <row r="21332">
          <cell r="E21332" t="str">
            <v>PUR-03-0092-03</v>
          </cell>
          <cell r="F21332" t="str">
            <v>8XN0167</v>
          </cell>
        </row>
        <row r="21333">
          <cell r="E21333" t="str">
            <v>PUR-03-0092-03</v>
          </cell>
          <cell r="F21333" t="str">
            <v>8XN0176</v>
          </cell>
        </row>
        <row r="21334">
          <cell r="E21334" t="str">
            <v>PUR-03-0092-03</v>
          </cell>
          <cell r="F21334" t="str">
            <v>8XN0174</v>
          </cell>
        </row>
        <row r="21335">
          <cell r="E21335" t="str">
            <v>EF-45036461.X.X</v>
          </cell>
          <cell r="F21335">
            <v>885440939559</v>
          </cell>
        </row>
        <row r="21336">
          <cell r="E21336" t="str">
            <v>HLOB-12-0412-00</v>
          </cell>
          <cell r="F21336">
            <v>885440939559</v>
          </cell>
        </row>
        <row r="21337">
          <cell r="E21337" t="str">
            <v>HLOB-12-0475-00</v>
          </cell>
          <cell r="F21337">
            <v>885440939559</v>
          </cell>
        </row>
        <row r="21338">
          <cell r="E21338" t="str">
            <v>HLOB-12-0474-00</v>
          </cell>
          <cell r="F21338">
            <v>885440939559</v>
          </cell>
        </row>
        <row r="21339">
          <cell r="E21339" t="str">
            <v>HLOB-12-0170-00</v>
          </cell>
          <cell r="F21339">
            <v>885440939559</v>
          </cell>
        </row>
        <row r="21340">
          <cell r="E21340" t="str">
            <v>HLOB-12-0088-00</v>
          </cell>
          <cell r="F21340">
            <v>885440939559</v>
          </cell>
        </row>
        <row r="21341">
          <cell r="E21341" t="str">
            <v>HLOB-12-0056-00</v>
          </cell>
          <cell r="F21341">
            <v>885440939559</v>
          </cell>
        </row>
        <row r="21342">
          <cell r="E21342" t="str">
            <v>HLOB-12-0284-00</v>
          </cell>
          <cell r="F21342">
            <v>885440939559</v>
          </cell>
        </row>
        <row r="21343">
          <cell r="E21343" t="str">
            <v>AIC-MP-00002556-000</v>
          </cell>
          <cell r="F21343">
            <v>885440939559</v>
          </cell>
        </row>
        <row r="21344">
          <cell r="E21344" t="str">
            <v>AIC-MP-00002335-000</v>
          </cell>
          <cell r="F21344">
            <v>885440939559</v>
          </cell>
        </row>
        <row r="21345">
          <cell r="E21345" t="str">
            <v>AIC-MP-00002591-000</v>
          </cell>
          <cell r="F21345">
            <v>885440939559</v>
          </cell>
        </row>
        <row r="21346">
          <cell r="E21346" t="str">
            <v>AIC-MP-00002534-000</v>
          </cell>
          <cell r="F21346">
            <v>885440939559</v>
          </cell>
        </row>
        <row r="21347">
          <cell r="E21347" t="str">
            <v>AIC-MP-00001130-000</v>
          </cell>
          <cell r="F21347">
            <v>885440939559</v>
          </cell>
        </row>
        <row r="21348">
          <cell r="E21348" t="str">
            <v>EF-45092460.X.X</v>
          </cell>
          <cell r="F21348">
            <v>885440939559</v>
          </cell>
        </row>
        <row r="21349">
          <cell r="E21349" t="str">
            <v>EF-45036483.X.X</v>
          </cell>
          <cell r="F21349">
            <v>885440939559</v>
          </cell>
        </row>
        <row r="21350">
          <cell r="E21350" t="str">
            <v>EF-45043833.X.X</v>
          </cell>
          <cell r="F21350">
            <v>885440939559</v>
          </cell>
        </row>
        <row r="21351">
          <cell r="E21351" t="str">
            <v>PURET-12-0056-00</v>
          </cell>
          <cell r="F21351">
            <v>885440939559</v>
          </cell>
        </row>
        <row r="21352">
          <cell r="E21352" t="str">
            <v>PURET-12-0170-00</v>
          </cell>
          <cell r="F21352">
            <v>885440939559</v>
          </cell>
        </row>
        <row r="21353">
          <cell r="E21353" t="str">
            <v>PUR-12-0474-00</v>
          </cell>
          <cell r="F21353">
            <v>885440939559</v>
          </cell>
        </row>
        <row r="21354">
          <cell r="E21354" t="str">
            <v>PUR-12-0475-00</v>
          </cell>
          <cell r="F21354">
            <v>885440939559</v>
          </cell>
        </row>
        <row r="21355">
          <cell r="E21355" t="str">
            <v>PURET-12-0170-00</v>
          </cell>
          <cell r="F21355">
            <v>885440939559</v>
          </cell>
        </row>
        <row r="21356">
          <cell r="E21356" t="str">
            <v>PUR-12-0432-00</v>
          </cell>
          <cell r="F21356">
            <v>885440939559</v>
          </cell>
        </row>
        <row r="21357">
          <cell r="E21357" t="str">
            <v>EF-45036483.X.X</v>
          </cell>
          <cell r="F21357">
            <v>885440939559</v>
          </cell>
        </row>
        <row r="21358">
          <cell r="E21358" t="str">
            <v>EF-45036826</v>
          </cell>
          <cell r="F21358">
            <v>885440939559</v>
          </cell>
        </row>
        <row r="21359">
          <cell r="E21359" t="str">
            <v>PUR-12-0474-00</v>
          </cell>
          <cell r="F21359">
            <v>885440939559</v>
          </cell>
        </row>
        <row r="21360">
          <cell r="E21360" t="str">
            <v>LUC-E00-440051-01</v>
          </cell>
          <cell r="F21360">
            <v>446064270381</v>
          </cell>
        </row>
        <row r="21361">
          <cell r="E21361" t="str">
            <v>LUC-EZZ-440018-00</v>
          </cell>
          <cell r="F21361">
            <v>446064270381</v>
          </cell>
        </row>
        <row r="21362">
          <cell r="E21362" t="str">
            <v>LUC-E00-450039-00</v>
          </cell>
          <cell r="F21362">
            <v>394535864014</v>
          </cell>
        </row>
        <row r="21363">
          <cell r="E21363" t="str">
            <v>LUC-EZZ-440031-00</v>
          </cell>
          <cell r="F21363">
            <v>446064264581</v>
          </cell>
        </row>
        <row r="21364">
          <cell r="E21364" t="str">
            <v>LUC-E00-460007-00</v>
          </cell>
          <cell r="F21364">
            <v>486655218496</v>
          </cell>
        </row>
        <row r="21365">
          <cell r="E21365" t="str">
            <v>LUC-EZZ-510052-00</v>
          </cell>
          <cell r="F21365">
            <v>972682057216</v>
          </cell>
        </row>
        <row r="21366">
          <cell r="E21366" t="str">
            <v>LUC-EZZ-471023-00</v>
          </cell>
          <cell r="F21366">
            <v>972682057216</v>
          </cell>
        </row>
        <row r="21367">
          <cell r="E21367" t="str">
            <v>LUC-EZZ-400411-00</v>
          </cell>
          <cell r="F21367">
            <v>972682057216</v>
          </cell>
        </row>
        <row r="21368">
          <cell r="E21368" t="str">
            <v>LUC-E00-440047-00</v>
          </cell>
          <cell r="F21368">
            <v>972682057216</v>
          </cell>
        </row>
        <row r="21369">
          <cell r="E21369" t="str">
            <v>LUC-EZZ-420172-00</v>
          </cell>
          <cell r="F21369">
            <v>972682057216</v>
          </cell>
        </row>
        <row r="21370">
          <cell r="E21370" t="str">
            <v>LUC-EZZ-420102-00</v>
          </cell>
          <cell r="F21370">
            <v>972682057216</v>
          </cell>
        </row>
        <row r="21371">
          <cell r="E21371" t="str">
            <v>LUC-E00-510034-00</v>
          </cell>
          <cell r="F21371">
            <v>972682057216</v>
          </cell>
        </row>
        <row r="21372">
          <cell r="E21372" t="str">
            <v>LUC-E00-400001-005</v>
          </cell>
          <cell r="F21372">
            <v>4711889453</v>
          </cell>
        </row>
        <row r="21373">
          <cell r="E21373" t="str">
            <v>LUC-E00-420074-00</v>
          </cell>
          <cell r="F21373">
            <v>4711889453</v>
          </cell>
        </row>
        <row r="21374">
          <cell r="E21374" t="str">
            <v>LUC-E00-420046-00</v>
          </cell>
          <cell r="F21374">
            <v>4711889453</v>
          </cell>
        </row>
        <row r="21375">
          <cell r="E21375" t="str">
            <v>LUC-EZZ-420665-00</v>
          </cell>
          <cell r="F21375">
            <v>4711889453</v>
          </cell>
        </row>
        <row r="21376">
          <cell r="E21376" t="str">
            <v>LUC-EZZ-420665-00</v>
          </cell>
          <cell r="F21376">
            <v>4711889453</v>
          </cell>
        </row>
        <row r="21377">
          <cell r="E21377" t="str">
            <v>LUC-EZZ-420665-00</v>
          </cell>
          <cell r="F21377">
            <v>4711889453</v>
          </cell>
        </row>
        <row r="21378">
          <cell r="E21378" t="str">
            <v>LUC-E00-420036-00</v>
          </cell>
          <cell r="F21378">
            <v>4711889453</v>
          </cell>
        </row>
        <row r="21379">
          <cell r="E21379" t="str">
            <v>LUC-EZZ-420511-00</v>
          </cell>
          <cell r="F21379">
            <v>4711889453</v>
          </cell>
        </row>
        <row r="21380">
          <cell r="E21380" t="str">
            <v>LUC-E00-400034-019</v>
          </cell>
          <cell r="F21380">
            <v>4711889453</v>
          </cell>
        </row>
        <row r="21381">
          <cell r="E21381" t="str">
            <v>LUC-E00-400034-019</v>
          </cell>
          <cell r="F21381">
            <v>4711889453</v>
          </cell>
        </row>
        <row r="21382">
          <cell r="E21382" t="str">
            <v>LUC-E00-400034-019</v>
          </cell>
          <cell r="F21382">
            <v>4711889453</v>
          </cell>
        </row>
        <row r="21383">
          <cell r="E21383" t="str">
            <v>LUC-E00-400025-01</v>
          </cell>
          <cell r="F21383">
            <v>4711889453</v>
          </cell>
        </row>
        <row r="21384">
          <cell r="E21384" t="str">
            <v>LUC-E00-400025-01</v>
          </cell>
          <cell r="F21384">
            <v>4711889453</v>
          </cell>
        </row>
        <row r="21385">
          <cell r="E21385" t="str">
            <v>LUC-E00-420074-00</v>
          </cell>
          <cell r="F21385">
            <v>4711889453</v>
          </cell>
        </row>
        <row r="21386">
          <cell r="E21386" t="str">
            <v>LUC-E00-420074-00</v>
          </cell>
          <cell r="F21386">
            <v>4711889453</v>
          </cell>
        </row>
        <row r="21387">
          <cell r="E21387" t="str">
            <v>LUC-E00-420074-00</v>
          </cell>
          <cell r="F21387">
            <v>4711889453</v>
          </cell>
        </row>
        <row r="21388">
          <cell r="E21388" t="str">
            <v>LUC-E00-420074-00</v>
          </cell>
          <cell r="F21388">
            <v>4711889453</v>
          </cell>
        </row>
        <row r="21389">
          <cell r="E21389" t="str">
            <v>LUC-E00-400025-01</v>
          </cell>
          <cell r="F21389">
            <v>4711889453</v>
          </cell>
        </row>
        <row r="21390">
          <cell r="E21390" t="str">
            <v>LUC-E00-440108-00</v>
          </cell>
          <cell r="F21390">
            <v>4711889453</v>
          </cell>
        </row>
        <row r="21391">
          <cell r="E21391" t="str">
            <v>LUC-EZZ-510106-00</v>
          </cell>
          <cell r="F21391">
            <v>4711889453</v>
          </cell>
        </row>
        <row r="21392">
          <cell r="E21392" t="str">
            <v>LUC-E00-420046-00</v>
          </cell>
          <cell r="F21392">
            <v>4711889453</v>
          </cell>
        </row>
        <row r="21393">
          <cell r="E21393" t="str">
            <v>LUC-E00-400034-019</v>
          </cell>
          <cell r="F21393">
            <v>4711889453</v>
          </cell>
        </row>
        <row r="21394">
          <cell r="E21394" t="str">
            <v>LUC-EZZ-420665-00</v>
          </cell>
          <cell r="F21394">
            <v>4711889453</v>
          </cell>
        </row>
        <row r="21395">
          <cell r="E21395" t="str">
            <v>LUC-E00-400067-008</v>
          </cell>
          <cell r="F21395">
            <v>4711889453</v>
          </cell>
        </row>
        <row r="21396">
          <cell r="E21396" t="str">
            <v>LUC-EZZ-420665-00</v>
          </cell>
          <cell r="F21396">
            <v>4711889453</v>
          </cell>
        </row>
        <row r="21397">
          <cell r="E21397" t="str">
            <v>LUC-EZZ-420665-00</v>
          </cell>
          <cell r="F21397">
            <v>4711889453</v>
          </cell>
        </row>
        <row r="21398">
          <cell r="E21398" t="str">
            <v>LUC-E00-460005-00</v>
          </cell>
          <cell r="F21398">
            <v>4711889453</v>
          </cell>
        </row>
        <row r="21399">
          <cell r="E21399" t="str">
            <v>LUC-E00-420046-00</v>
          </cell>
          <cell r="F21399">
            <v>4711889453</v>
          </cell>
        </row>
        <row r="21400">
          <cell r="E21400" t="str">
            <v>LUC-E00-420046-00</v>
          </cell>
          <cell r="F21400">
            <v>4711889453</v>
          </cell>
        </row>
        <row r="21401">
          <cell r="E21401" t="str">
            <v>LUC-E00-510029-00</v>
          </cell>
          <cell r="F21401">
            <v>4711889453</v>
          </cell>
        </row>
        <row r="21402">
          <cell r="E21402" t="str">
            <v>LUC-E00-440147-00</v>
          </cell>
          <cell r="F21402">
            <v>4711889453</v>
          </cell>
        </row>
        <row r="21403">
          <cell r="E21403" t="str">
            <v>AIC-MP-00006304-000</v>
          </cell>
          <cell r="F21403">
            <v>4711889453</v>
          </cell>
        </row>
        <row r="21404">
          <cell r="E21404" t="str">
            <v>AIC-MP-00006304-000</v>
          </cell>
          <cell r="F21404">
            <v>4711889453</v>
          </cell>
        </row>
        <row r="21405">
          <cell r="E21405" t="str">
            <v>PUR-13-0131-00</v>
          </cell>
          <cell r="F21405">
            <v>4711889453</v>
          </cell>
        </row>
        <row r="21406">
          <cell r="E21406" t="str">
            <v>PURET-13-0001-00</v>
          </cell>
          <cell r="F21406">
            <v>4711889453</v>
          </cell>
        </row>
        <row r="21407">
          <cell r="E21407" t="str">
            <v>PUR-27-0024-00</v>
          </cell>
          <cell r="F21407">
            <v>4711889453</v>
          </cell>
        </row>
        <row r="21408">
          <cell r="E21408" t="str">
            <v>PUR-13-0131-00</v>
          </cell>
          <cell r="F21408">
            <v>4711889453</v>
          </cell>
        </row>
        <row r="21409">
          <cell r="E21409" t="str">
            <v>PUR-27-0024-00</v>
          </cell>
          <cell r="F21409">
            <v>4711889453</v>
          </cell>
        </row>
        <row r="21410">
          <cell r="E21410" t="str">
            <v>HLOB-13-0131-00</v>
          </cell>
          <cell r="F21410">
            <v>4711889453</v>
          </cell>
        </row>
        <row r="21411">
          <cell r="E21411" t="str">
            <v>AIC-MP-00006010-000</v>
          </cell>
          <cell r="F21411">
            <v>4711889453</v>
          </cell>
        </row>
        <row r="21412">
          <cell r="E21412" t="str">
            <v>AIC-MP-00006924-000</v>
          </cell>
          <cell r="F21412">
            <v>4711889453</v>
          </cell>
        </row>
        <row r="21413">
          <cell r="E21413" t="str">
            <v>AIC-122-004327</v>
          </cell>
          <cell r="F21413">
            <v>4711889453</v>
          </cell>
        </row>
        <row r="21414">
          <cell r="E21414" t="str">
            <v>PUR-14-0085-00</v>
          </cell>
          <cell r="F21414">
            <v>4711889453</v>
          </cell>
        </row>
        <row r="21415">
          <cell r="E21415" t="str">
            <v>AIC-MP-00003782-000</v>
          </cell>
          <cell r="F21415">
            <v>4711889453</v>
          </cell>
        </row>
        <row r="21416">
          <cell r="E21416" t="str">
            <v>PUR-14-0085-00</v>
          </cell>
          <cell r="F21416">
            <v>4711889453</v>
          </cell>
        </row>
        <row r="21417">
          <cell r="E21417" t="str">
            <v>AIC-MP-00006923-000</v>
          </cell>
          <cell r="F21417">
            <v>4711889453</v>
          </cell>
        </row>
        <row r="21418">
          <cell r="E21418" t="str">
            <v>PUR-13-0131-00</v>
          </cell>
          <cell r="F21418">
            <v>4711889453</v>
          </cell>
        </row>
        <row r="21419">
          <cell r="E21419" t="str">
            <v>HLOB-09-0346-00</v>
          </cell>
          <cell r="F21419">
            <v>4711889453</v>
          </cell>
        </row>
        <row r="21420">
          <cell r="E21420" t="str">
            <v>PUR-09-0346-00</v>
          </cell>
          <cell r="F21420">
            <v>4711889453</v>
          </cell>
        </row>
        <row r="21421">
          <cell r="E21421" t="str">
            <v>LUC-EZZ-510052-00</v>
          </cell>
          <cell r="F21421">
            <v>4711889453</v>
          </cell>
        </row>
        <row r="21422">
          <cell r="E21422" t="str">
            <v>LUC-EZZ-511304-00</v>
          </cell>
          <cell r="F21422">
            <v>4711889453</v>
          </cell>
        </row>
        <row r="21423">
          <cell r="E21423" t="str">
            <v>LUC-E00-540005-00</v>
          </cell>
          <cell r="F21423">
            <v>4711889453</v>
          </cell>
        </row>
        <row r="21424">
          <cell r="E21424" t="str">
            <v>LUC-E00-540005-00</v>
          </cell>
          <cell r="F21424">
            <v>4711889453</v>
          </cell>
        </row>
        <row r="21425">
          <cell r="E21425" t="str">
            <v>LUC-EZZ-520030-00</v>
          </cell>
          <cell r="F21425">
            <v>4711889453</v>
          </cell>
        </row>
        <row r="21426">
          <cell r="E21426" t="str">
            <v>LUC-EZZ-420866-00</v>
          </cell>
          <cell r="F21426">
            <v>4711889453</v>
          </cell>
        </row>
        <row r="21427">
          <cell r="E21427" t="str">
            <v>LUC-EZZ-420325-00</v>
          </cell>
          <cell r="F21427">
            <v>4711889453</v>
          </cell>
        </row>
        <row r="21428">
          <cell r="E21428" t="str">
            <v>LUC-EZZ-440189-00</v>
          </cell>
          <cell r="F21428">
            <v>4711889453</v>
          </cell>
        </row>
        <row r="21429">
          <cell r="E21429" t="str">
            <v>LUC-EZZ-400608-00</v>
          </cell>
          <cell r="F21429">
            <v>4711889453</v>
          </cell>
        </row>
        <row r="21430">
          <cell r="E21430" t="str">
            <v>LUC-EZZ-420195-00</v>
          </cell>
          <cell r="F21430">
            <v>4711889453</v>
          </cell>
        </row>
        <row r="21431">
          <cell r="E21431" t="str">
            <v>LUC-EZZ-420124-00</v>
          </cell>
          <cell r="F21431">
            <v>4711889453</v>
          </cell>
        </row>
        <row r="21432">
          <cell r="E21432" t="str">
            <v>LUC-EZZ-421267-00</v>
          </cell>
          <cell r="F21432">
            <v>4711889453</v>
          </cell>
        </row>
        <row r="21433">
          <cell r="E21433" t="str">
            <v>LUC-EZZ-440016-00</v>
          </cell>
          <cell r="F21433">
            <v>4711889453</v>
          </cell>
        </row>
        <row r="21434">
          <cell r="E21434" t="str">
            <v>LUC-EZZ-420665-00</v>
          </cell>
          <cell r="F21434">
            <v>4711889453</v>
          </cell>
        </row>
        <row r="21435">
          <cell r="E21435" t="str">
            <v>PURET-13-0119-00</v>
          </cell>
          <cell r="F21435">
            <v>4711889453</v>
          </cell>
        </row>
        <row r="21436">
          <cell r="E21436" t="str">
            <v>PURET-13-0001-00</v>
          </cell>
          <cell r="F21436">
            <v>4711889453</v>
          </cell>
        </row>
        <row r="21437">
          <cell r="E21437" t="str">
            <v>PURET-13-0119-00</v>
          </cell>
          <cell r="F21437">
            <v>4711889453</v>
          </cell>
        </row>
        <row r="21438">
          <cell r="E21438" t="str">
            <v>PURET-13-0119-00</v>
          </cell>
          <cell r="F21438">
            <v>4711889453</v>
          </cell>
        </row>
        <row r="21439">
          <cell r="E21439" t="str">
            <v>PURET-13-0119-00</v>
          </cell>
          <cell r="F21439">
            <v>4711889453</v>
          </cell>
        </row>
        <row r="21440">
          <cell r="E21440" t="str">
            <v>PURET-13-0119-00</v>
          </cell>
          <cell r="F21440">
            <v>4711889453</v>
          </cell>
        </row>
        <row r="21441">
          <cell r="E21441" t="str">
            <v>PURET-13-0119-00</v>
          </cell>
          <cell r="F21441">
            <v>4711889453</v>
          </cell>
        </row>
        <row r="21442">
          <cell r="E21442" t="str">
            <v>PURET-13-0119-00</v>
          </cell>
          <cell r="F21442">
            <v>4711889453</v>
          </cell>
        </row>
        <row r="21443">
          <cell r="E21443" t="str">
            <v>PURET-13-0119-00</v>
          </cell>
          <cell r="F21443">
            <v>4711889453</v>
          </cell>
        </row>
        <row r="21444">
          <cell r="E21444" t="str">
            <v>LUC-E00-440154-00</v>
          </cell>
          <cell r="F21444">
            <v>4711889453</v>
          </cell>
        </row>
        <row r="21445">
          <cell r="E21445" t="str">
            <v>LUC-E00-400023-001</v>
          </cell>
          <cell r="F21445">
            <v>4711889453</v>
          </cell>
        </row>
        <row r="21446">
          <cell r="E21446" t="str">
            <v>LUC-E00-440154-00</v>
          </cell>
          <cell r="F21446">
            <v>4711889453</v>
          </cell>
        </row>
        <row r="21447">
          <cell r="E21447" t="str">
            <v>LUC-E00-420074-00</v>
          </cell>
          <cell r="F21447">
            <v>4711889453</v>
          </cell>
        </row>
        <row r="21448">
          <cell r="E21448" t="str">
            <v>LUC-E00-400023-000</v>
          </cell>
          <cell r="F21448">
            <v>4711889453</v>
          </cell>
        </row>
        <row r="21449">
          <cell r="E21449" t="str">
            <v>LUC-E00-400050-01</v>
          </cell>
          <cell r="F21449">
            <v>4711889453</v>
          </cell>
        </row>
        <row r="21450">
          <cell r="E21450" t="str">
            <v>LUC-E00-400050-01</v>
          </cell>
          <cell r="F21450">
            <v>4711889453</v>
          </cell>
        </row>
        <row r="21451">
          <cell r="E21451" t="str">
            <v>LUC-EZZ-400145-00</v>
          </cell>
          <cell r="F21451">
            <v>4711889453</v>
          </cell>
        </row>
        <row r="21452">
          <cell r="E21452" t="str">
            <v>LUC-E00-440022-00</v>
          </cell>
          <cell r="F21452">
            <v>4711889453</v>
          </cell>
        </row>
        <row r="21453">
          <cell r="E21453" t="str">
            <v>LUC-EZZ-421554-00</v>
          </cell>
          <cell r="F21453">
            <v>4711889453</v>
          </cell>
        </row>
        <row r="21454">
          <cell r="E21454" t="str">
            <v>LUC-EZZ-420331-00</v>
          </cell>
          <cell r="F21454">
            <v>4711889453</v>
          </cell>
        </row>
        <row r="21455">
          <cell r="E21455" t="str">
            <v>LUC-EZZ-510082-00</v>
          </cell>
          <cell r="F21455">
            <v>4711889453</v>
          </cell>
        </row>
        <row r="21456">
          <cell r="E21456" t="str">
            <v>LUC-EZZ-400588-00</v>
          </cell>
          <cell r="F21456">
            <v>4711889453</v>
          </cell>
        </row>
        <row r="21457">
          <cell r="E21457" t="str">
            <v>LUC-EZZ-400588-00</v>
          </cell>
          <cell r="F21457">
            <v>4711889453</v>
          </cell>
        </row>
        <row r="21458">
          <cell r="E21458" t="str">
            <v>LUC-EZZ-510082-00</v>
          </cell>
          <cell r="F21458">
            <v>4711889453</v>
          </cell>
        </row>
        <row r="21459">
          <cell r="E21459" t="str">
            <v>LUC-EZZ-420331-00</v>
          </cell>
          <cell r="F21459">
            <v>4711889453</v>
          </cell>
        </row>
        <row r="21460">
          <cell r="E21460" t="str">
            <v>LUC-E00-540019-00</v>
          </cell>
          <cell r="F21460">
            <v>4711889453</v>
          </cell>
        </row>
        <row r="21461">
          <cell r="E21461" t="str">
            <v>LUC-E00-540019-00</v>
          </cell>
          <cell r="F21461">
            <v>4711889453</v>
          </cell>
        </row>
        <row r="21462">
          <cell r="E21462" t="str">
            <v>LUC-E00-420046-00</v>
          </cell>
          <cell r="F21462">
            <v>4711889453</v>
          </cell>
        </row>
        <row r="21463">
          <cell r="E21463" t="str">
            <v>LUC-E00-450037-00</v>
          </cell>
          <cell r="F21463">
            <v>4711889453</v>
          </cell>
        </row>
        <row r="21464">
          <cell r="E21464" t="str">
            <v>LUC-E00-450037-00</v>
          </cell>
          <cell r="F21464">
            <v>4711889453</v>
          </cell>
        </row>
        <row r="21465">
          <cell r="E21465" t="str">
            <v>LUC-E00-400034-019</v>
          </cell>
          <cell r="F21465">
            <v>4711889453</v>
          </cell>
        </row>
        <row r="21466">
          <cell r="E21466" t="str">
            <v>LUC-E00-400067-008</v>
          </cell>
          <cell r="F21466">
            <v>4711889453</v>
          </cell>
        </row>
        <row r="21467">
          <cell r="E21467" t="str">
            <v>LUC-EZZ-400588-00</v>
          </cell>
          <cell r="F21467">
            <v>4711889453</v>
          </cell>
        </row>
        <row r="21468">
          <cell r="E21468" t="str">
            <v>PURET-13-0001-00</v>
          </cell>
          <cell r="F21468">
            <v>4711889453</v>
          </cell>
        </row>
        <row r="21469">
          <cell r="E21469" t="str">
            <v>PURET-13-0001-00</v>
          </cell>
          <cell r="F21469">
            <v>4711889453</v>
          </cell>
        </row>
        <row r="21470">
          <cell r="E21470" t="str">
            <v>LUC-E00-400267-00</v>
          </cell>
          <cell r="F21470">
            <v>4711889167</v>
          </cell>
        </row>
        <row r="21471">
          <cell r="E21471" t="str">
            <v>LUC-E00-400067-320</v>
          </cell>
          <cell r="F21471">
            <v>4711889167</v>
          </cell>
        </row>
        <row r="21472">
          <cell r="E21472" t="str">
            <v>LUC-E00-400067-207</v>
          </cell>
          <cell r="F21472">
            <v>4711889167</v>
          </cell>
        </row>
        <row r="21473">
          <cell r="E21473" t="str">
            <v>LUC-E00-420033-00</v>
          </cell>
          <cell r="F21473">
            <v>4711889167</v>
          </cell>
        </row>
        <row r="21474">
          <cell r="E21474" t="str">
            <v>LUC-E00-420024-00</v>
          </cell>
          <cell r="F21474">
            <v>4711889167</v>
          </cell>
        </row>
        <row r="21475">
          <cell r="E21475" t="str">
            <v>LUC-E00-420024-00</v>
          </cell>
          <cell r="F21475">
            <v>4711889167</v>
          </cell>
        </row>
        <row r="21476">
          <cell r="E21476" t="str">
            <v>LUC-EZZ-450236-00</v>
          </cell>
          <cell r="F21476">
            <v>4711889167</v>
          </cell>
        </row>
        <row r="21477">
          <cell r="E21477" t="str">
            <v>LUC-E00-420024-00</v>
          </cell>
          <cell r="F21477">
            <v>4711889167</v>
          </cell>
        </row>
        <row r="21478">
          <cell r="E21478" t="str">
            <v>LUC-EZZ-420179-00</v>
          </cell>
          <cell r="F21478">
            <v>4711889167</v>
          </cell>
        </row>
        <row r="21479">
          <cell r="E21479" t="str">
            <v>LUC-EZZ-420188-00</v>
          </cell>
          <cell r="F21479">
            <v>4711889167</v>
          </cell>
        </row>
        <row r="21480">
          <cell r="E21480" t="str">
            <v>LUC-E00-400046-00</v>
          </cell>
          <cell r="F21480">
            <v>4711889167</v>
          </cell>
        </row>
        <row r="21481">
          <cell r="E21481" t="str">
            <v>LUC-E00-400067-374</v>
          </cell>
          <cell r="F21481">
            <v>4711889167</v>
          </cell>
        </row>
        <row r="21482">
          <cell r="E21482" t="str">
            <v>LUC-E00-420011-05</v>
          </cell>
          <cell r="F21482">
            <v>4711889167</v>
          </cell>
        </row>
        <row r="21483">
          <cell r="E21483" t="str">
            <v>LUC-E00-420033-00</v>
          </cell>
          <cell r="F21483">
            <v>4711889167</v>
          </cell>
        </row>
        <row r="21484">
          <cell r="E21484" t="str">
            <v>LUC-EZZ-420493-00</v>
          </cell>
          <cell r="F21484">
            <v>4711889167</v>
          </cell>
        </row>
        <row r="21485">
          <cell r="E21485" t="str">
            <v>LUC-EZZ-420095-00</v>
          </cell>
          <cell r="F21485">
            <v>4711889167</v>
          </cell>
        </row>
        <row r="21486">
          <cell r="E21486" t="str">
            <v>LUC-EZZ-420091-00</v>
          </cell>
          <cell r="F21486">
            <v>4711889167</v>
          </cell>
        </row>
        <row r="21487">
          <cell r="E21487" t="str">
            <v>LUC-E00-400022-000</v>
          </cell>
          <cell r="F21487">
            <v>4711889167</v>
          </cell>
        </row>
        <row r="21488">
          <cell r="E21488" t="str">
            <v>LUC-E00-440012-00</v>
          </cell>
          <cell r="F21488">
            <v>4711889167</v>
          </cell>
        </row>
        <row r="21489">
          <cell r="E21489" t="str">
            <v>LUC-E00-440012-00</v>
          </cell>
          <cell r="F21489">
            <v>4711889167</v>
          </cell>
        </row>
        <row r="21490">
          <cell r="E21490" t="str">
            <v>LUC-E00-440012-00</v>
          </cell>
          <cell r="F21490">
            <v>4711889167</v>
          </cell>
        </row>
        <row r="21491">
          <cell r="E21491" t="str">
            <v>LUC-E00-440030-00</v>
          </cell>
          <cell r="F21491">
            <v>4711889167</v>
          </cell>
        </row>
        <row r="21492">
          <cell r="E21492" t="str">
            <v>LUC-E00-420002-09</v>
          </cell>
          <cell r="F21492">
            <v>4711889167</v>
          </cell>
        </row>
        <row r="21493">
          <cell r="E21493" t="str">
            <v>LUC-E00-420002-09</v>
          </cell>
          <cell r="F21493">
            <v>4711889167</v>
          </cell>
        </row>
        <row r="21494">
          <cell r="E21494" t="str">
            <v>LUC-E00-420002-09</v>
          </cell>
          <cell r="F21494">
            <v>4711889167</v>
          </cell>
        </row>
        <row r="21495">
          <cell r="E21495" t="str">
            <v>LUC-E00-420002-09</v>
          </cell>
          <cell r="F21495">
            <v>4711889167</v>
          </cell>
        </row>
        <row r="21496">
          <cell r="E21496" t="str">
            <v>LUC-E00-420002-09</v>
          </cell>
          <cell r="F21496">
            <v>4711889167</v>
          </cell>
        </row>
        <row r="21497">
          <cell r="E21497" t="str">
            <v>LUC-EZZ-420176-00</v>
          </cell>
          <cell r="F21497">
            <v>4711889167</v>
          </cell>
        </row>
        <row r="21498">
          <cell r="E21498" t="str">
            <v>LUC-EZZ-400246-00</v>
          </cell>
          <cell r="F21498">
            <v>4711889167</v>
          </cell>
        </row>
        <row r="21499">
          <cell r="E21499" t="str">
            <v>HLOB-12-0470-00</v>
          </cell>
          <cell r="F21499">
            <v>4711889167</v>
          </cell>
        </row>
        <row r="21500">
          <cell r="E21500" t="str">
            <v>LUC-EZZ-441177-00</v>
          </cell>
          <cell r="F21500">
            <v>4711889167</v>
          </cell>
        </row>
        <row r="21501">
          <cell r="E21501" t="str">
            <v>LUC-E00-420055-00</v>
          </cell>
          <cell r="F21501">
            <v>4711889167</v>
          </cell>
        </row>
        <row r="21502">
          <cell r="E21502" t="str">
            <v>LUC-E00-420055-05</v>
          </cell>
          <cell r="F21502">
            <v>4711889167</v>
          </cell>
        </row>
        <row r="21503">
          <cell r="E21503" t="str">
            <v>LUC-EZZ-420099-00</v>
          </cell>
          <cell r="F21503">
            <v>4711889167</v>
          </cell>
        </row>
        <row r="21504">
          <cell r="E21504" t="str">
            <v>LUC-EZZ-420095-00</v>
          </cell>
          <cell r="F21504">
            <v>4711889167</v>
          </cell>
        </row>
        <row r="21505">
          <cell r="E21505" t="str">
            <v>LUC-EZZ-420179-00</v>
          </cell>
          <cell r="F21505">
            <v>4711889167</v>
          </cell>
        </row>
        <row r="21506">
          <cell r="E21506" t="str">
            <v>LUC-EZZ-420188-00</v>
          </cell>
          <cell r="F21506">
            <v>4711889167</v>
          </cell>
        </row>
        <row r="21507">
          <cell r="E21507" t="str">
            <v>LUC-EZZ-420194-00</v>
          </cell>
          <cell r="F21507">
            <v>4711889167</v>
          </cell>
        </row>
        <row r="21508">
          <cell r="E21508" t="str">
            <v>LUC-EZZ-420173-00</v>
          </cell>
          <cell r="F21508">
            <v>4711889167</v>
          </cell>
        </row>
        <row r="21509">
          <cell r="E21509" t="str">
            <v>LUC-EZZ-420330-00</v>
          </cell>
          <cell r="F21509">
            <v>4711889167</v>
          </cell>
        </row>
        <row r="21510">
          <cell r="E21510" t="str">
            <v>LUC-E00-400022-000</v>
          </cell>
          <cell r="F21510">
            <v>4711889167</v>
          </cell>
        </row>
        <row r="21511">
          <cell r="E21511" t="str">
            <v>LUC-E00-420002-03</v>
          </cell>
          <cell r="F21511">
            <v>4711889167</v>
          </cell>
        </row>
        <row r="21512">
          <cell r="E21512" t="str">
            <v>LUC-E00-400010-004</v>
          </cell>
          <cell r="F21512">
            <v>4711889167</v>
          </cell>
        </row>
        <row r="21513">
          <cell r="E21513" t="str">
            <v>LUC-E00-440030-00</v>
          </cell>
          <cell r="F21513">
            <v>4711889167</v>
          </cell>
        </row>
        <row r="21514">
          <cell r="E21514" t="str">
            <v>LUC-EZZ-420098-00</v>
          </cell>
          <cell r="F21514">
            <v>4711889167</v>
          </cell>
        </row>
        <row r="21515">
          <cell r="E21515" t="str">
            <v>LUC-EZZ-441177-00</v>
          </cell>
          <cell r="F21515">
            <v>4711889167</v>
          </cell>
        </row>
        <row r="21516">
          <cell r="E21516" t="str">
            <v>LUC-E00-420059-00</v>
          </cell>
          <cell r="F21516">
            <v>4711889167</v>
          </cell>
        </row>
        <row r="21517">
          <cell r="E21517" t="str">
            <v>LUC-EZZ-420058-00</v>
          </cell>
          <cell r="F21517">
            <v>4711889167</v>
          </cell>
        </row>
        <row r="21518">
          <cell r="E21518" t="str">
            <v>LUC-EZZ-420210-00</v>
          </cell>
          <cell r="F21518">
            <v>4711889167</v>
          </cell>
        </row>
        <row r="21519">
          <cell r="E21519" t="str">
            <v>LUC-EZZ-420330-00</v>
          </cell>
          <cell r="F21519">
            <v>4711889167</v>
          </cell>
        </row>
        <row r="21520">
          <cell r="E21520" t="str">
            <v>LUC-E00-420055-00</v>
          </cell>
          <cell r="F21520">
            <v>4711889167</v>
          </cell>
        </row>
        <row r="21521">
          <cell r="E21521" t="str">
            <v>LUC-EZZ-420098-00</v>
          </cell>
          <cell r="F21521">
            <v>4711889167</v>
          </cell>
        </row>
        <row r="21522">
          <cell r="E21522" t="str">
            <v>LUC-EZZ-441599-00</v>
          </cell>
          <cell r="F21522">
            <v>4711889167</v>
          </cell>
        </row>
        <row r="21523">
          <cell r="E21523" t="str">
            <v>LUC-EZZ-400475-00</v>
          </cell>
          <cell r="F21523">
            <v>4711889167</v>
          </cell>
        </row>
        <row r="21524">
          <cell r="E21524" t="str">
            <v>EF-45046948.X.X</v>
          </cell>
          <cell r="F21524">
            <v>4711889167</v>
          </cell>
        </row>
        <row r="21525">
          <cell r="E21525" t="str">
            <v>LUC-EZZ-420098-00</v>
          </cell>
          <cell r="F21525">
            <v>4711889167</v>
          </cell>
        </row>
        <row r="21526">
          <cell r="E21526" t="str">
            <v>LUC-EZZ-420493-00</v>
          </cell>
          <cell r="F21526">
            <v>4711889167</v>
          </cell>
        </row>
        <row r="21527">
          <cell r="E21527" t="str">
            <v>LUC-EZZ-420330-00</v>
          </cell>
          <cell r="F21527">
            <v>4711889167</v>
          </cell>
        </row>
        <row r="21528">
          <cell r="E21528" t="str">
            <v>LUC-E00-400010-004</v>
          </cell>
          <cell r="F21528">
            <v>4711889167</v>
          </cell>
        </row>
        <row r="21529">
          <cell r="E21529" t="str">
            <v>LUC-E00-420047-02</v>
          </cell>
          <cell r="F21529">
            <v>4711889167</v>
          </cell>
        </row>
        <row r="21530">
          <cell r="E21530" t="str">
            <v>LUC-E00-440031-00</v>
          </cell>
          <cell r="F21530">
            <v>4711889167</v>
          </cell>
        </row>
        <row r="21531">
          <cell r="E21531" t="str">
            <v>LUC-E00-420034-01</v>
          </cell>
          <cell r="F21531">
            <v>4711889167</v>
          </cell>
        </row>
        <row r="21532">
          <cell r="E21532" t="str">
            <v>LUC-E00-420011-00</v>
          </cell>
          <cell r="F21532">
            <v>4711889167</v>
          </cell>
        </row>
        <row r="21533">
          <cell r="E21533" t="str">
            <v>LUC-EZZ-420217-00</v>
          </cell>
          <cell r="F21533">
            <v>4711889167</v>
          </cell>
        </row>
        <row r="21534">
          <cell r="E21534" t="str">
            <v>LUC-EZZ-420085-00</v>
          </cell>
          <cell r="F21534">
            <v>4711889167</v>
          </cell>
        </row>
        <row r="21535">
          <cell r="E21535" t="str">
            <v>LUC-EZZ-420403-00</v>
          </cell>
          <cell r="F21535">
            <v>4711889167</v>
          </cell>
        </row>
        <row r="21536">
          <cell r="E21536" t="str">
            <v>LUC-E00-440030-00</v>
          </cell>
          <cell r="F21536">
            <v>4711889167</v>
          </cell>
        </row>
        <row r="21537">
          <cell r="E21537" t="str">
            <v>LUC-EZZ-420357-00</v>
          </cell>
          <cell r="F21537">
            <v>4711889167</v>
          </cell>
        </row>
        <row r="21538">
          <cell r="E21538" t="str">
            <v>LUC-EZZ-450236-00</v>
          </cell>
          <cell r="F21538">
            <v>4711889167</v>
          </cell>
        </row>
        <row r="21539">
          <cell r="E21539" t="str">
            <v>LUC-EZZ-420143-00</v>
          </cell>
          <cell r="F21539">
            <v>4711889167</v>
          </cell>
        </row>
        <row r="21540">
          <cell r="E21540" t="str">
            <v>LUC-EZZ-440193-00</v>
          </cell>
          <cell r="F21540">
            <v>4711889167</v>
          </cell>
        </row>
        <row r="21541">
          <cell r="E21541" t="str">
            <v>LUC-EZZ-420493-00</v>
          </cell>
          <cell r="F21541">
            <v>4711889167</v>
          </cell>
        </row>
        <row r="21542">
          <cell r="E21542" t="str">
            <v>LUC-EZZ-441599-00</v>
          </cell>
          <cell r="F21542">
            <v>4711889167</v>
          </cell>
        </row>
        <row r="21543">
          <cell r="E21543" t="str">
            <v>LUC-EZZ-441599-00</v>
          </cell>
          <cell r="F21543">
            <v>4711889167</v>
          </cell>
        </row>
        <row r="21544">
          <cell r="E21544" t="str">
            <v>LUC-E00-440032-01</v>
          </cell>
          <cell r="F21544">
            <v>4711889167</v>
          </cell>
        </row>
        <row r="21545">
          <cell r="E21545" t="str">
            <v>LUC-E00-440030-00</v>
          </cell>
          <cell r="F21545">
            <v>4711889167</v>
          </cell>
        </row>
        <row r="21546">
          <cell r="E21546" t="str">
            <v>LUC-E00-440031-00</v>
          </cell>
          <cell r="F21546">
            <v>4711889167</v>
          </cell>
        </row>
        <row r="21547">
          <cell r="E21547" t="str">
            <v>LUC-E00-420016-00</v>
          </cell>
          <cell r="F21547">
            <v>4711889167</v>
          </cell>
        </row>
        <row r="21548">
          <cell r="E21548" t="str">
            <v>LUC-E00-420014-03</v>
          </cell>
          <cell r="F21548">
            <v>4711889167</v>
          </cell>
        </row>
        <row r="21549">
          <cell r="E21549" t="str">
            <v>LUC-E00-420002-03</v>
          </cell>
          <cell r="F21549">
            <v>4711889167</v>
          </cell>
        </row>
        <row r="21550">
          <cell r="E21550" t="str">
            <v>LUC-E00-440011-00</v>
          </cell>
          <cell r="F21550">
            <v>4711889167</v>
          </cell>
        </row>
        <row r="21551">
          <cell r="E21551" t="str">
            <v>LUC-E00-440032-01</v>
          </cell>
          <cell r="F21551">
            <v>4711889167</v>
          </cell>
        </row>
        <row r="21552">
          <cell r="E21552" t="str">
            <v>LUC-E00-420002-03</v>
          </cell>
          <cell r="F21552">
            <v>4711889167</v>
          </cell>
        </row>
        <row r="21553">
          <cell r="E21553" t="str">
            <v>LUC-EZZ-441599-00</v>
          </cell>
          <cell r="F21553">
            <v>4711889167</v>
          </cell>
        </row>
        <row r="21554">
          <cell r="E21554" t="str">
            <v>LUC-EZZ-420210-00</v>
          </cell>
          <cell r="F21554">
            <v>4711889167</v>
          </cell>
        </row>
        <row r="21555">
          <cell r="E21555" t="str">
            <v>LUC-EZZ-420173-00</v>
          </cell>
          <cell r="F21555">
            <v>4711889167</v>
          </cell>
        </row>
        <row r="21556">
          <cell r="E21556" t="str">
            <v>LUC-EZZ-420188-00</v>
          </cell>
          <cell r="F21556">
            <v>4711889167</v>
          </cell>
        </row>
        <row r="21557">
          <cell r="E21557" t="str">
            <v>LUC-E00-690003-00</v>
          </cell>
          <cell r="F21557">
            <v>4711889167</v>
          </cell>
        </row>
        <row r="21558">
          <cell r="E21558" t="str">
            <v>PUR-12-0467-00</v>
          </cell>
          <cell r="F21558">
            <v>4711889167</v>
          </cell>
        </row>
        <row r="21559">
          <cell r="E21559" t="str">
            <v>LUC-EZZ-420095-00</v>
          </cell>
          <cell r="F21559">
            <v>4711889167</v>
          </cell>
        </row>
        <row r="21560">
          <cell r="E21560" t="str">
            <v>LUC-EZZ-420095-00</v>
          </cell>
          <cell r="F21560">
            <v>4711889167</v>
          </cell>
        </row>
        <row r="21561">
          <cell r="E21561" t="str">
            <v>LUC-EZZ-420175-00</v>
          </cell>
          <cell r="F21561">
            <v>4711889167</v>
          </cell>
        </row>
        <row r="21562">
          <cell r="E21562" t="str">
            <v>LUC-E00-690003-00</v>
          </cell>
          <cell r="F21562">
            <v>4711889167</v>
          </cell>
        </row>
        <row r="21563">
          <cell r="E21563" t="str">
            <v>LUC-E00-690003-00</v>
          </cell>
          <cell r="F21563">
            <v>4711889167</v>
          </cell>
        </row>
        <row r="21564">
          <cell r="E21564" t="str">
            <v>LUC-E00-420060-03</v>
          </cell>
          <cell r="F21564">
            <v>4711889167</v>
          </cell>
        </row>
        <row r="21565">
          <cell r="E21565" t="str">
            <v>LUC-E00-460042-00</v>
          </cell>
          <cell r="F21565">
            <v>4711889167</v>
          </cell>
        </row>
        <row r="21566">
          <cell r="E21566" t="str">
            <v>LUC-E00-420235-00</v>
          </cell>
          <cell r="F21566">
            <v>4711889167</v>
          </cell>
        </row>
        <row r="21567">
          <cell r="E21567" t="str">
            <v>LUC-E00-420235-00</v>
          </cell>
          <cell r="F21567">
            <v>4711889167</v>
          </cell>
        </row>
        <row r="21568">
          <cell r="E21568" t="str">
            <v>LUC-E00-420235-00</v>
          </cell>
          <cell r="F21568">
            <v>4711889167</v>
          </cell>
        </row>
        <row r="21569">
          <cell r="E21569" t="str">
            <v>AGI-510-50007-01</v>
          </cell>
          <cell r="F21569">
            <v>4914988251</v>
          </cell>
        </row>
        <row r="21570">
          <cell r="E21570" t="str">
            <v>121-000100.X.X</v>
          </cell>
          <cell r="F21570">
            <v>4914988251</v>
          </cell>
        </row>
        <row r="21571">
          <cell r="E21571" t="str">
            <v>121-000100.X.X</v>
          </cell>
          <cell r="F21571">
            <v>4914988251</v>
          </cell>
        </row>
        <row r="21572">
          <cell r="E21572" t="str">
            <v>121-000100.X.X</v>
          </cell>
          <cell r="F21572">
            <v>4914988251</v>
          </cell>
        </row>
        <row r="21573">
          <cell r="E21573" t="str">
            <v>122-001250</v>
          </cell>
          <cell r="F21573">
            <v>4914988251</v>
          </cell>
        </row>
        <row r="21574">
          <cell r="E21574" t="str">
            <v>122-000215.X.X</v>
          </cell>
          <cell r="F21574">
            <v>4914988251</v>
          </cell>
        </row>
        <row r="21575">
          <cell r="E21575" t="str">
            <v>122-000215.X.X</v>
          </cell>
          <cell r="F21575">
            <v>4914988251</v>
          </cell>
        </row>
        <row r="21576">
          <cell r="E21576" t="str">
            <v>122-001674</v>
          </cell>
          <cell r="F21576">
            <v>4914988251</v>
          </cell>
        </row>
        <row r="21577">
          <cell r="E21577" t="str">
            <v>122-000919.X.X</v>
          </cell>
          <cell r="F21577">
            <v>4914988251</v>
          </cell>
        </row>
        <row r="21578">
          <cell r="E21578" t="str">
            <v>122-000919.X.X</v>
          </cell>
          <cell r="F21578">
            <v>4914988251</v>
          </cell>
        </row>
        <row r="21579">
          <cell r="E21579" t="str">
            <v>PUR-13-0241-00</v>
          </cell>
          <cell r="F21579">
            <v>4914988251</v>
          </cell>
        </row>
        <row r="21580">
          <cell r="E21580" t="str">
            <v>PUR-13-0241-00</v>
          </cell>
          <cell r="F21580">
            <v>4914988251</v>
          </cell>
        </row>
        <row r="21581">
          <cell r="E21581" t="str">
            <v>PUR-13-0241-00</v>
          </cell>
          <cell r="F21581">
            <v>4914988251</v>
          </cell>
        </row>
        <row r="21582">
          <cell r="E21582" t="str">
            <v>HLOB-13-0226-00</v>
          </cell>
          <cell r="F21582">
            <v>4914988251</v>
          </cell>
        </row>
        <row r="21583">
          <cell r="E21583" t="str">
            <v>PUR-13-0226-00</v>
          </cell>
          <cell r="F21583">
            <v>4914988251</v>
          </cell>
        </row>
        <row r="21584">
          <cell r="E21584" t="str">
            <v>PUR-13-0226-00</v>
          </cell>
          <cell r="F21584">
            <v>4914988251</v>
          </cell>
        </row>
        <row r="21585">
          <cell r="E21585" t="str">
            <v>PUR-13-0226-00</v>
          </cell>
          <cell r="F21585">
            <v>4914988251</v>
          </cell>
        </row>
        <row r="21586">
          <cell r="E21586" t="str">
            <v>PUR-13-0226-00</v>
          </cell>
          <cell r="F21586">
            <v>4914988251</v>
          </cell>
        </row>
        <row r="21587">
          <cell r="E21587" t="str">
            <v>AIC-MP-00003291-000</v>
          </cell>
          <cell r="F21587">
            <v>4914988251</v>
          </cell>
        </row>
        <row r="21588">
          <cell r="E21588" t="str">
            <v>122-000453.X.X</v>
          </cell>
          <cell r="F21588">
            <v>4914988251</v>
          </cell>
        </row>
        <row r="21589">
          <cell r="E21589" t="str">
            <v>122-000453.X.X</v>
          </cell>
          <cell r="F21589">
            <v>4914988251</v>
          </cell>
        </row>
        <row r="21590">
          <cell r="E21590" t="str">
            <v>122-000453.X.X</v>
          </cell>
          <cell r="F21590">
            <v>4914988251</v>
          </cell>
        </row>
        <row r="21591">
          <cell r="E21591" t="str">
            <v>122-000821.X.X</v>
          </cell>
          <cell r="F21591">
            <v>4914988251</v>
          </cell>
        </row>
        <row r="21592">
          <cell r="E21592" t="str">
            <v>122-000821.X.X</v>
          </cell>
          <cell r="F21592">
            <v>4914988251</v>
          </cell>
        </row>
        <row r="21593">
          <cell r="E21593" t="str">
            <v>PURET-13-0068-00</v>
          </cell>
          <cell r="F21593">
            <v>4914988251</v>
          </cell>
        </row>
        <row r="21594">
          <cell r="E21594" t="str">
            <v>PURET-13-0068-00</v>
          </cell>
          <cell r="F21594">
            <v>4914988251</v>
          </cell>
        </row>
        <row r="21595">
          <cell r="E21595" t="str">
            <v>PURET-13-0068-00</v>
          </cell>
          <cell r="F21595">
            <v>4914988251</v>
          </cell>
        </row>
        <row r="21596">
          <cell r="E21596" t="str">
            <v>HLOB-13-0006-00</v>
          </cell>
          <cell r="F21596">
            <v>4914988251</v>
          </cell>
        </row>
        <row r="21597">
          <cell r="E21597" t="str">
            <v>PURET-13-0006-00</v>
          </cell>
          <cell r="F21597">
            <v>4914988251</v>
          </cell>
        </row>
        <row r="21598">
          <cell r="E21598" t="str">
            <v>PURET-13-0006-00</v>
          </cell>
          <cell r="F21598">
            <v>4914988251</v>
          </cell>
        </row>
        <row r="21599">
          <cell r="E21599" t="str">
            <v>PUR-13-0246-00</v>
          </cell>
          <cell r="F21599">
            <v>4914988251</v>
          </cell>
        </row>
        <row r="21600">
          <cell r="E21600" t="str">
            <v>PUR-13-0246-00</v>
          </cell>
          <cell r="F21600">
            <v>4914988251</v>
          </cell>
        </row>
        <row r="21601">
          <cell r="E21601" t="str">
            <v>EF-45043368</v>
          </cell>
          <cell r="F21601">
            <v>4914988251</v>
          </cell>
        </row>
        <row r="21602">
          <cell r="E21602" t="str">
            <v>122-000701.X.X</v>
          </cell>
          <cell r="F21602">
            <v>4914988251</v>
          </cell>
        </row>
        <row r="21603">
          <cell r="E21603" t="str">
            <v>122-000701.X.X</v>
          </cell>
          <cell r="F21603">
            <v>4914988251</v>
          </cell>
        </row>
        <row r="21604">
          <cell r="E21604" t="str">
            <v>AIC-MP-00003486-000</v>
          </cell>
          <cell r="F21604">
            <v>4914988251</v>
          </cell>
        </row>
        <row r="21605">
          <cell r="E21605" t="str">
            <v>PUR-13-0246-00</v>
          </cell>
          <cell r="F21605">
            <v>4914988251</v>
          </cell>
        </row>
        <row r="21606">
          <cell r="E21606" t="str">
            <v>122-000453.X.X</v>
          </cell>
          <cell r="F21606">
            <v>4914988251</v>
          </cell>
        </row>
        <row r="21607">
          <cell r="E21607" t="str">
            <v>LUC-EZZ-400042-00</v>
          </cell>
          <cell r="F21607">
            <v>4914988251</v>
          </cell>
        </row>
        <row r="21608">
          <cell r="E21608" t="str">
            <v>LUC-EZZ-400042-00</v>
          </cell>
          <cell r="F21608">
            <v>4914988251</v>
          </cell>
        </row>
        <row r="21609">
          <cell r="E21609" t="str">
            <v>LUC-E00-400035-04</v>
          </cell>
          <cell r="F21609">
            <v>4914988251</v>
          </cell>
        </row>
        <row r="21610">
          <cell r="E21610" t="str">
            <v>LUC-EZZ-400035-00</v>
          </cell>
          <cell r="F21610">
            <v>4914988251</v>
          </cell>
        </row>
        <row r="21611">
          <cell r="E21611" t="str">
            <v>LUC-E00-400035-04</v>
          </cell>
          <cell r="F21611">
            <v>4914988251</v>
          </cell>
        </row>
        <row r="21612">
          <cell r="E21612" t="str">
            <v>LUC-EZZ-400035-00</v>
          </cell>
          <cell r="F21612">
            <v>4914988251</v>
          </cell>
        </row>
        <row r="21613">
          <cell r="E21613" t="str">
            <v>LUC-E00-400020-000</v>
          </cell>
          <cell r="F21613">
            <v>4914988251</v>
          </cell>
        </row>
        <row r="21614">
          <cell r="E21614" t="str">
            <v>PUR-12-0408-00</v>
          </cell>
          <cell r="F21614">
            <v>4914988251</v>
          </cell>
        </row>
        <row r="21615">
          <cell r="E21615" t="str">
            <v>PUR-12-0408-00</v>
          </cell>
          <cell r="F21615">
            <v>4914988251</v>
          </cell>
        </row>
        <row r="21616">
          <cell r="E21616" t="str">
            <v>HLOB-12-0035-00</v>
          </cell>
          <cell r="F21616">
            <v>4914988251</v>
          </cell>
        </row>
        <row r="21617">
          <cell r="E21617" t="str">
            <v>PURET-12-0035-00</v>
          </cell>
          <cell r="F21617">
            <v>4914988251</v>
          </cell>
        </row>
        <row r="21618">
          <cell r="E21618" t="str">
            <v>HLOB-12-0212-00</v>
          </cell>
          <cell r="F21618">
            <v>4914988251</v>
          </cell>
        </row>
        <row r="21619">
          <cell r="E21619" t="str">
            <v>HLOB-12-0212-00</v>
          </cell>
          <cell r="F21619">
            <v>4914988251</v>
          </cell>
        </row>
        <row r="21620">
          <cell r="E21620" t="str">
            <v>PURET-12-0212-00</v>
          </cell>
          <cell r="F21620">
            <v>4914988251</v>
          </cell>
        </row>
        <row r="21621">
          <cell r="E21621" t="str">
            <v>PURET-12-0212-00</v>
          </cell>
          <cell r="F21621">
            <v>4914988251</v>
          </cell>
        </row>
        <row r="21622">
          <cell r="E21622" t="str">
            <v>PURET-12-0212-00</v>
          </cell>
          <cell r="F21622">
            <v>4914988251</v>
          </cell>
        </row>
        <row r="21623">
          <cell r="E21623" t="str">
            <v>EF-45042098</v>
          </cell>
          <cell r="F21623">
            <v>4914988251</v>
          </cell>
        </row>
        <row r="21624">
          <cell r="E21624" t="str">
            <v>121-000519.X.X</v>
          </cell>
          <cell r="F21624">
            <v>4914988251</v>
          </cell>
        </row>
        <row r="21625">
          <cell r="E21625" t="str">
            <v>121-000519.X.X</v>
          </cell>
          <cell r="F21625">
            <v>4914988251</v>
          </cell>
        </row>
        <row r="21626">
          <cell r="E21626" t="str">
            <v>AIC-MP-00002463-000</v>
          </cell>
          <cell r="F21626">
            <v>4914988251</v>
          </cell>
        </row>
        <row r="21627">
          <cell r="E21627" t="str">
            <v>PUR-12-0271-00</v>
          </cell>
          <cell r="F21627">
            <v>4914988251</v>
          </cell>
        </row>
        <row r="21628">
          <cell r="E21628" t="str">
            <v>PUR-12-0271-00</v>
          </cell>
          <cell r="F21628">
            <v>4914988251</v>
          </cell>
        </row>
        <row r="21629">
          <cell r="E21629" t="str">
            <v>PUR-12-0271-00</v>
          </cell>
          <cell r="F21629">
            <v>4914988251</v>
          </cell>
        </row>
        <row r="21630">
          <cell r="E21630" t="str">
            <v>PUR-12-0293-00</v>
          </cell>
          <cell r="F21630">
            <v>4914988251</v>
          </cell>
        </row>
        <row r="21631">
          <cell r="E21631" t="str">
            <v>PUR-12-0293-00</v>
          </cell>
          <cell r="F21631">
            <v>4914988251</v>
          </cell>
        </row>
        <row r="21632">
          <cell r="E21632" t="str">
            <v>EF-45125129</v>
          </cell>
          <cell r="F21632">
            <v>4914988251</v>
          </cell>
        </row>
        <row r="21633">
          <cell r="E21633" t="str">
            <v>EF-45037085.X.X</v>
          </cell>
          <cell r="F21633">
            <v>4914988251</v>
          </cell>
        </row>
        <row r="21634">
          <cell r="E21634" t="str">
            <v>PUR-12-0431-00</v>
          </cell>
          <cell r="F21634">
            <v>4914988251</v>
          </cell>
        </row>
        <row r="21635">
          <cell r="E21635" t="str">
            <v>PUR-12-0431-00</v>
          </cell>
          <cell r="F21635">
            <v>4914988251</v>
          </cell>
        </row>
        <row r="21636">
          <cell r="E21636" t="str">
            <v>PUR-12-0431-00</v>
          </cell>
          <cell r="F21636">
            <v>4914988251</v>
          </cell>
        </row>
        <row r="21637">
          <cell r="E21637" t="str">
            <v>PUR-12-0460-00</v>
          </cell>
          <cell r="F21637">
            <v>4914988251</v>
          </cell>
        </row>
        <row r="21638">
          <cell r="E21638" t="str">
            <v>PUR-12-0460-00</v>
          </cell>
          <cell r="F21638">
            <v>4914988251</v>
          </cell>
        </row>
        <row r="21639">
          <cell r="E21639" t="str">
            <v>HLOB-12-0304-00</v>
          </cell>
          <cell r="F21639">
            <v>4914988251</v>
          </cell>
        </row>
        <row r="21640">
          <cell r="E21640" t="str">
            <v>HLOB-12-0304-00</v>
          </cell>
          <cell r="F21640">
            <v>4914988251</v>
          </cell>
        </row>
        <row r="21641">
          <cell r="E21641" t="str">
            <v>PUR-12-0304-00</v>
          </cell>
          <cell r="F21641">
            <v>4914988251</v>
          </cell>
        </row>
        <row r="21642">
          <cell r="E21642" t="str">
            <v>121-000519.X.X</v>
          </cell>
          <cell r="F21642">
            <v>4914988251</v>
          </cell>
        </row>
        <row r="21643">
          <cell r="E21643" t="str">
            <v>LUC-EZZ-400035-00</v>
          </cell>
          <cell r="F21643">
            <v>4914988251</v>
          </cell>
        </row>
        <row r="21644">
          <cell r="E21644" t="str">
            <v>PUR-12-0304-00</v>
          </cell>
          <cell r="F21644">
            <v>4914988251</v>
          </cell>
        </row>
        <row r="21645">
          <cell r="E21645" t="str">
            <v>PUR-12-0304-00</v>
          </cell>
          <cell r="F21645">
            <v>4914988251</v>
          </cell>
        </row>
        <row r="21646">
          <cell r="E21646" t="str">
            <v>PUR-12-0304-00</v>
          </cell>
          <cell r="F21646">
            <v>4914988251</v>
          </cell>
        </row>
        <row r="21647">
          <cell r="E21647" t="str">
            <v>121-001611</v>
          </cell>
          <cell r="F21647">
            <v>4914988251</v>
          </cell>
        </row>
        <row r="21648">
          <cell r="E21648" t="str">
            <v>121-001611</v>
          </cell>
          <cell r="F21648">
            <v>4914988251</v>
          </cell>
        </row>
        <row r="21649">
          <cell r="E21649" t="str">
            <v>121-000098.X.X</v>
          </cell>
          <cell r="F21649">
            <v>4914988251</v>
          </cell>
        </row>
        <row r="21650">
          <cell r="E21650" t="str">
            <v>121-000525.X.X</v>
          </cell>
          <cell r="F21650">
            <v>4914988251</v>
          </cell>
        </row>
        <row r="21651">
          <cell r="E21651" t="str">
            <v>121-000525.X.X</v>
          </cell>
          <cell r="F21651">
            <v>4914988251</v>
          </cell>
        </row>
        <row r="21652">
          <cell r="E21652" t="str">
            <v>121-000525.X.X</v>
          </cell>
          <cell r="F21652">
            <v>4914988251</v>
          </cell>
        </row>
        <row r="21653">
          <cell r="E21653" t="str">
            <v>121-000356.X.X</v>
          </cell>
          <cell r="F21653">
            <v>4914988251</v>
          </cell>
        </row>
        <row r="21654">
          <cell r="E21654" t="str">
            <v>121-000356.X.X</v>
          </cell>
          <cell r="F21654">
            <v>4914988251</v>
          </cell>
        </row>
        <row r="21655">
          <cell r="E21655" t="str">
            <v>121-000356.X.X</v>
          </cell>
          <cell r="F21655">
            <v>4914988251</v>
          </cell>
        </row>
        <row r="21656">
          <cell r="E21656" t="str">
            <v>PUR-12-0468-00</v>
          </cell>
          <cell r="F21656">
            <v>4914988251</v>
          </cell>
        </row>
        <row r="21657">
          <cell r="E21657" t="str">
            <v>PUR-12-0468-00</v>
          </cell>
          <cell r="F21657">
            <v>4914988251</v>
          </cell>
        </row>
        <row r="21658">
          <cell r="E21658" t="str">
            <v>PUR-12-0468-00</v>
          </cell>
          <cell r="F21658">
            <v>4914988251</v>
          </cell>
        </row>
        <row r="21659">
          <cell r="E21659" t="str">
            <v>PUR-12-0468-00</v>
          </cell>
          <cell r="F21659">
            <v>4914988251</v>
          </cell>
        </row>
        <row r="21660">
          <cell r="E21660" t="str">
            <v>HLOB-12-0470-00</v>
          </cell>
          <cell r="F21660">
            <v>4914988251</v>
          </cell>
        </row>
        <row r="21661">
          <cell r="E21661" t="str">
            <v>PUR-12-0470-00</v>
          </cell>
          <cell r="F21661">
            <v>4914988251</v>
          </cell>
        </row>
        <row r="21662">
          <cell r="E21662" t="str">
            <v>HLOB-12-0467-00</v>
          </cell>
          <cell r="F21662">
            <v>4914988251</v>
          </cell>
        </row>
        <row r="21663">
          <cell r="E21663" t="str">
            <v>PUR-12-0467-00</v>
          </cell>
          <cell r="F21663">
            <v>4914988251</v>
          </cell>
        </row>
        <row r="21664">
          <cell r="E21664" t="str">
            <v>HLOB-12-0423-00</v>
          </cell>
          <cell r="F21664">
            <v>4914988251</v>
          </cell>
        </row>
        <row r="21665">
          <cell r="E21665" t="str">
            <v>PUR-12-0423-00</v>
          </cell>
          <cell r="F21665">
            <v>4914988251</v>
          </cell>
        </row>
        <row r="21666">
          <cell r="E21666" t="str">
            <v>PUR-12-0423-00</v>
          </cell>
          <cell r="F21666">
            <v>4914988251</v>
          </cell>
        </row>
        <row r="21667">
          <cell r="E21667" t="str">
            <v>PUR-12-0423-00</v>
          </cell>
          <cell r="F21667">
            <v>4914988251</v>
          </cell>
        </row>
        <row r="21668">
          <cell r="E21668" t="str">
            <v>121-000520.X.X</v>
          </cell>
          <cell r="F21668">
            <v>4914988251</v>
          </cell>
        </row>
        <row r="21669">
          <cell r="E21669" t="str">
            <v>121-001611</v>
          </cell>
          <cell r="F21669">
            <v>4914988251</v>
          </cell>
        </row>
        <row r="21670">
          <cell r="E21670" t="str">
            <v>121-001611</v>
          </cell>
          <cell r="F21670">
            <v>4914988251</v>
          </cell>
        </row>
        <row r="21671">
          <cell r="E21671" t="str">
            <v>121-000525.X.X</v>
          </cell>
          <cell r="F21671">
            <v>4914988251</v>
          </cell>
        </row>
        <row r="21672">
          <cell r="E21672" t="str">
            <v>121-001611</v>
          </cell>
          <cell r="F21672">
            <v>4914988251</v>
          </cell>
        </row>
        <row r="21673">
          <cell r="E21673" t="str">
            <v>121-001611</v>
          </cell>
          <cell r="F21673">
            <v>4914988251</v>
          </cell>
        </row>
        <row r="21674">
          <cell r="E21674" t="str">
            <v>121-000356.X.X</v>
          </cell>
          <cell r="F21674">
            <v>4914988251</v>
          </cell>
        </row>
        <row r="21675">
          <cell r="E21675" t="str">
            <v>121-000356.X.X</v>
          </cell>
          <cell r="F21675">
            <v>4914988251</v>
          </cell>
        </row>
        <row r="21676">
          <cell r="E21676" t="str">
            <v>121-000525.X.X</v>
          </cell>
          <cell r="F21676">
            <v>4914988251</v>
          </cell>
        </row>
        <row r="21677">
          <cell r="E21677" t="str">
            <v>121-000525.X.X</v>
          </cell>
          <cell r="F21677">
            <v>4914988251</v>
          </cell>
        </row>
        <row r="21678">
          <cell r="E21678" t="str">
            <v>121-001611</v>
          </cell>
          <cell r="F21678">
            <v>4914988251</v>
          </cell>
        </row>
        <row r="21679">
          <cell r="E21679" t="str">
            <v>HLOB-12-0297-00</v>
          </cell>
          <cell r="F21679">
            <v>4914988251</v>
          </cell>
        </row>
        <row r="21680">
          <cell r="E21680" t="str">
            <v>HLOB-12-0297-00</v>
          </cell>
          <cell r="F21680">
            <v>4914988251</v>
          </cell>
        </row>
        <row r="21681">
          <cell r="E21681" t="str">
            <v>PUR-12-0297-00</v>
          </cell>
          <cell r="F21681">
            <v>4914988251</v>
          </cell>
        </row>
        <row r="21682">
          <cell r="E21682" t="str">
            <v>PUR-12-0297-00</v>
          </cell>
          <cell r="F21682">
            <v>4914988251</v>
          </cell>
        </row>
        <row r="21683">
          <cell r="E21683" t="str">
            <v>PUR-12-0297-00</v>
          </cell>
          <cell r="F21683">
            <v>4914988251</v>
          </cell>
        </row>
        <row r="21684">
          <cell r="E21684" t="str">
            <v>PUR-12-0297-00</v>
          </cell>
          <cell r="F21684">
            <v>4914988251</v>
          </cell>
        </row>
        <row r="21685">
          <cell r="E21685" t="str">
            <v>121-001272.X.X</v>
          </cell>
          <cell r="F21685">
            <v>4914988251</v>
          </cell>
        </row>
        <row r="21686">
          <cell r="E21686" t="str">
            <v>AIC-122-004336</v>
          </cell>
          <cell r="F21686">
            <v>4914988251</v>
          </cell>
        </row>
        <row r="21687">
          <cell r="E21687" t="str">
            <v>LUC-EZZ-420822-00</v>
          </cell>
          <cell r="F21687">
            <v>4914988251</v>
          </cell>
        </row>
        <row r="21688">
          <cell r="E21688" t="str">
            <v>121-000208.X.X</v>
          </cell>
          <cell r="F21688">
            <v>4914988251</v>
          </cell>
        </row>
        <row r="21689">
          <cell r="E21689" t="str">
            <v>AIC-122-004326</v>
          </cell>
          <cell r="F21689">
            <v>4914988251</v>
          </cell>
        </row>
        <row r="21690">
          <cell r="E21690" t="str">
            <v>122-001732</v>
          </cell>
          <cell r="F21690">
            <v>4914988251</v>
          </cell>
        </row>
        <row r="21691">
          <cell r="E21691" t="str">
            <v>122-001732</v>
          </cell>
          <cell r="F21691">
            <v>4914988251</v>
          </cell>
        </row>
        <row r="21692">
          <cell r="E21692" t="str">
            <v>AIC-MP-00005803-000</v>
          </cell>
          <cell r="F21692">
            <v>4914988251</v>
          </cell>
        </row>
        <row r="21693">
          <cell r="E21693" t="str">
            <v>LUC-E00-420037-01</v>
          </cell>
          <cell r="F21693">
            <v>4914988251</v>
          </cell>
        </row>
        <row r="21694">
          <cell r="E21694" t="str">
            <v>LUC-E00-420037-01</v>
          </cell>
          <cell r="F21694">
            <v>4914988251</v>
          </cell>
        </row>
        <row r="21695">
          <cell r="E21695" t="str">
            <v>LUC-E00-420037-01</v>
          </cell>
          <cell r="F21695">
            <v>4914988251</v>
          </cell>
        </row>
        <row r="21696">
          <cell r="E21696" t="str">
            <v>LUC-EZZ-420501-00</v>
          </cell>
          <cell r="F21696">
            <v>4914988251</v>
          </cell>
        </row>
        <row r="21697">
          <cell r="E21697" t="str">
            <v>LUC-EZZ-420822-00</v>
          </cell>
          <cell r="F21697">
            <v>4914988251</v>
          </cell>
        </row>
        <row r="21698">
          <cell r="E21698" t="str">
            <v>LUC-E00-420025-03</v>
          </cell>
          <cell r="F21698">
            <v>4914988251</v>
          </cell>
        </row>
        <row r="21699">
          <cell r="E21699" t="str">
            <v>LUC-E00-420025-03</v>
          </cell>
          <cell r="F21699">
            <v>4914988251</v>
          </cell>
        </row>
        <row r="21700">
          <cell r="E21700" t="str">
            <v>LUC-EZZ-420822-00</v>
          </cell>
          <cell r="F21700">
            <v>4914988251</v>
          </cell>
        </row>
        <row r="21701">
          <cell r="E21701" t="str">
            <v>LUC-EZZ-420257-00</v>
          </cell>
          <cell r="F21701">
            <v>4914988251</v>
          </cell>
        </row>
        <row r="21702">
          <cell r="E21702" t="str">
            <v>LUC-E00-420025-02</v>
          </cell>
          <cell r="F21702">
            <v>4914988251</v>
          </cell>
        </row>
        <row r="21703">
          <cell r="E21703" t="str">
            <v>LUC-EZZ-420257-00</v>
          </cell>
          <cell r="F21703">
            <v>4914988251</v>
          </cell>
        </row>
        <row r="21704">
          <cell r="E21704" t="str">
            <v>LUC-EZZ-421132-00</v>
          </cell>
          <cell r="F21704">
            <v>4914988251</v>
          </cell>
        </row>
        <row r="21705">
          <cell r="E21705" t="str">
            <v>LUC-EZZ-421132-00</v>
          </cell>
          <cell r="F21705">
            <v>4914988251</v>
          </cell>
        </row>
        <row r="21706">
          <cell r="E21706" t="str">
            <v>LUC-E00-420025-04</v>
          </cell>
          <cell r="F21706">
            <v>4914988251</v>
          </cell>
        </row>
        <row r="21707">
          <cell r="E21707" t="str">
            <v>LUC-EZZ-421132-00</v>
          </cell>
          <cell r="F21707">
            <v>4914988251</v>
          </cell>
        </row>
        <row r="21708">
          <cell r="E21708" t="str">
            <v>LUC-EZZ-421132-00</v>
          </cell>
          <cell r="F21708">
            <v>4914988251</v>
          </cell>
        </row>
        <row r="21709">
          <cell r="E21709" t="str">
            <v>LUC-EZZ-420148-00</v>
          </cell>
          <cell r="F21709">
            <v>4914988251</v>
          </cell>
        </row>
        <row r="21710">
          <cell r="E21710" t="str">
            <v>LUC-E00-420027-02</v>
          </cell>
          <cell r="F21710">
            <v>4914988251</v>
          </cell>
        </row>
        <row r="21711">
          <cell r="E21711" t="str">
            <v>LUC-EZZ-420148-00</v>
          </cell>
          <cell r="F21711">
            <v>4914988251</v>
          </cell>
        </row>
        <row r="21712">
          <cell r="E21712" t="str">
            <v>LUC-E00-420027-02</v>
          </cell>
          <cell r="F21712">
            <v>4914988251</v>
          </cell>
        </row>
        <row r="21713">
          <cell r="E21713" t="str">
            <v>LUC-E00-420027-02</v>
          </cell>
          <cell r="F21713">
            <v>4914988251</v>
          </cell>
        </row>
        <row r="21714">
          <cell r="E21714" t="str">
            <v>LUC-EZZ-420148-00</v>
          </cell>
          <cell r="F21714">
            <v>4914988251</v>
          </cell>
        </row>
        <row r="21715">
          <cell r="E21715" t="str">
            <v>LUC-E00-420027-02</v>
          </cell>
          <cell r="F21715">
            <v>4914988251</v>
          </cell>
        </row>
        <row r="21716">
          <cell r="E21716" t="str">
            <v>122-001732</v>
          </cell>
          <cell r="F21716">
            <v>4914988251</v>
          </cell>
        </row>
        <row r="21717">
          <cell r="E21717" t="str">
            <v>121-000585.X.X</v>
          </cell>
          <cell r="F21717">
            <v>4914988251</v>
          </cell>
        </row>
        <row r="21718">
          <cell r="E21718" t="str">
            <v>121-000585.X.X</v>
          </cell>
          <cell r="F21718">
            <v>4914988251</v>
          </cell>
        </row>
        <row r="21719">
          <cell r="E21719" t="str">
            <v>LUC-EZZ-421132-00</v>
          </cell>
          <cell r="F21719">
            <v>4914988251</v>
          </cell>
        </row>
        <row r="21720">
          <cell r="E21720" t="str">
            <v>LUC-EZZ-421132-00</v>
          </cell>
          <cell r="F21720">
            <v>4914988251</v>
          </cell>
        </row>
        <row r="21721">
          <cell r="E21721" t="str">
            <v>LUC-EZZ-420257-00</v>
          </cell>
          <cell r="F21721">
            <v>4914988251</v>
          </cell>
        </row>
        <row r="21722">
          <cell r="E21722" t="str">
            <v>LUC-EZZ-420257-00</v>
          </cell>
          <cell r="F21722">
            <v>4914988251</v>
          </cell>
        </row>
        <row r="21723">
          <cell r="E21723" t="str">
            <v>LUC-E00-420037-01</v>
          </cell>
          <cell r="F21723">
            <v>4914988251</v>
          </cell>
        </row>
        <row r="21724">
          <cell r="E21724" t="str">
            <v>LUC-EZZ-420501-00</v>
          </cell>
          <cell r="F21724">
            <v>4914988251</v>
          </cell>
        </row>
        <row r="21725">
          <cell r="E21725" t="str">
            <v>LUC-EZZ-420029-00</v>
          </cell>
          <cell r="F21725">
            <v>4914988251</v>
          </cell>
        </row>
        <row r="21726">
          <cell r="E21726" t="str">
            <v>121-000100.X.X</v>
          </cell>
          <cell r="F21726">
            <v>4914988251</v>
          </cell>
        </row>
        <row r="21727">
          <cell r="E21727" t="str">
            <v>121-000100.X.X</v>
          </cell>
          <cell r="F21727">
            <v>4914988251</v>
          </cell>
        </row>
        <row r="21728">
          <cell r="E21728" t="str">
            <v>HLOB-12-0400-00</v>
          </cell>
          <cell r="F21728">
            <v>4914988251</v>
          </cell>
        </row>
        <row r="21729">
          <cell r="E21729" t="str">
            <v>HLOB-12-0532-00</v>
          </cell>
          <cell r="F21729">
            <v>4914988251</v>
          </cell>
        </row>
        <row r="21730">
          <cell r="E21730" t="str">
            <v>LUC-P11-K33C00-02</v>
          </cell>
          <cell r="F21730" t="str">
            <v>LNBHPH255997</v>
          </cell>
        </row>
        <row r="21731">
          <cell r="E21731" t="str">
            <v>LUC-P11-K33900-02</v>
          </cell>
          <cell r="F21731" t="str">
            <v>LNBHPH255997</v>
          </cell>
        </row>
        <row r="21732">
          <cell r="E21732" t="str">
            <v>LUC-P11-K33B00-02</v>
          </cell>
          <cell r="F21732" t="str">
            <v>LNBHPH255997</v>
          </cell>
        </row>
        <row r="21733">
          <cell r="E21733" t="str">
            <v>LUC-P11-K33R00-01</v>
          </cell>
          <cell r="F21733" t="str">
            <v>LNBHPH255997</v>
          </cell>
        </row>
        <row r="21734">
          <cell r="E21734" t="str">
            <v>AIC-MP-00005438-000</v>
          </cell>
          <cell r="F21734">
            <v>808315850136</v>
          </cell>
        </row>
        <row r="21735">
          <cell r="E21735" t="str">
            <v>LUC-EZZ-450047-00</v>
          </cell>
          <cell r="F21735">
            <v>394477607325</v>
          </cell>
        </row>
        <row r="21736">
          <cell r="E21736" t="str">
            <v>LUC-EZZ-450112-00</v>
          </cell>
          <cell r="F21736">
            <v>394562546250</v>
          </cell>
        </row>
        <row r="21737">
          <cell r="E21737" t="str">
            <v>LUC-EZZ-450112-00</v>
          </cell>
          <cell r="F21737">
            <v>394562546250</v>
          </cell>
        </row>
        <row r="21738">
          <cell r="E21738" t="str">
            <v>LUC-EZZ-400426-00</v>
          </cell>
          <cell r="F21738" t="str">
            <v>1ZG2B4810403227779</v>
          </cell>
        </row>
        <row r="21739">
          <cell r="E21739" t="str">
            <v>LUC-E00-400010-007</v>
          </cell>
          <cell r="F21739" t="str">
            <v>1Z75A9570473257344</v>
          </cell>
        </row>
        <row r="21740">
          <cell r="E21740" t="str">
            <v>PUR-09-0444-00</v>
          </cell>
          <cell r="F21740">
            <v>1811110173</v>
          </cell>
        </row>
        <row r="21741">
          <cell r="E21741" t="str">
            <v>LUC-EZZ-470162-00</v>
          </cell>
          <cell r="F21741">
            <v>1811110173</v>
          </cell>
        </row>
        <row r="21742">
          <cell r="E21742" t="str">
            <v>LUC-E00-400035-06</v>
          </cell>
          <cell r="F21742">
            <v>1811110173</v>
          </cell>
        </row>
        <row r="21743">
          <cell r="E21743" t="str">
            <v>LUC-EZZ-400801-00</v>
          </cell>
          <cell r="F21743">
            <v>1811110173</v>
          </cell>
        </row>
        <row r="21744">
          <cell r="E21744" t="str">
            <v>LUC-EZZ-400801-00</v>
          </cell>
          <cell r="F21744">
            <v>1811110173</v>
          </cell>
        </row>
        <row r="21745">
          <cell r="E21745" t="str">
            <v>LUC-EZZ-400801-00</v>
          </cell>
          <cell r="F21745">
            <v>1811110173</v>
          </cell>
        </row>
        <row r="21746">
          <cell r="E21746" t="str">
            <v>PUR-13-0125-00</v>
          </cell>
          <cell r="F21746">
            <v>1811110173</v>
          </cell>
        </row>
        <row r="21747">
          <cell r="E21747" t="str">
            <v>LUC-EZZ-690758-00</v>
          </cell>
          <cell r="F21747">
            <v>1811110173</v>
          </cell>
        </row>
        <row r="21748">
          <cell r="E21748" t="str">
            <v>LUC-EZZ-420120-00</v>
          </cell>
          <cell r="F21748">
            <v>1811110173</v>
          </cell>
        </row>
        <row r="21749">
          <cell r="E21749" t="str">
            <v>LUC-EZZ-690758-00</v>
          </cell>
          <cell r="F21749">
            <v>1811110173</v>
          </cell>
        </row>
        <row r="21750">
          <cell r="E21750" t="str">
            <v>LUC-EZZ-400196-00</v>
          </cell>
          <cell r="F21750">
            <v>1811110173</v>
          </cell>
        </row>
        <row r="21751">
          <cell r="E21751" t="str">
            <v>LUC-EZZ-450113-00</v>
          </cell>
          <cell r="F21751">
            <v>1811110173</v>
          </cell>
        </row>
        <row r="21752">
          <cell r="E21752" t="str">
            <v>LUC-EZZ-420695-01</v>
          </cell>
          <cell r="F21752">
            <v>1811110173</v>
          </cell>
        </row>
        <row r="21753">
          <cell r="E21753" t="str">
            <v>LUC-EZZ-420695-01</v>
          </cell>
          <cell r="F21753">
            <v>1811110173</v>
          </cell>
        </row>
        <row r="21754">
          <cell r="E21754" t="str">
            <v>HLOB-14-0087-00</v>
          </cell>
          <cell r="F21754">
            <v>1811110173</v>
          </cell>
        </row>
        <row r="21755">
          <cell r="E21755" t="str">
            <v>EF-45124074</v>
          </cell>
          <cell r="F21755">
            <v>1811110173</v>
          </cell>
        </row>
        <row r="21756">
          <cell r="E21756" t="str">
            <v>LUC-EZZ-400801-00</v>
          </cell>
          <cell r="F21756">
            <v>1811110173</v>
          </cell>
        </row>
        <row r="21757">
          <cell r="E21757" t="str">
            <v>LUC-EZZ-450006-00</v>
          </cell>
          <cell r="F21757">
            <v>1811110173</v>
          </cell>
        </row>
        <row r="21758">
          <cell r="E21758" t="str">
            <v>HLOB-21-0009-00</v>
          </cell>
          <cell r="F21758">
            <v>1811110173</v>
          </cell>
        </row>
        <row r="21759">
          <cell r="E21759" t="str">
            <v>PURET-21-0009-00</v>
          </cell>
          <cell r="F21759">
            <v>1811110173</v>
          </cell>
        </row>
        <row r="21760">
          <cell r="E21760" t="str">
            <v>PUR-13-0125-00</v>
          </cell>
          <cell r="F21760">
            <v>1811110173</v>
          </cell>
        </row>
        <row r="21761">
          <cell r="E21761" t="str">
            <v>EF-45046246.X.X</v>
          </cell>
          <cell r="F21761">
            <v>1811110173</v>
          </cell>
        </row>
        <row r="21762">
          <cell r="E21762" t="str">
            <v>EF-45044114.X.X</v>
          </cell>
          <cell r="F21762">
            <v>1811110173</v>
          </cell>
        </row>
        <row r="21763">
          <cell r="E21763" t="str">
            <v>LUC-E00-690010-03</v>
          </cell>
          <cell r="F21763">
            <v>394414295174</v>
          </cell>
        </row>
        <row r="21764">
          <cell r="E21764" t="str">
            <v>LUC-EZZ-690243-00</v>
          </cell>
          <cell r="F21764">
            <v>394414295174</v>
          </cell>
        </row>
        <row r="21765">
          <cell r="E21765" t="str">
            <v>LUC-E00-690055-00</v>
          </cell>
          <cell r="F21765">
            <v>394414295174</v>
          </cell>
        </row>
        <row r="21766">
          <cell r="E21766" t="str">
            <v>LUC-E00-690010-03</v>
          </cell>
          <cell r="F21766">
            <v>394414295174</v>
          </cell>
        </row>
        <row r="21767">
          <cell r="E21767" t="str">
            <v>LUC-E00-690055-00</v>
          </cell>
          <cell r="F21767">
            <v>394414295174</v>
          </cell>
        </row>
        <row r="21768">
          <cell r="E21768" t="str">
            <v>LUC-EZZ-690242-00</v>
          </cell>
          <cell r="F21768">
            <v>394414295174</v>
          </cell>
        </row>
        <row r="21769">
          <cell r="E21769" t="str">
            <v>LUC-EZZ-690244-00</v>
          </cell>
          <cell r="F21769">
            <v>394414295174</v>
          </cell>
        </row>
        <row r="21770">
          <cell r="E21770" t="str">
            <v>LUC-E00-470086-00</v>
          </cell>
          <cell r="F21770">
            <v>486135068890</v>
          </cell>
        </row>
        <row r="21771">
          <cell r="E21771" t="str">
            <v>LUC-E00-470045-00</v>
          </cell>
          <cell r="F21771">
            <v>486135068890</v>
          </cell>
        </row>
        <row r="21772">
          <cell r="E21772" t="str">
            <v>LUC-EZZ-470138-00</v>
          </cell>
          <cell r="F21772">
            <v>486135068890</v>
          </cell>
        </row>
        <row r="21773">
          <cell r="E21773" t="str">
            <v>LUC-E00-470042-00</v>
          </cell>
          <cell r="F21773">
            <v>486135068890</v>
          </cell>
        </row>
        <row r="21774">
          <cell r="E21774" t="str">
            <v>LUC-EZZ-470336-00</v>
          </cell>
          <cell r="F21774">
            <v>394631760572</v>
          </cell>
        </row>
        <row r="21775">
          <cell r="E21775" t="str">
            <v>EF-45130849</v>
          </cell>
          <cell r="F21775">
            <v>394594017222</v>
          </cell>
        </row>
        <row r="21776">
          <cell r="E21776" t="str">
            <v>LUC-E00-420184-00</v>
          </cell>
          <cell r="F21776">
            <v>885442701688</v>
          </cell>
        </row>
        <row r="21777">
          <cell r="E21777" t="str">
            <v>HLOB-12-0482-00</v>
          </cell>
          <cell r="F21777">
            <v>885442701688</v>
          </cell>
        </row>
        <row r="21778">
          <cell r="E21778" t="str">
            <v>HLOB-13-0246-00</v>
          </cell>
          <cell r="F21778">
            <v>885442701688</v>
          </cell>
        </row>
        <row r="21779">
          <cell r="E21779" t="str">
            <v>AIC-MP-00005447-000</v>
          </cell>
          <cell r="F21779">
            <v>885442701688</v>
          </cell>
        </row>
        <row r="21780">
          <cell r="E21780" t="str">
            <v>AIC-MP-00004252-000</v>
          </cell>
          <cell r="F21780">
            <v>885442701688</v>
          </cell>
        </row>
        <row r="21781">
          <cell r="E21781" t="str">
            <v>AIC-MP-00000138-000</v>
          </cell>
          <cell r="F21781">
            <v>885442701688</v>
          </cell>
        </row>
        <row r="21782">
          <cell r="E21782" t="str">
            <v>AIC-MP-00006444-000</v>
          </cell>
          <cell r="F21782">
            <v>885442701688</v>
          </cell>
        </row>
        <row r="21783">
          <cell r="E21783" t="str">
            <v>LUC-E00-420184-00</v>
          </cell>
          <cell r="F21783">
            <v>885442701688</v>
          </cell>
        </row>
        <row r="21784">
          <cell r="E21784" t="str">
            <v>PUR-12-0482-00</v>
          </cell>
          <cell r="F21784">
            <v>885442701688</v>
          </cell>
        </row>
        <row r="21785">
          <cell r="E21785" t="str">
            <v>PUR-12-0482-00</v>
          </cell>
          <cell r="F21785">
            <v>885442701688</v>
          </cell>
        </row>
        <row r="21786">
          <cell r="E21786" t="str">
            <v>PUR-12-0294-00</v>
          </cell>
          <cell r="F21786">
            <v>885442701688</v>
          </cell>
        </row>
        <row r="21787">
          <cell r="E21787" t="str">
            <v>PURET-12-0017-00</v>
          </cell>
          <cell r="F21787">
            <v>885442701688</v>
          </cell>
        </row>
        <row r="21788">
          <cell r="E21788" t="str">
            <v>PUR-13-0245-00</v>
          </cell>
          <cell r="F21788">
            <v>885442701688</v>
          </cell>
        </row>
        <row r="21789">
          <cell r="E21789" t="str">
            <v>EF-45037930.X.X</v>
          </cell>
          <cell r="F21789">
            <v>885442701688</v>
          </cell>
        </row>
        <row r="21790">
          <cell r="E21790" t="str">
            <v>EF-45083316.X.X</v>
          </cell>
          <cell r="F21790">
            <v>885442701688</v>
          </cell>
        </row>
        <row r="21791">
          <cell r="E21791" t="str">
            <v>HLOB-13-0245-00</v>
          </cell>
          <cell r="F21791">
            <v>885442701688</v>
          </cell>
        </row>
        <row r="21792">
          <cell r="E21792" t="str">
            <v>LUC-E00-420184-00</v>
          </cell>
          <cell r="F21792">
            <v>885442701688</v>
          </cell>
        </row>
        <row r="21793">
          <cell r="E21793" t="str">
            <v>LUC-E00-420184-00</v>
          </cell>
          <cell r="F21793">
            <v>885442701688</v>
          </cell>
        </row>
        <row r="21794">
          <cell r="E21794" t="str">
            <v>PURET-12-0017-00</v>
          </cell>
          <cell r="F21794">
            <v>885442701688</v>
          </cell>
        </row>
        <row r="21795">
          <cell r="E21795" t="str">
            <v>PURET-12-0088-00</v>
          </cell>
          <cell r="F21795">
            <v>885442701688</v>
          </cell>
        </row>
        <row r="21796">
          <cell r="E21796" t="str">
            <v>PUR-12-0482-00</v>
          </cell>
          <cell r="F21796">
            <v>885442701688</v>
          </cell>
        </row>
        <row r="21797">
          <cell r="E21797" t="str">
            <v>PUR-12-0294-00</v>
          </cell>
          <cell r="F21797">
            <v>885442701688</v>
          </cell>
        </row>
        <row r="21798">
          <cell r="E21798" t="str">
            <v>PURET-12-0088-00</v>
          </cell>
          <cell r="F21798">
            <v>885442701688</v>
          </cell>
        </row>
        <row r="21799">
          <cell r="E21799" t="str">
            <v>EF-45043819.X.X</v>
          </cell>
          <cell r="F21799">
            <v>885442701688</v>
          </cell>
        </row>
        <row r="21800">
          <cell r="E21800" t="str">
            <v>EF-45083316.X.X</v>
          </cell>
          <cell r="F21800">
            <v>885442701688</v>
          </cell>
        </row>
        <row r="21801">
          <cell r="E21801" t="str">
            <v>122-000639.X.X</v>
          </cell>
          <cell r="F21801">
            <v>885442701688</v>
          </cell>
        </row>
        <row r="21802">
          <cell r="E21802" t="str">
            <v>LUC-EZZ-470358-00</v>
          </cell>
          <cell r="F21802">
            <v>412069772131</v>
          </cell>
        </row>
        <row r="21803">
          <cell r="E21803" t="str">
            <v>LUC-E00-400001-013</v>
          </cell>
          <cell r="F21803">
            <v>486655246740</v>
          </cell>
        </row>
        <row r="21804">
          <cell r="E21804" t="str">
            <v>LUC-E00-420060-00</v>
          </cell>
          <cell r="F21804">
            <v>486655246740</v>
          </cell>
        </row>
        <row r="21805">
          <cell r="E21805" t="str">
            <v>LUC-EZZ-520045-00</v>
          </cell>
          <cell r="F21805">
            <v>486655246740</v>
          </cell>
        </row>
        <row r="21806">
          <cell r="E21806" t="str">
            <v>LUC-E00-400044-00</v>
          </cell>
          <cell r="F21806">
            <v>486655246740</v>
          </cell>
        </row>
        <row r="21807">
          <cell r="E21807" t="str">
            <v>EF-45093131.X.X</v>
          </cell>
          <cell r="F21807">
            <v>419341591315</v>
          </cell>
        </row>
        <row r="21808">
          <cell r="E21808" t="str">
            <v>EF-45046883.X.X</v>
          </cell>
          <cell r="F21808">
            <v>419341591315</v>
          </cell>
        </row>
        <row r="21809">
          <cell r="E21809" t="str">
            <v>LUC-E00-450047-00</v>
          </cell>
          <cell r="F21809">
            <v>419341591315</v>
          </cell>
        </row>
        <row r="21810">
          <cell r="E21810" t="str">
            <v>LUC-EZZ-400291-00</v>
          </cell>
          <cell r="F21810">
            <v>486655260684</v>
          </cell>
        </row>
        <row r="21811">
          <cell r="E21811" t="str">
            <v>LUC-E00-420033-00</v>
          </cell>
          <cell r="F21811">
            <v>486655260684</v>
          </cell>
        </row>
        <row r="21812">
          <cell r="E21812" t="str">
            <v>LUC-EZZ-450177-00</v>
          </cell>
          <cell r="F21812">
            <v>119209647580</v>
          </cell>
        </row>
        <row r="21813">
          <cell r="E21813" t="str">
            <v>LUC-EZZ-450177-00</v>
          </cell>
          <cell r="F21813">
            <v>119209647580</v>
          </cell>
        </row>
        <row r="21814">
          <cell r="E21814" t="str">
            <v>LUC-E00-450149-01</v>
          </cell>
          <cell r="F21814">
            <v>119209647580</v>
          </cell>
        </row>
        <row r="21815">
          <cell r="E21815" t="str">
            <v>PUR-09-0427-00</v>
          </cell>
          <cell r="F21815">
            <v>119209647580</v>
          </cell>
        </row>
        <row r="21816">
          <cell r="E21816" t="str">
            <v>PUR-09-0427-00</v>
          </cell>
          <cell r="F21816">
            <v>119209647580</v>
          </cell>
        </row>
        <row r="21817">
          <cell r="E21817" t="str">
            <v>PUR-09-0427-00</v>
          </cell>
          <cell r="F21817">
            <v>119209647580</v>
          </cell>
        </row>
        <row r="21818">
          <cell r="E21818" t="str">
            <v>HLOB-09-0256-00</v>
          </cell>
          <cell r="F21818">
            <v>119209647580</v>
          </cell>
        </row>
        <row r="21819">
          <cell r="E21819" t="str">
            <v>LUC-E00-450149-01</v>
          </cell>
          <cell r="F21819">
            <v>119209647580</v>
          </cell>
        </row>
        <row r="21820">
          <cell r="E21820" t="str">
            <v>LUC-EZZ-510014-00</v>
          </cell>
          <cell r="F21820">
            <v>119209647580</v>
          </cell>
        </row>
        <row r="21821">
          <cell r="E21821" t="str">
            <v>HLOB-09-0256-00</v>
          </cell>
          <cell r="F21821">
            <v>119209647580</v>
          </cell>
        </row>
        <row r="21822">
          <cell r="E21822" t="str">
            <v>LUC-EZZ-690242-00</v>
          </cell>
          <cell r="F21822">
            <v>394412645671</v>
          </cell>
        </row>
        <row r="21823">
          <cell r="E21823" t="str">
            <v>LUC-EZZ-690243-00</v>
          </cell>
          <cell r="F21823">
            <v>394462048083</v>
          </cell>
        </row>
        <row r="21824">
          <cell r="E21824" t="str">
            <v>LUC-E00-400010-002</v>
          </cell>
          <cell r="F21824">
            <v>479730112676</v>
          </cell>
        </row>
        <row r="21825">
          <cell r="E21825" t="str">
            <v>PUR-09-0424-00</v>
          </cell>
          <cell r="F21825">
            <v>479730112665</v>
          </cell>
        </row>
        <row r="21826">
          <cell r="E21826" t="str">
            <v>LUC-EZZ-470811-00</v>
          </cell>
          <cell r="F21826">
            <v>479730114175</v>
          </cell>
        </row>
        <row r="21827">
          <cell r="E21827" t="str">
            <v>LUC-EZZ-400261-00</v>
          </cell>
          <cell r="F21827">
            <v>479730116980</v>
          </cell>
        </row>
        <row r="21828">
          <cell r="E21828" t="str">
            <v>LUC-E00-470127-00</v>
          </cell>
          <cell r="F21828">
            <v>479730114337</v>
          </cell>
        </row>
        <row r="21829">
          <cell r="E21829" t="str">
            <v>LUC-EZZ-450070-00</v>
          </cell>
          <cell r="F21829">
            <v>479730115642</v>
          </cell>
        </row>
        <row r="21830">
          <cell r="E21830" t="str">
            <v>LUC-E00-400054-01</v>
          </cell>
          <cell r="F21830">
            <v>479730117027</v>
          </cell>
        </row>
        <row r="21831">
          <cell r="E21831" t="str">
            <v>LUC-E00-470041-00</v>
          </cell>
          <cell r="F21831">
            <v>479730117016</v>
          </cell>
        </row>
        <row r="21832">
          <cell r="E21832" t="str">
            <v>LUC-EZZ-470095-00</v>
          </cell>
          <cell r="F21832">
            <v>479730117038</v>
          </cell>
        </row>
        <row r="21833">
          <cell r="E21833" t="str">
            <v>LUC-E00-450084-00</v>
          </cell>
          <cell r="F21833">
            <v>479730117050</v>
          </cell>
        </row>
        <row r="21834">
          <cell r="E21834" t="str">
            <v>LUC-E00-450084-00</v>
          </cell>
          <cell r="F21834">
            <v>479730117071</v>
          </cell>
        </row>
        <row r="21835">
          <cell r="E21835" t="str">
            <v>LUC-E00-450176-00</v>
          </cell>
          <cell r="F21835">
            <v>479730117082</v>
          </cell>
        </row>
        <row r="21836">
          <cell r="E21836" t="str">
            <v>LUC-EZZ-400248-00</v>
          </cell>
          <cell r="F21836">
            <v>479730117163</v>
          </cell>
        </row>
        <row r="21837">
          <cell r="E21837" t="str">
            <v>LUC-EZZ-420364-00</v>
          </cell>
          <cell r="F21837">
            <v>479730117108</v>
          </cell>
        </row>
        <row r="21838">
          <cell r="E21838" t="str">
            <v>LUC-E00-400010-002</v>
          </cell>
          <cell r="F21838">
            <v>479730117196</v>
          </cell>
        </row>
        <row r="21839">
          <cell r="E21839" t="str">
            <v>LUC-E00-400010-002</v>
          </cell>
          <cell r="F21839">
            <v>479730117174</v>
          </cell>
        </row>
        <row r="21840">
          <cell r="E21840" t="str">
            <v>LUC-EZZ-470181-00</v>
          </cell>
          <cell r="F21840">
            <v>479730117520</v>
          </cell>
        </row>
        <row r="21841">
          <cell r="E21841" t="str">
            <v>LUC-E00-420071-00</v>
          </cell>
          <cell r="F21841">
            <v>479730117678</v>
          </cell>
        </row>
        <row r="21842">
          <cell r="E21842" t="str">
            <v>AIC-126-002327</v>
          </cell>
          <cell r="F21842">
            <v>479730117494</v>
          </cell>
        </row>
        <row r="21843">
          <cell r="E21843" t="str">
            <v>LUC-E00-460007-00</v>
          </cell>
          <cell r="F21843">
            <v>479730117656</v>
          </cell>
        </row>
        <row r="21844">
          <cell r="E21844" t="str">
            <v>LUC-E00-460007-00</v>
          </cell>
          <cell r="F21844">
            <v>479730119122</v>
          </cell>
        </row>
        <row r="21845">
          <cell r="E21845" t="str">
            <v>LUC-E00-400011-004</v>
          </cell>
          <cell r="F21845">
            <v>479730119431</v>
          </cell>
        </row>
        <row r="21846">
          <cell r="E21846" t="str">
            <v>LUC-E00-400025-09</v>
          </cell>
          <cell r="F21846">
            <v>479730119431</v>
          </cell>
        </row>
        <row r="21847">
          <cell r="E21847" t="str">
            <v>103-001603</v>
          </cell>
          <cell r="F21847">
            <v>480304816150</v>
          </cell>
        </row>
        <row r="21848">
          <cell r="E21848" t="str">
            <v>103-001603</v>
          </cell>
          <cell r="F21848">
            <v>480304816150</v>
          </cell>
        </row>
        <row r="21849">
          <cell r="E21849" t="str">
            <v>LUC-E00-450132-00</v>
          </cell>
          <cell r="F21849">
            <v>486382208620</v>
          </cell>
        </row>
        <row r="21850">
          <cell r="E21850" t="str">
            <v>LUC-EZZ-420396-00</v>
          </cell>
          <cell r="F21850">
            <v>486220187167</v>
          </cell>
        </row>
        <row r="21851">
          <cell r="E21851" t="str">
            <v>LUC-EZZ-440021-00</v>
          </cell>
          <cell r="F21851">
            <v>486220187167</v>
          </cell>
        </row>
        <row r="21852">
          <cell r="E21852" t="str">
            <v>LUC-EZZ-440021-00</v>
          </cell>
          <cell r="F21852">
            <v>486220187167</v>
          </cell>
        </row>
        <row r="21853">
          <cell r="E21853" t="str">
            <v>LUC-E00-400012-17</v>
          </cell>
          <cell r="F21853">
            <v>486220187167</v>
          </cell>
        </row>
        <row r="21854">
          <cell r="E21854" t="str">
            <v>LUC-E00-510064-00</v>
          </cell>
          <cell r="F21854">
            <v>618108348071</v>
          </cell>
        </row>
        <row r="21855">
          <cell r="E21855" t="str">
            <v>LUC-E00-510064-00</v>
          </cell>
          <cell r="F21855">
            <v>618108348071</v>
          </cell>
        </row>
        <row r="21856">
          <cell r="E21856" t="str">
            <v>LUC-E00-510064-00</v>
          </cell>
          <cell r="F21856">
            <v>618108348071</v>
          </cell>
        </row>
        <row r="21857">
          <cell r="E21857" t="str">
            <v>LUC-E00-510064-00</v>
          </cell>
          <cell r="F21857">
            <v>618108348071</v>
          </cell>
        </row>
        <row r="21858">
          <cell r="E21858" t="str">
            <v>LUC-E00-510064-00</v>
          </cell>
          <cell r="F21858">
            <v>618108348071</v>
          </cell>
        </row>
        <row r="21859">
          <cell r="E21859" t="str">
            <v>LUC-E00-450052-00</v>
          </cell>
          <cell r="F21859">
            <v>618108348071</v>
          </cell>
        </row>
        <row r="21860">
          <cell r="E21860" t="str">
            <v>LUC-E00-510064-00</v>
          </cell>
          <cell r="F21860">
            <v>618108348071</v>
          </cell>
        </row>
        <row r="21861">
          <cell r="E21861" t="str">
            <v>LUC-E00-450052-00</v>
          </cell>
          <cell r="F21861">
            <v>618108348071</v>
          </cell>
        </row>
        <row r="21862">
          <cell r="E21862" t="str">
            <v>LUC-E00-450052-00</v>
          </cell>
          <cell r="F21862">
            <v>618108348071</v>
          </cell>
        </row>
        <row r="21863">
          <cell r="E21863" t="str">
            <v>LUC-EZZ-420179-00</v>
          </cell>
          <cell r="F21863">
            <v>618108348005</v>
          </cell>
        </row>
        <row r="21864">
          <cell r="E21864" t="str">
            <v>LUC-EZZ-420179-00</v>
          </cell>
          <cell r="F21864">
            <v>618108348005</v>
          </cell>
        </row>
        <row r="21865">
          <cell r="E21865" t="str">
            <v>LUC-EZZ-420178-00</v>
          </cell>
          <cell r="F21865">
            <v>618108348005</v>
          </cell>
        </row>
        <row r="21866">
          <cell r="E21866" t="str">
            <v>LUC-EZZ-420091-00</v>
          </cell>
          <cell r="F21866">
            <v>618108348005</v>
          </cell>
        </row>
        <row r="21867">
          <cell r="E21867" t="str">
            <v>LUC-E00-510064-00</v>
          </cell>
          <cell r="F21867">
            <v>618108348005</v>
          </cell>
        </row>
        <row r="21868">
          <cell r="E21868" t="str">
            <v>LUC-E00-510064-00</v>
          </cell>
          <cell r="F21868">
            <v>618108348005</v>
          </cell>
        </row>
        <row r="21869">
          <cell r="E21869" t="str">
            <v>LUC-EZZ-450476-00</v>
          </cell>
          <cell r="F21869">
            <v>618108348005</v>
          </cell>
        </row>
        <row r="21870">
          <cell r="E21870" t="str">
            <v>LUC-EZZ-420179-00</v>
          </cell>
          <cell r="F21870">
            <v>618108348005</v>
          </cell>
        </row>
        <row r="21871">
          <cell r="E21871" t="str">
            <v>LUC-E00-450176-00</v>
          </cell>
          <cell r="F21871">
            <v>618108348005</v>
          </cell>
        </row>
        <row r="21872">
          <cell r="E21872" t="str">
            <v>LUC-EZZ-420178-00</v>
          </cell>
          <cell r="F21872">
            <v>618108348005</v>
          </cell>
        </row>
        <row r="21873">
          <cell r="E21873" t="str">
            <v>LUC-EZZ-420091-00</v>
          </cell>
          <cell r="F21873">
            <v>618108348005</v>
          </cell>
        </row>
        <row r="21874">
          <cell r="E21874" t="str">
            <v>LUC-EZZ-420091-00</v>
          </cell>
          <cell r="F21874">
            <v>618108348005</v>
          </cell>
        </row>
        <row r="21875">
          <cell r="E21875" t="str">
            <v>LUC-E00-450176-00</v>
          </cell>
          <cell r="F21875">
            <v>618108348005</v>
          </cell>
        </row>
        <row r="21876">
          <cell r="E21876" t="str">
            <v>HLOB-13-0258-00</v>
          </cell>
          <cell r="F21876">
            <v>486655243383</v>
          </cell>
        </row>
        <row r="21877">
          <cell r="E21877" t="str">
            <v>LUC-EZZ-420175-00</v>
          </cell>
          <cell r="F21877">
            <v>619345533460</v>
          </cell>
        </row>
        <row r="21878">
          <cell r="E21878" t="str">
            <v>LUC-EZZ-420175-00</v>
          </cell>
          <cell r="F21878">
            <v>619345533460</v>
          </cell>
        </row>
        <row r="21879">
          <cell r="E21879" t="str">
            <v>LUC-EZZ-420175-00</v>
          </cell>
          <cell r="F21879">
            <v>619345533460</v>
          </cell>
        </row>
        <row r="21880">
          <cell r="E21880" t="str">
            <v>LUC-EZZ-450476-00</v>
          </cell>
          <cell r="F21880">
            <v>619345533460</v>
          </cell>
        </row>
        <row r="21881">
          <cell r="E21881" t="str">
            <v>LUC-EZZ-450476-00</v>
          </cell>
          <cell r="F21881">
            <v>619345533460</v>
          </cell>
        </row>
        <row r="21882">
          <cell r="E21882" t="str">
            <v>LUC-EZZ-471623-00</v>
          </cell>
          <cell r="F21882">
            <v>619345533460</v>
          </cell>
        </row>
        <row r="21883">
          <cell r="E21883" t="str">
            <v>LUC-E00-450039-00</v>
          </cell>
          <cell r="F21883">
            <v>643036779312</v>
          </cell>
        </row>
        <row r="21884">
          <cell r="E21884" t="str">
            <v>LUC-E00-450039-00</v>
          </cell>
          <cell r="F21884">
            <v>643036779312</v>
          </cell>
        </row>
        <row r="21885">
          <cell r="E21885" t="str">
            <v>LUC-E00-450039-00</v>
          </cell>
          <cell r="F21885">
            <v>643036779312</v>
          </cell>
        </row>
        <row r="21886">
          <cell r="E21886" t="str">
            <v>LUC-E00-450039-00</v>
          </cell>
          <cell r="F21886">
            <v>643036779312</v>
          </cell>
        </row>
        <row r="21887">
          <cell r="E21887" t="str">
            <v>LUC-EZZ-450047-00</v>
          </cell>
          <cell r="F21887">
            <v>643036779345</v>
          </cell>
        </row>
        <row r="21888">
          <cell r="E21888" t="str">
            <v>LUC-EZZ-450047-00</v>
          </cell>
          <cell r="F21888">
            <v>643036779345</v>
          </cell>
        </row>
        <row r="21889">
          <cell r="E21889" t="str">
            <v>PUR-12-0337-00</v>
          </cell>
          <cell r="F21889">
            <v>885412025992</v>
          </cell>
        </row>
        <row r="21890">
          <cell r="E21890" t="str">
            <v>EF-45036459.X.X</v>
          </cell>
          <cell r="F21890">
            <v>885412025992</v>
          </cell>
        </row>
        <row r="21891">
          <cell r="E21891" t="str">
            <v>EF-45044048.X.X</v>
          </cell>
          <cell r="F21891">
            <v>885412025992</v>
          </cell>
        </row>
        <row r="21892">
          <cell r="E21892" t="str">
            <v>EF-45044048.X.X</v>
          </cell>
          <cell r="F21892">
            <v>885412025992</v>
          </cell>
        </row>
        <row r="21893">
          <cell r="E21893" t="str">
            <v>LUC-P21-K33R00-01</v>
          </cell>
          <cell r="F21893">
            <v>885411959988</v>
          </cell>
        </row>
        <row r="21894">
          <cell r="E21894" t="str">
            <v>LUC-E00-470004-00</v>
          </cell>
          <cell r="F21894">
            <v>885449245313</v>
          </cell>
        </row>
        <row r="21895">
          <cell r="E21895" t="str">
            <v>LUC-E00-470004-00</v>
          </cell>
          <cell r="F21895">
            <v>885449245313</v>
          </cell>
        </row>
        <row r="21896">
          <cell r="E21896" t="str">
            <v>LUC-E00-470004-00</v>
          </cell>
          <cell r="F21896">
            <v>885449245313</v>
          </cell>
        </row>
        <row r="21897">
          <cell r="E21897" t="str">
            <v>LUC-E00-470137-00</v>
          </cell>
          <cell r="F21897">
            <v>885343815772</v>
          </cell>
        </row>
        <row r="21898">
          <cell r="E21898" t="str">
            <v>LUC-E00-690011-00</v>
          </cell>
          <cell r="F21898">
            <v>394559495535</v>
          </cell>
        </row>
        <row r="21899">
          <cell r="E21899" t="str">
            <v>LUC-EZZ-440129-00</v>
          </cell>
          <cell r="F21899">
            <v>394559495535</v>
          </cell>
        </row>
        <row r="21900">
          <cell r="E21900" t="str">
            <v>LUC-E00-690032-00</v>
          </cell>
          <cell r="F21900">
            <v>394559495535</v>
          </cell>
        </row>
        <row r="21901">
          <cell r="E21901" t="str">
            <v>LUC-E00-690011-00</v>
          </cell>
          <cell r="F21901">
            <v>394559495535</v>
          </cell>
        </row>
        <row r="21902">
          <cell r="E21902" t="str">
            <v>HLOB-09-0343-00</v>
          </cell>
          <cell r="F21902">
            <v>480820837284</v>
          </cell>
        </row>
        <row r="21903">
          <cell r="E21903" t="str">
            <v>AIC-MP-00005632-000</v>
          </cell>
          <cell r="F21903">
            <v>885409212822</v>
          </cell>
        </row>
        <row r="21904">
          <cell r="E21904" t="str">
            <v>123-000465</v>
          </cell>
          <cell r="F21904">
            <v>885409212822</v>
          </cell>
        </row>
        <row r="21905">
          <cell r="E21905" t="str">
            <v>123-000465</v>
          </cell>
          <cell r="F21905">
            <v>885409212822</v>
          </cell>
        </row>
        <row r="21906">
          <cell r="E21906" t="str">
            <v>123-000467</v>
          </cell>
          <cell r="F21906">
            <v>885409212822</v>
          </cell>
        </row>
        <row r="21907">
          <cell r="E21907" t="str">
            <v>LUC-E00-470389-00</v>
          </cell>
          <cell r="F21907">
            <v>416886361339</v>
          </cell>
        </row>
        <row r="21908">
          <cell r="E21908" t="str">
            <v>LUC-EZZ-440016-00</v>
          </cell>
          <cell r="F21908">
            <v>416886361339</v>
          </cell>
        </row>
        <row r="21909">
          <cell r="E21909" t="str">
            <v>LUC-EZZ-421267-00</v>
          </cell>
          <cell r="F21909">
            <v>416886361339</v>
          </cell>
        </row>
        <row r="21910">
          <cell r="E21910" t="str">
            <v>PUR-03-0111-00</v>
          </cell>
          <cell r="F21910">
            <v>485567277993</v>
          </cell>
        </row>
        <row r="21911">
          <cell r="E21911" t="str">
            <v>LUC-E00-470109-00</v>
          </cell>
          <cell r="F21911">
            <v>477592537773</v>
          </cell>
        </row>
        <row r="21912">
          <cell r="E21912" t="str">
            <v>PUR-03-0091-02</v>
          </cell>
          <cell r="F21912">
            <v>485567402545</v>
          </cell>
        </row>
        <row r="21913">
          <cell r="E21913" t="str">
            <v>PUR-03-0091-02</v>
          </cell>
          <cell r="F21913">
            <v>485567402545</v>
          </cell>
        </row>
        <row r="21914">
          <cell r="E21914" t="str">
            <v>LUC-E00-470473-00</v>
          </cell>
          <cell r="F21914">
            <v>885349397229</v>
          </cell>
        </row>
        <row r="21915">
          <cell r="E21915" t="str">
            <v>LUC-E00-470085-00</v>
          </cell>
          <cell r="F21915">
            <v>885349397229</v>
          </cell>
        </row>
        <row r="21916">
          <cell r="E21916" t="str">
            <v>LUC-EZZ-470138-00</v>
          </cell>
          <cell r="F21916">
            <v>885349397229</v>
          </cell>
        </row>
        <row r="21917">
          <cell r="E21917" t="str">
            <v>AIC-MP-DE005147-S01</v>
          </cell>
          <cell r="F21917">
            <v>885349397229</v>
          </cell>
        </row>
        <row r="21918">
          <cell r="E21918" t="str">
            <v>LUC-E00-400059-004</v>
          </cell>
          <cell r="F21918">
            <v>885349397229</v>
          </cell>
        </row>
        <row r="21919">
          <cell r="E21919" t="str">
            <v>AIC-MP-00000207-000</v>
          </cell>
          <cell r="F21919">
            <v>885349397229</v>
          </cell>
        </row>
        <row r="21920">
          <cell r="E21920" t="str">
            <v>LUC-E00-510034-00</v>
          </cell>
          <cell r="F21920">
            <v>885349397229</v>
          </cell>
        </row>
        <row r="21921">
          <cell r="E21921" t="str">
            <v>LUC-EZZ-440200-00</v>
          </cell>
          <cell r="F21921">
            <v>885349397229</v>
          </cell>
        </row>
        <row r="21922">
          <cell r="E21922" t="str">
            <v>LUC-E00-420028-00</v>
          </cell>
          <cell r="F21922">
            <v>885349397229</v>
          </cell>
        </row>
        <row r="21923">
          <cell r="E21923" t="str">
            <v>AIC-MP-00002404-000</v>
          </cell>
          <cell r="F21923">
            <v>885349397229</v>
          </cell>
        </row>
        <row r="21924">
          <cell r="E21924" t="str">
            <v>LUC-E00-400035-07</v>
          </cell>
          <cell r="F21924">
            <v>885349397229</v>
          </cell>
        </row>
        <row r="21925">
          <cell r="E21925" t="str">
            <v>LUC-EZZ-420211-00</v>
          </cell>
          <cell r="F21925">
            <v>885349397229</v>
          </cell>
        </row>
        <row r="21926">
          <cell r="E21926" t="str">
            <v>LUC-E00-420011-04</v>
          </cell>
          <cell r="F21926">
            <v>885349397229</v>
          </cell>
        </row>
        <row r="21927">
          <cell r="E21927" t="str">
            <v>LUC-EZZ-420211-00</v>
          </cell>
          <cell r="F21927">
            <v>885349397229</v>
          </cell>
        </row>
        <row r="21928">
          <cell r="E21928" t="str">
            <v>LUC-EZZ-400011-00</v>
          </cell>
          <cell r="F21928">
            <v>885349397229</v>
          </cell>
        </row>
        <row r="21929">
          <cell r="E21929" t="str">
            <v>LUC-EZZ-420211-00</v>
          </cell>
          <cell r="F21929">
            <v>885349397229</v>
          </cell>
        </row>
        <row r="21930">
          <cell r="E21930" t="str">
            <v>LUC-EZZ-400011-00</v>
          </cell>
          <cell r="F21930">
            <v>885349397229</v>
          </cell>
        </row>
        <row r="21931">
          <cell r="E21931" t="str">
            <v>LUC-EZZ-400011-00</v>
          </cell>
          <cell r="F21931">
            <v>885349397229</v>
          </cell>
        </row>
        <row r="21932">
          <cell r="E21932" t="str">
            <v>LUC-E00-400010-037</v>
          </cell>
          <cell r="F21932">
            <v>412069771797</v>
          </cell>
        </row>
        <row r="21933">
          <cell r="E21933" t="str">
            <v>LUC-E00-510029-00</v>
          </cell>
          <cell r="F21933">
            <v>485187271920</v>
          </cell>
        </row>
        <row r="21934">
          <cell r="E21934" t="str">
            <v>LUC-EZZ-470961-00</v>
          </cell>
          <cell r="F21934">
            <v>485187271920</v>
          </cell>
        </row>
        <row r="21935">
          <cell r="E21935" t="str">
            <v>LUC-EZZ-400554-00</v>
          </cell>
          <cell r="F21935">
            <v>485187271920</v>
          </cell>
        </row>
        <row r="21936">
          <cell r="E21936" t="str">
            <v>LUC-EZZ-450074-02</v>
          </cell>
          <cell r="F21936">
            <v>485187271920</v>
          </cell>
        </row>
        <row r="21937">
          <cell r="E21937" t="str">
            <v>121-001076.X.X</v>
          </cell>
          <cell r="F21937">
            <v>485187271920</v>
          </cell>
        </row>
        <row r="21938">
          <cell r="E21938" t="str">
            <v>LUC-EZZ-510640-00</v>
          </cell>
          <cell r="F21938">
            <v>485187271920</v>
          </cell>
        </row>
        <row r="21939">
          <cell r="E21939" t="str">
            <v>LUC-EZZ-470961-00</v>
          </cell>
          <cell r="F21939">
            <v>485187271920</v>
          </cell>
        </row>
        <row r="21940">
          <cell r="E21940" t="str">
            <v>EF-45055292</v>
          </cell>
          <cell r="F21940">
            <v>485187271920</v>
          </cell>
        </row>
        <row r="21941">
          <cell r="E21941" t="str">
            <v>LUC-EZZ-420345-00</v>
          </cell>
          <cell r="F21941">
            <v>485187271920</v>
          </cell>
        </row>
        <row r="21942">
          <cell r="E21942" t="str">
            <v>LUC-EZZ-420098-00</v>
          </cell>
          <cell r="F21942">
            <v>485187271920</v>
          </cell>
        </row>
        <row r="21943">
          <cell r="E21943" t="str">
            <v>LUC-E00-420037-02</v>
          </cell>
          <cell r="F21943">
            <v>485187271920</v>
          </cell>
        </row>
        <row r="21944">
          <cell r="E21944" t="str">
            <v>LUC-EZZ-420021-00</v>
          </cell>
          <cell r="F21944">
            <v>485187271920</v>
          </cell>
        </row>
        <row r="21945">
          <cell r="E21945" t="str">
            <v>LUC-E00-440057-00</v>
          </cell>
          <cell r="F21945">
            <v>485187271920</v>
          </cell>
        </row>
        <row r="21946">
          <cell r="E21946" t="str">
            <v>LUC-E00-470331-00</v>
          </cell>
          <cell r="F21946">
            <v>485187271920</v>
          </cell>
        </row>
        <row r="21947">
          <cell r="E21947" t="str">
            <v>LUC-E00-460005-00</v>
          </cell>
          <cell r="F21947">
            <v>485187271920</v>
          </cell>
        </row>
        <row r="21948">
          <cell r="E21948" t="str">
            <v>LUC-EZZ-510058-00</v>
          </cell>
          <cell r="F21948">
            <v>485187271920</v>
          </cell>
        </row>
        <row r="21949">
          <cell r="E21949" t="str">
            <v>LUC-E00-450037-00</v>
          </cell>
          <cell r="F21949">
            <v>485187271920</v>
          </cell>
        </row>
        <row r="21950">
          <cell r="E21950" t="str">
            <v>LUC-EZZ-400243-00</v>
          </cell>
          <cell r="F21950">
            <v>412069771786</v>
          </cell>
        </row>
        <row r="21951">
          <cell r="E21951" t="str">
            <v>LUC-EZZ-510058-00</v>
          </cell>
          <cell r="F21951">
            <v>486382241467</v>
          </cell>
        </row>
        <row r="21952">
          <cell r="E21952" t="str">
            <v>LUC-EZZ-470811-00</v>
          </cell>
          <cell r="F21952">
            <v>479730114164</v>
          </cell>
        </row>
        <row r="21953">
          <cell r="E21953" t="str">
            <v>LUC-EZZ-470811-00</v>
          </cell>
          <cell r="F21953">
            <v>479730116178</v>
          </cell>
        </row>
        <row r="21954">
          <cell r="E21954" t="str">
            <v>PUR-14-0098-00</v>
          </cell>
          <cell r="F21954">
            <v>479730117005</v>
          </cell>
        </row>
        <row r="21955">
          <cell r="E21955" t="str">
            <v>LUC-E00-470413-01</v>
          </cell>
          <cell r="F21955">
            <v>479730117049</v>
          </cell>
        </row>
        <row r="21956">
          <cell r="E21956" t="str">
            <v>LUC-E00-450176-00</v>
          </cell>
          <cell r="F21956">
            <v>479730117060</v>
          </cell>
        </row>
        <row r="21957">
          <cell r="E21957" t="str">
            <v>LUC-EZZ-400425-00</v>
          </cell>
          <cell r="F21957">
            <v>479730117093</v>
          </cell>
        </row>
        <row r="21958">
          <cell r="E21958" t="str">
            <v>LUC-E00-470081-00</v>
          </cell>
          <cell r="F21958">
            <v>479730117119</v>
          </cell>
        </row>
        <row r="21959">
          <cell r="E21959" t="str">
            <v>PUR-09-0324-00</v>
          </cell>
          <cell r="F21959">
            <v>479730117152</v>
          </cell>
        </row>
        <row r="21960">
          <cell r="E21960" t="str">
            <v>LUC-E00-470472-00</v>
          </cell>
          <cell r="F21960">
            <v>479730117222</v>
          </cell>
        </row>
        <row r="21961">
          <cell r="E21961" t="str">
            <v>LUC-E00-470028-00</v>
          </cell>
          <cell r="F21961">
            <v>479730117509</v>
          </cell>
        </row>
        <row r="21962">
          <cell r="E21962" t="str">
            <v>EF-45047062</v>
          </cell>
          <cell r="F21962">
            <v>479730117510</v>
          </cell>
        </row>
        <row r="21963">
          <cell r="E21963" t="str">
            <v>LUC-E00-450176-00</v>
          </cell>
          <cell r="F21963">
            <v>479730118788</v>
          </cell>
        </row>
        <row r="21964">
          <cell r="E21964" t="str">
            <v>PUR-27-0017-00</v>
          </cell>
          <cell r="F21964">
            <v>479730117120</v>
          </cell>
        </row>
        <row r="21965">
          <cell r="E21965" t="str">
            <v>LUC-EZZ-400336-00</v>
          </cell>
          <cell r="F21965">
            <v>479730117141</v>
          </cell>
        </row>
        <row r="21966">
          <cell r="E21966" t="str">
            <v>LUC-EZZ-420364-00</v>
          </cell>
          <cell r="F21966">
            <v>479730117130</v>
          </cell>
        </row>
        <row r="21967">
          <cell r="E21967" t="str">
            <v>LUC-EZZ-400485-00</v>
          </cell>
          <cell r="F21967">
            <v>412069772360</v>
          </cell>
        </row>
        <row r="21968">
          <cell r="E21968" t="str">
            <v>LUC-E00-450039-01</v>
          </cell>
          <cell r="F21968">
            <v>1811119122</v>
          </cell>
        </row>
        <row r="21969">
          <cell r="E21969" t="str">
            <v>LUC-E00-450039-01</v>
          </cell>
          <cell r="F21969">
            <v>1811119122</v>
          </cell>
        </row>
        <row r="21970">
          <cell r="E21970" t="str">
            <v>LUC-E00-450039-01</v>
          </cell>
          <cell r="F21970">
            <v>1811119122</v>
          </cell>
        </row>
        <row r="21971">
          <cell r="E21971" t="str">
            <v>LUC-E00-450039-01</v>
          </cell>
          <cell r="F21971">
            <v>1811119122</v>
          </cell>
        </row>
        <row r="21972">
          <cell r="E21972" t="str">
            <v>LUC-E00-450039-01</v>
          </cell>
          <cell r="F21972">
            <v>1811119122</v>
          </cell>
        </row>
        <row r="21973">
          <cell r="E21973" t="str">
            <v>LUC-E00-450039-01</v>
          </cell>
          <cell r="F21973">
            <v>1811119122</v>
          </cell>
        </row>
        <row r="21974">
          <cell r="E21974" t="str">
            <v>LUC-E00-450100-00</v>
          </cell>
          <cell r="F21974">
            <v>1811119122</v>
          </cell>
        </row>
        <row r="21975">
          <cell r="E21975" t="str">
            <v>LUC-E00-450100-00</v>
          </cell>
          <cell r="F21975">
            <v>1811119122</v>
          </cell>
        </row>
        <row r="21976">
          <cell r="E21976" t="str">
            <v>LUC-EZZ-450074-02</v>
          </cell>
          <cell r="F21976">
            <v>1811119122</v>
          </cell>
        </row>
        <row r="21977">
          <cell r="E21977" t="str">
            <v>LUC-EZZ-450091-00</v>
          </cell>
          <cell r="F21977">
            <v>1811119122</v>
          </cell>
        </row>
        <row r="21978">
          <cell r="E21978" t="str">
            <v>LUC-EZZ-400606-00</v>
          </cell>
          <cell r="F21978">
            <v>1811119122</v>
          </cell>
        </row>
        <row r="21979">
          <cell r="E21979" t="str">
            <v>LUC-EZZ-510052-00</v>
          </cell>
          <cell r="F21979">
            <v>1811119122</v>
          </cell>
        </row>
        <row r="21980">
          <cell r="E21980" t="str">
            <v>LUC-E00-400004-01</v>
          </cell>
          <cell r="F21980">
            <v>1811119122</v>
          </cell>
        </row>
        <row r="21981">
          <cell r="E21981" t="str">
            <v>LUC-P11-K41D00-01</v>
          </cell>
          <cell r="F21981">
            <v>1811119122</v>
          </cell>
        </row>
        <row r="21982">
          <cell r="E21982" t="str">
            <v>LUC-EZZ-540018-00</v>
          </cell>
          <cell r="F21982">
            <v>1811119122</v>
          </cell>
        </row>
        <row r="21983">
          <cell r="E21983" t="str">
            <v>LUC-EZZ-451660-00</v>
          </cell>
          <cell r="F21983">
            <v>1811119122</v>
          </cell>
        </row>
        <row r="21984">
          <cell r="E21984" t="str">
            <v>LUC-E00-460006-00</v>
          </cell>
          <cell r="F21984">
            <v>1811119122</v>
          </cell>
        </row>
        <row r="21985">
          <cell r="E21985" t="str">
            <v>LUC-E00-450241-00</v>
          </cell>
          <cell r="F21985">
            <v>1811119122</v>
          </cell>
        </row>
        <row r="21986">
          <cell r="E21986" t="str">
            <v>LUC-E00-460006-00</v>
          </cell>
          <cell r="F21986">
            <v>1811119122</v>
          </cell>
        </row>
        <row r="21987">
          <cell r="E21987" t="str">
            <v>LUC-E00-460006-00</v>
          </cell>
          <cell r="F21987">
            <v>1811119122</v>
          </cell>
        </row>
        <row r="21988">
          <cell r="E21988" t="str">
            <v>PUR-21-0036-00</v>
          </cell>
          <cell r="F21988">
            <v>1811119122</v>
          </cell>
        </row>
        <row r="21989">
          <cell r="E21989" t="str">
            <v>LUC-E00-400049-00</v>
          </cell>
          <cell r="F21989">
            <v>1811119122</v>
          </cell>
        </row>
        <row r="21990">
          <cell r="E21990" t="str">
            <v>LUC-E00-400024-04</v>
          </cell>
          <cell r="F21990">
            <v>1811119122</v>
          </cell>
        </row>
        <row r="21991">
          <cell r="E21991" t="str">
            <v>LUC-E00-460006-00</v>
          </cell>
          <cell r="F21991">
            <v>1811119122</v>
          </cell>
        </row>
        <row r="21992">
          <cell r="E21992" t="str">
            <v>EF-45055219.X.X</v>
          </cell>
          <cell r="F21992">
            <v>1811119122</v>
          </cell>
        </row>
        <row r="21993">
          <cell r="E21993" t="str">
            <v>LUC-EZZ-510640-00</v>
          </cell>
          <cell r="F21993">
            <v>1811119122</v>
          </cell>
        </row>
        <row r="21994">
          <cell r="E21994" t="str">
            <v>EF-45044050.X.X</v>
          </cell>
          <cell r="F21994">
            <v>1811119122</v>
          </cell>
        </row>
        <row r="21995">
          <cell r="E21995" t="str">
            <v>LUC-E00-450070-00</v>
          </cell>
          <cell r="F21995">
            <v>1811119122</v>
          </cell>
        </row>
        <row r="21996">
          <cell r="E21996" t="str">
            <v>EF-45098407</v>
          </cell>
          <cell r="F21996">
            <v>1811119122</v>
          </cell>
        </row>
        <row r="21997">
          <cell r="E21997" t="str">
            <v>LUC-EZZ-450091-00</v>
          </cell>
          <cell r="F21997">
            <v>1811119122</v>
          </cell>
        </row>
        <row r="21998">
          <cell r="E21998" t="str">
            <v>LUC-E00-470087-00</v>
          </cell>
          <cell r="F21998">
            <v>1811119122</v>
          </cell>
        </row>
        <row r="21999">
          <cell r="E21999" t="str">
            <v>LUC-E00-510001-00</v>
          </cell>
          <cell r="F21999">
            <v>1811119122</v>
          </cell>
        </row>
        <row r="22000">
          <cell r="E22000" t="str">
            <v>LUC-EZZ-510014-00</v>
          </cell>
          <cell r="F22000">
            <v>1811119122</v>
          </cell>
        </row>
        <row r="22001">
          <cell r="E22001" t="str">
            <v>LUC-E00-450100-00</v>
          </cell>
          <cell r="F22001">
            <v>1811119122</v>
          </cell>
        </row>
        <row r="22002">
          <cell r="E22002" t="str">
            <v>LUC-E00-450100-00</v>
          </cell>
          <cell r="F22002">
            <v>1811119122</v>
          </cell>
        </row>
        <row r="22003">
          <cell r="E22003" t="str">
            <v>LUC-EZZ-450074-02</v>
          </cell>
          <cell r="F22003">
            <v>1811119122</v>
          </cell>
        </row>
        <row r="22004">
          <cell r="E22004" t="str">
            <v>LUC-EZZ-450047-00</v>
          </cell>
          <cell r="F22004">
            <v>1811119122</v>
          </cell>
        </row>
        <row r="22005">
          <cell r="E22005" t="str">
            <v>LUC-E00-450039-01</v>
          </cell>
          <cell r="F22005">
            <v>1811119122</v>
          </cell>
        </row>
        <row r="22006">
          <cell r="E22006" t="str">
            <v>LUC-E00-450039-01</v>
          </cell>
          <cell r="F22006">
            <v>1811119122</v>
          </cell>
        </row>
        <row r="22007">
          <cell r="E22007" t="str">
            <v>LUC-EZZ-450214-00</v>
          </cell>
          <cell r="F22007">
            <v>1811119122</v>
          </cell>
        </row>
        <row r="22008">
          <cell r="E22008" t="str">
            <v>LUC-E00-690215-00</v>
          </cell>
          <cell r="F22008">
            <v>472187334560</v>
          </cell>
        </row>
        <row r="22009">
          <cell r="E22009" t="str">
            <v>LUC-E00-690215-00</v>
          </cell>
          <cell r="F22009">
            <v>472187334560</v>
          </cell>
        </row>
        <row r="22010">
          <cell r="E22010" t="str">
            <v>LUC-E00-690215-00</v>
          </cell>
          <cell r="F22010">
            <v>472187334560</v>
          </cell>
        </row>
        <row r="22011">
          <cell r="E22011" t="str">
            <v>LUC-E00-690215-00</v>
          </cell>
          <cell r="F22011">
            <v>472187334560</v>
          </cell>
        </row>
        <row r="22012">
          <cell r="E22012" t="str">
            <v>LUC-E00-690215-00</v>
          </cell>
          <cell r="F22012">
            <v>472187334560</v>
          </cell>
        </row>
        <row r="22013">
          <cell r="E22013" t="str">
            <v>LUC-E00-690215-00</v>
          </cell>
          <cell r="F22013">
            <v>472187334560</v>
          </cell>
        </row>
        <row r="22014">
          <cell r="E22014" t="str">
            <v>LUC-E00-690215-00</v>
          </cell>
          <cell r="F22014">
            <v>472187334560</v>
          </cell>
        </row>
        <row r="22015">
          <cell r="E22015" t="str">
            <v>LUC-E00-690215-00</v>
          </cell>
          <cell r="F22015">
            <v>472187334560</v>
          </cell>
        </row>
        <row r="22016">
          <cell r="E22016" t="str">
            <v>LUC-E00-690215-00</v>
          </cell>
          <cell r="F22016">
            <v>472187334560</v>
          </cell>
        </row>
        <row r="22017">
          <cell r="E22017" t="str">
            <v>LUC-E00-690215-00</v>
          </cell>
          <cell r="F22017">
            <v>472187334560</v>
          </cell>
        </row>
        <row r="22018">
          <cell r="E22018" t="str">
            <v>LUC-E00-690215-00</v>
          </cell>
          <cell r="F22018">
            <v>472187334560</v>
          </cell>
        </row>
        <row r="22019">
          <cell r="E22019" t="str">
            <v>LUC-E00-690215-00</v>
          </cell>
          <cell r="F22019">
            <v>472187334560</v>
          </cell>
        </row>
        <row r="22020">
          <cell r="E22020" t="str">
            <v>LUC-P00-F185AG-00</v>
          </cell>
          <cell r="F22020">
            <v>885448646884</v>
          </cell>
        </row>
        <row r="22021">
          <cell r="E22021" t="str">
            <v>LUC-P00-F185AG-00</v>
          </cell>
          <cell r="F22021">
            <v>885448646884</v>
          </cell>
        </row>
        <row r="22022">
          <cell r="E22022" t="str">
            <v>LUC-P00-F853AY-00</v>
          </cell>
          <cell r="F22022">
            <v>885448646884</v>
          </cell>
        </row>
        <row r="22023">
          <cell r="E22023" t="str">
            <v>LUC-P00-F193DG-00</v>
          </cell>
          <cell r="F22023">
            <v>885448646884</v>
          </cell>
        </row>
        <row r="22024">
          <cell r="E22024" t="str">
            <v>LUC-EZZ-450070-00</v>
          </cell>
          <cell r="F22024">
            <v>479730122736</v>
          </cell>
        </row>
        <row r="22025">
          <cell r="E22025" t="str">
            <v>LUC-E00-470093-00</v>
          </cell>
          <cell r="F22025">
            <v>394655230117</v>
          </cell>
        </row>
        <row r="22026">
          <cell r="E22026" t="str">
            <v>PUR-09-0294-00</v>
          </cell>
          <cell r="F22026">
            <v>394655230117</v>
          </cell>
        </row>
        <row r="22027">
          <cell r="E22027" t="str">
            <v>LUC-EZZ-470421-00</v>
          </cell>
          <cell r="F22027">
            <v>394655230117</v>
          </cell>
        </row>
        <row r="22028">
          <cell r="E22028" t="str">
            <v>LUC-EZZ-470211-00</v>
          </cell>
          <cell r="F22028">
            <v>394655230117</v>
          </cell>
        </row>
        <row r="22029">
          <cell r="E22029" t="str">
            <v>LUC-EZZ-440031-00</v>
          </cell>
          <cell r="F22029">
            <v>486413823629</v>
          </cell>
        </row>
        <row r="22030">
          <cell r="E22030" t="str">
            <v>LUC-EZZ-440031-00</v>
          </cell>
          <cell r="F22030">
            <v>486413823629</v>
          </cell>
        </row>
        <row r="22031">
          <cell r="E22031" t="str">
            <v>EF-45127245.X.X</v>
          </cell>
          <cell r="F22031">
            <v>885493271740</v>
          </cell>
        </row>
        <row r="22032">
          <cell r="E22032" t="str">
            <v>141-001628</v>
          </cell>
          <cell r="F22032">
            <v>885495934370</v>
          </cell>
        </row>
        <row r="22033">
          <cell r="E22033" t="str">
            <v>141-001265-01.X.X</v>
          </cell>
          <cell r="F22033">
            <v>885495934370</v>
          </cell>
        </row>
        <row r="22034">
          <cell r="E22034" t="str">
            <v>LUC-E00-440148-00</v>
          </cell>
          <cell r="F22034">
            <v>464002377004</v>
          </cell>
        </row>
        <row r="22035">
          <cell r="E22035" t="str">
            <v>LUC-E00-440148-00</v>
          </cell>
          <cell r="F22035">
            <v>464002377004</v>
          </cell>
        </row>
        <row r="22036">
          <cell r="E22036" t="str">
            <v>HLOB-03-0038-00</v>
          </cell>
          <cell r="F22036">
            <v>485567333129</v>
          </cell>
        </row>
        <row r="22037">
          <cell r="E22037" t="str">
            <v>PUR-03-0095-00</v>
          </cell>
          <cell r="F22037">
            <v>485567340760</v>
          </cell>
        </row>
        <row r="22038">
          <cell r="E22038" t="str">
            <v>102-001586</v>
          </cell>
          <cell r="F22038">
            <v>426080015593</v>
          </cell>
        </row>
        <row r="22039">
          <cell r="E22039" t="str">
            <v>102-001591</v>
          </cell>
          <cell r="F22039">
            <v>426080015593</v>
          </cell>
        </row>
        <row r="22040">
          <cell r="E22040" t="str">
            <v>EF-45035930.X.X</v>
          </cell>
          <cell r="F22040">
            <v>426080015593</v>
          </cell>
        </row>
        <row r="22041">
          <cell r="E22041" t="str">
            <v>PUR-25-0012-00</v>
          </cell>
          <cell r="F22041">
            <v>426080015593</v>
          </cell>
        </row>
        <row r="22042">
          <cell r="E22042" t="str">
            <v>PUR-12-0518-00</v>
          </cell>
          <cell r="F22042">
            <v>426080015593</v>
          </cell>
        </row>
        <row r="22043">
          <cell r="E22043" t="str">
            <v>LUC-E00-470004-00</v>
          </cell>
          <cell r="F22043">
            <v>426080015593</v>
          </cell>
        </row>
        <row r="22044">
          <cell r="E22044" t="str">
            <v>121-000001.X.X</v>
          </cell>
          <cell r="F22044">
            <v>426080015593</v>
          </cell>
        </row>
        <row r="22045">
          <cell r="E22045" t="str">
            <v>PURET-13-0119-00</v>
          </cell>
          <cell r="F22045">
            <v>426080015593</v>
          </cell>
        </row>
        <row r="22046">
          <cell r="E22046" t="str">
            <v>EF-45096772</v>
          </cell>
          <cell r="F22046">
            <v>426080015593</v>
          </cell>
        </row>
        <row r="22047">
          <cell r="E22047" t="str">
            <v>EF-45060149.X.X</v>
          </cell>
          <cell r="F22047">
            <v>426080015593</v>
          </cell>
        </row>
        <row r="22048">
          <cell r="E22048" t="str">
            <v>102-001572</v>
          </cell>
          <cell r="F22048">
            <v>426080015593</v>
          </cell>
        </row>
        <row r="22049">
          <cell r="E22049" t="str">
            <v>LUC-EZZ-450108-00</v>
          </cell>
          <cell r="F22049">
            <v>426080015593</v>
          </cell>
        </row>
        <row r="22050">
          <cell r="E22050" t="str">
            <v>LUC-E00-470024-00</v>
          </cell>
          <cell r="F22050">
            <v>426080015593</v>
          </cell>
        </row>
        <row r="22051">
          <cell r="E22051" t="str">
            <v>EF-45043901</v>
          </cell>
          <cell r="F22051">
            <v>426080015593</v>
          </cell>
        </row>
        <row r="22052">
          <cell r="E22052" t="str">
            <v>121-001536</v>
          </cell>
          <cell r="F22052">
            <v>426080015593</v>
          </cell>
        </row>
        <row r="22053">
          <cell r="E22053" t="str">
            <v>122-001081</v>
          </cell>
          <cell r="F22053">
            <v>426080015593</v>
          </cell>
        </row>
        <row r="22054">
          <cell r="E22054" t="str">
            <v>103-001656</v>
          </cell>
          <cell r="F22054">
            <v>426080015593</v>
          </cell>
        </row>
        <row r="22055">
          <cell r="E22055" t="str">
            <v>LUC-EZZ-420695-01</v>
          </cell>
          <cell r="F22055">
            <v>426080015593</v>
          </cell>
        </row>
        <row r="22056">
          <cell r="E22056" t="str">
            <v>LUC-EZZ-420695-01</v>
          </cell>
          <cell r="F22056">
            <v>426080015593</v>
          </cell>
        </row>
        <row r="22057">
          <cell r="E22057" t="str">
            <v>132-000270</v>
          </cell>
          <cell r="F22057">
            <v>426080015593</v>
          </cell>
        </row>
        <row r="22058">
          <cell r="E22058" t="str">
            <v>126-001912</v>
          </cell>
          <cell r="F22058">
            <v>426080015593</v>
          </cell>
        </row>
        <row r="22059">
          <cell r="E22059" t="str">
            <v>EF-45133505</v>
          </cell>
          <cell r="F22059">
            <v>394710618239</v>
          </cell>
        </row>
        <row r="22060">
          <cell r="E22060" t="str">
            <v>HLOB-09-0294-00</v>
          </cell>
          <cell r="F22060">
            <v>394710618239</v>
          </cell>
        </row>
        <row r="22061">
          <cell r="E22061" t="str">
            <v>HLOB-09-0294-00</v>
          </cell>
          <cell r="F22061">
            <v>394710618239</v>
          </cell>
        </row>
        <row r="22062">
          <cell r="E22062" t="str">
            <v>HLOB-09-0294-00</v>
          </cell>
          <cell r="F22062">
            <v>394710618239</v>
          </cell>
        </row>
        <row r="22063">
          <cell r="E22063" t="str">
            <v>HLOB-09-0294-00</v>
          </cell>
          <cell r="F22063">
            <v>394710618239</v>
          </cell>
        </row>
        <row r="22064">
          <cell r="E22064" t="str">
            <v>HLOB-09-0294-00</v>
          </cell>
          <cell r="F22064">
            <v>394710618239</v>
          </cell>
        </row>
        <row r="22065">
          <cell r="E22065" t="str">
            <v>HLOB-09-0294-00</v>
          </cell>
          <cell r="F22065">
            <v>394710618239</v>
          </cell>
        </row>
        <row r="22066">
          <cell r="E22066" t="str">
            <v>PUR-09-0294-00</v>
          </cell>
          <cell r="F22066">
            <v>394710618239</v>
          </cell>
        </row>
        <row r="22067">
          <cell r="E22067" t="str">
            <v>LUC-E00-400026-00</v>
          </cell>
          <cell r="F22067">
            <v>394593404547</v>
          </cell>
        </row>
        <row r="22068">
          <cell r="E22068" t="str">
            <v>LUC-EZZ-401295-00</v>
          </cell>
          <cell r="F22068">
            <v>394593404547</v>
          </cell>
        </row>
        <row r="22069">
          <cell r="E22069" t="str">
            <v>LUC-EZZ-400238-00</v>
          </cell>
          <cell r="F22069">
            <v>394625088710</v>
          </cell>
        </row>
        <row r="22070">
          <cell r="E22070" t="str">
            <v>LUC-E00-690003-00</v>
          </cell>
          <cell r="F22070">
            <v>4711890011</v>
          </cell>
        </row>
        <row r="22071">
          <cell r="E22071" t="str">
            <v>LUC-E00-690003-00</v>
          </cell>
          <cell r="F22071">
            <v>4711890011</v>
          </cell>
        </row>
        <row r="22072">
          <cell r="E22072" t="str">
            <v>LUC-E00-690003-00</v>
          </cell>
          <cell r="F22072">
            <v>4711890011</v>
          </cell>
        </row>
        <row r="22073">
          <cell r="E22073" t="str">
            <v>LUC-E00-690003-00</v>
          </cell>
          <cell r="F22073">
            <v>4711890011</v>
          </cell>
        </row>
        <row r="22074">
          <cell r="E22074" t="str">
            <v>LUC-E00-690003-00</v>
          </cell>
          <cell r="F22074">
            <v>4711890011</v>
          </cell>
        </row>
        <row r="22075">
          <cell r="E22075" t="str">
            <v>LUC-E00-420049-00</v>
          </cell>
          <cell r="F22075">
            <v>4711890011</v>
          </cell>
        </row>
        <row r="22076">
          <cell r="E22076" t="str">
            <v>LUC-E00-420049-00</v>
          </cell>
          <cell r="F22076">
            <v>4711890011</v>
          </cell>
        </row>
        <row r="22077">
          <cell r="E22077" t="str">
            <v>LUC-EZZ-440073-00</v>
          </cell>
          <cell r="F22077">
            <v>4711890011</v>
          </cell>
        </row>
        <row r="22078">
          <cell r="E22078" t="str">
            <v>LUC-E00-440024-00</v>
          </cell>
          <cell r="F22078">
            <v>4711890011</v>
          </cell>
        </row>
        <row r="22079">
          <cell r="E22079" t="str">
            <v>LUC-E00-420014-03</v>
          </cell>
          <cell r="F22079">
            <v>4711890011</v>
          </cell>
        </row>
        <row r="22080">
          <cell r="E22080" t="str">
            <v>LUC-E00-420002-07</v>
          </cell>
          <cell r="F22080">
            <v>4711890011</v>
          </cell>
        </row>
        <row r="22081">
          <cell r="E22081" t="str">
            <v>LUC-E00-420002-07</v>
          </cell>
          <cell r="F22081">
            <v>4711890011</v>
          </cell>
        </row>
        <row r="22082">
          <cell r="E22082" t="str">
            <v>LUC-E00-420070-00</v>
          </cell>
          <cell r="F22082">
            <v>4711890011</v>
          </cell>
        </row>
        <row r="22083">
          <cell r="E22083" t="str">
            <v>LUC-E00-440024-00</v>
          </cell>
          <cell r="F22083">
            <v>4711890011</v>
          </cell>
        </row>
        <row r="22084">
          <cell r="E22084" t="str">
            <v>LUC-E00-420016-00</v>
          </cell>
          <cell r="F22084">
            <v>4711890011</v>
          </cell>
        </row>
        <row r="22085">
          <cell r="E22085" t="str">
            <v>LUC-E00-420016-00</v>
          </cell>
          <cell r="F22085">
            <v>4711890011</v>
          </cell>
        </row>
        <row r="22086">
          <cell r="E22086" t="str">
            <v>LUC-E00-420011-12</v>
          </cell>
          <cell r="F22086">
            <v>4711890011</v>
          </cell>
        </row>
        <row r="22087">
          <cell r="E22087" t="str">
            <v>LUC-E00-440012-00</v>
          </cell>
          <cell r="F22087">
            <v>4711890011</v>
          </cell>
        </row>
        <row r="22088">
          <cell r="E22088" t="str">
            <v>LUC-EZZ-400246-00</v>
          </cell>
          <cell r="F22088">
            <v>4711890011</v>
          </cell>
        </row>
        <row r="22089">
          <cell r="E22089" t="str">
            <v>LUC-EZZ-400246-00</v>
          </cell>
          <cell r="F22089">
            <v>4711890011</v>
          </cell>
        </row>
        <row r="22090">
          <cell r="E22090" t="str">
            <v>LUC-EZZ-440073-00</v>
          </cell>
          <cell r="F22090">
            <v>4711890011</v>
          </cell>
        </row>
        <row r="22091">
          <cell r="E22091" t="str">
            <v>LUC-EZZ-400454-00</v>
          </cell>
          <cell r="F22091">
            <v>4711890011</v>
          </cell>
        </row>
        <row r="22092">
          <cell r="E22092" t="str">
            <v>LUC-E00-440031-00</v>
          </cell>
          <cell r="F22092">
            <v>4711890011</v>
          </cell>
        </row>
        <row r="22093">
          <cell r="E22093" t="str">
            <v>LUC-EZZ-420099-00</v>
          </cell>
          <cell r="F22093">
            <v>4711890011</v>
          </cell>
        </row>
        <row r="22094">
          <cell r="E22094" t="str">
            <v>LUC-E00-420055-00</v>
          </cell>
          <cell r="F22094">
            <v>4711890011</v>
          </cell>
        </row>
        <row r="22095">
          <cell r="E22095" t="str">
            <v>LUC-EZZ-420084-00</v>
          </cell>
          <cell r="F22095">
            <v>4711890011</v>
          </cell>
        </row>
        <row r="22096">
          <cell r="E22096" t="str">
            <v>LUC-EZZ-420100-00</v>
          </cell>
          <cell r="F22096">
            <v>4711890011</v>
          </cell>
        </row>
        <row r="22097">
          <cell r="E22097" t="str">
            <v>LUC-EZZ-400609-00</v>
          </cell>
          <cell r="F22097">
            <v>4711890011</v>
          </cell>
        </row>
        <row r="22098">
          <cell r="E22098" t="str">
            <v>LUC-EZZ-400609-00</v>
          </cell>
          <cell r="F22098">
            <v>4711890011</v>
          </cell>
        </row>
        <row r="22099">
          <cell r="E22099" t="str">
            <v>LUC-EZZ-400609-00</v>
          </cell>
          <cell r="F22099">
            <v>4711890011</v>
          </cell>
        </row>
        <row r="22100">
          <cell r="E22100" t="str">
            <v>LUC-EZZ-400675-00</v>
          </cell>
          <cell r="F22100">
            <v>4711890011</v>
          </cell>
        </row>
        <row r="22101">
          <cell r="E22101" t="str">
            <v>LUC-EZZ-420084-00</v>
          </cell>
          <cell r="F22101">
            <v>4711890011</v>
          </cell>
        </row>
        <row r="22102">
          <cell r="E22102" t="str">
            <v>LUC-E00-420034-01</v>
          </cell>
          <cell r="F22102">
            <v>4711890011</v>
          </cell>
        </row>
        <row r="22103">
          <cell r="E22103" t="str">
            <v>LUC-E00-420016-00</v>
          </cell>
          <cell r="F22103">
            <v>4711890011</v>
          </cell>
        </row>
        <row r="22104">
          <cell r="E22104" t="str">
            <v>LUC-EZZ-420084-00</v>
          </cell>
          <cell r="F22104">
            <v>4711890011</v>
          </cell>
        </row>
        <row r="22105">
          <cell r="E22105" t="str">
            <v>LUC-EZZ-400609-00</v>
          </cell>
          <cell r="F22105">
            <v>4711890011</v>
          </cell>
        </row>
        <row r="22106">
          <cell r="E22106" t="str">
            <v>LUC-E00-400267-00</v>
          </cell>
          <cell r="F22106">
            <v>4711890011</v>
          </cell>
        </row>
        <row r="22107">
          <cell r="E22107" t="str">
            <v>LUC-E00-440024-00</v>
          </cell>
          <cell r="F22107">
            <v>4711890011</v>
          </cell>
        </row>
        <row r="22108">
          <cell r="E22108" t="str">
            <v>LUC-EZZ-400609-00</v>
          </cell>
          <cell r="F22108">
            <v>4711890011</v>
          </cell>
        </row>
        <row r="22109">
          <cell r="E22109" t="str">
            <v>LUC-EZZ-420403-00</v>
          </cell>
          <cell r="F22109">
            <v>4711890011</v>
          </cell>
        </row>
        <row r="22110">
          <cell r="E22110" t="str">
            <v>LUC-E00-440032-01</v>
          </cell>
          <cell r="F22110">
            <v>4711890011</v>
          </cell>
        </row>
        <row r="22111">
          <cell r="E22111" t="str">
            <v>LUC-E00-440144-00</v>
          </cell>
          <cell r="F22111">
            <v>4711890011</v>
          </cell>
        </row>
        <row r="22112">
          <cell r="E22112" t="str">
            <v>LUC-E00-420055-00</v>
          </cell>
          <cell r="F22112">
            <v>4711890011</v>
          </cell>
        </row>
        <row r="22113">
          <cell r="E22113" t="str">
            <v>LUC-E00-420011-02</v>
          </cell>
          <cell r="F22113">
            <v>4711890011</v>
          </cell>
        </row>
        <row r="22114">
          <cell r="E22114" t="str">
            <v>LUC-E00-440011-00</v>
          </cell>
          <cell r="F22114">
            <v>4711890011</v>
          </cell>
        </row>
        <row r="22115">
          <cell r="E22115" t="str">
            <v>LUC-E00-420060-03</v>
          </cell>
          <cell r="F22115">
            <v>4711890011</v>
          </cell>
        </row>
        <row r="22116">
          <cell r="E22116" t="str">
            <v>LUC-E00-440030-00</v>
          </cell>
          <cell r="F22116">
            <v>4711890011</v>
          </cell>
        </row>
        <row r="22117">
          <cell r="E22117" t="str">
            <v>LUC-EZZ-420058-00</v>
          </cell>
          <cell r="F22117">
            <v>4711890011</v>
          </cell>
        </row>
        <row r="22118">
          <cell r="E22118" t="str">
            <v>LUC-EZZ-420217-00</v>
          </cell>
          <cell r="F22118">
            <v>4711890011</v>
          </cell>
        </row>
        <row r="22119">
          <cell r="E22119" t="str">
            <v>EF-45125060</v>
          </cell>
          <cell r="F22119">
            <v>4711889729</v>
          </cell>
        </row>
        <row r="22120">
          <cell r="E22120" t="str">
            <v>LUC-E00-440003-01</v>
          </cell>
          <cell r="F22120">
            <v>4711889729</v>
          </cell>
        </row>
        <row r="22121">
          <cell r="E22121" t="str">
            <v>LUC-E00-440023-02</v>
          </cell>
          <cell r="F22121">
            <v>4711889729</v>
          </cell>
        </row>
        <row r="22122">
          <cell r="E22122" t="str">
            <v>LUC-E00-440046-00</v>
          </cell>
          <cell r="F22122">
            <v>4711889729</v>
          </cell>
        </row>
        <row r="22123">
          <cell r="E22123" t="str">
            <v>LUC-E00-440072-01</v>
          </cell>
          <cell r="F22123">
            <v>4711889729</v>
          </cell>
        </row>
        <row r="22124">
          <cell r="E22124" t="str">
            <v>LUC-E00-440072-01</v>
          </cell>
          <cell r="F22124">
            <v>4711889729</v>
          </cell>
        </row>
        <row r="22125">
          <cell r="E22125" t="str">
            <v>LUC-EZZ-440028-00</v>
          </cell>
          <cell r="F22125">
            <v>4711889729</v>
          </cell>
        </row>
        <row r="22126">
          <cell r="E22126" t="str">
            <v>LUC-EZZ-440031-00</v>
          </cell>
          <cell r="F22126">
            <v>4711889729</v>
          </cell>
        </row>
        <row r="22127">
          <cell r="E22127" t="str">
            <v>LUC-EZZ-440162-00</v>
          </cell>
          <cell r="F22127">
            <v>4711889729</v>
          </cell>
        </row>
        <row r="22128">
          <cell r="E22128" t="str">
            <v>LUC-EZZ-440911-00</v>
          </cell>
          <cell r="F22128">
            <v>4711889729</v>
          </cell>
        </row>
        <row r="22129">
          <cell r="E22129" t="str">
            <v>LUC-EZZ-440030-00</v>
          </cell>
          <cell r="F22129">
            <v>4711889729</v>
          </cell>
        </row>
        <row r="22130">
          <cell r="E22130" t="str">
            <v>LUC-EZZ-440032-00</v>
          </cell>
          <cell r="F22130">
            <v>4711889729</v>
          </cell>
        </row>
        <row r="22131">
          <cell r="E22131" t="str">
            <v>LUC-EZZ-440090-00</v>
          </cell>
          <cell r="F22131">
            <v>4711889729</v>
          </cell>
        </row>
        <row r="22132">
          <cell r="E22132" t="str">
            <v>LUC-E00-440077-02</v>
          </cell>
          <cell r="F22132">
            <v>4711889729</v>
          </cell>
        </row>
        <row r="22133">
          <cell r="E22133" t="str">
            <v>LUC-E00-440077-02</v>
          </cell>
          <cell r="F22133">
            <v>4711889729</v>
          </cell>
        </row>
        <row r="22134">
          <cell r="E22134" t="str">
            <v>LUC-E00-440051-01</v>
          </cell>
          <cell r="F22134">
            <v>4711889729</v>
          </cell>
        </row>
        <row r="22135">
          <cell r="E22135" t="str">
            <v>LUC-E00-440051-01</v>
          </cell>
          <cell r="F22135">
            <v>4711889729</v>
          </cell>
        </row>
        <row r="22136">
          <cell r="E22136" t="str">
            <v>LUC-EZZ-440099-00</v>
          </cell>
          <cell r="F22136">
            <v>4711889729</v>
          </cell>
        </row>
        <row r="22137">
          <cell r="E22137" t="str">
            <v>LUC-EZZ-440100-00</v>
          </cell>
          <cell r="F22137">
            <v>4711889729</v>
          </cell>
        </row>
        <row r="22138">
          <cell r="E22138" t="str">
            <v>LUC-EZZ-420261-00</v>
          </cell>
          <cell r="F22138">
            <v>4812856740</v>
          </cell>
        </row>
        <row r="22139">
          <cell r="E22139" t="str">
            <v>LUC-EZZ-420261-00</v>
          </cell>
          <cell r="F22139">
            <v>4812856740</v>
          </cell>
        </row>
        <row r="22140">
          <cell r="E22140" t="str">
            <v>LUC-EZZ-420261-00</v>
          </cell>
          <cell r="F22140">
            <v>4812856740</v>
          </cell>
        </row>
        <row r="22141">
          <cell r="E22141" t="str">
            <v>LUC-EZZ-420527-00</v>
          </cell>
          <cell r="F22141">
            <v>4812856740</v>
          </cell>
        </row>
        <row r="22142">
          <cell r="E22142" t="str">
            <v>LUC-E00-420275-00</v>
          </cell>
          <cell r="F22142">
            <v>4812856740</v>
          </cell>
        </row>
        <row r="22143">
          <cell r="E22143" t="str">
            <v>LUC-E00-420275-00</v>
          </cell>
          <cell r="F22143">
            <v>4812856740</v>
          </cell>
        </row>
        <row r="22144">
          <cell r="E22144" t="str">
            <v>LUC-E00-420002-00</v>
          </cell>
          <cell r="F22144">
            <v>4812856740</v>
          </cell>
        </row>
        <row r="22145">
          <cell r="E22145" t="str">
            <v>LUC-E00-420037-03</v>
          </cell>
          <cell r="F22145">
            <v>4812856740</v>
          </cell>
        </row>
        <row r="22146">
          <cell r="E22146" t="str">
            <v>LUC-E00-420072-01</v>
          </cell>
          <cell r="F22146">
            <v>4812856740</v>
          </cell>
        </row>
        <row r="22147">
          <cell r="E22147" t="str">
            <v>LUC-E00-420072-01</v>
          </cell>
          <cell r="F22147">
            <v>4812856740</v>
          </cell>
        </row>
        <row r="22148">
          <cell r="E22148" t="str">
            <v>LUC-E00-420072-01</v>
          </cell>
          <cell r="F22148">
            <v>4812856740</v>
          </cell>
        </row>
        <row r="22149">
          <cell r="E22149" t="str">
            <v>LUC-E00-420072-00</v>
          </cell>
          <cell r="F22149">
            <v>4812856740</v>
          </cell>
        </row>
        <row r="22150">
          <cell r="E22150" t="str">
            <v>LUC-E00-420072-00</v>
          </cell>
          <cell r="F22150">
            <v>4812856740</v>
          </cell>
        </row>
        <row r="22151">
          <cell r="E22151" t="str">
            <v>PUR-13-0134-00</v>
          </cell>
          <cell r="F22151">
            <v>4812856740</v>
          </cell>
        </row>
        <row r="22152">
          <cell r="E22152" t="str">
            <v>PUR-13-0134-00</v>
          </cell>
          <cell r="F22152">
            <v>4812856740</v>
          </cell>
        </row>
        <row r="22153">
          <cell r="E22153" t="str">
            <v>HLOB-13-0212-00</v>
          </cell>
          <cell r="F22153">
            <v>4812856740</v>
          </cell>
        </row>
        <row r="22154">
          <cell r="E22154" t="str">
            <v>HLOB-13-0212-00</v>
          </cell>
          <cell r="F22154">
            <v>4812856740</v>
          </cell>
        </row>
        <row r="22155">
          <cell r="E22155" t="str">
            <v>HLOB-13-0212-00</v>
          </cell>
          <cell r="F22155">
            <v>4812856740</v>
          </cell>
        </row>
        <row r="22156">
          <cell r="E22156" t="str">
            <v>HLOB-13-0212-00</v>
          </cell>
          <cell r="F22156">
            <v>4812856740</v>
          </cell>
        </row>
        <row r="22157">
          <cell r="E22157" t="str">
            <v>PUR-13-0212-00</v>
          </cell>
          <cell r="F22157">
            <v>4812856740</v>
          </cell>
        </row>
        <row r="22158">
          <cell r="E22158" t="str">
            <v>PURET-13-0069-00</v>
          </cell>
          <cell r="F22158">
            <v>4812856740</v>
          </cell>
        </row>
        <row r="22159">
          <cell r="E22159" t="str">
            <v>PUR-13-0138-00</v>
          </cell>
          <cell r="F22159">
            <v>4812856740</v>
          </cell>
        </row>
        <row r="22160">
          <cell r="E22160" t="str">
            <v>PUR-13-0138-00</v>
          </cell>
          <cell r="F22160">
            <v>4812856740</v>
          </cell>
        </row>
        <row r="22161">
          <cell r="E22161" t="str">
            <v>PUR-13-0138-00</v>
          </cell>
          <cell r="F22161">
            <v>4812856740</v>
          </cell>
        </row>
        <row r="22162">
          <cell r="E22162" t="str">
            <v>PURET-13-0022-00</v>
          </cell>
          <cell r="F22162">
            <v>4812856740</v>
          </cell>
        </row>
        <row r="22163">
          <cell r="E22163" t="str">
            <v>LUC-EZZ-420539-00</v>
          </cell>
          <cell r="F22163">
            <v>4812856740</v>
          </cell>
        </row>
        <row r="22164">
          <cell r="E22164" t="str">
            <v>LUC-EZZ-420539-00</v>
          </cell>
          <cell r="F22164">
            <v>4812856740</v>
          </cell>
        </row>
        <row r="22165">
          <cell r="E22165" t="str">
            <v>LUC-EZZ-690942-00</v>
          </cell>
          <cell r="F22165">
            <v>4110330171</v>
          </cell>
        </row>
        <row r="22166">
          <cell r="E22166" t="str">
            <v>LUC-EZZ-690131-00</v>
          </cell>
          <cell r="F22166">
            <v>4110330172</v>
          </cell>
        </row>
        <row r="22167">
          <cell r="E22167" t="str">
            <v>LUC-EZZ-690241-00</v>
          </cell>
          <cell r="F22167">
            <v>4110330173</v>
          </cell>
        </row>
        <row r="22168">
          <cell r="E22168" t="str">
            <v>LUC-EZZ-690131-00</v>
          </cell>
          <cell r="F22168">
            <v>4110330174</v>
          </cell>
        </row>
        <row r="22169">
          <cell r="E22169" t="str">
            <v>LUC-E00-690001-00</v>
          </cell>
          <cell r="F22169">
            <v>4110330199</v>
          </cell>
        </row>
        <row r="22170">
          <cell r="E22170" t="str">
            <v>LUC-E00-690214-00</v>
          </cell>
          <cell r="F22170">
            <v>4110330219</v>
          </cell>
        </row>
        <row r="22171">
          <cell r="E22171" t="str">
            <v>LUC-E00-690106-00</v>
          </cell>
          <cell r="F22171" t="str">
            <v>LSHHPH2509930</v>
          </cell>
        </row>
        <row r="22172">
          <cell r="E22172" t="str">
            <v>LUC-E00-690106-00</v>
          </cell>
          <cell r="F22172" t="str">
            <v>LSHHPH2509930</v>
          </cell>
        </row>
        <row r="22173">
          <cell r="E22173" t="str">
            <v>LUC-E00-690106-00</v>
          </cell>
          <cell r="F22173" t="str">
            <v>LSHHPH2509930</v>
          </cell>
        </row>
        <row r="22174">
          <cell r="E22174" t="str">
            <v>LUC-E00-690106-00</v>
          </cell>
          <cell r="F22174" t="str">
            <v>LSHHPH2509930</v>
          </cell>
        </row>
        <row r="22175">
          <cell r="E22175" t="str">
            <v>LUC-E00-690033-02</v>
          </cell>
          <cell r="F22175" t="str">
            <v>LSHHPH2509930</v>
          </cell>
        </row>
        <row r="22176">
          <cell r="E22176" t="str">
            <v>LUC-E00-690033-02</v>
          </cell>
          <cell r="F22176" t="str">
            <v>LSHHPH2509930</v>
          </cell>
        </row>
        <row r="22177">
          <cell r="E22177" t="str">
            <v>LUC-E00-690033-03</v>
          </cell>
          <cell r="F22177" t="str">
            <v>LSHHPH2509930</v>
          </cell>
        </row>
        <row r="22178">
          <cell r="E22178" t="str">
            <v>LUC-E00-690033-03</v>
          </cell>
          <cell r="F22178" t="str">
            <v>LSHHPH2509930</v>
          </cell>
        </row>
        <row r="22179">
          <cell r="E22179" t="str">
            <v>102-001670</v>
          </cell>
          <cell r="F22179" t="str">
            <v>EKLF2510237</v>
          </cell>
        </row>
        <row r="22180">
          <cell r="E22180" t="str">
            <v>LUC-E00-460018-00</v>
          </cell>
          <cell r="F22180">
            <v>470049449710</v>
          </cell>
        </row>
        <row r="22181">
          <cell r="E22181" t="str">
            <v>LUC-E00-510032-00</v>
          </cell>
          <cell r="F22181">
            <v>470049449710</v>
          </cell>
        </row>
        <row r="22182">
          <cell r="E22182" t="str">
            <v>LUC-EZZ-470192-00</v>
          </cell>
          <cell r="F22182">
            <v>486655349410</v>
          </cell>
        </row>
        <row r="22183">
          <cell r="E22183" t="str">
            <v>HLOB-09-0324-00</v>
          </cell>
          <cell r="F22183">
            <v>479272013180</v>
          </cell>
        </row>
        <row r="22184">
          <cell r="E22184" t="str">
            <v>LUC-EZZ-470423-00</v>
          </cell>
          <cell r="F22184">
            <v>477592539700</v>
          </cell>
        </row>
        <row r="22185">
          <cell r="E22185" t="str">
            <v>PUR-07-0167-00</v>
          </cell>
          <cell r="F22185">
            <v>885533231939</v>
          </cell>
        </row>
        <row r="22186">
          <cell r="E22186" t="str">
            <v>PUR-07-0167-00</v>
          </cell>
          <cell r="F22186">
            <v>885533231939</v>
          </cell>
        </row>
        <row r="22187">
          <cell r="E22187" t="str">
            <v>MT29F8T08EULCHD5-MES:C</v>
          </cell>
          <cell r="F22187">
            <v>486378507066</v>
          </cell>
        </row>
        <row r="22188">
          <cell r="E22188" t="str">
            <v>HLOB-09-0343-00</v>
          </cell>
          <cell r="F22188">
            <v>480820845890</v>
          </cell>
        </row>
        <row r="22189">
          <cell r="E22189" t="str">
            <v>HLOB-09-0343-00</v>
          </cell>
          <cell r="F22189">
            <v>480820845890</v>
          </cell>
        </row>
        <row r="22190">
          <cell r="E22190" t="str">
            <v>LUC-E00-510029-00</v>
          </cell>
          <cell r="F22190">
            <v>480081509481</v>
          </cell>
        </row>
        <row r="22191">
          <cell r="E22191" t="str">
            <v>LUC-E00-510029-00</v>
          </cell>
          <cell r="F22191">
            <v>480081509481</v>
          </cell>
        </row>
        <row r="22192">
          <cell r="E22192" t="str">
            <v>121-000033.X.X</v>
          </cell>
          <cell r="F22192">
            <v>471783769939</v>
          </cell>
        </row>
        <row r="22193">
          <cell r="E22193" t="str">
            <v>121-000100.X.X</v>
          </cell>
          <cell r="F22193">
            <v>471783769939</v>
          </cell>
        </row>
        <row r="22194">
          <cell r="E22194" t="str">
            <v>121-000179.X.X</v>
          </cell>
          <cell r="F22194">
            <v>471783769939</v>
          </cell>
        </row>
        <row r="22195">
          <cell r="E22195" t="str">
            <v>PUR-13-0227-00</v>
          </cell>
          <cell r="F22195">
            <v>471783769939</v>
          </cell>
        </row>
        <row r="22196">
          <cell r="E22196" t="str">
            <v>PUR-13-0227-00</v>
          </cell>
          <cell r="F22196">
            <v>471783769939</v>
          </cell>
        </row>
        <row r="22197">
          <cell r="E22197" t="str">
            <v>122-000108.X.X</v>
          </cell>
          <cell r="F22197">
            <v>471783769939</v>
          </cell>
        </row>
        <row r="22198">
          <cell r="E22198" t="str">
            <v>122-000821.X.X</v>
          </cell>
          <cell r="F22198">
            <v>471783769939</v>
          </cell>
        </row>
        <row r="22199">
          <cell r="E22199" t="str">
            <v>PURET-13-0068-00</v>
          </cell>
          <cell r="F22199">
            <v>471783769939</v>
          </cell>
        </row>
        <row r="22200">
          <cell r="E22200" t="str">
            <v>LUC-EZZ-400042-00</v>
          </cell>
          <cell r="F22200">
            <v>471783769939</v>
          </cell>
        </row>
        <row r="22201">
          <cell r="E22201" t="str">
            <v>LUC-EZZ-400042-00</v>
          </cell>
          <cell r="F22201">
            <v>471783769939</v>
          </cell>
        </row>
        <row r="22202">
          <cell r="E22202" t="str">
            <v>LUC-E00-400035-04</v>
          </cell>
          <cell r="F22202">
            <v>471783769939</v>
          </cell>
        </row>
        <row r="22203">
          <cell r="E22203" t="str">
            <v>LUC-E00-400035-04</v>
          </cell>
          <cell r="F22203">
            <v>471783769939</v>
          </cell>
        </row>
        <row r="22204">
          <cell r="E22204" t="str">
            <v>LUC-E00-400020-000</v>
          </cell>
          <cell r="F22204">
            <v>471783769939</v>
          </cell>
        </row>
        <row r="22205">
          <cell r="E22205" t="str">
            <v>PUR-12-0408-00</v>
          </cell>
          <cell r="F22205">
            <v>471783769939</v>
          </cell>
        </row>
        <row r="22206">
          <cell r="E22206" t="str">
            <v>HLOB-12-0035-00</v>
          </cell>
          <cell r="F22206">
            <v>471783769939</v>
          </cell>
        </row>
        <row r="22207">
          <cell r="E22207" t="str">
            <v>PURET-12-0035-00</v>
          </cell>
          <cell r="F22207">
            <v>471783769939</v>
          </cell>
        </row>
        <row r="22208">
          <cell r="E22208" t="str">
            <v>PURET-12-0035-00</v>
          </cell>
          <cell r="F22208">
            <v>471783769939</v>
          </cell>
        </row>
        <row r="22209">
          <cell r="E22209" t="str">
            <v>PURET-12-0212-00</v>
          </cell>
          <cell r="F22209">
            <v>471783769939</v>
          </cell>
        </row>
        <row r="22210">
          <cell r="E22210" t="str">
            <v>EF-45125129</v>
          </cell>
          <cell r="F22210">
            <v>471783769939</v>
          </cell>
        </row>
        <row r="22211">
          <cell r="E22211" t="str">
            <v>EF-45043745</v>
          </cell>
          <cell r="F22211">
            <v>471783769939</v>
          </cell>
        </row>
        <row r="22212">
          <cell r="E22212" t="str">
            <v>EF-45037085.X.X</v>
          </cell>
          <cell r="F22212">
            <v>471783769939</v>
          </cell>
        </row>
        <row r="22213">
          <cell r="E22213" t="str">
            <v>PUR-12-0304-00</v>
          </cell>
          <cell r="F22213">
            <v>471783769939</v>
          </cell>
        </row>
        <row r="22214">
          <cell r="E22214" t="str">
            <v>EF-45043496.X.X</v>
          </cell>
          <cell r="F22214">
            <v>471783769939</v>
          </cell>
        </row>
        <row r="22215">
          <cell r="E22215" t="str">
            <v>121-001611</v>
          </cell>
          <cell r="F22215">
            <v>471783769939</v>
          </cell>
        </row>
        <row r="22216">
          <cell r="E22216" t="str">
            <v>EF-45043826.X.X</v>
          </cell>
          <cell r="F22216">
            <v>471783769939</v>
          </cell>
        </row>
        <row r="22217">
          <cell r="E22217" t="str">
            <v>121-001610</v>
          </cell>
          <cell r="F22217">
            <v>471783769939</v>
          </cell>
        </row>
        <row r="22218">
          <cell r="E22218" t="str">
            <v>EF-45036484.X.X</v>
          </cell>
          <cell r="F22218">
            <v>471783769939</v>
          </cell>
        </row>
        <row r="22219">
          <cell r="E22219" t="str">
            <v>121-000525.X.X</v>
          </cell>
          <cell r="F22219">
            <v>471783769939</v>
          </cell>
        </row>
        <row r="22220">
          <cell r="E22220" t="str">
            <v>121-000525.X.X</v>
          </cell>
          <cell r="F22220">
            <v>471783769939</v>
          </cell>
        </row>
        <row r="22221">
          <cell r="E22221" t="str">
            <v>PUR-12-0408-00</v>
          </cell>
          <cell r="F22221">
            <v>471783769939</v>
          </cell>
        </row>
        <row r="22222">
          <cell r="E22222" t="str">
            <v>LUC-EZZ-421653-00</v>
          </cell>
          <cell r="F22222">
            <v>471783769939</v>
          </cell>
        </row>
        <row r="22223">
          <cell r="E22223" t="str">
            <v>121-000253.X.X</v>
          </cell>
          <cell r="F22223">
            <v>471783769939</v>
          </cell>
        </row>
        <row r="22224">
          <cell r="E22224" t="str">
            <v>121-000253.X.X</v>
          </cell>
          <cell r="F22224">
            <v>471783769939</v>
          </cell>
        </row>
        <row r="22225">
          <cell r="E22225" t="str">
            <v>LUC-E00-420135-00</v>
          </cell>
          <cell r="F22225">
            <v>471783769939</v>
          </cell>
        </row>
        <row r="22226">
          <cell r="E22226" t="str">
            <v>LUC-E00-420037-01</v>
          </cell>
          <cell r="F22226">
            <v>471783769939</v>
          </cell>
        </row>
        <row r="22227">
          <cell r="E22227" t="str">
            <v>LUC-E00-420274-00</v>
          </cell>
          <cell r="F22227">
            <v>471783769939</v>
          </cell>
        </row>
        <row r="22228">
          <cell r="E22228" t="str">
            <v>EF-45103947.X.X</v>
          </cell>
          <cell r="F22228">
            <v>471783769939</v>
          </cell>
        </row>
        <row r="22229">
          <cell r="E22229" t="str">
            <v>LUC-EZZ-421653-00</v>
          </cell>
          <cell r="F22229">
            <v>471783769939</v>
          </cell>
        </row>
        <row r="22230">
          <cell r="E22230" t="str">
            <v>PUR-03-0082-02</v>
          </cell>
          <cell r="F22230">
            <v>486378521092</v>
          </cell>
        </row>
        <row r="22231">
          <cell r="E22231" t="str">
            <v>142-000043</v>
          </cell>
          <cell r="F22231">
            <v>416886361887</v>
          </cell>
        </row>
        <row r="22232">
          <cell r="E22232" t="str">
            <v>LUC-E00-470024-00</v>
          </cell>
          <cell r="F22232">
            <v>5616686552</v>
          </cell>
        </row>
        <row r="22233">
          <cell r="E22233" t="str">
            <v>LUC-E00-470331-00</v>
          </cell>
          <cell r="F22233">
            <v>480081518409</v>
          </cell>
        </row>
        <row r="22234">
          <cell r="E22234" t="str">
            <v>LUC-E00-470331-00</v>
          </cell>
          <cell r="F22234">
            <v>480081518409</v>
          </cell>
        </row>
        <row r="22235">
          <cell r="E22235" t="str">
            <v>LUC-E00-460005-00</v>
          </cell>
          <cell r="F22235">
            <v>480081518409</v>
          </cell>
        </row>
        <row r="22236">
          <cell r="E22236" t="str">
            <v>LUC-E00-460005-00</v>
          </cell>
          <cell r="F22236">
            <v>480081518409</v>
          </cell>
        </row>
        <row r="22237">
          <cell r="E22237" t="str">
            <v>HLOB-15-0207-00</v>
          </cell>
          <cell r="F22237">
            <v>885501207192</v>
          </cell>
        </row>
        <row r="22238">
          <cell r="E22238" t="str">
            <v>LUC-E00-420037-03</v>
          </cell>
          <cell r="F22238">
            <v>480081518409</v>
          </cell>
        </row>
        <row r="22239">
          <cell r="E22239" t="str">
            <v>LUC-EZZ-400178-00</v>
          </cell>
          <cell r="F22239">
            <v>480081518409</v>
          </cell>
        </row>
        <row r="22240">
          <cell r="E22240" t="str">
            <v>LUC-EZZ-400783-00</v>
          </cell>
          <cell r="F22240">
            <v>480081518409</v>
          </cell>
        </row>
        <row r="22241">
          <cell r="E22241" t="str">
            <v>LUC-EZZ-470961-00</v>
          </cell>
          <cell r="F22241">
            <v>480081518409</v>
          </cell>
        </row>
        <row r="22242">
          <cell r="E22242" t="str">
            <v>LUC-E00-450029-00</v>
          </cell>
          <cell r="F22242">
            <v>480081518409</v>
          </cell>
        </row>
        <row r="22243">
          <cell r="E22243" t="str">
            <v>LUC-E00-420186-00</v>
          </cell>
          <cell r="F22243">
            <v>480081518409</v>
          </cell>
        </row>
        <row r="22244">
          <cell r="E22244" t="str">
            <v>LUC-EZZ-470152-01</v>
          </cell>
          <cell r="F22244">
            <v>480081518409</v>
          </cell>
        </row>
        <row r="22245">
          <cell r="E22245" t="str">
            <v>LUC-EZZ-420399-00</v>
          </cell>
          <cell r="F22245">
            <v>480081518409</v>
          </cell>
        </row>
        <row r="22246">
          <cell r="E22246" t="str">
            <v>LUC-EZZ-420345-00</v>
          </cell>
          <cell r="F22246">
            <v>480081518409</v>
          </cell>
        </row>
        <row r="22247">
          <cell r="E22247" t="str">
            <v>LUC-EZZ-420345-00</v>
          </cell>
          <cell r="F22247">
            <v>480081518409</v>
          </cell>
        </row>
        <row r="22248">
          <cell r="E22248" t="str">
            <v>LUC-E00-470173-00</v>
          </cell>
          <cell r="F22248">
            <v>480081518409</v>
          </cell>
        </row>
        <row r="22249">
          <cell r="E22249" t="str">
            <v>LUC-EZZ-420345-00</v>
          </cell>
          <cell r="F22249">
            <v>480081518409</v>
          </cell>
        </row>
        <row r="22250">
          <cell r="E22250" t="str">
            <v>LUC-E00-400012-02</v>
          </cell>
          <cell r="F22250">
            <v>480081518409</v>
          </cell>
        </row>
        <row r="22251">
          <cell r="E22251" t="str">
            <v>LUC-E00-440057-00</v>
          </cell>
          <cell r="F22251">
            <v>480081518409</v>
          </cell>
        </row>
        <row r="22252">
          <cell r="E22252" t="str">
            <v>LUC-E00-510061-01</v>
          </cell>
          <cell r="F22252">
            <v>480081518409</v>
          </cell>
        </row>
        <row r="22253">
          <cell r="E22253" t="str">
            <v>LUC-E00-440147-00</v>
          </cell>
          <cell r="F22253">
            <v>480081518409</v>
          </cell>
        </row>
        <row r="22254">
          <cell r="E22254" t="str">
            <v>LUC-E00-470318-00</v>
          </cell>
          <cell r="F22254">
            <v>480081518409</v>
          </cell>
        </row>
        <row r="22255">
          <cell r="E22255" t="str">
            <v>LUC-EZZ-480735-00</v>
          </cell>
          <cell r="F22255">
            <v>480081518409</v>
          </cell>
        </row>
        <row r="22256">
          <cell r="E22256" t="str">
            <v>LUC-E00-510017-00</v>
          </cell>
          <cell r="F22256">
            <v>480081518409</v>
          </cell>
        </row>
        <row r="22257">
          <cell r="E22257" t="str">
            <v>LUC-E00-510046-00</v>
          </cell>
          <cell r="F22257">
            <v>480081518409</v>
          </cell>
        </row>
        <row r="22258">
          <cell r="E22258" t="str">
            <v>LUC-EZZ-510640-00</v>
          </cell>
          <cell r="F22258">
            <v>480081518409</v>
          </cell>
        </row>
        <row r="22259">
          <cell r="E22259" t="str">
            <v>126-001988</v>
          </cell>
          <cell r="F22259">
            <v>480081518409</v>
          </cell>
        </row>
        <row r="22260">
          <cell r="E22260" t="str">
            <v>LUC-EZZ-400554-00</v>
          </cell>
          <cell r="F22260">
            <v>885576704758</v>
          </cell>
        </row>
        <row r="22261">
          <cell r="E22261" t="str">
            <v>LUC-EZZ-450214-00</v>
          </cell>
          <cell r="F22261">
            <v>885576704758</v>
          </cell>
        </row>
        <row r="22262">
          <cell r="E22262" t="str">
            <v>LUC-EZZ-440166-00</v>
          </cell>
          <cell r="F22262">
            <v>885576704758</v>
          </cell>
        </row>
        <row r="22263">
          <cell r="E22263" t="str">
            <v>LUC-E00-470242-00</v>
          </cell>
          <cell r="F22263">
            <v>885576704758</v>
          </cell>
        </row>
        <row r="22264">
          <cell r="E22264" t="str">
            <v>LUC-E00-470024-00</v>
          </cell>
          <cell r="F22264" t="str">
            <v>Handcarry (Global chip)</v>
          </cell>
        </row>
        <row r="22265">
          <cell r="E22265" t="str">
            <v>LUC-E00-460005-00</v>
          </cell>
          <cell r="F22265">
            <v>885576704758</v>
          </cell>
        </row>
        <row r="22266">
          <cell r="E22266" t="str">
            <v>LUC-EZZ-400334-00</v>
          </cell>
          <cell r="F22266">
            <v>885576704758</v>
          </cell>
        </row>
        <row r="22267">
          <cell r="E22267" t="str">
            <v>LUC-E00-510061-01</v>
          </cell>
          <cell r="F22267">
            <v>885576704758</v>
          </cell>
        </row>
        <row r="22268">
          <cell r="E22268" t="str">
            <v>EF-45093131.X.X</v>
          </cell>
          <cell r="F22268">
            <v>419341592723</v>
          </cell>
        </row>
        <row r="22269">
          <cell r="E22269" t="str">
            <v>EF-45043837.X.X</v>
          </cell>
          <cell r="F22269">
            <v>419341592723</v>
          </cell>
        </row>
        <row r="22270">
          <cell r="E22270" t="str">
            <v>EF-45057845.X.X</v>
          </cell>
          <cell r="F22270">
            <v>419341592859</v>
          </cell>
        </row>
        <row r="22271">
          <cell r="E22271" t="str">
            <v>EF-45061967.X.X</v>
          </cell>
          <cell r="F22271">
            <v>419341592859</v>
          </cell>
        </row>
        <row r="22272">
          <cell r="E22272" t="str">
            <v>EF-45093131.X.X</v>
          </cell>
          <cell r="F22272">
            <v>419341592859</v>
          </cell>
        </row>
        <row r="22273">
          <cell r="E22273" t="str">
            <v>EF-45059490.X.X</v>
          </cell>
          <cell r="F22273">
            <v>419341592859</v>
          </cell>
        </row>
        <row r="22274">
          <cell r="E22274" t="str">
            <v>EF-45047914.X.X</v>
          </cell>
          <cell r="F22274">
            <v>419341592859</v>
          </cell>
        </row>
        <row r="22275">
          <cell r="E22275" t="str">
            <v>EF-45093131.X.X</v>
          </cell>
          <cell r="F22275">
            <v>419341592859</v>
          </cell>
        </row>
        <row r="22276">
          <cell r="E22276" t="str">
            <v>EF-45041618</v>
          </cell>
          <cell r="F22276">
            <v>419341592859</v>
          </cell>
        </row>
        <row r="22277">
          <cell r="E22277" t="str">
            <v>EF-45044519.X.X</v>
          </cell>
          <cell r="F22277">
            <v>419341592859</v>
          </cell>
        </row>
        <row r="22278">
          <cell r="E22278" t="str">
            <v>EF-45058084</v>
          </cell>
          <cell r="F22278">
            <v>480820854563</v>
          </cell>
        </row>
        <row r="22279">
          <cell r="E22279" t="str">
            <v>PUR-09-0279-00</v>
          </cell>
          <cell r="F22279">
            <v>486655357452</v>
          </cell>
        </row>
        <row r="22280">
          <cell r="E22280" t="str">
            <v>PUR-09-0279-00</v>
          </cell>
          <cell r="F22280">
            <v>486655355644</v>
          </cell>
        </row>
        <row r="22281">
          <cell r="E22281" t="str">
            <v>EF-45103518</v>
          </cell>
          <cell r="F22281">
            <v>486655370092</v>
          </cell>
        </row>
        <row r="22282">
          <cell r="E22282" t="str">
            <v>AIC-MP-00005857-000</v>
          </cell>
          <cell r="F22282">
            <v>885535365255</v>
          </cell>
        </row>
        <row r="22283">
          <cell r="E22283" t="str">
            <v>LUC-EZZ-420013-00</v>
          </cell>
          <cell r="F22283">
            <v>486655373210</v>
          </cell>
        </row>
        <row r="22284">
          <cell r="E22284" t="str">
            <v>LUC-E00-440172-00</v>
          </cell>
          <cell r="F22284">
            <v>486655373210</v>
          </cell>
        </row>
        <row r="22285">
          <cell r="E22285" t="str">
            <v>HLOB-09-0324-00</v>
          </cell>
          <cell r="F22285">
            <v>486655373210</v>
          </cell>
        </row>
        <row r="22286">
          <cell r="E22286" t="str">
            <v>LUC-EZZ-510061-00</v>
          </cell>
          <cell r="F22286">
            <v>486655373210</v>
          </cell>
        </row>
        <row r="22287">
          <cell r="E22287" t="str">
            <v>HLOB-09-0279-00</v>
          </cell>
          <cell r="F22287">
            <v>486655373210</v>
          </cell>
        </row>
        <row r="22288">
          <cell r="E22288" t="str">
            <v>LUC-E00-450084-00</v>
          </cell>
          <cell r="F22288">
            <v>486655373210</v>
          </cell>
        </row>
        <row r="22289">
          <cell r="E22289" t="str">
            <v>HLOB-09-0324-00</v>
          </cell>
          <cell r="F22289">
            <v>486655373210</v>
          </cell>
        </row>
        <row r="22290">
          <cell r="E22290" t="str">
            <v>LUC-E00-450084-00</v>
          </cell>
          <cell r="F22290">
            <v>486655373210</v>
          </cell>
        </row>
        <row r="22291">
          <cell r="E22291" t="str">
            <v>LUC-EZZ-420195-00</v>
          </cell>
          <cell r="F22291">
            <v>486655373210</v>
          </cell>
        </row>
        <row r="22292">
          <cell r="E22292" t="str">
            <v>LUC-EZZ-510639-00</v>
          </cell>
          <cell r="F22292">
            <v>486655373210</v>
          </cell>
        </row>
        <row r="22293">
          <cell r="E22293" t="str">
            <v>LUC-E00-420059-03</v>
          </cell>
          <cell r="F22293">
            <v>486655373210</v>
          </cell>
        </row>
        <row r="22294">
          <cell r="E22294" t="str">
            <v>LUC-EZZ-470242-00</v>
          </cell>
          <cell r="F22294">
            <v>483412272740</v>
          </cell>
        </row>
        <row r="22295">
          <cell r="E22295" t="str">
            <v>LUC-E00-690029-00</v>
          </cell>
          <cell r="F22295">
            <v>885498651914</v>
          </cell>
        </row>
        <row r="22296">
          <cell r="E22296" t="str">
            <v>PUR-03-0095-00</v>
          </cell>
          <cell r="F22296">
            <v>486378471267</v>
          </cell>
        </row>
        <row r="22297">
          <cell r="E22297" t="str">
            <v>PUR-03-0082-02</v>
          </cell>
          <cell r="F22297">
            <v>486378565312</v>
          </cell>
        </row>
        <row r="22298">
          <cell r="E22298" t="str">
            <v>PUR-03-0091-02</v>
          </cell>
          <cell r="F22298">
            <v>486378594320</v>
          </cell>
        </row>
        <row r="22299">
          <cell r="E22299" t="str">
            <v>PUR-03-0091-02</v>
          </cell>
          <cell r="F22299">
            <v>486378607070</v>
          </cell>
        </row>
        <row r="22300">
          <cell r="E22300" t="str">
            <v>PUR-09-0344-00</v>
          </cell>
          <cell r="F22300">
            <v>471782679437</v>
          </cell>
        </row>
        <row r="22301">
          <cell r="E22301" t="str">
            <v>LUC-EZZ-420097-00</v>
          </cell>
          <cell r="F22301">
            <v>486135106211</v>
          </cell>
        </row>
        <row r="22302">
          <cell r="E22302" t="str">
            <v>PUR-03-0092-03</v>
          </cell>
          <cell r="F22302" t="str">
            <v>8XN0182</v>
          </cell>
        </row>
        <row r="22303">
          <cell r="E22303" t="str">
            <v>161-001382</v>
          </cell>
          <cell r="F22303" t="str">
            <v>071/UNIGEN</v>
          </cell>
        </row>
        <row r="22304">
          <cell r="E22304" t="str">
            <v>161-001520</v>
          </cell>
          <cell r="F22304" t="str">
            <v>TV-UNI-0925</v>
          </cell>
        </row>
        <row r="22305">
          <cell r="E22305" t="str">
            <v>161-001520</v>
          </cell>
          <cell r="F22305" t="str">
            <v>TV-UNI-0925</v>
          </cell>
        </row>
        <row r="22306">
          <cell r="E22306" t="str">
            <v>161-001520</v>
          </cell>
          <cell r="F22306" t="str">
            <v>TV-UNI-0925</v>
          </cell>
        </row>
        <row r="22307">
          <cell r="E22307" t="str">
            <v>161-001521</v>
          </cell>
          <cell r="F22307" t="str">
            <v>TV-UNI-0925</v>
          </cell>
        </row>
        <row r="22308">
          <cell r="E22308" t="str">
            <v>161-001521</v>
          </cell>
          <cell r="F22308" t="str">
            <v>TV-UNI-0925</v>
          </cell>
        </row>
        <row r="22309">
          <cell r="E22309" t="str">
            <v>161-001521</v>
          </cell>
          <cell r="F22309" t="str">
            <v>TV-UNI-0925</v>
          </cell>
        </row>
        <row r="22310">
          <cell r="E22310" t="str">
            <v>V-angel paper splint_01</v>
          </cell>
          <cell r="F22310" t="str">
            <v>00000463</v>
          </cell>
        </row>
        <row r="22311">
          <cell r="E22311" t="str">
            <v>V-angel paper splint_02</v>
          </cell>
          <cell r="F22311" t="str">
            <v>00000463</v>
          </cell>
        </row>
        <row r="22312">
          <cell r="E22312" t="str">
            <v>V-angel paper splint_03</v>
          </cell>
          <cell r="F22312" t="str">
            <v>00000463</v>
          </cell>
        </row>
        <row r="22313">
          <cell r="E22313" t="str">
            <v>AIC-161-001449</v>
          </cell>
          <cell r="F22313" t="str">
            <v>00000463</v>
          </cell>
        </row>
        <row r="22314">
          <cell r="E22314" t="str">
            <v>AIC-161-001451</v>
          </cell>
          <cell r="F22314" t="str">
            <v>00000463</v>
          </cell>
        </row>
        <row r="22315">
          <cell r="E22315" t="str">
            <v>AIC-161-001512</v>
          </cell>
          <cell r="F22315" t="str">
            <v>00000463</v>
          </cell>
        </row>
        <row r="22316">
          <cell r="E22316" t="str">
            <v>AIC-161-001512-01</v>
          </cell>
          <cell r="F22316" t="str">
            <v>00000463</v>
          </cell>
        </row>
        <row r="22317">
          <cell r="E22317" t="str">
            <v>AIC-132-001524</v>
          </cell>
          <cell r="F22317">
            <v>20251001</v>
          </cell>
        </row>
        <row r="22318">
          <cell r="E22318" t="str">
            <v>LUC-P21-K61800-00</v>
          </cell>
          <cell r="F22318" t="str">
            <v xml:space="preserve"> 0000524</v>
          </cell>
        </row>
        <row r="22319">
          <cell r="E22319" t="str">
            <v>PUR-17-0283-02</v>
          </cell>
          <cell r="F22319" t="str">
            <v>VN20251008002</v>
          </cell>
        </row>
        <row r="22320">
          <cell r="E22320" t="str">
            <v>HLOB-17-0283-02</v>
          </cell>
          <cell r="F22320" t="str">
            <v>VN20251008002</v>
          </cell>
        </row>
        <row r="22321">
          <cell r="E22321" t="str">
            <v>HLOB-17-0283-02</v>
          </cell>
          <cell r="F22321" t="str">
            <v>VN20251008002</v>
          </cell>
        </row>
        <row r="22322">
          <cell r="E22322" t="str">
            <v>LUC-P11-K2BC00-01</v>
          </cell>
          <cell r="F22322" t="str">
            <v>001/10/25-UNIGEN</v>
          </cell>
        </row>
        <row r="22323">
          <cell r="E22323" t="str">
            <v>LUC-P11-K2BC00-01</v>
          </cell>
          <cell r="F22323" t="str">
            <v>001/10/25-UNIGEN</v>
          </cell>
        </row>
        <row r="22324">
          <cell r="E22324" t="str">
            <v>LUC-P11-K2BC00-01</v>
          </cell>
          <cell r="F22324" t="str">
            <v>001/10/25-UNIGEN</v>
          </cell>
        </row>
        <row r="22325">
          <cell r="E22325" t="str">
            <v>LUC-P11-K2BC00-01</v>
          </cell>
          <cell r="F22325" t="str">
            <v>001/10/25-UNIGEN</v>
          </cell>
        </row>
        <row r="22326">
          <cell r="E22326" t="str">
            <v>LUC-P11-K2BC00-01</v>
          </cell>
          <cell r="F22326" t="str">
            <v>001/10/25-UNIGEN</v>
          </cell>
        </row>
        <row r="22327">
          <cell r="E22327" t="str">
            <v>LUC-P11-K2BC00-01</v>
          </cell>
          <cell r="F22327" t="str">
            <v>001/10/25-UNIGEN</v>
          </cell>
        </row>
        <row r="22328">
          <cell r="E22328" t="str">
            <v>HLOB-31-0103-01</v>
          </cell>
          <cell r="F22328" t="str">
            <v>IPTH251020-UNI</v>
          </cell>
        </row>
        <row r="22329">
          <cell r="E22329" t="str">
            <v>HLOB-17-0283-02</v>
          </cell>
          <cell r="F22329" t="str">
            <v>VN20251016002</v>
          </cell>
        </row>
        <row r="22330">
          <cell r="E22330" t="str">
            <v>PUR-17-0344-00</v>
          </cell>
          <cell r="F22330" t="str">
            <v>VN20251016002</v>
          </cell>
        </row>
        <row r="22331">
          <cell r="E22331" t="str">
            <v>PUR-16-0086-01</v>
          </cell>
          <cell r="F22331" t="str">
            <v>SP-UNIGEN-102025-01</v>
          </cell>
        </row>
        <row r="22332">
          <cell r="E22332" t="str">
            <v>PUR-16-0085-01</v>
          </cell>
          <cell r="F22332" t="str">
            <v>SP-UNIGEN-102025-01</v>
          </cell>
        </row>
        <row r="22333">
          <cell r="E22333" t="str">
            <v>161-001520</v>
          </cell>
          <cell r="F22333" t="str">
            <v>TV-UNI-1024</v>
          </cell>
        </row>
        <row r="22334">
          <cell r="E22334" t="str">
            <v>161-001520</v>
          </cell>
          <cell r="F22334" t="str">
            <v>TV-UNI-1024</v>
          </cell>
        </row>
        <row r="22335">
          <cell r="E22335" t="str">
            <v>161-001521</v>
          </cell>
          <cell r="F22335" t="str">
            <v>TV-UNI-1024</v>
          </cell>
        </row>
        <row r="22336">
          <cell r="E22336" t="str">
            <v>161-001521</v>
          </cell>
          <cell r="F22336" t="str">
            <v>TV-UNI-1024</v>
          </cell>
        </row>
        <row r="22337">
          <cell r="E22337" t="str">
            <v>PUR-10-0312-00</v>
          </cell>
          <cell r="F22337" t="str">
            <v>YFYJ-PUR 2410 TV</v>
          </cell>
        </row>
        <row r="22338">
          <cell r="E22338" t="str">
            <v>PUR-10-0312-00</v>
          </cell>
          <cell r="F22338" t="str">
            <v>YFYJ-PUR 2410 TV</v>
          </cell>
        </row>
        <row r="22339">
          <cell r="E22339" t="str">
            <v>PUR-10-0313-00</v>
          </cell>
          <cell r="F22339" t="str">
            <v>YFYJ-PUR 2410 TV</v>
          </cell>
        </row>
        <row r="22340">
          <cell r="E22340" t="str">
            <v>PUR-10-0334-00</v>
          </cell>
          <cell r="F22340" t="str">
            <v>YFYJ-PUR 2410 GS</v>
          </cell>
        </row>
        <row r="22341">
          <cell r="E22341" t="str">
            <v>HLOB-10-0188-00</v>
          </cell>
          <cell r="F22341" t="str">
            <v>YFYJ-PUR 251022 JS</v>
          </cell>
        </row>
        <row r="22342">
          <cell r="E22342" t="str">
            <v>PUR-10-0342-00</v>
          </cell>
          <cell r="F22342" t="str">
            <v>YFYJ-PUR 2410 PROWAY</v>
          </cell>
        </row>
        <row r="22343">
          <cell r="E22343" t="str">
            <v>PUR-10-0342-00</v>
          </cell>
          <cell r="F22343" t="str">
            <v>YFYJ-PUR 2410 PROWAY</v>
          </cell>
        </row>
        <row r="22344">
          <cell r="E22344" t="str">
            <v>PUR-10-0450-00</v>
          </cell>
          <cell r="F22344" t="str">
            <v>YFYJ-PUR 2410 SB</v>
          </cell>
        </row>
        <row r="22345">
          <cell r="E22345" t="str">
            <v>184-000025.X.X</v>
          </cell>
          <cell r="F22345" t="str">
            <v>00001070</v>
          </cell>
        </row>
        <row r="22346">
          <cell r="E22346" t="str">
            <v>161-001523</v>
          </cell>
          <cell r="F22346" t="str">
            <v>PRW251024</v>
          </cell>
        </row>
        <row r="22347">
          <cell r="E22347" t="str">
            <v>161-000290</v>
          </cell>
          <cell r="F22347" t="str">
            <v>UNIGEN251030</v>
          </cell>
        </row>
        <row r="22348">
          <cell r="E22348" t="str">
            <v>161-001347</v>
          </cell>
          <cell r="F22348" t="str">
            <v>UNIGEN251030</v>
          </cell>
        </row>
        <row r="22349">
          <cell r="E22349" t="str">
            <v>AGI-871-40004-01</v>
          </cell>
          <cell r="F22349" t="str">
            <v>UNIGEN251030</v>
          </cell>
        </row>
        <row r="22350">
          <cell r="E22350" t="str">
            <v>AGI-871-40004-01</v>
          </cell>
          <cell r="F22350" t="str">
            <v>UNIGEN251030</v>
          </cell>
        </row>
        <row r="22351">
          <cell r="E22351" t="str">
            <v>AGI-871-40004-01</v>
          </cell>
          <cell r="F22351" t="str">
            <v>UNIGEN251030</v>
          </cell>
        </row>
        <row r="22352">
          <cell r="E22352" t="str">
            <v>EF-161-000310</v>
          </cell>
          <cell r="F22352" t="str">
            <v>UNIGEN251030</v>
          </cell>
        </row>
        <row r="22353">
          <cell r="E22353" t="str">
            <v>EF-161-000309</v>
          </cell>
          <cell r="F22353" t="str">
            <v>UNIGEN251030</v>
          </cell>
        </row>
        <row r="22354">
          <cell r="E22354" t="str">
            <v>161-001522</v>
          </cell>
          <cell r="F22354" t="str">
            <v>00000877</v>
          </cell>
        </row>
        <row r="22355">
          <cell r="E22355" t="str">
            <v>PUR-16-0086-01</v>
          </cell>
          <cell r="F22355" t="str">
            <v>VN20251030001</v>
          </cell>
        </row>
        <row r="22356">
          <cell r="E22356" t="str">
            <v>PUR-16-0085-01</v>
          </cell>
          <cell r="F22356" t="str">
            <v>VN20251030001</v>
          </cell>
        </row>
        <row r="22357">
          <cell r="E22357" t="str">
            <v>PUR-17-0361-01</v>
          </cell>
          <cell r="F22357" t="str">
            <v>VN20251030001</v>
          </cell>
        </row>
        <row r="22358">
          <cell r="E22358" t="str">
            <v>PUR-17-0362-01</v>
          </cell>
          <cell r="F22358" t="str">
            <v>VN20251030001</v>
          </cell>
        </row>
        <row r="22359">
          <cell r="E22359" t="str">
            <v xml:space="preserve">161-001396 </v>
          </cell>
          <cell r="F22359" t="str">
            <v>UVH-09/25</v>
          </cell>
        </row>
        <row r="22360">
          <cell r="E22360" t="str">
            <v xml:space="preserve">161-001396 </v>
          </cell>
          <cell r="F22360" t="str">
            <v>UVH-09/25</v>
          </cell>
        </row>
        <row r="22361">
          <cell r="E22361" t="str">
            <v>AGI-872-40023-01</v>
          </cell>
          <cell r="F22361" t="str">
            <v>UVH-09/25</v>
          </cell>
        </row>
        <row r="22362">
          <cell r="E22362" t="str">
            <v>AGI-872-40023-01</v>
          </cell>
          <cell r="F22362" t="str">
            <v>UVH-09/25</v>
          </cell>
        </row>
        <row r="22363">
          <cell r="E22363" t="str">
            <v>AGI-872-40025-01</v>
          </cell>
          <cell r="F22363" t="str">
            <v>UVH-09/25</v>
          </cell>
        </row>
        <row r="22364">
          <cell r="E22364" t="str">
            <v>AGI-872-40025-01</v>
          </cell>
          <cell r="F22364" t="str">
            <v>UVH-09/25</v>
          </cell>
        </row>
        <row r="22365">
          <cell r="E22365" t="str">
            <v>LUC-161-001414</v>
          </cell>
          <cell r="F22365" t="str">
            <v>UVH-09/25</v>
          </cell>
        </row>
        <row r="22366">
          <cell r="E22366" t="str">
            <v>LUC-161-001414</v>
          </cell>
          <cell r="F22366" t="str">
            <v>UVH-09/25</v>
          </cell>
        </row>
        <row r="22367">
          <cell r="E22367" t="str">
            <v>LUC-161-001414</v>
          </cell>
          <cell r="F22367" t="str">
            <v>UVH-09/25</v>
          </cell>
        </row>
        <row r="22368">
          <cell r="E22368" t="str">
            <v>LUC-161-001414</v>
          </cell>
          <cell r="F22368" t="str">
            <v>UVH-09/25</v>
          </cell>
        </row>
        <row r="22369">
          <cell r="E22369" t="str">
            <v>LUC-161-001414</v>
          </cell>
          <cell r="F22369" t="str">
            <v>UVH-09/25</v>
          </cell>
        </row>
        <row r="22370">
          <cell r="E22370" t="str">
            <v>LUC-161-001415</v>
          </cell>
          <cell r="F22370" t="str">
            <v>UVH-09/25</v>
          </cell>
        </row>
        <row r="22371">
          <cell r="E22371" t="str">
            <v>LUC-161-001415</v>
          </cell>
          <cell r="F22371" t="str">
            <v>UVH-09/25</v>
          </cell>
        </row>
        <row r="22372">
          <cell r="E22372" t="str">
            <v>LUC-161-001415</v>
          </cell>
          <cell r="F22372" t="str">
            <v>UVH-09/25</v>
          </cell>
        </row>
        <row r="22373">
          <cell r="E22373" t="str">
            <v>LUC-161-001415</v>
          </cell>
          <cell r="F22373" t="str">
            <v>UVH-09/25</v>
          </cell>
        </row>
        <row r="22374">
          <cell r="E22374" t="str">
            <v>LUC-161-001415</v>
          </cell>
          <cell r="F22374" t="str">
            <v>UVH-09/25</v>
          </cell>
        </row>
        <row r="22375">
          <cell r="E22375" t="str">
            <v>LUC-161-001416</v>
          </cell>
          <cell r="F22375" t="str">
            <v>UVH-09/25</v>
          </cell>
        </row>
        <row r="22376">
          <cell r="E22376" t="str">
            <v>LUC-161-001416</v>
          </cell>
          <cell r="F22376" t="str">
            <v>UVH-09/25</v>
          </cell>
        </row>
        <row r="22377">
          <cell r="E22377" t="str">
            <v>LUC-161-001416</v>
          </cell>
          <cell r="F22377" t="str">
            <v>UVH-09/25</v>
          </cell>
        </row>
        <row r="22378">
          <cell r="E22378" t="str">
            <v>LUC-161-001416</v>
          </cell>
          <cell r="F22378" t="str">
            <v>UVH-09/25</v>
          </cell>
        </row>
        <row r="22379">
          <cell r="E22379" t="str">
            <v>LUC-161-001417</v>
          </cell>
          <cell r="F22379" t="str">
            <v>UVH-09/25</v>
          </cell>
        </row>
        <row r="22380">
          <cell r="E22380" t="str">
            <v>LUC-161-001417</v>
          </cell>
          <cell r="F22380" t="str">
            <v>UVH-09/25</v>
          </cell>
        </row>
        <row r="22381">
          <cell r="E22381" t="str">
            <v>LUC-161-001417</v>
          </cell>
          <cell r="F22381" t="str">
            <v>UVH-09/25</v>
          </cell>
        </row>
        <row r="22382">
          <cell r="E22382" t="str">
            <v>LUC-161-001420</v>
          </cell>
          <cell r="F22382" t="str">
            <v>UVH-09/25</v>
          </cell>
        </row>
        <row r="22383">
          <cell r="E22383" t="str">
            <v>LUC-161-001420</v>
          </cell>
          <cell r="F22383" t="str">
            <v>UVH-09/25</v>
          </cell>
        </row>
        <row r="22384">
          <cell r="E22384" t="str">
            <v>LUC-161-001420</v>
          </cell>
          <cell r="F22384" t="str">
            <v>UVH-09/25</v>
          </cell>
        </row>
        <row r="22385">
          <cell r="E22385" t="str">
            <v>LUC-161-001420</v>
          </cell>
          <cell r="F22385" t="str">
            <v>UVH-09/25</v>
          </cell>
        </row>
        <row r="22386">
          <cell r="E22386" t="str">
            <v>LUC-161-001420</v>
          </cell>
          <cell r="F22386" t="str">
            <v>UVH-09/25</v>
          </cell>
        </row>
        <row r="22387">
          <cell r="E22387" t="str">
            <v>LUC-161-001421</v>
          </cell>
          <cell r="F22387" t="str">
            <v>UVH-09/25</v>
          </cell>
        </row>
        <row r="22388">
          <cell r="E22388" t="str">
            <v>LUC-161-001421</v>
          </cell>
          <cell r="F22388" t="str">
            <v>UVH-09/25</v>
          </cell>
        </row>
        <row r="22389">
          <cell r="E22389" t="str">
            <v>LUC-161-001421</v>
          </cell>
          <cell r="F22389" t="str">
            <v>UVH-09/25</v>
          </cell>
        </row>
        <row r="22390">
          <cell r="E22390" t="str">
            <v>LUC-161-001421</v>
          </cell>
          <cell r="F22390" t="str">
            <v>UVH-09/25</v>
          </cell>
        </row>
        <row r="22391">
          <cell r="E22391" t="str">
            <v>LUC-161-001421</v>
          </cell>
          <cell r="F22391" t="str">
            <v>UVH-09/25</v>
          </cell>
        </row>
        <row r="22392">
          <cell r="E22392" t="str">
            <v>LUC-161-001421</v>
          </cell>
          <cell r="F22392" t="str">
            <v>UVH-09/25</v>
          </cell>
        </row>
        <row r="22393">
          <cell r="E22393" t="str">
            <v>LUC-161-001421</v>
          </cell>
          <cell r="F22393" t="str">
            <v>UVH-09/25</v>
          </cell>
        </row>
        <row r="22394">
          <cell r="E22394" t="str">
            <v>LUC-161-001422</v>
          </cell>
          <cell r="F22394" t="str">
            <v>UVH-09/25</v>
          </cell>
        </row>
        <row r="22395">
          <cell r="E22395" t="str">
            <v>LUC-161-001422</v>
          </cell>
          <cell r="F22395" t="str">
            <v>UVH-09/25</v>
          </cell>
        </row>
        <row r="22396">
          <cell r="E22396" t="str">
            <v>LUC-161-001422</v>
          </cell>
          <cell r="F22396" t="str">
            <v>UVH-09/25</v>
          </cell>
        </row>
        <row r="22397">
          <cell r="E22397" t="str">
            <v>LUC-161-001422</v>
          </cell>
          <cell r="F22397" t="str">
            <v>UVH-09/25</v>
          </cell>
        </row>
        <row r="22398">
          <cell r="E22398" t="str">
            <v>LUC-161-001422</v>
          </cell>
          <cell r="F22398" t="str">
            <v>UVH-09/25</v>
          </cell>
        </row>
        <row r="22399">
          <cell r="E22399" t="str">
            <v>LUC-161-001425</v>
          </cell>
          <cell r="F22399" t="str">
            <v>UVH-09/25</v>
          </cell>
        </row>
        <row r="22400">
          <cell r="E22400" t="str">
            <v>LUC-161-001425</v>
          </cell>
          <cell r="F22400" t="str">
            <v>UVH-09/25</v>
          </cell>
        </row>
        <row r="22401">
          <cell r="E22401" t="str">
            <v>LUC-161-001425</v>
          </cell>
          <cell r="F22401" t="str">
            <v>UVH-09/25</v>
          </cell>
        </row>
        <row r="22402">
          <cell r="E22402" t="str">
            <v>LUC-161-001425</v>
          </cell>
          <cell r="F22402" t="str">
            <v>UVH-09/25</v>
          </cell>
        </row>
        <row r="22403">
          <cell r="E22403" t="str">
            <v>LUC-161-001425</v>
          </cell>
          <cell r="F22403" t="str">
            <v>UVH-09/25</v>
          </cell>
        </row>
        <row r="22404">
          <cell r="E22404" t="str">
            <v>LUC-161-001425</v>
          </cell>
          <cell r="F22404" t="str">
            <v>UVH-09/25</v>
          </cell>
        </row>
        <row r="22405">
          <cell r="E22405" t="str">
            <v>LUC-161-001425</v>
          </cell>
          <cell r="F22405" t="str">
            <v>UVH-09/25</v>
          </cell>
        </row>
        <row r="22406">
          <cell r="E22406" t="str">
            <v>LUC-161-001426</v>
          </cell>
          <cell r="F22406" t="str">
            <v>UVH-09/25</v>
          </cell>
        </row>
        <row r="22407">
          <cell r="E22407" t="str">
            <v>LUC-161-001426</v>
          </cell>
          <cell r="F22407" t="str">
            <v>UVH-09/25</v>
          </cell>
        </row>
        <row r="22408">
          <cell r="E22408" t="str">
            <v>LUC-161-001427</v>
          </cell>
          <cell r="F22408" t="str">
            <v>UVH-09/25</v>
          </cell>
        </row>
        <row r="22409">
          <cell r="E22409" t="str">
            <v>LUC-161-001427</v>
          </cell>
          <cell r="F22409" t="str">
            <v>UVH-09/25</v>
          </cell>
        </row>
        <row r="22410">
          <cell r="E22410" t="str">
            <v>LUC-161-001428</v>
          </cell>
          <cell r="F22410" t="str">
            <v>UVH-09/25</v>
          </cell>
        </row>
        <row r="22411">
          <cell r="E22411" t="str">
            <v>LUC-161-001428</v>
          </cell>
          <cell r="F22411" t="str">
            <v>UVH-09/25</v>
          </cell>
        </row>
        <row r="22412">
          <cell r="E22412" t="str">
            <v>LUC-161-001428</v>
          </cell>
          <cell r="F22412" t="str">
            <v>UVH-09/25</v>
          </cell>
        </row>
        <row r="22413">
          <cell r="E22413" t="str">
            <v>LUC-161-001428</v>
          </cell>
          <cell r="F22413" t="str">
            <v>UVH-09/25</v>
          </cell>
        </row>
        <row r="22414">
          <cell r="E22414" t="str">
            <v>LUC-161-001428</v>
          </cell>
          <cell r="F22414" t="str">
            <v>UVH-09/25</v>
          </cell>
        </row>
        <row r="22415">
          <cell r="E22415" t="str">
            <v>LUC-161-001429</v>
          </cell>
          <cell r="F22415" t="str">
            <v>UVH-09/25</v>
          </cell>
        </row>
        <row r="22416">
          <cell r="E22416" t="str">
            <v>LUC-161-001429</v>
          </cell>
          <cell r="F22416" t="str">
            <v>UVH-09/25</v>
          </cell>
        </row>
        <row r="22417">
          <cell r="E22417" t="str">
            <v>LUC-161-001429</v>
          </cell>
          <cell r="F22417" t="str">
            <v>UVH-09/25</v>
          </cell>
        </row>
        <row r="22418">
          <cell r="E22418" t="str">
            <v>LUC-161-001430</v>
          </cell>
          <cell r="F22418" t="str">
            <v>UVH-09/25</v>
          </cell>
        </row>
        <row r="22419">
          <cell r="E22419" t="str">
            <v>LUC-161-001430</v>
          </cell>
          <cell r="F22419" t="str">
            <v>UVH-09/25</v>
          </cell>
        </row>
        <row r="22420">
          <cell r="E22420" t="str">
            <v>LUC-161-001430</v>
          </cell>
          <cell r="F22420" t="str">
            <v>UVH-09/25</v>
          </cell>
        </row>
        <row r="22421">
          <cell r="E22421" t="str">
            <v>LUC-161-001430</v>
          </cell>
          <cell r="F22421" t="str">
            <v>UVH-09/25</v>
          </cell>
        </row>
        <row r="22422">
          <cell r="E22422" t="str">
            <v>LUC-161-001431</v>
          </cell>
          <cell r="F22422" t="str">
            <v>UVH-09/25</v>
          </cell>
        </row>
        <row r="22423">
          <cell r="E22423" t="str">
            <v>LUC-161-001431</v>
          </cell>
          <cell r="F22423" t="str">
            <v>UVH-09/25</v>
          </cell>
        </row>
        <row r="22424">
          <cell r="E22424" t="str">
            <v>LUC-161-001431</v>
          </cell>
          <cell r="F22424" t="str">
            <v>UVH-09/25</v>
          </cell>
        </row>
        <row r="22425">
          <cell r="E22425" t="str">
            <v>LUC-161-001431</v>
          </cell>
          <cell r="F22425" t="str">
            <v>UVH-09/25</v>
          </cell>
        </row>
        <row r="22426">
          <cell r="E22426" t="str">
            <v>LUC-161-001432</v>
          </cell>
          <cell r="F22426" t="str">
            <v>UVH-09/25</v>
          </cell>
        </row>
        <row r="22427">
          <cell r="E22427" t="str">
            <v>LUC-161-001432</v>
          </cell>
          <cell r="F22427" t="str">
            <v>UVH-09/25</v>
          </cell>
        </row>
        <row r="22428">
          <cell r="E22428" t="str">
            <v>LUC-161-001432</v>
          </cell>
          <cell r="F22428" t="str">
            <v>UVH-09/25</v>
          </cell>
        </row>
        <row r="22429">
          <cell r="E22429" t="str">
            <v>LUC-161-001433</v>
          </cell>
          <cell r="F22429" t="str">
            <v>UVH-09/25</v>
          </cell>
        </row>
        <row r="22430">
          <cell r="E22430" t="str">
            <v>LUC-161-001433</v>
          </cell>
          <cell r="F22430" t="str">
            <v>UVH-09/25</v>
          </cell>
        </row>
        <row r="22431">
          <cell r="E22431" t="str">
            <v>LUC-161-001433</v>
          </cell>
          <cell r="F22431" t="str">
            <v>UVH-09/25</v>
          </cell>
        </row>
        <row r="22432">
          <cell r="E22432" t="str">
            <v>LUC-161-001434</v>
          </cell>
          <cell r="F22432" t="str">
            <v>UVH-09/25</v>
          </cell>
        </row>
        <row r="22433">
          <cell r="E22433" t="str">
            <v>LUC-161-001435</v>
          </cell>
          <cell r="F22433" t="str">
            <v>UVH-09/25</v>
          </cell>
        </row>
        <row r="22434">
          <cell r="E22434" t="str">
            <v>LUC-161-001436</v>
          </cell>
          <cell r="F22434" t="str">
            <v>UVH-09/25</v>
          </cell>
        </row>
        <row r="22435">
          <cell r="E22435" t="str">
            <v>LUC-161-001436</v>
          </cell>
          <cell r="F22435" t="str">
            <v>UVH-09/25</v>
          </cell>
        </row>
        <row r="22436">
          <cell r="E22436" t="str">
            <v>LUC-161-001436</v>
          </cell>
          <cell r="F22436" t="str">
            <v>UVH-09/25</v>
          </cell>
        </row>
        <row r="22437">
          <cell r="E22437" t="str">
            <v>LUC-161-001437</v>
          </cell>
          <cell r="F22437" t="str">
            <v>UVH-09/25</v>
          </cell>
        </row>
        <row r="22438">
          <cell r="E22438" t="str">
            <v>LUC-161-001437</v>
          </cell>
          <cell r="F22438" t="str">
            <v>UVH-09/25</v>
          </cell>
        </row>
        <row r="22439">
          <cell r="E22439" t="str">
            <v>LUC-161-001438</v>
          </cell>
          <cell r="F22439" t="str">
            <v>UVH-09/25</v>
          </cell>
        </row>
        <row r="22440">
          <cell r="E22440" t="str">
            <v>LUC-161-001438</v>
          </cell>
          <cell r="F22440" t="str">
            <v>UVH-09/25</v>
          </cell>
        </row>
        <row r="22441">
          <cell r="E22441" t="str">
            <v>LUC-161-001439</v>
          </cell>
          <cell r="F22441" t="str">
            <v>UVH-09/25</v>
          </cell>
        </row>
        <row r="22442">
          <cell r="E22442" t="str">
            <v>LUC-161-001439</v>
          </cell>
          <cell r="F22442" t="str">
            <v>UVH-09/25</v>
          </cell>
        </row>
        <row r="22443">
          <cell r="E22443" t="str">
            <v>LUC-161-001439</v>
          </cell>
          <cell r="F22443" t="str">
            <v>UVH-09/25</v>
          </cell>
        </row>
        <row r="22444">
          <cell r="E22444" t="str">
            <v>LUC-161-001440</v>
          </cell>
          <cell r="F22444" t="str">
            <v>UVH-09/25</v>
          </cell>
        </row>
        <row r="22445">
          <cell r="E22445" t="str">
            <v>LUC-161-001440</v>
          </cell>
          <cell r="F22445" t="str">
            <v>UVH-09/25</v>
          </cell>
        </row>
        <row r="22446">
          <cell r="E22446" t="str">
            <v>LUC-161-001441</v>
          </cell>
          <cell r="F22446" t="str">
            <v>UVH-09/25</v>
          </cell>
        </row>
        <row r="22447">
          <cell r="E22447" t="str">
            <v>LUC-161-001441</v>
          </cell>
          <cell r="F22447" t="str">
            <v>UVH-09/25</v>
          </cell>
        </row>
        <row r="22448">
          <cell r="E22448" t="str">
            <v>LUC-161-001474</v>
          </cell>
          <cell r="F22448" t="str">
            <v>UVH-09/25</v>
          </cell>
        </row>
        <row r="22449">
          <cell r="E22449" t="str">
            <v>LUC-161-001474</v>
          </cell>
          <cell r="F22449" t="str">
            <v>UVH-09/25</v>
          </cell>
        </row>
        <row r="22450">
          <cell r="E22450" t="str">
            <v>LUC-161-001474</v>
          </cell>
          <cell r="F22450" t="str">
            <v>UVH-09/25</v>
          </cell>
        </row>
        <row r="22451">
          <cell r="E22451" t="str">
            <v>LUC-161-001475</v>
          </cell>
          <cell r="F22451" t="str">
            <v>UVH-09/25</v>
          </cell>
        </row>
        <row r="22452">
          <cell r="E22452" t="str">
            <v>LUC-161-001475</v>
          </cell>
          <cell r="F22452" t="str">
            <v>UVH-09/25</v>
          </cell>
        </row>
        <row r="22453">
          <cell r="E22453" t="str">
            <v>LUC-161-001475</v>
          </cell>
          <cell r="F22453" t="str">
            <v>UVH-09/25</v>
          </cell>
        </row>
        <row r="22454">
          <cell r="E22454" t="str">
            <v>LUC-161-001485</v>
          </cell>
          <cell r="F22454" t="str">
            <v>UVH-09/25</v>
          </cell>
        </row>
        <row r="22455">
          <cell r="E22455" t="str">
            <v>LUC-161-001485</v>
          </cell>
          <cell r="F22455" t="str">
            <v>UVH-09/25</v>
          </cell>
        </row>
        <row r="22456">
          <cell r="E22456" t="str">
            <v>LUC-161-001485</v>
          </cell>
          <cell r="F22456" t="str">
            <v>UVH-09/25</v>
          </cell>
        </row>
        <row r="22457">
          <cell r="E22457" t="str">
            <v>LUC-161-001486</v>
          </cell>
          <cell r="F22457" t="str">
            <v>UVH-09/25</v>
          </cell>
        </row>
        <row r="22458">
          <cell r="E22458" t="str">
            <v>LUC-161-001486</v>
          </cell>
          <cell r="F22458" t="str">
            <v>UVH-09/25</v>
          </cell>
        </row>
        <row r="22459">
          <cell r="E22459" t="str">
            <v>LUC-161-001487</v>
          </cell>
          <cell r="F22459" t="str">
            <v>UVH-09/25</v>
          </cell>
        </row>
        <row r="22460">
          <cell r="E22460" t="str">
            <v>LUC-161-001487</v>
          </cell>
          <cell r="F22460" t="str">
            <v>UVH-09/25</v>
          </cell>
        </row>
        <row r="22461">
          <cell r="E22461" t="str">
            <v>LUC-161-001488</v>
          </cell>
          <cell r="F22461" t="str">
            <v>UVH-09/25</v>
          </cell>
        </row>
        <row r="22462">
          <cell r="E22462" t="str">
            <v>LUC-161-001488</v>
          </cell>
          <cell r="F22462" t="str">
            <v>UVH-09/25</v>
          </cell>
        </row>
        <row r="22463">
          <cell r="E22463" t="str">
            <v>LUC-161-001489</v>
          </cell>
          <cell r="F22463" t="str">
            <v>UVH-09/25</v>
          </cell>
        </row>
        <row r="22464">
          <cell r="E22464" t="str">
            <v>LUC-161-001489</v>
          </cell>
          <cell r="F22464" t="str">
            <v>UVH-09/25</v>
          </cell>
        </row>
        <row r="22465">
          <cell r="E22465" t="str">
            <v>LUC-161-001490</v>
          </cell>
          <cell r="F22465" t="str">
            <v>UVH-09/25</v>
          </cell>
        </row>
        <row r="22466">
          <cell r="E22466" t="str">
            <v>LUC-161-001490</v>
          </cell>
          <cell r="F22466" t="str">
            <v>UVH-09/25</v>
          </cell>
        </row>
        <row r="22467">
          <cell r="E22467" t="str">
            <v>LUC-161-001491</v>
          </cell>
          <cell r="F22467" t="str">
            <v>UVH-09/25</v>
          </cell>
        </row>
        <row r="22468">
          <cell r="E22468" t="str">
            <v>LUC-161-001491</v>
          </cell>
          <cell r="F22468" t="str">
            <v>UVH-09/25</v>
          </cell>
        </row>
        <row r="22469">
          <cell r="E22469" t="str">
            <v>LUC-161-001492</v>
          </cell>
          <cell r="F22469" t="str">
            <v>UVH-09/25</v>
          </cell>
        </row>
        <row r="22470">
          <cell r="E22470" t="str">
            <v>LUC-161-001492</v>
          </cell>
          <cell r="F22470" t="str">
            <v>UVH-09/25</v>
          </cell>
        </row>
        <row r="22471">
          <cell r="E22471" t="str">
            <v>LUC-161-001492</v>
          </cell>
          <cell r="F22471" t="str">
            <v>UVH-09/25</v>
          </cell>
        </row>
        <row r="22472">
          <cell r="E22472" t="str">
            <v>LUC-161-001492</v>
          </cell>
          <cell r="F22472" t="str">
            <v>UVH-09/25</v>
          </cell>
        </row>
        <row r="22473">
          <cell r="E22473" t="str">
            <v>LUC-161-001492</v>
          </cell>
          <cell r="F22473" t="str">
            <v>UVH-09/25</v>
          </cell>
        </row>
        <row r="22474">
          <cell r="E22474" t="str">
            <v>LUC-161-001493</v>
          </cell>
          <cell r="F22474" t="str">
            <v>UVH-09/25</v>
          </cell>
        </row>
        <row r="22475">
          <cell r="E22475" t="str">
            <v>LUC-161-001493</v>
          </cell>
          <cell r="F22475" t="str">
            <v>UVH-09/25</v>
          </cell>
        </row>
        <row r="22476">
          <cell r="E22476" t="str">
            <v>LUC-161-001493</v>
          </cell>
          <cell r="F22476" t="str">
            <v>UVH-09/25</v>
          </cell>
        </row>
        <row r="22477">
          <cell r="E22477" t="str">
            <v>LUC-161-001493</v>
          </cell>
          <cell r="F22477" t="str">
            <v>UVH-09/25</v>
          </cell>
        </row>
        <row r="22478">
          <cell r="E22478" t="str">
            <v>LUC-161-001493</v>
          </cell>
          <cell r="F22478" t="str">
            <v>UVH-09/25</v>
          </cell>
        </row>
        <row r="22479">
          <cell r="E22479" t="str">
            <v>161-000112.X.X</v>
          </cell>
          <cell r="F22479" t="str">
            <v>00001621</v>
          </cell>
        </row>
        <row r="22480">
          <cell r="E22480" t="str">
            <v>161-000022.X.X</v>
          </cell>
          <cell r="F22480" t="str">
            <v>00001621</v>
          </cell>
        </row>
        <row r="22481">
          <cell r="E22481" t="str">
            <v>PUR-33-0012-00</v>
          </cell>
          <cell r="F22481" t="str">
            <v>00001621</v>
          </cell>
        </row>
        <row r="22482">
          <cell r="E22482" t="str">
            <v>EF-186-001754</v>
          </cell>
          <cell r="F22482" t="str">
            <v>00001621</v>
          </cell>
        </row>
        <row r="22483">
          <cell r="E22483" t="str">
            <v>186-000541.X.X</v>
          </cell>
          <cell r="F22483" t="str">
            <v>00001621</v>
          </cell>
        </row>
        <row r="22484">
          <cell r="E22484" t="str">
            <v>PUR-33-0004-00</v>
          </cell>
          <cell r="F22484" t="str">
            <v>00001621</v>
          </cell>
        </row>
        <row r="22485">
          <cell r="E22485" t="str">
            <v>PUR-18-0409-00</v>
          </cell>
          <cell r="F22485" t="str">
            <v>00001621</v>
          </cell>
        </row>
        <row r="22486">
          <cell r="E22486" t="str">
            <v>PUR-18-0410-00</v>
          </cell>
          <cell r="F22486" t="str">
            <v>00001621</v>
          </cell>
        </row>
        <row r="22487">
          <cell r="E22487" t="str">
            <v>186-000311.X.X</v>
          </cell>
          <cell r="F22487" t="str">
            <v>00001621</v>
          </cell>
        </row>
        <row r="22488">
          <cell r="E22488" t="str">
            <v>PURET-18-0014-00</v>
          </cell>
          <cell r="F22488" t="str">
            <v>00001621</v>
          </cell>
        </row>
        <row r="22489">
          <cell r="E22489" t="str">
            <v>AGI-186-001752</v>
          </cell>
          <cell r="F22489" t="str">
            <v>00001621</v>
          </cell>
        </row>
        <row r="22490">
          <cell r="E22490" t="str">
            <v>AGI-899-40009-01</v>
          </cell>
          <cell r="F22490" t="str">
            <v>00001621</v>
          </cell>
        </row>
        <row r="22491">
          <cell r="E22491" t="str">
            <v>AGI-899-40030-01</v>
          </cell>
          <cell r="F22491" t="str">
            <v>00001621</v>
          </cell>
        </row>
        <row r="22492">
          <cell r="E22492" t="str">
            <v>AGI-899-40034-01</v>
          </cell>
          <cell r="F22492" t="str">
            <v>00001621</v>
          </cell>
        </row>
        <row r="22493">
          <cell r="E22493" t="str">
            <v>AGI-899-40043-01</v>
          </cell>
          <cell r="F22493" t="str">
            <v>00001621</v>
          </cell>
        </row>
        <row r="22494">
          <cell r="E22494" t="str">
            <v>PURET-18-0079-00</v>
          </cell>
          <cell r="F22494" t="str">
            <v>00001621</v>
          </cell>
        </row>
        <row r="22495">
          <cell r="E22495" t="str">
            <v>PUR-33-0018-00</v>
          </cell>
          <cell r="F22495" t="str">
            <v>00001621</v>
          </cell>
        </row>
        <row r="22496">
          <cell r="E22496" t="str">
            <v>AGI-899-40013-01</v>
          </cell>
          <cell r="F22496" t="str">
            <v>00001621</v>
          </cell>
        </row>
        <row r="22497">
          <cell r="E22497" t="str">
            <v>186-000348.X.X</v>
          </cell>
          <cell r="F22497" t="str">
            <v>00001621</v>
          </cell>
        </row>
        <row r="22498">
          <cell r="E22498" t="str">
            <v>PUR-18-0480-00</v>
          </cell>
          <cell r="F22498" t="str">
            <v>00001621</v>
          </cell>
        </row>
        <row r="22499">
          <cell r="E22499" t="str">
            <v>AGI-899-50004-01</v>
          </cell>
          <cell r="F22499" t="str">
            <v>00001621</v>
          </cell>
        </row>
        <row r="22500">
          <cell r="E22500" t="str">
            <v>LUC-LABEL-50X25</v>
          </cell>
          <cell r="F22500" t="str">
            <v>00001621</v>
          </cell>
        </row>
        <row r="22501">
          <cell r="E22501" t="str">
            <v>LUC-LABEL-13x13</v>
          </cell>
          <cell r="F22501" t="str">
            <v>00001621</v>
          </cell>
        </row>
        <row r="22502">
          <cell r="E22502" t="str">
            <v>LUC-LABEL-25X25</v>
          </cell>
          <cell r="F22502" t="str">
            <v>00001621</v>
          </cell>
        </row>
        <row r="22503">
          <cell r="E22503" t="str">
            <v>LUC-LABEL-50x15</v>
          </cell>
          <cell r="F22503" t="str">
            <v>00001621</v>
          </cell>
        </row>
        <row r="22504">
          <cell r="E22504" t="str">
            <v>LUC-LABEL-20x10</v>
          </cell>
          <cell r="F22504" t="str">
            <v>00001621</v>
          </cell>
        </row>
        <row r="22505">
          <cell r="E22505" t="str">
            <v>LUC-LABEL-13X6.5</v>
          </cell>
          <cell r="F22505" t="str">
            <v>00001621</v>
          </cell>
        </row>
        <row r="22506">
          <cell r="E22506" t="str">
            <v>LUC-LABEL-60X40-V</v>
          </cell>
          <cell r="F22506" t="str">
            <v>00001621</v>
          </cell>
        </row>
        <row r="22507">
          <cell r="E22507" t="str">
            <v>LUC-186-001786</v>
          </cell>
          <cell r="F22507" t="str">
            <v>00001621</v>
          </cell>
        </row>
        <row r="22508">
          <cell r="E22508" t="str">
            <v>PUR-33-0025-00</v>
          </cell>
          <cell r="F22508" t="str">
            <v>00001621</v>
          </cell>
        </row>
        <row r="22509">
          <cell r="E22509" t="str">
            <v>LUC-186-001796</v>
          </cell>
          <cell r="F22509" t="str">
            <v>00001621</v>
          </cell>
        </row>
        <row r="22510">
          <cell r="E22510" t="str">
            <v>HLOB-33-0018-00</v>
          </cell>
          <cell r="F22510" t="str">
            <v>00001621</v>
          </cell>
        </row>
        <row r="22511">
          <cell r="E22511" t="str">
            <v>LUC-P11-K33N00-00</v>
          </cell>
          <cell r="F22511">
            <v>885639950452</v>
          </cell>
        </row>
        <row r="22512">
          <cell r="E22512" t="str">
            <v>LUC-P11-JA3200-00</v>
          </cell>
          <cell r="F22512">
            <v>885639950452</v>
          </cell>
        </row>
        <row r="22513">
          <cell r="E22513" t="str">
            <v>LUC-EZZ-690942-00</v>
          </cell>
          <cell r="F22513">
            <v>4110330405</v>
          </cell>
        </row>
        <row r="22514">
          <cell r="E22514" t="str">
            <v>LUC-EZZ-690942-00</v>
          </cell>
          <cell r="F22514">
            <v>4110330406</v>
          </cell>
        </row>
        <row r="22515">
          <cell r="E22515" t="str">
            <v>LUC-EZZ-690942-00</v>
          </cell>
          <cell r="F22515">
            <v>4110330406</v>
          </cell>
        </row>
        <row r="22516">
          <cell r="E22516" t="str">
            <v>LUC-EZZ-690942-00</v>
          </cell>
          <cell r="F22516">
            <v>4110330406</v>
          </cell>
        </row>
        <row r="22517">
          <cell r="E22517" t="str">
            <v>LUC-EZZ-690942-00</v>
          </cell>
          <cell r="F22517">
            <v>4110330407</v>
          </cell>
        </row>
        <row r="22518">
          <cell r="E22518" t="str">
            <v>141-001584</v>
          </cell>
          <cell r="F22518">
            <v>885639862280</v>
          </cell>
        </row>
        <row r="22519">
          <cell r="E22519" t="str">
            <v>LUC-E00-400010-037</v>
          </cell>
          <cell r="F22519">
            <v>9521419353</v>
          </cell>
        </row>
        <row r="22520">
          <cell r="E22520" t="str">
            <v>LUC-P21-K3AB00-00</v>
          </cell>
          <cell r="F22520" t="str">
            <v>AS259083</v>
          </cell>
        </row>
        <row r="22521">
          <cell r="E22521" t="str">
            <v>LUC-P21-K3AB00-00</v>
          </cell>
          <cell r="F22521" t="str">
            <v>AS259083</v>
          </cell>
        </row>
        <row r="22522">
          <cell r="E22522" t="str">
            <v>LUC-P21-K3AT00-00</v>
          </cell>
          <cell r="F22522" t="str">
            <v>AS259083</v>
          </cell>
        </row>
        <row r="22523">
          <cell r="E22523" t="str">
            <v>LUC-P21-K3AT00-00</v>
          </cell>
          <cell r="F22523" t="str">
            <v>AS259083</v>
          </cell>
        </row>
        <row r="22524">
          <cell r="E22524" t="str">
            <v>LUC-E00-510029-00</v>
          </cell>
          <cell r="F22524" t="str">
            <v>1ZG2B4810403266549</v>
          </cell>
        </row>
        <row r="22525">
          <cell r="E22525" t="str">
            <v>HLOB-27-0028-00</v>
          </cell>
          <cell r="F22525">
            <v>9521417393</v>
          </cell>
        </row>
        <row r="22526">
          <cell r="E22526" t="str">
            <v>LUC-EZZ-420536-00</v>
          </cell>
          <cell r="F22526">
            <v>9521417393</v>
          </cell>
        </row>
        <row r="22527">
          <cell r="E22527" t="str">
            <v>PUR-27-0028-00</v>
          </cell>
          <cell r="F22527">
            <v>9521417393</v>
          </cell>
        </row>
        <row r="22528">
          <cell r="E22528" t="str">
            <v>PUR-27-0028-00</v>
          </cell>
          <cell r="F22528">
            <v>9521417393</v>
          </cell>
        </row>
        <row r="22529">
          <cell r="E22529" t="str">
            <v>HLOB-27-0028-00</v>
          </cell>
          <cell r="F22529">
            <v>9521417393</v>
          </cell>
        </row>
        <row r="22530">
          <cell r="E22530" t="str">
            <v>LUC-E00-510029-00</v>
          </cell>
          <cell r="F22530">
            <v>9521417393</v>
          </cell>
        </row>
        <row r="22531">
          <cell r="E22531" t="str">
            <v>LUC-E00-420049-01</v>
          </cell>
          <cell r="F22531">
            <v>9521417393</v>
          </cell>
        </row>
        <row r="22532">
          <cell r="E22532" t="str">
            <v>LUC-E00-420038-01</v>
          </cell>
          <cell r="F22532">
            <v>9521417393</v>
          </cell>
        </row>
        <row r="22533">
          <cell r="E22533" t="str">
            <v>LUC-EZZ-400736-00</v>
          </cell>
          <cell r="F22533">
            <v>9521417393</v>
          </cell>
        </row>
        <row r="22534">
          <cell r="E22534" t="str">
            <v>LUC-EZZ-420189-00</v>
          </cell>
          <cell r="F22534">
            <v>9521417393</v>
          </cell>
        </row>
        <row r="22535">
          <cell r="E22535" t="str">
            <v>LUC-EZZ-400194-00</v>
          </cell>
          <cell r="F22535">
            <v>9521417393</v>
          </cell>
        </row>
        <row r="22536">
          <cell r="E22536" t="str">
            <v>HLOB-13-0262-00</v>
          </cell>
          <cell r="F22536">
            <v>9521417393</v>
          </cell>
        </row>
        <row r="22537">
          <cell r="E22537" t="str">
            <v>LUC-EZZ-400289-00</v>
          </cell>
          <cell r="F22537">
            <v>9521417393</v>
          </cell>
        </row>
        <row r="22538">
          <cell r="E22538" t="str">
            <v>LUC-E00-400059-004</v>
          </cell>
          <cell r="F22538">
            <v>9521417393</v>
          </cell>
        </row>
        <row r="22539">
          <cell r="E22539" t="str">
            <v>LUC-E00-510021-00</v>
          </cell>
          <cell r="F22539">
            <v>5616689573</v>
          </cell>
        </row>
        <row r="22540">
          <cell r="E22540" t="str">
            <v>LUC-EZZ-450177-00</v>
          </cell>
          <cell r="F22540">
            <v>5616689573</v>
          </cell>
        </row>
        <row r="22541">
          <cell r="E22541" t="str">
            <v>LUC-E00-460023-00</v>
          </cell>
          <cell r="F22541">
            <v>5616689573</v>
          </cell>
        </row>
        <row r="22542">
          <cell r="E22542" t="str">
            <v>LUC-E00-460023-00</v>
          </cell>
          <cell r="F22542">
            <v>5616689573</v>
          </cell>
        </row>
        <row r="22543">
          <cell r="E22543" t="str">
            <v>LUC-E00-460023-00</v>
          </cell>
          <cell r="F22543">
            <v>5616689573</v>
          </cell>
        </row>
        <row r="22544">
          <cell r="E22544" t="str">
            <v>LUC-EZZ-420219-00</v>
          </cell>
          <cell r="F22544">
            <v>5616689573</v>
          </cell>
        </row>
        <row r="22545">
          <cell r="E22545" t="str">
            <v>LUC-EZZ-400466-00</v>
          </cell>
          <cell r="F22545">
            <v>5616689573</v>
          </cell>
        </row>
        <row r="22546">
          <cell r="E22546" t="str">
            <v>LUC-EZZ-420094-00</v>
          </cell>
          <cell r="F22546">
            <v>5616689573</v>
          </cell>
        </row>
        <row r="22547">
          <cell r="E22547" t="str">
            <v>LUC-EZZ-420094-00</v>
          </cell>
          <cell r="F22547">
            <v>5616689573</v>
          </cell>
        </row>
        <row r="22548">
          <cell r="E22548" t="str">
            <v>LUC-EZZ-420094-00</v>
          </cell>
          <cell r="F22548">
            <v>5616689573</v>
          </cell>
        </row>
        <row r="22549">
          <cell r="E22549" t="str">
            <v>LUC-EZZ-420094-00</v>
          </cell>
          <cell r="F22549">
            <v>5616689573</v>
          </cell>
        </row>
        <row r="22550">
          <cell r="E22550" t="str">
            <v>LUC-EZZ-420094-00</v>
          </cell>
          <cell r="F22550">
            <v>5616689573</v>
          </cell>
        </row>
        <row r="22551">
          <cell r="E22551" t="str">
            <v>LUC-EZZ-420094-00</v>
          </cell>
          <cell r="F22551">
            <v>5616689573</v>
          </cell>
        </row>
        <row r="22552">
          <cell r="E22552" t="str">
            <v>LUC-E00-400010-037</v>
          </cell>
          <cell r="F22552">
            <v>5616689573</v>
          </cell>
        </row>
        <row r="22553">
          <cell r="E22553" t="str">
            <v>LUC-E00-400010-037</v>
          </cell>
          <cell r="F22553">
            <v>5616689573</v>
          </cell>
        </row>
        <row r="22554">
          <cell r="E22554" t="str">
            <v>LUC-E00-400010-037</v>
          </cell>
          <cell r="F22554">
            <v>5616689573</v>
          </cell>
        </row>
        <row r="22555">
          <cell r="E22555" t="str">
            <v>LUC-E00-400010-037</v>
          </cell>
          <cell r="F22555">
            <v>5616689573</v>
          </cell>
        </row>
        <row r="22556">
          <cell r="E22556" t="str">
            <v>LUC-E00-400010-007</v>
          </cell>
          <cell r="F22556">
            <v>5616689573</v>
          </cell>
        </row>
        <row r="22557">
          <cell r="E22557" t="str">
            <v>LUC-E00-400010-007</v>
          </cell>
          <cell r="F22557">
            <v>5616689573</v>
          </cell>
        </row>
        <row r="22558">
          <cell r="E22558" t="str">
            <v>LUC-EZZ-400243-00</v>
          </cell>
          <cell r="F22558">
            <v>5616689573</v>
          </cell>
        </row>
        <row r="22559">
          <cell r="E22559" t="str">
            <v>LUC-EZZ-440206-00</v>
          </cell>
          <cell r="F22559">
            <v>5616689573</v>
          </cell>
        </row>
        <row r="22560">
          <cell r="E22560" t="str">
            <v>LUC-E00-460023-00</v>
          </cell>
          <cell r="F22560">
            <v>5616689573</v>
          </cell>
        </row>
        <row r="22561">
          <cell r="E22561" t="str">
            <v>LUC-E00-400067-263</v>
          </cell>
          <cell r="F22561">
            <v>5616689573</v>
          </cell>
        </row>
        <row r="22562">
          <cell r="E22562" t="str">
            <v>LUC-E00-400010-037</v>
          </cell>
          <cell r="F22562">
            <v>5616689573</v>
          </cell>
        </row>
        <row r="22563">
          <cell r="E22563" t="str">
            <v>LUC-E00-400010-037</v>
          </cell>
          <cell r="F22563">
            <v>5616689573</v>
          </cell>
        </row>
        <row r="22564">
          <cell r="E22564" t="str">
            <v>LUC-E00-510061-01</v>
          </cell>
          <cell r="F22564">
            <v>5616689573</v>
          </cell>
        </row>
        <row r="22565">
          <cell r="E22565" t="str">
            <v>LUC-E00-420027-05</v>
          </cell>
          <cell r="F22565">
            <v>5616689573</v>
          </cell>
        </row>
        <row r="22566">
          <cell r="E22566" t="str">
            <v>LUC-EZZ-470136-00</v>
          </cell>
          <cell r="F22566">
            <v>5616689573</v>
          </cell>
        </row>
        <row r="22567">
          <cell r="E22567" t="str">
            <v>LUC-E00-470047-00</v>
          </cell>
          <cell r="F22567">
            <v>5616689573</v>
          </cell>
        </row>
        <row r="22568">
          <cell r="E22568" t="str">
            <v>LUC-E00-440097-00</v>
          </cell>
          <cell r="F22568">
            <v>5616689573</v>
          </cell>
        </row>
        <row r="22569">
          <cell r="E22569" t="str">
            <v>LUC-E00-460001-01</v>
          </cell>
          <cell r="F22569">
            <v>5616689573</v>
          </cell>
        </row>
        <row r="22570">
          <cell r="E22570" t="str">
            <v>LUC-E00-460001-01</v>
          </cell>
          <cell r="F22570">
            <v>5616689573</v>
          </cell>
        </row>
        <row r="22571">
          <cell r="E22571" t="str">
            <v>LUC-E00-460001-01</v>
          </cell>
          <cell r="F22571">
            <v>5616689573</v>
          </cell>
        </row>
        <row r="22572">
          <cell r="E22572" t="str">
            <v>LUC-E00-420027-05</v>
          </cell>
          <cell r="F22572">
            <v>5616689573</v>
          </cell>
        </row>
        <row r="22573">
          <cell r="E22573" t="str">
            <v>LUC-E00-470087-00</v>
          </cell>
          <cell r="F22573">
            <v>5616689573</v>
          </cell>
        </row>
        <row r="22574">
          <cell r="E22574" t="str">
            <v>LUC-EZZ-420352-00</v>
          </cell>
          <cell r="F22574">
            <v>5616689573</v>
          </cell>
        </row>
        <row r="22575">
          <cell r="E22575" t="str">
            <v>LUC-EZZ-470152-02</v>
          </cell>
          <cell r="F22575">
            <v>5616689573</v>
          </cell>
        </row>
        <row r="22576">
          <cell r="E22576" t="str">
            <v>LUC-E00-420076-00</v>
          </cell>
          <cell r="F22576">
            <v>5616689573</v>
          </cell>
        </row>
        <row r="22577">
          <cell r="E22577" t="str">
            <v>LUC-E00-420116-01</v>
          </cell>
          <cell r="F22577">
            <v>5616689573</v>
          </cell>
        </row>
        <row r="22578">
          <cell r="E22578" t="str">
            <v>LUC-EZZ-470961-00</v>
          </cell>
          <cell r="F22578">
            <v>5616689573</v>
          </cell>
        </row>
        <row r="22579">
          <cell r="E22579" t="str">
            <v>LUC-EZZ-421706-00</v>
          </cell>
          <cell r="F22579">
            <v>5616689573</v>
          </cell>
        </row>
        <row r="22580">
          <cell r="E22580" t="str">
            <v>LUC-EZZ-421706-00</v>
          </cell>
          <cell r="F22580">
            <v>5616689573</v>
          </cell>
        </row>
        <row r="22581">
          <cell r="E22581" t="str">
            <v>LUC-EZZ-421706-00</v>
          </cell>
          <cell r="F22581">
            <v>5616689573</v>
          </cell>
        </row>
        <row r="22582">
          <cell r="E22582" t="str">
            <v>LUC-EZZ-421706-00</v>
          </cell>
          <cell r="F22582">
            <v>5616689573</v>
          </cell>
        </row>
        <row r="22583">
          <cell r="E22583" t="str">
            <v>LUC-EZZ-420331-00</v>
          </cell>
          <cell r="F22583">
            <v>5616689573</v>
          </cell>
        </row>
        <row r="22584">
          <cell r="E22584" t="str">
            <v>LUC-EZZ-470136-00</v>
          </cell>
          <cell r="F22584">
            <v>5616689573</v>
          </cell>
        </row>
        <row r="22585">
          <cell r="E22585" t="str">
            <v>LUC-EZZ-470245-00</v>
          </cell>
          <cell r="F22585">
            <v>5616689573</v>
          </cell>
        </row>
        <row r="22586">
          <cell r="E22586" t="str">
            <v>LUC-EZZ-470152-00</v>
          </cell>
          <cell r="F22586">
            <v>5616689573</v>
          </cell>
        </row>
        <row r="22587">
          <cell r="E22587" t="str">
            <v>LUC-E00-420171-00</v>
          </cell>
          <cell r="F22587">
            <v>5616689573</v>
          </cell>
        </row>
        <row r="22588">
          <cell r="E22588" t="str">
            <v>LUC-EZZ-420352-00</v>
          </cell>
          <cell r="F22588">
            <v>5616689573</v>
          </cell>
        </row>
        <row r="22589">
          <cell r="E22589" t="str">
            <v>LUC-EZZ-471023-00</v>
          </cell>
          <cell r="F22589">
            <v>5616689573</v>
          </cell>
        </row>
        <row r="22590">
          <cell r="E22590" t="str">
            <v>LUC-E00-470173-00</v>
          </cell>
          <cell r="F22590">
            <v>5616689573</v>
          </cell>
        </row>
        <row r="22591">
          <cell r="E22591" t="str">
            <v>LUC-EZZ-440169-00</v>
          </cell>
          <cell r="F22591">
            <v>5616689573</v>
          </cell>
        </row>
        <row r="22592">
          <cell r="E22592" t="str">
            <v>LUC-EZZ-400606-00</v>
          </cell>
          <cell r="F22592">
            <v>5616689573</v>
          </cell>
        </row>
        <row r="22593">
          <cell r="E22593" t="str">
            <v>LUC-EZZ-470155-00</v>
          </cell>
          <cell r="F22593">
            <v>5616689573</v>
          </cell>
        </row>
        <row r="22594">
          <cell r="E22594" t="str">
            <v>LUC-EZZ-470155-00</v>
          </cell>
          <cell r="F22594">
            <v>5616689573</v>
          </cell>
        </row>
        <row r="22595">
          <cell r="E22595" t="str">
            <v>LUC-EZZ-470155-00</v>
          </cell>
          <cell r="F22595">
            <v>5616689573</v>
          </cell>
        </row>
        <row r="22596">
          <cell r="E22596" t="str">
            <v>LUC-EZZ-470155-00</v>
          </cell>
          <cell r="F22596">
            <v>5616689573</v>
          </cell>
        </row>
        <row r="22597">
          <cell r="E22597" t="str">
            <v>LUC-EZZ-510638-00</v>
          </cell>
          <cell r="F22597">
            <v>5616689573</v>
          </cell>
        </row>
        <row r="22598">
          <cell r="E22598" t="str">
            <v>LUC-EZZ-450113-00</v>
          </cell>
          <cell r="F22598">
            <v>5616689573</v>
          </cell>
        </row>
        <row r="22599">
          <cell r="E22599" t="str">
            <v>LUC-E00-470361-00</v>
          </cell>
          <cell r="F22599">
            <v>5616689573</v>
          </cell>
        </row>
        <row r="22600">
          <cell r="E22600" t="str">
            <v>LUC-E00-510030-00</v>
          </cell>
          <cell r="F22600">
            <v>5616689573</v>
          </cell>
        </row>
        <row r="22601">
          <cell r="E22601" t="str">
            <v>LUC-EZZ-510023-00</v>
          </cell>
          <cell r="F22601">
            <v>5616689573</v>
          </cell>
        </row>
        <row r="22602">
          <cell r="E22602" t="str">
            <v>LUC-E00-440028-00</v>
          </cell>
          <cell r="F22602">
            <v>5616689573</v>
          </cell>
        </row>
        <row r="22603">
          <cell r="E22603" t="str">
            <v>LUC-E00-440028-00</v>
          </cell>
          <cell r="F22603">
            <v>5616689573</v>
          </cell>
        </row>
        <row r="22604">
          <cell r="E22604" t="str">
            <v>LUC-E00-450075-00</v>
          </cell>
          <cell r="F22604">
            <v>5616689573</v>
          </cell>
        </row>
        <row r="22605">
          <cell r="E22605" t="str">
            <v>LUC-EZZ-420352-00</v>
          </cell>
          <cell r="F22605">
            <v>5616689573</v>
          </cell>
        </row>
        <row r="22606">
          <cell r="E22606" t="str">
            <v>LUC-EZZ-510061-00</v>
          </cell>
          <cell r="F22606">
            <v>5616689573</v>
          </cell>
        </row>
        <row r="22607">
          <cell r="E22607" t="str">
            <v>LUC-EZZ-510061-00</v>
          </cell>
          <cell r="F22607">
            <v>5616689573</v>
          </cell>
        </row>
        <row r="22608">
          <cell r="E22608" t="str">
            <v>LUC-EZZ-420002-00</v>
          </cell>
          <cell r="F22608">
            <v>5616689573</v>
          </cell>
        </row>
        <row r="22609">
          <cell r="E22609" t="str">
            <v>LUC-EZZ-470136-00</v>
          </cell>
          <cell r="F22609">
            <v>5616689573</v>
          </cell>
        </row>
        <row r="22610">
          <cell r="E22610" t="str">
            <v>LUC-EZZ-420013-00</v>
          </cell>
          <cell r="F22610">
            <v>5616689573</v>
          </cell>
        </row>
        <row r="22611">
          <cell r="E22611" t="str">
            <v>LUC-EZZ-470152-02</v>
          </cell>
          <cell r="F22611">
            <v>5616689573</v>
          </cell>
        </row>
        <row r="22612">
          <cell r="E22612" t="str">
            <v>LUC-E00-690020-00</v>
          </cell>
          <cell r="F22612">
            <v>5616689573</v>
          </cell>
        </row>
        <row r="22613">
          <cell r="E22613" t="str">
            <v>LUC-EZZ-470153-00</v>
          </cell>
          <cell r="F22613">
            <v>5616689573</v>
          </cell>
        </row>
        <row r="22614">
          <cell r="E22614" t="str">
            <v>LUC-E00-460023-00</v>
          </cell>
          <cell r="F22614">
            <v>5616689573</v>
          </cell>
        </row>
        <row r="22615">
          <cell r="E22615" t="str">
            <v>LUC-E00-400056-01</v>
          </cell>
          <cell r="F22615">
            <v>5616689573</v>
          </cell>
        </row>
        <row r="22616">
          <cell r="E22616" t="str">
            <v>LUC-E00-400056-01</v>
          </cell>
          <cell r="F22616">
            <v>5616689573</v>
          </cell>
        </row>
        <row r="22617">
          <cell r="E22617" t="str">
            <v>LUC-E00-440028-00</v>
          </cell>
          <cell r="F22617">
            <v>5616689573</v>
          </cell>
        </row>
        <row r="22618">
          <cell r="E22618" t="str">
            <v>LUC-E00-440026-00</v>
          </cell>
          <cell r="F22618">
            <v>5616689573</v>
          </cell>
        </row>
        <row r="22619">
          <cell r="E22619" t="str">
            <v>LUC-E00-440026-00</v>
          </cell>
          <cell r="F22619">
            <v>5616689573</v>
          </cell>
        </row>
        <row r="22620">
          <cell r="E22620" t="str">
            <v>LUC-E00-440026-00</v>
          </cell>
          <cell r="F22620">
            <v>5616689573</v>
          </cell>
        </row>
        <row r="22621">
          <cell r="E22621" t="str">
            <v>LUC-E00-440026-00</v>
          </cell>
          <cell r="F22621">
            <v>5616689573</v>
          </cell>
        </row>
        <row r="22622">
          <cell r="E22622" t="str">
            <v>LUC-E00-510015-00</v>
          </cell>
          <cell r="F22622">
            <v>5616689573</v>
          </cell>
        </row>
        <row r="22623">
          <cell r="E22623" t="str">
            <v>LUC-EZZ-440176-00</v>
          </cell>
          <cell r="F22623">
            <v>5616689573</v>
          </cell>
        </row>
        <row r="22624">
          <cell r="E22624" t="str">
            <v>LUC-E00-420037-09</v>
          </cell>
          <cell r="F22624">
            <v>5616689573</v>
          </cell>
        </row>
        <row r="22625">
          <cell r="E22625" t="str">
            <v>EF-45077523.X.X</v>
          </cell>
          <cell r="F22625">
            <v>5616689573</v>
          </cell>
        </row>
        <row r="22626">
          <cell r="E22626" t="str">
            <v>EF-45077523.X.X</v>
          </cell>
          <cell r="F22626">
            <v>5616689573</v>
          </cell>
        </row>
        <row r="22627">
          <cell r="E22627" t="str">
            <v>LUC-EZZ-420261-00</v>
          </cell>
          <cell r="F22627">
            <v>5616689573</v>
          </cell>
        </row>
        <row r="22628">
          <cell r="E22628" t="str">
            <v>LUC-E00-510021-00</v>
          </cell>
          <cell r="F22628">
            <v>5616689573</v>
          </cell>
        </row>
        <row r="22629">
          <cell r="E22629" t="str">
            <v>LUC-EZZ-400213-00</v>
          </cell>
          <cell r="F22629">
            <v>5616689573</v>
          </cell>
        </row>
        <row r="22630">
          <cell r="E22630" t="str">
            <v>LUC-E00-510021-00</v>
          </cell>
          <cell r="F22630">
            <v>5616689573</v>
          </cell>
        </row>
        <row r="22631">
          <cell r="E22631" t="str">
            <v>LUC-E00-450030-00</v>
          </cell>
          <cell r="F22631">
            <v>5616689573</v>
          </cell>
        </row>
        <row r="22632">
          <cell r="E22632" t="str">
            <v>LUC-E00-450030-00</v>
          </cell>
          <cell r="F22632">
            <v>5616689573</v>
          </cell>
        </row>
        <row r="22633">
          <cell r="E22633" t="str">
            <v>LUC-E00-400010-010</v>
          </cell>
          <cell r="F22633">
            <v>5616689573</v>
          </cell>
        </row>
        <row r="22634">
          <cell r="E22634" t="str">
            <v>LUC-E00-400010-010</v>
          </cell>
          <cell r="F22634">
            <v>5616689573</v>
          </cell>
        </row>
        <row r="22635">
          <cell r="E22635" t="str">
            <v>LUC-EZZ-420094-00</v>
          </cell>
          <cell r="F22635">
            <v>5616689573</v>
          </cell>
        </row>
        <row r="22636">
          <cell r="E22636" t="str">
            <v>LUC-EZZ-400542-00</v>
          </cell>
          <cell r="F22636">
            <v>5616689573</v>
          </cell>
        </row>
        <row r="22637">
          <cell r="E22637" t="str">
            <v>LUC-EZZ-400606-00</v>
          </cell>
          <cell r="F22637">
            <v>5616689573</v>
          </cell>
        </row>
        <row r="22638">
          <cell r="E22638" t="str">
            <v>LUC-E00-400010-018</v>
          </cell>
          <cell r="F22638">
            <v>5616689573</v>
          </cell>
        </row>
        <row r="22639">
          <cell r="E22639" t="str">
            <v>LUC-E00-400010-018</v>
          </cell>
          <cell r="F22639">
            <v>5616689573</v>
          </cell>
        </row>
        <row r="22640">
          <cell r="E22640" t="str">
            <v>LUC-EZZ-400334-00</v>
          </cell>
          <cell r="F22640">
            <v>5616689573</v>
          </cell>
        </row>
        <row r="22641">
          <cell r="E22641" t="str">
            <v>LUC-EZZ-400606-00</v>
          </cell>
          <cell r="F22641">
            <v>5616689573</v>
          </cell>
        </row>
        <row r="22642">
          <cell r="E22642" t="str">
            <v>LUC-EZZ-400606-00</v>
          </cell>
          <cell r="F22642">
            <v>5616689573</v>
          </cell>
        </row>
        <row r="22643">
          <cell r="E22643" t="str">
            <v>LUC-EZZ-400334-00</v>
          </cell>
          <cell r="F22643">
            <v>5616689573</v>
          </cell>
        </row>
        <row r="22644">
          <cell r="E22644" t="str">
            <v>LUC-EZZ-440206-00</v>
          </cell>
          <cell r="F22644">
            <v>5616689573</v>
          </cell>
        </row>
        <row r="22645">
          <cell r="E22645" t="str">
            <v>LUC-E00-400010-008</v>
          </cell>
          <cell r="F22645">
            <v>5616689573</v>
          </cell>
        </row>
        <row r="22646">
          <cell r="E22646" t="str">
            <v>LUC-E00-400010-008</v>
          </cell>
          <cell r="F22646">
            <v>5616689573</v>
          </cell>
        </row>
        <row r="22647">
          <cell r="E22647" t="str">
            <v>LUC-E00-400010-008</v>
          </cell>
          <cell r="F22647">
            <v>5616689573</v>
          </cell>
        </row>
        <row r="22648">
          <cell r="E22648" t="str">
            <v>LUC-EZZ-420089-00</v>
          </cell>
          <cell r="F22648">
            <v>5616689573</v>
          </cell>
        </row>
        <row r="22649">
          <cell r="E22649" t="str">
            <v>LUC-EZZ-400218-00</v>
          </cell>
          <cell r="F22649">
            <v>5616689573</v>
          </cell>
        </row>
        <row r="22650">
          <cell r="E22650" t="str">
            <v>LUC-EZZ-400411-00</v>
          </cell>
          <cell r="F22650">
            <v>5616689573</v>
          </cell>
        </row>
        <row r="22651">
          <cell r="E22651" t="str">
            <v>LUC-E00-400010-008</v>
          </cell>
          <cell r="F22651">
            <v>5616689573</v>
          </cell>
        </row>
        <row r="22652">
          <cell r="E22652" t="str">
            <v>LUC-E00-400010-007</v>
          </cell>
          <cell r="F22652">
            <v>5616689573</v>
          </cell>
        </row>
        <row r="22653">
          <cell r="E22653" t="str">
            <v>LUC-E00-400010-008</v>
          </cell>
          <cell r="F22653">
            <v>5616689573</v>
          </cell>
        </row>
        <row r="22654">
          <cell r="E22654" t="str">
            <v>LUC-E00-400010-008</v>
          </cell>
          <cell r="F22654">
            <v>5616689573</v>
          </cell>
        </row>
        <row r="22655">
          <cell r="E22655" t="str">
            <v>LUC-E00-400010-008</v>
          </cell>
          <cell r="F22655">
            <v>5616689573</v>
          </cell>
        </row>
        <row r="22656">
          <cell r="E22656" t="str">
            <v>LUC-E00-400010-008</v>
          </cell>
          <cell r="F22656">
            <v>5616689573</v>
          </cell>
        </row>
        <row r="22657">
          <cell r="E22657" t="str">
            <v>LUC-EZZ-400411-00</v>
          </cell>
          <cell r="F22657">
            <v>5616689573</v>
          </cell>
        </row>
        <row r="22658">
          <cell r="E22658" t="str">
            <v>LUC-EZZ-400204-00</v>
          </cell>
          <cell r="F22658">
            <v>5616689573</v>
          </cell>
        </row>
        <row r="22659">
          <cell r="E22659" t="str">
            <v>LUC-EZZ-400411-00</v>
          </cell>
          <cell r="F22659">
            <v>5616689573</v>
          </cell>
        </row>
        <row r="22660">
          <cell r="E22660" t="str">
            <v>LUC-EZZ-400218-00</v>
          </cell>
          <cell r="F22660">
            <v>5616689573</v>
          </cell>
        </row>
        <row r="22661">
          <cell r="E22661" t="str">
            <v>LUC-EZZ-400259-00</v>
          </cell>
          <cell r="F22661">
            <v>5616689573</v>
          </cell>
        </row>
        <row r="22662">
          <cell r="E22662" t="str">
            <v>LUC-EZZ-400259-00</v>
          </cell>
          <cell r="F22662">
            <v>5616689573</v>
          </cell>
        </row>
        <row r="22663">
          <cell r="E22663" t="str">
            <v>LUC-EZZ-400414-00</v>
          </cell>
          <cell r="F22663">
            <v>5616689573</v>
          </cell>
        </row>
        <row r="22664">
          <cell r="E22664" t="str">
            <v>LUC-EZZ-400414-00</v>
          </cell>
          <cell r="F22664">
            <v>5616689573</v>
          </cell>
        </row>
        <row r="22665">
          <cell r="E22665" t="str">
            <v>LUC-E00-400010-007</v>
          </cell>
          <cell r="F22665">
            <v>5616689573</v>
          </cell>
        </row>
        <row r="22666">
          <cell r="E22666" t="str">
            <v>LUC-E00-400010-007</v>
          </cell>
          <cell r="F22666">
            <v>5616689573</v>
          </cell>
        </row>
        <row r="22667">
          <cell r="E22667" t="str">
            <v>LUC-E00-400010-007</v>
          </cell>
          <cell r="F22667">
            <v>5616689573</v>
          </cell>
        </row>
        <row r="22668">
          <cell r="E22668" t="str">
            <v>LUC-EZZ-400543-00</v>
          </cell>
          <cell r="F22668">
            <v>5616689573</v>
          </cell>
        </row>
        <row r="22669">
          <cell r="E22669" t="str">
            <v>LUC-EZZ-420002-00</v>
          </cell>
          <cell r="F22669">
            <v>5616689573</v>
          </cell>
        </row>
        <row r="22670">
          <cell r="E22670" t="str">
            <v>LUC-E00-420037-04</v>
          </cell>
          <cell r="F22670">
            <v>5616689573</v>
          </cell>
        </row>
        <row r="22671">
          <cell r="E22671" t="str">
            <v>LUC-E00-460038-00</v>
          </cell>
          <cell r="F22671">
            <v>5616689573</v>
          </cell>
        </row>
        <row r="22672">
          <cell r="E22672" t="str">
            <v>LUC-EZZ-440176-00</v>
          </cell>
          <cell r="F22672">
            <v>5616689573</v>
          </cell>
        </row>
        <row r="22673">
          <cell r="E22673" t="str">
            <v>LUC-EZZ-440176-00</v>
          </cell>
          <cell r="F22673">
            <v>5616689573</v>
          </cell>
        </row>
        <row r="22674">
          <cell r="E22674" t="str">
            <v>LUC-E00-440029-00</v>
          </cell>
          <cell r="F22674">
            <v>5616689573</v>
          </cell>
        </row>
        <row r="22675">
          <cell r="E22675" t="str">
            <v>LUC-E00-450046-00</v>
          </cell>
          <cell r="F22675">
            <v>5616689573</v>
          </cell>
        </row>
        <row r="22676">
          <cell r="E22676" t="str">
            <v>LUC-E00-420002-10</v>
          </cell>
          <cell r="F22676">
            <v>5616689573</v>
          </cell>
        </row>
        <row r="22677">
          <cell r="E22677" t="str">
            <v>LUC-E00-510030-00</v>
          </cell>
          <cell r="F22677">
            <v>5616689573</v>
          </cell>
        </row>
        <row r="22678">
          <cell r="E22678" t="str">
            <v>LUC-E00-510017-00</v>
          </cell>
          <cell r="F22678">
            <v>5616689573</v>
          </cell>
        </row>
        <row r="22679">
          <cell r="E22679" t="str">
            <v>LUC-EZZ-420121-00</v>
          </cell>
          <cell r="F22679">
            <v>5616689573</v>
          </cell>
        </row>
        <row r="22680">
          <cell r="E22680" t="str">
            <v>LUC-E00-440047-00</v>
          </cell>
          <cell r="F22680">
            <v>5616689573</v>
          </cell>
        </row>
        <row r="22681">
          <cell r="E22681" t="str">
            <v>LUC-E00-470361-00</v>
          </cell>
          <cell r="F22681">
            <v>5616689573</v>
          </cell>
        </row>
        <row r="22682">
          <cell r="E22682" t="str">
            <v>LUC-E00-470087-00</v>
          </cell>
          <cell r="F22682">
            <v>5616689573</v>
          </cell>
        </row>
        <row r="22683">
          <cell r="E22683" t="str">
            <v>LUC-EZZ-460737-00</v>
          </cell>
          <cell r="F22683">
            <v>5616689573</v>
          </cell>
        </row>
        <row r="22684">
          <cell r="E22684" t="str">
            <v>LUC-E00-510041-00</v>
          </cell>
          <cell r="F22684">
            <v>5616689573</v>
          </cell>
        </row>
        <row r="22685">
          <cell r="E22685" t="str">
            <v>PURET-24-0008-00</v>
          </cell>
          <cell r="F22685">
            <v>5616689573</v>
          </cell>
        </row>
        <row r="22686">
          <cell r="E22686" t="str">
            <v>PURET-24-0008-00</v>
          </cell>
          <cell r="F22686">
            <v>5616689573</v>
          </cell>
        </row>
        <row r="22687">
          <cell r="E22687" t="str">
            <v>PURET-24-0008-00</v>
          </cell>
          <cell r="F22687">
            <v>5616689573</v>
          </cell>
        </row>
        <row r="22688">
          <cell r="E22688" t="str">
            <v>LUC-E00-420171-00</v>
          </cell>
          <cell r="F22688">
            <v>5616689573</v>
          </cell>
        </row>
        <row r="22689">
          <cell r="E22689" t="str">
            <v>LUC-EZZ-400011-00</v>
          </cell>
          <cell r="F22689">
            <v>5616689573</v>
          </cell>
        </row>
        <row r="22690">
          <cell r="E22690" t="str">
            <v>LUC-E00-510093-00</v>
          </cell>
          <cell r="F22690">
            <v>5616689573</v>
          </cell>
        </row>
        <row r="22691">
          <cell r="E22691" t="str">
            <v>LUC-E00-420019-00</v>
          </cell>
          <cell r="F22691">
            <v>5616689573</v>
          </cell>
        </row>
        <row r="22692">
          <cell r="E22692" t="str">
            <v>EF-45130484</v>
          </cell>
          <cell r="F22692">
            <v>5616689573</v>
          </cell>
        </row>
        <row r="22693">
          <cell r="E22693" t="str">
            <v>LUC-E00-450041-00</v>
          </cell>
          <cell r="F22693">
            <v>5616689573</v>
          </cell>
        </row>
        <row r="22694">
          <cell r="E22694" t="str">
            <v>EF-45110875.X.X</v>
          </cell>
          <cell r="F22694">
            <v>5616689573</v>
          </cell>
        </row>
        <row r="22695">
          <cell r="E22695" t="str">
            <v>LUC-E00-480008-00</v>
          </cell>
          <cell r="F22695">
            <v>5616689573</v>
          </cell>
        </row>
        <row r="22696">
          <cell r="E22696" t="str">
            <v>LUC-EZZ-450835-00</v>
          </cell>
          <cell r="F22696">
            <v>5616689573</v>
          </cell>
        </row>
        <row r="22697">
          <cell r="E22697" t="str">
            <v>LUC-EZZ-450149-00</v>
          </cell>
          <cell r="F22697">
            <v>5616689573</v>
          </cell>
        </row>
        <row r="22698">
          <cell r="E22698" t="str">
            <v>LUC-E00-450046-00</v>
          </cell>
          <cell r="F22698">
            <v>5616689573</v>
          </cell>
        </row>
        <row r="22699">
          <cell r="E22699" t="str">
            <v>LUC-E00-450046-00</v>
          </cell>
          <cell r="F22699">
            <v>5616689573</v>
          </cell>
        </row>
        <row r="22700">
          <cell r="E22700" t="str">
            <v>LUC-E00-450046-00</v>
          </cell>
          <cell r="F22700">
            <v>5616689573</v>
          </cell>
        </row>
        <row r="22701">
          <cell r="E22701" t="str">
            <v>LUC-E00-400010-008</v>
          </cell>
          <cell r="F22701">
            <v>5616689573</v>
          </cell>
        </row>
        <row r="22702">
          <cell r="E22702" t="str">
            <v>LUC-E00-420027-04</v>
          </cell>
          <cell r="F22702">
            <v>5616689573</v>
          </cell>
        </row>
        <row r="22703">
          <cell r="E22703" t="str">
            <v>LUC-EZZ-400411-00</v>
          </cell>
          <cell r="F22703">
            <v>5616689573</v>
          </cell>
        </row>
        <row r="22704">
          <cell r="E22704" t="str">
            <v>LUC-EZZ-420398-00</v>
          </cell>
          <cell r="F22704">
            <v>5616689573</v>
          </cell>
        </row>
        <row r="22705">
          <cell r="E22705" t="str">
            <v>LUC-E00-440097-00</v>
          </cell>
          <cell r="F22705">
            <v>5616689573</v>
          </cell>
        </row>
        <row r="22706">
          <cell r="E22706" t="str">
            <v>LUC-EZZ-400194-00</v>
          </cell>
          <cell r="F22706">
            <v>5616689573</v>
          </cell>
        </row>
        <row r="22707">
          <cell r="E22707" t="str">
            <v>LUC-E00-480008-00</v>
          </cell>
          <cell r="F22707">
            <v>5616689573</v>
          </cell>
        </row>
        <row r="22708">
          <cell r="E22708" t="str">
            <v>LUC-EZZ-450108-00</v>
          </cell>
          <cell r="F22708">
            <v>5616689573</v>
          </cell>
        </row>
        <row r="22709">
          <cell r="E22709" t="str">
            <v>LUC-E00-510017-00</v>
          </cell>
          <cell r="F22709">
            <v>5616689573</v>
          </cell>
        </row>
        <row r="22710">
          <cell r="E22710" t="str">
            <v>LUC-EZZ-450108-00</v>
          </cell>
          <cell r="F22710">
            <v>5616689573</v>
          </cell>
        </row>
        <row r="22711">
          <cell r="E22711" t="str">
            <v>LUC-E00-510112-00</v>
          </cell>
          <cell r="F22711">
            <v>5616689573</v>
          </cell>
        </row>
        <row r="22712">
          <cell r="E22712" t="str">
            <v>LUC-E00-440028-00</v>
          </cell>
          <cell r="F22712">
            <v>5616689573</v>
          </cell>
        </row>
        <row r="22713">
          <cell r="E22713" t="str">
            <v>LUC-E00-440047-00</v>
          </cell>
          <cell r="F22713">
            <v>5616689573</v>
          </cell>
        </row>
        <row r="22714">
          <cell r="E22714" t="str">
            <v>LUC-E00-400056-01</v>
          </cell>
          <cell r="F22714">
            <v>5616689573</v>
          </cell>
        </row>
        <row r="22715">
          <cell r="E22715" t="str">
            <v>LUC-E00-510066-00</v>
          </cell>
          <cell r="F22715">
            <v>5616689573</v>
          </cell>
        </row>
        <row r="22716">
          <cell r="E22716" t="str">
            <v>LUC-EZZ-450113-00</v>
          </cell>
          <cell r="F22716">
            <v>5616689573</v>
          </cell>
        </row>
        <row r="22717">
          <cell r="E22717" t="str">
            <v>LUC-E00-510015-00</v>
          </cell>
          <cell r="F22717">
            <v>5616689573</v>
          </cell>
        </row>
        <row r="22718">
          <cell r="E22718" t="str">
            <v>LUC-E00-510041-00</v>
          </cell>
          <cell r="F22718">
            <v>5616689573</v>
          </cell>
        </row>
        <row r="22719">
          <cell r="E22719" t="str">
            <v>LUC-E00-510041-00</v>
          </cell>
          <cell r="F22719">
            <v>5616689573</v>
          </cell>
        </row>
        <row r="22720">
          <cell r="E22720" t="str">
            <v>LUC-E00-450041-00</v>
          </cell>
          <cell r="F22720">
            <v>5616689573</v>
          </cell>
        </row>
        <row r="22721">
          <cell r="E22721" t="str">
            <v>LUC-E00-450036-00</v>
          </cell>
          <cell r="F22721">
            <v>5616689573</v>
          </cell>
        </row>
        <row r="22722">
          <cell r="E22722" t="str">
            <v>LUC-EZZ-400245-00</v>
          </cell>
          <cell r="F22722">
            <v>5616689573</v>
          </cell>
        </row>
        <row r="22723">
          <cell r="E22723" t="str">
            <v>LUC-EZZ-520030-00</v>
          </cell>
          <cell r="F22723">
            <v>5616689573</v>
          </cell>
        </row>
        <row r="22724">
          <cell r="E22724" t="str">
            <v>LUC-E00-400011-003</v>
          </cell>
          <cell r="F22724">
            <v>5616689573</v>
          </cell>
        </row>
        <row r="22725">
          <cell r="E22725" t="str">
            <v>LUC-EZZ-470155-00</v>
          </cell>
          <cell r="F22725">
            <v>5616689573</v>
          </cell>
        </row>
        <row r="22726">
          <cell r="E22726" t="str">
            <v>LUC-EZZ-510061-00</v>
          </cell>
          <cell r="F22726">
            <v>5616689573</v>
          </cell>
        </row>
        <row r="22727">
          <cell r="E22727" t="str">
            <v>LUC-EZZ-420172-00</v>
          </cell>
          <cell r="F22727">
            <v>5616689573</v>
          </cell>
        </row>
        <row r="22728">
          <cell r="E22728" t="str">
            <v>LUC-EZZ-510053-00</v>
          </cell>
          <cell r="F22728">
            <v>5616689573</v>
          </cell>
        </row>
        <row r="22729">
          <cell r="E22729" t="str">
            <v>LUC-EZZ-440166-00</v>
          </cell>
          <cell r="F22729">
            <v>5616689573</v>
          </cell>
        </row>
        <row r="22730">
          <cell r="E22730" t="str">
            <v>LUC-EZZ-420046-00</v>
          </cell>
          <cell r="F22730">
            <v>5616689573</v>
          </cell>
        </row>
        <row r="22731">
          <cell r="E22731" t="str">
            <v>LUC-EZZ-420046-00</v>
          </cell>
          <cell r="F22731">
            <v>5616689573</v>
          </cell>
        </row>
        <row r="22732">
          <cell r="E22732" t="str">
            <v>LUC-EZZ-400228-00</v>
          </cell>
          <cell r="F22732">
            <v>5616689573</v>
          </cell>
        </row>
        <row r="22733">
          <cell r="E22733" t="str">
            <v>LUC-E00-420019-00</v>
          </cell>
          <cell r="F22733">
            <v>5616689573</v>
          </cell>
        </row>
        <row r="22734">
          <cell r="E22734" t="str">
            <v>LUC-EZZ-510070-00</v>
          </cell>
          <cell r="F22734">
            <v>5616689573</v>
          </cell>
        </row>
        <row r="22735">
          <cell r="E22735" t="str">
            <v>LUC-EZZ-420330-00</v>
          </cell>
          <cell r="F22735">
            <v>5616689573</v>
          </cell>
        </row>
        <row r="22736">
          <cell r="E22736" t="str">
            <v>LUC-E00-420045-02</v>
          </cell>
          <cell r="F22736">
            <v>5616689573</v>
          </cell>
        </row>
        <row r="22737">
          <cell r="E22737" t="str">
            <v>LUC-E00-420045-02</v>
          </cell>
          <cell r="F22737">
            <v>5616689573</v>
          </cell>
        </row>
        <row r="22738">
          <cell r="E22738" t="str">
            <v>LUC-E00-510112-00</v>
          </cell>
          <cell r="F22738">
            <v>5616689573</v>
          </cell>
        </row>
        <row r="22739">
          <cell r="E22739" t="str">
            <v>LUC-E00-510112-00</v>
          </cell>
          <cell r="F22739">
            <v>5616689573</v>
          </cell>
        </row>
        <row r="22740">
          <cell r="E22740" t="str">
            <v>LUC-EZZ-470431-00</v>
          </cell>
          <cell r="F22740">
            <v>5616689573</v>
          </cell>
        </row>
        <row r="22741">
          <cell r="E22741" t="str">
            <v>LUC-E00-510031-00</v>
          </cell>
          <cell r="F22741">
            <v>5616689573</v>
          </cell>
        </row>
        <row r="22742">
          <cell r="E22742" t="str">
            <v>LUC-E00-460008-00</v>
          </cell>
          <cell r="F22742">
            <v>5616689573</v>
          </cell>
        </row>
        <row r="22743">
          <cell r="E22743" t="str">
            <v>LUC-E00-510031-00</v>
          </cell>
          <cell r="F22743">
            <v>5616689573</v>
          </cell>
        </row>
        <row r="22744">
          <cell r="E22744" t="str">
            <v>LUC-E00-470082-00</v>
          </cell>
          <cell r="F22744">
            <v>5616689573</v>
          </cell>
        </row>
        <row r="22745">
          <cell r="E22745" t="str">
            <v>LUC-E00-450056-00</v>
          </cell>
          <cell r="F22745">
            <v>5616689573</v>
          </cell>
        </row>
        <row r="22746">
          <cell r="E22746" t="str">
            <v>LUC-E00-440097-00</v>
          </cell>
          <cell r="F22746">
            <v>5616689573</v>
          </cell>
        </row>
        <row r="22747">
          <cell r="E22747" t="str">
            <v>LUC-E00-440097-00</v>
          </cell>
          <cell r="F22747">
            <v>5616689573</v>
          </cell>
        </row>
        <row r="22748">
          <cell r="E22748" t="str">
            <v>LUC-E00-440097-00</v>
          </cell>
          <cell r="F22748">
            <v>5616689573</v>
          </cell>
        </row>
        <row r="22749">
          <cell r="E22749" t="str">
            <v>LUC-E00-470423-00</v>
          </cell>
          <cell r="F22749">
            <v>5616689573</v>
          </cell>
        </row>
        <row r="22750">
          <cell r="E22750" t="str">
            <v>LUC-E00-510041-00</v>
          </cell>
          <cell r="F22750">
            <v>5616689573</v>
          </cell>
        </row>
        <row r="22751">
          <cell r="E22751" t="str">
            <v>LUC-E00-450026-00</v>
          </cell>
          <cell r="F22751">
            <v>5616689573</v>
          </cell>
        </row>
        <row r="22752">
          <cell r="E22752" t="str">
            <v>LUC-E00-450036-00</v>
          </cell>
          <cell r="F22752">
            <v>5616689573</v>
          </cell>
        </row>
        <row r="22753">
          <cell r="E22753" t="str">
            <v>LUC-E00-450026-00</v>
          </cell>
          <cell r="F22753">
            <v>5616689573</v>
          </cell>
        </row>
        <row r="22754">
          <cell r="E22754" t="str">
            <v>LUC-E00-450026-00</v>
          </cell>
          <cell r="F22754">
            <v>5616689573</v>
          </cell>
        </row>
        <row r="22755">
          <cell r="E22755" t="str">
            <v>AIC-MP-00004280-000</v>
          </cell>
          <cell r="F22755">
            <v>5616689573</v>
          </cell>
        </row>
        <row r="22756">
          <cell r="E22756" t="str">
            <v>PUR-17-0283-02</v>
          </cell>
          <cell r="F22756" t="str">
            <v>PSHPH25A0131</v>
          </cell>
        </row>
        <row r="22757">
          <cell r="E22757" t="str">
            <v>PUR-17-0150-01</v>
          </cell>
          <cell r="F22757" t="str">
            <v>PSHPH25A0131</v>
          </cell>
        </row>
        <row r="22758">
          <cell r="E22758" t="str">
            <v>PUR-31-0101-02</v>
          </cell>
          <cell r="F22758" t="str">
            <v>PSHPH25A0131</v>
          </cell>
        </row>
        <row r="22759">
          <cell r="E22759" t="str">
            <v>PUR-31-0061-02</v>
          </cell>
          <cell r="F22759" t="str">
            <v>PSHPH25A0131</v>
          </cell>
        </row>
        <row r="22760">
          <cell r="E22760" t="str">
            <v>PUR-31-0061-02</v>
          </cell>
          <cell r="F22760" t="str">
            <v>PSHPH25A0131</v>
          </cell>
        </row>
        <row r="22761">
          <cell r="E22761" t="str">
            <v>PUR-31-0061-02</v>
          </cell>
          <cell r="F22761" t="str">
            <v>PSHPH25A0131</v>
          </cell>
        </row>
        <row r="22762">
          <cell r="E22762" t="str">
            <v>PUR-11-0104-05</v>
          </cell>
          <cell r="F22762" t="str">
            <v>PSHPH25A0136</v>
          </cell>
        </row>
        <row r="22763">
          <cell r="E22763" t="str">
            <v>HLOB-11-0104-06</v>
          </cell>
          <cell r="F22763" t="str">
            <v>PSHPH25A0136</v>
          </cell>
        </row>
        <row r="22764">
          <cell r="E22764" t="str">
            <v>PUR-11-0104-05</v>
          </cell>
          <cell r="F22764" t="str">
            <v>PSHPH25A0136</v>
          </cell>
        </row>
        <row r="22765">
          <cell r="E22765" t="str">
            <v>LUC-EZZ-510007-00</v>
          </cell>
          <cell r="F22765">
            <v>480081523441</v>
          </cell>
        </row>
        <row r="22766">
          <cell r="E22766" t="str">
            <v>LUC-EZZ-470276-00</v>
          </cell>
          <cell r="F22766">
            <v>412069773377</v>
          </cell>
        </row>
        <row r="22767">
          <cell r="E22767" t="str">
            <v>EF-45227728</v>
          </cell>
          <cell r="F22767">
            <v>461596530499</v>
          </cell>
        </row>
        <row r="22768">
          <cell r="E22768" t="str">
            <v>HLOB-12-0257-00</v>
          </cell>
          <cell r="F22768">
            <v>885636992405</v>
          </cell>
        </row>
        <row r="22769">
          <cell r="E22769" t="str">
            <v>PUR-12-0512-00</v>
          </cell>
          <cell r="F22769">
            <v>885636992405</v>
          </cell>
        </row>
        <row r="22770">
          <cell r="E22770" t="str">
            <v>EF-45082790</v>
          </cell>
          <cell r="F22770">
            <v>885636992405</v>
          </cell>
        </row>
        <row r="22771">
          <cell r="E22771" t="str">
            <v>EF-45059477.X.X</v>
          </cell>
          <cell r="F22771">
            <v>885636992405</v>
          </cell>
        </row>
        <row r="22772">
          <cell r="E22772" t="str">
            <v>EF-45036455.X.X</v>
          </cell>
          <cell r="F22772">
            <v>885636992405</v>
          </cell>
        </row>
        <row r="22773">
          <cell r="E22773" t="str">
            <v>PUR-12-0284-00</v>
          </cell>
          <cell r="F22773">
            <v>885636992405</v>
          </cell>
        </row>
        <row r="22774">
          <cell r="E22774" t="str">
            <v>PUR-12-0284-00</v>
          </cell>
          <cell r="F22774">
            <v>885636992405</v>
          </cell>
        </row>
        <row r="22775">
          <cell r="E22775" t="str">
            <v>PURET-12-0056-00</v>
          </cell>
          <cell r="F22775">
            <v>885636992405</v>
          </cell>
        </row>
        <row r="22776">
          <cell r="E22776" t="str">
            <v>EF-45036461.X.X</v>
          </cell>
          <cell r="F22776">
            <v>885636992405</v>
          </cell>
        </row>
        <row r="22777">
          <cell r="E22777" t="str">
            <v>EF-45036461.X.X</v>
          </cell>
          <cell r="F22777">
            <v>885636992405</v>
          </cell>
        </row>
        <row r="22778">
          <cell r="E22778" t="str">
            <v>LUC-E00-470383-00</v>
          </cell>
          <cell r="F22778">
            <v>885605402470</v>
          </cell>
        </row>
        <row r="22779">
          <cell r="E22779" t="str">
            <v>LUC-E00-690010-02</v>
          </cell>
          <cell r="F22779">
            <v>394555899102</v>
          </cell>
        </row>
        <row r="22780">
          <cell r="E22780" t="str">
            <v>AIC-MP-IC007003-S01</v>
          </cell>
          <cell r="F22780">
            <v>470843707381</v>
          </cell>
        </row>
        <row r="22781">
          <cell r="E22781" t="str">
            <v>AIC-MP-IC007000-S01</v>
          </cell>
          <cell r="F22781">
            <v>470843707381</v>
          </cell>
        </row>
        <row r="22782">
          <cell r="E22782" t="str">
            <v>AIC-MP-00005821-000</v>
          </cell>
          <cell r="F22782">
            <v>470843707381</v>
          </cell>
        </row>
        <row r="22783">
          <cell r="E22783" t="str">
            <v>AIC-MP-IC006863-S01</v>
          </cell>
          <cell r="F22783">
            <v>470843707381</v>
          </cell>
        </row>
        <row r="22784">
          <cell r="E22784" t="str">
            <v>LUC-E00-470069-00</v>
          </cell>
          <cell r="F22784">
            <v>479730127966</v>
          </cell>
        </row>
        <row r="22785">
          <cell r="E22785" t="str">
            <v>LUC-E00-470037-00</v>
          </cell>
          <cell r="F22785">
            <v>479730129693</v>
          </cell>
        </row>
        <row r="22786">
          <cell r="E22786" t="str">
            <v>LUC-EZZ-471571-00</v>
          </cell>
          <cell r="F22786">
            <v>479730132027</v>
          </cell>
        </row>
        <row r="22787">
          <cell r="E22787" t="str">
            <v>PUR-09-0417-00</v>
          </cell>
          <cell r="F22787">
            <v>479730123364</v>
          </cell>
        </row>
        <row r="22788">
          <cell r="E22788" t="str">
            <v>LUC-E00-400010-014</v>
          </cell>
          <cell r="F22788">
            <v>486655385393</v>
          </cell>
        </row>
        <row r="22789">
          <cell r="E22789" t="str">
            <v>LUC-EZZ-440031-00</v>
          </cell>
          <cell r="F22789">
            <v>484388161439</v>
          </cell>
        </row>
        <row r="22790">
          <cell r="E22790" t="str">
            <v>LUC-EZZ-420046-00</v>
          </cell>
          <cell r="F22790">
            <v>486655383059</v>
          </cell>
        </row>
        <row r="22791">
          <cell r="E22791" t="str">
            <v>EF-45074500.X.X</v>
          </cell>
          <cell r="F22791">
            <v>486655391881</v>
          </cell>
        </row>
        <row r="22792">
          <cell r="E22792" t="str">
            <v>HLOB-13-0258-00</v>
          </cell>
          <cell r="F22792">
            <v>488209936166</v>
          </cell>
        </row>
        <row r="22793">
          <cell r="E22793" t="str">
            <v>LUC-E00-470178-00</v>
          </cell>
          <cell r="F22793">
            <v>412069774590</v>
          </cell>
        </row>
        <row r="22794">
          <cell r="E22794" t="str">
            <v>123-001607</v>
          </cell>
          <cell r="F22794">
            <v>484388168606</v>
          </cell>
        </row>
        <row r="22795">
          <cell r="E22795" t="str">
            <v>123-001712</v>
          </cell>
          <cell r="F22795">
            <v>484388168606</v>
          </cell>
        </row>
        <row r="22796">
          <cell r="E22796" t="str">
            <v>LUC-E00-420020-08</v>
          </cell>
          <cell r="F22796">
            <v>885570137777</v>
          </cell>
        </row>
        <row r="22797">
          <cell r="E22797" t="str">
            <v>LUC-EZZ-421242-00</v>
          </cell>
          <cell r="F22797">
            <v>885570137777</v>
          </cell>
        </row>
        <row r="22798">
          <cell r="E22798" t="str">
            <v>LUC-EZZ-420391-00</v>
          </cell>
          <cell r="F22798">
            <v>885570137777</v>
          </cell>
        </row>
        <row r="22799">
          <cell r="E22799" t="str">
            <v>LUC-EZZ-420391-00</v>
          </cell>
          <cell r="F22799">
            <v>885570137777</v>
          </cell>
        </row>
        <row r="22800">
          <cell r="E22800" t="str">
            <v>LUC-E00-510020-00</v>
          </cell>
          <cell r="F22800">
            <v>885570137777</v>
          </cell>
        </row>
        <row r="22801">
          <cell r="E22801" t="str">
            <v>PURET-13-0009-00</v>
          </cell>
          <cell r="F22801">
            <v>885570137777</v>
          </cell>
        </row>
        <row r="22802">
          <cell r="E22802" t="str">
            <v>PURET-13-0009-00</v>
          </cell>
          <cell r="F22802">
            <v>885570137777</v>
          </cell>
        </row>
        <row r="22803">
          <cell r="E22803" t="str">
            <v>PURET-13-0009-00</v>
          </cell>
          <cell r="F22803">
            <v>885570137777</v>
          </cell>
        </row>
        <row r="22804">
          <cell r="E22804" t="str">
            <v>PURET-13-0009-00</v>
          </cell>
          <cell r="F22804">
            <v>885570137777</v>
          </cell>
        </row>
        <row r="22805">
          <cell r="E22805" t="str">
            <v>PURET-13-0009-00</v>
          </cell>
          <cell r="F22805">
            <v>885570137777</v>
          </cell>
        </row>
        <row r="22806">
          <cell r="E22806" t="str">
            <v>122-001188</v>
          </cell>
          <cell r="F22806">
            <v>885570137777</v>
          </cell>
        </row>
        <row r="22807">
          <cell r="E22807" t="str">
            <v>122-001188</v>
          </cell>
          <cell r="F22807">
            <v>885570137777</v>
          </cell>
        </row>
        <row r="22808">
          <cell r="E22808" t="str">
            <v>HLOB-12-0035-00</v>
          </cell>
          <cell r="F22808">
            <v>885570137777</v>
          </cell>
        </row>
        <row r="22809">
          <cell r="E22809" t="str">
            <v>PUR-13-0244-00</v>
          </cell>
          <cell r="F22809">
            <v>885570137777</v>
          </cell>
        </row>
        <row r="22810">
          <cell r="E22810" t="str">
            <v>PUR-13-0244-00</v>
          </cell>
          <cell r="F22810">
            <v>885570137777</v>
          </cell>
        </row>
        <row r="22811">
          <cell r="E22811" t="str">
            <v>PUR-13-0244-00</v>
          </cell>
          <cell r="F22811">
            <v>885570137777</v>
          </cell>
        </row>
        <row r="22812">
          <cell r="E22812" t="str">
            <v>PUR-13-0155-00</v>
          </cell>
          <cell r="F22812">
            <v>885570137777</v>
          </cell>
        </row>
        <row r="22813">
          <cell r="E22813" t="str">
            <v>LUC-E00-510055-01</v>
          </cell>
          <cell r="F22813">
            <v>394806842993</v>
          </cell>
        </row>
        <row r="22814">
          <cell r="E22814" t="str">
            <v>LUC-E00-450070-00</v>
          </cell>
          <cell r="F22814">
            <v>394806842993</v>
          </cell>
        </row>
        <row r="22815">
          <cell r="E22815" t="str">
            <v>LUC-E00-450039-00</v>
          </cell>
          <cell r="F22815">
            <v>394806842993</v>
          </cell>
        </row>
        <row r="22816">
          <cell r="E22816" t="str">
            <v>LUC-E00-450084-00</v>
          </cell>
          <cell r="F22816">
            <v>394806842993</v>
          </cell>
        </row>
        <row r="22817">
          <cell r="E22817" t="str">
            <v>LUC-E00-450084-00</v>
          </cell>
          <cell r="F22817">
            <v>394806842993</v>
          </cell>
        </row>
        <row r="22818">
          <cell r="E22818" t="str">
            <v>AIC-MP-00007005-000</v>
          </cell>
          <cell r="F22818">
            <v>885570374034</v>
          </cell>
        </row>
        <row r="22819">
          <cell r="E22819" t="str">
            <v>AIC-MP-00007005-000</v>
          </cell>
          <cell r="F22819">
            <v>885570374034</v>
          </cell>
        </row>
        <row r="22820">
          <cell r="E22820" t="str">
            <v>LUC-E00-440154-00</v>
          </cell>
          <cell r="F22820">
            <v>4711890771</v>
          </cell>
        </row>
        <row r="22821">
          <cell r="E22821" t="str">
            <v>HLOB-09-0417-00</v>
          </cell>
          <cell r="F22821">
            <v>4711890771</v>
          </cell>
        </row>
        <row r="22822">
          <cell r="E22822" t="str">
            <v>AIC-122-004427</v>
          </cell>
          <cell r="F22822">
            <v>4711890771</v>
          </cell>
        </row>
        <row r="22823">
          <cell r="E22823" t="str">
            <v>LUC-E00-400011-003</v>
          </cell>
          <cell r="F22823">
            <v>4711890771</v>
          </cell>
        </row>
        <row r="22824">
          <cell r="E22824" t="str">
            <v>LUC-EZZ-440189-00</v>
          </cell>
          <cell r="F22824">
            <v>4711890771</v>
          </cell>
        </row>
        <row r="22825">
          <cell r="E22825" t="str">
            <v>LUC-EZZ-440189-00</v>
          </cell>
          <cell r="F22825">
            <v>4711890771</v>
          </cell>
        </row>
        <row r="22826">
          <cell r="E22826" t="str">
            <v>HLOB-21-0026-00</v>
          </cell>
          <cell r="F22826">
            <v>4711890771</v>
          </cell>
        </row>
        <row r="22827">
          <cell r="E22827" t="str">
            <v>PUR-21-0026-00</v>
          </cell>
          <cell r="F22827">
            <v>4711890771</v>
          </cell>
        </row>
        <row r="22828">
          <cell r="E22828" t="str">
            <v>PUR-21-0026-00</v>
          </cell>
          <cell r="F22828">
            <v>4711890771</v>
          </cell>
        </row>
        <row r="22829">
          <cell r="E22829" t="str">
            <v>AIC-MP-IC007287-S01</v>
          </cell>
          <cell r="F22829">
            <v>4711890771</v>
          </cell>
        </row>
        <row r="22830">
          <cell r="E22830" t="str">
            <v>LUC-EZZ-440036-00</v>
          </cell>
          <cell r="F22830">
            <v>4711890771</v>
          </cell>
        </row>
        <row r="22831">
          <cell r="E22831" t="str">
            <v>LUC-EZZ-440202-00</v>
          </cell>
          <cell r="F22831">
            <v>4711890771</v>
          </cell>
        </row>
        <row r="22832">
          <cell r="E22832" t="str">
            <v>LUC-E00-420084-00</v>
          </cell>
          <cell r="F22832">
            <v>4711890771</v>
          </cell>
        </row>
        <row r="22833">
          <cell r="E22833" t="str">
            <v>LUC-EZZ-420145-00</v>
          </cell>
          <cell r="F22833">
            <v>4711890771</v>
          </cell>
        </row>
        <row r="22834">
          <cell r="E22834" t="str">
            <v>LUC-EZZ-420200-00</v>
          </cell>
          <cell r="F22834">
            <v>4711890771</v>
          </cell>
        </row>
        <row r="22835">
          <cell r="E22835" t="str">
            <v>LUC-E00-420055-08</v>
          </cell>
          <cell r="F22835">
            <v>4711890771</v>
          </cell>
        </row>
        <row r="22836">
          <cell r="E22836" t="str">
            <v>LUC-EZZ-420251-00</v>
          </cell>
          <cell r="F22836">
            <v>4711890771</v>
          </cell>
        </row>
        <row r="22837">
          <cell r="E22837" t="str">
            <v>LUC-EZZ-420251-00</v>
          </cell>
          <cell r="F22837">
            <v>4711890771</v>
          </cell>
        </row>
        <row r="22838">
          <cell r="E22838" t="str">
            <v>LUC-EZZ-420511-00</v>
          </cell>
          <cell r="F22838">
            <v>4711890771</v>
          </cell>
        </row>
        <row r="22839">
          <cell r="E22839" t="str">
            <v>LUC-EZZ-420252-00</v>
          </cell>
          <cell r="F22839">
            <v>4711890771</v>
          </cell>
        </row>
        <row r="22840">
          <cell r="E22840" t="str">
            <v>LUC-E00-420054-03</v>
          </cell>
          <cell r="F22840">
            <v>4711890771</v>
          </cell>
        </row>
        <row r="22841">
          <cell r="E22841" t="str">
            <v>LUC-E00-420054-03</v>
          </cell>
          <cell r="F22841">
            <v>4711890771</v>
          </cell>
        </row>
        <row r="22842">
          <cell r="E22842" t="str">
            <v>LUC-E00-420054-03</v>
          </cell>
          <cell r="F22842">
            <v>4711890771</v>
          </cell>
        </row>
        <row r="22843">
          <cell r="E22843" t="str">
            <v>LUC-EZZ-420005-00</v>
          </cell>
          <cell r="F22843">
            <v>4711890771</v>
          </cell>
        </row>
        <row r="22844">
          <cell r="E22844" t="str">
            <v>LUC-EZZ-420195-00</v>
          </cell>
          <cell r="F22844">
            <v>4711890771</v>
          </cell>
        </row>
        <row r="22845">
          <cell r="E22845" t="str">
            <v>LUC-EZZ-420396-00</v>
          </cell>
          <cell r="F22845">
            <v>4711890771</v>
          </cell>
        </row>
        <row r="22846">
          <cell r="E22846" t="str">
            <v>LUC-EZZ-420396-00</v>
          </cell>
          <cell r="F22846">
            <v>4711890771</v>
          </cell>
        </row>
        <row r="22847">
          <cell r="E22847" t="str">
            <v>LUC-EZZ-420396-00</v>
          </cell>
          <cell r="F22847">
            <v>4711890771</v>
          </cell>
        </row>
        <row r="22848">
          <cell r="E22848" t="str">
            <v>LUC-EZZ-420344-00</v>
          </cell>
          <cell r="F22848">
            <v>4711890771</v>
          </cell>
        </row>
        <row r="22849">
          <cell r="E22849" t="str">
            <v>LUC-E00-420051-02</v>
          </cell>
          <cell r="F22849">
            <v>4711890771</v>
          </cell>
        </row>
        <row r="22850">
          <cell r="E22850" t="str">
            <v>LUC-E00-420051-02</v>
          </cell>
          <cell r="F22850">
            <v>4711890771</v>
          </cell>
        </row>
        <row r="22851">
          <cell r="E22851" t="str">
            <v>LUC-EZZ-420482-00</v>
          </cell>
          <cell r="F22851">
            <v>4711890771</v>
          </cell>
        </row>
        <row r="22852">
          <cell r="E22852" t="str">
            <v>LUC-EZZ-420482-00</v>
          </cell>
          <cell r="F22852">
            <v>4711890771</v>
          </cell>
        </row>
        <row r="22853">
          <cell r="E22853" t="str">
            <v>LUC-EZZ-441672-00</v>
          </cell>
          <cell r="F22853">
            <v>4711890771</v>
          </cell>
        </row>
        <row r="22854">
          <cell r="E22854" t="str">
            <v>LUC-E00-440022-00</v>
          </cell>
          <cell r="F22854">
            <v>4711890771</v>
          </cell>
        </row>
        <row r="22855">
          <cell r="E22855" t="str">
            <v>LUC-E00-440022-00</v>
          </cell>
          <cell r="F22855">
            <v>4711890771</v>
          </cell>
        </row>
        <row r="22856">
          <cell r="E22856" t="str">
            <v>LUC-E00-440022-00</v>
          </cell>
          <cell r="F22856">
            <v>4711890771</v>
          </cell>
        </row>
        <row r="22857">
          <cell r="E22857" t="str">
            <v>LUC-EZZ-400145-00</v>
          </cell>
          <cell r="F22857">
            <v>4711890771</v>
          </cell>
        </row>
        <row r="22858">
          <cell r="E22858" t="str">
            <v>LUC-E00-400011-000</v>
          </cell>
          <cell r="F22858">
            <v>4711890771</v>
          </cell>
        </row>
        <row r="22859">
          <cell r="E22859" t="str">
            <v>LUC-EZZ-400200-00</v>
          </cell>
          <cell r="F22859">
            <v>4711890771</v>
          </cell>
        </row>
        <row r="22860">
          <cell r="E22860" t="str">
            <v>LUC-EZZ-400200-00</v>
          </cell>
          <cell r="F22860">
            <v>4711890771</v>
          </cell>
        </row>
        <row r="22861">
          <cell r="E22861" t="str">
            <v>LUC-EZZ-400608-00</v>
          </cell>
          <cell r="F22861">
            <v>4711890771</v>
          </cell>
        </row>
        <row r="22862">
          <cell r="E22862" t="str">
            <v>LUC-EZZ-400812-00</v>
          </cell>
          <cell r="F22862">
            <v>4711890771</v>
          </cell>
        </row>
        <row r="22863">
          <cell r="E22863" t="str">
            <v>LUC-E00-400034-118</v>
          </cell>
          <cell r="F22863">
            <v>4711890771</v>
          </cell>
        </row>
        <row r="22864">
          <cell r="E22864" t="str">
            <v>LUC-EZZ-400621-00</v>
          </cell>
          <cell r="F22864">
            <v>4711890771</v>
          </cell>
        </row>
        <row r="22865">
          <cell r="E22865" t="str">
            <v>LUC-EZZ-510052-00</v>
          </cell>
          <cell r="F22865">
            <v>4711890771</v>
          </cell>
        </row>
        <row r="22866">
          <cell r="E22866" t="str">
            <v>LUC-EZZ-510052-00</v>
          </cell>
          <cell r="F22866">
            <v>4711890771</v>
          </cell>
        </row>
        <row r="22867">
          <cell r="E22867" t="str">
            <v>LUC-E00-510018-00</v>
          </cell>
          <cell r="F22867">
            <v>4711890771</v>
          </cell>
        </row>
        <row r="22868">
          <cell r="E22868" t="str">
            <v>LUC-EZZ-400010-00</v>
          </cell>
          <cell r="F22868">
            <v>4711890771</v>
          </cell>
        </row>
        <row r="22869">
          <cell r="E22869" t="str">
            <v>LUC-EZZ-421281-00</v>
          </cell>
          <cell r="F22869">
            <v>4711890771</v>
          </cell>
        </row>
        <row r="22870">
          <cell r="E22870" t="str">
            <v>HLOB-13-0237-00</v>
          </cell>
          <cell r="F22870">
            <v>4711890771</v>
          </cell>
        </row>
        <row r="22871">
          <cell r="E22871" t="str">
            <v>LUC-EZZ-420124-00</v>
          </cell>
          <cell r="F22871">
            <v>4711890771</v>
          </cell>
        </row>
        <row r="22872">
          <cell r="E22872" t="str">
            <v>PUR-21-0026-00</v>
          </cell>
          <cell r="F22872">
            <v>4711890771</v>
          </cell>
        </row>
        <row r="22873">
          <cell r="E22873" t="str">
            <v>LUC-EZZ-420695-01</v>
          </cell>
          <cell r="F22873">
            <v>4711890771</v>
          </cell>
        </row>
        <row r="22874">
          <cell r="E22874" t="str">
            <v>PURET-13-0001-00</v>
          </cell>
          <cell r="F22874">
            <v>4711890771</v>
          </cell>
        </row>
        <row r="22875">
          <cell r="E22875" t="str">
            <v>LUC-EZZ-420482-00</v>
          </cell>
          <cell r="F22875">
            <v>4711890771</v>
          </cell>
        </row>
        <row r="22876">
          <cell r="E22876" t="str">
            <v>PURET-13-0001-00</v>
          </cell>
          <cell r="F22876">
            <v>4711890771</v>
          </cell>
        </row>
        <row r="22877">
          <cell r="E22877" t="str">
            <v>LUC-EZZ-420482-00</v>
          </cell>
          <cell r="F22877">
            <v>4711890771</v>
          </cell>
        </row>
        <row r="22878">
          <cell r="E22878" t="str">
            <v>PURET-13-0001-00</v>
          </cell>
          <cell r="F22878">
            <v>4711890771</v>
          </cell>
        </row>
        <row r="22879">
          <cell r="E22879" t="str">
            <v>LUC-EZZ-510030-00</v>
          </cell>
          <cell r="F22879">
            <v>4711890771</v>
          </cell>
        </row>
        <row r="22880">
          <cell r="E22880" t="str">
            <v>LUC-EZZ-471623-00</v>
          </cell>
          <cell r="F22880">
            <v>4711890771</v>
          </cell>
        </row>
        <row r="22881">
          <cell r="E22881" t="str">
            <v>PURET-13-0001-00</v>
          </cell>
          <cell r="F22881">
            <v>4711890771</v>
          </cell>
        </row>
        <row r="22882">
          <cell r="E22882" t="str">
            <v>PURET-13-0001-00</v>
          </cell>
          <cell r="F22882">
            <v>4711890771</v>
          </cell>
        </row>
        <row r="22883">
          <cell r="E22883" t="str">
            <v>PURET-13-0119-00</v>
          </cell>
          <cell r="F22883">
            <v>4711890771</v>
          </cell>
        </row>
        <row r="22884">
          <cell r="E22884" t="str">
            <v>HLOB-13-0119-00</v>
          </cell>
          <cell r="F22884">
            <v>4711890771</v>
          </cell>
        </row>
        <row r="22885">
          <cell r="E22885" t="str">
            <v>HLOB-13-0141-00</v>
          </cell>
          <cell r="F22885">
            <v>4711890771</v>
          </cell>
        </row>
        <row r="22886">
          <cell r="E22886" t="str">
            <v>HLOB-13-0141-00</v>
          </cell>
          <cell r="F22886">
            <v>4711890771</v>
          </cell>
        </row>
        <row r="22887">
          <cell r="E22887" t="str">
            <v>HLOB-13-0141-00</v>
          </cell>
          <cell r="F22887">
            <v>4711890771</v>
          </cell>
        </row>
        <row r="22888">
          <cell r="E22888" t="str">
            <v>HLOB-13-0141-00</v>
          </cell>
          <cell r="F22888">
            <v>4711890771</v>
          </cell>
        </row>
        <row r="22889">
          <cell r="E22889" t="str">
            <v>AIC-MP-00006304-000</v>
          </cell>
          <cell r="F22889">
            <v>4711890771</v>
          </cell>
        </row>
        <row r="22890">
          <cell r="E22890" t="str">
            <v>AIC-111-001503</v>
          </cell>
          <cell r="F22890">
            <v>4711890771</v>
          </cell>
        </row>
        <row r="22891">
          <cell r="E22891" t="str">
            <v>PUR-14-0085-00</v>
          </cell>
          <cell r="F22891">
            <v>4711890771</v>
          </cell>
        </row>
        <row r="22892">
          <cell r="E22892" t="str">
            <v>PUR-13-0131-00</v>
          </cell>
          <cell r="F22892">
            <v>4711890771</v>
          </cell>
        </row>
        <row r="22893">
          <cell r="E22893" t="str">
            <v>AIC-MP-00007275-000</v>
          </cell>
          <cell r="F22893">
            <v>4711890771</v>
          </cell>
        </row>
        <row r="22894">
          <cell r="E22894" t="str">
            <v>PUR-13-0131-00</v>
          </cell>
          <cell r="F22894">
            <v>4711890771</v>
          </cell>
        </row>
        <row r="22895">
          <cell r="E22895" t="str">
            <v>PUR-27-0024-00</v>
          </cell>
          <cell r="F22895">
            <v>4711890771</v>
          </cell>
        </row>
        <row r="22896">
          <cell r="E22896" t="str">
            <v>PUR-13-0131-00</v>
          </cell>
          <cell r="F22896">
            <v>4711890771</v>
          </cell>
        </row>
        <row r="22897">
          <cell r="E22897" t="str">
            <v>PUR-27-0024-00</v>
          </cell>
          <cell r="F22897">
            <v>4711890771</v>
          </cell>
        </row>
        <row r="22898">
          <cell r="E22898" t="str">
            <v>HLOB-13-0119-00</v>
          </cell>
          <cell r="F22898">
            <v>4711890771</v>
          </cell>
        </row>
        <row r="22899">
          <cell r="E22899" t="str">
            <v>HLOB-14-0085-00</v>
          </cell>
          <cell r="F22899">
            <v>4711890771</v>
          </cell>
        </row>
        <row r="22900">
          <cell r="E22900" t="str">
            <v>PUR-14-0085-00</v>
          </cell>
          <cell r="F22900">
            <v>4711890771</v>
          </cell>
        </row>
        <row r="22901">
          <cell r="E22901" t="str">
            <v>LUC-EZZ-690942-00</v>
          </cell>
          <cell r="F22901">
            <v>4110330408</v>
          </cell>
        </row>
        <row r="22902">
          <cell r="E22902" t="str">
            <v>LUC-EZZ-690145-00</v>
          </cell>
          <cell r="F22902">
            <v>4110330404</v>
          </cell>
        </row>
        <row r="22903">
          <cell r="E22903" t="str">
            <v>LUC-EZZ-690145-00</v>
          </cell>
          <cell r="F22903">
            <v>4110330404</v>
          </cell>
        </row>
        <row r="22904">
          <cell r="E22904" t="str">
            <v>LUC-EZZ-690145-00</v>
          </cell>
          <cell r="F22904">
            <v>4110330404</v>
          </cell>
        </row>
        <row r="22905">
          <cell r="E22905" t="str">
            <v>LUC-EZZ-690145-00</v>
          </cell>
          <cell r="F22905">
            <v>4110330404</v>
          </cell>
        </row>
        <row r="22906">
          <cell r="E22906" t="str">
            <v>LUC-E00-690001-00</v>
          </cell>
          <cell r="F22906">
            <v>4110330409</v>
          </cell>
        </row>
        <row r="22907">
          <cell r="E22907" t="str">
            <v>LUC-E00-690062-01</v>
          </cell>
          <cell r="F22907">
            <v>4110330494</v>
          </cell>
        </row>
        <row r="22908">
          <cell r="E22908" t="str">
            <v>LUC-E00-690062-01</v>
          </cell>
          <cell r="F22908">
            <v>4110330494</v>
          </cell>
        </row>
        <row r="22909">
          <cell r="E22909" t="str">
            <v>LUC-E00-470030-00</v>
          </cell>
          <cell r="F22909">
            <v>479730129580</v>
          </cell>
        </row>
        <row r="22910">
          <cell r="E22910" t="str">
            <v>LUC-P11-J67400-02</v>
          </cell>
          <cell r="F22910" t="str">
            <v>ASPHPHE14523115</v>
          </cell>
        </row>
        <row r="22911">
          <cell r="E22911" t="str">
            <v>LUC-E00-690215-00</v>
          </cell>
          <cell r="F22911" t="str">
            <v>ASPHPHE14523115</v>
          </cell>
        </row>
        <row r="22912">
          <cell r="E22912" t="str">
            <v>LUC-P11-JA3300-00</v>
          </cell>
          <cell r="F22912" t="str">
            <v>ASPHPHE14523115</v>
          </cell>
        </row>
        <row r="22913">
          <cell r="E22913" t="str">
            <v>LUC-P21-K2C400-02</v>
          </cell>
          <cell r="F22913" t="str">
            <v>BSJNB0088368A</v>
          </cell>
        </row>
        <row r="22914">
          <cell r="E22914" t="str">
            <v>LUC-P21-K61100-02</v>
          </cell>
          <cell r="F22914" t="str">
            <v>BSJNB0088368A</v>
          </cell>
        </row>
        <row r="22915">
          <cell r="E22915" t="str">
            <v>LUC-P21-K61100-02</v>
          </cell>
          <cell r="F22915" t="str">
            <v>BSJNB0088368A</v>
          </cell>
        </row>
        <row r="22916">
          <cell r="E22916" t="str">
            <v>AIC-122-004391</v>
          </cell>
          <cell r="F22916">
            <v>885571304413</v>
          </cell>
        </row>
        <row r="22917">
          <cell r="E22917" t="str">
            <v>EF-45040767.X.X</v>
          </cell>
          <cell r="F22917">
            <v>394834308582</v>
          </cell>
        </row>
        <row r="22918">
          <cell r="E22918" t="str">
            <v>LUC-E00-4700103-00</v>
          </cell>
          <cell r="F22918">
            <v>394794439083</v>
          </cell>
        </row>
        <row r="22919">
          <cell r="E22919" t="str">
            <v>AGI-450-40036-01</v>
          </cell>
          <cell r="F22919">
            <v>473724663129</v>
          </cell>
        </row>
        <row r="22920">
          <cell r="E22920" t="str">
            <v>LUC-EZZ-690242-00</v>
          </cell>
          <cell r="F22920">
            <v>394677097219</v>
          </cell>
        </row>
        <row r="22921">
          <cell r="E22921" t="str">
            <v>LUC-E00-690055-00</v>
          </cell>
          <cell r="F22921">
            <v>394695117371</v>
          </cell>
        </row>
        <row r="22922">
          <cell r="E22922" t="str">
            <v>LUC-EZZ-400110-00</v>
          </cell>
          <cell r="F22922">
            <v>479730129980</v>
          </cell>
        </row>
        <row r="22923">
          <cell r="E22923" t="str">
            <v>LUC-EZZ-400261-00</v>
          </cell>
          <cell r="F22923">
            <v>479730132200</v>
          </cell>
        </row>
        <row r="22924">
          <cell r="E22924" t="str">
            <v>LUC-EZZ-471571-00</v>
          </cell>
          <cell r="F22924">
            <v>479730132233</v>
          </cell>
        </row>
        <row r="22925">
          <cell r="E22925" t="str">
            <v>PUR-09-0346-00</v>
          </cell>
          <cell r="F22925">
            <v>479730132542</v>
          </cell>
        </row>
        <row r="22926">
          <cell r="E22926" t="str">
            <v>LUC-EZZ-470308-00</v>
          </cell>
          <cell r="F22926">
            <v>479730132597</v>
          </cell>
        </row>
        <row r="22927">
          <cell r="E22927" t="str">
            <v>LUC-EZZ-470096-00</v>
          </cell>
          <cell r="F22927">
            <v>479730132667</v>
          </cell>
        </row>
        <row r="22928">
          <cell r="E22928" t="str">
            <v>EF-45232580</v>
          </cell>
          <cell r="F22928">
            <v>479730132690</v>
          </cell>
        </row>
        <row r="22929">
          <cell r="E22929" t="str">
            <v>PURET-21-0009-00</v>
          </cell>
          <cell r="F22929">
            <v>479730132678</v>
          </cell>
        </row>
        <row r="22930">
          <cell r="E22930" t="str">
            <v>PUR-09-0417-00</v>
          </cell>
          <cell r="F22930">
            <v>479730132737</v>
          </cell>
        </row>
        <row r="22931">
          <cell r="E22931" t="str">
            <v>PUR-09-0417-00</v>
          </cell>
          <cell r="F22931">
            <v>479730132818</v>
          </cell>
        </row>
        <row r="22932">
          <cell r="E22932" t="str">
            <v>LUC-E00-450084-00</v>
          </cell>
          <cell r="F22932">
            <v>479730133056</v>
          </cell>
        </row>
        <row r="22933">
          <cell r="E22933" t="str">
            <v>AIC-MP-00006338-000</v>
          </cell>
          <cell r="F22933">
            <v>479730133148</v>
          </cell>
        </row>
        <row r="22934">
          <cell r="E22934" t="str">
            <v>PUR-09-0352-00</v>
          </cell>
          <cell r="F22934">
            <v>479730133115</v>
          </cell>
        </row>
        <row r="22935">
          <cell r="E22935" t="str">
            <v>LUC-E00-400010-002</v>
          </cell>
          <cell r="F22935">
            <v>479730132704</v>
          </cell>
        </row>
        <row r="22936">
          <cell r="E22936" t="str">
            <v>LUC-E00-400011-004</v>
          </cell>
          <cell r="F22936">
            <v>479730132976</v>
          </cell>
        </row>
        <row r="22937">
          <cell r="E22937" t="str">
            <v>LUC-E00-470041-00</v>
          </cell>
          <cell r="F22937">
            <v>479730133229</v>
          </cell>
        </row>
        <row r="22938">
          <cell r="E22938" t="str">
            <v>LUC-E00-470125-00</v>
          </cell>
          <cell r="F22938">
            <v>479730133262</v>
          </cell>
        </row>
        <row r="22939">
          <cell r="E22939" t="str">
            <v>EF-45056862.X.X</v>
          </cell>
          <cell r="F22939">
            <v>479730133295</v>
          </cell>
        </row>
        <row r="22940">
          <cell r="E22940" t="str">
            <v>LUC-EZZ-470092-00</v>
          </cell>
          <cell r="F22940">
            <v>479730133284</v>
          </cell>
        </row>
        <row r="22941">
          <cell r="E22941" t="str">
            <v>LUC-EZZ-470811-00</v>
          </cell>
          <cell r="F22941">
            <v>479730133413</v>
          </cell>
        </row>
        <row r="22942">
          <cell r="E22942" t="str">
            <v>LUC-E00-470029-00</v>
          </cell>
          <cell r="F22942">
            <v>479730134166</v>
          </cell>
        </row>
        <row r="22943">
          <cell r="E22943" t="str">
            <v>LUC-E00-450176-00</v>
          </cell>
          <cell r="F22943">
            <v>479730133538</v>
          </cell>
        </row>
        <row r="22944">
          <cell r="E22944" t="str">
            <v>LUC-EZZ-470095-00</v>
          </cell>
          <cell r="F22944">
            <v>479730134269</v>
          </cell>
        </row>
        <row r="22945">
          <cell r="E22945" t="str">
            <v>LUC-EZZ-400261-00</v>
          </cell>
          <cell r="F22945">
            <v>479730134306</v>
          </cell>
        </row>
        <row r="22946">
          <cell r="E22946" t="str">
            <v>LUC-E00-400010-003</v>
          </cell>
          <cell r="F22946">
            <v>479730134501</v>
          </cell>
        </row>
        <row r="22947">
          <cell r="E22947" t="str">
            <v>122-000369.X.X</v>
          </cell>
          <cell r="F22947">
            <v>479730134328</v>
          </cell>
        </row>
        <row r="22948">
          <cell r="E22948" t="str">
            <v>LUC-EZZ-450070-00</v>
          </cell>
          <cell r="F22948">
            <v>479730134784</v>
          </cell>
        </row>
        <row r="22949">
          <cell r="E22949" t="str">
            <v>LUC-E00-400010-003</v>
          </cell>
          <cell r="F22949">
            <v>479730135092</v>
          </cell>
        </row>
        <row r="22950">
          <cell r="E22950" t="str">
            <v>LUC-EZZ-450070-00</v>
          </cell>
          <cell r="F22950">
            <v>479730134887</v>
          </cell>
        </row>
        <row r="22951">
          <cell r="E22951" t="str">
            <v>PUR-27-0017-00</v>
          </cell>
          <cell r="F22951">
            <v>479730135520</v>
          </cell>
        </row>
        <row r="22952">
          <cell r="E22952" t="str">
            <v>LUC-EZZ-400261-00</v>
          </cell>
          <cell r="F22952">
            <v>479730135173</v>
          </cell>
        </row>
        <row r="22953">
          <cell r="E22953" t="str">
            <v>LUC-E00-400010-003</v>
          </cell>
          <cell r="F22953">
            <v>479730135585</v>
          </cell>
        </row>
        <row r="22954">
          <cell r="E22954" t="str">
            <v>103-000216.X.X</v>
          </cell>
          <cell r="F22954">
            <v>480304816183</v>
          </cell>
        </row>
        <row r="22955">
          <cell r="E22955" t="str">
            <v>103-000230.X.X</v>
          </cell>
          <cell r="F22955">
            <v>480304816194</v>
          </cell>
        </row>
        <row r="22956">
          <cell r="E22956" t="str">
            <v>HLOB-13-0258-00</v>
          </cell>
          <cell r="F22956">
            <v>486655361845</v>
          </cell>
        </row>
        <row r="22957">
          <cell r="E22957" t="str">
            <v>LUC-E00-690062-01</v>
          </cell>
          <cell r="F22957">
            <v>488289337472</v>
          </cell>
        </row>
        <row r="22958">
          <cell r="E22958" t="str">
            <v>LUC-P21-K33R00-01</v>
          </cell>
          <cell r="F22958">
            <v>885572927266</v>
          </cell>
        </row>
        <row r="22959">
          <cell r="E22959" t="str">
            <v>LUC-E00-510027-00</v>
          </cell>
          <cell r="F22959">
            <v>643036779974</v>
          </cell>
        </row>
        <row r="22960">
          <cell r="E22960" t="str">
            <v>EF-45141572</v>
          </cell>
          <cell r="F22960">
            <v>885603024287</v>
          </cell>
        </row>
        <row r="22961">
          <cell r="E22961" t="str">
            <v>PUR-12-0337-00</v>
          </cell>
          <cell r="F22961">
            <v>885606372448</v>
          </cell>
        </row>
        <row r="22962">
          <cell r="E22962" t="str">
            <v>PUR-12-0337-00</v>
          </cell>
          <cell r="F22962">
            <v>885606372448</v>
          </cell>
        </row>
        <row r="22963">
          <cell r="E22963" t="str">
            <v>PUR-12-0343-00</v>
          </cell>
          <cell r="F22963">
            <v>885606372448</v>
          </cell>
        </row>
        <row r="22964">
          <cell r="E22964" t="str">
            <v>HLOB-12-0337-00</v>
          </cell>
          <cell r="F22964">
            <v>885606372448</v>
          </cell>
        </row>
        <row r="22965">
          <cell r="E22965" t="str">
            <v>HLOB-13-0159-00</v>
          </cell>
          <cell r="F22965">
            <v>885606372448</v>
          </cell>
        </row>
        <row r="22966">
          <cell r="E22966" t="str">
            <v>HLOB-13-0159-00</v>
          </cell>
          <cell r="F22966">
            <v>885606372448</v>
          </cell>
        </row>
        <row r="22967">
          <cell r="E22967" t="str">
            <v>121-000359.X.X</v>
          </cell>
          <cell r="F22967">
            <v>885606372448</v>
          </cell>
        </row>
        <row r="22968">
          <cell r="E22968" t="str">
            <v>121-000359.X.X</v>
          </cell>
          <cell r="F22968">
            <v>885606372448</v>
          </cell>
        </row>
        <row r="22969">
          <cell r="E22969" t="str">
            <v>121-000359.X.X</v>
          </cell>
          <cell r="F22969">
            <v>885606372448</v>
          </cell>
        </row>
        <row r="22970">
          <cell r="E22970" t="str">
            <v>122-001191</v>
          </cell>
          <cell r="F22970">
            <v>885606372448</v>
          </cell>
        </row>
        <row r="22971">
          <cell r="E22971" t="str">
            <v>122-000673.X.X</v>
          </cell>
          <cell r="F22971">
            <v>885606372448</v>
          </cell>
        </row>
        <row r="22972">
          <cell r="E22972" t="str">
            <v>LUC-P21-K33900-00</v>
          </cell>
          <cell r="F22972">
            <v>885572513730</v>
          </cell>
        </row>
        <row r="22973">
          <cell r="E22973" t="str">
            <v>LUC-P21-K33900-00</v>
          </cell>
          <cell r="F22973">
            <v>885572513730</v>
          </cell>
        </row>
        <row r="22974">
          <cell r="E22974" t="str">
            <v>LUC-P21-K33900-00</v>
          </cell>
          <cell r="F22974">
            <v>885572513730</v>
          </cell>
        </row>
        <row r="22975">
          <cell r="E22975" t="str">
            <v>LUC-P21-K33900-00</v>
          </cell>
          <cell r="F22975">
            <v>885572513730</v>
          </cell>
        </row>
        <row r="22976">
          <cell r="E22976" t="str">
            <v>LUC-P21-K33900-00</v>
          </cell>
          <cell r="F22976">
            <v>885572513730</v>
          </cell>
        </row>
        <row r="22977">
          <cell r="E22977" t="str">
            <v>AIC-MP-00005142-000</v>
          </cell>
          <cell r="F22977">
            <v>885570049826</v>
          </cell>
        </row>
        <row r="22978">
          <cell r="E22978" t="str">
            <v>AIC-MP-00007065-000</v>
          </cell>
          <cell r="F22978">
            <v>885570049826</v>
          </cell>
        </row>
        <row r="22979">
          <cell r="E22979" t="str">
            <v>AIC-MP-00007065-000</v>
          </cell>
          <cell r="F22979">
            <v>885570049826</v>
          </cell>
        </row>
        <row r="22980">
          <cell r="E22980" t="str">
            <v>LUC-E00-400011-003</v>
          </cell>
          <cell r="F22980">
            <v>394751257316</v>
          </cell>
        </row>
        <row r="22981">
          <cell r="E22981" t="str">
            <v>LUC-EZZ-690942-00</v>
          </cell>
          <cell r="F22981">
            <v>472176519904</v>
          </cell>
        </row>
        <row r="22982">
          <cell r="E22982" t="str">
            <v>LUC-E00-690214-00</v>
          </cell>
          <cell r="F22982">
            <v>472176519904</v>
          </cell>
        </row>
        <row r="22983">
          <cell r="E22983" t="str">
            <v>LUC-E00-510043-00</v>
          </cell>
          <cell r="F22983">
            <v>643036780794</v>
          </cell>
        </row>
        <row r="22984">
          <cell r="E22984" t="str">
            <v>134-000473</v>
          </cell>
          <cell r="F22984">
            <v>469369181814</v>
          </cell>
        </row>
        <row r="22985">
          <cell r="E22985" t="str">
            <v>LUC-P11-KA4000-00</v>
          </cell>
          <cell r="F22985">
            <v>885643141172</v>
          </cell>
        </row>
        <row r="22986">
          <cell r="E22986" t="str">
            <v>LUC-EZZ-510061-00</v>
          </cell>
          <cell r="F22986">
            <v>486414575613</v>
          </cell>
        </row>
        <row r="22987">
          <cell r="E22987" t="str">
            <v>121-001011.X.X</v>
          </cell>
          <cell r="F22987">
            <v>486414575613</v>
          </cell>
        </row>
        <row r="22988">
          <cell r="E22988" t="str">
            <v>LUC-E00-510029-00</v>
          </cell>
          <cell r="F22988">
            <v>486414575613</v>
          </cell>
        </row>
        <row r="22989">
          <cell r="E22989" t="str">
            <v>LUC-EZZ-420102-00</v>
          </cell>
          <cell r="F22989">
            <v>486414575613</v>
          </cell>
        </row>
        <row r="22990">
          <cell r="E22990" t="str">
            <v>LUC-EZZ-470464-00</v>
          </cell>
          <cell r="F22990">
            <v>486414575613</v>
          </cell>
        </row>
        <row r="22991">
          <cell r="E22991" t="str">
            <v>LUC-E00-450029-00</v>
          </cell>
          <cell r="F22991">
            <v>486414575613</v>
          </cell>
        </row>
        <row r="22992">
          <cell r="E22992" t="str">
            <v>LUC-EZZ-420345-00</v>
          </cell>
          <cell r="F22992">
            <v>486414575613</v>
          </cell>
        </row>
        <row r="22993">
          <cell r="E22993" t="str">
            <v>EF-45055292</v>
          </cell>
          <cell r="F22993">
            <v>486414575613</v>
          </cell>
        </row>
        <row r="22994">
          <cell r="E22994" t="str">
            <v>LUC-E00-510046-00</v>
          </cell>
          <cell r="F22994">
            <v>486414575613</v>
          </cell>
        </row>
        <row r="22995">
          <cell r="E22995" t="str">
            <v>LUC-E00-470036-00</v>
          </cell>
          <cell r="F22995">
            <v>486414575613</v>
          </cell>
        </row>
        <row r="22996">
          <cell r="E22996" t="str">
            <v>LUC-E00-420028-00</v>
          </cell>
          <cell r="F22996">
            <v>486414575613</v>
          </cell>
        </row>
        <row r="22997">
          <cell r="E22997" t="str">
            <v>LUC-EZZ-470249-00</v>
          </cell>
          <cell r="F22997">
            <v>486414575613</v>
          </cell>
        </row>
        <row r="22998">
          <cell r="E22998" t="str">
            <v>121-006116</v>
          </cell>
          <cell r="F22998">
            <v>486414575613</v>
          </cell>
        </row>
        <row r="22999">
          <cell r="E22999" t="str">
            <v>142-000034.X.X</v>
          </cell>
          <cell r="F22999">
            <v>486414575613</v>
          </cell>
        </row>
        <row r="23000">
          <cell r="E23000" t="str">
            <v>119-001218</v>
          </cell>
          <cell r="F23000">
            <v>486414575613</v>
          </cell>
        </row>
        <row r="23001">
          <cell r="E23001" t="str">
            <v>LUC-E00-470062-00</v>
          </cell>
          <cell r="F23001">
            <v>486414575613</v>
          </cell>
        </row>
        <row r="23002">
          <cell r="E23002" t="str">
            <v>LUC-P11-K41800-00</v>
          </cell>
          <cell r="F23002">
            <v>486414575613</v>
          </cell>
        </row>
        <row r="23003">
          <cell r="E23003" t="str">
            <v>LUC-EZZ-440206-00</v>
          </cell>
          <cell r="F23003">
            <v>486414575613</v>
          </cell>
        </row>
        <row r="23004">
          <cell r="E23004" t="str">
            <v>LUC-E00-470175-00</v>
          </cell>
          <cell r="F23004">
            <v>486414575613</v>
          </cell>
        </row>
        <row r="23005">
          <cell r="E23005" t="str">
            <v>LUC-EZZ-690131-00</v>
          </cell>
          <cell r="F23005">
            <v>486414575613</v>
          </cell>
        </row>
        <row r="23006">
          <cell r="E23006" t="str">
            <v>HLOB-13-0258-00</v>
          </cell>
          <cell r="F23006">
            <v>486414575613</v>
          </cell>
        </row>
        <row r="23007">
          <cell r="E23007" t="str">
            <v>LUC-EZZ-440200-00</v>
          </cell>
          <cell r="F23007">
            <v>486414575613</v>
          </cell>
        </row>
        <row r="23008">
          <cell r="E23008" t="str">
            <v>HLOB-07-0315-00</v>
          </cell>
          <cell r="F23008">
            <v>885693498634</v>
          </cell>
        </row>
        <row r="23009">
          <cell r="E23009" t="str">
            <v>HLOB-13-0237-00</v>
          </cell>
          <cell r="F23009">
            <v>4711891021</v>
          </cell>
        </row>
        <row r="23010">
          <cell r="E23010" t="str">
            <v>LUC-E00-400050-01</v>
          </cell>
          <cell r="F23010">
            <v>4711891021</v>
          </cell>
        </row>
        <row r="23011">
          <cell r="E23011" t="str">
            <v>HLOB-13-0237-00</v>
          </cell>
          <cell r="F23011">
            <v>4711891021</v>
          </cell>
        </row>
        <row r="23012">
          <cell r="E23012" t="str">
            <v>LUC-E00-400034-090</v>
          </cell>
          <cell r="F23012">
            <v>4711891021</v>
          </cell>
        </row>
        <row r="23013">
          <cell r="E23013" t="str">
            <v>HLOB-13-0237-00</v>
          </cell>
          <cell r="F23013">
            <v>4711891021</v>
          </cell>
        </row>
        <row r="23014">
          <cell r="E23014" t="str">
            <v>EF-45093036</v>
          </cell>
          <cell r="F23014">
            <v>4711891021</v>
          </cell>
        </row>
        <row r="23015">
          <cell r="E23015" t="str">
            <v>LUC-E00-400034-090</v>
          </cell>
          <cell r="F23015">
            <v>4711891021</v>
          </cell>
        </row>
        <row r="23016">
          <cell r="E23016" t="str">
            <v>LUC-E00-400050-01</v>
          </cell>
          <cell r="F23016">
            <v>4711891021</v>
          </cell>
        </row>
        <row r="23017">
          <cell r="E23017" t="str">
            <v>LUC-E00-540019-00</v>
          </cell>
          <cell r="F23017">
            <v>4711891021</v>
          </cell>
        </row>
        <row r="23018">
          <cell r="E23018" t="str">
            <v>EF-45234399</v>
          </cell>
          <cell r="F23018">
            <v>4711891021</v>
          </cell>
        </row>
        <row r="23019">
          <cell r="E23019" t="str">
            <v>PUR-25-0009-00</v>
          </cell>
          <cell r="F23019">
            <v>4711891021</v>
          </cell>
        </row>
        <row r="23020">
          <cell r="E23020" t="str">
            <v>LUC-EZZ-400608-00</v>
          </cell>
          <cell r="F23020">
            <v>4711891021</v>
          </cell>
        </row>
        <row r="23021">
          <cell r="E23021" t="str">
            <v>EF-45087419</v>
          </cell>
          <cell r="F23021">
            <v>4711891021</v>
          </cell>
        </row>
        <row r="23022">
          <cell r="E23022" t="str">
            <v>EF-45155438</v>
          </cell>
          <cell r="F23022">
            <v>4711891021</v>
          </cell>
        </row>
        <row r="23023">
          <cell r="E23023" t="str">
            <v>LUC-E00-420043-01</v>
          </cell>
          <cell r="F23023">
            <v>4711891021</v>
          </cell>
        </row>
        <row r="23024">
          <cell r="E23024" t="str">
            <v>LUC-E00-420043-01</v>
          </cell>
          <cell r="F23024">
            <v>4711891021</v>
          </cell>
        </row>
        <row r="23025">
          <cell r="E23025" t="str">
            <v>LUC-E00-420055-06</v>
          </cell>
          <cell r="F23025">
            <v>4711891021</v>
          </cell>
        </row>
        <row r="23026">
          <cell r="E23026" t="str">
            <v>LUC-E00-420055-06</v>
          </cell>
          <cell r="F23026">
            <v>4711891021</v>
          </cell>
        </row>
        <row r="23027">
          <cell r="E23027" t="str">
            <v>LUC-EZZ-400278-00</v>
          </cell>
          <cell r="F23027">
            <v>4711891021</v>
          </cell>
        </row>
        <row r="23028">
          <cell r="E23028" t="str">
            <v>LUC-E00-420043-01</v>
          </cell>
          <cell r="F23028">
            <v>4711891021</v>
          </cell>
        </row>
        <row r="23029">
          <cell r="E23029" t="str">
            <v>HLOB-13-0001-00</v>
          </cell>
          <cell r="F23029">
            <v>4711891021</v>
          </cell>
        </row>
        <row r="23030">
          <cell r="E23030" t="str">
            <v>LUC-EZZ-421267-00</v>
          </cell>
          <cell r="F23030">
            <v>4711891021</v>
          </cell>
        </row>
        <row r="23031">
          <cell r="E23031" t="str">
            <v>LUC-EZZ-440036-00</v>
          </cell>
          <cell r="F23031">
            <v>4711891021</v>
          </cell>
        </row>
        <row r="23032">
          <cell r="E23032" t="str">
            <v>LUC-E00-420036-00</v>
          </cell>
          <cell r="F23032">
            <v>4711891021</v>
          </cell>
        </row>
        <row r="23033">
          <cell r="E23033" t="str">
            <v>LUC-EZZ-400145-00</v>
          </cell>
          <cell r="F23033">
            <v>4711891021</v>
          </cell>
        </row>
        <row r="23034">
          <cell r="E23034" t="str">
            <v>LUC-EZZ-420331-00</v>
          </cell>
          <cell r="F23034">
            <v>4711891021</v>
          </cell>
        </row>
        <row r="23035">
          <cell r="E23035" t="str">
            <v>LUC-E00-510018-00</v>
          </cell>
          <cell r="F23035">
            <v>4711891021</v>
          </cell>
        </row>
        <row r="23036">
          <cell r="E23036" t="str">
            <v>LUC-EZZ-440036-00</v>
          </cell>
          <cell r="F23036">
            <v>4711891021</v>
          </cell>
        </row>
        <row r="23037">
          <cell r="E23037" t="str">
            <v>LUC-EZZ-400588-00</v>
          </cell>
          <cell r="F23037">
            <v>4711891021</v>
          </cell>
        </row>
        <row r="23038">
          <cell r="E23038" t="str">
            <v>LUC-EZZ-440189-00</v>
          </cell>
          <cell r="F23038">
            <v>4711891021</v>
          </cell>
        </row>
        <row r="23039">
          <cell r="E23039" t="str">
            <v>LUC-EZZ-440189-00</v>
          </cell>
          <cell r="F23039">
            <v>4711891021</v>
          </cell>
        </row>
        <row r="23040">
          <cell r="E23040" t="str">
            <v>LUC-E00-420055-15</v>
          </cell>
          <cell r="F23040">
            <v>4711891021</v>
          </cell>
        </row>
        <row r="23041">
          <cell r="E23041" t="str">
            <v>LUC-E00-420055-06</v>
          </cell>
          <cell r="F23041">
            <v>4711891021</v>
          </cell>
        </row>
        <row r="23042">
          <cell r="E23042" t="str">
            <v>HLOB-13-0141-00</v>
          </cell>
          <cell r="F23042">
            <v>4711891021</v>
          </cell>
        </row>
        <row r="23043">
          <cell r="E23043" t="str">
            <v>LUC-E00-420055-15</v>
          </cell>
          <cell r="F23043">
            <v>4711891021</v>
          </cell>
        </row>
        <row r="23044">
          <cell r="E23044" t="str">
            <v>LUC-E00-420055-19</v>
          </cell>
          <cell r="F23044">
            <v>4711891021</v>
          </cell>
        </row>
        <row r="23045">
          <cell r="E23045" t="str">
            <v>LUC-E00-440022-00</v>
          </cell>
          <cell r="F23045">
            <v>4711891021</v>
          </cell>
        </row>
        <row r="23046">
          <cell r="E23046" t="str">
            <v>LUC-E00-420054-03</v>
          </cell>
          <cell r="F23046">
            <v>4711891021</v>
          </cell>
        </row>
        <row r="23047">
          <cell r="E23047" t="str">
            <v>LUC-E00-420051-02</v>
          </cell>
          <cell r="F23047">
            <v>4711891021</v>
          </cell>
        </row>
        <row r="23048">
          <cell r="E23048" t="str">
            <v>PUR-13-0189-00</v>
          </cell>
          <cell r="F23048">
            <v>4711891021</v>
          </cell>
        </row>
        <row r="23049">
          <cell r="E23049" t="str">
            <v>EF-45041902.X.X</v>
          </cell>
          <cell r="F23049">
            <v>4711891021</v>
          </cell>
        </row>
        <row r="23050">
          <cell r="E23050" t="str">
            <v>EF-45093266.X.X</v>
          </cell>
          <cell r="F23050">
            <v>4711891021</v>
          </cell>
        </row>
        <row r="23051">
          <cell r="E23051" t="str">
            <v>HLOB-21-0026-00</v>
          </cell>
          <cell r="F23051">
            <v>4711891021</v>
          </cell>
        </row>
        <row r="23052">
          <cell r="E23052" t="str">
            <v>LUC-E00-420172-00</v>
          </cell>
          <cell r="F23052">
            <v>4711891021</v>
          </cell>
        </row>
        <row r="23053">
          <cell r="E23053" t="str">
            <v>HLOB-25-0009-00</v>
          </cell>
          <cell r="F23053">
            <v>4711891021</v>
          </cell>
        </row>
        <row r="23054">
          <cell r="E23054" t="str">
            <v>PUR-09-0408-00</v>
          </cell>
          <cell r="F23054">
            <v>4711891021</v>
          </cell>
        </row>
        <row r="23055">
          <cell r="E23055" t="str">
            <v>LUC-E00-420172-00</v>
          </cell>
          <cell r="F23055">
            <v>4711891021</v>
          </cell>
        </row>
        <row r="23056">
          <cell r="E23056" t="str">
            <v>142-000043</v>
          </cell>
          <cell r="F23056">
            <v>4711891021</v>
          </cell>
        </row>
        <row r="23057">
          <cell r="E23057" t="str">
            <v>LUC-E00-420068-00</v>
          </cell>
          <cell r="F23057">
            <v>4711891021</v>
          </cell>
        </row>
        <row r="23058">
          <cell r="E23058" t="str">
            <v>LUC-E00-420068-00</v>
          </cell>
          <cell r="F23058">
            <v>4711891021</v>
          </cell>
        </row>
        <row r="23059">
          <cell r="E23059" t="str">
            <v>LUC-E00-420068-00</v>
          </cell>
          <cell r="F23059">
            <v>4711891021</v>
          </cell>
        </row>
        <row r="23060">
          <cell r="E23060" t="str">
            <v>142-000043</v>
          </cell>
          <cell r="F23060">
            <v>4711891021</v>
          </cell>
        </row>
        <row r="23061">
          <cell r="E23061" t="str">
            <v>AGI-600-40040-01</v>
          </cell>
          <cell r="F23061" t="str">
            <v>HWHPH2503397</v>
          </cell>
        </row>
        <row r="23062">
          <cell r="E23062" t="str">
            <v>AGI-600-40049-01</v>
          </cell>
          <cell r="F23062" t="str">
            <v>HWHPH2503397</v>
          </cell>
        </row>
        <row r="23063">
          <cell r="E23063" t="str">
            <v>LUC-E00-440045-00</v>
          </cell>
          <cell r="F23063">
            <v>394763699512</v>
          </cell>
        </row>
        <row r="23064">
          <cell r="E23064" t="str">
            <v>LUC-EZZ-440129-00</v>
          </cell>
          <cell r="F23064">
            <v>394763699512</v>
          </cell>
        </row>
        <row r="23065">
          <cell r="E23065" t="str">
            <v>EF-45097272</v>
          </cell>
          <cell r="F23065">
            <v>394763699512</v>
          </cell>
        </row>
        <row r="23066">
          <cell r="E23066" t="str">
            <v>HLOB-09-0329-00</v>
          </cell>
          <cell r="F23066">
            <v>1811165204</v>
          </cell>
        </row>
        <row r="23067">
          <cell r="E23067" t="str">
            <v>HLOB-13-0215-00</v>
          </cell>
          <cell r="F23067">
            <v>1811165204</v>
          </cell>
        </row>
        <row r="23068">
          <cell r="E23068" t="str">
            <v>PUR-13-0215-00</v>
          </cell>
          <cell r="F23068">
            <v>1811165204</v>
          </cell>
        </row>
        <row r="23069">
          <cell r="E23069" t="str">
            <v>HLOB-09-0050-00</v>
          </cell>
          <cell r="F23069">
            <v>1811165204</v>
          </cell>
        </row>
        <row r="23070">
          <cell r="E23070" t="str">
            <v>HLOB-09-0050-00</v>
          </cell>
          <cell r="F23070">
            <v>1811165204</v>
          </cell>
        </row>
        <row r="23071">
          <cell r="E23071" t="str">
            <v>EF-45116977</v>
          </cell>
          <cell r="F23071">
            <v>1811165204</v>
          </cell>
        </row>
        <row r="23072">
          <cell r="E23072" t="str">
            <v>LUC-EZZ-690758-00</v>
          </cell>
          <cell r="F23072">
            <v>1811165204</v>
          </cell>
        </row>
        <row r="23073">
          <cell r="E23073" t="str">
            <v>EF-45046347.X.X</v>
          </cell>
          <cell r="F23073">
            <v>1811165204</v>
          </cell>
        </row>
        <row r="23074">
          <cell r="E23074" t="str">
            <v>LUC-EZZ-420151-00</v>
          </cell>
          <cell r="F23074">
            <v>1811165204</v>
          </cell>
        </row>
        <row r="23075">
          <cell r="E23075" t="str">
            <v>LUC-EZZ-420151-00</v>
          </cell>
          <cell r="F23075">
            <v>1811165204</v>
          </cell>
        </row>
        <row r="23076">
          <cell r="E23076" t="str">
            <v>LUC-EZZ-420151-00</v>
          </cell>
          <cell r="F23076">
            <v>1811165204</v>
          </cell>
        </row>
        <row r="23077">
          <cell r="E23077" t="str">
            <v>HLOB-14-0076-00</v>
          </cell>
          <cell r="F23077">
            <v>1811165204</v>
          </cell>
        </row>
        <row r="23078">
          <cell r="E23078" t="str">
            <v>HLOB-14-0076-00</v>
          </cell>
          <cell r="F23078">
            <v>1811165204</v>
          </cell>
        </row>
        <row r="23079">
          <cell r="E23079" t="str">
            <v>PUR-14-0083-00</v>
          </cell>
          <cell r="F23079">
            <v>1811165204</v>
          </cell>
        </row>
        <row r="23080">
          <cell r="E23080" t="str">
            <v>PUR-14-0076-00</v>
          </cell>
          <cell r="F23080">
            <v>1811165204</v>
          </cell>
        </row>
        <row r="23081">
          <cell r="E23081" t="str">
            <v>PUR-14-0076-00</v>
          </cell>
          <cell r="F23081">
            <v>1811165204</v>
          </cell>
        </row>
        <row r="23082">
          <cell r="E23082" t="str">
            <v>HLOB-14-0076-00</v>
          </cell>
          <cell r="F23082">
            <v>1811165204</v>
          </cell>
        </row>
        <row r="23083">
          <cell r="E23083" t="str">
            <v>HLOB-14-0076-00</v>
          </cell>
          <cell r="F23083">
            <v>1811165204</v>
          </cell>
        </row>
        <row r="23084">
          <cell r="E23084" t="str">
            <v>HLOB-14-0083-00</v>
          </cell>
          <cell r="F23084">
            <v>1811165204</v>
          </cell>
        </row>
        <row r="23085">
          <cell r="E23085" t="str">
            <v>PUR-14-0076-00</v>
          </cell>
          <cell r="F23085">
            <v>1811165204</v>
          </cell>
        </row>
        <row r="23086">
          <cell r="E23086" t="str">
            <v>PUR-14-0083-00</v>
          </cell>
          <cell r="F23086">
            <v>1811165204</v>
          </cell>
        </row>
        <row r="23087">
          <cell r="E23087" t="str">
            <v>PUR-14-0076-00</v>
          </cell>
          <cell r="F23087">
            <v>1811165204</v>
          </cell>
        </row>
        <row r="23088">
          <cell r="E23088" t="str">
            <v>HLOB-14-0083-00</v>
          </cell>
          <cell r="F23088">
            <v>1811165204</v>
          </cell>
        </row>
        <row r="23089">
          <cell r="E23089" t="str">
            <v>HLOB-09-0050-00</v>
          </cell>
          <cell r="F23089">
            <v>1811165204</v>
          </cell>
        </row>
        <row r="23090">
          <cell r="E23090" t="str">
            <v>HLOB-09-0050-00</v>
          </cell>
          <cell r="F23090">
            <v>1811165204</v>
          </cell>
        </row>
        <row r="23091">
          <cell r="E23091" t="str">
            <v>HLOB-24-0024-00</v>
          </cell>
          <cell r="F23091">
            <v>1811165204</v>
          </cell>
        </row>
        <row r="23092">
          <cell r="E23092" t="str">
            <v>LUC-EZZ-510199-00</v>
          </cell>
          <cell r="F23092">
            <v>1811165204</v>
          </cell>
        </row>
        <row r="23093">
          <cell r="E23093" t="str">
            <v>LUC-EZZ-510200-00</v>
          </cell>
          <cell r="F23093">
            <v>1811165204</v>
          </cell>
        </row>
        <row r="23094">
          <cell r="E23094" t="str">
            <v>LUC-EZZ-510030-00</v>
          </cell>
          <cell r="F23094">
            <v>1811165204</v>
          </cell>
        </row>
        <row r="23095">
          <cell r="E23095" t="str">
            <v>122-001274</v>
          </cell>
          <cell r="F23095">
            <v>1811165204</v>
          </cell>
        </row>
        <row r="23096">
          <cell r="E23096" t="str">
            <v>PUR-13-0125-00</v>
          </cell>
          <cell r="F23096">
            <v>1811165204</v>
          </cell>
        </row>
        <row r="23097">
          <cell r="E23097" t="str">
            <v>PUR-09-0444-00</v>
          </cell>
          <cell r="F23097">
            <v>1811165204</v>
          </cell>
        </row>
        <row r="23098">
          <cell r="E23098" t="str">
            <v>PUR-24-0024-00</v>
          </cell>
          <cell r="F23098">
            <v>1811165204</v>
          </cell>
        </row>
        <row r="23099">
          <cell r="E23099" t="str">
            <v>PURET-12-0084-00</v>
          </cell>
          <cell r="F23099">
            <v>1811165204</v>
          </cell>
        </row>
        <row r="23100">
          <cell r="E23100" t="str">
            <v>HLOB-14-0083-00</v>
          </cell>
          <cell r="F23100">
            <v>1811165204</v>
          </cell>
        </row>
        <row r="23101">
          <cell r="E23101" t="str">
            <v>HLOB-14-0087-00</v>
          </cell>
          <cell r="F23101">
            <v>1811165204</v>
          </cell>
        </row>
        <row r="23102">
          <cell r="E23102" t="str">
            <v>HLOB-14-0077-00</v>
          </cell>
          <cell r="F23102">
            <v>1811165204</v>
          </cell>
        </row>
        <row r="23103">
          <cell r="E23103" t="str">
            <v>HLOB-14-0083-00</v>
          </cell>
          <cell r="F23103">
            <v>1811165204</v>
          </cell>
        </row>
        <row r="23104">
          <cell r="E23104" t="str">
            <v>LUC-E00-400035-06</v>
          </cell>
          <cell r="F23104">
            <v>1811165204</v>
          </cell>
        </row>
        <row r="23105">
          <cell r="E23105" t="str">
            <v>PUR-09-0444-00</v>
          </cell>
          <cell r="F23105">
            <v>1811165204</v>
          </cell>
        </row>
        <row r="23106">
          <cell r="E23106" t="str">
            <v>HLOB-05-0031-00</v>
          </cell>
          <cell r="F23106">
            <v>1811159954</v>
          </cell>
        </row>
        <row r="23107">
          <cell r="E23107" t="str">
            <v>LUC-E00-400010-003</v>
          </cell>
          <cell r="F23107">
            <v>1811161391</v>
          </cell>
        </row>
        <row r="23108">
          <cell r="E23108" t="str">
            <v>LUC-EZZ-401680-00</v>
          </cell>
          <cell r="F23108">
            <v>1811161391</v>
          </cell>
        </row>
        <row r="23109">
          <cell r="E23109" t="str">
            <v>LUC-EZZ-400213-00</v>
          </cell>
          <cell r="F23109">
            <v>1811161391</v>
          </cell>
        </row>
        <row r="23110">
          <cell r="E23110" t="str">
            <v>LUC-EZZ-400213-00</v>
          </cell>
          <cell r="F23110">
            <v>1811161391</v>
          </cell>
        </row>
        <row r="23111">
          <cell r="E23111" t="str">
            <v>LUC-EZZ-400625-00</v>
          </cell>
          <cell r="F23111">
            <v>1811161391</v>
          </cell>
        </row>
        <row r="23112">
          <cell r="E23112" t="str">
            <v>LUC-EZZ-400239-00</v>
          </cell>
          <cell r="F23112">
            <v>1811161391</v>
          </cell>
        </row>
        <row r="23113">
          <cell r="E23113" t="str">
            <v>LUC-E00-400028-13</v>
          </cell>
          <cell r="F23113">
            <v>1811161391</v>
          </cell>
        </row>
        <row r="23114">
          <cell r="E23114" t="str">
            <v>LUC-E00-450044-00</v>
          </cell>
          <cell r="F23114">
            <v>1811161391</v>
          </cell>
        </row>
        <row r="23115">
          <cell r="E23115" t="str">
            <v>LUC-E00-450044-00</v>
          </cell>
          <cell r="F23115">
            <v>1811161391</v>
          </cell>
        </row>
        <row r="23116">
          <cell r="E23116" t="str">
            <v>LUC-E00-460007-01</v>
          </cell>
          <cell r="F23116">
            <v>1811161391</v>
          </cell>
        </row>
        <row r="23117">
          <cell r="E23117" t="str">
            <v>AGI-530-40013-01</v>
          </cell>
          <cell r="F23117">
            <v>1811161391</v>
          </cell>
        </row>
        <row r="23118">
          <cell r="E23118" t="str">
            <v>LUC-P11-K41G00-00</v>
          </cell>
          <cell r="F23118">
            <v>1811161391</v>
          </cell>
        </row>
        <row r="23119">
          <cell r="E23119" t="str">
            <v>LUC-P11-K41D00-01</v>
          </cell>
          <cell r="F23119">
            <v>1811161391</v>
          </cell>
        </row>
        <row r="23120">
          <cell r="E23120" t="str">
            <v>EF-45139770</v>
          </cell>
          <cell r="F23120">
            <v>1811161391</v>
          </cell>
        </row>
        <row r="23121">
          <cell r="E23121" t="str">
            <v>LUC-EZZ-400209-00</v>
          </cell>
          <cell r="F23121">
            <v>1811161391</v>
          </cell>
        </row>
        <row r="23122">
          <cell r="E23122" t="str">
            <v>LUC-EZZ-400211-00</v>
          </cell>
          <cell r="F23122">
            <v>1811161391</v>
          </cell>
        </row>
        <row r="23123">
          <cell r="E23123" t="str">
            <v>LUC-E00-510027-00</v>
          </cell>
          <cell r="F23123">
            <v>1811161391</v>
          </cell>
        </row>
        <row r="23124">
          <cell r="E23124" t="str">
            <v>LUC-EZZ-401295-00</v>
          </cell>
          <cell r="F23124">
            <v>1811161391</v>
          </cell>
        </row>
        <row r="23125">
          <cell r="E23125" t="str">
            <v>LUC-EZZ-400241-00</v>
          </cell>
          <cell r="F23125">
            <v>1811161391</v>
          </cell>
        </row>
        <row r="23126">
          <cell r="E23126" t="str">
            <v>LUC-EZZ-401295-00</v>
          </cell>
          <cell r="F23126">
            <v>1811161391</v>
          </cell>
        </row>
        <row r="23127">
          <cell r="E23127" t="str">
            <v>LUC-EZZ-401295-00</v>
          </cell>
          <cell r="F23127">
            <v>1811161391</v>
          </cell>
        </row>
        <row r="23128">
          <cell r="E23128" t="str">
            <v>LUC-EZZ-401295-00</v>
          </cell>
          <cell r="F23128">
            <v>1811161391</v>
          </cell>
        </row>
        <row r="23129">
          <cell r="E23129" t="str">
            <v>LUC-EZZ-400036-00</v>
          </cell>
          <cell r="F23129">
            <v>1811161391</v>
          </cell>
        </row>
        <row r="23130">
          <cell r="E23130" t="str">
            <v>LUC-EZZ-400036-00</v>
          </cell>
          <cell r="F23130">
            <v>1811161391</v>
          </cell>
        </row>
        <row r="23131">
          <cell r="E23131" t="str">
            <v>LUC-EZZ-400036-00</v>
          </cell>
          <cell r="F23131">
            <v>1811161391</v>
          </cell>
        </row>
        <row r="23132">
          <cell r="E23132" t="str">
            <v>HLOB-12-0430-00</v>
          </cell>
          <cell r="F23132">
            <v>1811161391</v>
          </cell>
        </row>
        <row r="23133">
          <cell r="E23133" t="str">
            <v>HLOB-12-0430-00</v>
          </cell>
          <cell r="F23133">
            <v>1811161391</v>
          </cell>
        </row>
        <row r="23134">
          <cell r="E23134" t="str">
            <v>LUC-E00-510061-01</v>
          </cell>
          <cell r="F23134">
            <v>1811161391</v>
          </cell>
        </row>
        <row r="23135">
          <cell r="E23135" t="str">
            <v>LUC-E00-400024-04</v>
          </cell>
          <cell r="F23135">
            <v>1811161391</v>
          </cell>
        </row>
        <row r="23136">
          <cell r="E23136" t="str">
            <v>LUC-EZZ-451277-00</v>
          </cell>
          <cell r="F23136">
            <v>1811161391</v>
          </cell>
        </row>
        <row r="23137">
          <cell r="E23137" t="str">
            <v>EF-45100289</v>
          </cell>
          <cell r="F23137">
            <v>1811161391</v>
          </cell>
        </row>
        <row r="23138">
          <cell r="E23138" t="str">
            <v>LUC-EZZ-400192-00</v>
          </cell>
          <cell r="F23138">
            <v>1811161391</v>
          </cell>
        </row>
        <row r="23139">
          <cell r="E23139" t="str">
            <v>LUC-EZZ-400209-00</v>
          </cell>
          <cell r="F23139">
            <v>1811161391</v>
          </cell>
        </row>
        <row r="23140">
          <cell r="E23140" t="str">
            <v>LUC-EZZ-400209-00</v>
          </cell>
          <cell r="F23140">
            <v>1811161391</v>
          </cell>
        </row>
        <row r="23141">
          <cell r="E23141" t="str">
            <v>HLOB-12-0288-00</v>
          </cell>
          <cell r="F23141">
            <v>1811161391</v>
          </cell>
        </row>
        <row r="23142">
          <cell r="E23142" t="str">
            <v>LUC-E00-400028-000</v>
          </cell>
          <cell r="F23142">
            <v>1811161391</v>
          </cell>
        </row>
        <row r="23143">
          <cell r="E23143" t="str">
            <v>LUC-EZZ-400208-00</v>
          </cell>
          <cell r="F23143">
            <v>1811161391</v>
          </cell>
        </row>
        <row r="23144">
          <cell r="E23144" t="str">
            <v>LUC-E00-400049-00</v>
          </cell>
          <cell r="F23144">
            <v>1811161391</v>
          </cell>
        </row>
        <row r="23145">
          <cell r="E23145" t="str">
            <v>AIC-MP-00007014-000</v>
          </cell>
          <cell r="F23145">
            <v>438775108451</v>
          </cell>
        </row>
        <row r="23146">
          <cell r="E23146" t="str">
            <v>AIC-MP-00007014-000</v>
          </cell>
          <cell r="F23146">
            <v>438775108451</v>
          </cell>
        </row>
        <row r="23147">
          <cell r="E23147" t="str">
            <v>AIC-MP-00007023-000</v>
          </cell>
          <cell r="F23147">
            <v>438775108451</v>
          </cell>
        </row>
        <row r="23148">
          <cell r="E23148" t="str">
            <v>HLOB-03-0038-00</v>
          </cell>
          <cell r="F23148">
            <v>486378683645</v>
          </cell>
        </row>
        <row r="23149">
          <cell r="E23149" t="str">
            <v>HLOB-03-0038-00</v>
          </cell>
          <cell r="F23149">
            <v>486378683645</v>
          </cell>
        </row>
        <row r="23150">
          <cell r="E23150" t="str">
            <v>EF-45156843</v>
          </cell>
          <cell r="F23150">
            <v>461596530580</v>
          </cell>
        </row>
        <row r="23151">
          <cell r="E23151" t="str">
            <v>LUC-EZZ-440200-00</v>
          </cell>
          <cell r="F23151">
            <v>885606315257</v>
          </cell>
        </row>
        <row r="23152">
          <cell r="E23152" t="str">
            <v>LUC-EZZ-440200-00</v>
          </cell>
          <cell r="F23152">
            <v>885606315257</v>
          </cell>
        </row>
        <row r="23153">
          <cell r="E23153" t="str">
            <v>HLOB-12-0017-00</v>
          </cell>
          <cell r="F23153">
            <v>885606315257</v>
          </cell>
        </row>
        <row r="23154">
          <cell r="E23154" t="str">
            <v>HLOB-12-0017-00</v>
          </cell>
          <cell r="F23154">
            <v>885606315257</v>
          </cell>
        </row>
        <row r="23155">
          <cell r="E23155" t="str">
            <v>HLOB-12-0088-00</v>
          </cell>
          <cell r="F23155">
            <v>885606315257</v>
          </cell>
        </row>
        <row r="23156">
          <cell r="E23156" t="str">
            <v>HLOB-12-0482-00</v>
          </cell>
          <cell r="F23156">
            <v>885606315257</v>
          </cell>
        </row>
        <row r="23157">
          <cell r="E23157" t="str">
            <v>HLOB-12-0482-00</v>
          </cell>
          <cell r="F23157">
            <v>885606315257</v>
          </cell>
        </row>
        <row r="23158">
          <cell r="E23158" t="str">
            <v>PUR-12-0482-00</v>
          </cell>
          <cell r="F23158">
            <v>885606315257</v>
          </cell>
        </row>
        <row r="23159">
          <cell r="E23159" t="str">
            <v>EF-45083316.X.X</v>
          </cell>
          <cell r="F23159">
            <v>885606315257</v>
          </cell>
        </row>
        <row r="23160">
          <cell r="E23160" t="str">
            <v>EF-45037930.X.X</v>
          </cell>
          <cell r="F23160">
            <v>885606315257</v>
          </cell>
        </row>
        <row r="23161">
          <cell r="E23161" t="str">
            <v>EF-45043819.X.X</v>
          </cell>
          <cell r="F23161">
            <v>885606315257</v>
          </cell>
        </row>
        <row r="23162">
          <cell r="E23162" t="str">
            <v>PUR-13-0245-00</v>
          </cell>
          <cell r="F23162">
            <v>885606315257</v>
          </cell>
        </row>
        <row r="23163">
          <cell r="E23163" t="str">
            <v>EF-45036466.X.X</v>
          </cell>
          <cell r="F23163">
            <v>885606315257</v>
          </cell>
        </row>
        <row r="23164">
          <cell r="E23164" t="str">
            <v>PURET-12-0017-00</v>
          </cell>
          <cell r="F23164">
            <v>885606315257</v>
          </cell>
        </row>
        <row r="23165">
          <cell r="E23165" t="str">
            <v>PURET-12-0088-00</v>
          </cell>
          <cell r="F23165">
            <v>885606315257</v>
          </cell>
        </row>
        <row r="23166">
          <cell r="E23166" t="str">
            <v>PURET-12-0088-00</v>
          </cell>
          <cell r="F23166">
            <v>885606315257</v>
          </cell>
        </row>
        <row r="23167">
          <cell r="E23167" t="str">
            <v>PUR-13-0245-00</v>
          </cell>
          <cell r="F23167">
            <v>885606315257</v>
          </cell>
        </row>
        <row r="23168">
          <cell r="E23168" t="str">
            <v>PUR-12-0294-00</v>
          </cell>
          <cell r="F23168">
            <v>885606315257</v>
          </cell>
        </row>
        <row r="23169">
          <cell r="E23169" t="str">
            <v>PUR-12-0482-00</v>
          </cell>
          <cell r="F23169">
            <v>885606315257</v>
          </cell>
        </row>
        <row r="23170">
          <cell r="E23170" t="str">
            <v>PUR-12-0482-00</v>
          </cell>
          <cell r="F23170">
            <v>885606315257</v>
          </cell>
        </row>
        <row r="23171">
          <cell r="E23171" t="str">
            <v>PUR-12-0482-00</v>
          </cell>
          <cell r="F23171">
            <v>885606315257</v>
          </cell>
        </row>
        <row r="23172">
          <cell r="E23172" t="str">
            <v>EF-45037930.X.X</v>
          </cell>
          <cell r="F23172">
            <v>885606315257</v>
          </cell>
        </row>
        <row r="23173">
          <cell r="E23173" t="str">
            <v>EF-45043819.X.X</v>
          </cell>
          <cell r="F23173">
            <v>885606315257</v>
          </cell>
        </row>
        <row r="23174">
          <cell r="E23174" t="str">
            <v>EF-45036478</v>
          </cell>
          <cell r="F23174">
            <v>885606315257</v>
          </cell>
        </row>
        <row r="23175">
          <cell r="E23175" t="str">
            <v>PUR-09-0422-00</v>
          </cell>
          <cell r="F23175">
            <v>480820874006</v>
          </cell>
        </row>
        <row r="23176">
          <cell r="E23176" t="str">
            <v>PUR-09-0422-00</v>
          </cell>
          <cell r="F23176">
            <v>480820874006</v>
          </cell>
        </row>
        <row r="23177">
          <cell r="E23177" t="str">
            <v>LUC-EZZ-450047-00</v>
          </cell>
          <cell r="F23177">
            <v>885728982660</v>
          </cell>
        </row>
        <row r="23178">
          <cell r="E23178" t="str">
            <v>LUC-E00-470318-00</v>
          </cell>
          <cell r="F23178">
            <v>885728982660</v>
          </cell>
        </row>
        <row r="23179">
          <cell r="E23179" t="str">
            <v>LUC-E00-470343-00</v>
          </cell>
          <cell r="F23179">
            <v>885728982660</v>
          </cell>
        </row>
        <row r="23180">
          <cell r="E23180" t="str">
            <v>LUC-E00-4700104-00</v>
          </cell>
          <cell r="F23180">
            <v>885728982660</v>
          </cell>
        </row>
        <row r="23181">
          <cell r="E23181" t="str">
            <v>LUC-E00-440057-00</v>
          </cell>
          <cell r="F23181">
            <v>885728982660</v>
          </cell>
        </row>
        <row r="23182">
          <cell r="E23182" t="str">
            <v>LUC-E00-400010-018</v>
          </cell>
          <cell r="F23182">
            <v>885728982660</v>
          </cell>
        </row>
        <row r="23183">
          <cell r="E23183" t="str">
            <v>LUC-EZZ-420398-00</v>
          </cell>
          <cell r="F23183">
            <v>885728982660</v>
          </cell>
        </row>
        <row r="23184">
          <cell r="E23184" t="str">
            <v>LUC-E00-420028-00</v>
          </cell>
          <cell r="F23184">
            <v>885728982660</v>
          </cell>
        </row>
        <row r="23185">
          <cell r="E23185" t="str">
            <v>LUC-EZZ-400192-00</v>
          </cell>
          <cell r="F23185">
            <v>885728982660</v>
          </cell>
        </row>
        <row r="23186">
          <cell r="E23186" t="str">
            <v>LUC-EZZ-450108-00</v>
          </cell>
          <cell r="F23186">
            <v>885728982660</v>
          </cell>
        </row>
        <row r="23187">
          <cell r="E23187" t="str">
            <v>LUC-E00-400010-003</v>
          </cell>
          <cell r="F23187">
            <v>479730135611</v>
          </cell>
        </row>
        <row r="23188">
          <cell r="E23188" t="str">
            <v>LUC-EZZ-400205-00</v>
          </cell>
          <cell r="F23188">
            <v>479730135666</v>
          </cell>
        </row>
        <row r="23189">
          <cell r="E23189" t="str">
            <v>LUC-E00-470071-01</v>
          </cell>
          <cell r="F23189">
            <v>479730136272</v>
          </cell>
        </row>
        <row r="23190">
          <cell r="E23190" t="str">
            <v>PUR-09-0417-00</v>
          </cell>
          <cell r="F23190">
            <v>479730135644</v>
          </cell>
        </row>
        <row r="23191">
          <cell r="E23191" t="str">
            <v>LUC-E00-400010-003</v>
          </cell>
          <cell r="F23191">
            <v>479730135931</v>
          </cell>
        </row>
        <row r="23192">
          <cell r="E23192" t="str">
            <v>PURET-21-0009-00</v>
          </cell>
          <cell r="F23192">
            <v>479730137897</v>
          </cell>
        </row>
        <row r="23193">
          <cell r="E23193" t="str">
            <v>PURET-21-0009-00</v>
          </cell>
          <cell r="F23193">
            <v>479730137934</v>
          </cell>
        </row>
        <row r="23194">
          <cell r="E23194" t="str">
            <v>LUC-E00-470071-01</v>
          </cell>
          <cell r="F23194">
            <v>479730136180</v>
          </cell>
        </row>
        <row r="23195">
          <cell r="E23195" t="str">
            <v>LUC-E00-400010-003</v>
          </cell>
          <cell r="F23195">
            <v>479730139260</v>
          </cell>
        </row>
        <row r="23196">
          <cell r="E23196" t="str">
            <v>LUC-E00-470071-01</v>
          </cell>
          <cell r="F23196">
            <v>479730137956</v>
          </cell>
        </row>
        <row r="23197">
          <cell r="E23197" t="str">
            <v>PUR-09-0329-00</v>
          </cell>
          <cell r="F23197">
            <v>479730138595</v>
          </cell>
        </row>
        <row r="23198">
          <cell r="E23198" t="str">
            <v>LUC-E00-420071-00</v>
          </cell>
          <cell r="F23198">
            <v>479730139250</v>
          </cell>
        </row>
        <row r="23199">
          <cell r="E23199" t="str">
            <v>LUC-E00-420071-00</v>
          </cell>
          <cell r="F23199">
            <v>479730139250</v>
          </cell>
        </row>
        <row r="23200">
          <cell r="E23200" t="str">
            <v>LUC-EZZ-400206-00</v>
          </cell>
          <cell r="F23200">
            <v>479730139628</v>
          </cell>
        </row>
        <row r="23201">
          <cell r="E23201" t="str">
            <v>LUC-EZZ-400206-00</v>
          </cell>
          <cell r="F23201">
            <v>479730139640</v>
          </cell>
        </row>
        <row r="23202">
          <cell r="E23202" t="str">
            <v>LUC-E00-470030-00</v>
          </cell>
          <cell r="F23202">
            <v>479730140930</v>
          </cell>
        </row>
        <row r="23203">
          <cell r="E23203" t="str">
            <v>LUC-EZZ-400206-00</v>
          </cell>
          <cell r="F23203">
            <v>479730139683</v>
          </cell>
        </row>
        <row r="23204">
          <cell r="E23204" t="str">
            <v>LUC-E00-420071-00</v>
          </cell>
          <cell r="F23204">
            <v>479730140367</v>
          </cell>
        </row>
        <row r="23205">
          <cell r="E23205" t="str">
            <v>LUC-E00-510066-00</v>
          </cell>
          <cell r="F23205">
            <v>486220232818</v>
          </cell>
        </row>
        <row r="23206">
          <cell r="E23206" t="str">
            <v>LUC-EZZ-440021-00</v>
          </cell>
          <cell r="F23206">
            <v>486220232818</v>
          </cell>
        </row>
        <row r="23207">
          <cell r="E23207" t="str">
            <v>PUR-14-0086-00</v>
          </cell>
          <cell r="F23207">
            <v>471783773070</v>
          </cell>
        </row>
        <row r="23208">
          <cell r="E23208" t="str">
            <v>PUR-14-0086-00</v>
          </cell>
          <cell r="F23208">
            <v>471783773070</v>
          </cell>
        </row>
        <row r="23209">
          <cell r="E23209" t="str">
            <v>PUR-12-0468-00</v>
          </cell>
          <cell r="F23209">
            <v>471783773070</v>
          </cell>
        </row>
        <row r="23210">
          <cell r="E23210" t="str">
            <v>LUC-EZZ-420029-00</v>
          </cell>
          <cell r="F23210">
            <v>471783773070</v>
          </cell>
        </row>
        <row r="23211">
          <cell r="E23211" t="str">
            <v>121-000925.X.X</v>
          </cell>
          <cell r="F23211">
            <v>471783773070</v>
          </cell>
        </row>
        <row r="23212">
          <cell r="E23212" t="str">
            <v>121-000153.X.X</v>
          </cell>
          <cell r="F23212">
            <v>471783773070</v>
          </cell>
        </row>
        <row r="23213">
          <cell r="E23213" t="str">
            <v>122-000476.X.X</v>
          </cell>
          <cell r="F23213">
            <v>471783773070</v>
          </cell>
        </row>
        <row r="23214">
          <cell r="E23214" t="str">
            <v>LUC-E00-420024-00</v>
          </cell>
          <cell r="F23214">
            <v>471783773070</v>
          </cell>
        </row>
        <row r="23215">
          <cell r="E23215" t="str">
            <v>PUR-13-0241-00</v>
          </cell>
          <cell r="F23215">
            <v>471783773070</v>
          </cell>
        </row>
        <row r="23216">
          <cell r="E23216" t="str">
            <v>HLOB-13-0226-00</v>
          </cell>
          <cell r="F23216">
            <v>471783773070</v>
          </cell>
        </row>
        <row r="23217">
          <cell r="E23217" t="str">
            <v>HLOB-13-0226-00</v>
          </cell>
          <cell r="F23217">
            <v>471783773070</v>
          </cell>
        </row>
        <row r="23218">
          <cell r="E23218" t="str">
            <v>PUR-13-0226-00</v>
          </cell>
          <cell r="F23218">
            <v>471783773070</v>
          </cell>
        </row>
        <row r="23219">
          <cell r="E23219" t="str">
            <v>HLOB-13-0227-00</v>
          </cell>
          <cell r="F23219">
            <v>471783773070</v>
          </cell>
        </row>
        <row r="23220">
          <cell r="E23220" t="str">
            <v>HLOB-13-0227-00</v>
          </cell>
          <cell r="F23220">
            <v>471783773070</v>
          </cell>
        </row>
        <row r="23221">
          <cell r="E23221" t="str">
            <v>PUR-13-0227-00</v>
          </cell>
          <cell r="F23221">
            <v>471783773070</v>
          </cell>
        </row>
        <row r="23222">
          <cell r="E23222" t="str">
            <v>122-000362.X.X</v>
          </cell>
          <cell r="F23222">
            <v>471783773070</v>
          </cell>
        </row>
        <row r="23223">
          <cell r="E23223" t="str">
            <v>122-000907.X.X</v>
          </cell>
          <cell r="F23223">
            <v>471783773070</v>
          </cell>
        </row>
        <row r="23224">
          <cell r="E23224" t="str">
            <v>122-000756.X.X</v>
          </cell>
          <cell r="F23224">
            <v>471783773070</v>
          </cell>
        </row>
        <row r="23225">
          <cell r="E23225" t="str">
            <v>HLOB-13-0068-00</v>
          </cell>
          <cell r="F23225">
            <v>471783773070</v>
          </cell>
        </row>
        <row r="23226">
          <cell r="E23226" t="str">
            <v>HLOB-13-0068-00</v>
          </cell>
          <cell r="F23226">
            <v>471783773070</v>
          </cell>
        </row>
        <row r="23227">
          <cell r="E23227" t="str">
            <v>PURET-13-0068-00</v>
          </cell>
          <cell r="F23227">
            <v>471783773070</v>
          </cell>
        </row>
        <row r="23228">
          <cell r="E23228" t="str">
            <v>HLOB-13-0006-00</v>
          </cell>
          <cell r="F23228">
            <v>471783773070</v>
          </cell>
        </row>
        <row r="23229">
          <cell r="E23229" t="str">
            <v>PURET-13-0006-00</v>
          </cell>
          <cell r="F23229">
            <v>471783773070</v>
          </cell>
        </row>
        <row r="23230">
          <cell r="E23230" t="str">
            <v>HLOB-13-0246-00</v>
          </cell>
          <cell r="F23230">
            <v>471783773070</v>
          </cell>
        </row>
        <row r="23231">
          <cell r="E23231" t="str">
            <v>PUR-13-0246-00</v>
          </cell>
          <cell r="F23231">
            <v>471783773070</v>
          </cell>
        </row>
        <row r="23232">
          <cell r="E23232" t="str">
            <v>122-000701.X.X</v>
          </cell>
          <cell r="F23232">
            <v>471783773070</v>
          </cell>
        </row>
        <row r="23233">
          <cell r="E23233" t="str">
            <v>122-000701.X.X</v>
          </cell>
          <cell r="F23233">
            <v>471783773070</v>
          </cell>
        </row>
        <row r="23234">
          <cell r="E23234" t="str">
            <v>122-000701.X.X</v>
          </cell>
          <cell r="F23234">
            <v>471783773070</v>
          </cell>
        </row>
        <row r="23235">
          <cell r="E23235" t="str">
            <v>122-000701.X.X</v>
          </cell>
          <cell r="F23235">
            <v>471783773070</v>
          </cell>
        </row>
        <row r="23236">
          <cell r="E23236" t="str">
            <v>HLOB-13-0226-00</v>
          </cell>
          <cell r="F23236">
            <v>471783773070</v>
          </cell>
        </row>
        <row r="23237">
          <cell r="E23237" t="str">
            <v>HLOB-13-0227-00</v>
          </cell>
          <cell r="F23237">
            <v>471783773070</v>
          </cell>
        </row>
        <row r="23238">
          <cell r="E23238" t="str">
            <v>122-000362.X.X</v>
          </cell>
          <cell r="F23238">
            <v>471783773070</v>
          </cell>
        </row>
        <row r="23239">
          <cell r="E23239" t="str">
            <v>LUC-EZZ-400042-00</v>
          </cell>
          <cell r="F23239">
            <v>471783773070</v>
          </cell>
        </row>
        <row r="23240">
          <cell r="E23240" t="str">
            <v>HLOB-12-0407-00</v>
          </cell>
          <cell r="F23240">
            <v>471783773070</v>
          </cell>
        </row>
        <row r="23241">
          <cell r="E23241" t="str">
            <v>PUR-12-0408-00</v>
          </cell>
          <cell r="F23241">
            <v>471783773070</v>
          </cell>
        </row>
        <row r="23242">
          <cell r="E23242" t="str">
            <v>HLOB-12-0294-00</v>
          </cell>
          <cell r="F23242">
            <v>471783773070</v>
          </cell>
        </row>
        <row r="23243">
          <cell r="E23243" t="str">
            <v>HLOB-12-0294-00</v>
          </cell>
          <cell r="F23243">
            <v>471783773070</v>
          </cell>
        </row>
        <row r="23244">
          <cell r="E23244" t="str">
            <v>HLOB-12-0035-00</v>
          </cell>
          <cell r="F23244">
            <v>471783773070</v>
          </cell>
        </row>
        <row r="23245">
          <cell r="E23245" t="str">
            <v>PURET-12-0035-00</v>
          </cell>
          <cell r="F23245">
            <v>471783773070</v>
          </cell>
        </row>
        <row r="23246">
          <cell r="E23246" t="str">
            <v>HLOB-12-0212-00</v>
          </cell>
          <cell r="F23246">
            <v>471783773070</v>
          </cell>
        </row>
        <row r="23247">
          <cell r="E23247" t="str">
            <v>HLOB-12-0212-00</v>
          </cell>
          <cell r="F23247">
            <v>471783773070</v>
          </cell>
        </row>
        <row r="23248">
          <cell r="E23248" t="str">
            <v>PURET-12-0212-00</v>
          </cell>
          <cell r="F23248">
            <v>471783773070</v>
          </cell>
        </row>
        <row r="23249">
          <cell r="E23249" t="str">
            <v>EF-45082791</v>
          </cell>
          <cell r="F23249">
            <v>471783773070</v>
          </cell>
        </row>
        <row r="23250">
          <cell r="E23250" t="str">
            <v>121-000507.X.X</v>
          </cell>
          <cell r="F23250">
            <v>471783773070</v>
          </cell>
        </row>
        <row r="23251">
          <cell r="E23251" t="str">
            <v>121-000602.X.X</v>
          </cell>
          <cell r="F23251">
            <v>471783773070</v>
          </cell>
        </row>
        <row r="23252">
          <cell r="E23252" t="str">
            <v>HLOB-12-0271-00</v>
          </cell>
          <cell r="F23252">
            <v>471783773070</v>
          </cell>
        </row>
        <row r="23253">
          <cell r="E23253" t="str">
            <v>HLOB-12-0271-00</v>
          </cell>
          <cell r="F23253">
            <v>471783773070</v>
          </cell>
        </row>
        <row r="23254">
          <cell r="E23254" t="str">
            <v>PUR-12-0271-00</v>
          </cell>
          <cell r="F23254">
            <v>471783773070</v>
          </cell>
        </row>
        <row r="23255">
          <cell r="E23255" t="str">
            <v>HLOB-12-0293-00</v>
          </cell>
          <cell r="F23255">
            <v>471783773070</v>
          </cell>
        </row>
        <row r="23256">
          <cell r="E23256" t="str">
            <v>HLOB-12-0293-00</v>
          </cell>
          <cell r="F23256">
            <v>471783773070</v>
          </cell>
        </row>
        <row r="23257">
          <cell r="E23257" t="str">
            <v>PUR-12-0293-00</v>
          </cell>
          <cell r="F23257">
            <v>471783773070</v>
          </cell>
        </row>
        <row r="23258">
          <cell r="E23258" t="str">
            <v>HLOB-12-0431-00</v>
          </cell>
          <cell r="F23258">
            <v>471783773070</v>
          </cell>
        </row>
        <row r="23259">
          <cell r="E23259" t="str">
            <v>PUR-12-0431-00</v>
          </cell>
          <cell r="F23259">
            <v>471783773070</v>
          </cell>
        </row>
        <row r="23260">
          <cell r="E23260" t="str">
            <v>HLOB-12-0460-00</v>
          </cell>
          <cell r="F23260">
            <v>471783773070</v>
          </cell>
        </row>
        <row r="23261">
          <cell r="E23261" t="str">
            <v>HLOB-12-0460-00</v>
          </cell>
          <cell r="F23261">
            <v>471783773070</v>
          </cell>
        </row>
        <row r="23262">
          <cell r="E23262" t="str">
            <v>PUR-12-0460-00</v>
          </cell>
          <cell r="F23262">
            <v>471783773070</v>
          </cell>
        </row>
        <row r="23263">
          <cell r="E23263" t="str">
            <v>HLOB-12-0304-00</v>
          </cell>
          <cell r="F23263">
            <v>471783773070</v>
          </cell>
        </row>
        <row r="23264">
          <cell r="E23264" t="str">
            <v>HLOB-12-0304-00</v>
          </cell>
          <cell r="F23264">
            <v>471783773070</v>
          </cell>
        </row>
        <row r="23265">
          <cell r="E23265" t="str">
            <v>PUR-12-0304-00</v>
          </cell>
          <cell r="F23265">
            <v>471783773070</v>
          </cell>
        </row>
        <row r="23266">
          <cell r="E23266" t="str">
            <v>HLOB-12-0304-00</v>
          </cell>
          <cell r="F23266">
            <v>471783773070</v>
          </cell>
        </row>
        <row r="23267">
          <cell r="E23267" t="str">
            <v>EF-45043496.X.X</v>
          </cell>
          <cell r="F23267">
            <v>471783773070</v>
          </cell>
        </row>
        <row r="23268">
          <cell r="E23268" t="str">
            <v>EF-45043491.X.X</v>
          </cell>
          <cell r="F23268">
            <v>471783773070</v>
          </cell>
        </row>
        <row r="23269">
          <cell r="E23269" t="str">
            <v>EF-45044094.X.X</v>
          </cell>
          <cell r="F23269">
            <v>471783773070</v>
          </cell>
        </row>
        <row r="23270">
          <cell r="E23270" t="str">
            <v>121-000206.X.X</v>
          </cell>
          <cell r="F23270">
            <v>471783773070</v>
          </cell>
        </row>
        <row r="23271">
          <cell r="E23271" t="str">
            <v>PUR-12-0470-00</v>
          </cell>
          <cell r="F23271">
            <v>471783773070</v>
          </cell>
        </row>
        <row r="23272">
          <cell r="E23272" t="str">
            <v>PUR-12-0423-00</v>
          </cell>
          <cell r="F23272">
            <v>471783773070</v>
          </cell>
        </row>
        <row r="23273">
          <cell r="E23273" t="str">
            <v>121-001823</v>
          </cell>
          <cell r="F23273">
            <v>471783773070</v>
          </cell>
        </row>
        <row r="23274">
          <cell r="E23274" t="str">
            <v>HLOB-12-0293-00</v>
          </cell>
          <cell r="F23274">
            <v>471783773070</v>
          </cell>
        </row>
        <row r="23275">
          <cell r="E23275" t="str">
            <v>HLOB-12-0304-00</v>
          </cell>
          <cell r="F23275">
            <v>471783773070</v>
          </cell>
        </row>
        <row r="23276">
          <cell r="E23276" t="str">
            <v>HLOB-12-0407-00</v>
          </cell>
          <cell r="F23276">
            <v>471783773070</v>
          </cell>
        </row>
        <row r="23277">
          <cell r="E23277" t="str">
            <v>HLOB-12-0212-00</v>
          </cell>
          <cell r="F23277">
            <v>471783773070</v>
          </cell>
        </row>
        <row r="23278">
          <cell r="E23278" t="str">
            <v>HLOB-12-0294-00</v>
          </cell>
          <cell r="F23278">
            <v>471783773070</v>
          </cell>
        </row>
        <row r="23279">
          <cell r="E23279" t="str">
            <v>121-001823</v>
          </cell>
          <cell r="F23279">
            <v>471783773070</v>
          </cell>
        </row>
        <row r="23280">
          <cell r="E23280" t="str">
            <v>121-000520.X.X</v>
          </cell>
          <cell r="F23280">
            <v>471783773070</v>
          </cell>
        </row>
        <row r="23281">
          <cell r="E23281" t="str">
            <v>121-000520.X.X</v>
          </cell>
          <cell r="F23281">
            <v>471783773070</v>
          </cell>
        </row>
        <row r="23282">
          <cell r="E23282" t="str">
            <v>HLOB-12-0297-00</v>
          </cell>
          <cell r="F23282">
            <v>471783773070</v>
          </cell>
        </row>
        <row r="23283">
          <cell r="E23283" t="str">
            <v>HLOB-12-0297-00</v>
          </cell>
          <cell r="F23283">
            <v>471783773070</v>
          </cell>
        </row>
        <row r="23284">
          <cell r="E23284" t="str">
            <v>HLOB-12-0297-00</v>
          </cell>
          <cell r="F23284">
            <v>471783773070</v>
          </cell>
        </row>
        <row r="23285">
          <cell r="E23285" t="str">
            <v>PUR-12-0297-00</v>
          </cell>
          <cell r="F23285">
            <v>471783773070</v>
          </cell>
        </row>
        <row r="23286">
          <cell r="E23286" t="str">
            <v>121-001383</v>
          </cell>
          <cell r="F23286">
            <v>471783773070</v>
          </cell>
        </row>
        <row r="23287">
          <cell r="E23287" t="str">
            <v>121-000440.X.X</v>
          </cell>
          <cell r="F23287">
            <v>471783773070</v>
          </cell>
        </row>
        <row r="23288">
          <cell r="E23288" t="str">
            <v>121-000440.X.X</v>
          </cell>
          <cell r="F23288">
            <v>471783773070</v>
          </cell>
        </row>
        <row r="23289">
          <cell r="E23289" t="str">
            <v>121-000903.X.X</v>
          </cell>
          <cell r="F23289">
            <v>471783773070</v>
          </cell>
        </row>
        <row r="23290">
          <cell r="E23290" t="str">
            <v>121-001272.X.X</v>
          </cell>
          <cell r="F23290">
            <v>471783773070</v>
          </cell>
        </row>
        <row r="23291">
          <cell r="E23291" t="str">
            <v>LUC-E00-420025-04</v>
          </cell>
          <cell r="F23291">
            <v>471783773070</v>
          </cell>
        </row>
        <row r="23292">
          <cell r="E23292" t="str">
            <v>LUC-EZZ-420148-00</v>
          </cell>
          <cell r="F23292">
            <v>471783773070</v>
          </cell>
        </row>
        <row r="23293">
          <cell r="E23293" t="str">
            <v>LUC-EZZ-420148-00</v>
          </cell>
          <cell r="F23293">
            <v>471783773070</v>
          </cell>
        </row>
        <row r="23294">
          <cell r="E23294" t="str">
            <v>PUR-12-0408-00</v>
          </cell>
          <cell r="F23294">
            <v>471783773070</v>
          </cell>
        </row>
        <row r="23295">
          <cell r="E23295" t="str">
            <v>PUR-12-0467-00</v>
          </cell>
          <cell r="F23295">
            <v>471783773070</v>
          </cell>
        </row>
        <row r="23296">
          <cell r="E23296" t="str">
            <v>LUC-E00-400020-000</v>
          </cell>
          <cell r="F23296">
            <v>471783773070</v>
          </cell>
        </row>
        <row r="23297">
          <cell r="E23297" t="str">
            <v>LUC-E00-420027-02</v>
          </cell>
          <cell r="F23297">
            <v>471783773070</v>
          </cell>
        </row>
        <row r="23298">
          <cell r="E23298" t="str">
            <v>LUC-E00-420025-03</v>
          </cell>
          <cell r="F23298">
            <v>471783773070</v>
          </cell>
        </row>
        <row r="23299">
          <cell r="E23299" t="str">
            <v>LUC-E00-420025-04</v>
          </cell>
          <cell r="F23299">
            <v>471783773070</v>
          </cell>
        </row>
        <row r="23300">
          <cell r="E23300" t="str">
            <v>LUC-EZZ-421132-00</v>
          </cell>
          <cell r="F23300">
            <v>471783773070</v>
          </cell>
        </row>
        <row r="23301">
          <cell r="E23301" t="str">
            <v>LUC-EZZ-420148-00</v>
          </cell>
          <cell r="F23301">
            <v>471783773070</v>
          </cell>
        </row>
        <row r="23302">
          <cell r="E23302" t="str">
            <v>PUR-12-0470-00</v>
          </cell>
          <cell r="F23302">
            <v>471783773070</v>
          </cell>
        </row>
        <row r="23303">
          <cell r="E23303" t="str">
            <v>LUC-EZZ-400206-00</v>
          </cell>
          <cell r="F23303">
            <v>479730139639</v>
          </cell>
        </row>
        <row r="23304">
          <cell r="E23304" t="str">
            <v>PUR-27-0017-00</v>
          </cell>
          <cell r="F23304">
            <v>707296245419</v>
          </cell>
        </row>
        <row r="23305">
          <cell r="E23305" t="str">
            <v>PUR-12-0470-00</v>
          </cell>
          <cell r="F23305">
            <v>409298810440</v>
          </cell>
        </row>
        <row r="23306">
          <cell r="E23306" t="str">
            <v>HLOB-12-0470-00</v>
          </cell>
          <cell r="F23306">
            <v>409298810440</v>
          </cell>
        </row>
        <row r="23307">
          <cell r="E23307" t="str">
            <v>LUC-E00-420024-00</v>
          </cell>
          <cell r="F23307">
            <v>409298810440</v>
          </cell>
        </row>
        <row r="23308">
          <cell r="E23308" t="str">
            <v>LUC-EZZ-690175-00</v>
          </cell>
          <cell r="F23308">
            <v>409298810440</v>
          </cell>
        </row>
        <row r="23309">
          <cell r="E23309" t="str">
            <v>LUC-EZZ-420173-00</v>
          </cell>
          <cell r="F23309">
            <v>409298810440</v>
          </cell>
        </row>
        <row r="23310">
          <cell r="E23310" t="str">
            <v>LUC-E00-420049-01</v>
          </cell>
          <cell r="F23310">
            <v>409298810440</v>
          </cell>
        </row>
        <row r="23311">
          <cell r="E23311" t="str">
            <v>LUC-E00-420049-01</v>
          </cell>
          <cell r="F23311">
            <v>409298810440</v>
          </cell>
        </row>
        <row r="23312">
          <cell r="E23312" t="str">
            <v>LUC-E00-420049-01</v>
          </cell>
          <cell r="F23312">
            <v>409298810440</v>
          </cell>
        </row>
        <row r="23313">
          <cell r="E23313" t="str">
            <v>LUC-E00-420049-01</v>
          </cell>
          <cell r="F23313">
            <v>409298810440</v>
          </cell>
        </row>
        <row r="23314">
          <cell r="E23314" t="str">
            <v>LUC-EZZ-420343-00</v>
          </cell>
          <cell r="F23314">
            <v>409298810440</v>
          </cell>
        </row>
        <row r="23315">
          <cell r="E23315" t="str">
            <v>LUC-E00-440024-00</v>
          </cell>
          <cell r="F23315">
            <v>409298810440</v>
          </cell>
        </row>
        <row r="23316">
          <cell r="E23316" t="str">
            <v>LUC-EZZ-420289-00</v>
          </cell>
          <cell r="F23316">
            <v>409298810440</v>
          </cell>
        </row>
        <row r="23317">
          <cell r="E23317" t="str">
            <v>LUC-EZZ-420098-00</v>
          </cell>
          <cell r="F23317">
            <v>409298810440</v>
          </cell>
        </row>
        <row r="23318">
          <cell r="E23318" t="str">
            <v>LUC-E00-440031-00</v>
          </cell>
          <cell r="F23318">
            <v>409298810440</v>
          </cell>
        </row>
        <row r="23319">
          <cell r="E23319" t="str">
            <v>LUC-E00-420034-01</v>
          </cell>
          <cell r="F23319">
            <v>409298810440</v>
          </cell>
        </row>
        <row r="23320">
          <cell r="E23320" t="str">
            <v>LUC-E00-420011-00</v>
          </cell>
          <cell r="F23320">
            <v>409298810440</v>
          </cell>
        </row>
        <row r="23321">
          <cell r="E23321" t="str">
            <v>LUC-E00-420011-00</v>
          </cell>
          <cell r="F23321">
            <v>409298810440</v>
          </cell>
        </row>
        <row r="23322">
          <cell r="E23322" t="str">
            <v>LUC-E00-420049-01</v>
          </cell>
          <cell r="F23322">
            <v>409298810440</v>
          </cell>
        </row>
        <row r="23323">
          <cell r="E23323" t="str">
            <v>LUC-EZZ-420403-00</v>
          </cell>
          <cell r="F23323">
            <v>409298810440</v>
          </cell>
        </row>
        <row r="23324">
          <cell r="E23324" t="str">
            <v>LUC-E00-420060-03</v>
          </cell>
          <cell r="F23324">
            <v>409298810440</v>
          </cell>
        </row>
        <row r="23325">
          <cell r="E23325" t="str">
            <v>LUC-EZZ-420143-00</v>
          </cell>
          <cell r="F23325">
            <v>409298810440</v>
          </cell>
        </row>
        <row r="23326">
          <cell r="E23326" t="str">
            <v>LUC-E00-420014-03</v>
          </cell>
          <cell r="F23326">
            <v>409298810440</v>
          </cell>
        </row>
        <row r="23327">
          <cell r="E23327" t="str">
            <v>AIC-MP-00004582-000</v>
          </cell>
          <cell r="F23327">
            <v>885666962714</v>
          </cell>
        </row>
        <row r="23328">
          <cell r="E23328" t="str">
            <v>AIC-168-001169</v>
          </cell>
          <cell r="F23328">
            <v>885666962714</v>
          </cell>
        </row>
        <row r="23329">
          <cell r="E23329" t="str">
            <v>LUC-E00-470039-00</v>
          </cell>
          <cell r="F23329">
            <v>885666962714</v>
          </cell>
        </row>
        <row r="23330">
          <cell r="E23330" t="str">
            <v>AIC-133-001106</v>
          </cell>
          <cell r="F23330">
            <v>885666962714</v>
          </cell>
        </row>
        <row r="23331">
          <cell r="E23331" t="str">
            <v>LUC-EZZ-400011-00</v>
          </cell>
          <cell r="F23331">
            <v>885666962714</v>
          </cell>
        </row>
        <row r="23332">
          <cell r="E23332" t="str">
            <v>LUC-E00-420056-02</v>
          </cell>
          <cell r="F23332">
            <v>885666962714</v>
          </cell>
        </row>
        <row r="23333">
          <cell r="E23333" t="str">
            <v>LUC-EZZ-470855-00</v>
          </cell>
          <cell r="F23333">
            <v>885666962714</v>
          </cell>
        </row>
        <row r="23334">
          <cell r="E23334" t="str">
            <v>LUC-EZZ-420211-00</v>
          </cell>
          <cell r="F23334">
            <v>885666962714</v>
          </cell>
        </row>
        <row r="23335">
          <cell r="E23335" t="str">
            <v>LUC-E00-420238-00</v>
          </cell>
          <cell r="F23335">
            <v>885666962714</v>
          </cell>
        </row>
        <row r="23336">
          <cell r="E23336" t="str">
            <v>LUC-E00-420238-00</v>
          </cell>
          <cell r="F23336">
            <v>885666962714</v>
          </cell>
        </row>
        <row r="23337">
          <cell r="E23337" t="str">
            <v>120-012914</v>
          </cell>
          <cell r="F23337">
            <v>885761076820</v>
          </cell>
        </row>
        <row r="23338">
          <cell r="E23338" t="str">
            <v>LUC-E00-690214-00</v>
          </cell>
          <cell r="F23338" t="str">
            <v>600623572T</v>
          </cell>
        </row>
        <row r="23339">
          <cell r="E23339" t="str">
            <v>LUC-E00-690214-00</v>
          </cell>
          <cell r="F23339" t="str">
            <v>600623572T</v>
          </cell>
        </row>
        <row r="23340">
          <cell r="E23340" t="str">
            <v>LUC-E00-690214-00</v>
          </cell>
          <cell r="F23340" t="str">
            <v>600623572T</v>
          </cell>
        </row>
        <row r="23341">
          <cell r="E23341" t="str">
            <v>LUC-P21-KA3200-00</v>
          </cell>
          <cell r="F23341" t="str">
            <v>600623572T</v>
          </cell>
        </row>
        <row r="23342">
          <cell r="E23342" t="str">
            <v>LUC-P11-JA3400-00</v>
          </cell>
          <cell r="F23342" t="str">
            <v>600623572T</v>
          </cell>
        </row>
        <row r="23343">
          <cell r="E23343" t="str">
            <v>LUC-P21-KA3200-00</v>
          </cell>
          <cell r="F23343" t="str">
            <v>600623572T</v>
          </cell>
        </row>
        <row r="23344">
          <cell r="E23344" t="str">
            <v>LUC-E00-440003-01</v>
          </cell>
          <cell r="F23344">
            <v>4711890938</v>
          </cell>
        </row>
        <row r="23345">
          <cell r="E23345" t="str">
            <v>LUC-E00-440013-01</v>
          </cell>
          <cell r="F23345">
            <v>4711890938</v>
          </cell>
        </row>
        <row r="23346">
          <cell r="E23346" t="str">
            <v>LUC-E00-440014-00</v>
          </cell>
          <cell r="F23346">
            <v>4711890938</v>
          </cell>
        </row>
        <row r="23347">
          <cell r="E23347" t="str">
            <v>LUC-E00-440014-01</v>
          </cell>
          <cell r="F23347">
            <v>4711890938</v>
          </cell>
        </row>
        <row r="23348">
          <cell r="E23348" t="str">
            <v>LUC-E00-440023-02</v>
          </cell>
          <cell r="F23348">
            <v>4711890938</v>
          </cell>
        </row>
        <row r="23349">
          <cell r="E23349" t="str">
            <v>LUC-E00-440046-00</v>
          </cell>
          <cell r="F23349">
            <v>4711890938</v>
          </cell>
        </row>
        <row r="23350">
          <cell r="E23350" t="str">
            <v>LUC-E00-440046-00</v>
          </cell>
          <cell r="F23350">
            <v>4711890938</v>
          </cell>
        </row>
        <row r="23351">
          <cell r="E23351" t="str">
            <v>LUC-E00-440072-01</v>
          </cell>
          <cell r="F23351">
            <v>4711890938</v>
          </cell>
        </row>
        <row r="23352">
          <cell r="E23352" t="str">
            <v>LUC-EZZ-440018-00</v>
          </cell>
          <cell r="F23352">
            <v>4711890938</v>
          </cell>
        </row>
        <row r="23353">
          <cell r="E23353" t="str">
            <v>LUC-EZZ-440018-00</v>
          </cell>
          <cell r="F23353">
            <v>4711890938</v>
          </cell>
        </row>
        <row r="23354">
          <cell r="E23354" t="str">
            <v>LUC-EZZ-440028-00</v>
          </cell>
          <cell r="F23354">
            <v>4711890938</v>
          </cell>
        </row>
        <row r="23355">
          <cell r="E23355" t="str">
            <v>LUC-EZZ-440072-00</v>
          </cell>
          <cell r="F23355">
            <v>4711890938</v>
          </cell>
        </row>
        <row r="23356">
          <cell r="E23356" t="str">
            <v>LUC-EZZ-440072-00</v>
          </cell>
          <cell r="F23356">
            <v>4711890938</v>
          </cell>
        </row>
        <row r="23357">
          <cell r="E23357" t="str">
            <v>LUC-EZZ-440072-00</v>
          </cell>
          <cell r="F23357">
            <v>4711890938</v>
          </cell>
        </row>
        <row r="23358">
          <cell r="E23358" t="str">
            <v>LUC-EZZ-440162-00</v>
          </cell>
          <cell r="F23358">
            <v>4711890938</v>
          </cell>
        </row>
        <row r="23359">
          <cell r="E23359" t="str">
            <v>LUC-EZZ-440162-00</v>
          </cell>
          <cell r="F23359">
            <v>4711890938</v>
          </cell>
        </row>
        <row r="23360">
          <cell r="E23360" t="str">
            <v>LUC-EZZ-440162-00</v>
          </cell>
          <cell r="F23360">
            <v>4711890938</v>
          </cell>
        </row>
        <row r="23361">
          <cell r="E23361" t="str">
            <v>LUC-EZZ-440911-00</v>
          </cell>
          <cell r="F23361">
            <v>4711890938</v>
          </cell>
        </row>
        <row r="23362">
          <cell r="E23362" t="str">
            <v>LUC-EZZ-440911-00</v>
          </cell>
          <cell r="F23362">
            <v>4711890938</v>
          </cell>
        </row>
        <row r="23363">
          <cell r="E23363" t="str">
            <v>LUC-EZZ-440030-00</v>
          </cell>
          <cell r="F23363">
            <v>4711890938</v>
          </cell>
        </row>
        <row r="23364">
          <cell r="E23364" t="str">
            <v>LUC-EZZ-440030-00</v>
          </cell>
          <cell r="F23364">
            <v>4711890938</v>
          </cell>
        </row>
        <row r="23365">
          <cell r="E23365" t="str">
            <v>LUC-E00-440051-01</v>
          </cell>
          <cell r="F23365">
            <v>4711890938</v>
          </cell>
        </row>
        <row r="23366">
          <cell r="E23366" t="str">
            <v>LUC-EZZ-440099-00</v>
          </cell>
          <cell r="F23366">
            <v>4711890938</v>
          </cell>
        </row>
        <row r="23367">
          <cell r="E23367" t="str">
            <v>LUC-EZZ-440099-00</v>
          </cell>
          <cell r="F23367">
            <v>4711890938</v>
          </cell>
        </row>
        <row r="23368">
          <cell r="E23368" t="str">
            <v>LUC-EZZ-440100-00</v>
          </cell>
          <cell r="F23368">
            <v>4711890938</v>
          </cell>
        </row>
        <row r="23369">
          <cell r="E23369" t="str">
            <v>LUC-EZZ-440100-00</v>
          </cell>
          <cell r="F23369">
            <v>4711890938</v>
          </cell>
        </row>
        <row r="23370">
          <cell r="E23370" t="str">
            <v>LUC-EZZ-470155-00</v>
          </cell>
          <cell r="F23370">
            <v>394841589506</v>
          </cell>
        </row>
        <row r="23371">
          <cell r="E23371" t="str">
            <v>LUC-E00-690037-00</v>
          </cell>
          <cell r="F23371">
            <v>4110330493</v>
          </cell>
        </row>
        <row r="23372">
          <cell r="E23372" t="str">
            <v>LUC-P21-K81001-01</v>
          </cell>
          <cell r="F23372" t="str">
            <v>LSHHPH2509787</v>
          </cell>
        </row>
        <row r="23373">
          <cell r="E23373" t="str">
            <v>LUC-P21-K81100-01</v>
          </cell>
          <cell r="F23373" t="str">
            <v>LSHHPH2509787</v>
          </cell>
        </row>
        <row r="23374">
          <cell r="E23374" t="str">
            <v>LUC-P21-K81101-01</v>
          </cell>
          <cell r="F23374" t="str">
            <v>LSHHPH2509787</v>
          </cell>
        </row>
        <row r="23375">
          <cell r="E23375" t="str">
            <v>LUC-P21-K81202-00</v>
          </cell>
          <cell r="F23375" t="str">
            <v>LSHHPH2509787</v>
          </cell>
        </row>
        <row r="23376">
          <cell r="E23376" t="str">
            <v>AIC-BPM-UPS0001-C02</v>
          </cell>
          <cell r="F23376">
            <v>1516795</v>
          </cell>
        </row>
        <row r="23377">
          <cell r="E23377" t="str">
            <v>AIC-BPM-UPS0001-C02</v>
          </cell>
          <cell r="F23377">
            <v>1516795</v>
          </cell>
        </row>
        <row r="23378">
          <cell r="E23378" t="str">
            <v>LUC-EZZ-490259-00</v>
          </cell>
          <cell r="F23378">
            <v>1516828</v>
          </cell>
        </row>
        <row r="23379">
          <cell r="E23379" t="str">
            <v>LUC-EZZ-490317-04</v>
          </cell>
          <cell r="F23379">
            <v>1516828</v>
          </cell>
        </row>
        <row r="23380">
          <cell r="E23380" t="str">
            <v>LUC-EZZ-490201-07</v>
          </cell>
          <cell r="F23380">
            <v>1516828</v>
          </cell>
        </row>
        <row r="23381">
          <cell r="E23381" t="str">
            <v>LUC-EZZ-490201-07</v>
          </cell>
          <cell r="F23381">
            <v>1516828</v>
          </cell>
        </row>
        <row r="23382">
          <cell r="E23382" t="str">
            <v>LUC-E00-470024-00</v>
          </cell>
          <cell r="F23382">
            <v>679865589497</v>
          </cell>
        </row>
        <row r="23383">
          <cell r="E23383" t="str">
            <v>LUC-E00-470024-00</v>
          </cell>
          <cell r="F23383">
            <v>679865589497</v>
          </cell>
        </row>
        <row r="23384">
          <cell r="E23384" t="str">
            <v>LUC-E00-470036-00</v>
          </cell>
          <cell r="F23384">
            <v>7527184136</v>
          </cell>
        </row>
        <row r="23385">
          <cell r="E23385" t="str">
            <v>LUC-P21-KA3100-00</v>
          </cell>
          <cell r="F23385">
            <v>885693805947</v>
          </cell>
        </row>
        <row r="23386">
          <cell r="E23386" t="str">
            <v>LUC-P21-KA3100-00</v>
          </cell>
          <cell r="F23386">
            <v>885693805947</v>
          </cell>
        </row>
        <row r="23387">
          <cell r="E23387" t="str">
            <v>LUC-P21-KA3100-00</v>
          </cell>
          <cell r="F23387">
            <v>885693805947</v>
          </cell>
        </row>
        <row r="23388">
          <cell r="E23388" t="str">
            <v>EF-45156843</v>
          </cell>
          <cell r="F23388">
            <v>461596531510</v>
          </cell>
        </row>
        <row r="23389">
          <cell r="E23389" t="str">
            <v>LUC-E00-450029-00</v>
          </cell>
          <cell r="F23389">
            <v>487382071519</v>
          </cell>
        </row>
        <row r="23390">
          <cell r="E23390" t="str">
            <v>LUC-EZZ-470208-00</v>
          </cell>
          <cell r="F23390">
            <v>479730137978</v>
          </cell>
        </row>
        <row r="23391">
          <cell r="E23391" t="str">
            <v>126-000668</v>
          </cell>
          <cell r="F23391">
            <v>885730070260</v>
          </cell>
        </row>
        <row r="23392">
          <cell r="E23392" t="str">
            <v>LUC-E00-470318-00</v>
          </cell>
          <cell r="F23392">
            <v>643036780989</v>
          </cell>
        </row>
        <row r="23393">
          <cell r="E23393" t="str">
            <v>LUC-E00-470090-00</v>
          </cell>
          <cell r="F23393">
            <v>643036780989</v>
          </cell>
        </row>
        <row r="23394">
          <cell r="E23394" t="str">
            <v>LUC-EZZ-420344-00</v>
          </cell>
          <cell r="F23394">
            <v>643036780989</v>
          </cell>
        </row>
        <row r="23395">
          <cell r="E23395" t="str">
            <v>LUC-E00-510018-00</v>
          </cell>
          <cell r="F23395">
            <v>643036780989</v>
          </cell>
        </row>
        <row r="23396">
          <cell r="E23396" t="str">
            <v>PUR-09-0343-00</v>
          </cell>
          <cell r="F23396">
            <v>480820882335</v>
          </cell>
        </row>
        <row r="23397">
          <cell r="E23397" t="str">
            <v>LUC-E00-470093-00</v>
          </cell>
          <cell r="F23397">
            <v>394950940087</v>
          </cell>
        </row>
        <row r="23398">
          <cell r="E23398" t="str">
            <v>HLOB-07-0315-00</v>
          </cell>
          <cell r="F23398">
            <v>885735682711</v>
          </cell>
        </row>
        <row r="23399">
          <cell r="E23399" t="str">
            <v>LUC-EZZ-510640-00</v>
          </cell>
          <cell r="F23399">
            <v>427851825922</v>
          </cell>
        </row>
        <row r="23400">
          <cell r="E23400" t="str">
            <v>LUC-E00-510045-00</v>
          </cell>
          <cell r="F23400">
            <v>394913159620</v>
          </cell>
        </row>
        <row r="23401">
          <cell r="E23401" t="str">
            <v>LUC-E00-510045-00</v>
          </cell>
          <cell r="F23401">
            <v>394913159620</v>
          </cell>
        </row>
        <row r="23402">
          <cell r="E23402" t="str">
            <v>LUC-E00-510045-00</v>
          </cell>
          <cell r="F23402">
            <v>394913159620</v>
          </cell>
        </row>
        <row r="23403">
          <cell r="E23403" t="str">
            <v>LUC-E00-510045-00</v>
          </cell>
          <cell r="F23403">
            <v>394913159620</v>
          </cell>
        </row>
        <row r="23404">
          <cell r="E23404" t="str">
            <v>LUC-E00-510045-00</v>
          </cell>
          <cell r="F23404">
            <v>394913159620</v>
          </cell>
        </row>
        <row r="23405">
          <cell r="E23405" t="str">
            <v>LUC-E00-510045-00</v>
          </cell>
          <cell r="F23405">
            <v>394913159620</v>
          </cell>
        </row>
        <row r="23406">
          <cell r="E23406" t="str">
            <v>LUC-E00-510045-00</v>
          </cell>
          <cell r="F23406">
            <v>394913159620</v>
          </cell>
        </row>
        <row r="23407">
          <cell r="E23407" t="str">
            <v>LUC-E00-470062-00</v>
          </cell>
          <cell r="F23407">
            <v>394913159620</v>
          </cell>
        </row>
        <row r="23408">
          <cell r="E23408" t="str">
            <v>LUC-E00-470048-00</v>
          </cell>
          <cell r="F23408">
            <v>394913159620</v>
          </cell>
        </row>
        <row r="23409">
          <cell r="E23409" t="str">
            <v>LUC-EZZ-510061-00</v>
          </cell>
          <cell r="F23409">
            <v>394913159620</v>
          </cell>
        </row>
        <row r="23410">
          <cell r="E23410" t="str">
            <v>LUC-EZZ-510061-00</v>
          </cell>
          <cell r="F23410">
            <v>394913159620</v>
          </cell>
        </row>
        <row r="23411">
          <cell r="E23411" t="str">
            <v>PUR-17-0314-02</v>
          </cell>
          <cell r="F23411">
            <v>885725829288</v>
          </cell>
        </row>
        <row r="23412">
          <cell r="E23412" t="str">
            <v>PUR-09-0213-00</v>
          </cell>
          <cell r="F23412">
            <v>119209651332</v>
          </cell>
        </row>
        <row r="23413">
          <cell r="E23413" t="str">
            <v>LUC-P11-K41A00-00</v>
          </cell>
          <cell r="F23413">
            <v>119209651332</v>
          </cell>
        </row>
        <row r="23414">
          <cell r="E23414" t="str">
            <v>LUC-P11-K41E00-01</v>
          </cell>
          <cell r="F23414">
            <v>119209651332</v>
          </cell>
        </row>
        <row r="23415">
          <cell r="E23415" t="str">
            <v>LUC-P11-K41E00-01</v>
          </cell>
          <cell r="F23415">
            <v>119209651332</v>
          </cell>
        </row>
        <row r="23416">
          <cell r="E23416" t="str">
            <v>122-001250</v>
          </cell>
          <cell r="F23416">
            <v>119209651332</v>
          </cell>
        </row>
        <row r="23417">
          <cell r="E23417" t="str">
            <v>122-001250</v>
          </cell>
          <cell r="F23417">
            <v>119209651332</v>
          </cell>
        </row>
        <row r="23418">
          <cell r="E23418" t="str">
            <v>122-001250</v>
          </cell>
          <cell r="F23418">
            <v>119209651332</v>
          </cell>
        </row>
        <row r="23419">
          <cell r="E23419" t="str">
            <v>122-001250</v>
          </cell>
          <cell r="F23419">
            <v>119209651332</v>
          </cell>
        </row>
        <row r="23420">
          <cell r="E23420" t="str">
            <v>122-001250</v>
          </cell>
          <cell r="F23420">
            <v>119209651332</v>
          </cell>
        </row>
        <row r="23421">
          <cell r="E23421" t="str">
            <v>PURET-21-0009-00</v>
          </cell>
          <cell r="F23421">
            <v>479730137990</v>
          </cell>
        </row>
        <row r="23422">
          <cell r="E23422" t="str">
            <v>EF-45135293</v>
          </cell>
          <cell r="F23422">
            <v>471797719117</v>
          </cell>
        </row>
        <row r="23423">
          <cell r="E23423" t="str">
            <v>EF-45094378</v>
          </cell>
          <cell r="F23423">
            <v>471797719117</v>
          </cell>
        </row>
        <row r="23424">
          <cell r="E23424" t="str">
            <v>LUC-E00-420072-01</v>
          </cell>
          <cell r="F23424">
            <v>471797719117</v>
          </cell>
        </row>
        <row r="23425">
          <cell r="E23425" t="str">
            <v>PUR-13-0212-00</v>
          </cell>
          <cell r="F23425">
            <v>471797719117</v>
          </cell>
        </row>
        <row r="23426">
          <cell r="E23426" t="str">
            <v>HLOB-13-0229-00</v>
          </cell>
          <cell r="F23426">
            <v>471797719117</v>
          </cell>
        </row>
        <row r="23427">
          <cell r="E23427" t="str">
            <v>HLOB-13-0229-00</v>
          </cell>
          <cell r="F23427">
            <v>471797719117</v>
          </cell>
        </row>
        <row r="23428">
          <cell r="E23428" t="str">
            <v>PURET-13-0002-00</v>
          </cell>
          <cell r="F23428">
            <v>471797719117</v>
          </cell>
        </row>
        <row r="23429">
          <cell r="E23429" t="str">
            <v>HLOB-13-0138-00</v>
          </cell>
          <cell r="F23429">
            <v>471797719117</v>
          </cell>
        </row>
        <row r="23430">
          <cell r="E23430" t="str">
            <v>LUC-E00-420002-00</v>
          </cell>
          <cell r="F23430">
            <v>471797719117</v>
          </cell>
        </row>
        <row r="23431">
          <cell r="E23431" t="str">
            <v>LUC-EZZ-420097-00</v>
          </cell>
          <cell r="F23431">
            <v>471797719117</v>
          </cell>
        </row>
        <row r="23432">
          <cell r="E23432" t="str">
            <v>LUC-EZZ-420321-00</v>
          </cell>
          <cell r="F23432">
            <v>471797719117</v>
          </cell>
        </row>
        <row r="23433">
          <cell r="E23433" t="str">
            <v>LUC-E00-420048-00</v>
          </cell>
          <cell r="F23433">
            <v>471797719117</v>
          </cell>
        </row>
        <row r="23434">
          <cell r="E23434" t="str">
            <v>LUC-EZZ-420133-00</v>
          </cell>
          <cell r="F23434">
            <v>471797719117</v>
          </cell>
        </row>
        <row r="23435">
          <cell r="E23435" t="str">
            <v>LUC-EZZ-420133-00</v>
          </cell>
          <cell r="F23435">
            <v>471797719117</v>
          </cell>
        </row>
        <row r="23436">
          <cell r="E23436" t="str">
            <v>LUC-EZZ-420133-00</v>
          </cell>
          <cell r="F23436">
            <v>471797719117</v>
          </cell>
        </row>
        <row r="23437">
          <cell r="E23437" t="str">
            <v>AIC-MP-00003427-000</v>
          </cell>
          <cell r="F23437">
            <v>471797719117</v>
          </cell>
        </row>
        <row r="23438">
          <cell r="E23438" t="str">
            <v>LUC-E00-400059-098</v>
          </cell>
          <cell r="F23438">
            <v>471797719117</v>
          </cell>
        </row>
        <row r="23439">
          <cell r="E23439" t="str">
            <v>PUR-07-0333-00</v>
          </cell>
          <cell r="F23439">
            <v>885730131211</v>
          </cell>
        </row>
        <row r="23440">
          <cell r="E23440" t="str">
            <v>PUR-07-0332-00</v>
          </cell>
          <cell r="F23440">
            <v>885730131211</v>
          </cell>
        </row>
        <row r="23441">
          <cell r="E23441" t="str">
            <v>LUC-E00-470109-00</v>
          </cell>
          <cell r="F23441">
            <v>477592540699</v>
          </cell>
        </row>
        <row r="23442">
          <cell r="E23442" t="str">
            <v>PUR-07-0167-00</v>
          </cell>
          <cell r="F23442">
            <v>4914996539</v>
          </cell>
        </row>
        <row r="23443">
          <cell r="E23443" t="str">
            <v>PUR-07-0167-00</v>
          </cell>
          <cell r="F23443">
            <v>4914996539</v>
          </cell>
        </row>
        <row r="23444">
          <cell r="E23444" t="str">
            <v>PUR-07-0167-00</v>
          </cell>
          <cell r="F23444">
            <v>4914996539</v>
          </cell>
        </row>
        <row r="23445">
          <cell r="E23445" t="str">
            <v>PUR-07-0328-00</v>
          </cell>
          <cell r="F23445">
            <v>4914996539</v>
          </cell>
        </row>
        <row r="23446">
          <cell r="E23446" t="str">
            <v>PUR-07-0328-00</v>
          </cell>
          <cell r="F23446">
            <v>4914996539</v>
          </cell>
        </row>
        <row r="23447">
          <cell r="E23447" t="str">
            <v>LUC-E00-690214-00</v>
          </cell>
          <cell r="F23447">
            <v>4110330601</v>
          </cell>
        </row>
        <row r="23448">
          <cell r="E23448" t="str">
            <v>PUR-09-0279-00</v>
          </cell>
          <cell r="F23448">
            <v>479730117542</v>
          </cell>
        </row>
        <row r="23449">
          <cell r="E23449" t="str">
            <v>EF-45055154.X.X</v>
          </cell>
          <cell r="F23449">
            <v>419341594656</v>
          </cell>
        </row>
        <row r="23450">
          <cell r="E23450" t="str">
            <v>EF-45036912.X.X</v>
          </cell>
          <cell r="F23450">
            <v>419341594656</v>
          </cell>
        </row>
        <row r="23451">
          <cell r="E23451" t="str">
            <v>EF-45057845.X.X</v>
          </cell>
          <cell r="F23451">
            <v>419341594656</v>
          </cell>
        </row>
        <row r="23452">
          <cell r="E23452" t="str">
            <v>PUR-09-0344-00</v>
          </cell>
          <cell r="F23452">
            <v>471782685226</v>
          </cell>
        </row>
        <row r="23453">
          <cell r="E23453" t="str">
            <v>LUC-EZZ-400162-00</v>
          </cell>
          <cell r="F23453">
            <v>479730143285</v>
          </cell>
        </row>
        <row r="23454">
          <cell r="E23454" t="str">
            <v>LUC-EZZ-471571-00</v>
          </cell>
          <cell r="F23454">
            <v>479730143767</v>
          </cell>
        </row>
        <row r="23455">
          <cell r="E23455" t="str">
            <v>LUC-E00-510043-00</v>
          </cell>
          <cell r="F23455">
            <v>394971560535</v>
          </cell>
        </row>
        <row r="23456">
          <cell r="E23456" t="str">
            <v>LUC-E00-510043-00</v>
          </cell>
          <cell r="F23456">
            <v>394971560535</v>
          </cell>
        </row>
        <row r="23457">
          <cell r="E23457" t="str">
            <v>LUC-E00-510037-00</v>
          </cell>
          <cell r="F23457">
            <v>394971560535</v>
          </cell>
        </row>
        <row r="23458">
          <cell r="E23458" t="str">
            <v>LUC-EZZ-470424-00</v>
          </cell>
          <cell r="F23458">
            <v>394971560535</v>
          </cell>
        </row>
        <row r="23459">
          <cell r="E23459" t="str">
            <v>LUC-E00-470033-00</v>
          </cell>
          <cell r="F23459">
            <v>394971560535</v>
          </cell>
        </row>
        <row r="23460">
          <cell r="E23460" t="str">
            <v>LUC-E00-470033-00</v>
          </cell>
          <cell r="F23460">
            <v>394971560535</v>
          </cell>
        </row>
        <row r="23461">
          <cell r="E23461" t="str">
            <v>PUR-09-0434-00</v>
          </cell>
          <cell r="F23461">
            <v>479730146262</v>
          </cell>
        </row>
        <row r="23462">
          <cell r="E23462" t="str">
            <v>LUC-E00-470087-00</v>
          </cell>
          <cell r="F23462">
            <v>487382105473</v>
          </cell>
        </row>
        <row r="23463">
          <cell r="E23463" t="str">
            <v>PUR-24-0028-00</v>
          </cell>
          <cell r="F23463">
            <v>479730143940</v>
          </cell>
        </row>
        <row r="23464">
          <cell r="E23464" t="str">
            <v>PUR-24-0028-00</v>
          </cell>
          <cell r="F23464">
            <v>479730143940</v>
          </cell>
        </row>
        <row r="23465">
          <cell r="E23465" t="str">
            <v>PUR-12-0407-00</v>
          </cell>
          <cell r="F23465">
            <v>489050839837</v>
          </cell>
        </row>
        <row r="23466">
          <cell r="E23466" t="str">
            <v>PUR-12-0407-00</v>
          </cell>
          <cell r="F23466">
            <v>489050839837</v>
          </cell>
        </row>
        <row r="23467">
          <cell r="E23467" t="str">
            <v>LUC-E00-420037-02</v>
          </cell>
          <cell r="F23467">
            <v>489050840680</v>
          </cell>
        </row>
        <row r="23468">
          <cell r="E23468" t="str">
            <v>LUC-EZZ-440127-00</v>
          </cell>
          <cell r="F23468">
            <v>489050856244</v>
          </cell>
        </row>
        <row r="23469">
          <cell r="E23469" t="str">
            <v>LUC-EZZ-440204-00</v>
          </cell>
          <cell r="F23469">
            <v>489050856244</v>
          </cell>
        </row>
        <row r="23470">
          <cell r="E23470" t="str">
            <v>EF-45127606</v>
          </cell>
          <cell r="F23470">
            <v>489050856244</v>
          </cell>
        </row>
        <row r="23471">
          <cell r="E23471" t="str">
            <v>EF-45127606</v>
          </cell>
          <cell r="F23471">
            <v>489050856244</v>
          </cell>
        </row>
        <row r="23472">
          <cell r="E23472" t="str">
            <v>HLOB-27-0017-00</v>
          </cell>
          <cell r="F23472">
            <v>489050856244</v>
          </cell>
        </row>
        <row r="23473">
          <cell r="E23473" t="str">
            <v>121-000854.X.X</v>
          </cell>
          <cell r="F23473">
            <v>489050856244</v>
          </cell>
        </row>
        <row r="23474">
          <cell r="E23474" t="str">
            <v>LUC-EZZ-440127-00</v>
          </cell>
          <cell r="F23474">
            <v>489050856244</v>
          </cell>
        </row>
        <row r="23475">
          <cell r="E23475" t="str">
            <v>LUC-E00-440140-01</v>
          </cell>
          <cell r="F23475">
            <v>394911426071</v>
          </cell>
        </row>
        <row r="23476">
          <cell r="E23476" t="str">
            <v>LUC-E00-440140-01</v>
          </cell>
          <cell r="F23476">
            <v>394911426071</v>
          </cell>
        </row>
        <row r="23477">
          <cell r="E23477" t="str">
            <v>EF-45092456</v>
          </cell>
          <cell r="F23477">
            <v>394911426071</v>
          </cell>
        </row>
        <row r="23478">
          <cell r="E23478" t="str">
            <v>LUC-E00-440114-00</v>
          </cell>
          <cell r="F23478">
            <v>394911426071</v>
          </cell>
        </row>
        <row r="23479">
          <cell r="E23479" t="str">
            <v>LUC-E00-690032-00</v>
          </cell>
          <cell r="F23479">
            <v>394911426071</v>
          </cell>
        </row>
        <row r="23480">
          <cell r="E23480" t="str">
            <v>LUC-EZZ-400110-00</v>
          </cell>
          <cell r="F23480">
            <v>489050858800</v>
          </cell>
        </row>
        <row r="23481">
          <cell r="E23481" t="str">
            <v>LUC-EZZ-400269-00</v>
          </cell>
          <cell r="F23481">
            <v>489050858800</v>
          </cell>
        </row>
        <row r="23482">
          <cell r="E23482" t="str">
            <v>PUR-25-0012-00</v>
          </cell>
          <cell r="F23482">
            <v>430998643989</v>
          </cell>
        </row>
        <row r="23483">
          <cell r="E23483" t="str">
            <v>LUC-E00-690011-00</v>
          </cell>
          <cell r="F23483">
            <v>394968297641</v>
          </cell>
        </row>
        <row r="23484">
          <cell r="E23484" t="str">
            <v>LUC-EZZ-400242-00</v>
          </cell>
          <cell r="F23484">
            <v>479730142348</v>
          </cell>
        </row>
        <row r="23485">
          <cell r="E23485" t="str">
            <v>LUC-EZZ-400248-00</v>
          </cell>
          <cell r="F23485">
            <v>479730142315</v>
          </cell>
        </row>
        <row r="23486">
          <cell r="E23486" t="str">
            <v>PUR-09-0434-00</v>
          </cell>
          <cell r="F23486">
            <v>479730145612</v>
          </cell>
        </row>
        <row r="23487">
          <cell r="E23487" t="str">
            <v>LUC-EZZ-400231-00</v>
          </cell>
          <cell r="F23487">
            <v>479730144031</v>
          </cell>
        </row>
        <row r="23488">
          <cell r="E23488" t="str">
            <v>LUC-EZZ-400242-00</v>
          </cell>
          <cell r="F23488">
            <v>479730142337</v>
          </cell>
        </row>
        <row r="23489">
          <cell r="E23489" t="str">
            <v>HLOB-21-0009-00</v>
          </cell>
          <cell r="F23489">
            <v>479730145748</v>
          </cell>
        </row>
        <row r="23490">
          <cell r="E23490" t="str">
            <v>LUC-E00-470137-00</v>
          </cell>
          <cell r="F23490">
            <v>885693725567</v>
          </cell>
        </row>
        <row r="23491">
          <cell r="E23491" t="str">
            <v>EF-45051535</v>
          </cell>
          <cell r="F23491">
            <v>489078658943</v>
          </cell>
        </row>
        <row r="23492">
          <cell r="E23492" t="str">
            <v>120-010212.X.X</v>
          </cell>
          <cell r="F23492">
            <v>484705394213</v>
          </cell>
        </row>
        <row r="23493">
          <cell r="E23493" t="str">
            <v>LUC-E00-690011-00</v>
          </cell>
          <cell r="F23493">
            <v>394903752080</v>
          </cell>
        </row>
        <row r="23494">
          <cell r="E23494" t="str">
            <v>EF-45092354.X.X</v>
          </cell>
          <cell r="F23494">
            <v>472187585615</v>
          </cell>
        </row>
        <row r="23495">
          <cell r="E23495" t="str">
            <v>EF-45092354.X.X</v>
          </cell>
          <cell r="F23495">
            <v>472187585615</v>
          </cell>
        </row>
        <row r="23496">
          <cell r="E23496" t="str">
            <v>LUC-P11-K41700-00</v>
          </cell>
          <cell r="F23496">
            <v>486382414469</v>
          </cell>
        </row>
        <row r="23497">
          <cell r="E23497" t="str">
            <v>EF-45223815</v>
          </cell>
          <cell r="F23497">
            <v>480081558402</v>
          </cell>
        </row>
        <row r="23498">
          <cell r="E23498" t="str">
            <v>LUC-EZZ-400780-00</v>
          </cell>
          <cell r="F23498">
            <v>480081558402</v>
          </cell>
        </row>
        <row r="23499">
          <cell r="E23499" t="str">
            <v>LUC-E00-420052-00</v>
          </cell>
          <cell r="F23499">
            <v>480081558402</v>
          </cell>
        </row>
        <row r="23500">
          <cell r="E23500" t="str">
            <v>121-006115</v>
          </cell>
          <cell r="F23500">
            <v>480081558402</v>
          </cell>
        </row>
        <row r="23501">
          <cell r="E23501" t="str">
            <v>122-000973.X.X</v>
          </cell>
          <cell r="F23501">
            <v>480081558402</v>
          </cell>
        </row>
        <row r="23502">
          <cell r="E23502" t="str">
            <v>122-003389</v>
          </cell>
          <cell r="F23502">
            <v>480081558402</v>
          </cell>
        </row>
        <row r="23503">
          <cell r="E23503" t="str">
            <v>LUC-EZZ-420527-00</v>
          </cell>
          <cell r="F23503">
            <v>480081558402</v>
          </cell>
        </row>
        <row r="23504">
          <cell r="E23504" t="str">
            <v>122-004309</v>
          </cell>
          <cell r="F23504">
            <v>480081558402</v>
          </cell>
        </row>
        <row r="23505">
          <cell r="E23505" t="str">
            <v>121-004199</v>
          </cell>
          <cell r="F23505">
            <v>480081558402</v>
          </cell>
        </row>
        <row r="23506">
          <cell r="E23506" t="str">
            <v>121-003698</v>
          </cell>
          <cell r="F23506">
            <v>480081558402</v>
          </cell>
        </row>
        <row r="23507">
          <cell r="E23507" t="str">
            <v>121-004197</v>
          </cell>
          <cell r="F23507">
            <v>480081558402</v>
          </cell>
        </row>
        <row r="23508">
          <cell r="E23508" t="str">
            <v>LUC-E00-420028-00</v>
          </cell>
          <cell r="F23508">
            <v>480081558402</v>
          </cell>
        </row>
        <row r="23509">
          <cell r="E23509" t="str">
            <v>LUC-EZZ-400192-00</v>
          </cell>
          <cell r="F23509">
            <v>480081558402</v>
          </cell>
        </row>
        <row r="23510">
          <cell r="E23510" t="str">
            <v>EF-45079919</v>
          </cell>
          <cell r="F23510">
            <v>480081558402</v>
          </cell>
        </row>
        <row r="23511">
          <cell r="E23511" t="str">
            <v>133-001080</v>
          </cell>
          <cell r="F23511">
            <v>480081558402</v>
          </cell>
        </row>
        <row r="23512">
          <cell r="E23512" t="str">
            <v>LUC-E00-470318-00</v>
          </cell>
          <cell r="F23512">
            <v>480081558402</v>
          </cell>
        </row>
        <row r="23513">
          <cell r="E23513" t="str">
            <v>LUC-P11-K41300-00</v>
          </cell>
          <cell r="F23513">
            <v>480081558402</v>
          </cell>
        </row>
        <row r="23514">
          <cell r="E23514" t="str">
            <v>LUC-EZZ-420345-00</v>
          </cell>
          <cell r="F23514">
            <v>480081558402</v>
          </cell>
        </row>
        <row r="23515">
          <cell r="E23515" t="str">
            <v>LUC-E00-460005-00</v>
          </cell>
          <cell r="F23515">
            <v>480081558402</v>
          </cell>
        </row>
        <row r="23516">
          <cell r="E23516" t="str">
            <v>LUC-E00-470049-00</v>
          </cell>
          <cell r="F23516">
            <v>480081558402</v>
          </cell>
        </row>
        <row r="23517">
          <cell r="E23517" t="str">
            <v>122-003376</v>
          </cell>
          <cell r="F23517">
            <v>480081558402</v>
          </cell>
        </row>
        <row r="23518">
          <cell r="E23518" t="str">
            <v>LUC-E00-470062-00</v>
          </cell>
          <cell r="F23518">
            <v>480081558402</v>
          </cell>
        </row>
        <row r="23519">
          <cell r="E23519" t="str">
            <v>109-001593</v>
          </cell>
          <cell r="F23519">
            <v>480081558402</v>
          </cell>
        </row>
        <row r="23520">
          <cell r="E23520" t="str">
            <v>121-001161.X.X</v>
          </cell>
          <cell r="F23520">
            <v>480081558402</v>
          </cell>
        </row>
        <row r="23521">
          <cell r="E23521" t="str">
            <v>121-001057.X.X</v>
          </cell>
          <cell r="F23521">
            <v>480081558402</v>
          </cell>
        </row>
        <row r="23522">
          <cell r="E23522" t="str">
            <v>121-001012.X.X</v>
          </cell>
          <cell r="F23522">
            <v>480081558402</v>
          </cell>
        </row>
        <row r="23523">
          <cell r="E23523" t="str">
            <v>121-001007.X.X</v>
          </cell>
          <cell r="F23523">
            <v>480081558402</v>
          </cell>
        </row>
        <row r="23524">
          <cell r="E23524" t="str">
            <v>121-001423</v>
          </cell>
          <cell r="F23524">
            <v>480081558402</v>
          </cell>
        </row>
        <row r="23525">
          <cell r="E23525" t="str">
            <v>LUC-E00-460005-00</v>
          </cell>
          <cell r="F23525">
            <v>480081558402</v>
          </cell>
        </row>
        <row r="23526">
          <cell r="E23526" t="str">
            <v>168-001103</v>
          </cell>
          <cell r="F23526">
            <v>480081558402</v>
          </cell>
        </row>
        <row r="23527">
          <cell r="E23527" t="str">
            <v>109-001446</v>
          </cell>
          <cell r="F23527">
            <v>480081558402</v>
          </cell>
        </row>
        <row r="23528">
          <cell r="E23528" t="str">
            <v>126-001973</v>
          </cell>
          <cell r="F23528">
            <v>480081558402</v>
          </cell>
        </row>
        <row r="23529">
          <cell r="E23529" t="str">
            <v>124-002445</v>
          </cell>
          <cell r="F23529">
            <v>480081558402</v>
          </cell>
        </row>
        <row r="23530">
          <cell r="E23530" t="str">
            <v>121-003814</v>
          </cell>
          <cell r="F23530">
            <v>480081558402</v>
          </cell>
        </row>
        <row r="23531">
          <cell r="E23531" t="str">
            <v>121-003815</v>
          </cell>
          <cell r="F23531">
            <v>480081558402</v>
          </cell>
        </row>
        <row r="23532">
          <cell r="E23532" t="str">
            <v>174-001342</v>
          </cell>
          <cell r="F23532">
            <v>480081558402</v>
          </cell>
        </row>
        <row r="23533">
          <cell r="E23533" t="str">
            <v>183-001039</v>
          </cell>
          <cell r="F23533">
            <v>480081558402</v>
          </cell>
        </row>
        <row r="23534">
          <cell r="E23534" t="str">
            <v>126-001912</v>
          </cell>
          <cell r="F23534">
            <v>480081558402</v>
          </cell>
        </row>
        <row r="23535">
          <cell r="E23535" t="str">
            <v>121-004027</v>
          </cell>
          <cell r="F23535">
            <v>480081558402</v>
          </cell>
        </row>
        <row r="23536">
          <cell r="E23536" t="str">
            <v>124-001322</v>
          </cell>
          <cell r="F23536">
            <v>480081558402</v>
          </cell>
        </row>
        <row r="23537">
          <cell r="E23537" t="str">
            <v>109-001445</v>
          </cell>
          <cell r="F23537">
            <v>480081558402</v>
          </cell>
        </row>
        <row r="23538">
          <cell r="E23538" t="str">
            <v>LUC-EZZ-471023-00</v>
          </cell>
          <cell r="F23538">
            <v>480081558402</v>
          </cell>
        </row>
        <row r="23539">
          <cell r="E23539" t="str">
            <v>LUC-EZZ-471023-00</v>
          </cell>
          <cell r="F23539">
            <v>480081558402</v>
          </cell>
        </row>
        <row r="23540">
          <cell r="E23540" t="str">
            <v>121-001299.X.X</v>
          </cell>
          <cell r="F23540">
            <v>480081558402</v>
          </cell>
        </row>
        <row r="23541">
          <cell r="E23541" t="str">
            <v>121-000849.X.X</v>
          </cell>
          <cell r="F23541">
            <v>480081558402</v>
          </cell>
        </row>
        <row r="23542">
          <cell r="E23542" t="str">
            <v>121-004600</v>
          </cell>
          <cell r="F23542">
            <v>480081558402</v>
          </cell>
        </row>
        <row r="23543">
          <cell r="E23543" t="str">
            <v>121-001182.X.X</v>
          </cell>
          <cell r="F23543">
            <v>480081558402</v>
          </cell>
        </row>
        <row r="23544">
          <cell r="E23544" t="str">
            <v>121-003699</v>
          </cell>
          <cell r="F23544">
            <v>480081558402</v>
          </cell>
        </row>
        <row r="23545">
          <cell r="E23545" t="str">
            <v>LUC-E00-450030-00</v>
          </cell>
          <cell r="F23545">
            <v>7386373330</v>
          </cell>
        </row>
        <row r="23546">
          <cell r="E23546" t="str">
            <v>LUC-E00-510021-00</v>
          </cell>
          <cell r="F23546">
            <v>7386373330</v>
          </cell>
        </row>
        <row r="23547">
          <cell r="E23547" t="str">
            <v>LUC-E00-450132-00</v>
          </cell>
          <cell r="F23547">
            <v>7386373330</v>
          </cell>
        </row>
        <row r="23548">
          <cell r="E23548" t="str">
            <v>LUC-E00-450132-00</v>
          </cell>
          <cell r="F23548">
            <v>7386373330</v>
          </cell>
        </row>
        <row r="23549">
          <cell r="E23549" t="str">
            <v>LUC-EZZ-421706-00</v>
          </cell>
          <cell r="F23549">
            <v>7386373330</v>
          </cell>
        </row>
        <row r="23550">
          <cell r="E23550" t="str">
            <v>122-004308</v>
          </cell>
          <cell r="F23550">
            <v>7386373330</v>
          </cell>
        </row>
        <row r="23551">
          <cell r="E23551" t="str">
            <v>122-004224</v>
          </cell>
          <cell r="F23551">
            <v>7386373330</v>
          </cell>
        </row>
        <row r="23552">
          <cell r="E23552" t="str">
            <v>LUC-E00-400010-048</v>
          </cell>
          <cell r="F23552">
            <v>7386373330</v>
          </cell>
        </row>
        <row r="23553">
          <cell r="E23553" t="str">
            <v>LUC-E00-420027-04</v>
          </cell>
          <cell r="F23553">
            <v>7386373330</v>
          </cell>
        </row>
        <row r="23554">
          <cell r="E23554" t="str">
            <v>LUC-E00-420027-04</v>
          </cell>
          <cell r="F23554">
            <v>7386373330</v>
          </cell>
        </row>
        <row r="23555">
          <cell r="E23555" t="str">
            <v>LUC-E00-420027-04</v>
          </cell>
          <cell r="F23555">
            <v>7386373330</v>
          </cell>
        </row>
        <row r="23556">
          <cell r="E23556" t="str">
            <v>LUC-E00-470009-00</v>
          </cell>
          <cell r="F23556">
            <v>7386373330</v>
          </cell>
        </row>
        <row r="23557">
          <cell r="E23557" t="str">
            <v>LUC-E00-470009-00</v>
          </cell>
          <cell r="F23557">
            <v>7386373330</v>
          </cell>
        </row>
        <row r="23558">
          <cell r="E23558" t="str">
            <v>LUC-EZZ-400204-00</v>
          </cell>
          <cell r="F23558">
            <v>7386373330</v>
          </cell>
        </row>
        <row r="23559">
          <cell r="E23559" t="str">
            <v>LUC-E00-400003-011</v>
          </cell>
          <cell r="F23559">
            <v>7386373330</v>
          </cell>
        </row>
        <row r="23560">
          <cell r="E23560" t="str">
            <v>LUC-E00-420054-00</v>
          </cell>
          <cell r="F23560">
            <v>7386373330</v>
          </cell>
        </row>
        <row r="23561">
          <cell r="E23561" t="str">
            <v>LUC-E00-400010-034</v>
          </cell>
          <cell r="F23561">
            <v>7386373330</v>
          </cell>
        </row>
        <row r="23562">
          <cell r="E23562" t="str">
            <v>LUC-E00-470242-00</v>
          </cell>
          <cell r="F23562">
            <v>7386373330</v>
          </cell>
        </row>
        <row r="23563">
          <cell r="E23563" t="str">
            <v>LUC-E00-420054-00</v>
          </cell>
          <cell r="F23563">
            <v>7386373330</v>
          </cell>
        </row>
        <row r="23564">
          <cell r="E23564" t="str">
            <v>LUC-E00-510045-00</v>
          </cell>
          <cell r="F23564">
            <v>7386373330</v>
          </cell>
        </row>
        <row r="23565">
          <cell r="E23565" t="str">
            <v>LUC-E00-510045-00</v>
          </cell>
          <cell r="F23565">
            <v>7386373330</v>
          </cell>
        </row>
        <row r="23566">
          <cell r="E23566" t="str">
            <v>LUC-EZZ-400301-00</v>
          </cell>
          <cell r="F23566">
            <v>7386373330</v>
          </cell>
        </row>
        <row r="23567">
          <cell r="E23567" t="str">
            <v>LUC-EZZ-400231-00</v>
          </cell>
          <cell r="F23567">
            <v>7386373330</v>
          </cell>
        </row>
        <row r="23568">
          <cell r="E23568" t="str">
            <v>LUC-EZZ-400231-00</v>
          </cell>
          <cell r="F23568">
            <v>7386373330</v>
          </cell>
        </row>
        <row r="23569">
          <cell r="E23569" t="str">
            <v>LUC-E00-470089-00</v>
          </cell>
          <cell r="F23569">
            <v>7386373330</v>
          </cell>
        </row>
        <row r="23570">
          <cell r="E23570" t="str">
            <v>LUC-EZZ-400543-00</v>
          </cell>
          <cell r="F23570">
            <v>7386373330</v>
          </cell>
        </row>
        <row r="23571">
          <cell r="E23571" t="str">
            <v>LUC-E00-420045-02</v>
          </cell>
          <cell r="F23571">
            <v>7386373330</v>
          </cell>
        </row>
        <row r="23572">
          <cell r="E23572" t="str">
            <v>LUC-E00-420045-02</v>
          </cell>
          <cell r="F23572">
            <v>7386373330</v>
          </cell>
        </row>
        <row r="23573">
          <cell r="E23573" t="str">
            <v>LUC-E00-470118-00</v>
          </cell>
          <cell r="F23573">
            <v>7386373330</v>
          </cell>
        </row>
        <row r="23574">
          <cell r="E23574" t="str">
            <v>LUC-EZZ-470152-01</v>
          </cell>
          <cell r="F23574">
            <v>7386373330</v>
          </cell>
        </row>
        <row r="23575">
          <cell r="E23575" t="str">
            <v>LUC-E00-400010-026</v>
          </cell>
          <cell r="F23575">
            <v>7386373330</v>
          </cell>
        </row>
        <row r="23576">
          <cell r="E23576" t="str">
            <v>LUC-EZZ-400231-00</v>
          </cell>
          <cell r="F23576">
            <v>7386373330</v>
          </cell>
        </row>
        <row r="23577">
          <cell r="E23577" t="str">
            <v>LUC-EZZ-400231-00</v>
          </cell>
          <cell r="F23577">
            <v>7386373330</v>
          </cell>
        </row>
        <row r="23578">
          <cell r="E23578" t="str">
            <v>LUC-EZZ-420090-00</v>
          </cell>
          <cell r="F23578">
            <v>7386373330</v>
          </cell>
        </row>
        <row r="23579">
          <cell r="E23579" t="str">
            <v>LUC-E00-470060-00</v>
          </cell>
          <cell r="F23579">
            <v>7386373330</v>
          </cell>
        </row>
        <row r="23580">
          <cell r="E23580" t="str">
            <v>LUC-E00-470059-00</v>
          </cell>
          <cell r="F23580">
            <v>7386373330</v>
          </cell>
        </row>
        <row r="23581">
          <cell r="E23581" t="str">
            <v>LUC-E00-470059-00</v>
          </cell>
          <cell r="F23581">
            <v>7386373330</v>
          </cell>
        </row>
        <row r="23582">
          <cell r="E23582" t="str">
            <v>LUC-E00-470059-00</v>
          </cell>
          <cell r="F23582">
            <v>7386373330</v>
          </cell>
        </row>
        <row r="23583">
          <cell r="E23583" t="str">
            <v>LUC-E00-470265-00</v>
          </cell>
          <cell r="F23583">
            <v>7386373330</v>
          </cell>
        </row>
        <row r="23584">
          <cell r="E23584" t="str">
            <v>LUC-EZZ-401720-00</v>
          </cell>
          <cell r="F23584">
            <v>7386373330</v>
          </cell>
        </row>
        <row r="23585">
          <cell r="E23585" t="str">
            <v>LUC-E00-400010-037</v>
          </cell>
          <cell r="F23585">
            <v>7386373330</v>
          </cell>
        </row>
        <row r="23586">
          <cell r="E23586" t="str">
            <v>LUC-E00-420076-00</v>
          </cell>
          <cell r="F23586">
            <v>7386373330</v>
          </cell>
        </row>
        <row r="23587">
          <cell r="E23587" t="str">
            <v>LUC-E00-420076-00</v>
          </cell>
          <cell r="F23587">
            <v>7386373330</v>
          </cell>
        </row>
        <row r="23588">
          <cell r="E23588" t="str">
            <v>LUC-EZZ-420102-00</v>
          </cell>
          <cell r="F23588">
            <v>7386373330</v>
          </cell>
        </row>
        <row r="23589">
          <cell r="E23589" t="str">
            <v>LUC-EZZ-420014-00</v>
          </cell>
          <cell r="F23589">
            <v>7386373330</v>
          </cell>
        </row>
        <row r="23590">
          <cell r="E23590" t="str">
            <v>LUC-EZZ-420174-00</v>
          </cell>
          <cell r="F23590">
            <v>7386373330</v>
          </cell>
        </row>
        <row r="23591">
          <cell r="E23591" t="str">
            <v>LUC-E00-470082-00</v>
          </cell>
          <cell r="F23591">
            <v>7386373330</v>
          </cell>
        </row>
        <row r="23592">
          <cell r="E23592" t="str">
            <v>LUC-E00-470082-00</v>
          </cell>
          <cell r="F23592">
            <v>7386373330</v>
          </cell>
        </row>
        <row r="23593">
          <cell r="E23593" t="str">
            <v>LUC-EZZ-420352-00</v>
          </cell>
          <cell r="F23593">
            <v>7386373330</v>
          </cell>
        </row>
        <row r="23594">
          <cell r="E23594" t="str">
            <v>LUC-E00-540004-00</v>
          </cell>
          <cell r="F23594">
            <v>7386373330</v>
          </cell>
        </row>
        <row r="23595">
          <cell r="E23595" t="str">
            <v>LUC-EZZ-510080-00</v>
          </cell>
          <cell r="F23595">
            <v>7386373330</v>
          </cell>
        </row>
        <row r="23596">
          <cell r="E23596" t="str">
            <v>LUC-E00-510016-00</v>
          </cell>
          <cell r="F23596">
            <v>7386373330</v>
          </cell>
        </row>
        <row r="23597">
          <cell r="E23597" t="str">
            <v>LUC-E00-510016-00</v>
          </cell>
          <cell r="F23597">
            <v>7386373330</v>
          </cell>
        </row>
        <row r="23598">
          <cell r="E23598" t="str">
            <v>LUC-E00-470090-00</v>
          </cell>
          <cell r="F23598">
            <v>7386373330</v>
          </cell>
        </row>
        <row r="23599">
          <cell r="E23599" t="str">
            <v>LUC-EZZ-450108-00</v>
          </cell>
          <cell r="F23599">
            <v>7386373330</v>
          </cell>
        </row>
        <row r="23600">
          <cell r="E23600" t="str">
            <v>LUC-EZZ-420121-00</v>
          </cell>
          <cell r="F23600">
            <v>7386373330</v>
          </cell>
        </row>
        <row r="23601">
          <cell r="E23601" t="str">
            <v>LUC-EZZ-451368-00</v>
          </cell>
          <cell r="F23601">
            <v>7386373330</v>
          </cell>
        </row>
        <row r="23602">
          <cell r="E23602" t="str">
            <v>LUC-EZZ-451368-00</v>
          </cell>
          <cell r="F23602">
            <v>7386373330</v>
          </cell>
        </row>
        <row r="23603">
          <cell r="E23603" t="str">
            <v>LUC-E00-510021-00</v>
          </cell>
          <cell r="F23603">
            <v>7386373330</v>
          </cell>
        </row>
        <row r="23604">
          <cell r="E23604" t="str">
            <v>LUC-E00-510021-00</v>
          </cell>
          <cell r="F23604">
            <v>7386373330</v>
          </cell>
        </row>
        <row r="23605">
          <cell r="E23605" t="str">
            <v>LUC-E00-420037-09</v>
          </cell>
          <cell r="F23605">
            <v>7386373330</v>
          </cell>
        </row>
        <row r="23606">
          <cell r="E23606" t="str">
            <v>LUC-E00-420037-09</v>
          </cell>
          <cell r="F23606">
            <v>7386373330</v>
          </cell>
        </row>
        <row r="23607">
          <cell r="E23607" t="str">
            <v>LUC-EZZ-400210-00</v>
          </cell>
          <cell r="F23607">
            <v>7386373330</v>
          </cell>
        </row>
        <row r="23608">
          <cell r="E23608" t="str">
            <v>LUC-E00-470175-00</v>
          </cell>
          <cell r="F23608">
            <v>7386373330</v>
          </cell>
        </row>
        <row r="23609">
          <cell r="E23609" t="str">
            <v>LUC-E00-470175-00</v>
          </cell>
          <cell r="F23609">
            <v>7386373330</v>
          </cell>
        </row>
        <row r="23610">
          <cell r="E23610" t="str">
            <v>LUC-E00-420037-04</v>
          </cell>
          <cell r="F23610">
            <v>7386373330</v>
          </cell>
        </row>
        <row r="23611">
          <cell r="E23611" t="str">
            <v>LUC-EZZ-450835-00</v>
          </cell>
          <cell r="F23611">
            <v>7386373330</v>
          </cell>
        </row>
        <row r="23612">
          <cell r="E23612" t="str">
            <v>LUC-EZZ-400606-00</v>
          </cell>
          <cell r="F23612">
            <v>7386373330</v>
          </cell>
        </row>
        <row r="23613">
          <cell r="E23613" t="str">
            <v>LUC-E00-470343-00</v>
          </cell>
          <cell r="F23613">
            <v>7386373330</v>
          </cell>
        </row>
        <row r="23614">
          <cell r="E23614" t="str">
            <v>LUC-EZZ-470136-00</v>
          </cell>
          <cell r="F23614">
            <v>7386373330</v>
          </cell>
        </row>
        <row r="23615">
          <cell r="E23615" t="str">
            <v>LUC-EZZ-510639-00</v>
          </cell>
          <cell r="F23615">
            <v>7386373330</v>
          </cell>
        </row>
        <row r="23616">
          <cell r="E23616" t="str">
            <v>LUC-EZZ-420136-00</v>
          </cell>
          <cell r="F23616">
            <v>7386373330</v>
          </cell>
        </row>
        <row r="23617">
          <cell r="E23617" t="str">
            <v>LUC-EZZ-420102-00</v>
          </cell>
          <cell r="F23617">
            <v>7386373330</v>
          </cell>
        </row>
        <row r="23618">
          <cell r="E23618" t="str">
            <v>LUC-EZZ-420174-00</v>
          </cell>
          <cell r="F23618">
            <v>7386373330</v>
          </cell>
        </row>
        <row r="23619">
          <cell r="E23619" t="str">
            <v>LUC-E00-540004-00</v>
          </cell>
          <cell r="F23619">
            <v>7386373330</v>
          </cell>
        </row>
        <row r="23620">
          <cell r="E23620" t="str">
            <v>LUC-EZZ-440169-00</v>
          </cell>
          <cell r="F23620">
            <v>7386373330</v>
          </cell>
        </row>
        <row r="23621">
          <cell r="E23621" t="str">
            <v>LUC-E00-440097-00</v>
          </cell>
          <cell r="F23621">
            <v>7386373330</v>
          </cell>
        </row>
        <row r="23622">
          <cell r="E23622" t="str">
            <v>LUC-E00-440097-00</v>
          </cell>
          <cell r="F23622">
            <v>7386373330</v>
          </cell>
        </row>
        <row r="23623">
          <cell r="E23623" t="str">
            <v>LUC-E00-460034-00</v>
          </cell>
          <cell r="F23623">
            <v>7386373330</v>
          </cell>
        </row>
        <row r="23624">
          <cell r="E23624" t="str">
            <v>LUC-E00-400010-007</v>
          </cell>
          <cell r="F23624">
            <v>7386373330</v>
          </cell>
        </row>
        <row r="23625">
          <cell r="E23625" t="str">
            <v>LUC-EZZ-421706-00</v>
          </cell>
          <cell r="F23625">
            <v>7386373330</v>
          </cell>
        </row>
        <row r="23626">
          <cell r="E23626" t="str">
            <v>LUC-E00-400010-028</v>
          </cell>
          <cell r="F23626">
            <v>7386373330</v>
          </cell>
        </row>
        <row r="23627">
          <cell r="E23627" t="str">
            <v>LUC-E00-510037-00</v>
          </cell>
          <cell r="F23627">
            <v>7386373330</v>
          </cell>
        </row>
        <row r="23628">
          <cell r="E23628" t="str">
            <v>LUC-E00-470330-00</v>
          </cell>
          <cell r="F23628">
            <v>7386373330</v>
          </cell>
        </row>
        <row r="23629">
          <cell r="E23629" t="str">
            <v>LUC-E00-470343-00</v>
          </cell>
          <cell r="F23629">
            <v>7386373330</v>
          </cell>
        </row>
        <row r="23630">
          <cell r="E23630" t="str">
            <v>LUC-E00-510028-00</v>
          </cell>
          <cell r="F23630">
            <v>7386373330</v>
          </cell>
        </row>
        <row r="23631">
          <cell r="E23631" t="str">
            <v>LUC-EZZ-400221-00</v>
          </cell>
          <cell r="F23631">
            <v>7386373330</v>
          </cell>
        </row>
        <row r="23632">
          <cell r="E23632" t="str">
            <v>LUC-E00-510037-00</v>
          </cell>
          <cell r="F23632">
            <v>7386373330</v>
          </cell>
        </row>
        <row r="23633">
          <cell r="E23633" t="str">
            <v>LUC-E00-510037-00</v>
          </cell>
          <cell r="F23633">
            <v>7386373330</v>
          </cell>
        </row>
        <row r="23634">
          <cell r="E23634" t="str">
            <v>LUC-EZZ-400269-00</v>
          </cell>
          <cell r="F23634">
            <v>7386373330</v>
          </cell>
        </row>
        <row r="23635">
          <cell r="E23635" t="str">
            <v>LUC-EZZ-470136-00</v>
          </cell>
          <cell r="F23635">
            <v>7386373330</v>
          </cell>
        </row>
        <row r="23636">
          <cell r="E23636" t="str">
            <v>LUC-EZZ-470136-00</v>
          </cell>
          <cell r="F23636">
            <v>7386373330</v>
          </cell>
        </row>
        <row r="23637">
          <cell r="E23637" t="str">
            <v>LUC-EZZ-470136-00</v>
          </cell>
          <cell r="F23637">
            <v>7386373330</v>
          </cell>
        </row>
        <row r="23638">
          <cell r="E23638" t="str">
            <v>LUC-E00-510019-00</v>
          </cell>
          <cell r="F23638">
            <v>7386373330</v>
          </cell>
        </row>
        <row r="23639">
          <cell r="E23639" t="str">
            <v>LUC-EZZ-400218-00</v>
          </cell>
          <cell r="F23639">
            <v>7386373330</v>
          </cell>
        </row>
        <row r="23640">
          <cell r="E23640" t="str">
            <v>LUC-E00-400010-009</v>
          </cell>
          <cell r="F23640">
            <v>7386373330</v>
          </cell>
        </row>
        <row r="23641">
          <cell r="E23641" t="str">
            <v>LUC-E00-420241-00</v>
          </cell>
          <cell r="F23641">
            <v>7386373330</v>
          </cell>
        </row>
        <row r="23642">
          <cell r="E23642" t="str">
            <v>LUC-E00-470077-00</v>
          </cell>
          <cell r="F23642">
            <v>7386373330</v>
          </cell>
        </row>
        <row r="23643">
          <cell r="E23643" t="str">
            <v>LUC-E00-470077-00</v>
          </cell>
          <cell r="F23643">
            <v>7386373330</v>
          </cell>
        </row>
        <row r="23644">
          <cell r="E23644" t="str">
            <v>LUC-E00-420020-03</v>
          </cell>
          <cell r="F23644">
            <v>7386373330</v>
          </cell>
        </row>
        <row r="23645">
          <cell r="E23645" t="str">
            <v>LUC-E00-690020-00</v>
          </cell>
          <cell r="F23645">
            <v>7386373330</v>
          </cell>
        </row>
        <row r="23646">
          <cell r="E23646" t="str">
            <v>LUC-E00-460015-01</v>
          </cell>
          <cell r="F23646">
            <v>7386373330</v>
          </cell>
        </row>
        <row r="23647">
          <cell r="E23647" t="str">
            <v>LUC-E00-400010-008</v>
          </cell>
          <cell r="F23647">
            <v>7386373330</v>
          </cell>
        </row>
        <row r="23648">
          <cell r="E23648" t="str">
            <v>LUC-E00-470047-00</v>
          </cell>
          <cell r="F23648">
            <v>7386373330</v>
          </cell>
        </row>
        <row r="23649">
          <cell r="E23649" t="str">
            <v>LUC-E00-470047-00</v>
          </cell>
          <cell r="F23649">
            <v>7386373330</v>
          </cell>
        </row>
        <row r="23650">
          <cell r="E23650" t="str">
            <v>LUC-E00-460015-01</v>
          </cell>
          <cell r="F23650">
            <v>7386373330</v>
          </cell>
        </row>
        <row r="23651">
          <cell r="E23651" t="str">
            <v>LUC-EZZ-400414-00</v>
          </cell>
          <cell r="F23651">
            <v>7386373330</v>
          </cell>
        </row>
        <row r="23652">
          <cell r="E23652" t="str">
            <v>LUC-EZZ-400414-00</v>
          </cell>
          <cell r="F23652">
            <v>7386373330</v>
          </cell>
        </row>
        <row r="23653">
          <cell r="E23653" t="str">
            <v>LUC-EZZ-400414-00</v>
          </cell>
          <cell r="F23653">
            <v>7386373330</v>
          </cell>
        </row>
        <row r="23654">
          <cell r="E23654" t="str">
            <v>LUC-EZZ-401720-00</v>
          </cell>
          <cell r="F23654">
            <v>7386373330</v>
          </cell>
        </row>
        <row r="23655">
          <cell r="E23655" t="str">
            <v>LUC-E00-400010-010</v>
          </cell>
          <cell r="F23655">
            <v>7386373330</v>
          </cell>
        </row>
        <row r="23656">
          <cell r="E23656" t="str">
            <v>LUC-E00-450052-00</v>
          </cell>
          <cell r="F23656">
            <v>7386373330</v>
          </cell>
        </row>
        <row r="23657">
          <cell r="E23657" t="str">
            <v>LUC-EZZ-400265-00</v>
          </cell>
          <cell r="F23657">
            <v>7386373330</v>
          </cell>
        </row>
        <row r="23658">
          <cell r="E23658" t="str">
            <v>LUC-EZZ-420102-00</v>
          </cell>
          <cell r="F23658">
            <v>7386373330</v>
          </cell>
        </row>
        <row r="23659">
          <cell r="E23659" t="str">
            <v>LUC-EZZ-420102-00</v>
          </cell>
          <cell r="F23659">
            <v>7386373330</v>
          </cell>
        </row>
        <row r="23660">
          <cell r="E23660" t="str">
            <v>LUC-E00-420052-00</v>
          </cell>
          <cell r="F23660">
            <v>7386373330</v>
          </cell>
        </row>
        <row r="23661">
          <cell r="E23661" t="str">
            <v>LUC-E00-420055-09</v>
          </cell>
          <cell r="F23661">
            <v>7386373330</v>
          </cell>
        </row>
        <row r="23662">
          <cell r="E23662" t="str">
            <v>LUC-E00-420171-00</v>
          </cell>
          <cell r="F23662">
            <v>7386373330</v>
          </cell>
        </row>
        <row r="23663">
          <cell r="E23663" t="str">
            <v>LUC-E00-510084-00</v>
          </cell>
          <cell r="F23663">
            <v>7386373330</v>
          </cell>
        </row>
        <row r="23664">
          <cell r="E23664" t="str">
            <v>LUC-E00-510084-00</v>
          </cell>
          <cell r="F23664">
            <v>7386373330</v>
          </cell>
        </row>
        <row r="23665">
          <cell r="E23665" t="str">
            <v>LUC-E00-510031-00</v>
          </cell>
          <cell r="F23665">
            <v>7386373330</v>
          </cell>
        </row>
        <row r="23666">
          <cell r="E23666" t="str">
            <v>LUC-E00-510031-00</v>
          </cell>
          <cell r="F23666">
            <v>7386373330</v>
          </cell>
        </row>
        <row r="23667">
          <cell r="E23667" t="str">
            <v>LUC-E00-450060-00</v>
          </cell>
          <cell r="F23667">
            <v>7386373330</v>
          </cell>
        </row>
        <row r="23668">
          <cell r="E23668" t="str">
            <v>LUC-E00-400010-022</v>
          </cell>
          <cell r="F23668">
            <v>7386373330</v>
          </cell>
        </row>
        <row r="23669">
          <cell r="E23669" t="str">
            <v>LUC-E00-470059-00</v>
          </cell>
          <cell r="F23669">
            <v>7386373330</v>
          </cell>
        </row>
        <row r="23670">
          <cell r="E23670" t="str">
            <v>LUC-E00-470060-00</v>
          </cell>
          <cell r="F23670">
            <v>7386373330</v>
          </cell>
        </row>
        <row r="23671">
          <cell r="E23671" t="str">
            <v>LUC-E00-470060-00</v>
          </cell>
          <cell r="F23671">
            <v>7386373330</v>
          </cell>
        </row>
        <row r="23672">
          <cell r="E23672" t="str">
            <v>LUC-E00-470060-00</v>
          </cell>
          <cell r="F23672">
            <v>7386373330</v>
          </cell>
        </row>
        <row r="23673">
          <cell r="E23673" t="str">
            <v>LUC-EZZ-400261-00</v>
          </cell>
          <cell r="F23673">
            <v>7386373330</v>
          </cell>
        </row>
        <row r="23674">
          <cell r="E23674" t="str">
            <v>LUC-EZZ-400162-00</v>
          </cell>
          <cell r="F23674">
            <v>7386373330</v>
          </cell>
        </row>
        <row r="23675">
          <cell r="E23675" t="str">
            <v>LUC-E00-470048-00</v>
          </cell>
          <cell r="F23675">
            <v>7386373330</v>
          </cell>
        </row>
        <row r="23676">
          <cell r="E23676" t="str">
            <v>LUC-E00-470301-00</v>
          </cell>
          <cell r="F23676">
            <v>7386373330</v>
          </cell>
        </row>
        <row r="23677">
          <cell r="E23677" t="str">
            <v>LUC-EZZ-420046-00</v>
          </cell>
          <cell r="F23677">
            <v>7386373330</v>
          </cell>
        </row>
        <row r="23678">
          <cell r="E23678" t="str">
            <v>LUC-EZZ-450149-00</v>
          </cell>
          <cell r="F23678">
            <v>7386373330</v>
          </cell>
        </row>
        <row r="23679">
          <cell r="E23679" t="str">
            <v>LUC-EZZ-510080-00</v>
          </cell>
          <cell r="F23679">
            <v>7386373330</v>
          </cell>
        </row>
        <row r="23680">
          <cell r="E23680" t="str">
            <v>LUC-EZZ-510080-00</v>
          </cell>
          <cell r="F23680">
            <v>7386373330</v>
          </cell>
        </row>
        <row r="23681">
          <cell r="E23681" t="str">
            <v>LUC-EZZ-400231-00</v>
          </cell>
          <cell r="F23681">
            <v>7386373330</v>
          </cell>
        </row>
        <row r="23682">
          <cell r="E23682" t="str">
            <v>LUC-EZZ-400231-00</v>
          </cell>
          <cell r="F23682">
            <v>7386373330</v>
          </cell>
        </row>
        <row r="23683">
          <cell r="E23683" t="str">
            <v>LUC-E00-420060-00</v>
          </cell>
          <cell r="F23683">
            <v>7386373330</v>
          </cell>
        </row>
        <row r="23684">
          <cell r="E23684" t="str">
            <v>LUC-EZZ-420174-00</v>
          </cell>
          <cell r="F23684">
            <v>7386373330</v>
          </cell>
        </row>
        <row r="23685">
          <cell r="E23685" t="str">
            <v>LUC-E00-460008-00</v>
          </cell>
          <cell r="F23685">
            <v>7386373330</v>
          </cell>
        </row>
        <row r="23686">
          <cell r="E23686" t="str">
            <v>LUC-EZZ-420046-00</v>
          </cell>
          <cell r="F23686">
            <v>7386373330</v>
          </cell>
        </row>
        <row r="23687">
          <cell r="E23687" t="str">
            <v>LUC-EZZ-440176-00</v>
          </cell>
          <cell r="F23687">
            <v>7386373330</v>
          </cell>
        </row>
        <row r="23688">
          <cell r="E23688" t="str">
            <v>LUC-EZZ-510058-00</v>
          </cell>
          <cell r="F23688">
            <v>7386373330</v>
          </cell>
        </row>
        <row r="23689">
          <cell r="E23689" t="str">
            <v>LUC-E00-420054-04</v>
          </cell>
          <cell r="F23689">
            <v>7386373330</v>
          </cell>
        </row>
        <row r="23690">
          <cell r="E23690" t="str">
            <v>LUC-E00-400003-43</v>
          </cell>
          <cell r="F23690">
            <v>7386373330</v>
          </cell>
        </row>
        <row r="23691">
          <cell r="E23691" t="str">
            <v>LUC-EZZ-450113-00</v>
          </cell>
          <cell r="F23691">
            <v>7386373330</v>
          </cell>
        </row>
        <row r="23692">
          <cell r="E23692" t="str">
            <v>LUC-E00-450046-00</v>
          </cell>
          <cell r="F23692">
            <v>7386373330</v>
          </cell>
        </row>
        <row r="23693">
          <cell r="E23693" t="str">
            <v>LUC-E00-420171-00</v>
          </cell>
          <cell r="F23693">
            <v>7386373330</v>
          </cell>
        </row>
        <row r="23694">
          <cell r="E23694" t="str">
            <v>LUC-E00-460008-00</v>
          </cell>
          <cell r="F23694">
            <v>7386373330</v>
          </cell>
        </row>
        <row r="23695">
          <cell r="E23695" t="str">
            <v>LUC-EZZ-471023-00</v>
          </cell>
          <cell r="F23695">
            <v>7386373330</v>
          </cell>
        </row>
        <row r="23696">
          <cell r="E23696" t="str">
            <v>LUC-E00-420054-04</v>
          </cell>
          <cell r="F23696">
            <v>7386373330</v>
          </cell>
        </row>
        <row r="23697">
          <cell r="E23697" t="str">
            <v>LUC-E00-470175-00</v>
          </cell>
          <cell r="F23697">
            <v>7386373330</v>
          </cell>
        </row>
        <row r="23698">
          <cell r="E23698" t="str">
            <v>LUC-E00-420027-03</v>
          </cell>
          <cell r="F23698">
            <v>7386373330</v>
          </cell>
        </row>
        <row r="23699">
          <cell r="E23699" t="str">
            <v>LUC-EZZ-420090-00</v>
          </cell>
          <cell r="F23699">
            <v>7386373330</v>
          </cell>
        </row>
        <row r="23700">
          <cell r="E23700" t="str">
            <v>LUC-EZZ-420090-00</v>
          </cell>
          <cell r="F23700">
            <v>7386373330</v>
          </cell>
        </row>
        <row r="23701">
          <cell r="E23701" t="str">
            <v>LUC-EZZ-420136-00</v>
          </cell>
          <cell r="F23701">
            <v>7386373330</v>
          </cell>
        </row>
        <row r="23702">
          <cell r="E23702" t="str">
            <v>LUC-EZZ-420136-00</v>
          </cell>
          <cell r="F23702">
            <v>7386373330</v>
          </cell>
        </row>
        <row r="23703">
          <cell r="E23703" t="str">
            <v>LUC-EZZ-420102-00</v>
          </cell>
          <cell r="F23703">
            <v>7386373330</v>
          </cell>
        </row>
        <row r="23704">
          <cell r="E23704" t="str">
            <v>LUC-EZZ-420102-00</v>
          </cell>
          <cell r="F23704">
            <v>7386373330</v>
          </cell>
        </row>
        <row r="23705">
          <cell r="E23705" t="str">
            <v>LUC-EZZ-420174-00</v>
          </cell>
          <cell r="F23705">
            <v>7386373330</v>
          </cell>
        </row>
        <row r="23706">
          <cell r="E23706" t="str">
            <v>LUC-EZZ-420174-00</v>
          </cell>
          <cell r="F23706">
            <v>7386373330</v>
          </cell>
        </row>
        <row r="23707">
          <cell r="E23707" t="str">
            <v>LUC-E00-400046-00</v>
          </cell>
          <cell r="F23707">
            <v>7386373330</v>
          </cell>
        </row>
        <row r="23708">
          <cell r="E23708" t="str">
            <v>LUC-EZZ-400221-00</v>
          </cell>
          <cell r="F23708">
            <v>7386373330</v>
          </cell>
        </row>
        <row r="23709">
          <cell r="E23709" t="str">
            <v>LUC-EZZ-400269-00</v>
          </cell>
          <cell r="F23709">
            <v>7386373330</v>
          </cell>
        </row>
        <row r="23710">
          <cell r="E23710" t="str">
            <v>LUC-E00-420241-00</v>
          </cell>
          <cell r="F23710">
            <v>7386373330</v>
          </cell>
        </row>
        <row r="23711">
          <cell r="E23711" t="str">
            <v>LUC-EZZ-420281-00</v>
          </cell>
          <cell r="F23711">
            <v>7386373330</v>
          </cell>
        </row>
        <row r="23712">
          <cell r="E23712" t="str">
            <v>LUC-EZZ-420281-00</v>
          </cell>
          <cell r="F23712">
            <v>7386373330</v>
          </cell>
        </row>
        <row r="23713">
          <cell r="E23713" t="str">
            <v>LUC-E00-420037-00</v>
          </cell>
          <cell r="F23713">
            <v>7386373330</v>
          </cell>
        </row>
        <row r="23714">
          <cell r="E23714" t="str">
            <v>LUC-E00-400010-036</v>
          </cell>
          <cell r="F23714">
            <v>7386373330</v>
          </cell>
        </row>
        <row r="23715">
          <cell r="E23715" t="str">
            <v>LUC-E00-510017-00</v>
          </cell>
          <cell r="F23715">
            <v>7386373330</v>
          </cell>
        </row>
        <row r="23716">
          <cell r="E23716" t="str">
            <v>LUC-E00-510082-00</v>
          </cell>
          <cell r="F23716">
            <v>7386373330</v>
          </cell>
        </row>
        <row r="23717">
          <cell r="E23717" t="str">
            <v>LUC-E00-400067-295</v>
          </cell>
          <cell r="F23717">
            <v>7386373330</v>
          </cell>
        </row>
        <row r="23718">
          <cell r="E23718" t="str">
            <v>LUC-E00-510066-00</v>
          </cell>
          <cell r="F23718">
            <v>7386373330</v>
          </cell>
        </row>
        <row r="23719">
          <cell r="E23719" t="str">
            <v>LUC-EZZ-400235-00</v>
          </cell>
          <cell r="F23719">
            <v>7386373330</v>
          </cell>
        </row>
        <row r="23720">
          <cell r="E23720" t="str">
            <v>LUC-E00-400010-048</v>
          </cell>
          <cell r="F23720">
            <v>7386373330</v>
          </cell>
        </row>
        <row r="23721">
          <cell r="E23721" t="str">
            <v>LUC-E00-420015-00</v>
          </cell>
          <cell r="F23721">
            <v>7386373330</v>
          </cell>
        </row>
        <row r="23722">
          <cell r="E23722" t="str">
            <v>LUC-E00-510041-00</v>
          </cell>
          <cell r="F23722">
            <v>7386373330</v>
          </cell>
        </row>
        <row r="23723">
          <cell r="E23723" t="str">
            <v>LUC-EZZ-450214-00</v>
          </cell>
          <cell r="F23723">
            <v>7386373330</v>
          </cell>
        </row>
        <row r="23724">
          <cell r="E23724" t="str">
            <v>LUC-E00-510021-00</v>
          </cell>
          <cell r="F23724">
            <v>7386373330</v>
          </cell>
        </row>
        <row r="23725">
          <cell r="E23725" t="str">
            <v>LUC-E00-450132-00</v>
          </cell>
          <cell r="F23725">
            <v>7386373330</v>
          </cell>
        </row>
        <row r="23726">
          <cell r="E23726" t="str">
            <v>LUC-E00-450030-00</v>
          </cell>
          <cell r="F23726">
            <v>7386373330</v>
          </cell>
        </row>
        <row r="23727">
          <cell r="E23727" t="str">
            <v>LUC-E00-450132-00</v>
          </cell>
          <cell r="F23727">
            <v>7386373330</v>
          </cell>
        </row>
        <row r="23728">
          <cell r="E23728" t="str">
            <v>LUC-E00-420027-05</v>
          </cell>
          <cell r="F23728">
            <v>7386373330</v>
          </cell>
        </row>
        <row r="23729">
          <cell r="E23729" t="str">
            <v>LUC-E00-450132-00</v>
          </cell>
          <cell r="F23729">
            <v>7386373330</v>
          </cell>
        </row>
        <row r="23730">
          <cell r="E23730" t="str">
            <v>LUC-EZZ-440016-00</v>
          </cell>
          <cell r="F23730">
            <v>7386373330</v>
          </cell>
        </row>
        <row r="23731">
          <cell r="E23731" t="str">
            <v>LUC-E00-450132-00</v>
          </cell>
          <cell r="F23731">
            <v>7386373330</v>
          </cell>
        </row>
        <row r="23732">
          <cell r="E23732" t="str">
            <v>LUC-E00-450132-00</v>
          </cell>
          <cell r="F23732">
            <v>7386373330</v>
          </cell>
        </row>
        <row r="23733">
          <cell r="E23733" t="str">
            <v>LUC-EZZ-470152-01</v>
          </cell>
          <cell r="F23733">
            <v>7386373330</v>
          </cell>
        </row>
        <row r="23734">
          <cell r="E23734" t="str">
            <v>LUC-EZZ-420665-00</v>
          </cell>
          <cell r="F23734">
            <v>7386373330</v>
          </cell>
        </row>
        <row r="23735">
          <cell r="E23735" t="str">
            <v>LUC-E00-510041-00</v>
          </cell>
          <cell r="F23735">
            <v>7386373330</v>
          </cell>
        </row>
        <row r="23736">
          <cell r="E23736" t="str">
            <v>LUC-E00-450056-00</v>
          </cell>
          <cell r="F23736">
            <v>7386373330</v>
          </cell>
        </row>
        <row r="23737">
          <cell r="E23737" t="str">
            <v>LUC-E00-400023-04</v>
          </cell>
          <cell r="F23737">
            <v>7386373330</v>
          </cell>
        </row>
        <row r="23738">
          <cell r="E23738" t="str">
            <v>LUC-EZZ-420013-00</v>
          </cell>
          <cell r="F23738">
            <v>7386373330</v>
          </cell>
        </row>
        <row r="23739">
          <cell r="E23739" t="str">
            <v>LUC-EZZ-420013-00</v>
          </cell>
          <cell r="F23739">
            <v>7386373330</v>
          </cell>
        </row>
        <row r="23740">
          <cell r="E23740" t="str">
            <v>LUC-E00-420050-00</v>
          </cell>
          <cell r="F23740">
            <v>7386373330</v>
          </cell>
        </row>
        <row r="23741">
          <cell r="E23741" t="str">
            <v>LUC-EZZ-400201-00</v>
          </cell>
          <cell r="F23741">
            <v>7386373330</v>
          </cell>
        </row>
        <row r="23742">
          <cell r="E23742" t="str">
            <v>LUC-E00-510084-00</v>
          </cell>
          <cell r="F23742">
            <v>7386373330</v>
          </cell>
        </row>
        <row r="23743">
          <cell r="E23743" t="str">
            <v>LUC-E00-510084-00</v>
          </cell>
          <cell r="F23743">
            <v>7386373330</v>
          </cell>
        </row>
        <row r="23744">
          <cell r="E23744" t="str">
            <v>LUC-E00-510084-00</v>
          </cell>
          <cell r="F23744">
            <v>7386373330</v>
          </cell>
        </row>
        <row r="23745">
          <cell r="E23745" t="str">
            <v>LUC-E00-510045-00</v>
          </cell>
          <cell r="F23745">
            <v>7386373330</v>
          </cell>
        </row>
        <row r="23746">
          <cell r="E23746" t="str">
            <v>LUC-EZZ-470136-00</v>
          </cell>
          <cell r="F23746">
            <v>7386373330</v>
          </cell>
        </row>
        <row r="23747">
          <cell r="E23747" t="str">
            <v>LUC-EZZ-510080-00</v>
          </cell>
          <cell r="F23747">
            <v>7386373330</v>
          </cell>
        </row>
        <row r="23748">
          <cell r="E23748" t="str">
            <v>LUC-E00-400010-048</v>
          </cell>
          <cell r="F23748">
            <v>7386373330</v>
          </cell>
        </row>
        <row r="23749">
          <cell r="E23749" t="str">
            <v>LUC-E00-450046-00</v>
          </cell>
          <cell r="F23749">
            <v>7386373330</v>
          </cell>
        </row>
        <row r="23750">
          <cell r="E23750" t="str">
            <v>LUC-E00-450046-00</v>
          </cell>
          <cell r="F23750">
            <v>7386373330</v>
          </cell>
        </row>
        <row r="23751">
          <cell r="E23751" t="str">
            <v>LUC-E00-480008-00</v>
          </cell>
          <cell r="F23751">
            <v>7386373330</v>
          </cell>
        </row>
        <row r="23752">
          <cell r="E23752" t="str">
            <v>LUC-E00-480008-00</v>
          </cell>
          <cell r="F23752">
            <v>7386373330</v>
          </cell>
        </row>
        <row r="23753">
          <cell r="E23753" t="str">
            <v>LUC-E00-450046-00</v>
          </cell>
          <cell r="F23753">
            <v>7386373330</v>
          </cell>
        </row>
        <row r="23754">
          <cell r="E23754" t="str">
            <v>LUC-E00-450046-00</v>
          </cell>
          <cell r="F23754">
            <v>7386373330</v>
          </cell>
        </row>
        <row r="23755">
          <cell r="E23755" t="str">
            <v>LUC-EZZ-420002-00</v>
          </cell>
          <cell r="F23755">
            <v>7386373330</v>
          </cell>
        </row>
        <row r="23756">
          <cell r="E23756" t="str">
            <v>LUC-EZZ-420089-00</v>
          </cell>
          <cell r="F23756">
            <v>7386373330</v>
          </cell>
        </row>
        <row r="23757">
          <cell r="E23757" t="str">
            <v>LUC-EZZ-470136-00</v>
          </cell>
          <cell r="F23757">
            <v>7386373330</v>
          </cell>
        </row>
        <row r="23758">
          <cell r="E23758" t="str">
            <v>LUC-EZZ-400553-00</v>
          </cell>
          <cell r="F23758">
            <v>7386373330</v>
          </cell>
        </row>
        <row r="23759">
          <cell r="E23759" t="str">
            <v>LUC-E00-470059-00</v>
          </cell>
          <cell r="F23759">
            <v>7386373330</v>
          </cell>
        </row>
        <row r="23760">
          <cell r="E23760" t="str">
            <v>LUC-EZZ-400414-00</v>
          </cell>
          <cell r="F23760">
            <v>7386373330</v>
          </cell>
        </row>
        <row r="23761">
          <cell r="E23761" t="str">
            <v>LUC-EZZ-400414-00</v>
          </cell>
          <cell r="F23761">
            <v>7386373330</v>
          </cell>
        </row>
        <row r="23762">
          <cell r="E23762" t="str">
            <v>LUC-EZZ-420507-00</v>
          </cell>
          <cell r="F23762">
            <v>7386373330</v>
          </cell>
        </row>
        <row r="23763">
          <cell r="E23763" t="str">
            <v>LUC-EZZ-471023-00</v>
          </cell>
          <cell r="F23763">
            <v>7386373330</v>
          </cell>
        </row>
        <row r="23764">
          <cell r="E23764" t="str">
            <v>LUC-E00-510031-00</v>
          </cell>
          <cell r="F23764">
            <v>7386373330</v>
          </cell>
        </row>
        <row r="23765">
          <cell r="E23765" t="str">
            <v>LUC-E00-510031-00</v>
          </cell>
          <cell r="F23765">
            <v>7386373330</v>
          </cell>
        </row>
        <row r="23766">
          <cell r="E23766" t="str">
            <v>LUC-E00-420054-01</v>
          </cell>
          <cell r="F23766">
            <v>7386373330</v>
          </cell>
        </row>
        <row r="23767">
          <cell r="E23767" t="str">
            <v>LUC-E00-420054-01</v>
          </cell>
          <cell r="F23767">
            <v>7386373330</v>
          </cell>
        </row>
        <row r="23768">
          <cell r="E23768" t="str">
            <v>LUC-E00-470095-00</v>
          </cell>
          <cell r="F23768">
            <v>7386373330</v>
          </cell>
        </row>
        <row r="23769">
          <cell r="E23769" t="str">
            <v>LUC-E00-400001-010</v>
          </cell>
          <cell r="F23769">
            <v>7386373330</v>
          </cell>
        </row>
        <row r="23770">
          <cell r="E23770" t="str">
            <v>LUC-EZZ-470274-00</v>
          </cell>
          <cell r="F23770">
            <v>7386373330</v>
          </cell>
        </row>
        <row r="23771">
          <cell r="E23771" t="str">
            <v>LUC-E00-460008-00</v>
          </cell>
          <cell r="F23771">
            <v>7386373330</v>
          </cell>
        </row>
        <row r="23772">
          <cell r="E23772" t="str">
            <v>LUC-EZZ-420345-00</v>
          </cell>
          <cell r="F23772">
            <v>7386373330</v>
          </cell>
        </row>
        <row r="23773">
          <cell r="E23773" t="str">
            <v>LUC-EZZ-420345-00</v>
          </cell>
          <cell r="F23773">
            <v>7386373330</v>
          </cell>
        </row>
        <row r="23774">
          <cell r="E23774" t="str">
            <v>LUC-EZZ-420345-00</v>
          </cell>
          <cell r="F23774">
            <v>7386373330</v>
          </cell>
        </row>
        <row r="23775">
          <cell r="E23775" t="str">
            <v>LUC-EZZ-420345-00</v>
          </cell>
          <cell r="F23775">
            <v>7386373330</v>
          </cell>
        </row>
        <row r="23776">
          <cell r="E23776" t="str">
            <v>LUC-EZZ-450108-00</v>
          </cell>
          <cell r="F23776">
            <v>7386373330</v>
          </cell>
        </row>
        <row r="23777">
          <cell r="E23777" t="str">
            <v>LUC-EZZ-420136-00</v>
          </cell>
          <cell r="F23777">
            <v>7386373330</v>
          </cell>
        </row>
        <row r="23778">
          <cell r="E23778" t="str">
            <v>LUC-EZZ-420136-00</v>
          </cell>
          <cell r="F23778">
            <v>7386373330</v>
          </cell>
        </row>
        <row r="23779">
          <cell r="E23779" t="str">
            <v>LUC-E00-470059-00</v>
          </cell>
          <cell r="F23779">
            <v>7386373330</v>
          </cell>
        </row>
        <row r="23780">
          <cell r="E23780" t="str">
            <v>LUC-E00-470379-00</v>
          </cell>
          <cell r="F23780">
            <v>7386373330</v>
          </cell>
        </row>
        <row r="23781">
          <cell r="E23781" t="str">
            <v>LUC-EZZ-420189-00</v>
          </cell>
          <cell r="F23781">
            <v>7386373330</v>
          </cell>
        </row>
        <row r="23782">
          <cell r="E23782" t="str">
            <v>LUC-EZZ-420189-00</v>
          </cell>
          <cell r="F23782">
            <v>7386373330</v>
          </cell>
        </row>
        <row r="23783">
          <cell r="E23783" t="str">
            <v>LUC-E00-420027-03</v>
          </cell>
          <cell r="F23783">
            <v>7386373330</v>
          </cell>
        </row>
        <row r="23784">
          <cell r="E23784" t="str">
            <v>LUC-EZZ-470136-00</v>
          </cell>
          <cell r="F23784">
            <v>7386373330</v>
          </cell>
        </row>
        <row r="23785">
          <cell r="E23785" t="str">
            <v>LUC-E00-540004-00</v>
          </cell>
          <cell r="F23785">
            <v>7386373330</v>
          </cell>
        </row>
        <row r="23786">
          <cell r="E23786" t="str">
            <v>LUC-EZZ-471023-00</v>
          </cell>
          <cell r="F23786">
            <v>7386373330</v>
          </cell>
        </row>
        <row r="23787">
          <cell r="E23787" t="str">
            <v>LUC-EZZ-471023-00</v>
          </cell>
          <cell r="F23787">
            <v>7386373330</v>
          </cell>
        </row>
        <row r="23788">
          <cell r="E23788" t="str">
            <v>LUC-E00-470175-00</v>
          </cell>
          <cell r="F23788">
            <v>7386373330</v>
          </cell>
        </row>
        <row r="23789">
          <cell r="E23789" t="str">
            <v>LUC-E00-420027-03</v>
          </cell>
          <cell r="F23789">
            <v>7386373330</v>
          </cell>
        </row>
        <row r="23790">
          <cell r="E23790" t="str">
            <v>LUC-EZZ-440042-00</v>
          </cell>
          <cell r="F23790">
            <v>7386373330</v>
          </cell>
        </row>
        <row r="23791">
          <cell r="E23791" t="str">
            <v>LUC-E00-440028-00</v>
          </cell>
          <cell r="F23791">
            <v>7386373330</v>
          </cell>
        </row>
        <row r="23792">
          <cell r="E23792" t="str">
            <v>LUC-E00-440026-00</v>
          </cell>
          <cell r="F23792">
            <v>7386373330</v>
          </cell>
        </row>
        <row r="23793">
          <cell r="E23793" t="str">
            <v>LUC-E00-440026-00</v>
          </cell>
          <cell r="F23793">
            <v>7386373330</v>
          </cell>
        </row>
        <row r="23794">
          <cell r="E23794" t="str">
            <v>LUC-E00-420060-00</v>
          </cell>
          <cell r="F23794">
            <v>7386373330</v>
          </cell>
        </row>
        <row r="23795">
          <cell r="E23795" t="str">
            <v>LUC-E00-420050-00</v>
          </cell>
          <cell r="F23795">
            <v>7386373330</v>
          </cell>
        </row>
        <row r="23796">
          <cell r="E23796" t="str">
            <v>LUC-E00-420069-00</v>
          </cell>
          <cell r="F23796">
            <v>7386373330</v>
          </cell>
        </row>
        <row r="23797">
          <cell r="E23797" t="str">
            <v>LUC-E00-440026-00</v>
          </cell>
          <cell r="F23797">
            <v>7386373330</v>
          </cell>
        </row>
        <row r="23798">
          <cell r="E23798" t="str">
            <v>LUC-E00-510030-00</v>
          </cell>
          <cell r="F23798">
            <v>7386373330</v>
          </cell>
        </row>
        <row r="23799">
          <cell r="E23799" t="str">
            <v>LUC-EZZ-400629-00</v>
          </cell>
          <cell r="F23799">
            <v>3321272021</v>
          </cell>
        </row>
        <row r="23800">
          <cell r="E23800" t="str">
            <v>LUC-EZZ-441374-00</v>
          </cell>
          <cell r="F23800">
            <v>3321272021</v>
          </cell>
        </row>
        <row r="23801">
          <cell r="E23801" t="str">
            <v>PUR-27-0028-00</v>
          </cell>
          <cell r="F23801">
            <v>3321272021</v>
          </cell>
        </row>
        <row r="23802">
          <cell r="E23802" t="str">
            <v>LUC-E00-400047-00</v>
          </cell>
          <cell r="F23802">
            <v>3321272021</v>
          </cell>
        </row>
        <row r="23803">
          <cell r="E23803" t="str">
            <v>LUC-E00-400192-00</v>
          </cell>
          <cell r="F23803">
            <v>3321272021</v>
          </cell>
        </row>
        <row r="23804">
          <cell r="E23804" t="str">
            <v>174-000055.X.X</v>
          </cell>
          <cell r="F23804">
            <v>3321272021</v>
          </cell>
        </row>
        <row r="23805">
          <cell r="E23805" t="str">
            <v>LUC-E00-400010-037</v>
          </cell>
          <cell r="F23805">
            <v>3321272021</v>
          </cell>
        </row>
        <row r="23806">
          <cell r="E23806" t="str">
            <v>LUC-EZZ-400127-00</v>
          </cell>
          <cell r="F23806">
            <v>3321272021</v>
          </cell>
        </row>
        <row r="23807">
          <cell r="E23807" t="str">
            <v>LUC-EZZ-400414-00</v>
          </cell>
          <cell r="F23807">
            <v>3321272021</v>
          </cell>
        </row>
        <row r="23808">
          <cell r="E23808" t="str">
            <v>119-000025.X.X</v>
          </cell>
          <cell r="F23808">
            <v>3321272021</v>
          </cell>
        </row>
        <row r="23809">
          <cell r="E23809" t="str">
            <v>141-001584</v>
          </cell>
          <cell r="F23809" t="str">
            <v>HKHPG251142</v>
          </cell>
        </row>
        <row r="23810">
          <cell r="E23810" t="str">
            <v>141-001532</v>
          </cell>
          <cell r="F23810" t="str">
            <v>HKHPG251142</v>
          </cell>
        </row>
        <row r="23811">
          <cell r="E23811" t="str">
            <v>141-001532</v>
          </cell>
          <cell r="F23811" t="str">
            <v>HKHPG251142</v>
          </cell>
        </row>
        <row r="23812">
          <cell r="E23812" t="str">
            <v>141-001584</v>
          </cell>
          <cell r="F23812" t="str">
            <v>HKHPG251142</v>
          </cell>
        </row>
        <row r="23813">
          <cell r="E23813" t="str">
            <v>141-001628</v>
          </cell>
          <cell r="F23813" t="str">
            <v>HKHPG251142</v>
          </cell>
        </row>
        <row r="23814">
          <cell r="E23814" t="str">
            <v>141-001628</v>
          </cell>
          <cell r="F23814" t="str">
            <v>HKHPG251142</v>
          </cell>
        </row>
        <row r="23815">
          <cell r="E23815" t="str">
            <v>LUC-EZZ-690131-00</v>
          </cell>
          <cell r="F23815">
            <v>4110330727</v>
          </cell>
        </row>
        <row r="23816">
          <cell r="E23816" t="str">
            <v>LUC-EZZ-690241-00</v>
          </cell>
          <cell r="F23816">
            <v>4110330728</v>
          </cell>
        </row>
        <row r="23817">
          <cell r="E23817" t="str">
            <v>LUC-EZZ-691595-00</v>
          </cell>
          <cell r="F23817">
            <v>4110330763</v>
          </cell>
        </row>
        <row r="23818">
          <cell r="E23818" t="str">
            <v>LUC-EZZ-690241-00</v>
          </cell>
          <cell r="F23818">
            <v>4110330765</v>
          </cell>
        </row>
        <row r="23819">
          <cell r="E23819" t="str">
            <v>LUC-EZZ-690241-00</v>
          </cell>
          <cell r="F23819">
            <v>4110330766</v>
          </cell>
        </row>
        <row r="23820">
          <cell r="E23820" t="str">
            <v>LUC-EZZ-400238-00</v>
          </cell>
          <cell r="F23820">
            <v>1811190614</v>
          </cell>
        </row>
        <row r="23821">
          <cell r="E23821" t="str">
            <v>LUC-EZZ-401680-00</v>
          </cell>
          <cell r="F23821">
            <v>1811190614</v>
          </cell>
        </row>
        <row r="23822">
          <cell r="E23822" t="str">
            <v>LUC-E00-460007-01</v>
          </cell>
          <cell r="F23822">
            <v>1811190614</v>
          </cell>
        </row>
        <row r="23823">
          <cell r="E23823" t="str">
            <v>LUC-E00-460007-01</v>
          </cell>
          <cell r="F23823">
            <v>1811190614</v>
          </cell>
        </row>
        <row r="23824">
          <cell r="E23824" t="str">
            <v>174-000044.X.X</v>
          </cell>
          <cell r="F23824">
            <v>1811190614</v>
          </cell>
        </row>
        <row r="23825">
          <cell r="E23825" t="str">
            <v>LUC-EZZ-450093-00</v>
          </cell>
          <cell r="F23825">
            <v>1811190614</v>
          </cell>
        </row>
        <row r="23826">
          <cell r="E23826" t="str">
            <v>PUR-12-0288-00</v>
          </cell>
          <cell r="F23826">
            <v>1811190614</v>
          </cell>
        </row>
        <row r="23827">
          <cell r="E23827" t="str">
            <v>LUC-EZZ-400211-00</v>
          </cell>
          <cell r="F23827">
            <v>1811190614</v>
          </cell>
        </row>
        <row r="23828">
          <cell r="E23828" t="str">
            <v>LUC-E00-460006-00</v>
          </cell>
          <cell r="F23828">
            <v>1811190614</v>
          </cell>
        </row>
        <row r="23829">
          <cell r="E23829" t="str">
            <v>LUC-E00-460006-00</v>
          </cell>
          <cell r="F23829">
            <v>1811190614</v>
          </cell>
        </row>
        <row r="23830">
          <cell r="E23830" t="str">
            <v>LUC-EZZ-510640-00</v>
          </cell>
          <cell r="F23830">
            <v>1811190614</v>
          </cell>
        </row>
        <row r="23831">
          <cell r="E23831" t="str">
            <v>LUC-EZZ-401060-00</v>
          </cell>
          <cell r="F23831">
            <v>1811190614</v>
          </cell>
        </row>
        <row r="23832">
          <cell r="E23832" t="str">
            <v>LUC-EZZ-401060-00</v>
          </cell>
          <cell r="F23832">
            <v>1811190614</v>
          </cell>
        </row>
        <row r="23833">
          <cell r="E23833" t="str">
            <v>LUC-EZZ-490305-05</v>
          </cell>
          <cell r="F23833">
            <v>2947265495</v>
          </cell>
        </row>
        <row r="23834">
          <cell r="E23834" t="str">
            <v>HLOB-12-0533-00</v>
          </cell>
          <cell r="F23834">
            <v>1811188061</v>
          </cell>
        </row>
        <row r="23835">
          <cell r="E23835" t="str">
            <v>LUC-EZZ-470055-00</v>
          </cell>
          <cell r="F23835">
            <v>1811188061</v>
          </cell>
        </row>
        <row r="23836">
          <cell r="E23836" t="str">
            <v>HLOB-09-0279-00</v>
          </cell>
          <cell r="F23836">
            <v>1811188061</v>
          </cell>
        </row>
        <row r="23837">
          <cell r="E23837" t="str">
            <v>HLOB-09-0279-00</v>
          </cell>
          <cell r="F23837">
            <v>1811188061</v>
          </cell>
        </row>
        <row r="23838">
          <cell r="E23838" t="str">
            <v>HLOB-09-0279-00</v>
          </cell>
          <cell r="F23838">
            <v>1811188061</v>
          </cell>
        </row>
        <row r="23839">
          <cell r="E23839" t="str">
            <v>HLOB-09-0279-00</v>
          </cell>
          <cell r="F23839">
            <v>1811188061</v>
          </cell>
        </row>
        <row r="23840">
          <cell r="E23840" t="str">
            <v>LUC-EZZ-400801-00</v>
          </cell>
          <cell r="F23840">
            <v>1811188061</v>
          </cell>
        </row>
        <row r="23841">
          <cell r="E23841" t="str">
            <v>HLOB-09-0279-00</v>
          </cell>
          <cell r="F23841">
            <v>1811188061</v>
          </cell>
        </row>
        <row r="23842">
          <cell r="E23842" t="str">
            <v>PUR-13-0125-00</v>
          </cell>
          <cell r="F23842">
            <v>1811188061</v>
          </cell>
        </row>
        <row r="23843">
          <cell r="E23843" t="str">
            <v>LUC-EZZ-420151-00</v>
          </cell>
          <cell r="F23843">
            <v>1811188061</v>
          </cell>
        </row>
        <row r="23844">
          <cell r="E23844" t="str">
            <v>LUC-EZZ-420151-00</v>
          </cell>
          <cell r="F23844">
            <v>1811188061</v>
          </cell>
        </row>
        <row r="23845">
          <cell r="E23845" t="str">
            <v>HLOB-09-0329-00</v>
          </cell>
          <cell r="F23845">
            <v>1811188061</v>
          </cell>
        </row>
        <row r="23846">
          <cell r="E23846" t="str">
            <v>PUR-24-0028-00</v>
          </cell>
          <cell r="F23846">
            <v>1811188061</v>
          </cell>
        </row>
        <row r="23847">
          <cell r="E23847" t="str">
            <v>PURET-24-0002-00</v>
          </cell>
          <cell r="F23847">
            <v>1811188061</v>
          </cell>
        </row>
        <row r="23848">
          <cell r="E23848" t="str">
            <v>HLOB-12-0408-00</v>
          </cell>
          <cell r="F23848">
            <v>1811188061</v>
          </cell>
        </row>
        <row r="23849">
          <cell r="E23849" t="str">
            <v>HLOB-12-0408-00</v>
          </cell>
          <cell r="F23849">
            <v>1811188061</v>
          </cell>
        </row>
        <row r="23850">
          <cell r="E23850" t="str">
            <v>EF-45046920</v>
          </cell>
          <cell r="F23850">
            <v>1811188061</v>
          </cell>
        </row>
        <row r="23851">
          <cell r="E23851" t="str">
            <v>HLOB-24-0008-00</v>
          </cell>
          <cell r="F23851">
            <v>1811188061</v>
          </cell>
        </row>
        <row r="23852">
          <cell r="E23852" t="str">
            <v>LUC-EZZ-470162-00</v>
          </cell>
          <cell r="F23852">
            <v>1811188061</v>
          </cell>
        </row>
        <row r="23853">
          <cell r="E23853" t="str">
            <v>EF-45130563</v>
          </cell>
          <cell r="F23853">
            <v>1811188061</v>
          </cell>
        </row>
        <row r="23854">
          <cell r="E23854" t="str">
            <v>HLOB-13-0125-00</v>
          </cell>
          <cell r="F23854">
            <v>1811188061</v>
          </cell>
        </row>
        <row r="23855">
          <cell r="E23855" t="str">
            <v>PUR-12-0412-00</v>
          </cell>
          <cell r="F23855">
            <v>885835300576</v>
          </cell>
        </row>
        <row r="23856">
          <cell r="E23856" t="str">
            <v>PUR-12-0412-00</v>
          </cell>
          <cell r="F23856">
            <v>885835300576</v>
          </cell>
        </row>
        <row r="23857">
          <cell r="E23857" t="str">
            <v>HLOB-12-0431-00</v>
          </cell>
          <cell r="F23857">
            <v>885835300576</v>
          </cell>
        </row>
        <row r="23858">
          <cell r="E23858" t="str">
            <v>HLOB-12-0412-00</v>
          </cell>
          <cell r="F23858">
            <v>885835300576</v>
          </cell>
        </row>
        <row r="23859">
          <cell r="E23859" t="str">
            <v>HLOB-12-0420-00</v>
          </cell>
          <cell r="F23859">
            <v>885835300576</v>
          </cell>
        </row>
        <row r="23860">
          <cell r="E23860" t="str">
            <v>HLOB-12-0065-00</v>
          </cell>
          <cell r="F23860">
            <v>885835300576</v>
          </cell>
        </row>
        <row r="23861">
          <cell r="E23861" t="str">
            <v>PURET-12-0257-00</v>
          </cell>
          <cell r="F23861">
            <v>885835300576</v>
          </cell>
        </row>
        <row r="23862">
          <cell r="E23862" t="str">
            <v>HLOB-12-0257-00</v>
          </cell>
          <cell r="F23862">
            <v>885835300576</v>
          </cell>
        </row>
        <row r="23863">
          <cell r="E23863" t="str">
            <v>HLOB-12-0271-00</v>
          </cell>
          <cell r="F23863">
            <v>885835300576</v>
          </cell>
        </row>
        <row r="23864">
          <cell r="E23864" t="str">
            <v>PUR-12-0271-00</v>
          </cell>
          <cell r="F23864">
            <v>885835300576</v>
          </cell>
        </row>
        <row r="23865">
          <cell r="E23865" t="str">
            <v>PUR-12-0293-00</v>
          </cell>
          <cell r="F23865">
            <v>885835300576</v>
          </cell>
        </row>
        <row r="23866">
          <cell r="E23866" t="str">
            <v>PUR-12-0293-00</v>
          </cell>
          <cell r="F23866">
            <v>885835300576</v>
          </cell>
        </row>
        <row r="23867">
          <cell r="E23867" t="str">
            <v>HLOB-12-0293-00</v>
          </cell>
          <cell r="F23867">
            <v>885835300576</v>
          </cell>
        </row>
        <row r="23868">
          <cell r="E23868" t="str">
            <v>HLOB-12-0460-00</v>
          </cell>
          <cell r="F23868">
            <v>885835300576</v>
          </cell>
        </row>
        <row r="23869">
          <cell r="E23869" t="str">
            <v>HLOB-12-0432-00</v>
          </cell>
          <cell r="F23869">
            <v>885835300576</v>
          </cell>
        </row>
        <row r="23870">
          <cell r="E23870" t="str">
            <v>HLOB-12-0472-00</v>
          </cell>
          <cell r="F23870">
            <v>885835300576</v>
          </cell>
        </row>
        <row r="23871">
          <cell r="E23871" t="str">
            <v>HLOB-12-0483-00</v>
          </cell>
          <cell r="F23871">
            <v>885835300576</v>
          </cell>
        </row>
        <row r="23872">
          <cell r="E23872" t="str">
            <v>EF-45092460.X.X</v>
          </cell>
          <cell r="F23872">
            <v>885835300576</v>
          </cell>
        </row>
        <row r="23873">
          <cell r="E23873" t="str">
            <v>EF-45048212.X.X</v>
          </cell>
          <cell r="F23873">
            <v>885835300576</v>
          </cell>
        </row>
        <row r="23874">
          <cell r="E23874" t="str">
            <v>PUR-12-0432-00</v>
          </cell>
          <cell r="F23874">
            <v>885835300576</v>
          </cell>
        </row>
        <row r="23875">
          <cell r="E23875" t="str">
            <v>PURET-12-0056-00</v>
          </cell>
          <cell r="F23875">
            <v>885835300576</v>
          </cell>
        </row>
        <row r="23876">
          <cell r="E23876" t="str">
            <v>PUR-12-0483-00</v>
          </cell>
          <cell r="F23876">
            <v>885835300576</v>
          </cell>
        </row>
        <row r="23877">
          <cell r="E23877" t="str">
            <v>LUC-EZZ-440022-00</v>
          </cell>
          <cell r="F23877">
            <v>885835300576</v>
          </cell>
        </row>
        <row r="23878">
          <cell r="E23878" t="str">
            <v>LUC-E00-400035-03</v>
          </cell>
          <cell r="F23878">
            <v>885835300576</v>
          </cell>
        </row>
        <row r="23879">
          <cell r="E23879" t="str">
            <v>LUC-E00-400035-08</v>
          </cell>
          <cell r="F23879">
            <v>885835300576</v>
          </cell>
        </row>
        <row r="23880">
          <cell r="E23880" t="str">
            <v>HLOB-12-0284-00</v>
          </cell>
          <cell r="F23880">
            <v>885835300576</v>
          </cell>
        </row>
        <row r="23881">
          <cell r="E23881" t="str">
            <v>HLOB-12-0284-00</v>
          </cell>
          <cell r="F23881">
            <v>885835300576</v>
          </cell>
        </row>
        <row r="23882">
          <cell r="E23882" t="str">
            <v>HLOB-12-0284-00</v>
          </cell>
          <cell r="F23882">
            <v>885835300576</v>
          </cell>
        </row>
        <row r="23883">
          <cell r="E23883" t="str">
            <v>PURET-12-0056-00</v>
          </cell>
          <cell r="F23883">
            <v>885835300576</v>
          </cell>
        </row>
        <row r="23884">
          <cell r="E23884" t="str">
            <v>PURET-12-0170-00</v>
          </cell>
          <cell r="F23884">
            <v>885835300576</v>
          </cell>
        </row>
        <row r="23885">
          <cell r="E23885" t="str">
            <v>PUR-12-0432-00</v>
          </cell>
          <cell r="F23885">
            <v>885835300576</v>
          </cell>
        </row>
        <row r="23886">
          <cell r="E23886" t="str">
            <v>PUR-12-0475-00</v>
          </cell>
          <cell r="F23886">
            <v>885835300576</v>
          </cell>
        </row>
        <row r="23887">
          <cell r="E23887" t="str">
            <v>EF-45045057.X.X</v>
          </cell>
          <cell r="F23887">
            <v>885835300576</v>
          </cell>
        </row>
        <row r="23888">
          <cell r="E23888" t="str">
            <v>EF-45035542.X.X</v>
          </cell>
          <cell r="F23888">
            <v>885835300576</v>
          </cell>
        </row>
        <row r="23889">
          <cell r="E23889" t="str">
            <v>EF-45036461.X.X</v>
          </cell>
          <cell r="F23889">
            <v>885835300576</v>
          </cell>
        </row>
        <row r="23890">
          <cell r="E23890" t="str">
            <v>PUR-12-0474-00</v>
          </cell>
          <cell r="F23890">
            <v>885835300576</v>
          </cell>
        </row>
        <row r="23891">
          <cell r="E23891" t="str">
            <v>HLOB-12-0052-00</v>
          </cell>
          <cell r="F23891">
            <v>885835300576</v>
          </cell>
        </row>
        <row r="23892">
          <cell r="E23892" t="str">
            <v>LUC-EZZ-441297-00</v>
          </cell>
          <cell r="F23892">
            <v>615498823745</v>
          </cell>
        </row>
        <row r="23893">
          <cell r="E23893" t="str">
            <v>HLOB-33-0027-00</v>
          </cell>
          <cell r="F23893">
            <v>885802222668</v>
          </cell>
        </row>
        <row r="23894">
          <cell r="E23894" t="str">
            <v>PUR-18-0580-00</v>
          </cell>
          <cell r="F23894">
            <v>885802222668</v>
          </cell>
        </row>
        <row r="23895">
          <cell r="E23895" t="str">
            <v>PUR-18-0625-00</v>
          </cell>
          <cell r="F23895">
            <v>885802222668</v>
          </cell>
        </row>
        <row r="23896">
          <cell r="E23896" t="str">
            <v>PUR-18-0548-00</v>
          </cell>
          <cell r="F23896">
            <v>885802222668</v>
          </cell>
        </row>
        <row r="23897">
          <cell r="E23897" t="str">
            <v>PUR-18-0548-00</v>
          </cell>
          <cell r="F23897">
            <v>885802222668</v>
          </cell>
        </row>
        <row r="23898">
          <cell r="E23898" t="str">
            <v>HLOB-18-0640-00</v>
          </cell>
          <cell r="F23898">
            <v>885802222668</v>
          </cell>
        </row>
        <row r="23899">
          <cell r="E23899" t="str">
            <v>HLOB-11-0144-05</v>
          </cell>
          <cell r="F23899">
            <v>885829521493</v>
          </cell>
        </row>
        <row r="23900">
          <cell r="E23900" t="str">
            <v>HLOB-11-0144-05</v>
          </cell>
          <cell r="F23900">
            <v>885829521493</v>
          </cell>
        </row>
        <row r="23901">
          <cell r="E23901" t="str">
            <v>PUR-03-0099-03</v>
          </cell>
          <cell r="F23901" t="str">
            <v>8XN0230</v>
          </cell>
        </row>
        <row r="23902">
          <cell r="E23902" t="str">
            <v>HLOB-11-0104-06</v>
          </cell>
          <cell r="F23902">
            <v>4812860551</v>
          </cell>
        </row>
        <row r="23903">
          <cell r="E23903" t="str">
            <v>LUC-P00-F185AG-00</v>
          </cell>
          <cell r="F23903">
            <v>4720752550</v>
          </cell>
        </row>
        <row r="23904">
          <cell r="E23904" t="str">
            <v>LUC-P00-F260CG-00</v>
          </cell>
          <cell r="F23904">
            <v>4720752550</v>
          </cell>
        </row>
        <row r="23905">
          <cell r="E23905" t="str">
            <v>LUC-BNA-201-329</v>
          </cell>
          <cell r="F23905">
            <v>4720752550</v>
          </cell>
        </row>
        <row r="23906">
          <cell r="E23906" t="str">
            <v>LUC-P00-F853AY-00</v>
          </cell>
          <cell r="F23906">
            <v>4720752550</v>
          </cell>
        </row>
        <row r="23907">
          <cell r="E23907" t="str">
            <v>EF-45125060</v>
          </cell>
          <cell r="F23907">
            <v>4711892110</v>
          </cell>
        </row>
        <row r="23908">
          <cell r="E23908" t="str">
            <v>LUC-E00-440003-01</v>
          </cell>
          <cell r="F23908">
            <v>4711892110</v>
          </cell>
        </row>
        <row r="23909">
          <cell r="E23909" t="str">
            <v>LUC-E00-440003-01</v>
          </cell>
          <cell r="F23909">
            <v>4711892110</v>
          </cell>
        </row>
        <row r="23910">
          <cell r="E23910" t="str">
            <v>LUC-E00-440013-00</v>
          </cell>
          <cell r="F23910">
            <v>4711892110</v>
          </cell>
        </row>
        <row r="23911">
          <cell r="E23911" t="str">
            <v>LUC-E00-440013-00</v>
          </cell>
          <cell r="F23911">
            <v>4711892110</v>
          </cell>
        </row>
        <row r="23912">
          <cell r="E23912" t="str">
            <v>LUC-E00-440013-01</v>
          </cell>
          <cell r="F23912">
            <v>4711892110</v>
          </cell>
        </row>
        <row r="23913">
          <cell r="E23913" t="str">
            <v>LUC-E00-440014-00</v>
          </cell>
          <cell r="F23913">
            <v>4711892110</v>
          </cell>
        </row>
        <row r="23914">
          <cell r="E23914" t="str">
            <v>LUC-E00-440014-00</v>
          </cell>
          <cell r="F23914">
            <v>4711892110</v>
          </cell>
        </row>
        <row r="23915">
          <cell r="E23915" t="str">
            <v>LUC-E00-440014-01</v>
          </cell>
          <cell r="F23915">
            <v>4711892110</v>
          </cell>
        </row>
        <row r="23916">
          <cell r="E23916" t="str">
            <v>LUC-E00-440014-01</v>
          </cell>
          <cell r="F23916">
            <v>4711892110</v>
          </cell>
        </row>
        <row r="23917">
          <cell r="E23917" t="str">
            <v>LUC-E00-440014-01</v>
          </cell>
          <cell r="F23917">
            <v>4711892110</v>
          </cell>
        </row>
        <row r="23918">
          <cell r="E23918" t="str">
            <v>LUC-E00-440023-02</v>
          </cell>
          <cell r="F23918">
            <v>4711892110</v>
          </cell>
        </row>
        <row r="23919">
          <cell r="E23919" t="str">
            <v>LUC-E00-440023-02</v>
          </cell>
          <cell r="F23919">
            <v>4711892110</v>
          </cell>
        </row>
        <row r="23920">
          <cell r="E23920" t="str">
            <v>LUC-E00-440048-00</v>
          </cell>
          <cell r="F23920">
            <v>4711892110</v>
          </cell>
        </row>
        <row r="23921">
          <cell r="E23921" t="str">
            <v>LUC-E00-440048-00</v>
          </cell>
          <cell r="F23921">
            <v>4711892110</v>
          </cell>
        </row>
        <row r="23922">
          <cell r="E23922" t="str">
            <v>LUC-E00-440124-00</v>
          </cell>
          <cell r="F23922">
            <v>4711892110</v>
          </cell>
        </row>
        <row r="23923">
          <cell r="E23923" t="str">
            <v>LUC-E00-440124-00</v>
          </cell>
          <cell r="F23923">
            <v>4711892110</v>
          </cell>
        </row>
        <row r="23924">
          <cell r="E23924" t="str">
            <v>LUC-EZZ-440018-00</v>
          </cell>
          <cell r="F23924">
            <v>4711892110</v>
          </cell>
        </row>
        <row r="23925">
          <cell r="E23925" t="str">
            <v>LUC-EZZ-440018-00</v>
          </cell>
          <cell r="F23925">
            <v>4711892110</v>
          </cell>
        </row>
        <row r="23926">
          <cell r="E23926" t="str">
            <v>LUC-EZZ-440028-00</v>
          </cell>
          <cell r="F23926">
            <v>4711892110</v>
          </cell>
        </row>
        <row r="23927">
          <cell r="E23927" t="str">
            <v>LUC-EZZ-440028-00</v>
          </cell>
          <cell r="F23927">
            <v>4711892110</v>
          </cell>
        </row>
        <row r="23928">
          <cell r="E23928" t="str">
            <v>LUC-EZZ-440031-00</v>
          </cell>
          <cell r="F23928">
            <v>4711892110</v>
          </cell>
        </row>
        <row r="23929">
          <cell r="E23929" t="str">
            <v>LUC-EZZ-440069-00</v>
          </cell>
          <cell r="F23929">
            <v>4711892110</v>
          </cell>
        </row>
        <row r="23930">
          <cell r="E23930" t="str">
            <v>LUC-EZZ-440069-00</v>
          </cell>
          <cell r="F23930">
            <v>4711892110</v>
          </cell>
        </row>
        <row r="23931">
          <cell r="E23931" t="str">
            <v>LUC-EZZ-440072-00</v>
          </cell>
          <cell r="F23931">
            <v>4711892110</v>
          </cell>
        </row>
        <row r="23932">
          <cell r="E23932" t="str">
            <v>LUC-EZZ-440078-01</v>
          </cell>
          <cell r="F23932">
            <v>4711892110</v>
          </cell>
        </row>
        <row r="23933">
          <cell r="E23933" t="str">
            <v>LUC-EZZ-440911-00</v>
          </cell>
          <cell r="F23933">
            <v>4711892110</v>
          </cell>
        </row>
        <row r="23934">
          <cell r="E23934" t="str">
            <v>LUC-EZZ-440911-00</v>
          </cell>
          <cell r="F23934">
            <v>4711892110</v>
          </cell>
        </row>
        <row r="23935">
          <cell r="E23935" t="str">
            <v>LUC-EZZ-440090-00</v>
          </cell>
          <cell r="F23935">
            <v>4711892110</v>
          </cell>
        </row>
        <row r="23936">
          <cell r="E23936" t="str">
            <v>LUC-EZZ-440090-00</v>
          </cell>
          <cell r="F23936">
            <v>4711892110</v>
          </cell>
        </row>
        <row r="23937">
          <cell r="E23937" t="str">
            <v>LUC-E00-440077-02</v>
          </cell>
          <cell r="F23937">
            <v>4711892110</v>
          </cell>
        </row>
        <row r="23938">
          <cell r="E23938" t="str">
            <v>LUC-E00-440051-01</v>
          </cell>
          <cell r="F23938">
            <v>4711892110</v>
          </cell>
        </row>
        <row r="23939">
          <cell r="E23939" t="str">
            <v>LUC-EZZ-440099-00</v>
          </cell>
          <cell r="F23939">
            <v>4711892110</v>
          </cell>
        </row>
        <row r="23940">
          <cell r="E23940" t="str">
            <v>LUC-EZZ-440100-00</v>
          </cell>
          <cell r="F23940">
            <v>4711892110</v>
          </cell>
        </row>
        <row r="23941">
          <cell r="E23941" t="str">
            <v>LUC-EZZ-440100-00</v>
          </cell>
          <cell r="F23941">
            <v>4711892110</v>
          </cell>
        </row>
        <row r="23942">
          <cell r="E23942" t="str">
            <v>PUR-09-0424-00</v>
          </cell>
          <cell r="F23942">
            <v>479730147111</v>
          </cell>
        </row>
        <row r="23943">
          <cell r="E23943" t="str">
            <v>LUC-E00-400003-43</v>
          </cell>
          <cell r="F23943">
            <v>479730147214</v>
          </cell>
        </row>
        <row r="23944">
          <cell r="E23944" t="str">
            <v>HLOB-21-0036-00</v>
          </cell>
          <cell r="F23944">
            <v>479730147155</v>
          </cell>
        </row>
        <row r="23945">
          <cell r="E23945" t="str">
            <v>LUC-E00-400001-012</v>
          </cell>
          <cell r="F23945">
            <v>479730147236</v>
          </cell>
        </row>
        <row r="23946">
          <cell r="E23946" t="str">
            <v>EF-45090995</v>
          </cell>
          <cell r="F23946">
            <v>479730147590</v>
          </cell>
        </row>
        <row r="23947">
          <cell r="E23947" t="str">
            <v>PUR-24-0028-00</v>
          </cell>
          <cell r="F23947">
            <v>479730148997</v>
          </cell>
        </row>
        <row r="23948">
          <cell r="E23948" t="str">
            <v>LUC-E00-400026-00</v>
          </cell>
          <cell r="F23948">
            <v>479730148986</v>
          </cell>
        </row>
        <row r="23949">
          <cell r="E23949" t="str">
            <v>LUC-EZZ-400542-00</v>
          </cell>
          <cell r="F23949">
            <v>479730149504</v>
          </cell>
        </row>
        <row r="23950">
          <cell r="E23950" t="str">
            <v>HLOB-09-0279-00</v>
          </cell>
          <cell r="F23950">
            <v>479730149857</v>
          </cell>
        </row>
        <row r="23951">
          <cell r="E23951" t="str">
            <v>LUC-EZZ-400244-00</v>
          </cell>
          <cell r="F23951">
            <v>479730149147</v>
          </cell>
        </row>
        <row r="23952">
          <cell r="E23952" t="str">
            <v>LUC-EZZ-400537-00</v>
          </cell>
          <cell r="F23952">
            <v>479730150195</v>
          </cell>
        </row>
        <row r="23953">
          <cell r="E23953" t="str">
            <v>LUC-EZZ-470248-02</v>
          </cell>
          <cell r="F23953">
            <v>479730145818</v>
          </cell>
        </row>
        <row r="23954">
          <cell r="E23954" t="str">
            <v>PUR-15-0207-00</v>
          </cell>
          <cell r="F23954">
            <v>885766869833</v>
          </cell>
        </row>
        <row r="23955">
          <cell r="E23955" t="str">
            <v>LUC-E00-690201-00</v>
          </cell>
          <cell r="F23955">
            <v>885766869833</v>
          </cell>
        </row>
        <row r="23956">
          <cell r="E23956" t="str">
            <v>LUC-E00-690201-00</v>
          </cell>
          <cell r="F23956">
            <v>885766869833</v>
          </cell>
        </row>
        <row r="23957">
          <cell r="E23957" t="str">
            <v>LUC-E00-510055-01</v>
          </cell>
          <cell r="F23957">
            <v>394963694803</v>
          </cell>
        </row>
        <row r="23958">
          <cell r="E23958" t="str">
            <v>LUC-EZZ-450112-00</v>
          </cell>
          <cell r="F23958">
            <v>394963694803</v>
          </cell>
        </row>
        <row r="23959">
          <cell r="E23959" t="str">
            <v>LUC-E00-450132-00</v>
          </cell>
          <cell r="F23959">
            <v>394963694803</v>
          </cell>
        </row>
        <row r="23960">
          <cell r="E23960" t="str">
            <v>LUC-E00-510001-00</v>
          </cell>
          <cell r="F23960">
            <v>394963694803</v>
          </cell>
        </row>
        <row r="23961">
          <cell r="E23961" t="str">
            <v>LUC-E00-450070-00</v>
          </cell>
          <cell r="F23961">
            <v>394963694803</v>
          </cell>
        </row>
        <row r="23962">
          <cell r="E23962" t="str">
            <v>LUC-EZZ-450213-00</v>
          </cell>
          <cell r="F23962">
            <v>394963694803</v>
          </cell>
        </row>
        <row r="23963">
          <cell r="E23963" t="str">
            <v>LUC-EZZ-510077-00</v>
          </cell>
          <cell r="F23963">
            <v>394997442978</v>
          </cell>
        </row>
        <row r="23964">
          <cell r="E23964" t="str">
            <v>PUR-09-0294-00</v>
          </cell>
          <cell r="F23964">
            <v>395033964679</v>
          </cell>
        </row>
        <row r="23965">
          <cell r="E23965" t="str">
            <v>LUC-EZZ-470336-00</v>
          </cell>
          <cell r="F23965">
            <v>395079390546</v>
          </cell>
        </row>
        <row r="23966">
          <cell r="E23966" t="str">
            <v>PUR-09-0294-00</v>
          </cell>
          <cell r="F23966">
            <v>395116282690</v>
          </cell>
        </row>
        <row r="23967">
          <cell r="E23967" t="str">
            <v>LUC-E00-470093-00</v>
          </cell>
          <cell r="F23967">
            <v>395116282690</v>
          </cell>
        </row>
        <row r="23968">
          <cell r="E23968" t="str">
            <v>HLOB-11-0104-06</v>
          </cell>
          <cell r="F23968" t="str">
            <v>PSHPH25A0159</v>
          </cell>
        </row>
        <row r="23969">
          <cell r="E23969" t="str">
            <v>HLOB-11-0104-06</v>
          </cell>
          <cell r="F23969" t="str">
            <v>PSHPH25A0159</v>
          </cell>
        </row>
        <row r="23970">
          <cell r="E23970" t="str">
            <v>PUR-11-0104-05</v>
          </cell>
          <cell r="F23970" t="str">
            <v>PSHPH25A0159</v>
          </cell>
        </row>
        <row r="23971">
          <cell r="E23971" t="str">
            <v>PUR-11-0104-05</v>
          </cell>
          <cell r="F23971" t="str">
            <v>PSHPH25A0159</v>
          </cell>
        </row>
        <row r="23972">
          <cell r="E23972" t="str">
            <v>PUR-11-0104-05</v>
          </cell>
          <cell r="F23972" t="str">
            <v>PSHPH25A0159</v>
          </cell>
        </row>
        <row r="23973">
          <cell r="E23973" t="str">
            <v>HLOB-11-0104-06</v>
          </cell>
          <cell r="F23973" t="str">
            <v>PSHPH25A0159</v>
          </cell>
        </row>
        <row r="23974">
          <cell r="E23974" t="str">
            <v>HLOB-11-0104-06</v>
          </cell>
          <cell r="F23974" t="str">
            <v>PSHPH25A0159</v>
          </cell>
        </row>
        <row r="23975">
          <cell r="E23975" t="str">
            <v>PUR-11-0104-05</v>
          </cell>
          <cell r="F23975" t="str">
            <v>PSHPH25A0159</v>
          </cell>
        </row>
        <row r="23976">
          <cell r="E23976" t="str">
            <v>PUR-11-0104-05</v>
          </cell>
          <cell r="F23976" t="str">
            <v>PSHPH25A0159</v>
          </cell>
        </row>
        <row r="23977">
          <cell r="E23977" t="str">
            <v>LUC-E00-690010-02</v>
          </cell>
          <cell r="F23977">
            <v>394795552138</v>
          </cell>
        </row>
        <row r="23978">
          <cell r="E23978" t="str">
            <v>LUC-E00-690055-00</v>
          </cell>
          <cell r="F23978">
            <v>394951315638</v>
          </cell>
        </row>
        <row r="23979">
          <cell r="E23979" t="str">
            <v>LUC-EZZ-690131-00</v>
          </cell>
          <cell r="F23979">
            <v>4110330782</v>
          </cell>
        </row>
        <row r="23980">
          <cell r="E23980" t="str">
            <v>LUC-E00-690037-00</v>
          </cell>
          <cell r="F23980">
            <v>4110330781</v>
          </cell>
        </row>
        <row r="23981">
          <cell r="E23981" t="str">
            <v>LUC-E00-690214-00</v>
          </cell>
          <cell r="F23981">
            <v>4110330835</v>
          </cell>
        </row>
        <row r="23982">
          <cell r="E23982" t="str">
            <v>LUC-E00-690157-01</v>
          </cell>
          <cell r="F23982">
            <v>4110330839</v>
          </cell>
        </row>
        <row r="23983">
          <cell r="E23983" t="str">
            <v>LUC-EZZ-691595-00</v>
          </cell>
          <cell r="F23983">
            <v>4110330840</v>
          </cell>
        </row>
        <row r="23984">
          <cell r="E23984" t="str">
            <v>LUC-E00-690062-01</v>
          </cell>
          <cell r="F23984">
            <v>4110330837</v>
          </cell>
        </row>
        <row r="23985">
          <cell r="E23985" t="str">
            <v>LUC-EZZ-470297-00</v>
          </cell>
          <cell r="F23985">
            <v>486135120384</v>
          </cell>
        </row>
        <row r="23986">
          <cell r="E23986" t="str">
            <v>LUC-EZZ-470138-00</v>
          </cell>
          <cell r="F23986">
            <v>486135120384</v>
          </cell>
        </row>
        <row r="23987">
          <cell r="E23987" t="str">
            <v>LUC-E00-470042-00</v>
          </cell>
          <cell r="F23987">
            <v>486135120384</v>
          </cell>
        </row>
        <row r="23988">
          <cell r="E23988" t="str">
            <v>LUC-E00-470042-00</v>
          </cell>
          <cell r="F23988">
            <v>486135120384</v>
          </cell>
        </row>
        <row r="23989">
          <cell r="E23989" t="str">
            <v>LUC-E00-470042-00</v>
          </cell>
          <cell r="F23989">
            <v>486135120384</v>
          </cell>
        </row>
        <row r="23990">
          <cell r="E23990" t="str">
            <v>LUC-E00-470042-00</v>
          </cell>
          <cell r="F23990">
            <v>486135120384</v>
          </cell>
        </row>
        <row r="23991">
          <cell r="E23991" t="str">
            <v>LUC-E00-420071-00</v>
          </cell>
          <cell r="F23991">
            <v>479730141628</v>
          </cell>
        </row>
        <row r="23992">
          <cell r="E23992" t="str">
            <v>LUC-E00-470083-00</v>
          </cell>
          <cell r="F23992">
            <v>479730139422</v>
          </cell>
        </row>
        <row r="23993">
          <cell r="E23993" t="str">
            <v>PUR-09-0417-00</v>
          </cell>
          <cell r="F23993">
            <v>479730139499</v>
          </cell>
        </row>
        <row r="23994">
          <cell r="E23994" t="str">
            <v>HLOB-21-0009-00</v>
          </cell>
          <cell r="F23994">
            <v>479730143182</v>
          </cell>
        </row>
        <row r="23995">
          <cell r="E23995" t="str">
            <v>HLOB-21-0009-00</v>
          </cell>
          <cell r="F23995">
            <v>479730143182</v>
          </cell>
        </row>
        <row r="23996">
          <cell r="E23996" t="str">
            <v>HLOB-21-0009-00</v>
          </cell>
          <cell r="F23996">
            <v>479730143182</v>
          </cell>
        </row>
        <row r="23997">
          <cell r="E23997" t="str">
            <v>LUC-EZZ-470095-00</v>
          </cell>
          <cell r="F23997">
            <v>479730139400</v>
          </cell>
        </row>
        <row r="23998">
          <cell r="E23998" t="str">
            <v>LUC-EZZ-400117-00</v>
          </cell>
          <cell r="F23998">
            <v>479730143079</v>
          </cell>
        </row>
        <row r="23999">
          <cell r="E23999" t="str">
            <v>LUC-EZZ-400537-00</v>
          </cell>
          <cell r="F23999">
            <v>479730143219</v>
          </cell>
        </row>
        <row r="24000">
          <cell r="E24000" t="str">
            <v>LUC-EZZ-400242-00</v>
          </cell>
          <cell r="F24000">
            <v>479730142304</v>
          </cell>
        </row>
        <row r="24001">
          <cell r="E24001" t="str">
            <v>LUC-EZZ-400248-00</v>
          </cell>
          <cell r="F24001">
            <v>479730142304</v>
          </cell>
        </row>
        <row r="24002">
          <cell r="E24002" t="str">
            <v>LUC-EZZ-400542-00</v>
          </cell>
          <cell r="F24002">
            <v>479730144259</v>
          </cell>
        </row>
        <row r="24003">
          <cell r="E24003" t="str">
            <v>LUC-EZZ-400242-00</v>
          </cell>
          <cell r="F24003">
            <v>479730143539</v>
          </cell>
        </row>
        <row r="24004">
          <cell r="E24004" t="str">
            <v>LUC-EZZ-400242-00</v>
          </cell>
          <cell r="F24004">
            <v>479730143539</v>
          </cell>
        </row>
        <row r="24005">
          <cell r="E24005" t="str">
            <v>LUC-EZZ-400248-00</v>
          </cell>
          <cell r="F24005">
            <v>479730143539</v>
          </cell>
        </row>
        <row r="24006">
          <cell r="E24006" t="str">
            <v>LUC-EZZ-400542-00</v>
          </cell>
          <cell r="F24006">
            <v>479730144580</v>
          </cell>
        </row>
        <row r="24007">
          <cell r="E24007" t="str">
            <v>LUC-EZZ-400542-00</v>
          </cell>
          <cell r="F24007">
            <v>479730143171</v>
          </cell>
        </row>
        <row r="24008">
          <cell r="E24008" t="str">
            <v>LUC-E00-400010-044</v>
          </cell>
          <cell r="F24008">
            <v>479730144693</v>
          </cell>
        </row>
        <row r="24009">
          <cell r="E24009" t="str">
            <v>LUC-E00-400028-002</v>
          </cell>
          <cell r="F24009">
            <v>479730143804</v>
          </cell>
        </row>
        <row r="24010">
          <cell r="E24010" t="str">
            <v>LUC-E00-400028-002</v>
          </cell>
          <cell r="F24010">
            <v>479730143804</v>
          </cell>
        </row>
        <row r="24011">
          <cell r="E24011" t="str">
            <v>LUC-E00-400011-004</v>
          </cell>
          <cell r="F24011">
            <v>479730144708</v>
          </cell>
        </row>
        <row r="24012">
          <cell r="E24012" t="str">
            <v>PUR-11-0105-04</v>
          </cell>
          <cell r="F24012" t="str">
            <v>PSHPH25A0175</v>
          </cell>
        </row>
        <row r="24013">
          <cell r="E24013" t="str">
            <v>PUR-11-0105-04</v>
          </cell>
          <cell r="F24013" t="str">
            <v>PSHPH25A0175</v>
          </cell>
        </row>
        <row r="24014">
          <cell r="E24014" t="str">
            <v>PUR-11-0105-04</v>
          </cell>
          <cell r="F24014" t="str">
            <v>PSHPH25A0175</v>
          </cell>
        </row>
        <row r="24015">
          <cell r="E24015" t="str">
            <v>PUR-11-0105-04</v>
          </cell>
          <cell r="F24015" t="str">
            <v>PSHPH25A0175</v>
          </cell>
        </row>
        <row r="24016">
          <cell r="E24016" t="str">
            <v>HLOB-11-0104-06</v>
          </cell>
          <cell r="F24016" t="str">
            <v>PSHPH25A0175</v>
          </cell>
        </row>
        <row r="24017">
          <cell r="E24017" t="str">
            <v>HLOB-11-0104-06</v>
          </cell>
          <cell r="F24017" t="str">
            <v>PSHPH25A0175</v>
          </cell>
        </row>
        <row r="24018">
          <cell r="E24018" t="str">
            <v>HLOB-11-0104-06</v>
          </cell>
          <cell r="F24018" t="str">
            <v>PSHPH25A0175</v>
          </cell>
        </row>
        <row r="24019">
          <cell r="E24019" t="str">
            <v>HLOB-11-0104-06</v>
          </cell>
          <cell r="F24019" t="str">
            <v>PSHPH25A0175</v>
          </cell>
        </row>
        <row r="24020">
          <cell r="E24020" t="str">
            <v>HLOB-11-0104-06</v>
          </cell>
          <cell r="F24020" t="str">
            <v>PSHPH25A0175</v>
          </cell>
        </row>
        <row r="24021">
          <cell r="E24021" t="str">
            <v>PUR-11-0106-05</v>
          </cell>
          <cell r="F24021" t="str">
            <v>PSHPH25A0175</v>
          </cell>
        </row>
        <row r="24022">
          <cell r="E24022" t="str">
            <v>PUR-11-0106-05</v>
          </cell>
          <cell r="F24022" t="str">
            <v>PSHPH25A0175</v>
          </cell>
        </row>
        <row r="24023">
          <cell r="E24023" t="str">
            <v>PUR-11-0106-05</v>
          </cell>
          <cell r="F24023" t="str">
            <v>PSHPH25A0175</v>
          </cell>
        </row>
        <row r="24024">
          <cell r="E24024" t="str">
            <v>LUC-P11-J36100-03</v>
          </cell>
          <cell r="F24024" t="str">
            <v>HKHPG251167</v>
          </cell>
        </row>
        <row r="24025">
          <cell r="E24025" t="str">
            <v>LUC-P11-J5R000-05</v>
          </cell>
          <cell r="F24025" t="str">
            <v>HKHPG251167</v>
          </cell>
        </row>
        <row r="24026">
          <cell r="E24026" t="str">
            <v>LUC-P11-J5R000-05</v>
          </cell>
          <cell r="F24026" t="str">
            <v>HKHPG251167</v>
          </cell>
        </row>
        <row r="24027">
          <cell r="E24027" t="str">
            <v>LUC-P11-K34000-03</v>
          </cell>
          <cell r="F24027" t="str">
            <v>HKHPG251167</v>
          </cell>
        </row>
        <row r="24028">
          <cell r="E24028" t="str">
            <v>LUC-P11-K33800-04</v>
          </cell>
          <cell r="F24028" t="str">
            <v>HKHPG251167</v>
          </cell>
        </row>
        <row r="24029">
          <cell r="E24029" t="str">
            <v>LUC-P21-K34500-02</v>
          </cell>
          <cell r="F24029" t="str">
            <v>SHHPH25022982</v>
          </cell>
        </row>
        <row r="24030">
          <cell r="E24030" t="str">
            <v>LUC-P21-K33200-02</v>
          </cell>
          <cell r="F24030" t="str">
            <v>SHHPH25022982</v>
          </cell>
        </row>
        <row r="24031">
          <cell r="E24031" t="str">
            <v>LUC-P21-K61200-02</v>
          </cell>
          <cell r="F24031" t="str">
            <v>SHHPH25022982</v>
          </cell>
        </row>
        <row r="24032">
          <cell r="E24032" t="str">
            <v>LUC-P21-K34200-00</v>
          </cell>
          <cell r="F24032" t="str">
            <v>SHHPH25022982</v>
          </cell>
        </row>
        <row r="24033">
          <cell r="E24033" t="str">
            <v>LUC-P21-K34600-02</v>
          </cell>
          <cell r="F24033" t="str">
            <v>SHHPH25022982</v>
          </cell>
        </row>
        <row r="24034">
          <cell r="E24034" t="str">
            <v>PUR-09-0344-00</v>
          </cell>
          <cell r="F24034">
            <v>471782690291</v>
          </cell>
        </row>
        <row r="24035">
          <cell r="E24035" t="str">
            <v>PUR-09-0344-00</v>
          </cell>
          <cell r="F24035">
            <v>471782690291</v>
          </cell>
        </row>
        <row r="24036">
          <cell r="E24036" t="str">
            <v>PUR-09-0344-00</v>
          </cell>
          <cell r="F24036">
            <v>471782690291</v>
          </cell>
        </row>
        <row r="24037">
          <cell r="E24037" t="str">
            <v>PUR-09-0344-00</v>
          </cell>
          <cell r="F24037">
            <v>471782690291</v>
          </cell>
        </row>
        <row r="24038">
          <cell r="E24038" t="str">
            <v>PUR-09-0344-00</v>
          </cell>
          <cell r="F24038">
            <v>471782690291</v>
          </cell>
        </row>
        <row r="24039">
          <cell r="E24039" t="str">
            <v>PUR-09-0344-00</v>
          </cell>
          <cell r="F24039">
            <v>471782690291</v>
          </cell>
        </row>
        <row r="24040">
          <cell r="E24040" t="str">
            <v>HLOB-24-0031-00</v>
          </cell>
          <cell r="F24040">
            <v>885830425239</v>
          </cell>
        </row>
        <row r="24041">
          <cell r="E24041" t="str">
            <v>PUR-13-0141-00</v>
          </cell>
          <cell r="F24041">
            <v>885830425239</v>
          </cell>
        </row>
        <row r="24042">
          <cell r="E24042" t="str">
            <v>PUR-13-0141-00</v>
          </cell>
          <cell r="F24042">
            <v>885830425239</v>
          </cell>
        </row>
        <row r="24043">
          <cell r="E24043" t="str">
            <v>HLOB-13-0235-00</v>
          </cell>
          <cell r="F24043">
            <v>885830425239</v>
          </cell>
        </row>
        <row r="24044">
          <cell r="E24044" t="str">
            <v>HLOB-13-0235-00</v>
          </cell>
          <cell r="F24044">
            <v>885830425239</v>
          </cell>
        </row>
        <row r="24045">
          <cell r="E24045" t="str">
            <v>PUR-13-0235-00</v>
          </cell>
          <cell r="F24045">
            <v>885830425239</v>
          </cell>
        </row>
        <row r="24046">
          <cell r="E24046" t="str">
            <v>PUR-24-0031-00</v>
          </cell>
          <cell r="F24046">
            <v>885830425239</v>
          </cell>
        </row>
        <row r="24047">
          <cell r="E24047" t="str">
            <v>HLOB-13-0235-00</v>
          </cell>
          <cell r="F24047">
            <v>885830425239</v>
          </cell>
        </row>
        <row r="24048">
          <cell r="E24048" t="str">
            <v>HLOB-13-0235-00</v>
          </cell>
          <cell r="F24048">
            <v>885830425239</v>
          </cell>
        </row>
        <row r="24049">
          <cell r="E24049" t="str">
            <v>HLOB-13-0235-00</v>
          </cell>
          <cell r="F24049">
            <v>885830425239</v>
          </cell>
        </row>
        <row r="24050">
          <cell r="E24050" t="str">
            <v>HLOB-13-0235-00</v>
          </cell>
          <cell r="F24050">
            <v>885830425239</v>
          </cell>
        </row>
        <row r="24051">
          <cell r="E24051" t="str">
            <v>HLOB-13-0235-00</v>
          </cell>
          <cell r="F24051">
            <v>885830425239</v>
          </cell>
        </row>
        <row r="24052">
          <cell r="E24052" t="str">
            <v>LUC-E00-420184-00</v>
          </cell>
          <cell r="F24052">
            <v>885830425239</v>
          </cell>
        </row>
        <row r="24053">
          <cell r="E24053" t="str">
            <v>LUC-E00-420184-00</v>
          </cell>
          <cell r="F24053">
            <v>885830425239</v>
          </cell>
        </row>
        <row r="24054">
          <cell r="E24054" t="str">
            <v>HLOB-24-0031-00</v>
          </cell>
          <cell r="F24054">
            <v>885830425239</v>
          </cell>
        </row>
        <row r="24055">
          <cell r="E24055" t="str">
            <v>HLOB-12-0482-00</v>
          </cell>
          <cell r="F24055">
            <v>885830425239</v>
          </cell>
        </row>
        <row r="24056">
          <cell r="E24056" t="str">
            <v>PUR-13-0235-00</v>
          </cell>
          <cell r="F24056">
            <v>885830425239</v>
          </cell>
        </row>
        <row r="24057">
          <cell r="E24057" t="str">
            <v>PUR-24-0031-00</v>
          </cell>
          <cell r="F24057">
            <v>885830425239</v>
          </cell>
        </row>
        <row r="24058">
          <cell r="E24058" t="str">
            <v>HLOB-13-0235-00</v>
          </cell>
          <cell r="F24058">
            <v>885830425239</v>
          </cell>
        </row>
        <row r="24059">
          <cell r="E24059" t="str">
            <v>PUR-13-0235-00</v>
          </cell>
          <cell r="F24059">
            <v>885830425239</v>
          </cell>
        </row>
        <row r="24060">
          <cell r="E24060" t="str">
            <v>PUR-13-0235-00</v>
          </cell>
          <cell r="F24060">
            <v>885830425239</v>
          </cell>
        </row>
        <row r="24061">
          <cell r="E24061" t="str">
            <v>122-001081</v>
          </cell>
          <cell r="F24061">
            <v>885830425239</v>
          </cell>
        </row>
        <row r="24062">
          <cell r="E24062" t="str">
            <v>PURET-12-0017-00</v>
          </cell>
          <cell r="F24062">
            <v>885830425239</v>
          </cell>
        </row>
        <row r="24063">
          <cell r="E24063" t="str">
            <v>PUR-24-0031-00</v>
          </cell>
          <cell r="F24063">
            <v>885830425239</v>
          </cell>
        </row>
        <row r="24064">
          <cell r="E24064" t="str">
            <v>PUR-24-0031-00</v>
          </cell>
          <cell r="F24064">
            <v>885830425239</v>
          </cell>
        </row>
        <row r="24065">
          <cell r="E24065" t="str">
            <v>126-000344</v>
          </cell>
          <cell r="F24065">
            <v>885830425239</v>
          </cell>
        </row>
        <row r="24066">
          <cell r="E24066" t="str">
            <v>126-000344</v>
          </cell>
          <cell r="F24066">
            <v>885830425239</v>
          </cell>
        </row>
        <row r="24067">
          <cell r="E24067" t="str">
            <v>PUR-24-0031-00</v>
          </cell>
          <cell r="F24067">
            <v>885830425239</v>
          </cell>
        </row>
        <row r="24068">
          <cell r="E24068" t="str">
            <v>PURET-12-0088-00</v>
          </cell>
          <cell r="F24068">
            <v>885830425239</v>
          </cell>
        </row>
        <row r="24069">
          <cell r="E24069" t="str">
            <v>PUR-13-0245-00</v>
          </cell>
          <cell r="F24069">
            <v>885830425239</v>
          </cell>
        </row>
        <row r="24070">
          <cell r="E24070" t="str">
            <v>EF-45127244.X.X</v>
          </cell>
          <cell r="F24070">
            <v>469369183975</v>
          </cell>
        </row>
        <row r="24071">
          <cell r="E24071" t="str">
            <v>LUC-E00-400001-012</v>
          </cell>
          <cell r="F24071">
            <v>479730149880</v>
          </cell>
        </row>
        <row r="24072">
          <cell r="E24072" t="str">
            <v>LUC-EZZ-400244-00</v>
          </cell>
          <cell r="F24072">
            <v>479730150390</v>
          </cell>
        </row>
        <row r="24073">
          <cell r="E24073" t="str">
            <v>LUC-E00-400028-002</v>
          </cell>
          <cell r="F24073">
            <v>479730150611</v>
          </cell>
        </row>
        <row r="24074">
          <cell r="E24074" t="str">
            <v>LUC-EZZ-400231-00</v>
          </cell>
          <cell r="F24074">
            <v>479730152084</v>
          </cell>
        </row>
        <row r="24075">
          <cell r="E24075" t="str">
            <v>LUC-EZZ-400244-00</v>
          </cell>
          <cell r="F24075">
            <v>479730152040</v>
          </cell>
        </row>
        <row r="24076">
          <cell r="E24076" t="str">
            <v>PUR-24-0028-00</v>
          </cell>
          <cell r="F24076">
            <v>479730150791</v>
          </cell>
        </row>
        <row r="24077">
          <cell r="E24077" t="str">
            <v>LUC-EZZ-400244-00</v>
          </cell>
          <cell r="F24077">
            <v>479730152511</v>
          </cell>
        </row>
        <row r="24078">
          <cell r="E24078" t="str">
            <v>LUC-EZZ-400248-00</v>
          </cell>
          <cell r="F24078">
            <v>479730152636</v>
          </cell>
        </row>
        <row r="24079">
          <cell r="E24079" t="str">
            <v>LUC-EZZ-400231-00</v>
          </cell>
          <cell r="F24079">
            <v>479730152441</v>
          </cell>
        </row>
        <row r="24080">
          <cell r="E24080" t="str">
            <v>LUC-EZZ-400162-00</v>
          </cell>
          <cell r="F24080">
            <v>479730152750</v>
          </cell>
        </row>
        <row r="24081">
          <cell r="E24081" t="str">
            <v>LUC-EZZ-470096-00</v>
          </cell>
          <cell r="F24081">
            <v>479730152680</v>
          </cell>
        </row>
        <row r="24082">
          <cell r="E24082" t="str">
            <v>123-001963</v>
          </cell>
          <cell r="F24082">
            <v>484388179202</v>
          </cell>
        </row>
        <row r="24083">
          <cell r="E24083" t="str">
            <v>LUC-E00-470075-00</v>
          </cell>
          <cell r="F24083">
            <v>643036781481</v>
          </cell>
        </row>
        <row r="24084">
          <cell r="E24084" t="str">
            <v>122-001061</v>
          </cell>
          <cell r="F24084">
            <v>643036781150</v>
          </cell>
        </row>
        <row r="24085">
          <cell r="E24085" t="str">
            <v>LUC-E00-440003-01</v>
          </cell>
          <cell r="F24085">
            <v>484388182080</v>
          </cell>
        </row>
        <row r="24086">
          <cell r="E24086" t="str">
            <v>122-004310</v>
          </cell>
          <cell r="F24086">
            <v>643036781600</v>
          </cell>
        </row>
        <row r="24087">
          <cell r="E24087" t="str">
            <v>121-004198</v>
          </cell>
          <cell r="F24087">
            <v>643036781600</v>
          </cell>
        </row>
        <row r="24088">
          <cell r="E24088" t="str">
            <v>EF-45165680</v>
          </cell>
          <cell r="F24088">
            <v>707296246161</v>
          </cell>
        </row>
        <row r="24089">
          <cell r="E24089" t="str">
            <v>EF-45193108</v>
          </cell>
          <cell r="F24089">
            <v>885805604853</v>
          </cell>
        </row>
        <row r="24090">
          <cell r="E24090" t="str">
            <v>EF-45193108</v>
          </cell>
          <cell r="F24090">
            <v>885805501027</v>
          </cell>
        </row>
        <row r="24091">
          <cell r="E24091" t="str">
            <v>LUC-EZZ-420261-00</v>
          </cell>
          <cell r="F24091">
            <v>4812861263</v>
          </cell>
        </row>
        <row r="24092">
          <cell r="E24092" t="str">
            <v>LUC-EZZ-420261-00</v>
          </cell>
          <cell r="F24092">
            <v>4812861263</v>
          </cell>
        </row>
        <row r="24093">
          <cell r="E24093" t="str">
            <v>LUC-EZZ-420133-00</v>
          </cell>
          <cell r="F24093">
            <v>4812861263</v>
          </cell>
        </row>
        <row r="24094">
          <cell r="E24094" t="str">
            <v>LUC-EZZ-420527-00</v>
          </cell>
          <cell r="F24094">
            <v>4812861263</v>
          </cell>
        </row>
        <row r="24095">
          <cell r="E24095" t="str">
            <v>LUC-EZZ-420527-00</v>
          </cell>
          <cell r="F24095">
            <v>4812861263</v>
          </cell>
        </row>
        <row r="24096">
          <cell r="E24096" t="str">
            <v>LUC-EZZ-420527-00</v>
          </cell>
          <cell r="F24096">
            <v>4812861263</v>
          </cell>
        </row>
        <row r="24097">
          <cell r="E24097" t="str">
            <v>PUR-13-0238-00</v>
          </cell>
          <cell r="F24097">
            <v>4812861263</v>
          </cell>
        </row>
        <row r="24098">
          <cell r="E24098" t="str">
            <v>HLOB-13-0229-00</v>
          </cell>
          <cell r="F24098">
            <v>4812861263</v>
          </cell>
        </row>
        <row r="24099">
          <cell r="E24099" t="str">
            <v>HLOB-13-0229-00</v>
          </cell>
          <cell r="F24099">
            <v>4812861263</v>
          </cell>
        </row>
        <row r="24100">
          <cell r="E24100" t="str">
            <v>HLOB-13-0138-00</v>
          </cell>
          <cell r="F24100">
            <v>4812861263</v>
          </cell>
        </row>
        <row r="24101">
          <cell r="E24101" t="str">
            <v>LUC-EZZ-420539-00</v>
          </cell>
          <cell r="F24101">
            <v>4812861263</v>
          </cell>
        </row>
        <row r="24102">
          <cell r="E24102" t="str">
            <v>LUC-E00-420072-00</v>
          </cell>
          <cell r="F24102">
            <v>4812861263</v>
          </cell>
        </row>
        <row r="24103">
          <cell r="E24103" t="str">
            <v>LUC-E00-420072-00</v>
          </cell>
          <cell r="F24103">
            <v>4812861263</v>
          </cell>
        </row>
        <row r="24104">
          <cell r="E24104" t="str">
            <v>LUC-E00-420072-00</v>
          </cell>
          <cell r="F24104">
            <v>4812861263</v>
          </cell>
        </row>
        <row r="24105">
          <cell r="E24105" t="str">
            <v>LUC-E00-420072-00</v>
          </cell>
          <cell r="F24105">
            <v>4812861263</v>
          </cell>
        </row>
        <row r="24106">
          <cell r="E24106" t="str">
            <v>EF-45042138</v>
          </cell>
          <cell r="F24106">
            <v>4812861263</v>
          </cell>
        </row>
        <row r="24107">
          <cell r="E24107" t="str">
            <v>LUC-E00-470161-01</v>
          </cell>
          <cell r="F24107">
            <v>395199270384</v>
          </cell>
        </row>
        <row r="24108">
          <cell r="E24108" t="str">
            <v>LUC-E00-440148-00</v>
          </cell>
          <cell r="F24108">
            <v>464002379772</v>
          </cell>
        </row>
        <row r="24109">
          <cell r="E24109" t="str">
            <v>LUC-EZZ-470423-00</v>
          </cell>
          <cell r="F24109">
            <v>477592539938</v>
          </cell>
        </row>
        <row r="24110">
          <cell r="E24110" t="str">
            <v>LUC-EZZ-470423-00</v>
          </cell>
          <cell r="F24110">
            <v>477592540770</v>
          </cell>
        </row>
        <row r="24111">
          <cell r="E24111" t="str">
            <v>LUC-E00-470109-00</v>
          </cell>
          <cell r="F24111">
            <v>477592540839</v>
          </cell>
        </row>
        <row r="24112">
          <cell r="E24112" t="str">
            <v>LUC-E00-470109-00</v>
          </cell>
          <cell r="F24112">
            <v>477592540839</v>
          </cell>
        </row>
        <row r="24113">
          <cell r="E24113" t="str">
            <v>LUC-EZZ-460737-00</v>
          </cell>
          <cell r="F24113">
            <v>885887155335</v>
          </cell>
        </row>
        <row r="24114">
          <cell r="E24114" t="str">
            <v>LUC-EZZ-460737-00</v>
          </cell>
          <cell r="F24114">
            <v>885887155335</v>
          </cell>
        </row>
        <row r="24115">
          <cell r="E24115" t="str">
            <v>LUC-E00-510045-00</v>
          </cell>
          <cell r="F24115">
            <v>885887155335</v>
          </cell>
        </row>
        <row r="24116">
          <cell r="E24116" t="str">
            <v>LUC-E00-4700104-00</v>
          </cell>
          <cell r="F24116">
            <v>885887155335</v>
          </cell>
        </row>
        <row r="24117">
          <cell r="E24117" t="str">
            <v>LUC-EZZ-450112-00</v>
          </cell>
          <cell r="F24117">
            <v>885887155335</v>
          </cell>
        </row>
        <row r="24118">
          <cell r="E24118" t="str">
            <v>LUC-E00-690037-00</v>
          </cell>
          <cell r="F24118">
            <v>885887155335</v>
          </cell>
        </row>
        <row r="24119">
          <cell r="E24119" t="str">
            <v>109-001330</v>
          </cell>
          <cell r="F24119">
            <v>885887155335</v>
          </cell>
        </row>
        <row r="24120">
          <cell r="E24120" t="str">
            <v>120-011943</v>
          </cell>
          <cell r="F24120">
            <v>885887155335</v>
          </cell>
        </row>
        <row r="24121">
          <cell r="E24121" t="str">
            <v>LUC-EZZ-420507-00</v>
          </cell>
          <cell r="F24121">
            <v>885887155335</v>
          </cell>
        </row>
        <row r="24122">
          <cell r="E24122" t="str">
            <v>168-001157</v>
          </cell>
          <cell r="F24122">
            <v>885887155335</v>
          </cell>
        </row>
        <row r="24123">
          <cell r="E24123" t="str">
            <v>LUC-E00-450154-00</v>
          </cell>
          <cell r="F24123">
            <v>885887155335</v>
          </cell>
        </row>
        <row r="24124">
          <cell r="E24124" t="str">
            <v>LUC-E00-400011-003</v>
          </cell>
          <cell r="F24124">
            <v>885887155335</v>
          </cell>
        </row>
        <row r="24125">
          <cell r="E24125" t="str">
            <v>LUC-E00-470059-00</v>
          </cell>
          <cell r="F24125">
            <v>885887155335</v>
          </cell>
        </row>
        <row r="24126">
          <cell r="E24126" t="str">
            <v>LUC-E00-420045-00</v>
          </cell>
          <cell r="F24126" t="str">
            <v>TXGHPHK25N03</v>
          </cell>
        </row>
        <row r="24127">
          <cell r="E24127" t="str">
            <v>LUC-E00-400074-00</v>
          </cell>
          <cell r="F24127" t="str">
            <v>TXGHPHK25N03</v>
          </cell>
        </row>
        <row r="24128">
          <cell r="E24128" t="str">
            <v>LUC-EZZ-470241-00</v>
          </cell>
          <cell r="F24128" t="str">
            <v>TXGHPHK25N03</v>
          </cell>
        </row>
        <row r="24129">
          <cell r="E24129" t="str">
            <v>LUC-E00-470119-00</v>
          </cell>
          <cell r="F24129" t="str">
            <v>TXGHPHK25N03</v>
          </cell>
        </row>
        <row r="24130">
          <cell r="E24130" t="str">
            <v>LUC-E00-470120-00</v>
          </cell>
          <cell r="F24130" t="str">
            <v>TXGHPHK25N03</v>
          </cell>
        </row>
        <row r="24131">
          <cell r="E24131" t="str">
            <v>LUC-E00-470074-01</v>
          </cell>
          <cell r="F24131" t="str">
            <v>TXGHPHK25N03</v>
          </cell>
        </row>
        <row r="24132">
          <cell r="E24132" t="str">
            <v>LUC-EZZ-510085-00</v>
          </cell>
          <cell r="F24132" t="str">
            <v>TXGHPHK25N03</v>
          </cell>
        </row>
        <row r="24133">
          <cell r="E24133" t="str">
            <v>LUC-EZZ-510106-00</v>
          </cell>
          <cell r="F24133" t="str">
            <v>TXGHPHK25N03</v>
          </cell>
        </row>
        <row r="24134">
          <cell r="E24134" t="str">
            <v>LUC-EZZ-450214-00</v>
          </cell>
          <cell r="F24134" t="str">
            <v>TXGHPHK25N03</v>
          </cell>
        </row>
        <row r="24135">
          <cell r="E24135" t="str">
            <v>LUC-E00-460006-00</v>
          </cell>
          <cell r="F24135" t="str">
            <v>TXGHPHK25N03</v>
          </cell>
        </row>
        <row r="24136">
          <cell r="E24136" t="str">
            <v>LUC-EZZ-460781-00</v>
          </cell>
          <cell r="F24136" t="str">
            <v>TXGHPHK25N03</v>
          </cell>
        </row>
        <row r="24137">
          <cell r="E24137" t="str">
            <v>LUC-E00-460009-00</v>
          </cell>
          <cell r="F24137" t="str">
            <v>TXGHPHK25N03</v>
          </cell>
        </row>
        <row r="24138">
          <cell r="E24138" t="str">
            <v>LUC-EZZ-480024-00</v>
          </cell>
          <cell r="F24138" t="str">
            <v>TXGHPHK25N03</v>
          </cell>
        </row>
        <row r="24139">
          <cell r="E24139" t="str">
            <v>LUC-P11-K2B400-02</v>
          </cell>
          <cell r="F24139" t="str">
            <v>TXGHPHK25N03</v>
          </cell>
        </row>
        <row r="24140">
          <cell r="E24140" t="str">
            <v>LUC-E00-400011-000</v>
          </cell>
          <cell r="F24140" t="str">
            <v>TXGHPHK25N03</v>
          </cell>
        </row>
        <row r="24141">
          <cell r="E24141" t="str">
            <v>LUC-EZZ-401680-00</v>
          </cell>
          <cell r="F24141" t="str">
            <v>TXGHPHK25N03</v>
          </cell>
        </row>
        <row r="24142">
          <cell r="E24142" t="str">
            <v>LUC-EZZ-401250-00</v>
          </cell>
          <cell r="F24142" t="str">
            <v>TXGHPHK25N03</v>
          </cell>
        </row>
        <row r="24143">
          <cell r="E24143" t="str">
            <v>LUC-E00-440024-00</v>
          </cell>
          <cell r="F24143" t="str">
            <v>TXGHPHK25N03</v>
          </cell>
        </row>
        <row r="24144">
          <cell r="E24144" t="str">
            <v>LUC-E00-460015-01</v>
          </cell>
          <cell r="F24144" t="str">
            <v>TXGHPHK25N03</v>
          </cell>
        </row>
        <row r="24145">
          <cell r="E24145" t="str">
            <v>LUC-P11-K41900-00</v>
          </cell>
          <cell r="F24145" t="str">
            <v>TXGHPHK25N03</v>
          </cell>
        </row>
        <row r="24146">
          <cell r="E24146" t="str">
            <v>LUC-P11-K41C00-00</v>
          </cell>
          <cell r="F24146" t="str">
            <v>TXGHPHK25N03</v>
          </cell>
        </row>
        <row r="24147">
          <cell r="E24147" t="str">
            <v>LUC-EZZ-420536-00</v>
          </cell>
          <cell r="F24147" t="str">
            <v>TXGHPHK25N03</v>
          </cell>
        </row>
        <row r="24148">
          <cell r="E24148" t="str">
            <v>LUC-EZZ-400246-00</v>
          </cell>
          <cell r="F24148" t="str">
            <v>TXGHPHK25N03</v>
          </cell>
        </row>
        <row r="24149">
          <cell r="E24149" t="str">
            <v>LUC-EZZ-450070-00</v>
          </cell>
          <cell r="F24149" t="str">
            <v>TXGHPHK25N03</v>
          </cell>
        </row>
        <row r="24150">
          <cell r="E24150" t="str">
            <v>LUC-EZZ-450176-00</v>
          </cell>
          <cell r="F24150" t="str">
            <v>TXGHPHK25N03</v>
          </cell>
        </row>
        <row r="24151">
          <cell r="E24151" t="str">
            <v>LUC-EZZ-690020-00</v>
          </cell>
          <cell r="F24151" t="str">
            <v>TXGHPHK25N03</v>
          </cell>
        </row>
        <row r="24152">
          <cell r="E24152" t="str">
            <v>LUC-E00-420070-00</v>
          </cell>
          <cell r="F24152" t="str">
            <v>TXGHPHK25N03</v>
          </cell>
        </row>
        <row r="24153">
          <cell r="E24153" t="str">
            <v>LUC-EZZ-421252-00</v>
          </cell>
          <cell r="F24153" t="str">
            <v>TXGHPHK25N03</v>
          </cell>
        </row>
        <row r="24154">
          <cell r="E24154" t="str">
            <v>LUC-EZZ-420188-00</v>
          </cell>
          <cell r="F24154" t="str">
            <v>TXGHPHK25N03</v>
          </cell>
        </row>
        <row r="24155">
          <cell r="E24155" t="str">
            <v>LUC-EZZ-421554-00</v>
          </cell>
          <cell r="F24155" t="str">
            <v>TXGHPHK25N03</v>
          </cell>
        </row>
        <row r="24156">
          <cell r="E24156" t="str">
            <v>LUC-EZZ-420046-00</v>
          </cell>
          <cell r="F24156" t="str">
            <v>TXGHPHK25N03</v>
          </cell>
        </row>
        <row r="24157">
          <cell r="E24157" t="str">
            <v>LUC-EZZ-420511-00</v>
          </cell>
          <cell r="F24157" t="str">
            <v>TXGHPHK25N03</v>
          </cell>
        </row>
        <row r="24158">
          <cell r="E24158" t="str">
            <v>LUC-EZZ-420866-00</v>
          </cell>
          <cell r="F24158" t="str">
            <v>TXGHPHK25N03</v>
          </cell>
        </row>
        <row r="24159">
          <cell r="E24159" t="str">
            <v>LUC-E00-420047-02</v>
          </cell>
          <cell r="F24159" t="str">
            <v>TXGHPHK25N03</v>
          </cell>
        </row>
        <row r="24160">
          <cell r="E24160" t="str">
            <v>LUC-EZZ-421281-00</v>
          </cell>
          <cell r="F24160" t="str">
            <v>TXGHPHK25N03</v>
          </cell>
        </row>
        <row r="24161">
          <cell r="E24161" t="str">
            <v>LUC-EZZ-420322-00</v>
          </cell>
          <cell r="F24161" t="str">
            <v>TXGHPHK25N03</v>
          </cell>
        </row>
        <row r="24162">
          <cell r="E24162" t="str">
            <v>LUC-E00-420048-00</v>
          </cell>
          <cell r="F24162" t="str">
            <v>TXGHPHK25N03</v>
          </cell>
        </row>
        <row r="24163">
          <cell r="E24163" t="str">
            <v>LUC-EZZ-420123-00</v>
          </cell>
          <cell r="F24163" t="str">
            <v>TXGHPHK25N03</v>
          </cell>
        </row>
        <row r="24164">
          <cell r="E24164" t="str">
            <v>LUC-EZZ-420822-00</v>
          </cell>
          <cell r="F24164" t="str">
            <v>TXGHPHK25N03</v>
          </cell>
        </row>
        <row r="24165">
          <cell r="E24165" t="str">
            <v>LUC-EZZ-400041-00</v>
          </cell>
          <cell r="F24165" t="str">
            <v>TXGHPHK25N03</v>
          </cell>
        </row>
        <row r="24166">
          <cell r="E24166" t="str">
            <v>LUC-E00-400015-07</v>
          </cell>
          <cell r="F24166" t="str">
            <v>TXGHPHK25N03</v>
          </cell>
        </row>
        <row r="24167">
          <cell r="E24167" t="str">
            <v>LUC-EZZ-401538-00</v>
          </cell>
          <cell r="F24167" t="str">
            <v>TXGHPHK25N03</v>
          </cell>
        </row>
        <row r="24168">
          <cell r="E24168" t="str">
            <v>LUC-EZZ-401043-00</v>
          </cell>
          <cell r="F24168" t="str">
            <v>TXGHPHK25N03</v>
          </cell>
        </row>
        <row r="24169">
          <cell r="E24169" t="str">
            <v>LUC-E00-400048-00</v>
          </cell>
          <cell r="F24169" t="str">
            <v>TXGHPHK25N03</v>
          </cell>
        </row>
        <row r="24170">
          <cell r="E24170" t="str">
            <v>LUC-EZZ-440127-00</v>
          </cell>
          <cell r="F24170" t="str">
            <v>TXGHPHK25N03</v>
          </cell>
        </row>
        <row r="24171">
          <cell r="E24171" t="str">
            <v>LUC-E00-470080-00</v>
          </cell>
          <cell r="F24171" t="str">
            <v>TXGHPHK25N03</v>
          </cell>
        </row>
        <row r="24172">
          <cell r="E24172" t="str">
            <v>LUC-E00-470075-00</v>
          </cell>
          <cell r="F24172" t="str">
            <v>TXGHPHK25N03</v>
          </cell>
        </row>
        <row r="24173">
          <cell r="E24173" t="str">
            <v>LUC-EZZ-470236-00</v>
          </cell>
          <cell r="F24173" t="str">
            <v>TXGHPHK25N03</v>
          </cell>
        </row>
        <row r="24174">
          <cell r="E24174" t="str">
            <v>LUC-E00-470032-00</v>
          </cell>
          <cell r="F24174" t="str">
            <v>TXGHPHK25N03</v>
          </cell>
        </row>
        <row r="24175">
          <cell r="E24175" t="str">
            <v>LUC-E00-470447-00</v>
          </cell>
          <cell r="F24175" t="str">
            <v>TXGHPHK25N03</v>
          </cell>
        </row>
        <row r="24176">
          <cell r="E24176" t="str">
            <v>LUC-E00-510015-00</v>
          </cell>
          <cell r="F24176" t="str">
            <v>TXGHPHK25N03</v>
          </cell>
        </row>
        <row r="24177">
          <cell r="E24177" t="str">
            <v>LUC-EZZ-510048-00</v>
          </cell>
          <cell r="F24177" t="str">
            <v>TXGHPHK25N03</v>
          </cell>
        </row>
        <row r="24178">
          <cell r="E24178" t="str">
            <v>LUC-EZZ-510077-00</v>
          </cell>
          <cell r="F24178" t="str">
            <v>TXGHPHK25N03</v>
          </cell>
        </row>
        <row r="24179">
          <cell r="E24179" t="str">
            <v>LUC-E00-450066-00</v>
          </cell>
          <cell r="F24179" t="str">
            <v>TXGHPHK25N03</v>
          </cell>
        </row>
        <row r="24180">
          <cell r="E24180" t="str">
            <v>LUC-E00-450026-00</v>
          </cell>
          <cell r="F24180" t="str">
            <v>TXGHPHK25N03</v>
          </cell>
        </row>
        <row r="24181">
          <cell r="E24181" t="str">
            <v>LUC-E00-450028-00</v>
          </cell>
          <cell r="F24181" t="str">
            <v>TXGHPHK25N03</v>
          </cell>
        </row>
        <row r="24182">
          <cell r="E24182" t="str">
            <v>LUC-EZZ-450060-00</v>
          </cell>
          <cell r="F24182" t="str">
            <v>TXGHPHK25N03</v>
          </cell>
        </row>
        <row r="24183">
          <cell r="E24183" t="str">
            <v>LUC-EZZ-450006-00</v>
          </cell>
          <cell r="F24183" t="str">
            <v>TXGHPHK25N03</v>
          </cell>
        </row>
        <row r="24184">
          <cell r="E24184" t="str">
            <v>LUC-E00-450043-00</v>
          </cell>
          <cell r="F24184" t="str">
            <v>TXGHPHK25N03</v>
          </cell>
        </row>
        <row r="24185">
          <cell r="E24185" t="str">
            <v>LUC-E00-480006-00</v>
          </cell>
          <cell r="F24185" t="str">
            <v>TXGHPHK25N03</v>
          </cell>
        </row>
        <row r="24186">
          <cell r="E24186" t="str">
            <v>LUC-EZZ-420095-00</v>
          </cell>
          <cell r="F24186" t="str">
            <v>TXGHPHK25N03</v>
          </cell>
        </row>
        <row r="24187">
          <cell r="E24187" t="str">
            <v>LUC-E00-420002-07</v>
          </cell>
          <cell r="F24187" t="str">
            <v>TXGHPHK25N03</v>
          </cell>
        </row>
        <row r="24188">
          <cell r="E24188" t="str">
            <v>LUC-E00-440011-00</v>
          </cell>
          <cell r="F24188" t="str">
            <v>TXGHPHK25N03</v>
          </cell>
        </row>
        <row r="24189">
          <cell r="E24189" t="str">
            <v>LUC-E00-470118-00</v>
          </cell>
          <cell r="F24189" t="str">
            <v>TXGHPHK25N03</v>
          </cell>
        </row>
        <row r="24190">
          <cell r="E24190" t="str">
            <v>LUC-EZZ-511370-00</v>
          </cell>
          <cell r="F24190" t="str">
            <v>TXGHPHK25N03</v>
          </cell>
        </row>
        <row r="24191">
          <cell r="E24191" t="str">
            <v>LUC-E00-450026-00</v>
          </cell>
          <cell r="F24191" t="str">
            <v>TXGHPHK25N03</v>
          </cell>
        </row>
        <row r="24192">
          <cell r="E24192" t="str">
            <v>LUC-EZZ-451126-00</v>
          </cell>
          <cell r="F24192" t="str">
            <v>TXGHPHK25N03</v>
          </cell>
        </row>
        <row r="24193">
          <cell r="E24193" t="str">
            <v>LUC-EZZ-421298-00</v>
          </cell>
          <cell r="F24193" t="str">
            <v>TXGHPHK25N03</v>
          </cell>
        </row>
        <row r="24194">
          <cell r="E24194" t="str">
            <v>LUC-EZZ-420048-00</v>
          </cell>
          <cell r="F24194" t="str">
            <v>TXGHPHK25N03</v>
          </cell>
        </row>
        <row r="24195">
          <cell r="E24195" t="str">
            <v>LUC-EZZ-420175-00</v>
          </cell>
          <cell r="F24195" t="str">
            <v>TXGHPHK25N03</v>
          </cell>
        </row>
        <row r="24196">
          <cell r="E24196" t="str">
            <v>LUC-E00-420049-00</v>
          </cell>
          <cell r="F24196" t="str">
            <v>TXGHPHK25N03</v>
          </cell>
        </row>
        <row r="24197">
          <cell r="E24197" t="str">
            <v>LUC-EZZ-421706-00</v>
          </cell>
          <cell r="F24197" t="str">
            <v>TXGHPHK25N03</v>
          </cell>
        </row>
        <row r="24198">
          <cell r="E24198" t="str">
            <v>LUC-E00-400011-005</v>
          </cell>
          <cell r="F24198">
            <v>885766125880</v>
          </cell>
        </row>
        <row r="24199">
          <cell r="E24199" t="str">
            <v>LUC-EZZ-470138-00</v>
          </cell>
          <cell r="F24199">
            <v>885766125880</v>
          </cell>
        </row>
        <row r="24200">
          <cell r="E24200" t="str">
            <v>EF-45174166</v>
          </cell>
          <cell r="F24200">
            <v>885766125880</v>
          </cell>
        </row>
        <row r="24201">
          <cell r="E24201" t="str">
            <v>LUC-EZZ-510023-00</v>
          </cell>
          <cell r="F24201">
            <v>885766125880</v>
          </cell>
        </row>
        <row r="24202">
          <cell r="E24202" t="str">
            <v>LUC-E00-420028-00</v>
          </cell>
          <cell r="F24202">
            <v>885766125880</v>
          </cell>
        </row>
        <row r="24203">
          <cell r="E24203" t="str">
            <v>LUC-E00-420028-00</v>
          </cell>
          <cell r="F24203">
            <v>885766125880</v>
          </cell>
        </row>
        <row r="24204">
          <cell r="E24204" t="str">
            <v>PUR-14-0097-00</v>
          </cell>
          <cell r="F24204">
            <v>885766125880</v>
          </cell>
        </row>
        <row r="24205">
          <cell r="E24205" t="str">
            <v>LUC-E00-470031-00</v>
          </cell>
          <cell r="F24205">
            <v>479730154363</v>
          </cell>
        </row>
        <row r="24206">
          <cell r="E24206" t="str">
            <v>LUC-EZZ-400207-00</v>
          </cell>
          <cell r="F24206">
            <v>479730153470</v>
          </cell>
        </row>
        <row r="24207">
          <cell r="E24207" t="str">
            <v>LUC-EZZ-400207-00</v>
          </cell>
          <cell r="F24207">
            <v>479730153470</v>
          </cell>
        </row>
        <row r="24208">
          <cell r="E24208" t="str">
            <v>LUC-EZZ-400242-00</v>
          </cell>
          <cell r="F24208">
            <v>479730153584</v>
          </cell>
        </row>
        <row r="24209">
          <cell r="E24209" t="str">
            <v>EF-45129595</v>
          </cell>
          <cell r="F24209">
            <v>479730153882</v>
          </cell>
        </row>
        <row r="24210">
          <cell r="E24210" t="str">
            <v>LUC-E00-420037-04</v>
          </cell>
          <cell r="F24210">
            <v>489050894348</v>
          </cell>
        </row>
        <row r="24211">
          <cell r="E24211" t="str">
            <v>EF-45071390.X.X</v>
          </cell>
          <cell r="F24211">
            <v>394999549268</v>
          </cell>
        </row>
        <row r="24212">
          <cell r="E24212" t="str">
            <v>LUC-E00-470473-00</v>
          </cell>
          <cell r="F24212">
            <v>394999549268</v>
          </cell>
        </row>
        <row r="24213">
          <cell r="E24213" t="str">
            <v>EF-45192685</v>
          </cell>
          <cell r="F24213">
            <v>461244041085</v>
          </cell>
        </row>
        <row r="24214">
          <cell r="E24214" t="str">
            <v>EF-45184274</v>
          </cell>
          <cell r="F24214">
            <v>461244041085</v>
          </cell>
        </row>
        <row r="24215">
          <cell r="E24215" t="str">
            <v>EF-45184274</v>
          </cell>
          <cell r="F24215">
            <v>461244041085</v>
          </cell>
        </row>
        <row r="24216">
          <cell r="E24216" t="str">
            <v>LUC-EZZ-420342-00</v>
          </cell>
          <cell r="F24216">
            <v>4711892608</v>
          </cell>
        </row>
        <row r="24217">
          <cell r="E24217" t="str">
            <v>EF-45054376.X.X</v>
          </cell>
          <cell r="F24217">
            <v>4711892608</v>
          </cell>
        </row>
        <row r="24218">
          <cell r="E24218" t="str">
            <v>PUR-13-0249-00</v>
          </cell>
          <cell r="F24218">
            <v>4711892608</v>
          </cell>
        </row>
        <row r="24219">
          <cell r="E24219" t="str">
            <v>LUC-E00-450010-00</v>
          </cell>
          <cell r="F24219">
            <v>4711892608</v>
          </cell>
        </row>
        <row r="24220">
          <cell r="E24220" t="str">
            <v>LUC-EZZ-481784-00</v>
          </cell>
          <cell r="F24220">
            <v>4711892608</v>
          </cell>
        </row>
        <row r="24221">
          <cell r="E24221" t="str">
            <v>LUC-EZZ-440036-00</v>
          </cell>
          <cell r="F24221">
            <v>4711892608</v>
          </cell>
        </row>
        <row r="24222">
          <cell r="E24222" t="str">
            <v>PUR-14-0101-00</v>
          </cell>
          <cell r="F24222">
            <v>4711892608</v>
          </cell>
        </row>
        <row r="24223">
          <cell r="E24223" t="str">
            <v>PUR-14-0101-00</v>
          </cell>
          <cell r="F24223">
            <v>4711892608</v>
          </cell>
        </row>
        <row r="24224">
          <cell r="E24224" t="str">
            <v>LUC-E00-480007-00</v>
          </cell>
          <cell r="F24224">
            <v>4711892608</v>
          </cell>
        </row>
        <row r="24225">
          <cell r="E24225" t="str">
            <v>HLOB-13-0001-00</v>
          </cell>
          <cell r="F24225">
            <v>4711892608</v>
          </cell>
        </row>
        <row r="24226">
          <cell r="E24226" t="str">
            <v>PURET-13-0001-00</v>
          </cell>
          <cell r="F24226">
            <v>4711892608</v>
          </cell>
        </row>
        <row r="24227">
          <cell r="E24227" t="str">
            <v>HLOB-13-0001-00</v>
          </cell>
          <cell r="F24227">
            <v>4711892608</v>
          </cell>
        </row>
        <row r="24228">
          <cell r="E24228" t="str">
            <v>HLOB-13-0001-00</v>
          </cell>
          <cell r="F24228">
            <v>4711892608</v>
          </cell>
        </row>
        <row r="24229">
          <cell r="E24229" t="str">
            <v>LUC-EZZ-511304-00</v>
          </cell>
          <cell r="F24229">
            <v>4711892608</v>
          </cell>
        </row>
        <row r="24230">
          <cell r="E24230" t="str">
            <v>LUC-EZZ-440016-00</v>
          </cell>
          <cell r="F24230">
            <v>4711892608</v>
          </cell>
        </row>
        <row r="24231">
          <cell r="E24231" t="str">
            <v>PURET-13-0001-00</v>
          </cell>
          <cell r="F24231">
            <v>4711892608</v>
          </cell>
        </row>
        <row r="24232">
          <cell r="E24232" t="str">
            <v>LUC-E00-420043-01</v>
          </cell>
          <cell r="F24232">
            <v>4711892608</v>
          </cell>
        </row>
        <row r="24233">
          <cell r="E24233" t="str">
            <v>LUC-EZZ-511304-00</v>
          </cell>
          <cell r="F24233">
            <v>4711892608</v>
          </cell>
        </row>
        <row r="24234">
          <cell r="E24234" t="str">
            <v>LUC-EZZ-511304-00</v>
          </cell>
          <cell r="F24234">
            <v>4711892608</v>
          </cell>
        </row>
        <row r="24235">
          <cell r="E24235" t="str">
            <v>HLOB-13-0001-00</v>
          </cell>
          <cell r="F24235">
            <v>4711892608</v>
          </cell>
        </row>
        <row r="24236">
          <cell r="E24236" t="str">
            <v>HLOB-13-0001-00</v>
          </cell>
          <cell r="F24236">
            <v>4711892608</v>
          </cell>
        </row>
        <row r="24237">
          <cell r="E24237" t="str">
            <v>LUC-E00-420068-00</v>
          </cell>
          <cell r="F24237">
            <v>4711892608</v>
          </cell>
        </row>
        <row r="24238">
          <cell r="E24238" t="str">
            <v>126-002214</v>
          </cell>
          <cell r="F24238">
            <v>4711892608</v>
          </cell>
        </row>
        <row r="24239">
          <cell r="E24239" t="str">
            <v>LUC-EZZ-400608-00</v>
          </cell>
          <cell r="F24239">
            <v>4711892608</v>
          </cell>
        </row>
        <row r="24240">
          <cell r="E24240" t="str">
            <v>LUC-EZZ-420120-00</v>
          </cell>
          <cell r="F24240">
            <v>4711892608</v>
          </cell>
        </row>
        <row r="24241">
          <cell r="E24241" t="str">
            <v>HLOB-05-0032-00</v>
          </cell>
          <cell r="F24241">
            <v>1811197920</v>
          </cell>
        </row>
        <row r="24242">
          <cell r="E24242" t="str">
            <v>PUR-05-0032-00</v>
          </cell>
          <cell r="F24242">
            <v>1811197920</v>
          </cell>
        </row>
        <row r="24243">
          <cell r="E24243" t="str">
            <v>PUR-05-0031-00</v>
          </cell>
          <cell r="F24243">
            <v>1811197920</v>
          </cell>
        </row>
        <row r="24244">
          <cell r="E24244" t="str">
            <v>HLOB-05-0032-00</v>
          </cell>
          <cell r="F24244">
            <v>1811197920</v>
          </cell>
        </row>
        <row r="24245">
          <cell r="E24245" t="str">
            <v>HLOB-05-0032-00</v>
          </cell>
          <cell r="F24245">
            <v>1811197920</v>
          </cell>
        </row>
        <row r="24246">
          <cell r="E24246" t="str">
            <v>PUR-05-0032-00</v>
          </cell>
          <cell r="F24246">
            <v>1811197920</v>
          </cell>
        </row>
        <row r="24247">
          <cell r="E24247" t="str">
            <v>PUR-05-0032-00</v>
          </cell>
          <cell r="F24247">
            <v>1811197920</v>
          </cell>
        </row>
        <row r="24248">
          <cell r="E24248" t="str">
            <v>PUR-05-0032-00</v>
          </cell>
          <cell r="F24248">
            <v>1811197920</v>
          </cell>
        </row>
        <row r="24249">
          <cell r="E24249" t="str">
            <v>PUR-05-0031-00</v>
          </cell>
          <cell r="F24249">
            <v>1811197920</v>
          </cell>
        </row>
        <row r="24250">
          <cell r="E24250" t="str">
            <v>PUR-05-0032-00</v>
          </cell>
          <cell r="F24250">
            <v>1811197920</v>
          </cell>
        </row>
        <row r="24251">
          <cell r="E24251" t="str">
            <v>PUR-05-0031-00</v>
          </cell>
          <cell r="F24251">
            <v>1811197920</v>
          </cell>
        </row>
        <row r="24252">
          <cell r="E24252" t="str">
            <v>LUC-E00-470024-00</v>
          </cell>
          <cell r="F24252">
            <v>679865589692</v>
          </cell>
        </row>
        <row r="24253">
          <cell r="E24253" t="str">
            <v>LUC-E00-470024-00</v>
          </cell>
          <cell r="F24253">
            <v>679865589692</v>
          </cell>
        </row>
        <row r="24254">
          <cell r="E24254" t="str">
            <v>LUC-E00-470024-00</v>
          </cell>
          <cell r="F24254">
            <v>679865589692</v>
          </cell>
        </row>
        <row r="24255">
          <cell r="E24255" t="str">
            <v>EF-45187673</v>
          </cell>
          <cell r="F24255">
            <v>885664053686</v>
          </cell>
        </row>
        <row r="24256">
          <cell r="E24256" t="str">
            <v>LUC-P11-JA4100-00</v>
          </cell>
          <cell r="F24256">
            <v>885838228690</v>
          </cell>
        </row>
        <row r="24257">
          <cell r="E24257" t="str">
            <v>LUC-P21-K2B300-00</v>
          </cell>
          <cell r="F24257">
            <v>885889469354</v>
          </cell>
        </row>
        <row r="24258">
          <cell r="E24258" t="str">
            <v>LUC-P00-F193DG-00</v>
          </cell>
          <cell r="F24258">
            <v>885889469354</v>
          </cell>
        </row>
        <row r="24259">
          <cell r="E24259" t="str">
            <v>LUC-P21-K2B300-00</v>
          </cell>
          <cell r="F24259">
            <v>885889469354</v>
          </cell>
        </row>
        <row r="24260">
          <cell r="E24260" t="str">
            <v>LUC-E00-690030-02</v>
          </cell>
          <cell r="F24260">
            <v>472176545533</v>
          </cell>
        </row>
        <row r="24261">
          <cell r="E24261" t="str">
            <v>LUC-E00-690200-01</v>
          </cell>
          <cell r="F24261">
            <v>462141562677</v>
          </cell>
        </row>
        <row r="24262">
          <cell r="E24262" t="str">
            <v>134-000458.X.X</v>
          </cell>
          <cell r="F24262">
            <v>885764104683</v>
          </cell>
        </row>
        <row r="24263">
          <cell r="E24263" t="str">
            <v>LUC-E00-450029-00</v>
          </cell>
          <cell r="F24263">
            <v>487382525605</v>
          </cell>
        </row>
        <row r="24264">
          <cell r="E24264" t="str">
            <v>111-001517</v>
          </cell>
          <cell r="F24264">
            <v>487382525605</v>
          </cell>
        </row>
        <row r="24265">
          <cell r="E24265" t="str">
            <v>103-001661</v>
          </cell>
          <cell r="F24265">
            <v>487382525605</v>
          </cell>
        </row>
        <row r="24266">
          <cell r="E24266" t="str">
            <v>HLOB-13-0258-00</v>
          </cell>
          <cell r="F24266">
            <v>487382525605</v>
          </cell>
        </row>
        <row r="24267">
          <cell r="E24267" t="str">
            <v>LUC-E00-450029-00</v>
          </cell>
          <cell r="F24267">
            <v>487382525605</v>
          </cell>
        </row>
        <row r="24268">
          <cell r="E24268" t="str">
            <v>LUC-E00-450029-00</v>
          </cell>
          <cell r="F24268">
            <v>487382525605</v>
          </cell>
        </row>
        <row r="24269">
          <cell r="E24269" t="str">
            <v>LUC-E00-450029-00</v>
          </cell>
          <cell r="F24269">
            <v>487382525605</v>
          </cell>
        </row>
        <row r="24270">
          <cell r="E24270" t="str">
            <v>LUC-E00-450029-00</v>
          </cell>
          <cell r="F24270">
            <v>487382525605</v>
          </cell>
        </row>
        <row r="24271">
          <cell r="E24271" t="str">
            <v>LUC-E00-450029-00</v>
          </cell>
          <cell r="F24271">
            <v>487382525605</v>
          </cell>
        </row>
        <row r="24272">
          <cell r="E24272" t="str">
            <v>124-002815</v>
          </cell>
          <cell r="F24272">
            <v>487382525605</v>
          </cell>
        </row>
        <row r="24273">
          <cell r="E24273" t="str">
            <v>122-002920</v>
          </cell>
          <cell r="F24273">
            <v>487382525605</v>
          </cell>
        </row>
        <row r="24274">
          <cell r="E24274" t="str">
            <v>121-003946</v>
          </cell>
          <cell r="F24274">
            <v>487382525605</v>
          </cell>
        </row>
        <row r="24275">
          <cell r="E24275" t="str">
            <v>LUC-E00-450029-00</v>
          </cell>
          <cell r="F24275">
            <v>487382525605</v>
          </cell>
        </row>
        <row r="24276">
          <cell r="E24276" t="str">
            <v>111-001481</v>
          </cell>
          <cell r="F24276">
            <v>487382525605</v>
          </cell>
        </row>
        <row r="24277">
          <cell r="E24277" t="str">
            <v>126-002397</v>
          </cell>
          <cell r="F24277">
            <v>487382525605</v>
          </cell>
        </row>
        <row r="24278">
          <cell r="E24278" t="str">
            <v>183-001017</v>
          </cell>
          <cell r="F24278">
            <v>487382525605</v>
          </cell>
        </row>
        <row r="24279">
          <cell r="E24279" t="str">
            <v>LUC-E00-450029-00</v>
          </cell>
          <cell r="F24279">
            <v>487382525605</v>
          </cell>
        </row>
        <row r="24280">
          <cell r="E24280" t="str">
            <v>LUC-E00-470087-00</v>
          </cell>
          <cell r="F24280">
            <v>487382525605</v>
          </cell>
        </row>
        <row r="24281">
          <cell r="E24281" t="str">
            <v>LUC-E00-470087-00</v>
          </cell>
          <cell r="F24281">
            <v>487382525605</v>
          </cell>
        </row>
        <row r="24282">
          <cell r="E24282" t="str">
            <v>LUC-E00-450029-00</v>
          </cell>
          <cell r="F24282">
            <v>487382525605</v>
          </cell>
        </row>
        <row r="24283">
          <cell r="E24283" t="str">
            <v>LUC-E00-470069-00</v>
          </cell>
          <cell r="F24283">
            <v>487382525605</v>
          </cell>
        </row>
        <row r="24284">
          <cell r="E24284" t="str">
            <v>LUC-E00-450029-00</v>
          </cell>
          <cell r="F24284">
            <v>487382525605</v>
          </cell>
        </row>
        <row r="24285">
          <cell r="E24285" t="str">
            <v>LUC-E00-450029-00</v>
          </cell>
          <cell r="F24285">
            <v>487382525605</v>
          </cell>
        </row>
        <row r="24286">
          <cell r="E24286" t="str">
            <v>LUC-E00-450029-00</v>
          </cell>
          <cell r="F24286">
            <v>487382525605</v>
          </cell>
        </row>
        <row r="24287">
          <cell r="E24287" t="str">
            <v>LUC-E00-450029-00</v>
          </cell>
          <cell r="F24287">
            <v>487382525605</v>
          </cell>
        </row>
        <row r="24288">
          <cell r="E24288" t="str">
            <v>LUC-E00-450029-00</v>
          </cell>
          <cell r="F24288">
            <v>487382525605</v>
          </cell>
        </row>
        <row r="24289">
          <cell r="E24289" t="str">
            <v>LUC-E00-450029-00</v>
          </cell>
          <cell r="F24289">
            <v>487382525605</v>
          </cell>
        </row>
        <row r="24290">
          <cell r="E24290" t="str">
            <v>132-001548</v>
          </cell>
          <cell r="F24290">
            <v>487382525605</v>
          </cell>
        </row>
        <row r="24291">
          <cell r="E24291" t="str">
            <v>121-003817</v>
          </cell>
          <cell r="F24291">
            <v>487382525605</v>
          </cell>
        </row>
        <row r="24292">
          <cell r="E24292" t="str">
            <v>124-001089.X.X</v>
          </cell>
          <cell r="F24292">
            <v>487382525605</v>
          </cell>
        </row>
        <row r="24293">
          <cell r="E24293" t="str">
            <v>134-001540</v>
          </cell>
          <cell r="F24293">
            <v>487382525605</v>
          </cell>
        </row>
        <row r="24294">
          <cell r="E24294" t="str">
            <v>LUC-E00-450029-00</v>
          </cell>
          <cell r="F24294">
            <v>487382525605</v>
          </cell>
        </row>
        <row r="24295">
          <cell r="E24295" t="str">
            <v>126-002402</v>
          </cell>
          <cell r="F24295">
            <v>487382525605</v>
          </cell>
        </row>
        <row r="24296">
          <cell r="E24296" t="str">
            <v>LUC-E00-450029-00</v>
          </cell>
          <cell r="F24296">
            <v>487382525605</v>
          </cell>
        </row>
        <row r="24297">
          <cell r="E24297" t="str">
            <v>LUC-E00-450029-00</v>
          </cell>
          <cell r="F24297">
            <v>487382525605</v>
          </cell>
        </row>
        <row r="24298">
          <cell r="E24298" t="str">
            <v>LUC-E00-450029-00</v>
          </cell>
          <cell r="F24298">
            <v>487382525605</v>
          </cell>
        </row>
        <row r="24299">
          <cell r="E24299" t="str">
            <v>LUC-E00-450029-00</v>
          </cell>
          <cell r="F24299">
            <v>487382525605</v>
          </cell>
        </row>
        <row r="24300">
          <cell r="E24300" t="str">
            <v>LUC-E00-420275-00</v>
          </cell>
          <cell r="F24300">
            <v>487382525605</v>
          </cell>
        </row>
        <row r="24301">
          <cell r="E24301" t="str">
            <v>LUC-E00-450029-00</v>
          </cell>
          <cell r="F24301">
            <v>487382525605</v>
          </cell>
        </row>
        <row r="24302">
          <cell r="E24302" t="str">
            <v>LUC-E00-450029-00</v>
          </cell>
          <cell r="F24302">
            <v>487382525605</v>
          </cell>
        </row>
        <row r="24303">
          <cell r="E24303" t="str">
            <v>LUC-E00-450029-00</v>
          </cell>
          <cell r="F24303">
            <v>487382525605</v>
          </cell>
        </row>
        <row r="24304">
          <cell r="E24304" t="str">
            <v>LUC-E00-450029-00</v>
          </cell>
          <cell r="F24304">
            <v>487382525605</v>
          </cell>
        </row>
        <row r="24305">
          <cell r="E24305" t="str">
            <v>LUC-E00-450029-00</v>
          </cell>
          <cell r="F24305">
            <v>487382525605</v>
          </cell>
        </row>
        <row r="24306">
          <cell r="E24306" t="str">
            <v>LUC-E00-450029-00</v>
          </cell>
          <cell r="F24306">
            <v>487382525605</v>
          </cell>
        </row>
        <row r="24307">
          <cell r="E24307" t="str">
            <v>LUC-E00-450029-00</v>
          </cell>
          <cell r="F24307">
            <v>487382525605</v>
          </cell>
        </row>
        <row r="24308">
          <cell r="E24308" t="str">
            <v>LUC-E00-450029-00</v>
          </cell>
          <cell r="F24308">
            <v>487382525605</v>
          </cell>
        </row>
        <row r="24309">
          <cell r="E24309" t="str">
            <v>LUC-E00-450029-00</v>
          </cell>
          <cell r="F24309">
            <v>487382525605</v>
          </cell>
        </row>
        <row r="24310">
          <cell r="E24310" t="str">
            <v>132-000270</v>
          </cell>
          <cell r="F24310">
            <v>415080628776</v>
          </cell>
        </row>
        <row r="24311">
          <cell r="E24311" t="str">
            <v>PUR-09-0343-00</v>
          </cell>
          <cell r="F24311">
            <v>480820892050</v>
          </cell>
        </row>
        <row r="24312">
          <cell r="E24312" t="str">
            <v>LUC-E00-470024-00</v>
          </cell>
          <cell r="F24312">
            <v>395077318466</v>
          </cell>
        </row>
        <row r="24313">
          <cell r="E24313" t="str">
            <v>LUC-P21-K2C400-02</v>
          </cell>
          <cell r="F24313" t="str">
            <v>LNBHPH256312</v>
          </cell>
        </row>
        <row r="24314">
          <cell r="E24314" t="str">
            <v>LUC-P21-K2C400-02</v>
          </cell>
          <cell r="F24314" t="str">
            <v>LNBHPH256312</v>
          </cell>
        </row>
        <row r="24315">
          <cell r="E24315" t="str">
            <v>PUR-24-0028-00</v>
          </cell>
          <cell r="F24315">
            <v>479730154374</v>
          </cell>
        </row>
        <row r="24316">
          <cell r="E24316" t="str">
            <v>LUC-EZZ-400244-00</v>
          </cell>
          <cell r="F24316">
            <v>479730154250</v>
          </cell>
        </row>
        <row r="24317">
          <cell r="E24317" t="str">
            <v>PUR-15-0220-00</v>
          </cell>
          <cell r="F24317">
            <v>481663279943</v>
          </cell>
        </row>
        <row r="24318">
          <cell r="E24318" t="str">
            <v>LUC-E00-450054-00</v>
          </cell>
          <cell r="F24318">
            <v>618108349126</v>
          </cell>
        </row>
        <row r="24319">
          <cell r="E24319" t="str">
            <v>LUC-E00-420011-12</v>
          </cell>
          <cell r="F24319">
            <v>618108349126</v>
          </cell>
        </row>
        <row r="24320">
          <cell r="E24320" t="str">
            <v>LUC-EZZ-450476-00</v>
          </cell>
          <cell r="F24320">
            <v>618108349078</v>
          </cell>
        </row>
        <row r="24321">
          <cell r="E24321" t="str">
            <v>LUC-E00-420002-09</v>
          </cell>
          <cell r="F24321">
            <v>618108349078</v>
          </cell>
        </row>
        <row r="24322">
          <cell r="E24322" t="str">
            <v>LUC-E00-420003-00</v>
          </cell>
          <cell r="F24322">
            <v>618108349078</v>
          </cell>
        </row>
        <row r="24323">
          <cell r="E24323" t="str">
            <v>LUC-E00-510064-00</v>
          </cell>
          <cell r="F24323">
            <v>618108349078</v>
          </cell>
        </row>
        <row r="24324">
          <cell r="E24324" t="str">
            <v>LUC-EZZ-421267-00</v>
          </cell>
          <cell r="F24324">
            <v>618108349078</v>
          </cell>
        </row>
        <row r="24325">
          <cell r="E24325" t="str">
            <v>LUC-EZZ-420085-00</v>
          </cell>
          <cell r="F24325">
            <v>618108349078</v>
          </cell>
        </row>
        <row r="24326">
          <cell r="E24326" t="str">
            <v>LUC-E00-440031-00</v>
          </cell>
          <cell r="F24326">
            <v>409298896744</v>
          </cell>
        </row>
        <row r="24327">
          <cell r="E24327" t="str">
            <v>LUC-E00-420070-00</v>
          </cell>
          <cell r="F24327">
            <v>409298896744</v>
          </cell>
        </row>
        <row r="24328">
          <cell r="E24328" t="str">
            <v>LUC-E00-420011-12</v>
          </cell>
          <cell r="F24328">
            <v>409298896744</v>
          </cell>
        </row>
        <row r="24329">
          <cell r="E24329" t="str">
            <v>LUC-EZZ-400426-00</v>
          </cell>
          <cell r="F24329">
            <v>409298896744</v>
          </cell>
        </row>
        <row r="24330">
          <cell r="E24330" t="str">
            <v>LUC-E00-460042-00</v>
          </cell>
          <cell r="F24330">
            <v>409298896744</v>
          </cell>
        </row>
        <row r="24331">
          <cell r="E24331" t="str">
            <v>LUC-EZZ-420084-00</v>
          </cell>
          <cell r="F24331">
            <v>409298896744</v>
          </cell>
        </row>
        <row r="24332">
          <cell r="E24332" t="str">
            <v>LUC-EZZ-420159-00</v>
          </cell>
          <cell r="F24332">
            <v>409298896744</v>
          </cell>
        </row>
        <row r="24333">
          <cell r="E24333" t="str">
            <v>LUC-EZZ-420159-00</v>
          </cell>
          <cell r="F24333">
            <v>409298896744</v>
          </cell>
        </row>
        <row r="24334">
          <cell r="E24334" t="str">
            <v>LUC-EZZ-420192-00</v>
          </cell>
          <cell r="F24334">
            <v>409298896744</v>
          </cell>
        </row>
        <row r="24335">
          <cell r="E24335" t="str">
            <v>LUC-E00-420059-00</v>
          </cell>
          <cell r="F24335">
            <v>409298896744</v>
          </cell>
        </row>
        <row r="24336">
          <cell r="E24336" t="str">
            <v>EF-45046948.X.X</v>
          </cell>
          <cell r="F24336">
            <v>409298896744</v>
          </cell>
        </row>
        <row r="24337">
          <cell r="E24337" t="str">
            <v>EF-45046948.X.X</v>
          </cell>
          <cell r="F24337">
            <v>409298896744</v>
          </cell>
        </row>
        <row r="24338">
          <cell r="E24338" t="str">
            <v>LUC-EZZ-400246-00</v>
          </cell>
          <cell r="F24338">
            <v>409298896744</v>
          </cell>
        </row>
        <row r="24339">
          <cell r="E24339" t="str">
            <v>LUC-E00-400334-00</v>
          </cell>
          <cell r="F24339">
            <v>409298896744</v>
          </cell>
        </row>
        <row r="24340">
          <cell r="E24340" t="str">
            <v>LUC-EZZ-470423-00</v>
          </cell>
          <cell r="F24340">
            <v>477592541662</v>
          </cell>
        </row>
        <row r="24341">
          <cell r="E24341" t="str">
            <v>LUC-EZZ-470423-00</v>
          </cell>
          <cell r="F24341">
            <v>477592540953</v>
          </cell>
        </row>
        <row r="24342">
          <cell r="E24342" t="str">
            <v>LUC-E00-480001-00</v>
          </cell>
          <cell r="F24342">
            <v>478066463166</v>
          </cell>
        </row>
        <row r="24343">
          <cell r="E24343" t="str">
            <v>LUC-EZZ-480735-00</v>
          </cell>
          <cell r="F24343">
            <v>478066463166</v>
          </cell>
        </row>
        <row r="24344">
          <cell r="E24344" t="str">
            <v>LUC-E00-480005-00</v>
          </cell>
          <cell r="F24344">
            <v>478066463166</v>
          </cell>
        </row>
        <row r="24345">
          <cell r="E24345" t="str">
            <v>PUR-09-0505-00</v>
          </cell>
          <cell r="F24345">
            <v>426080015880</v>
          </cell>
        </row>
        <row r="24346">
          <cell r="E24346" t="str">
            <v>122-004312</v>
          </cell>
          <cell r="F24346">
            <v>426080015880</v>
          </cell>
        </row>
        <row r="24347">
          <cell r="E24347" t="str">
            <v>PUR-13-0249-00</v>
          </cell>
          <cell r="F24347">
            <v>426080015880</v>
          </cell>
        </row>
        <row r="24348">
          <cell r="E24348" t="str">
            <v>121-000001.X.X</v>
          </cell>
          <cell r="F24348">
            <v>426080015880</v>
          </cell>
        </row>
        <row r="24349">
          <cell r="E24349" t="str">
            <v>124-002766</v>
          </cell>
          <cell r="F24349">
            <v>426080015880</v>
          </cell>
        </row>
        <row r="24350">
          <cell r="E24350" t="str">
            <v>121-002353</v>
          </cell>
          <cell r="F24350">
            <v>426080015880</v>
          </cell>
        </row>
        <row r="24351">
          <cell r="E24351">
            <v>45247007</v>
          </cell>
          <cell r="F24351">
            <v>426080015880</v>
          </cell>
        </row>
        <row r="24352">
          <cell r="E24352" t="str">
            <v>EF-45140757</v>
          </cell>
          <cell r="F24352">
            <v>426080015880</v>
          </cell>
        </row>
        <row r="24353">
          <cell r="E24353" t="str">
            <v>EF-45093036</v>
          </cell>
          <cell r="F24353">
            <v>426080015880</v>
          </cell>
        </row>
        <row r="24354">
          <cell r="E24354" t="str">
            <v>LUC-E00-400032-397</v>
          </cell>
          <cell r="F24354">
            <v>426080015880</v>
          </cell>
        </row>
        <row r="24355">
          <cell r="E24355" t="str">
            <v>EF-45024964</v>
          </cell>
          <cell r="F24355">
            <v>426080015880</v>
          </cell>
        </row>
        <row r="24356">
          <cell r="E24356" t="str">
            <v>PUR-18-0640-00</v>
          </cell>
          <cell r="F24356">
            <v>426080015880</v>
          </cell>
        </row>
        <row r="24357">
          <cell r="E24357" t="str">
            <v>EF-45188480</v>
          </cell>
          <cell r="F24357">
            <v>426080015880</v>
          </cell>
        </row>
        <row r="24358">
          <cell r="E24358" t="str">
            <v>PUR-11-0106-05</v>
          </cell>
          <cell r="F24358" t="str">
            <v>LSZHPH2513141</v>
          </cell>
        </row>
        <row r="24359">
          <cell r="E24359" t="str">
            <v>HLOB-11-0106-05</v>
          </cell>
          <cell r="F24359" t="str">
            <v>LSZHPH2513141</v>
          </cell>
        </row>
        <row r="24360">
          <cell r="E24360" t="str">
            <v>PUR-11-0065-06</v>
          </cell>
          <cell r="F24360" t="str">
            <v>LSZHPH2513141</v>
          </cell>
        </row>
        <row r="24361">
          <cell r="E24361" t="str">
            <v>HLOB-11-0106-05</v>
          </cell>
          <cell r="F24361" t="str">
            <v>LSZHPH2513141</v>
          </cell>
        </row>
        <row r="24362">
          <cell r="E24362" t="str">
            <v>LUC-EZZ-490230-05</v>
          </cell>
          <cell r="F24362">
            <v>1516876</v>
          </cell>
        </row>
        <row r="24363">
          <cell r="E24363" t="str">
            <v>LUC-EZZ-490230-05</v>
          </cell>
          <cell r="F24363">
            <v>1516876</v>
          </cell>
        </row>
        <row r="24364">
          <cell r="E24364" t="str">
            <v>LUC-EZZ-490305-05</v>
          </cell>
          <cell r="F24364">
            <v>1516876</v>
          </cell>
        </row>
        <row r="24365">
          <cell r="E24365" t="str">
            <v>LUC-EZZ-490305-05</v>
          </cell>
          <cell r="F24365">
            <v>1516876</v>
          </cell>
        </row>
        <row r="24366">
          <cell r="E24366" t="str">
            <v>LUC-EZZ-490216-01</v>
          </cell>
          <cell r="F24366">
            <v>1516891</v>
          </cell>
        </row>
        <row r="24367">
          <cell r="E24367" t="str">
            <v>LUC-EZZ-490216-01</v>
          </cell>
          <cell r="F24367">
            <v>1516891</v>
          </cell>
        </row>
        <row r="24368">
          <cell r="E24368" t="str">
            <v>LUC-EZZ-490200-07</v>
          </cell>
          <cell r="F24368">
            <v>1516891</v>
          </cell>
        </row>
        <row r="24369">
          <cell r="E24369" t="str">
            <v>LUC-EZZ-490216-01</v>
          </cell>
          <cell r="F24369">
            <v>1516891</v>
          </cell>
        </row>
        <row r="24370">
          <cell r="E24370" t="str">
            <v>LUC-EZZ-490216-01</v>
          </cell>
          <cell r="F24370">
            <v>1516891</v>
          </cell>
        </row>
        <row r="24371">
          <cell r="E24371" t="str">
            <v>LUC-EZZ-490225-05</v>
          </cell>
          <cell r="F24371">
            <v>1516891</v>
          </cell>
        </row>
        <row r="24372">
          <cell r="E24372" t="str">
            <v>LUC-EZZ-490200-07</v>
          </cell>
          <cell r="F24372">
            <v>1516891</v>
          </cell>
        </row>
        <row r="24373">
          <cell r="E24373" t="str">
            <v>LUC-EZZ-490200-07</v>
          </cell>
          <cell r="F24373">
            <v>1516891</v>
          </cell>
        </row>
        <row r="24374">
          <cell r="E24374" t="str">
            <v>LUC-EZZ-490535-00</v>
          </cell>
          <cell r="F24374">
            <v>1516891</v>
          </cell>
        </row>
        <row r="24375">
          <cell r="E24375" t="str">
            <v>LUC-EZZ-490231-05</v>
          </cell>
          <cell r="F24375">
            <v>1516891</v>
          </cell>
        </row>
        <row r="24376">
          <cell r="E24376" t="str">
            <v>LUC-EZZ-490230-05</v>
          </cell>
          <cell r="F24376">
            <v>1516891</v>
          </cell>
        </row>
        <row r="24377">
          <cell r="E24377" t="str">
            <v>LUC-EZZ-490050-03</v>
          </cell>
          <cell r="F24377">
            <v>1516891</v>
          </cell>
        </row>
        <row r="24378">
          <cell r="E24378" t="str">
            <v>PUR-09-0294-00</v>
          </cell>
          <cell r="F24378">
            <v>395203184980</v>
          </cell>
        </row>
        <row r="24379">
          <cell r="E24379" t="str">
            <v>PUR-09-0294-00</v>
          </cell>
          <cell r="F24379">
            <v>395203184980</v>
          </cell>
        </row>
        <row r="24380">
          <cell r="E24380" t="str">
            <v>PUR-09-0294-00</v>
          </cell>
          <cell r="F24380">
            <v>395203184980</v>
          </cell>
        </row>
        <row r="24381">
          <cell r="E24381" t="str">
            <v>LUC-EZZ-470211-00</v>
          </cell>
          <cell r="F24381">
            <v>395203184980</v>
          </cell>
        </row>
        <row r="24382">
          <cell r="E24382" t="str">
            <v>LUC-E00-470383-00</v>
          </cell>
          <cell r="F24382">
            <v>885932383360</v>
          </cell>
        </row>
        <row r="24383">
          <cell r="E24383" t="str">
            <v>MT29F8T08EULCHD5-R:C</v>
          </cell>
          <cell r="F24383">
            <v>489673711037</v>
          </cell>
        </row>
        <row r="24384">
          <cell r="E24384" t="str">
            <v>EF-45139789</v>
          </cell>
          <cell r="F24384">
            <v>461596533947</v>
          </cell>
        </row>
        <row r="24385">
          <cell r="E24385" t="str">
            <v>EF-45116564.X.X</v>
          </cell>
          <cell r="F24385">
            <v>437723155247</v>
          </cell>
        </row>
        <row r="24386">
          <cell r="E24386" t="str">
            <v>PUR-12-0468-00</v>
          </cell>
          <cell r="F24386">
            <v>471783775864</v>
          </cell>
        </row>
        <row r="24387">
          <cell r="E24387" t="str">
            <v>AGI-500-40217-01</v>
          </cell>
          <cell r="F24387">
            <v>471783775864</v>
          </cell>
        </row>
        <row r="24388">
          <cell r="E24388" t="str">
            <v>AGI-500-40221-01</v>
          </cell>
          <cell r="F24388">
            <v>471783775864</v>
          </cell>
        </row>
        <row r="24389">
          <cell r="E24389" t="str">
            <v>121-000585.X.X</v>
          </cell>
          <cell r="F24389">
            <v>471783775864</v>
          </cell>
        </row>
        <row r="24390">
          <cell r="E24390" t="str">
            <v>121-000208.X.X</v>
          </cell>
          <cell r="F24390">
            <v>471783775864</v>
          </cell>
        </row>
        <row r="24391">
          <cell r="E24391" t="str">
            <v>122-001674</v>
          </cell>
          <cell r="F24391">
            <v>471783775864</v>
          </cell>
        </row>
        <row r="24392">
          <cell r="E24392" t="str">
            <v>122-001674</v>
          </cell>
          <cell r="F24392">
            <v>471783775864</v>
          </cell>
        </row>
        <row r="24393">
          <cell r="E24393" t="str">
            <v>PUR-12-0408-00</v>
          </cell>
          <cell r="F24393">
            <v>471783775864</v>
          </cell>
        </row>
        <row r="24394">
          <cell r="E24394" t="str">
            <v>HLOB-12-0294-00</v>
          </cell>
          <cell r="F24394">
            <v>471783775864</v>
          </cell>
        </row>
        <row r="24395">
          <cell r="E24395" t="str">
            <v>HLOB-12-0212-00</v>
          </cell>
          <cell r="F24395">
            <v>471783775864</v>
          </cell>
        </row>
        <row r="24396">
          <cell r="E24396" t="str">
            <v>HLOB-12-0212-00</v>
          </cell>
          <cell r="F24396">
            <v>471783775864</v>
          </cell>
        </row>
        <row r="24397">
          <cell r="E24397" t="str">
            <v>AIC-121-005950</v>
          </cell>
          <cell r="F24397">
            <v>471783775864</v>
          </cell>
        </row>
        <row r="24398">
          <cell r="E24398" t="str">
            <v>AIC-121-005952</v>
          </cell>
          <cell r="F24398">
            <v>471783775864</v>
          </cell>
        </row>
        <row r="24399">
          <cell r="E24399" t="str">
            <v>AIC-MP-00002405-000</v>
          </cell>
          <cell r="F24399">
            <v>471783775864</v>
          </cell>
        </row>
        <row r="24400">
          <cell r="E24400" t="str">
            <v>AIC-MP-00002401-000</v>
          </cell>
          <cell r="F24400">
            <v>471783775864</v>
          </cell>
        </row>
        <row r="24401">
          <cell r="E24401" t="str">
            <v>AIC-MP-00002126-000</v>
          </cell>
          <cell r="F24401">
            <v>471783775864</v>
          </cell>
        </row>
        <row r="24402">
          <cell r="E24402" t="str">
            <v>HLOB-12-0293-00</v>
          </cell>
          <cell r="F24402">
            <v>471783775864</v>
          </cell>
        </row>
        <row r="24403">
          <cell r="E24403" t="str">
            <v>HLOB-12-0460-00</v>
          </cell>
          <cell r="F24403">
            <v>471783775864</v>
          </cell>
        </row>
        <row r="24404">
          <cell r="E24404" t="str">
            <v>HLOB-12-0304-00</v>
          </cell>
          <cell r="F24404">
            <v>471783775864</v>
          </cell>
        </row>
        <row r="24405">
          <cell r="E24405" t="str">
            <v>AIC-121-006066</v>
          </cell>
          <cell r="F24405">
            <v>471783775864</v>
          </cell>
        </row>
        <row r="24406">
          <cell r="E24406" t="str">
            <v>HLOB-12-0297-00</v>
          </cell>
          <cell r="F24406">
            <v>471783775864</v>
          </cell>
        </row>
        <row r="24407">
          <cell r="E24407" t="str">
            <v>121-000903.X.X</v>
          </cell>
          <cell r="F24407">
            <v>471783775864</v>
          </cell>
        </row>
        <row r="24408">
          <cell r="E24408" t="str">
            <v>HLOB-12-0297-00</v>
          </cell>
          <cell r="F24408">
            <v>471783775864</v>
          </cell>
        </row>
        <row r="24409">
          <cell r="E24409" t="str">
            <v>HLOB-13-0249-00</v>
          </cell>
          <cell r="F24409">
            <v>471783775864</v>
          </cell>
        </row>
        <row r="24410">
          <cell r="E24410" t="str">
            <v>HLOB-12-0407-00</v>
          </cell>
          <cell r="F24410">
            <v>471783775864</v>
          </cell>
        </row>
        <row r="24411">
          <cell r="E24411" t="str">
            <v>HLOB-12-0407-00</v>
          </cell>
          <cell r="F24411">
            <v>471783775864</v>
          </cell>
        </row>
        <row r="24412">
          <cell r="E24412" t="str">
            <v>121-000585.X.X</v>
          </cell>
          <cell r="F24412">
            <v>471783775864</v>
          </cell>
        </row>
        <row r="24413">
          <cell r="E24413" t="str">
            <v>121-000585.X.X</v>
          </cell>
          <cell r="F24413">
            <v>471783775864</v>
          </cell>
        </row>
        <row r="24414">
          <cell r="E24414" t="str">
            <v>PUR-12-0407-00</v>
          </cell>
          <cell r="F24414">
            <v>471783775864</v>
          </cell>
        </row>
        <row r="24415">
          <cell r="E24415" t="str">
            <v>121-000152.X.X</v>
          </cell>
          <cell r="F24415">
            <v>471783775864</v>
          </cell>
        </row>
        <row r="24416">
          <cell r="E24416" t="str">
            <v>LUC-EZZ-420501-00</v>
          </cell>
          <cell r="F24416">
            <v>471783775864</v>
          </cell>
        </row>
        <row r="24417">
          <cell r="E24417" t="str">
            <v>LUC-E00-420025-02</v>
          </cell>
          <cell r="F24417">
            <v>471783775864</v>
          </cell>
        </row>
        <row r="24418">
          <cell r="E24418" t="str">
            <v>LUC-E00-420135-00</v>
          </cell>
          <cell r="F24418">
            <v>471783775864</v>
          </cell>
        </row>
        <row r="24419">
          <cell r="E24419" t="str">
            <v>122-001732</v>
          </cell>
          <cell r="F24419">
            <v>471783775864</v>
          </cell>
        </row>
        <row r="24420">
          <cell r="E24420" t="str">
            <v>122-001732</v>
          </cell>
          <cell r="F24420">
            <v>471783775864</v>
          </cell>
        </row>
        <row r="24421">
          <cell r="E24421" t="str">
            <v>LUC-E00-420024-00</v>
          </cell>
          <cell r="F24421">
            <v>471783775864</v>
          </cell>
        </row>
        <row r="24422">
          <cell r="E24422" t="str">
            <v>HLOB-13-0226-00</v>
          </cell>
          <cell r="F24422">
            <v>471783775864</v>
          </cell>
        </row>
        <row r="24423">
          <cell r="E24423" t="str">
            <v>HLOB-13-0227-00</v>
          </cell>
          <cell r="F24423">
            <v>471783775864</v>
          </cell>
        </row>
        <row r="24424">
          <cell r="E24424" t="str">
            <v>AIC-MP-00006729-000</v>
          </cell>
          <cell r="F24424">
            <v>471783775864</v>
          </cell>
        </row>
        <row r="24425">
          <cell r="E24425" t="str">
            <v>AIC-122-004454</v>
          </cell>
          <cell r="F24425">
            <v>471783775864</v>
          </cell>
        </row>
        <row r="24426">
          <cell r="E24426" t="str">
            <v>122-000009.X.X</v>
          </cell>
          <cell r="F24426">
            <v>471783775864</v>
          </cell>
        </row>
        <row r="24427">
          <cell r="E24427" t="str">
            <v>AIC-MP-00003333-000</v>
          </cell>
          <cell r="F24427">
            <v>471783775864</v>
          </cell>
        </row>
        <row r="24428">
          <cell r="E24428" t="str">
            <v>HLOB-13-0068-00</v>
          </cell>
          <cell r="F24428">
            <v>471783775864</v>
          </cell>
        </row>
        <row r="24429">
          <cell r="E24429" t="str">
            <v>AIC-122-004451</v>
          </cell>
          <cell r="F24429">
            <v>471783775864</v>
          </cell>
        </row>
        <row r="24430">
          <cell r="E24430" t="str">
            <v>PURET-13-0006-00</v>
          </cell>
          <cell r="F24430">
            <v>471783775864</v>
          </cell>
        </row>
        <row r="24431">
          <cell r="E24431" t="str">
            <v>122-000701.X.X</v>
          </cell>
          <cell r="F24431">
            <v>471783775864</v>
          </cell>
        </row>
        <row r="24432">
          <cell r="E24432" t="str">
            <v>122-000701.X.X</v>
          </cell>
          <cell r="F24432">
            <v>471783775864</v>
          </cell>
        </row>
        <row r="24433">
          <cell r="E24433" t="str">
            <v>LUC-E00-420025-02</v>
          </cell>
          <cell r="F24433">
            <v>471783775864</v>
          </cell>
        </row>
        <row r="24434">
          <cell r="E24434" t="str">
            <v>AIC-MP-00003561-000</v>
          </cell>
          <cell r="F24434">
            <v>471783775864</v>
          </cell>
        </row>
        <row r="24435">
          <cell r="E24435" t="str">
            <v>LUC-EZZ-420148-00</v>
          </cell>
          <cell r="F24435">
            <v>471783775864</v>
          </cell>
        </row>
        <row r="24436">
          <cell r="E24436" t="str">
            <v>LUC-E00-420025-02</v>
          </cell>
          <cell r="F24436">
            <v>471783775864</v>
          </cell>
        </row>
        <row r="24437">
          <cell r="E24437" t="str">
            <v>LUC-E00-420025-02</v>
          </cell>
          <cell r="F24437">
            <v>471783775864</v>
          </cell>
        </row>
        <row r="24438">
          <cell r="E24438" t="str">
            <v>PUR-14-0086-00</v>
          </cell>
          <cell r="F24438">
            <v>471783775864</v>
          </cell>
        </row>
        <row r="24439">
          <cell r="E24439" t="str">
            <v>126-001987</v>
          </cell>
          <cell r="F24439">
            <v>471783775864</v>
          </cell>
        </row>
        <row r="24440">
          <cell r="E24440" t="str">
            <v>126-001975</v>
          </cell>
          <cell r="F24440">
            <v>471783775864</v>
          </cell>
        </row>
        <row r="24441">
          <cell r="E24441" t="str">
            <v>LUC-E00-400012-17</v>
          </cell>
          <cell r="F24441">
            <v>885926861570</v>
          </cell>
        </row>
        <row r="24442">
          <cell r="E24442" t="str">
            <v>LUC-E00-400012-17</v>
          </cell>
          <cell r="F24442">
            <v>885926861570</v>
          </cell>
        </row>
        <row r="24443">
          <cell r="E24443" t="str">
            <v>LUC-EZZ-400078-00</v>
          </cell>
          <cell r="F24443">
            <v>885926861570</v>
          </cell>
        </row>
        <row r="24444">
          <cell r="E24444" t="str">
            <v>LUC-EZZ-400043-00</v>
          </cell>
          <cell r="F24444">
            <v>885926861570</v>
          </cell>
        </row>
        <row r="24445">
          <cell r="E24445" t="str">
            <v>LUC-EZZ-401662-00</v>
          </cell>
          <cell r="F24445">
            <v>885926861570</v>
          </cell>
        </row>
        <row r="24446">
          <cell r="E24446" t="str">
            <v>HLOB-13-0028-00</v>
          </cell>
          <cell r="F24446">
            <v>885926861570</v>
          </cell>
        </row>
        <row r="24447">
          <cell r="E24447" t="str">
            <v>PURET-13-0028-00</v>
          </cell>
          <cell r="F24447">
            <v>885926861570</v>
          </cell>
        </row>
        <row r="24448">
          <cell r="E24448" t="str">
            <v>PUR-13-0155-00</v>
          </cell>
          <cell r="F24448">
            <v>885926861570</v>
          </cell>
        </row>
        <row r="24449">
          <cell r="E24449" t="str">
            <v>HLOB-13-0155-00</v>
          </cell>
          <cell r="F24449">
            <v>885926861570</v>
          </cell>
        </row>
        <row r="24450">
          <cell r="E24450" t="str">
            <v>LUC-EZZ-471584-00</v>
          </cell>
          <cell r="F24450">
            <v>885926861570</v>
          </cell>
        </row>
        <row r="24451">
          <cell r="E24451" t="str">
            <v>LUC-E00-420045-00</v>
          </cell>
          <cell r="F24451">
            <v>885926861570</v>
          </cell>
        </row>
        <row r="24452">
          <cell r="E24452" t="str">
            <v>LUC-EZZ-400542-00</v>
          </cell>
          <cell r="F24452">
            <v>489050951381</v>
          </cell>
        </row>
        <row r="24453">
          <cell r="E24453" t="str">
            <v>HLOB-09-0513-00</v>
          </cell>
          <cell r="F24453">
            <v>395240911937</v>
          </cell>
        </row>
        <row r="24454">
          <cell r="E24454" t="str">
            <v>EF-45112739</v>
          </cell>
          <cell r="F24454">
            <v>395240911937</v>
          </cell>
        </row>
        <row r="24455">
          <cell r="E24455" t="str">
            <v>PUR-09-0294-00</v>
          </cell>
          <cell r="F24455">
            <v>395240911937</v>
          </cell>
        </row>
        <row r="24456">
          <cell r="E24456" t="str">
            <v>PUR-09-0294-00</v>
          </cell>
          <cell r="F24456">
            <v>395240911937</v>
          </cell>
        </row>
        <row r="24457">
          <cell r="E24457" t="str">
            <v>LUC-EZZ-470211-00</v>
          </cell>
          <cell r="F24457">
            <v>395240911937</v>
          </cell>
        </row>
        <row r="24458">
          <cell r="E24458" t="str">
            <v>LUC-E00-470121-01</v>
          </cell>
          <cell r="F24458">
            <v>395240911937</v>
          </cell>
        </row>
        <row r="24459">
          <cell r="E24459" t="str">
            <v>LUC-E00-470121-01</v>
          </cell>
          <cell r="F24459">
            <v>395240911937</v>
          </cell>
        </row>
        <row r="24460">
          <cell r="E24460" t="str">
            <v>PUR-11-0105-04</v>
          </cell>
          <cell r="F24460" t="str">
            <v>AS259384</v>
          </cell>
        </row>
        <row r="24461">
          <cell r="E24461" t="str">
            <v>PUR-11-0105-04</v>
          </cell>
          <cell r="F24461" t="str">
            <v>AS259384</v>
          </cell>
        </row>
        <row r="24462">
          <cell r="E24462" t="str">
            <v>PUR-11-0105-04</v>
          </cell>
          <cell r="F24462" t="str">
            <v>AS259384</v>
          </cell>
        </row>
        <row r="24463">
          <cell r="E24463" t="str">
            <v>PUR-11-0105-04</v>
          </cell>
          <cell r="F24463" t="str">
            <v>AS259384</v>
          </cell>
        </row>
        <row r="24464">
          <cell r="E24464" t="str">
            <v>PUR-11-0105-04</v>
          </cell>
          <cell r="F24464" t="str">
            <v>AS259384</v>
          </cell>
        </row>
        <row r="24465">
          <cell r="E24465" t="str">
            <v>PUR-11-0105-04</v>
          </cell>
          <cell r="F24465" t="str">
            <v>AS259384</v>
          </cell>
        </row>
        <row r="24466">
          <cell r="E24466" t="str">
            <v>LUC-P21-K3AB00-00</v>
          </cell>
          <cell r="F24466" t="str">
            <v>LSHHPH2501284</v>
          </cell>
        </row>
        <row r="24467">
          <cell r="E24467" t="str">
            <v>LUC-P21-K3AT00-00</v>
          </cell>
          <cell r="F24467" t="str">
            <v>LSHHPH2501284</v>
          </cell>
        </row>
        <row r="24468">
          <cell r="E24468" t="str">
            <v>LUC-P11-J81300-01</v>
          </cell>
          <cell r="F24468" t="str">
            <v>LSHHPH2501113</v>
          </cell>
        </row>
        <row r="24469">
          <cell r="E24469" t="str">
            <v>LUC-P11-J80300-00</v>
          </cell>
          <cell r="F24469" t="str">
            <v>LSHHPH2501113</v>
          </cell>
        </row>
        <row r="24470">
          <cell r="E24470" t="str">
            <v>LUC-P11-J80300-00</v>
          </cell>
          <cell r="F24470" t="str">
            <v>LSHHPH2501113</v>
          </cell>
        </row>
        <row r="24471">
          <cell r="E24471" t="str">
            <v>LUC-P11-J80200-00</v>
          </cell>
          <cell r="F24471" t="str">
            <v>LSHHPH2501113</v>
          </cell>
        </row>
        <row r="24472">
          <cell r="E24472" t="str">
            <v>LUC-P11-J80200-00</v>
          </cell>
          <cell r="F24472" t="str">
            <v>LSHHPH2501113</v>
          </cell>
        </row>
        <row r="24473">
          <cell r="E24473" t="str">
            <v>LUC-P11-J81500-01</v>
          </cell>
          <cell r="F24473" t="str">
            <v>LSHHPH2501113</v>
          </cell>
        </row>
        <row r="24474">
          <cell r="E24474" t="str">
            <v>LUC-E00-690033-02</v>
          </cell>
          <cell r="F24474" t="str">
            <v>HWHPH2503517</v>
          </cell>
        </row>
        <row r="24475">
          <cell r="E24475" t="str">
            <v>LUC-E00-690033-02</v>
          </cell>
          <cell r="F24475" t="str">
            <v>HWHPH2503517</v>
          </cell>
        </row>
        <row r="24476">
          <cell r="E24476" t="str">
            <v>LUC-E00-690033-03</v>
          </cell>
          <cell r="F24476" t="str">
            <v>HWHPH2503517</v>
          </cell>
        </row>
        <row r="24477">
          <cell r="E24477" t="str">
            <v>LUC-E00-690033-03</v>
          </cell>
          <cell r="F24477" t="str">
            <v>HWHPH2503517</v>
          </cell>
        </row>
        <row r="24478">
          <cell r="E24478" t="str">
            <v>LUC-E00-690033-01</v>
          </cell>
          <cell r="F24478" t="str">
            <v>HWHPH2503517</v>
          </cell>
        </row>
        <row r="24479">
          <cell r="E24479" t="str">
            <v>LUC-E00-690033-00</v>
          </cell>
          <cell r="F24479" t="str">
            <v>HWHPH2503517</v>
          </cell>
        </row>
        <row r="24480">
          <cell r="E24480" t="str">
            <v>LUC-E00-690106-01</v>
          </cell>
          <cell r="F24480" t="str">
            <v>HWHPH2503517</v>
          </cell>
        </row>
        <row r="24481">
          <cell r="E24481" t="str">
            <v>LUC-E00-690106-01</v>
          </cell>
          <cell r="F24481" t="str">
            <v>HWHPH2503517</v>
          </cell>
        </row>
        <row r="24482">
          <cell r="E24482" t="str">
            <v>LUC-E00-690106-01</v>
          </cell>
          <cell r="F24482" t="str">
            <v>HWHPH2503517</v>
          </cell>
        </row>
        <row r="24483">
          <cell r="E24483" t="str">
            <v>LUC-E00-690106-01</v>
          </cell>
          <cell r="F24483" t="str">
            <v>HWHPH2503517</v>
          </cell>
        </row>
        <row r="24484">
          <cell r="E24484" t="str">
            <v>LUC-E00-690106-01</v>
          </cell>
          <cell r="F24484" t="str">
            <v>HWHPH2503517</v>
          </cell>
        </row>
        <row r="24485">
          <cell r="E24485" t="str">
            <v>119-001192</v>
          </cell>
          <cell r="F24485">
            <v>480081609392</v>
          </cell>
        </row>
        <row r="24486">
          <cell r="E24486" t="str">
            <v>121-003947</v>
          </cell>
          <cell r="F24486">
            <v>480081609392</v>
          </cell>
        </row>
        <row r="24487">
          <cell r="E24487" t="str">
            <v>126-001987</v>
          </cell>
          <cell r="F24487">
            <v>480081609392</v>
          </cell>
        </row>
        <row r="24488">
          <cell r="E24488" t="str">
            <v>121-003932</v>
          </cell>
          <cell r="F24488">
            <v>480081609392</v>
          </cell>
        </row>
        <row r="24489">
          <cell r="E24489" t="str">
            <v>121-001244.X.X</v>
          </cell>
          <cell r="F24489">
            <v>480081609392</v>
          </cell>
        </row>
        <row r="24490">
          <cell r="E24490" t="str">
            <v>LUC-E00-440147-00</v>
          </cell>
          <cell r="F24490">
            <v>480081609392</v>
          </cell>
        </row>
        <row r="24491">
          <cell r="E24491" t="str">
            <v>132-000308</v>
          </cell>
          <cell r="F24491">
            <v>480081609392</v>
          </cell>
        </row>
        <row r="24492">
          <cell r="E24492" t="str">
            <v>134-000088.X.X</v>
          </cell>
          <cell r="F24492">
            <v>480081609392</v>
          </cell>
        </row>
        <row r="24493">
          <cell r="E24493" t="str">
            <v>121-005497</v>
          </cell>
          <cell r="F24493">
            <v>480081609392</v>
          </cell>
        </row>
        <row r="24494">
          <cell r="E24494" t="str">
            <v>LUC-E00-470069-00</v>
          </cell>
          <cell r="F24494">
            <v>480081609392</v>
          </cell>
        </row>
        <row r="24495">
          <cell r="E24495" t="str">
            <v>LUC-E00-470379-00</v>
          </cell>
          <cell r="F24495">
            <v>480081609392</v>
          </cell>
        </row>
        <row r="24496">
          <cell r="E24496" t="str">
            <v>LUC-P11-K18000-00</v>
          </cell>
          <cell r="F24496">
            <v>480081609392</v>
          </cell>
        </row>
        <row r="24497">
          <cell r="E24497" t="str">
            <v>LUC-P11-K41700-00</v>
          </cell>
          <cell r="F24497">
            <v>480081609392</v>
          </cell>
        </row>
        <row r="24498">
          <cell r="E24498" t="str">
            <v>HLOB-03-0113-00</v>
          </cell>
          <cell r="F24498" t="str">
            <v>8XN0242</v>
          </cell>
        </row>
        <row r="24499">
          <cell r="E24499" t="str">
            <v>PUR-13-0125-00</v>
          </cell>
          <cell r="F24499">
            <v>1811216330</v>
          </cell>
        </row>
        <row r="24500">
          <cell r="E24500" t="str">
            <v>PUR-13-0125-00</v>
          </cell>
          <cell r="F24500">
            <v>1811216330</v>
          </cell>
        </row>
        <row r="24501">
          <cell r="E24501" t="str">
            <v>EF-45072100.X.X</v>
          </cell>
          <cell r="F24501">
            <v>1811216330</v>
          </cell>
        </row>
        <row r="24502">
          <cell r="E24502" t="str">
            <v>EF-45072100.X.X</v>
          </cell>
          <cell r="F24502">
            <v>1811216330</v>
          </cell>
        </row>
        <row r="24503">
          <cell r="E24503" t="str">
            <v>LUC-E00-470432-00</v>
          </cell>
          <cell r="F24503">
            <v>1811216330</v>
          </cell>
        </row>
        <row r="24504">
          <cell r="E24504" t="str">
            <v>LUC-E00-470432-00</v>
          </cell>
          <cell r="F24504">
            <v>1811216330</v>
          </cell>
        </row>
        <row r="24505">
          <cell r="E24505" t="str">
            <v>PURET-24-0002-00</v>
          </cell>
          <cell r="F24505">
            <v>1811216330</v>
          </cell>
        </row>
        <row r="24506">
          <cell r="E24506" t="str">
            <v>PURET-24-0002-00</v>
          </cell>
          <cell r="F24506">
            <v>1811216330</v>
          </cell>
        </row>
        <row r="24507">
          <cell r="E24507" t="str">
            <v>HLOB-14-0076-00</v>
          </cell>
          <cell r="F24507">
            <v>1811216330</v>
          </cell>
        </row>
        <row r="24508">
          <cell r="E24508" t="str">
            <v>PUR-14-0076-00</v>
          </cell>
          <cell r="F24508">
            <v>1811216330</v>
          </cell>
        </row>
        <row r="24509">
          <cell r="E24509" t="str">
            <v>HLOB-14-0083-00</v>
          </cell>
          <cell r="F24509">
            <v>1811216330</v>
          </cell>
        </row>
        <row r="24510">
          <cell r="E24510" t="str">
            <v>LUC-E00-400035-00</v>
          </cell>
          <cell r="F24510">
            <v>1811216330</v>
          </cell>
        </row>
        <row r="24511">
          <cell r="E24511" t="str">
            <v>EF-45052527</v>
          </cell>
          <cell r="F24511">
            <v>1811216330</v>
          </cell>
        </row>
        <row r="24512">
          <cell r="E24512" t="str">
            <v>HLOB-24-0008-00</v>
          </cell>
          <cell r="F24512">
            <v>1811216330</v>
          </cell>
        </row>
        <row r="24513">
          <cell r="E24513" t="str">
            <v>HLOB-24-0008-00</v>
          </cell>
          <cell r="F24513">
            <v>1811216330</v>
          </cell>
        </row>
        <row r="24514">
          <cell r="E24514" t="str">
            <v>HLOB-09-0444-00</v>
          </cell>
          <cell r="F24514">
            <v>1811216330</v>
          </cell>
        </row>
        <row r="24515">
          <cell r="E24515" t="str">
            <v>EF-45124074</v>
          </cell>
          <cell r="F24515">
            <v>1811216330</v>
          </cell>
        </row>
        <row r="24516">
          <cell r="E24516" t="str">
            <v>HLOB-14-0107-00</v>
          </cell>
          <cell r="F24516">
            <v>1811216330</v>
          </cell>
        </row>
        <row r="24517">
          <cell r="E24517" t="str">
            <v>PURET-24-0002-00</v>
          </cell>
          <cell r="F24517">
            <v>1811216330</v>
          </cell>
        </row>
        <row r="24518">
          <cell r="E24518" t="str">
            <v>LUC-E00-470074-01</v>
          </cell>
          <cell r="F24518">
            <v>1811216330</v>
          </cell>
        </row>
        <row r="24519">
          <cell r="E24519" t="str">
            <v>EF-45113161</v>
          </cell>
          <cell r="F24519">
            <v>1811216330</v>
          </cell>
        </row>
        <row r="24520">
          <cell r="E24520" t="str">
            <v>HLOB-24-0008-00</v>
          </cell>
          <cell r="F24520">
            <v>1811216330</v>
          </cell>
        </row>
        <row r="24521">
          <cell r="E24521" t="str">
            <v>PUR-09-0444-00</v>
          </cell>
          <cell r="F24521">
            <v>1811216330</v>
          </cell>
        </row>
        <row r="24522">
          <cell r="E24522" t="str">
            <v>PUR-24-0028-00</v>
          </cell>
          <cell r="F24522">
            <v>1811216330</v>
          </cell>
        </row>
        <row r="24523">
          <cell r="E24523" t="str">
            <v>PURET-24-0002-00</v>
          </cell>
          <cell r="F24523">
            <v>1811216330</v>
          </cell>
        </row>
        <row r="24524">
          <cell r="E24524" t="str">
            <v>LUC-EZZ-450213-00</v>
          </cell>
          <cell r="F24524">
            <v>1811209223</v>
          </cell>
        </row>
        <row r="24525">
          <cell r="E24525" t="str">
            <v>AIC-124-002779</v>
          </cell>
          <cell r="F24525">
            <v>1811209223</v>
          </cell>
        </row>
        <row r="24526">
          <cell r="E24526" t="str">
            <v>EF-45098407</v>
          </cell>
          <cell r="F24526">
            <v>1811209223</v>
          </cell>
        </row>
        <row r="24527">
          <cell r="E24527" t="str">
            <v>PUR-12-0288-00</v>
          </cell>
          <cell r="F24527">
            <v>1811209223</v>
          </cell>
        </row>
        <row r="24528">
          <cell r="E24528" t="str">
            <v>PUR-12-0288-00</v>
          </cell>
          <cell r="F24528">
            <v>1811209223</v>
          </cell>
        </row>
        <row r="24529">
          <cell r="E24529" t="str">
            <v>LUC-EZZ-400780-00</v>
          </cell>
          <cell r="F24529">
            <v>1811209223</v>
          </cell>
        </row>
        <row r="24530">
          <cell r="E24530" t="str">
            <v>LUC-EZZ-400780-00</v>
          </cell>
          <cell r="F24530">
            <v>1811209223</v>
          </cell>
        </row>
        <row r="24531">
          <cell r="E24531" t="str">
            <v>LUC-EZZ-400237-00</v>
          </cell>
          <cell r="F24531">
            <v>1811209223</v>
          </cell>
        </row>
        <row r="24532">
          <cell r="E24532" t="str">
            <v>HLOB-12-0430-00</v>
          </cell>
          <cell r="F24532">
            <v>1811209223</v>
          </cell>
        </row>
        <row r="24533">
          <cell r="E24533" t="str">
            <v>PUR-12-0430-00</v>
          </cell>
          <cell r="F24533">
            <v>1811209223</v>
          </cell>
        </row>
        <row r="24534">
          <cell r="E24534" t="str">
            <v>PUR-12-0430-00</v>
          </cell>
          <cell r="F24534">
            <v>1811209223</v>
          </cell>
        </row>
        <row r="24535">
          <cell r="E24535" t="str">
            <v>PUR-12-0430-00</v>
          </cell>
          <cell r="F24535">
            <v>1811209223</v>
          </cell>
        </row>
        <row r="24536">
          <cell r="E24536" t="str">
            <v>PUR-12-0430-00</v>
          </cell>
          <cell r="F24536">
            <v>1811209223</v>
          </cell>
        </row>
        <row r="24537">
          <cell r="E24537" t="str">
            <v>LUC-EZZ-460781-00</v>
          </cell>
          <cell r="F24537">
            <v>1811209223</v>
          </cell>
        </row>
        <row r="24538">
          <cell r="E24538" t="str">
            <v>LUC-E00-450241-00</v>
          </cell>
          <cell r="F24538">
            <v>1811209223</v>
          </cell>
        </row>
        <row r="24539">
          <cell r="E24539" t="str">
            <v>PUR-12-0430-00</v>
          </cell>
          <cell r="F24539">
            <v>1811209223</v>
          </cell>
        </row>
        <row r="24540">
          <cell r="E24540" t="str">
            <v>LUC-EZZ-540018-00</v>
          </cell>
          <cell r="F24540">
            <v>1811209223</v>
          </cell>
        </row>
        <row r="24541">
          <cell r="E24541" t="str">
            <v>LUC-EZZ-540018-00</v>
          </cell>
          <cell r="F24541">
            <v>1811209223</v>
          </cell>
        </row>
        <row r="24542">
          <cell r="E24542" t="str">
            <v>LUC-EZZ-540018-00</v>
          </cell>
          <cell r="F24542">
            <v>1811209223</v>
          </cell>
        </row>
        <row r="24543">
          <cell r="E24543" t="str">
            <v>LUC-E00-460007-01</v>
          </cell>
          <cell r="F24543">
            <v>1811209223</v>
          </cell>
        </row>
        <row r="24544">
          <cell r="E24544" t="str">
            <v>LUC-E00-460007-01</v>
          </cell>
          <cell r="F24544">
            <v>1811209223</v>
          </cell>
        </row>
        <row r="24545">
          <cell r="E24545" t="str">
            <v>LUC-E00-460007-01</v>
          </cell>
          <cell r="F24545">
            <v>1811209223</v>
          </cell>
        </row>
        <row r="24546">
          <cell r="E24546" t="str">
            <v>PUR-12-0288-00</v>
          </cell>
          <cell r="F24546">
            <v>1811209223</v>
          </cell>
        </row>
        <row r="24547">
          <cell r="E24547" t="str">
            <v>LUC-EZZ-400192-00</v>
          </cell>
          <cell r="F24547">
            <v>1811209223</v>
          </cell>
        </row>
        <row r="24548">
          <cell r="E24548" t="str">
            <v>LUC-EZZ-400625-00</v>
          </cell>
          <cell r="F24548">
            <v>1811209223</v>
          </cell>
        </row>
        <row r="24549">
          <cell r="E24549" t="str">
            <v>HLOB-12-0288-00</v>
          </cell>
          <cell r="F24549">
            <v>1811209223</v>
          </cell>
        </row>
        <row r="24550">
          <cell r="E24550" t="str">
            <v>LUC-E00-400028-000</v>
          </cell>
          <cell r="F24550">
            <v>1811209223</v>
          </cell>
        </row>
        <row r="24551">
          <cell r="E24551" t="str">
            <v>LUC-E00-400028-06</v>
          </cell>
          <cell r="F24551">
            <v>1811209223</v>
          </cell>
        </row>
        <row r="24552">
          <cell r="E24552" t="str">
            <v>LUC-EZZ-400239-00</v>
          </cell>
          <cell r="F24552">
            <v>1811209223</v>
          </cell>
        </row>
        <row r="24553">
          <cell r="E24553" t="str">
            <v>LUC-E00-400028-002</v>
          </cell>
          <cell r="F24553">
            <v>1811209223</v>
          </cell>
        </row>
        <row r="24554">
          <cell r="E24554" t="str">
            <v>LUC-EZZ-451277-00</v>
          </cell>
          <cell r="F24554">
            <v>1811209223</v>
          </cell>
        </row>
        <row r="24555">
          <cell r="E24555" t="str">
            <v>LUC-E00-450044-00</v>
          </cell>
          <cell r="F24555">
            <v>1811209223</v>
          </cell>
        </row>
        <row r="24556">
          <cell r="E24556" t="str">
            <v>LUC-EZZ-451277-00</v>
          </cell>
          <cell r="F24556">
            <v>1811209223</v>
          </cell>
        </row>
        <row r="24557">
          <cell r="E24557" t="str">
            <v>LUC-EZZ-450249-00</v>
          </cell>
          <cell r="F24557">
            <v>1811209223</v>
          </cell>
        </row>
        <row r="24558">
          <cell r="E24558" t="str">
            <v>EF-45055219.X.X</v>
          </cell>
          <cell r="F24558">
            <v>1811209223</v>
          </cell>
        </row>
        <row r="24559">
          <cell r="E24559" t="str">
            <v>LUC-E00-400024-04</v>
          </cell>
          <cell r="F24559">
            <v>1811209223</v>
          </cell>
        </row>
        <row r="24560">
          <cell r="E24560" t="str">
            <v>LUC-E00-450044-00</v>
          </cell>
          <cell r="F24560">
            <v>1811209223</v>
          </cell>
        </row>
        <row r="24561">
          <cell r="E24561" t="str">
            <v>LUC-P11-K41A00-00</v>
          </cell>
          <cell r="F24561">
            <v>119209653791</v>
          </cell>
        </row>
        <row r="24562">
          <cell r="E24562" t="str">
            <v>LUC-P11-K41A00-00</v>
          </cell>
          <cell r="F24562">
            <v>119209653791</v>
          </cell>
        </row>
        <row r="24563">
          <cell r="E24563" t="str">
            <v>LUC-P11-K41A00-00</v>
          </cell>
          <cell r="F24563">
            <v>119209653791</v>
          </cell>
        </row>
        <row r="24564">
          <cell r="E24564" t="str">
            <v>LUC-P11-K41900-00</v>
          </cell>
          <cell r="F24564">
            <v>119209653791</v>
          </cell>
        </row>
        <row r="24565">
          <cell r="E24565" t="str">
            <v>LUC-P11-K41900-00</v>
          </cell>
          <cell r="F24565">
            <v>119209653791</v>
          </cell>
        </row>
        <row r="24566">
          <cell r="E24566" t="str">
            <v>LUC-P11-K41900-00</v>
          </cell>
          <cell r="F24566">
            <v>119209653791</v>
          </cell>
        </row>
        <row r="24567">
          <cell r="E24567" t="str">
            <v>LUC-P11-K41F00-00</v>
          </cell>
          <cell r="F24567">
            <v>119209653791</v>
          </cell>
        </row>
        <row r="24568">
          <cell r="E24568" t="str">
            <v>LUC-P11-K41900-00</v>
          </cell>
          <cell r="F24568">
            <v>119209653791</v>
          </cell>
        </row>
        <row r="24569">
          <cell r="E24569" t="str">
            <v>LUC-P11-K41900-00</v>
          </cell>
          <cell r="F24569">
            <v>119209653791</v>
          </cell>
        </row>
        <row r="24570">
          <cell r="E24570" t="str">
            <v>LUC-P11-K41900-00</v>
          </cell>
          <cell r="F24570">
            <v>119209653791</v>
          </cell>
        </row>
        <row r="24571">
          <cell r="E24571" t="str">
            <v>LUC-P11-K41C00-00</v>
          </cell>
          <cell r="F24571">
            <v>119209653791</v>
          </cell>
        </row>
        <row r="24572">
          <cell r="E24572" t="str">
            <v>LUC-P11-K41C00-00</v>
          </cell>
          <cell r="F24572">
            <v>119209653791</v>
          </cell>
        </row>
        <row r="24573">
          <cell r="E24573" t="str">
            <v>LUC-P11-K41C00-00</v>
          </cell>
          <cell r="F24573">
            <v>119209653791</v>
          </cell>
        </row>
        <row r="24574">
          <cell r="E24574" t="str">
            <v>LUC-P11-K41C00-00</v>
          </cell>
          <cell r="F24574">
            <v>119209653791</v>
          </cell>
        </row>
        <row r="24575">
          <cell r="E24575" t="str">
            <v>LUC-P11-K41C00-00</v>
          </cell>
          <cell r="F24575">
            <v>119209653791</v>
          </cell>
        </row>
        <row r="24576">
          <cell r="E24576" t="str">
            <v>LUC-P11-K41900-00</v>
          </cell>
          <cell r="F24576">
            <v>119209653791</v>
          </cell>
        </row>
        <row r="24577">
          <cell r="E24577" t="str">
            <v>LUC-P11-K41900-00</v>
          </cell>
          <cell r="F24577">
            <v>119209653791</v>
          </cell>
        </row>
        <row r="24578">
          <cell r="E24578" t="str">
            <v>PUR-09-0256-00</v>
          </cell>
          <cell r="F24578">
            <v>119209653438</v>
          </cell>
        </row>
        <row r="24579">
          <cell r="E24579" t="str">
            <v>LUC-P11-K41E00-01</v>
          </cell>
          <cell r="F24579">
            <v>119209653438</v>
          </cell>
        </row>
        <row r="24580">
          <cell r="E24580" t="str">
            <v>LUC-P11-K41E00-01</v>
          </cell>
          <cell r="F24580">
            <v>119209653438</v>
          </cell>
        </row>
        <row r="24581">
          <cell r="E24581" t="str">
            <v>LUC-E00-450149-01</v>
          </cell>
          <cell r="F24581">
            <v>119209653438</v>
          </cell>
        </row>
        <row r="24582">
          <cell r="E24582" t="str">
            <v>HLOB-09-0427-00</v>
          </cell>
          <cell r="F24582">
            <v>119209653438</v>
          </cell>
        </row>
        <row r="24583">
          <cell r="E24583" t="str">
            <v>PUR-09-0213-00</v>
          </cell>
          <cell r="F24583">
            <v>119209653438</v>
          </cell>
        </row>
        <row r="24584">
          <cell r="E24584" t="str">
            <v>PUR-09-0213-00</v>
          </cell>
          <cell r="F24584">
            <v>119209653438</v>
          </cell>
        </row>
        <row r="24585">
          <cell r="E24585" t="str">
            <v>HLOB-24-0028-00</v>
          </cell>
          <cell r="F24585">
            <v>119209653438</v>
          </cell>
        </row>
        <row r="24586">
          <cell r="E24586" t="str">
            <v>HLOB-24-0028-00</v>
          </cell>
          <cell r="F24586">
            <v>119209653438</v>
          </cell>
        </row>
        <row r="24587">
          <cell r="E24587" t="str">
            <v>PUR-24-0028-00</v>
          </cell>
          <cell r="F24587">
            <v>119209653438</v>
          </cell>
        </row>
        <row r="24588">
          <cell r="E24588" t="str">
            <v>LUC-E00-470013-00</v>
          </cell>
          <cell r="F24588">
            <v>470049452420</v>
          </cell>
        </row>
        <row r="24589">
          <cell r="E24589" t="str">
            <v>LUC-E00-510032-00</v>
          </cell>
          <cell r="F24589">
            <v>470049452420</v>
          </cell>
        </row>
        <row r="24590">
          <cell r="E24590" t="str">
            <v>HLOB-07-0328-00</v>
          </cell>
          <cell r="F24590">
            <v>477859657799</v>
          </cell>
        </row>
        <row r="24591">
          <cell r="E24591" t="str">
            <v>PUR-07-0167-00</v>
          </cell>
          <cell r="F24591">
            <v>477859657799</v>
          </cell>
        </row>
        <row r="24592">
          <cell r="E24592" t="str">
            <v>HLOB-07-0167-00</v>
          </cell>
          <cell r="F24592">
            <v>477859657799</v>
          </cell>
        </row>
        <row r="24593">
          <cell r="E24593" t="str">
            <v>PUR-24-0028-00</v>
          </cell>
          <cell r="F24593">
            <v>479730156929</v>
          </cell>
        </row>
        <row r="24594">
          <cell r="E24594" t="str">
            <v>LUC-EZZ-420364-00</v>
          </cell>
          <cell r="F24594">
            <v>479730157936</v>
          </cell>
        </row>
        <row r="24595">
          <cell r="E24595" t="str">
            <v>LUC-E00-470029-00</v>
          </cell>
          <cell r="F24595">
            <v>479730158807</v>
          </cell>
        </row>
        <row r="24596">
          <cell r="E24596" t="str">
            <v>LUC-E00-470029-00</v>
          </cell>
          <cell r="F24596">
            <v>479730158807</v>
          </cell>
        </row>
        <row r="24597">
          <cell r="E24597" t="str">
            <v>LUC-E00-470029-00</v>
          </cell>
          <cell r="F24597">
            <v>479730158807</v>
          </cell>
        </row>
        <row r="24598">
          <cell r="E24598" t="str">
            <v>LUC-E00-480001-00</v>
          </cell>
          <cell r="F24598">
            <v>478066466831</v>
          </cell>
        </row>
        <row r="24599">
          <cell r="E24599" t="str">
            <v>LUC-E00-480005-00</v>
          </cell>
          <cell r="F24599">
            <v>478066466831</v>
          </cell>
        </row>
        <row r="24600">
          <cell r="E24600" t="str">
            <v>LUC-EZZ-480893-00</v>
          </cell>
          <cell r="F24600">
            <v>478066466831</v>
          </cell>
        </row>
        <row r="24601">
          <cell r="E24601" t="str">
            <v>HLOB-12-0343-00</v>
          </cell>
          <cell r="F24601">
            <v>885964268660</v>
          </cell>
        </row>
        <row r="24602">
          <cell r="E24602" t="str">
            <v>HLOB-12-0337-00</v>
          </cell>
          <cell r="F24602">
            <v>885964268660</v>
          </cell>
        </row>
        <row r="24603">
          <cell r="E24603" t="str">
            <v>HLOB-12-0337-00</v>
          </cell>
          <cell r="F24603">
            <v>885964268660</v>
          </cell>
        </row>
        <row r="24604">
          <cell r="E24604" t="str">
            <v>PUR-13-0159-00</v>
          </cell>
          <cell r="F24604">
            <v>885964268660</v>
          </cell>
        </row>
        <row r="24605">
          <cell r="E24605" t="str">
            <v>121-000254.X.X</v>
          </cell>
          <cell r="F24605">
            <v>885964268660</v>
          </cell>
        </row>
        <row r="24606">
          <cell r="E24606" t="str">
            <v>121-000254.X.X</v>
          </cell>
          <cell r="F24606">
            <v>885964268660</v>
          </cell>
        </row>
        <row r="24607">
          <cell r="E24607" t="str">
            <v>121-000254.X.X</v>
          </cell>
          <cell r="F24607">
            <v>885964268660</v>
          </cell>
        </row>
        <row r="24608">
          <cell r="E24608" t="str">
            <v>121-000254.X.X</v>
          </cell>
          <cell r="F24608">
            <v>885964268660</v>
          </cell>
        </row>
        <row r="24609">
          <cell r="E24609" t="str">
            <v>121-000254.X.X</v>
          </cell>
          <cell r="F24609">
            <v>885964268660</v>
          </cell>
        </row>
        <row r="24610">
          <cell r="E24610" t="str">
            <v>121-000254.X.X</v>
          </cell>
          <cell r="F24610">
            <v>885964268660</v>
          </cell>
        </row>
        <row r="24611">
          <cell r="E24611" t="str">
            <v>122-000673.X.X</v>
          </cell>
          <cell r="F24611">
            <v>885964268660</v>
          </cell>
        </row>
        <row r="24612">
          <cell r="E24612" t="str">
            <v>122-000673.X.X</v>
          </cell>
          <cell r="F24612">
            <v>885964268660</v>
          </cell>
        </row>
        <row r="24613">
          <cell r="E24613" t="str">
            <v>LUC-EZZ-510102-00</v>
          </cell>
          <cell r="F24613">
            <v>885964268660</v>
          </cell>
        </row>
        <row r="24614">
          <cell r="E24614" t="str">
            <v>LUC-EZZ-510102-00</v>
          </cell>
          <cell r="F24614">
            <v>885964268660</v>
          </cell>
        </row>
        <row r="24615">
          <cell r="E24615" t="str">
            <v>LUC-EZZ-510102-00</v>
          </cell>
          <cell r="F24615">
            <v>885964268660</v>
          </cell>
        </row>
        <row r="24616">
          <cell r="E24616" t="str">
            <v>LUC-E00-450009-00</v>
          </cell>
          <cell r="F24616">
            <v>885964268660</v>
          </cell>
        </row>
        <row r="24617">
          <cell r="E24617" t="str">
            <v>LUC-E00-450009-00</v>
          </cell>
          <cell r="F24617">
            <v>885964268660</v>
          </cell>
        </row>
        <row r="24618">
          <cell r="E24618" t="str">
            <v>LUC-E00-450009-00</v>
          </cell>
          <cell r="F24618">
            <v>885964268660</v>
          </cell>
        </row>
        <row r="24619">
          <cell r="E24619" t="str">
            <v>PUR-09-0422-00</v>
          </cell>
          <cell r="F24619">
            <v>480820909839</v>
          </cell>
        </row>
        <row r="24620">
          <cell r="E24620" t="str">
            <v>LUC-E00-470024-00</v>
          </cell>
          <cell r="F24620">
            <v>679865589946</v>
          </cell>
        </row>
        <row r="24621">
          <cell r="E24621" t="str">
            <v>HLOB-11-0144-05</v>
          </cell>
          <cell r="F24621">
            <v>885958839470</v>
          </cell>
        </row>
        <row r="24622">
          <cell r="E24622" t="str">
            <v>HLOB-11-0144-05</v>
          </cell>
          <cell r="F24622">
            <v>885958839470</v>
          </cell>
        </row>
        <row r="24623">
          <cell r="E24623" t="str">
            <v>122-000291.X.X</v>
          </cell>
          <cell r="F24623">
            <v>885915851159</v>
          </cell>
        </row>
        <row r="24624">
          <cell r="E24624" t="str">
            <v>121-000111.X.X</v>
          </cell>
          <cell r="F24624">
            <v>885915851159</v>
          </cell>
        </row>
        <row r="24625">
          <cell r="E24625" t="str">
            <v>HLOB-03-0038-00</v>
          </cell>
          <cell r="F24625">
            <v>489673689432</v>
          </cell>
        </row>
        <row r="24626">
          <cell r="E24626" t="str">
            <v>HLOB-03-0038-00</v>
          </cell>
          <cell r="F24626">
            <v>489673608830</v>
          </cell>
        </row>
        <row r="24627">
          <cell r="E24627" t="str">
            <v>HLOB-03-0038-00</v>
          </cell>
          <cell r="F24627">
            <v>489673608830</v>
          </cell>
        </row>
        <row r="24628">
          <cell r="E24628" t="str">
            <v>LUC-EZZ-690708-00</v>
          </cell>
          <cell r="F24628">
            <v>4110330917</v>
          </cell>
        </row>
        <row r="24629">
          <cell r="E24629" t="str">
            <v>LUC-E00-690157-01</v>
          </cell>
          <cell r="F24629">
            <v>4110330916</v>
          </cell>
        </row>
        <row r="24630">
          <cell r="E24630" t="str">
            <v>LUC-E00-690062-01</v>
          </cell>
          <cell r="F24630">
            <v>4110330915</v>
          </cell>
        </row>
        <row r="24631">
          <cell r="E24631" t="str">
            <v>LUC-E00-690062-01</v>
          </cell>
          <cell r="F24631">
            <v>4110330915</v>
          </cell>
        </row>
        <row r="24632">
          <cell r="E24632" t="str">
            <v>LUC-E00-690062-01</v>
          </cell>
          <cell r="F24632">
            <v>4110330914</v>
          </cell>
        </row>
        <row r="24633">
          <cell r="E24633" t="str">
            <v>LUC-E00-690062-01</v>
          </cell>
          <cell r="F24633">
            <v>4110330914</v>
          </cell>
        </row>
        <row r="24634">
          <cell r="E24634" t="str">
            <v>LUC-E00-690062-01</v>
          </cell>
          <cell r="F24634">
            <v>4110330914</v>
          </cell>
        </row>
        <row r="24635">
          <cell r="E24635" t="str">
            <v>LUC-E00-690062-01</v>
          </cell>
          <cell r="F24635">
            <v>4110330914</v>
          </cell>
        </row>
        <row r="24636">
          <cell r="E24636" t="str">
            <v>LUC-E00-690062-01</v>
          </cell>
          <cell r="F24636">
            <v>4110330914</v>
          </cell>
        </row>
        <row r="24637">
          <cell r="E24637" t="str">
            <v>LUC-E00-690001-00</v>
          </cell>
          <cell r="F24637">
            <v>4110330913</v>
          </cell>
        </row>
        <row r="24638">
          <cell r="E24638" t="str">
            <v>LUC-E00-690001-00</v>
          </cell>
          <cell r="F24638">
            <v>4110330913</v>
          </cell>
        </row>
        <row r="24639">
          <cell r="E24639" t="str">
            <v>LUC-E00-690001-00</v>
          </cell>
          <cell r="F24639">
            <v>4110330913</v>
          </cell>
        </row>
        <row r="24640">
          <cell r="E24640" t="str">
            <v>LUC-E00-690001-00</v>
          </cell>
          <cell r="F24640">
            <v>4110330913</v>
          </cell>
        </row>
        <row r="24641">
          <cell r="E24641" t="str">
            <v>LUC-E00-690001-00</v>
          </cell>
          <cell r="F24641">
            <v>4110330913</v>
          </cell>
        </row>
        <row r="24642">
          <cell r="E24642" t="str">
            <v>LUC-E00-690001-00</v>
          </cell>
          <cell r="F24642">
            <v>4110330913</v>
          </cell>
        </row>
        <row r="24643">
          <cell r="E24643" t="str">
            <v>LUC-EZZ-470181-00</v>
          </cell>
          <cell r="F24643">
            <v>5413522236</v>
          </cell>
        </row>
        <row r="24644">
          <cell r="E24644" t="str">
            <v>LUC-EZZ-470138-00</v>
          </cell>
          <cell r="F24644">
            <v>5413522236</v>
          </cell>
        </row>
        <row r="24645">
          <cell r="E24645" t="str">
            <v>EF-45213270</v>
          </cell>
          <cell r="F24645">
            <v>5413522236</v>
          </cell>
        </row>
        <row r="24646">
          <cell r="E24646" t="str">
            <v>LUC-E00-470042-00</v>
          </cell>
          <cell r="F24646">
            <v>5413522236</v>
          </cell>
        </row>
        <row r="24647">
          <cell r="E24647" t="str">
            <v>LUC-EZZ-470431-00</v>
          </cell>
          <cell r="F24647">
            <v>2092011191</v>
          </cell>
        </row>
        <row r="24648">
          <cell r="E24648" t="str">
            <v>LUC-E00-470047-00</v>
          </cell>
          <cell r="F24648">
            <v>2092011191</v>
          </cell>
        </row>
        <row r="24649">
          <cell r="E24649" t="str">
            <v>LUC-E00-470047-00</v>
          </cell>
          <cell r="F24649">
            <v>2092011191</v>
          </cell>
        </row>
        <row r="24650">
          <cell r="E24650" t="str">
            <v>LUC-E00-470033-00</v>
          </cell>
          <cell r="F24650">
            <v>2092011191</v>
          </cell>
        </row>
        <row r="24651">
          <cell r="E24651" t="str">
            <v>LUC-E00-470047-00</v>
          </cell>
          <cell r="F24651">
            <v>2092011191</v>
          </cell>
        </row>
        <row r="24652">
          <cell r="E24652" t="str">
            <v>LUC-EZZ-471023-00</v>
          </cell>
          <cell r="F24652">
            <v>2092011191</v>
          </cell>
        </row>
        <row r="24653">
          <cell r="E24653" t="str">
            <v>LUC-E00-470301-00</v>
          </cell>
          <cell r="F24653">
            <v>2092011191</v>
          </cell>
        </row>
        <row r="24654">
          <cell r="E24654" t="str">
            <v>LUC-E00-470178-00</v>
          </cell>
          <cell r="F24654">
            <v>2092011191</v>
          </cell>
        </row>
        <row r="24655">
          <cell r="E24655" t="str">
            <v>LUC-E00-420054-04</v>
          </cell>
          <cell r="F24655">
            <v>2092011191</v>
          </cell>
        </row>
        <row r="24656">
          <cell r="E24656" t="str">
            <v>LUC-E00-420057-01</v>
          </cell>
          <cell r="F24656">
            <v>2092011191</v>
          </cell>
        </row>
        <row r="24657">
          <cell r="E24657" t="str">
            <v>LUC-E00-510019-00</v>
          </cell>
          <cell r="F24657">
            <v>2092011191</v>
          </cell>
        </row>
        <row r="24658">
          <cell r="E24658" t="str">
            <v>LUC-E00-510019-00</v>
          </cell>
          <cell r="F24658">
            <v>2092011191</v>
          </cell>
        </row>
        <row r="24659">
          <cell r="E24659" t="str">
            <v>LUC-E00-420057-01</v>
          </cell>
          <cell r="F24659">
            <v>2092011191</v>
          </cell>
        </row>
        <row r="24660">
          <cell r="E24660" t="str">
            <v>LUC-E00-510019-00</v>
          </cell>
          <cell r="F24660">
            <v>2092011191</v>
          </cell>
        </row>
        <row r="24661">
          <cell r="E24661" t="str">
            <v>LUC-E00-510019-00</v>
          </cell>
          <cell r="F24661">
            <v>2092011191</v>
          </cell>
        </row>
        <row r="24662">
          <cell r="E24662" t="str">
            <v>LUC-E00-470123-00</v>
          </cell>
          <cell r="F24662">
            <v>2092011191</v>
          </cell>
        </row>
        <row r="24663">
          <cell r="E24663" t="str">
            <v>LUC-E00-470123-00</v>
          </cell>
          <cell r="F24663">
            <v>2092011191</v>
          </cell>
        </row>
        <row r="24664">
          <cell r="E24664" t="str">
            <v>LUC-E00-510082-00</v>
          </cell>
          <cell r="F24664">
            <v>2092011191</v>
          </cell>
        </row>
        <row r="24665">
          <cell r="E24665" t="str">
            <v>LUC-EZZ-450237-00</v>
          </cell>
          <cell r="F24665">
            <v>2092011191</v>
          </cell>
        </row>
        <row r="24666">
          <cell r="E24666" t="str">
            <v>LUC-E00-480008-00</v>
          </cell>
          <cell r="F24666">
            <v>2092011191</v>
          </cell>
        </row>
        <row r="24667">
          <cell r="E24667" t="str">
            <v>LUC-EZZ-510639-00</v>
          </cell>
          <cell r="F24667">
            <v>2092011191</v>
          </cell>
        </row>
        <row r="24668">
          <cell r="E24668" t="str">
            <v>LUC-E00-450046-00</v>
          </cell>
          <cell r="F24668">
            <v>2092011191</v>
          </cell>
        </row>
        <row r="24669">
          <cell r="E24669" t="str">
            <v>LUC-E00-450046-00</v>
          </cell>
          <cell r="F24669">
            <v>2092011191</v>
          </cell>
        </row>
        <row r="24670">
          <cell r="E24670" t="str">
            <v>LUC-E00-450148-01</v>
          </cell>
          <cell r="F24670">
            <v>2092011191</v>
          </cell>
        </row>
        <row r="24671">
          <cell r="E24671" t="str">
            <v>LUC-E00-420037-09</v>
          </cell>
          <cell r="F24671">
            <v>2092011191</v>
          </cell>
        </row>
        <row r="24672">
          <cell r="E24672" t="str">
            <v>LUC-E00-450036-00</v>
          </cell>
          <cell r="F24672">
            <v>2092011191</v>
          </cell>
        </row>
        <row r="24673">
          <cell r="E24673" t="str">
            <v>LUC-E00-450036-00</v>
          </cell>
          <cell r="F24673">
            <v>2092011191</v>
          </cell>
        </row>
        <row r="24674">
          <cell r="E24674" t="str">
            <v>LUC-E00-470123-00</v>
          </cell>
          <cell r="F24674">
            <v>2092011191</v>
          </cell>
        </row>
        <row r="24675">
          <cell r="E24675" t="str">
            <v>LUC-EZZ-420121-00</v>
          </cell>
          <cell r="F24675">
            <v>2092011191</v>
          </cell>
        </row>
        <row r="24676">
          <cell r="E24676" t="str">
            <v>LUC-EZZ-420121-00</v>
          </cell>
          <cell r="F24676">
            <v>2092011191</v>
          </cell>
        </row>
        <row r="24677">
          <cell r="E24677" t="str">
            <v>LUC-EZZ-420507-00</v>
          </cell>
          <cell r="F24677">
            <v>2092011191</v>
          </cell>
        </row>
        <row r="24678">
          <cell r="E24678" t="str">
            <v>LUC-EZZ-420110-00</v>
          </cell>
          <cell r="F24678">
            <v>2092011191</v>
          </cell>
        </row>
        <row r="24679">
          <cell r="E24679" t="str">
            <v>LUC-EZZ-420281-00</v>
          </cell>
          <cell r="F24679">
            <v>2092011191</v>
          </cell>
        </row>
        <row r="24680">
          <cell r="E24680" t="str">
            <v>LUC-E00-510066-00</v>
          </cell>
          <cell r="F24680">
            <v>2092011191</v>
          </cell>
        </row>
        <row r="24681">
          <cell r="E24681" t="str">
            <v>LUC-E00-400010-022</v>
          </cell>
          <cell r="F24681">
            <v>2092011191</v>
          </cell>
        </row>
        <row r="24682">
          <cell r="E24682" t="str">
            <v>LUC-E00-400010-022</v>
          </cell>
          <cell r="F24682">
            <v>2092011191</v>
          </cell>
        </row>
        <row r="24683">
          <cell r="E24683" t="str">
            <v>LUC-EZZ-450087-00</v>
          </cell>
          <cell r="F24683">
            <v>2092011191</v>
          </cell>
        </row>
        <row r="24684">
          <cell r="E24684" t="str">
            <v>LUC-E00-510041-00</v>
          </cell>
          <cell r="F24684">
            <v>2092011191</v>
          </cell>
        </row>
        <row r="24685">
          <cell r="E24685" t="str">
            <v>LUC-EZZ-510023-00</v>
          </cell>
          <cell r="F24685">
            <v>2092011191</v>
          </cell>
        </row>
        <row r="24686">
          <cell r="E24686" t="str">
            <v>LUC-EZZ-450110-00</v>
          </cell>
          <cell r="F24686">
            <v>2092011191</v>
          </cell>
        </row>
        <row r="24687">
          <cell r="E24687" t="str">
            <v>LUC-E00-450060-00</v>
          </cell>
          <cell r="F24687">
            <v>2092011191</v>
          </cell>
        </row>
        <row r="24688">
          <cell r="E24688" t="str">
            <v>LUC-EZZ-420490-00</v>
          </cell>
          <cell r="F24688">
            <v>2092011191</v>
          </cell>
        </row>
        <row r="24689">
          <cell r="E24689" t="str">
            <v>LUC-E00-470048-00</v>
          </cell>
          <cell r="F24689">
            <v>2092011191</v>
          </cell>
        </row>
        <row r="24690">
          <cell r="E24690" t="str">
            <v>LUC-E00-450075-00</v>
          </cell>
          <cell r="F24690">
            <v>2092011191</v>
          </cell>
        </row>
        <row r="24691">
          <cell r="E24691" t="str">
            <v>LUC-E00-470330-00</v>
          </cell>
          <cell r="F24691">
            <v>2092011191</v>
          </cell>
        </row>
        <row r="24692">
          <cell r="E24692" t="str">
            <v>LUC-EZZ-400223-00</v>
          </cell>
          <cell r="F24692">
            <v>2092011191</v>
          </cell>
        </row>
        <row r="24693">
          <cell r="E24693" t="str">
            <v>LUC-EZZ-400223-00</v>
          </cell>
          <cell r="F24693">
            <v>2092011191</v>
          </cell>
        </row>
        <row r="24694">
          <cell r="E24694" t="str">
            <v>LUC-E00-510066-00</v>
          </cell>
          <cell r="F24694">
            <v>2092011191</v>
          </cell>
        </row>
        <row r="24695">
          <cell r="E24695" t="str">
            <v>LUC-EZZ-470274-00</v>
          </cell>
          <cell r="F24695">
            <v>2092011191</v>
          </cell>
        </row>
        <row r="24696">
          <cell r="E24696" t="str">
            <v>LUC-E00-470090-00</v>
          </cell>
          <cell r="F24696">
            <v>2092011191</v>
          </cell>
        </row>
        <row r="24697">
          <cell r="E24697" t="str">
            <v>LUC-E00-400010-034</v>
          </cell>
          <cell r="F24697">
            <v>2092011191</v>
          </cell>
        </row>
        <row r="24698">
          <cell r="E24698" t="str">
            <v>LUC-E00-400010-034</v>
          </cell>
          <cell r="F24698">
            <v>2092011191</v>
          </cell>
        </row>
        <row r="24699">
          <cell r="E24699" t="str">
            <v>LUC-EZZ-451368-00</v>
          </cell>
          <cell r="F24699">
            <v>2092011191</v>
          </cell>
        </row>
        <row r="24700">
          <cell r="E24700" t="str">
            <v>LUC-EZZ-420101-00</v>
          </cell>
          <cell r="F24700">
            <v>2092011191</v>
          </cell>
        </row>
        <row r="24701">
          <cell r="E24701" t="str">
            <v>PURET-24-0008-00</v>
          </cell>
          <cell r="F24701">
            <v>2092011191</v>
          </cell>
        </row>
        <row r="24702">
          <cell r="E24702" t="str">
            <v>LUC-E00-440026-00</v>
          </cell>
          <cell r="F24702">
            <v>2092011191</v>
          </cell>
        </row>
        <row r="24703">
          <cell r="E24703" t="str">
            <v>LUC-E00-440026-00</v>
          </cell>
          <cell r="F24703">
            <v>2092011191</v>
          </cell>
        </row>
        <row r="24704">
          <cell r="E24704" t="str">
            <v>LUC-E00-450028-00</v>
          </cell>
          <cell r="F24704">
            <v>2092011191</v>
          </cell>
        </row>
        <row r="24705">
          <cell r="E24705" t="str">
            <v>LUC-EZZ-470152-01</v>
          </cell>
          <cell r="F24705">
            <v>2092011191</v>
          </cell>
        </row>
        <row r="24706">
          <cell r="E24706" t="str">
            <v>LUC-E00-420076-00</v>
          </cell>
          <cell r="F24706">
            <v>2092011191</v>
          </cell>
        </row>
        <row r="24707">
          <cell r="E24707" t="str">
            <v>LUC-E00-400010-009</v>
          </cell>
          <cell r="F24707">
            <v>2092011191</v>
          </cell>
        </row>
        <row r="24708">
          <cell r="E24708" t="str">
            <v>LUC-E00-510019-00</v>
          </cell>
          <cell r="F24708">
            <v>2092011191</v>
          </cell>
        </row>
        <row r="24709">
          <cell r="E24709" t="str">
            <v>LUC-E00-400046-00</v>
          </cell>
          <cell r="F24709">
            <v>2092011191</v>
          </cell>
        </row>
        <row r="24710">
          <cell r="E24710" t="str">
            <v>LUC-EZZ-420172-00</v>
          </cell>
          <cell r="F24710">
            <v>2092011191</v>
          </cell>
        </row>
        <row r="24711">
          <cell r="E24711" t="str">
            <v>LUC-EZZ-420110-00</v>
          </cell>
          <cell r="F24711">
            <v>2092011191</v>
          </cell>
        </row>
        <row r="24712">
          <cell r="E24712" t="str">
            <v>LUC-E00-400003-011</v>
          </cell>
          <cell r="F24712">
            <v>2092011191</v>
          </cell>
        </row>
        <row r="24713">
          <cell r="E24713" t="str">
            <v>LUC-E00-450148-01</v>
          </cell>
          <cell r="F24713">
            <v>2092011191</v>
          </cell>
        </row>
        <row r="24714">
          <cell r="E24714" t="str">
            <v>LUC-EZZ-450835-00</v>
          </cell>
          <cell r="F24714">
            <v>2092011191</v>
          </cell>
        </row>
        <row r="24715">
          <cell r="E24715" t="str">
            <v>LUC-E00-510045-00</v>
          </cell>
          <cell r="F24715">
            <v>2092011191</v>
          </cell>
        </row>
        <row r="24716">
          <cell r="E24716" t="str">
            <v>LUC-E00-420019-00</v>
          </cell>
          <cell r="F24716">
            <v>2092011191</v>
          </cell>
        </row>
        <row r="24717">
          <cell r="E24717" t="str">
            <v>LUC-EZZ-420136-00</v>
          </cell>
          <cell r="F24717">
            <v>2092011191</v>
          </cell>
        </row>
        <row r="24718">
          <cell r="E24718" t="str">
            <v>LUC-EZZ-400288-00</v>
          </cell>
          <cell r="F24718">
            <v>2092011191</v>
          </cell>
        </row>
        <row r="24719">
          <cell r="E24719" t="str">
            <v>LUC-E00-470090-00</v>
          </cell>
          <cell r="F24719">
            <v>2092011191</v>
          </cell>
        </row>
        <row r="24720">
          <cell r="E24720" t="str">
            <v>LUC-E00-400056-00</v>
          </cell>
          <cell r="F24720">
            <v>2092011191</v>
          </cell>
        </row>
        <row r="24721">
          <cell r="E24721" t="str">
            <v>LUC-E00-420054-01</v>
          </cell>
          <cell r="F24721">
            <v>2092011191</v>
          </cell>
        </row>
        <row r="24722">
          <cell r="E24722" t="str">
            <v>LUC-EZZ-420490-00</v>
          </cell>
          <cell r="F24722">
            <v>2092011191</v>
          </cell>
        </row>
        <row r="24723">
          <cell r="E24723" t="str">
            <v>LUC-E00-470389-00</v>
          </cell>
          <cell r="F24723">
            <v>2092011191</v>
          </cell>
        </row>
        <row r="24724">
          <cell r="E24724" t="str">
            <v>LUC-E00-450056-00</v>
          </cell>
          <cell r="F24724">
            <v>2092011191</v>
          </cell>
        </row>
        <row r="24725">
          <cell r="E24725" t="str">
            <v>LUC-EZZ-470152-00</v>
          </cell>
          <cell r="F24725">
            <v>2092011191</v>
          </cell>
        </row>
        <row r="24726">
          <cell r="E24726" t="str">
            <v>LUC-EZZ-510053-00</v>
          </cell>
          <cell r="F24726">
            <v>2092011191</v>
          </cell>
        </row>
        <row r="24727">
          <cell r="E24727" t="str">
            <v>LUC-E00-400067-399</v>
          </cell>
          <cell r="F24727">
            <v>2092011191</v>
          </cell>
        </row>
        <row r="24728">
          <cell r="E24728" t="str">
            <v>LUC-EZZ-470274-00</v>
          </cell>
          <cell r="F24728">
            <v>2092011191</v>
          </cell>
        </row>
        <row r="24729">
          <cell r="E24729" t="str">
            <v>LUC-E00-450036-00</v>
          </cell>
          <cell r="F24729">
            <v>2092011191</v>
          </cell>
        </row>
        <row r="24730">
          <cell r="E24730" t="str">
            <v>LUC-E00-470242-00</v>
          </cell>
          <cell r="F24730">
            <v>2092011191</v>
          </cell>
        </row>
        <row r="24731">
          <cell r="E24731" t="str">
            <v>LUC-EZZ-470152-00</v>
          </cell>
          <cell r="F24731">
            <v>2092011191</v>
          </cell>
        </row>
        <row r="24732">
          <cell r="E24732" t="str">
            <v>LUC-E00-470090-00</v>
          </cell>
          <cell r="F24732">
            <v>2092011191</v>
          </cell>
        </row>
        <row r="24733">
          <cell r="E24733" t="str">
            <v>LUC-EZZ-510080-00</v>
          </cell>
          <cell r="F24733">
            <v>2092011191</v>
          </cell>
        </row>
        <row r="24734">
          <cell r="E24734" t="str">
            <v>LUC-EZZ-420110-00</v>
          </cell>
          <cell r="F24734">
            <v>2092011191</v>
          </cell>
        </row>
        <row r="24735">
          <cell r="E24735" t="str">
            <v>LUC-E00-510021-00</v>
          </cell>
          <cell r="F24735">
            <v>2092011191</v>
          </cell>
        </row>
        <row r="24736">
          <cell r="E24736" t="str">
            <v>LUC-E00-450030-00</v>
          </cell>
          <cell r="F24736">
            <v>2092011191</v>
          </cell>
        </row>
        <row r="24737">
          <cell r="E24737" t="str">
            <v>LUC-EZZ-400194-00</v>
          </cell>
          <cell r="F24737">
            <v>2092011191</v>
          </cell>
        </row>
        <row r="24738">
          <cell r="E24738" t="str">
            <v>LUC-EZZ-400606-00</v>
          </cell>
          <cell r="F24738">
            <v>2092011191</v>
          </cell>
        </row>
        <row r="24739">
          <cell r="E24739" t="str">
            <v>LUC-E00-510041-00</v>
          </cell>
          <cell r="F24739">
            <v>2092011191</v>
          </cell>
        </row>
        <row r="24740">
          <cell r="E24740" t="str">
            <v>LUC-E00-420037-00</v>
          </cell>
          <cell r="F24740">
            <v>2092011191</v>
          </cell>
        </row>
        <row r="24741">
          <cell r="E24741" t="str">
            <v>LUC-E00-470123-00</v>
          </cell>
          <cell r="F24741">
            <v>2092011191</v>
          </cell>
        </row>
        <row r="24742">
          <cell r="E24742" t="str">
            <v>LUC-EZZ-440042-00</v>
          </cell>
          <cell r="F24742">
            <v>2092011191</v>
          </cell>
        </row>
        <row r="24743">
          <cell r="E24743" t="str">
            <v>LUC-EZZ-450087-00</v>
          </cell>
          <cell r="F24743">
            <v>2092011191</v>
          </cell>
        </row>
        <row r="24744">
          <cell r="E24744" t="str">
            <v>LUC-EZZ-450053-00</v>
          </cell>
          <cell r="F24744">
            <v>2092011191</v>
          </cell>
        </row>
        <row r="24745">
          <cell r="E24745" t="str">
            <v>LUC-EZZ-400221-00</v>
          </cell>
          <cell r="F24745">
            <v>2092011191</v>
          </cell>
        </row>
        <row r="24746">
          <cell r="E24746" t="str">
            <v>LUC-E00-420116-01</v>
          </cell>
          <cell r="F24746">
            <v>2092011191</v>
          </cell>
        </row>
        <row r="24747">
          <cell r="E24747" t="str">
            <v>LUC-EZZ-510058-00</v>
          </cell>
          <cell r="F24747">
            <v>2092011191</v>
          </cell>
        </row>
        <row r="24748">
          <cell r="E24748" t="str">
            <v>LUC-EZZ-510058-00</v>
          </cell>
          <cell r="F24748">
            <v>2092011191</v>
          </cell>
        </row>
        <row r="24749">
          <cell r="E24749" t="str">
            <v>LUC-E00-400010-035</v>
          </cell>
          <cell r="F24749">
            <v>2092011191</v>
          </cell>
        </row>
        <row r="24750">
          <cell r="E24750" t="str">
            <v>LUC-EZZ-420136-00</v>
          </cell>
          <cell r="F24750">
            <v>2092011191</v>
          </cell>
        </row>
        <row r="24751">
          <cell r="E24751" t="str">
            <v>LUC-EZZ-420136-00</v>
          </cell>
          <cell r="F24751">
            <v>2092011191</v>
          </cell>
        </row>
        <row r="24752">
          <cell r="E24752" t="str">
            <v>LUC-E00-420054-01</v>
          </cell>
          <cell r="F24752">
            <v>2092011191</v>
          </cell>
        </row>
        <row r="24753">
          <cell r="E24753" t="str">
            <v>LUC-E00-400010-000</v>
          </cell>
          <cell r="F24753">
            <v>2092011191</v>
          </cell>
        </row>
        <row r="24754">
          <cell r="E24754" t="str">
            <v>LUC-EZZ-400245-00</v>
          </cell>
          <cell r="F24754">
            <v>2092011191</v>
          </cell>
        </row>
        <row r="24755">
          <cell r="E24755" t="str">
            <v>EF-45179595</v>
          </cell>
          <cell r="F24755">
            <v>2092011191</v>
          </cell>
        </row>
        <row r="24756">
          <cell r="E24756" t="str">
            <v>LUC-EZZ-510638-00</v>
          </cell>
          <cell r="F24756">
            <v>2092011191</v>
          </cell>
        </row>
        <row r="24757">
          <cell r="E24757" t="str">
            <v>LUC-E00-510030-00</v>
          </cell>
          <cell r="F24757">
            <v>2092011191</v>
          </cell>
        </row>
        <row r="24758">
          <cell r="E24758" t="str">
            <v>LUC-E00-420025-05</v>
          </cell>
          <cell r="F24758">
            <v>2092011191</v>
          </cell>
        </row>
        <row r="24759">
          <cell r="E24759" t="str">
            <v>LUC-EZZ-510023-00</v>
          </cell>
          <cell r="F24759">
            <v>2092011191</v>
          </cell>
        </row>
        <row r="24760">
          <cell r="E24760" t="str">
            <v>LUC-EZZ-420490-00</v>
          </cell>
          <cell r="F24760">
            <v>2092011191</v>
          </cell>
        </row>
        <row r="24761">
          <cell r="E24761" t="str">
            <v>LUC-E00-470004-00</v>
          </cell>
          <cell r="F24761">
            <v>2092011191</v>
          </cell>
        </row>
        <row r="24762">
          <cell r="E24762" t="str">
            <v>LUC-E00-470033-00</v>
          </cell>
          <cell r="F24762">
            <v>2092011191</v>
          </cell>
        </row>
        <row r="24763">
          <cell r="E24763" t="str">
            <v>LUC-EZZ-450180-00</v>
          </cell>
          <cell r="F24763">
            <v>2092011191</v>
          </cell>
        </row>
        <row r="24764">
          <cell r="E24764" t="str">
            <v>LUC-E00-420116-01</v>
          </cell>
          <cell r="F24764">
            <v>2092011191</v>
          </cell>
        </row>
        <row r="24765">
          <cell r="E24765" t="str">
            <v>LUC-EZZ-470696-00</v>
          </cell>
          <cell r="F24765">
            <v>2092011191</v>
          </cell>
        </row>
        <row r="24766">
          <cell r="E24766" t="str">
            <v>LUC-E00-400010-032</v>
          </cell>
          <cell r="F24766">
            <v>2092011191</v>
          </cell>
        </row>
        <row r="24767">
          <cell r="E24767" t="str">
            <v>LUC-EZZ-450113-00</v>
          </cell>
          <cell r="F24767">
            <v>2092011191</v>
          </cell>
        </row>
        <row r="24768">
          <cell r="E24768" t="str">
            <v>LUC-E00-510016-00</v>
          </cell>
          <cell r="F24768">
            <v>2092011191</v>
          </cell>
        </row>
        <row r="24769">
          <cell r="E24769" t="str">
            <v>LUC-E00-510017-00</v>
          </cell>
          <cell r="F24769">
            <v>2092011191</v>
          </cell>
        </row>
        <row r="24770">
          <cell r="E24770" t="str">
            <v>LUC-EZZ-510638-00</v>
          </cell>
          <cell r="F24770">
            <v>2092011191</v>
          </cell>
        </row>
        <row r="24771">
          <cell r="E24771" t="str">
            <v>LUC-E00-460001-01</v>
          </cell>
          <cell r="F24771">
            <v>2092011191</v>
          </cell>
        </row>
        <row r="24772">
          <cell r="E24772" t="str">
            <v>LUC-EZZ-450113-00</v>
          </cell>
          <cell r="F24772">
            <v>2092011191</v>
          </cell>
        </row>
        <row r="24773">
          <cell r="E24773" t="str">
            <v>LUC-EZZ-470192-00</v>
          </cell>
          <cell r="F24773">
            <v>2092011191</v>
          </cell>
        </row>
        <row r="24774">
          <cell r="E24774" t="str">
            <v>LUC-E00-470063-00</v>
          </cell>
          <cell r="F24774">
            <v>2092011191</v>
          </cell>
        </row>
        <row r="24775">
          <cell r="E24775" t="str">
            <v>LUC-E00-510037-00</v>
          </cell>
          <cell r="F24775">
            <v>2092011191</v>
          </cell>
        </row>
        <row r="24776">
          <cell r="E24776" t="str">
            <v>LUC-E00-510015-00</v>
          </cell>
          <cell r="F24776">
            <v>2092011191</v>
          </cell>
        </row>
        <row r="24777">
          <cell r="E24777" t="str">
            <v>LUC-E00-420241-00</v>
          </cell>
          <cell r="F24777">
            <v>2092011191</v>
          </cell>
        </row>
        <row r="24778">
          <cell r="E24778" t="str">
            <v>LUC-E00-420241-00</v>
          </cell>
          <cell r="F24778">
            <v>2092011191</v>
          </cell>
        </row>
        <row r="24779">
          <cell r="E24779" t="str">
            <v>LUC-E00-420241-00</v>
          </cell>
          <cell r="F24779">
            <v>2092011191</v>
          </cell>
        </row>
        <row r="24780">
          <cell r="E24780" t="str">
            <v>LUC-E00-420241-00</v>
          </cell>
          <cell r="F24780">
            <v>2092011191</v>
          </cell>
        </row>
        <row r="24781">
          <cell r="E24781" t="str">
            <v>LUC-E00-420241-00</v>
          </cell>
          <cell r="F24781">
            <v>2092011191</v>
          </cell>
        </row>
        <row r="24782">
          <cell r="E24782" t="str">
            <v>LUC-E00-440047-00</v>
          </cell>
          <cell r="F24782">
            <v>2092011191</v>
          </cell>
        </row>
        <row r="24783">
          <cell r="E24783" t="str">
            <v>LUC-E00-470123-00</v>
          </cell>
          <cell r="F24783">
            <v>2092011191</v>
          </cell>
        </row>
        <row r="24784">
          <cell r="E24784" t="str">
            <v>LUC-E00-420050-00</v>
          </cell>
          <cell r="F24784">
            <v>2092011191</v>
          </cell>
        </row>
        <row r="24785">
          <cell r="E24785" t="str">
            <v>LUC-E00-400010-000</v>
          </cell>
          <cell r="F24785">
            <v>2092011191</v>
          </cell>
        </row>
        <row r="24786">
          <cell r="E24786" t="str">
            <v>LUC-EZZ-420020-00</v>
          </cell>
          <cell r="F24786">
            <v>2092011191</v>
          </cell>
        </row>
        <row r="24787">
          <cell r="E24787" t="str">
            <v>LUC-EZZ-420013-00</v>
          </cell>
          <cell r="F24787">
            <v>2092011191</v>
          </cell>
        </row>
        <row r="24788">
          <cell r="E24788" t="str">
            <v>LUC-E00-510014-00</v>
          </cell>
          <cell r="F24788">
            <v>2092011191</v>
          </cell>
        </row>
        <row r="24789">
          <cell r="E24789" t="str">
            <v>LUC-EZZ-450113-00</v>
          </cell>
          <cell r="F24789">
            <v>2092011191</v>
          </cell>
        </row>
        <row r="24790">
          <cell r="E24790" t="str">
            <v>LUC-EZZ-510070-00</v>
          </cell>
          <cell r="F24790">
            <v>2092011191</v>
          </cell>
        </row>
        <row r="24791">
          <cell r="E24791" t="str">
            <v>LUC-E00-450075-00</v>
          </cell>
          <cell r="F24791">
            <v>2092011191</v>
          </cell>
        </row>
        <row r="24792">
          <cell r="E24792" t="str">
            <v>LUC-EZZ-471023-00</v>
          </cell>
          <cell r="F24792">
            <v>2092011191</v>
          </cell>
        </row>
        <row r="24793">
          <cell r="E24793" t="str">
            <v>LUC-E00-400010-047</v>
          </cell>
          <cell r="F24793">
            <v>2092011191</v>
          </cell>
        </row>
        <row r="24794">
          <cell r="E24794" t="str">
            <v>LUC-E00-460038-00</v>
          </cell>
          <cell r="F24794">
            <v>2092011191</v>
          </cell>
        </row>
        <row r="24795">
          <cell r="E24795" t="str">
            <v>LUC-E00-460038-00</v>
          </cell>
          <cell r="F24795">
            <v>2092011191</v>
          </cell>
        </row>
        <row r="24796">
          <cell r="E24796" t="str">
            <v>LUC-E00-420054-00</v>
          </cell>
          <cell r="F24796">
            <v>2092011191</v>
          </cell>
        </row>
        <row r="24797">
          <cell r="E24797" t="str">
            <v>LUC-E00-420057-00</v>
          </cell>
          <cell r="F24797">
            <v>2092011191</v>
          </cell>
        </row>
        <row r="24798">
          <cell r="E24798" t="str">
            <v>LUC-E00-420056-00</v>
          </cell>
          <cell r="F24798">
            <v>2092011191</v>
          </cell>
        </row>
        <row r="24799">
          <cell r="E24799" t="str">
            <v>LUC-EZZ-420121-00</v>
          </cell>
          <cell r="F24799">
            <v>2092011191</v>
          </cell>
        </row>
        <row r="24800">
          <cell r="E24800" t="str">
            <v>LUC-E00-420054-04</v>
          </cell>
          <cell r="F24800">
            <v>2092011191</v>
          </cell>
        </row>
        <row r="24801">
          <cell r="E24801" t="str">
            <v>LUC-EZZ-470424-00</v>
          </cell>
          <cell r="F24801">
            <v>2092011191</v>
          </cell>
        </row>
        <row r="24802">
          <cell r="E24802" t="str">
            <v>LUC-EZZ-470424-00</v>
          </cell>
          <cell r="F24802">
            <v>2092011191</v>
          </cell>
        </row>
        <row r="24803">
          <cell r="E24803" t="str">
            <v>LUC-E00-450041-00</v>
          </cell>
          <cell r="F24803">
            <v>2092011191</v>
          </cell>
        </row>
        <row r="24804">
          <cell r="E24804" t="str">
            <v>LUC-E00-470090-00</v>
          </cell>
          <cell r="F24804">
            <v>2092011191</v>
          </cell>
        </row>
        <row r="24805">
          <cell r="E24805" t="str">
            <v>LUC-EZZ-470274-00</v>
          </cell>
          <cell r="F24805">
            <v>2092011191</v>
          </cell>
        </row>
        <row r="24806">
          <cell r="E24806" t="str">
            <v>LUC-EZZ-470464-00</v>
          </cell>
          <cell r="F24806">
            <v>2092011191</v>
          </cell>
        </row>
        <row r="24807">
          <cell r="E24807" t="str">
            <v>LUC-EZZ-470464-00</v>
          </cell>
          <cell r="F24807">
            <v>2092011191</v>
          </cell>
        </row>
        <row r="24808">
          <cell r="E24808" t="str">
            <v>LUC-E00-470047-00</v>
          </cell>
          <cell r="F24808">
            <v>2092011191</v>
          </cell>
        </row>
        <row r="24809">
          <cell r="E24809" t="str">
            <v>LUC-E00-470047-00</v>
          </cell>
          <cell r="F24809">
            <v>2092011191</v>
          </cell>
        </row>
        <row r="24810">
          <cell r="E24810" t="str">
            <v>LUC-E00-450056-00</v>
          </cell>
          <cell r="F24810">
            <v>2092011191</v>
          </cell>
        </row>
        <row r="24811">
          <cell r="E24811" t="str">
            <v>LUC-E00-470060-00</v>
          </cell>
          <cell r="F24811">
            <v>2092011191</v>
          </cell>
        </row>
        <row r="24812">
          <cell r="E24812" t="str">
            <v>LUC-EZZ-470464-00</v>
          </cell>
          <cell r="F24812">
            <v>2092011191</v>
          </cell>
        </row>
        <row r="24813">
          <cell r="E24813" t="str">
            <v>LUC-EZZ-470464-00</v>
          </cell>
          <cell r="F24813">
            <v>2092011191</v>
          </cell>
        </row>
        <row r="24814">
          <cell r="E24814" t="str">
            <v>LUC-EZZ-470424-00</v>
          </cell>
          <cell r="F24814">
            <v>2092011191</v>
          </cell>
        </row>
        <row r="24815">
          <cell r="E24815" t="str">
            <v>LUC-EZZ-470424-00</v>
          </cell>
          <cell r="F24815">
            <v>2092011191</v>
          </cell>
        </row>
        <row r="24816">
          <cell r="E24816" t="str">
            <v>LUC-EZZ-470464-00</v>
          </cell>
          <cell r="F24816">
            <v>2092011191</v>
          </cell>
        </row>
        <row r="24817">
          <cell r="E24817" t="str">
            <v>LUC-EZZ-470464-00</v>
          </cell>
          <cell r="F24817">
            <v>2092011191</v>
          </cell>
        </row>
        <row r="24818">
          <cell r="E24818" t="str">
            <v>LUC-E00-470077-00</v>
          </cell>
          <cell r="F24818">
            <v>2092011191</v>
          </cell>
        </row>
        <row r="24819">
          <cell r="E24819" t="str">
            <v>LUC-E00-470447-00</v>
          </cell>
          <cell r="F24819">
            <v>2092011191</v>
          </cell>
        </row>
        <row r="24820">
          <cell r="E24820" t="str">
            <v>109-000192</v>
          </cell>
          <cell r="F24820">
            <v>2092011191</v>
          </cell>
        </row>
        <row r="24821">
          <cell r="E24821" t="str">
            <v>LUC-E00-450148-01</v>
          </cell>
          <cell r="F24821">
            <v>2092011191</v>
          </cell>
        </row>
        <row r="24822">
          <cell r="E24822" t="str">
            <v>LUC-E00-450148-01</v>
          </cell>
          <cell r="F24822">
            <v>2092011191</v>
          </cell>
        </row>
        <row r="24823">
          <cell r="E24823" t="str">
            <v>LUC-E00-420241-00</v>
          </cell>
          <cell r="F24823">
            <v>2092011191</v>
          </cell>
        </row>
        <row r="24824">
          <cell r="E24824" t="str">
            <v>LUC-E00-450148-01</v>
          </cell>
          <cell r="F24824">
            <v>2092011191</v>
          </cell>
        </row>
        <row r="24825">
          <cell r="E24825" t="str">
            <v>LUC-E00-440149-00</v>
          </cell>
          <cell r="F24825">
            <v>2092011191</v>
          </cell>
        </row>
        <row r="24826">
          <cell r="E24826" t="str">
            <v>LUC-E00-420054-01</v>
          </cell>
          <cell r="F24826">
            <v>2092011191</v>
          </cell>
        </row>
        <row r="24827">
          <cell r="E24827" t="str">
            <v>LUC-E00-420056-00</v>
          </cell>
          <cell r="F24827">
            <v>2092011191</v>
          </cell>
        </row>
        <row r="24828">
          <cell r="E24828" t="str">
            <v>LUC-E00-420056-00</v>
          </cell>
          <cell r="F24828">
            <v>2092011191</v>
          </cell>
        </row>
        <row r="24829">
          <cell r="E24829" t="str">
            <v>LUC-E00-420056-00</v>
          </cell>
          <cell r="F24829">
            <v>2092011191</v>
          </cell>
        </row>
        <row r="24830">
          <cell r="E24830" t="str">
            <v>LUC-E00-420045-02</v>
          </cell>
          <cell r="F24830">
            <v>2092011191</v>
          </cell>
        </row>
        <row r="24831">
          <cell r="E24831" t="str">
            <v>LUC-E00-420045-02</v>
          </cell>
          <cell r="F24831">
            <v>2092011191</v>
          </cell>
        </row>
        <row r="24832">
          <cell r="E24832" t="str">
            <v>LUC-E00-420037-10</v>
          </cell>
          <cell r="F24832">
            <v>2092011191</v>
          </cell>
        </row>
        <row r="24833">
          <cell r="E24833" t="str">
            <v>LUC-E00-420037-10</v>
          </cell>
          <cell r="F24833">
            <v>2092011191</v>
          </cell>
        </row>
        <row r="24834">
          <cell r="E24834" t="str">
            <v>LUC-E00-420055-12</v>
          </cell>
          <cell r="F24834">
            <v>2092011191</v>
          </cell>
        </row>
        <row r="24835">
          <cell r="E24835" t="str">
            <v>LUC-E00-420060-00</v>
          </cell>
          <cell r="F24835">
            <v>2092011191</v>
          </cell>
        </row>
        <row r="24836">
          <cell r="E24836" t="str">
            <v>LUC-E00-420057-00</v>
          </cell>
          <cell r="F24836">
            <v>2092011191</v>
          </cell>
        </row>
        <row r="24837">
          <cell r="E24837" t="str">
            <v>LUC-E00-420069-00</v>
          </cell>
          <cell r="F24837">
            <v>2092011191</v>
          </cell>
        </row>
        <row r="24838">
          <cell r="E24838" t="str">
            <v>LUC-E00-420069-00</v>
          </cell>
          <cell r="F24838">
            <v>2092011191</v>
          </cell>
        </row>
        <row r="24839">
          <cell r="E24839" t="str">
            <v>LUC-E00-420069-00</v>
          </cell>
          <cell r="F24839">
            <v>2092011191</v>
          </cell>
        </row>
        <row r="24840">
          <cell r="E24840" t="str">
            <v>LUC-E00-420058-00</v>
          </cell>
          <cell r="F24840">
            <v>2092011191</v>
          </cell>
        </row>
        <row r="24841">
          <cell r="E24841" t="str">
            <v>LUC-E00-480008-00</v>
          </cell>
          <cell r="F24841">
            <v>2092011191</v>
          </cell>
        </row>
        <row r="24842">
          <cell r="E24842" t="str">
            <v>LUC-E00-420116-01</v>
          </cell>
          <cell r="F24842">
            <v>2092011191</v>
          </cell>
        </row>
        <row r="24843">
          <cell r="E24843" t="str">
            <v>LUC-E00-400067-211</v>
          </cell>
          <cell r="F24843">
            <v>2092011191</v>
          </cell>
        </row>
        <row r="24844">
          <cell r="E24844" t="str">
            <v>LUC-EZZ-420020-00</v>
          </cell>
          <cell r="F24844">
            <v>2092011191</v>
          </cell>
        </row>
        <row r="24845">
          <cell r="E24845" t="str">
            <v>LUC-E00-450028-00</v>
          </cell>
          <cell r="F24845">
            <v>2092011191</v>
          </cell>
        </row>
        <row r="24846">
          <cell r="E24846" t="str">
            <v>LUC-E00-400010-023</v>
          </cell>
          <cell r="F24846">
            <v>2092011191</v>
          </cell>
        </row>
        <row r="24847">
          <cell r="E24847" t="str">
            <v>LUC-E00-450075-00</v>
          </cell>
          <cell r="F24847">
            <v>2092011191</v>
          </cell>
        </row>
        <row r="24848">
          <cell r="E24848" t="str">
            <v>LUC-E00-400032-466</v>
          </cell>
          <cell r="F24848">
            <v>2092011191</v>
          </cell>
        </row>
        <row r="24849">
          <cell r="E24849" t="str">
            <v>LUC-E00-420054-01</v>
          </cell>
          <cell r="F24849">
            <v>2092011191</v>
          </cell>
        </row>
        <row r="24850">
          <cell r="E24850" t="str">
            <v>LUC-E00-420054-00</v>
          </cell>
          <cell r="F24850">
            <v>2092011191</v>
          </cell>
        </row>
        <row r="24851">
          <cell r="E24851" t="str">
            <v>LUC-E00-420057-00</v>
          </cell>
          <cell r="F24851">
            <v>2092011191</v>
          </cell>
        </row>
        <row r="24852">
          <cell r="E24852" t="str">
            <v>LUC-E00-420037-09</v>
          </cell>
          <cell r="F24852">
            <v>2092011191</v>
          </cell>
        </row>
        <row r="24853">
          <cell r="E24853" t="str">
            <v>LUC-E00-420002-10</v>
          </cell>
          <cell r="F24853">
            <v>2092011191</v>
          </cell>
        </row>
        <row r="24854">
          <cell r="E24854" t="str">
            <v>LUC-EZZ-420125-00</v>
          </cell>
          <cell r="F24854">
            <v>2092011191</v>
          </cell>
        </row>
        <row r="24855">
          <cell r="E24855" t="str">
            <v>LUC-E00-450060-00</v>
          </cell>
          <cell r="F24855">
            <v>2092011191</v>
          </cell>
        </row>
        <row r="24856">
          <cell r="E24856" t="str">
            <v>LUC-E00-510017-00</v>
          </cell>
          <cell r="F24856">
            <v>2092011191</v>
          </cell>
        </row>
        <row r="24857">
          <cell r="E24857" t="str">
            <v>LUC-E00-510082-00</v>
          </cell>
          <cell r="F24857">
            <v>2092011191</v>
          </cell>
        </row>
        <row r="24858">
          <cell r="E24858" t="str">
            <v>109-000192</v>
          </cell>
          <cell r="F24858">
            <v>2092011191</v>
          </cell>
        </row>
        <row r="24859">
          <cell r="E24859" t="str">
            <v>LUC-E00-510030-00</v>
          </cell>
          <cell r="F24859">
            <v>2092011191</v>
          </cell>
        </row>
        <row r="24860">
          <cell r="E24860" t="str">
            <v>LUC-EZZ-420089-00</v>
          </cell>
          <cell r="F24860">
            <v>2092011191</v>
          </cell>
        </row>
        <row r="24861">
          <cell r="E24861" t="str">
            <v>LUC-EZZ-470431-00</v>
          </cell>
          <cell r="F24861">
            <v>2092011191</v>
          </cell>
        </row>
        <row r="24862">
          <cell r="E24862" t="str">
            <v>LUC-E00-450036-00</v>
          </cell>
          <cell r="F24862">
            <v>2092011191</v>
          </cell>
        </row>
        <row r="24863">
          <cell r="E24863" t="str">
            <v>LUC-E00-420027-03</v>
          </cell>
          <cell r="F24863">
            <v>2092011191</v>
          </cell>
        </row>
        <row r="24864">
          <cell r="E24864" t="str">
            <v>LUC-E00-510031-00</v>
          </cell>
          <cell r="F24864">
            <v>2092011191</v>
          </cell>
        </row>
        <row r="24865">
          <cell r="E24865" t="str">
            <v>LUC-E00-510041-00</v>
          </cell>
          <cell r="F24865">
            <v>2092011191</v>
          </cell>
        </row>
        <row r="24866">
          <cell r="E24866" t="str">
            <v>LUC-E00-420037-00</v>
          </cell>
          <cell r="F24866">
            <v>2092011191</v>
          </cell>
        </row>
        <row r="24867">
          <cell r="E24867" t="str">
            <v>LUC-E00-460001-01</v>
          </cell>
          <cell r="F24867">
            <v>2092011191</v>
          </cell>
        </row>
        <row r="24868">
          <cell r="E24868" t="str">
            <v>LUC-E00-450060-00</v>
          </cell>
          <cell r="F24868">
            <v>2092011191</v>
          </cell>
        </row>
        <row r="24869">
          <cell r="E24869" t="str">
            <v>LUC-E00-460023-00</v>
          </cell>
          <cell r="F24869">
            <v>2092011191</v>
          </cell>
        </row>
        <row r="24870">
          <cell r="E24870" t="str">
            <v>LUC-E00-420019-00</v>
          </cell>
          <cell r="F24870">
            <v>2092011191</v>
          </cell>
        </row>
        <row r="24871">
          <cell r="E24871" t="str">
            <v>LUC-E00-470089-00</v>
          </cell>
          <cell r="F24871">
            <v>2092011191</v>
          </cell>
        </row>
        <row r="24872">
          <cell r="E24872" t="str">
            <v>LUC-E00-460001-01</v>
          </cell>
          <cell r="F24872">
            <v>2092011191</v>
          </cell>
        </row>
        <row r="24873">
          <cell r="E24873" t="str">
            <v>LUC-E00-420037-00</v>
          </cell>
          <cell r="F24873">
            <v>2092011191</v>
          </cell>
        </row>
        <row r="24874">
          <cell r="E24874" t="str">
            <v>PURET-24-0008-00</v>
          </cell>
          <cell r="F24874">
            <v>2092011191</v>
          </cell>
        </row>
        <row r="24875">
          <cell r="E24875" t="str">
            <v>LUC-E00-420027-04</v>
          </cell>
          <cell r="F24875">
            <v>2092011191</v>
          </cell>
        </row>
        <row r="24876">
          <cell r="E24876" t="str">
            <v>LUC-E00-470004-00</v>
          </cell>
          <cell r="F24876">
            <v>2092011191</v>
          </cell>
        </row>
        <row r="24877">
          <cell r="E24877" t="str">
            <v>LUC-E00-450041-00</v>
          </cell>
          <cell r="F24877">
            <v>2092011191</v>
          </cell>
        </row>
        <row r="24878">
          <cell r="E24878" t="str">
            <v>LUC-E00-450041-00</v>
          </cell>
          <cell r="F24878">
            <v>2092011191</v>
          </cell>
        </row>
        <row r="24879">
          <cell r="E24879" t="str">
            <v>LUC-E00-450046-00</v>
          </cell>
          <cell r="F24879">
            <v>2092011191</v>
          </cell>
        </row>
        <row r="24880">
          <cell r="E24880" t="str">
            <v>LUC-E00-470330-00</v>
          </cell>
          <cell r="F24880">
            <v>2092011191</v>
          </cell>
        </row>
        <row r="24881">
          <cell r="E24881" t="str">
            <v>LUC-E00-470048-00</v>
          </cell>
          <cell r="F24881">
            <v>2092011191</v>
          </cell>
        </row>
        <row r="24882">
          <cell r="E24882" t="str">
            <v>PURET-24-0008-00</v>
          </cell>
          <cell r="F24882">
            <v>2092011191</v>
          </cell>
        </row>
        <row r="24883">
          <cell r="E24883" t="str">
            <v>LUC-E00-450028-00</v>
          </cell>
          <cell r="F24883">
            <v>2092011191</v>
          </cell>
        </row>
        <row r="24884">
          <cell r="E24884" t="str">
            <v>LUC-E00-450028-00</v>
          </cell>
          <cell r="F24884">
            <v>2092011191</v>
          </cell>
        </row>
        <row r="24885">
          <cell r="E24885" t="str">
            <v>LUC-EZZ-400594-00</v>
          </cell>
          <cell r="F24885">
            <v>2092011191</v>
          </cell>
        </row>
        <row r="24886">
          <cell r="E24886" t="str">
            <v>LUC-EZZ-400606-00</v>
          </cell>
          <cell r="F24886">
            <v>2092011191</v>
          </cell>
        </row>
        <row r="24887">
          <cell r="E24887" t="str">
            <v>LUC-EZZ-420281-00</v>
          </cell>
          <cell r="F24887">
            <v>2092011191</v>
          </cell>
        </row>
        <row r="24888">
          <cell r="E24888" t="str">
            <v>LUC-E00-420058-00</v>
          </cell>
          <cell r="F24888">
            <v>2092011191</v>
          </cell>
        </row>
        <row r="24889">
          <cell r="E24889" t="str">
            <v>LUC-E00-400010-026</v>
          </cell>
          <cell r="F24889">
            <v>2092011191</v>
          </cell>
        </row>
        <row r="24890">
          <cell r="E24890" t="str">
            <v>LUC-E00-420054-05</v>
          </cell>
          <cell r="F24890">
            <v>2092011191</v>
          </cell>
        </row>
        <row r="24891">
          <cell r="E24891" t="str">
            <v>LUC-E00-420020-03</v>
          </cell>
          <cell r="F24891">
            <v>2092011191</v>
          </cell>
        </row>
        <row r="24892">
          <cell r="E24892" t="str">
            <v>LUC-E00-470082-00</v>
          </cell>
          <cell r="F24892">
            <v>2092011191</v>
          </cell>
        </row>
        <row r="24893">
          <cell r="E24893" t="str">
            <v>LUC-E00-450046-00</v>
          </cell>
          <cell r="F24893">
            <v>2092011191</v>
          </cell>
        </row>
        <row r="24894">
          <cell r="E24894" t="str">
            <v>LUC-E00-450043-00</v>
          </cell>
          <cell r="F24894">
            <v>2092011191</v>
          </cell>
        </row>
        <row r="24895">
          <cell r="E24895" t="str">
            <v>LUC-E00-450043-00</v>
          </cell>
          <cell r="F24895">
            <v>2092011191</v>
          </cell>
        </row>
        <row r="24896">
          <cell r="E24896" t="str">
            <v>LUC-E00-470301-00</v>
          </cell>
          <cell r="F24896">
            <v>2092011191</v>
          </cell>
        </row>
        <row r="24897">
          <cell r="E24897" t="str">
            <v>LUC-E00-470301-00</v>
          </cell>
          <cell r="F24897">
            <v>2092011191</v>
          </cell>
        </row>
        <row r="24898">
          <cell r="E24898" t="str">
            <v>LUC-EZZ-420121-00</v>
          </cell>
          <cell r="F24898">
            <v>2092011191</v>
          </cell>
        </row>
        <row r="24899">
          <cell r="E24899" t="str">
            <v>LUC-E00-400048-00</v>
          </cell>
          <cell r="F24899">
            <v>2092011191</v>
          </cell>
        </row>
        <row r="24900">
          <cell r="E24900" t="str">
            <v>LUC-E00-470123-00</v>
          </cell>
          <cell r="F24900">
            <v>2092011191</v>
          </cell>
        </row>
        <row r="24901">
          <cell r="E24901" t="str">
            <v>LUC-E00-470123-00</v>
          </cell>
          <cell r="F24901">
            <v>2092011191</v>
          </cell>
        </row>
        <row r="24902">
          <cell r="E24902" t="str">
            <v>LUC-E00-450056-00</v>
          </cell>
          <cell r="F24902">
            <v>2092011191</v>
          </cell>
        </row>
        <row r="24903">
          <cell r="E24903" t="str">
            <v>LUC-E00-450056-00</v>
          </cell>
          <cell r="F24903">
            <v>2092011191</v>
          </cell>
        </row>
        <row r="24904">
          <cell r="E24904" t="str">
            <v>LUC-EZZ-420398-00</v>
          </cell>
          <cell r="F24904">
            <v>2092011191</v>
          </cell>
        </row>
        <row r="24905">
          <cell r="E24905" t="str">
            <v>109-000192</v>
          </cell>
          <cell r="F24905">
            <v>2092011191</v>
          </cell>
        </row>
        <row r="24906">
          <cell r="E24906" t="str">
            <v>LUC-E00-470047-00</v>
          </cell>
          <cell r="F24906">
            <v>2092011191</v>
          </cell>
        </row>
        <row r="24907">
          <cell r="E24907" t="str">
            <v>LUC-EZZ-450476-00</v>
          </cell>
          <cell r="F24907">
            <v>2092011191</v>
          </cell>
        </row>
        <row r="24908">
          <cell r="E24908" t="str">
            <v>LUC-E00-400010-043</v>
          </cell>
          <cell r="F24908">
            <v>2092011191</v>
          </cell>
        </row>
        <row r="24909">
          <cell r="E24909" t="str">
            <v>LUC-E00-510014-00</v>
          </cell>
          <cell r="F24909">
            <v>2092011191</v>
          </cell>
        </row>
        <row r="24910">
          <cell r="E24910" t="str">
            <v>LUC-EZZ-440169-00</v>
          </cell>
          <cell r="F24910">
            <v>2092011191</v>
          </cell>
        </row>
        <row r="24911">
          <cell r="E24911" t="str">
            <v>LUC-E00-470033-00</v>
          </cell>
          <cell r="F24911">
            <v>2092011191</v>
          </cell>
        </row>
        <row r="24912">
          <cell r="E24912" t="str">
            <v>LUC-E00-400010-000</v>
          </cell>
          <cell r="F24912">
            <v>2092011191</v>
          </cell>
        </row>
        <row r="24913">
          <cell r="E24913" t="str">
            <v>LUC-E00-420019-00</v>
          </cell>
          <cell r="F24913">
            <v>2092011191</v>
          </cell>
        </row>
        <row r="24914">
          <cell r="E24914" t="str">
            <v>LUC-E00-420076-00</v>
          </cell>
          <cell r="F24914">
            <v>2092011191</v>
          </cell>
        </row>
        <row r="24915">
          <cell r="E24915" t="str">
            <v>LUC-E00-420076-00</v>
          </cell>
          <cell r="F24915">
            <v>2092011191</v>
          </cell>
        </row>
        <row r="24916">
          <cell r="E24916" t="str">
            <v>LUC-E00-450026-00</v>
          </cell>
          <cell r="F24916">
            <v>2092011191</v>
          </cell>
        </row>
        <row r="24917">
          <cell r="E24917" t="str">
            <v>LUC-E00-450028-00</v>
          </cell>
          <cell r="F24917">
            <v>2092011191</v>
          </cell>
        </row>
        <row r="24918">
          <cell r="E24918" t="str">
            <v>LUC-E00-450028-00</v>
          </cell>
          <cell r="F24918">
            <v>2092011191</v>
          </cell>
        </row>
        <row r="24919">
          <cell r="E24919" t="str">
            <v>LUC-E00-450028-00</v>
          </cell>
          <cell r="F24919">
            <v>2092011191</v>
          </cell>
        </row>
        <row r="24920">
          <cell r="E24920" t="str">
            <v>LUC-E00-450028-00</v>
          </cell>
          <cell r="F24920">
            <v>2092011191</v>
          </cell>
        </row>
        <row r="24921">
          <cell r="E24921" t="str">
            <v>LUC-E00-420019-00</v>
          </cell>
          <cell r="F24921">
            <v>2092011191</v>
          </cell>
        </row>
        <row r="24922">
          <cell r="E24922" t="str">
            <v>LUC-E00-420037-09</v>
          </cell>
          <cell r="F24922">
            <v>2092011191</v>
          </cell>
        </row>
        <row r="24923">
          <cell r="E24923" t="str">
            <v>LUC-E00-420002-10</v>
          </cell>
          <cell r="F24923">
            <v>2092011191</v>
          </cell>
        </row>
        <row r="24924">
          <cell r="E24924" t="str">
            <v>LUC-E00-420002-10</v>
          </cell>
          <cell r="F24924">
            <v>2092011191</v>
          </cell>
        </row>
        <row r="24925">
          <cell r="E24925" t="str">
            <v>LUC-E00-420037-09</v>
          </cell>
          <cell r="F24925">
            <v>2092011191</v>
          </cell>
        </row>
        <row r="24926">
          <cell r="E24926" t="str">
            <v>LUC-E00-420019-00</v>
          </cell>
          <cell r="F24926">
            <v>2092011191</v>
          </cell>
        </row>
        <row r="24927">
          <cell r="E24927" t="str">
            <v>LUC-E00-440028-00</v>
          </cell>
          <cell r="F24927">
            <v>2092011191</v>
          </cell>
        </row>
        <row r="24928">
          <cell r="E24928" t="str">
            <v>LUC-E00-440028-00</v>
          </cell>
          <cell r="F24928">
            <v>2092011191</v>
          </cell>
        </row>
        <row r="24929">
          <cell r="E24929" t="str">
            <v>LUC-E00-450028-00</v>
          </cell>
          <cell r="F24929">
            <v>2092011191</v>
          </cell>
        </row>
        <row r="24930">
          <cell r="E24930" t="str">
            <v>LUC-E00-510014-00</v>
          </cell>
          <cell r="F24930">
            <v>2092011191</v>
          </cell>
        </row>
        <row r="24931">
          <cell r="E24931" t="str">
            <v>LUC-E00-460023-00</v>
          </cell>
          <cell r="F24931">
            <v>2092011191</v>
          </cell>
        </row>
        <row r="24932">
          <cell r="E24932" t="str">
            <v>LUC-EZZ-510058-00</v>
          </cell>
          <cell r="F24932">
            <v>2092011191</v>
          </cell>
        </row>
        <row r="24933">
          <cell r="E24933" t="str">
            <v>LUC-EZZ-510085-00</v>
          </cell>
          <cell r="F24933">
            <v>2092011191</v>
          </cell>
        </row>
        <row r="24934">
          <cell r="E24934" t="str">
            <v>LUC-E00-470123-00</v>
          </cell>
          <cell r="F24934">
            <v>2092011191</v>
          </cell>
        </row>
        <row r="24935">
          <cell r="E24935" t="str">
            <v>LUC-E00-470123-00</v>
          </cell>
          <cell r="F24935">
            <v>2092011191</v>
          </cell>
        </row>
        <row r="24936">
          <cell r="E24936" t="str">
            <v>LUC-E00-470123-00</v>
          </cell>
          <cell r="F24936">
            <v>2092011191</v>
          </cell>
        </row>
        <row r="24937">
          <cell r="E24937" t="str">
            <v>LUC-E00-440097-00</v>
          </cell>
          <cell r="F24937">
            <v>2092011191</v>
          </cell>
        </row>
        <row r="24938">
          <cell r="E24938" t="str">
            <v>LUC-E00-400010-007</v>
          </cell>
          <cell r="F24938">
            <v>2092011191</v>
          </cell>
        </row>
        <row r="24939">
          <cell r="E24939" t="str">
            <v>LUC-E00-450046-00</v>
          </cell>
          <cell r="F24939">
            <v>2092011191</v>
          </cell>
        </row>
        <row r="24940">
          <cell r="E24940" t="str">
            <v>LUC-EZZ-420136-00</v>
          </cell>
          <cell r="F24940">
            <v>2092011191</v>
          </cell>
        </row>
        <row r="24941">
          <cell r="E24941" t="str">
            <v>LUC-EZZ-420136-00</v>
          </cell>
          <cell r="F24941">
            <v>2092011191</v>
          </cell>
        </row>
        <row r="24942">
          <cell r="E24942" t="str">
            <v>LUC-EZZ-420136-00</v>
          </cell>
          <cell r="F24942">
            <v>2092011191</v>
          </cell>
        </row>
        <row r="24943">
          <cell r="E24943" t="str">
            <v>LUC-E00-460008-00</v>
          </cell>
          <cell r="F24943">
            <v>2092011191</v>
          </cell>
        </row>
        <row r="24944">
          <cell r="E24944" t="str">
            <v>LUC-E00-420057-00</v>
          </cell>
          <cell r="F24944">
            <v>2092011191</v>
          </cell>
        </row>
        <row r="24945">
          <cell r="E24945" t="str">
            <v>LUC-E00-420054-01</v>
          </cell>
          <cell r="F24945">
            <v>2092011191</v>
          </cell>
        </row>
        <row r="24946">
          <cell r="E24946" t="str">
            <v>LUC-E00-420054-04</v>
          </cell>
          <cell r="F24946">
            <v>2092011191</v>
          </cell>
        </row>
        <row r="24947">
          <cell r="E24947" t="str">
            <v>LUC-E00-420054-04</v>
          </cell>
          <cell r="F24947">
            <v>2092011191</v>
          </cell>
        </row>
        <row r="24948">
          <cell r="E24948" t="str">
            <v>LUC-E00-470047-00</v>
          </cell>
          <cell r="F24948">
            <v>2092011191</v>
          </cell>
        </row>
        <row r="24949">
          <cell r="E24949" t="str">
            <v>LUC-E00-460015-00</v>
          </cell>
          <cell r="F24949">
            <v>2092011191</v>
          </cell>
        </row>
        <row r="24950">
          <cell r="E24950" t="str">
            <v>PUR-24-0028-00</v>
          </cell>
          <cell r="F24950">
            <v>2092011191</v>
          </cell>
        </row>
        <row r="24951">
          <cell r="E24951" t="str">
            <v>EF-45043246.X.X</v>
          </cell>
          <cell r="F24951">
            <v>484705410007</v>
          </cell>
        </row>
        <row r="24952">
          <cell r="E24952" t="str">
            <v>LUC-P11-J81300-01</v>
          </cell>
          <cell r="F24952" t="str">
            <v>LSHHPH2501482A</v>
          </cell>
        </row>
        <row r="24953">
          <cell r="E24953" t="str">
            <v>LUC-P11-J80300-00</v>
          </cell>
          <cell r="F24953" t="str">
            <v>LSHHPH2501482A</v>
          </cell>
        </row>
        <row r="24954">
          <cell r="E24954" t="str">
            <v>LUC-P11-J80300-00</v>
          </cell>
          <cell r="F24954" t="str">
            <v>LSHHPH2501482A</v>
          </cell>
        </row>
        <row r="24955">
          <cell r="E24955" t="str">
            <v>LUC-P11-J80200-00</v>
          </cell>
          <cell r="F24955" t="str">
            <v>LSHHPH2501482A</v>
          </cell>
        </row>
        <row r="24956">
          <cell r="E24956" t="str">
            <v>LUC-P11-J80200-00</v>
          </cell>
          <cell r="F24956" t="str">
            <v>LSHHPH2501482A</v>
          </cell>
        </row>
        <row r="24957">
          <cell r="E24957" t="str">
            <v>LUC-P11-J81500-01</v>
          </cell>
          <cell r="F24957" t="str">
            <v>LSHHPH2501482A</v>
          </cell>
        </row>
        <row r="24958">
          <cell r="E24958" t="str">
            <v>LUC-E00-440140-01</v>
          </cell>
          <cell r="F24958">
            <v>395177392858</v>
          </cell>
        </row>
        <row r="24959">
          <cell r="E24959" t="str">
            <v>LUC-P11-K41700-00</v>
          </cell>
          <cell r="F24959">
            <v>7711200206</v>
          </cell>
        </row>
        <row r="24960">
          <cell r="E24960" t="str">
            <v>EF-45046853</v>
          </cell>
          <cell r="F24960">
            <v>7711200206</v>
          </cell>
        </row>
        <row r="24961">
          <cell r="E24961" t="str">
            <v>LUC-EZZ-441374-00</v>
          </cell>
          <cell r="F24961">
            <v>7711200206</v>
          </cell>
        </row>
        <row r="24962">
          <cell r="E24962" t="str">
            <v>LUC-EZZ-421298-00</v>
          </cell>
          <cell r="F24962">
            <v>7711200206</v>
          </cell>
        </row>
        <row r="24963">
          <cell r="E24963" t="str">
            <v>EF-45111698</v>
          </cell>
          <cell r="F24963">
            <v>395242969751</v>
          </cell>
        </row>
        <row r="24964">
          <cell r="E24964" t="str">
            <v>LUC-E00-470039-00</v>
          </cell>
          <cell r="F24964">
            <v>395242969751</v>
          </cell>
        </row>
        <row r="24965">
          <cell r="E24965" t="str">
            <v>LUC-EZZ-471743-00</v>
          </cell>
          <cell r="F24965">
            <v>395242969751</v>
          </cell>
        </row>
        <row r="24966">
          <cell r="E24966" t="str">
            <v>EF-45112813.X.X</v>
          </cell>
          <cell r="F24966">
            <v>395242969751</v>
          </cell>
        </row>
        <row r="24967">
          <cell r="E24967" t="str">
            <v>AIC-MP-00007060-000</v>
          </cell>
          <cell r="F24967">
            <v>395242969751</v>
          </cell>
        </row>
        <row r="24968">
          <cell r="E24968" t="str">
            <v>PUR-03-0096-02</v>
          </cell>
          <cell r="F24968" t="str">
            <v>8XN0257</v>
          </cell>
        </row>
        <row r="24969">
          <cell r="E24969" t="str">
            <v>HLOB-03-0113-00</v>
          </cell>
          <cell r="F24969" t="str">
            <v>8XN0259</v>
          </cell>
        </row>
        <row r="24970">
          <cell r="E24970" t="str">
            <v>LUC-EZZ-400717-00</v>
          </cell>
          <cell r="F24970">
            <v>489050982862</v>
          </cell>
        </row>
        <row r="24971">
          <cell r="E24971" t="str">
            <v>LUC-E00-460007-00</v>
          </cell>
          <cell r="F24971">
            <v>489050982862</v>
          </cell>
        </row>
        <row r="24972">
          <cell r="E24972" t="str">
            <v>LUC-EZZ-400542-00</v>
          </cell>
          <cell r="F24972">
            <v>489050982862</v>
          </cell>
        </row>
        <row r="24973">
          <cell r="E24973" t="str">
            <v>LUC-EZZ-440127-00</v>
          </cell>
          <cell r="F24973">
            <v>489050982862</v>
          </cell>
        </row>
        <row r="24974">
          <cell r="E24974" t="str">
            <v>LUC-E00-420027-05</v>
          </cell>
          <cell r="F24974">
            <v>489050982862</v>
          </cell>
        </row>
        <row r="24975">
          <cell r="E24975" t="str">
            <v>LUC-E00-400010-026</v>
          </cell>
          <cell r="F24975">
            <v>489050982862</v>
          </cell>
        </row>
        <row r="24976">
          <cell r="E24976" t="str">
            <v>LUC-EZZ-440204-00</v>
          </cell>
          <cell r="F24976">
            <v>489050982862</v>
          </cell>
        </row>
        <row r="24977">
          <cell r="E24977" t="str">
            <v>LUC-E00-400010-026</v>
          </cell>
          <cell r="F24977">
            <v>489050982862</v>
          </cell>
        </row>
        <row r="24978">
          <cell r="E24978" t="str">
            <v>LUC-EZZ-440127-00</v>
          </cell>
          <cell r="F24978">
            <v>489050982862</v>
          </cell>
        </row>
        <row r="24979">
          <cell r="E24979" t="str">
            <v>LUC-EZZ-400248-00</v>
          </cell>
          <cell r="F24979">
            <v>489050982862</v>
          </cell>
        </row>
        <row r="24980">
          <cell r="E24980" t="str">
            <v>LUC-EZZ-440127-00</v>
          </cell>
          <cell r="F24980">
            <v>489050982862</v>
          </cell>
        </row>
        <row r="24981">
          <cell r="E24981" t="str">
            <v>LUC-EZZ-440127-00</v>
          </cell>
          <cell r="F24981">
            <v>489050982862</v>
          </cell>
        </row>
        <row r="24982">
          <cell r="E24982" t="str">
            <v>AIC-MP-00007025-000</v>
          </cell>
          <cell r="F24982">
            <v>395241607884</v>
          </cell>
        </row>
        <row r="24983">
          <cell r="E24983" t="str">
            <v>PUR-11-0137-04</v>
          </cell>
          <cell r="F24983">
            <v>886034214247</v>
          </cell>
        </row>
        <row r="24984">
          <cell r="E24984" t="str">
            <v>PUR-11-0136-03</v>
          </cell>
          <cell r="F24984">
            <v>886034214247</v>
          </cell>
        </row>
        <row r="24985">
          <cell r="E24985" t="str">
            <v>PUR-11-0137-04</v>
          </cell>
          <cell r="F24985">
            <v>886034214247</v>
          </cell>
        </row>
        <row r="24986">
          <cell r="E24986" t="str">
            <v>PUR-11-0136-03</v>
          </cell>
          <cell r="F24986">
            <v>886034214247</v>
          </cell>
        </row>
        <row r="24987">
          <cell r="E24987" t="str">
            <v>HLOB-03-0113-00</v>
          </cell>
          <cell r="F24987" t="str">
            <v>8XN0274</v>
          </cell>
        </row>
        <row r="24988">
          <cell r="E24988" t="str">
            <v>PUR-03-0096-02</v>
          </cell>
          <cell r="F24988" t="str">
            <v>8XN0268</v>
          </cell>
        </row>
        <row r="24989">
          <cell r="E24989" t="str">
            <v>HLOB-03-0113-00</v>
          </cell>
          <cell r="F24989" t="str">
            <v>8XN0266</v>
          </cell>
        </row>
        <row r="24990">
          <cell r="E24990" t="str">
            <v>HLOB-03-0113-00</v>
          </cell>
          <cell r="F24990" t="str">
            <v>8XN0267</v>
          </cell>
        </row>
        <row r="24991">
          <cell r="E24991" t="str">
            <v>HLOB-03-0113-00</v>
          </cell>
          <cell r="F24991" t="str">
            <v>8XN0258</v>
          </cell>
        </row>
        <row r="24992">
          <cell r="E24992" t="str">
            <v>HLOB-03-0113-00</v>
          </cell>
          <cell r="F24992" t="str">
            <v>8XN0263</v>
          </cell>
        </row>
        <row r="24993">
          <cell r="E24993" t="str">
            <v>LUC-EZZ-490050-03</v>
          </cell>
          <cell r="F24993">
            <v>2948006106</v>
          </cell>
        </row>
        <row r="24994">
          <cell r="E24994" t="str">
            <v>PUR-18-0580-00</v>
          </cell>
          <cell r="F24994">
            <v>885996640035</v>
          </cell>
        </row>
        <row r="24995">
          <cell r="E24995" t="str">
            <v>HLOB-18-0668-00</v>
          </cell>
          <cell r="F24995">
            <v>885996640035</v>
          </cell>
        </row>
        <row r="24996">
          <cell r="E24996" t="str">
            <v>HLOB-33-0029-00</v>
          </cell>
          <cell r="F24996">
            <v>885996640035</v>
          </cell>
        </row>
        <row r="24997">
          <cell r="E24997" t="str">
            <v>HLOB-03-0113-00</v>
          </cell>
          <cell r="F24997" t="str">
            <v>8XN0275</v>
          </cell>
        </row>
        <row r="24998">
          <cell r="E24998" t="str">
            <v>HLOB-03-0113-00</v>
          </cell>
          <cell r="F24998" t="str">
            <v>8XN0262</v>
          </cell>
        </row>
        <row r="24999">
          <cell r="E24999" t="str">
            <v>HLOB-03-0113-00</v>
          </cell>
          <cell r="F24999" t="str">
            <v>8XN0273</v>
          </cell>
        </row>
        <row r="25000">
          <cell r="E25000" t="str">
            <v>HLOB-03-0113-00</v>
          </cell>
          <cell r="F25000" t="str">
            <v>8XN0280</v>
          </cell>
        </row>
        <row r="25001">
          <cell r="E25001" t="str">
            <v>HLOB-03-0113-00</v>
          </cell>
          <cell r="F25001" t="str">
            <v>8XN0265</v>
          </cell>
        </row>
        <row r="25002">
          <cell r="E25002" t="str">
            <v>HLOB-03-0113-00</v>
          </cell>
          <cell r="F25002" t="str">
            <v>8XN0264</v>
          </cell>
        </row>
        <row r="25003">
          <cell r="E25003" t="str">
            <v>HLOB-03-0113-00</v>
          </cell>
          <cell r="F25003" t="str">
            <v>8XN0260</v>
          </cell>
        </row>
        <row r="25004">
          <cell r="E25004" t="str">
            <v>HLOB-03-0113-00</v>
          </cell>
          <cell r="F25004" t="str">
            <v>8XN0261</v>
          </cell>
        </row>
        <row r="25005">
          <cell r="E25005" t="str">
            <v>LUC-E00-480001-00</v>
          </cell>
          <cell r="F25005">
            <v>490259552041</v>
          </cell>
        </row>
        <row r="25006">
          <cell r="E25006" t="str">
            <v>HLOB-13-0263-00</v>
          </cell>
          <cell r="F25006">
            <v>490259552041</v>
          </cell>
        </row>
        <row r="25007">
          <cell r="E25007" t="str">
            <v>HLOB-24-0036-00</v>
          </cell>
          <cell r="F25007">
            <v>490259552041</v>
          </cell>
        </row>
        <row r="25008">
          <cell r="E25008" t="str">
            <v>HLOB-13-0236-00</v>
          </cell>
          <cell r="F25008">
            <v>4915001341</v>
          </cell>
        </row>
        <row r="25009">
          <cell r="E25009" t="str">
            <v>PUR-13-0236-00</v>
          </cell>
          <cell r="F25009">
            <v>4915001341</v>
          </cell>
        </row>
        <row r="25010">
          <cell r="E25010" t="str">
            <v>PUR-13-0236-00</v>
          </cell>
          <cell r="F25010">
            <v>4915001341</v>
          </cell>
        </row>
        <row r="25011">
          <cell r="E25011" t="str">
            <v>PUR-13-0236-00</v>
          </cell>
          <cell r="F25011">
            <v>4915001341</v>
          </cell>
        </row>
        <row r="25012">
          <cell r="E25012" t="str">
            <v>LUC-EZZ-690241-00</v>
          </cell>
          <cell r="F25012">
            <v>4110330972</v>
          </cell>
        </row>
        <row r="25013">
          <cell r="E25013" t="str">
            <v>LUC-EZZ-690241-00</v>
          </cell>
          <cell r="F25013">
            <v>4110330973</v>
          </cell>
        </row>
        <row r="25014">
          <cell r="E25014" t="str">
            <v>LUC-E00-690001-00</v>
          </cell>
          <cell r="F25014">
            <v>4110331010</v>
          </cell>
        </row>
        <row r="25015">
          <cell r="E25015" t="str">
            <v>LUC-EZZ-690241-00</v>
          </cell>
          <cell r="F25015">
            <v>4110331011</v>
          </cell>
        </row>
        <row r="25016">
          <cell r="E25016" t="str">
            <v>LUC-EZZ-690708-00</v>
          </cell>
          <cell r="F25016">
            <v>4110331012</v>
          </cell>
        </row>
        <row r="25017">
          <cell r="E25017" t="str">
            <v>LUC-E00-510043-00</v>
          </cell>
          <cell r="F25017">
            <v>395247374789</v>
          </cell>
        </row>
        <row r="25018">
          <cell r="E25018" t="str">
            <v>LUC-EZZ-490315-02</v>
          </cell>
          <cell r="F25018">
            <v>1516923</v>
          </cell>
        </row>
        <row r="25019">
          <cell r="E25019" t="str">
            <v>LUC-EZZ-490317-04</v>
          </cell>
          <cell r="F25019">
            <v>1516923</v>
          </cell>
        </row>
        <row r="25020">
          <cell r="E25020" t="str">
            <v>LUC-EZZ-490231-05</v>
          </cell>
          <cell r="F25020">
            <v>1516923</v>
          </cell>
        </row>
        <row r="25021">
          <cell r="E25021" t="str">
            <v>LUC-EZZ-490317-04</v>
          </cell>
          <cell r="F25021">
            <v>1516923</v>
          </cell>
        </row>
        <row r="25022">
          <cell r="E25022" t="str">
            <v>LUC-EZZ-490315-02</v>
          </cell>
          <cell r="F25022">
            <v>1516923</v>
          </cell>
        </row>
        <row r="25023">
          <cell r="E25023" t="str">
            <v>LUC-EZZ-490315-02</v>
          </cell>
          <cell r="F25023">
            <v>1516923</v>
          </cell>
        </row>
        <row r="25024">
          <cell r="E25024" t="str">
            <v>LUC-EZZ-490259-00</v>
          </cell>
          <cell r="F25024">
            <v>1516923</v>
          </cell>
        </row>
        <row r="25025">
          <cell r="E25025" t="str">
            <v>LUC-EZZ-490259-00</v>
          </cell>
          <cell r="F25025">
            <v>1516923</v>
          </cell>
        </row>
        <row r="25026">
          <cell r="E25026" t="str">
            <v>LUC-EZZ-490535-00</v>
          </cell>
          <cell r="F25026">
            <v>1516923</v>
          </cell>
        </row>
        <row r="25027">
          <cell r="E25027" t="str">
            <v>LUC-EZZ-490307-01</v>
          </cell>
          <cell r="F25027">
            <v>1516923</v>
          </cell>
        </row>
        <row r="25028">
          <cell r="E25028" t="str">
            <v>LUC-EZZ-490050-03</v>
          </cell>
          <cell r="F25028">
            <v>1516923</v>
          </cell>
        </row>
        <row r="25029">
          <cell r="E25029" t="str">
            <v>LUC-EZZ-490310-04</v>
          </cell>
          <cell r="F25029">
            <v>1516923</v>
          </cell>
        </row>
        <row r="25030">
          <cell r="E25030" t="str">
            <v>LUC-EZZ-490310-04</v>
          </cell>
          <cell r="F25030">
            <v>1516923</v>
          </cell>
        </row>
        <row r="25031">
          <cell r="E25031" t="str">
            <v>LUC-EZZ-490304-04</v>
          </cell>
          <cell r="F25031">
            <v>1516923</v>
          </cell>
        </row>
        <row r="25032">
          <cell r="E25032" t="str">
            <v>LUC-EZZ-490305-05</v>
          </cell>
          <cell r="F25032">
            <v>1516923</v>
          </cell>
        </row>
        <row r="25033">
          <cell r="E25033" t="str">
            <v>LUC-EZZ-490230-05</v>
          </cell>
          <cell r="F25033">
            <v>1516923</v>
          </cell>
        </row>
        <row r="25034">
          <cell r="E25034" t="str">
            <v>LUC-EZZ-490230-05</v>
          </cell>
          <cell r="F25034">
            <v>1516923</v>
          </cell>
        </row>
        <row r="25035">
          <cell r="E25035" t="str">
            <v>LUC-EZZ-490230-05</v>
          </cell>
          <cell r="F25035">
            <v>1516923</v>
          </cell>
        </row>
        <row r="25036">
          <cell r="E25036" t="str">
            <v>LUC-EZZ-490304-04</v>
          </cell>
          <cell r="F25036">
            <v>1516923</v>
          </cell>
        </row>
        <row r="25037">
          <cell r="E25037" t="str">
            <v>LUC-E00-470183-00</v>
          </cell>
          <cell r="F25037">
            <v>480820923372</v>
          </cell>
        </row>
        <row r="25038">
          <cell r="E25038" t="str">
            <v>LUC-E00-420028-00</v>
          </cell>
          <cell r="F25038">
            <v>886036756342</v>
          </cell>
        </row>
        <row r="25039">
          <cell r="E25039" t="str">
            <v>LUC-P11-K33N00-00</v>
          </cell>
          <cell r="F25039">
            <v>886040031088</v>
          </cell>
        </row>
        <row r="25040">
          <cell r="E25040" t="str">
            <v>LUC-P21-KA3100-00</v>
          </cell>
          <cell r="F25040">
            <v>886040031088</v>
          </cell>
        </row>
        <row r="25041">
          <cell r="E25041" t="str">
            <v>LUC-P21-KA3100-00</v>
          </cell>
          <cell r="F25041">
            <v>886040031088</v>
          </cell>
        </row>
        <row r="25042">
          <cell r="E25042" t="str">
            <v>EF-45133505</v>
          </cell>
          <cell r="F25042">
            <v>395285871729</v>
          </cell>
        </row>
        <row r="25043">
          <cell r="E25043" t="str">
            <v>HLOB-09-0294-00</v>
          </cell>
          <cell r="F25043">
            <v>395373502270</v>
          </cell>
        </row>
        <row r="25044">
          <cell r="E25044" t="str">
            <v>PUR-09-0294-00</v>
          </cell>
          <cell r="F25044">
            <v>395401768218</v>
          </cell>
        </row>
        <row r="25045">
          <cell r="E25045" t="str">
            <v>EF-45166123-9</v>
          </cell>
          <cell r="F25045">
            <v>461596534428</v>
          </cell>
        </row>
        <row r="25046">
          <cell r="E25046" t="str">
            <v>LUC-E00-400026-00</v>
          </cell>
          <cell r="F25046">
            <v>479730154992</v>
          </cell>
        </row>
        <row r="25047">
          <cell r="E25047" t="str">
            <v>LUC-EZZ-400231-00</v>
          </cell>
          <cell r="F25047">
            <v>479730156480</v>
          </cell>
        </row>
        <row r="25048">
          <cell r="E25048" t="str">
            <v>LUC-EZZ-690244-00</v>
          </cell>
          <cell r="F25048">
            <v>395089380281</v>
          </cell>
        </row>
        <row r="25049">
          <cell r="E25049" t="str">
            <v>LUC-E00-690010-03</v>
          </cell>
          <cell r="F25049">
            <v>395089380281</v>
          </cell>
        </row>
        <row r="25050">
          <cell r="E25050" t="str">
            <v>LUC-E00-690010-03</v>
          </cell>
          <cell r="F25050">
            <v>395089380281</v>
          </cell>
        </row>
        <row r="25051">
          <cell r="E25051" t="str">
            <v>LUC-E00-690010-03</v>
          </cell>
          <cell r="F25051">
            <v>395089380281</v>
          </cell>
        </row>
        <row r="25052">
          <cell r="E25052" t="str">
            <v>LUC-EZZ-510640-00</v>
          </cell>
          <cell r="F25052">
            <v>479730161023</v>
          </cell>
        </row>
        <row r="25053">
          <cell r="E25053" t="str">
            <v>LUC-EZZ-470433-00</v>
          </cell>
          <cell r="F25053">
            <v>479730162740</v>
          </cell>
        </row>
        <row r="25054">
          <cell r="E25054" t="str">
            <v>LUC-EZZ-470433-00</v>
          </cell>
          <cell r="F25054">
            <v>479730162800</v>
          </cell>
        </row>
        <row r="25055">
          <cell r="E25055" t="str">
            <v>PUR-09-0424-00</v>
          </cell>
          <cell r="F25055">
            <v>479730163460</v>
          </cell>
        </row>
        <row r="25056">
          <cell r="E25056" t="str">
            <v>PUR-09-0424-00</v>
          </cell>
          <cell r="F25056">
            <v>479730163574</v>
          </cell>
        </row>
        <row r="25057">
          <cell r="E25057" t="str">
            <v>PUR-09-0434-00</v>
          </cell>
          <cell r="F25057">
            <v>479730163530</v>
          </cell>
        </row>
        <row r="25058">
          <cell r="E25058" t="str">
            <v>HLOB-09-0477-00</v>
          </cell>
          <cell r="F25058">
            <v>479730163677</v>
          </cell>
        </row>
        <row r="25059">
          <cell r="E25059" t="str">
            <v>HLOB-09-0477-00</v>
          </cell>
          <cell r="F25059">
            <v>479730163677</v>
          </cell>
        </row>
        <row r="25060">
          <cell r="E25060" t="str">
            <v>HLOB-27-0017-00</v>
          </cell>
          <cell r="F25060">
            <v>479730164147</v>
          </cell>
        </row>
        <row r="25061">
          <cell r="E25061" t="str">
            <v>PUR-09-0424-00</v>
          </cell>
          <cell r="F25061">
            <v>479730163839</v>
          </cell>
        </row>
        <row r="25062">
          <cell r="E25062" t="str">
            <v>PUR-09-0424-00</v>
          </cell>
          <cell r="F25062">
            <v>479730163839</v>
          </cell>
        </row>
        <row r="25063">
          <cell r="E25063" t="str">
            <v>LUC-EZZ-400206-00</v>
          </cell>
          <cell r="F25063">
            <v>479730163611</v>
          </cell>
        </row>
        <row r="25064">
          <cell r="E25064" t="str">
            <v>PUR-09-0434-00</v>
          </cell>
          <cell r="F25064">
            <v>479730163920</v>
          </cell>
        </row>
        <row r="25065">
          <cell r="E25065" t="str">
            <v>LUC-E00-470028-00</v>
          </cell>
          <cell r="F25065">
            <v>479730164880</v>
          </cell>
        </row>
        <row r="25066">
          <cell r="E25066" t="str">
            <v>PUR-21-0036-00</v>
          </cell>
          <cell r="F25066">
            <v>479730166481</v>
          </cell>
        </row>
        <row r="25067">
          <cell r="E25067" t="str">
            <v>HLOB-09-0434-00</v>
          </cell>
          <cell r="F25067">
            <v>479730166530</v>
          </cell>
        </row>
        <row r="25068">
          <cell r="E25068" t="str">
            <v>PUR-09-0424-00</v>
          </cell>
          <cell r="F25068">
            <v>479730166595</v>
          </cell>
        </row>
        <row r="25069">
          <cell r="E25069" t="str">
            <v>PUR-09-0324-00</v>
          </cell>
          <cell r="F25069">
            <v>479730166610</v>
          </cell>
        </row>
        <row r="25070">
          <cell r="E25070" t="str">
            <v>LUC-E00-470021-00</v>
          </cell>
          <cell r="F25070">
            <v>479730166919</v>
          </cell>
        </row>
        <row r="25071">
          <cell r="E25071" t="str">
            <v>PUR-09-0346-00</v>
          </cell>
          <cell r="F25071">
            <v>479730167076</v>
          </cell>
        </row>
        <row r="25072">
          <cell r="E25072" t="str">
            <v>LUC-EZZ-470139-00</v>
          </cell>
          <cell r="F25072">
            <v>479730167396</v>
          </cell>
        </row>
        <row r="25073">
          <cell r="E25073" t="str">
            <v>PUR-09-0422-00</v>
          </cell>
          <cell r="F25073">
            <v>479730167433</v>
          </cell>
        </row>
        <row r="25074">
          <cell r="E25074" t="str">
            <v>PUR-09-0346-00</v>
          </cell>
          <cell r="F25074">
            <v>479730167444</v>
          </cell>
        </row>
        <row r="25075">
          <cell r="E25075" t="str">
            <v>PUR-09-0346-00</v>
          </cell>
          <cell r="F25075">
            <v>479730167731</v>
          </cell>
        </row>
        <row r="25076">
          <cell r="E25076" t="str">
            <v>LUC-EZZ-510640-00</v>
          </cell>
          <cell r="F25076">
            <v>490245020984</v>
          </cell>
        </row>
        <row r="25077">
          <cell r="E25077" t="str">
            <v>HLOB-09-0434-00</v>
          </cell>
          <cell r="F25077">
            <v>479730167742</v>
          </cell>
        </row>
        <row r="25078">
          <cell r="E25078" t="str">
            <v>LUC-EZZ-400409-00</v>
          </cell>
          <cell r="F25078">
            <v>707296248587</v>
          </cell>
        </row>
        <row r="25079">
          <cell r="E25079" t="str">
            <v>120-000257.X.X</v>
          </cell>
          <cell r="F25079">
            <v>719546663015</v>
          </cell>
        </row>
        <row r="25080">
          <cell r="E25080" t="str">
            <v>LUC-E00-400026-00</v>
          </cell>
          <cell r="F25080">
            <v>707296248602</v>
          </cell>
        </row>
        <row r="25081">
          <cell r="E25081" t="str">
            <v>123-000465</v>
          </cell>
          <cell r="F25081">
            <v>886004654271</v>
          </cell>
        </row>
        <row r="25082">
          <cell r="E25082" t="str">
            <v>123-000465</v>
          </cell>
          <cell r="F25082">
            <v>886004654271</v>
          </cell>
        </row>
        <row r="25083">
          <cell r="E25083" t="str">
            <v>123-000467</v>
          </cell>
          <cell r="F25083">
            <v>886004654271</v>
          </cell>
        </row>
        <row r="25084">
          <cell r="E25084" t="str">
            <v>LUC-EZZ-510007-00</v>
          </cell>
          <cell r="F25084">
            <v>886001310481</v>
          </cell>
        </row>
        <row r="25085">
          <cell r="E25085" t="str">
            <v>LUC-EZZ-510007-00</v>
          </cell>
          <cell r="F25085">
            <v>886001310481</v>
          </cell>
        </row>
        <row r="25086">
          <cell r="E25086" t="str">
            <v>EF-45079903.X.X</v>
          </cell>
          <cell r="F25086">
            <v>461244041659</v>
          </cell>
        </row>
        <row r="25087">
          <cell r="E25087" t="str">
            <v>LUC-E00-440045-00</v>
          </cell>
          <cell r="F25087">
            <v>395258798225</v>
          </cell>
        </row>
        <row r="25088">
          <cell r="E25088" t="str">
            <v>AIC-MP-IC007047-P01</v>
          </cell>
          <cell r="F25088">
            <v>886034206514</v>
          </cell>
        </row>
        <row r="25089">
          <cell r="E25089" t="str">
            <v>AIC-MP-00006917-000</v>
          </cell>
          <cell r="F25089">
            <v>886034206514</v>
          </cell>
        </row>
        <row r="25090">
          <cell r="E25090" t="str">
            <v>AIC-MP-IC007004-S01</v>
          </cell>
          <cell r="F25090">
            <v>886034206514</v>
          </cell>
        </row>
        <row r="25091">
          <cell r="E25091" t="str">
            <v>AIC-MP-IC007047-P01</v>
          </cell>
          <cell r="F25091">
            <v>886034206514</v>
          </cell>
        </row>
        <row r="25092">
          <cell r="E25092" t="str">
            <v>AIC-126-002379</v>
          </cell>
          <cell r="F25092">
            <v>886034206514</v>
          </cell>
        </row>
        <row r="25093">
          <cell r="E25093" t="str">
            <v>LUC-E00-470137-00</v>
          </cell>
          <cell r="F25093">
            <v>885929870150</v>
          </cell>
        </row>
        <row r="25094">
          <cell r="E25094" t="str">
            <v>LUC-E00-470137-00</v>
          </cell>
          <cell r="F25094">
            <v>885929870150</v>
          </cell>
        </row>
        <row r="25095">
          <cell r="E25095" t="str">
            <v>EF-45097272</v>
          </cell>
          <cell r="F25095">
            <v>395266309459</v>
          </cell>
        </row>
        <row r="25096">
          <cell r="E25096" t="str">
            <v>LUC-E00-470024-00</v>
          </cell>
          <cell r="F25096">
            <v>679865590207</v>
          </cell>
        </row>
        <row r="25097">
          <cell r="E25097" t="str">
            <v>LUC-E00-470024-00</v>
          </cell>
          <cell r="F25097">
            <v>679865590207</v>
          </cell>
        </row>
        <row r="25098">
          <cell r="E25098" t="str">
            <v>HLOB-09-0343-00</v>
          </cell>
          <cell r="F25098">
            <v>480820926783</v>
          </cell>
        </row>
        <row r="25099">
          <cell r="E25099" t="str">
            <v>LUC-E00-690029-00</v>
          </cell>
          <cell r="F25099">
            <v>886000206972</v>
          </cell>
        </row>
        <row r="25100">
          <cell r="E25100" t="str">
            <v>AIC-MP-00004206-000</v>
          </cell>
          <cell r="F25100">
            <v>885929211681</v>
          </cell>
        </row>
        <row r="25101">
          <cell r="E25101" t="str">
            <v>AIC-MP-00004206-000</v>
          </cell>
          <cell r="F25101">
            <v>885929211681</v>
          </cell>
        </row>
        <row r="25102">
          <cell r="E25102" t="str">
            <v>PUR-03-0111-00</v>
          </cell>
          <cell r="F25102">
            <v>489673748674</v>
          </cell>
        </row>
        <row r="25103">
          <cell r="E25103" t="str">
            <v>HLOB-12-0467-00</v>
          </cell>
          <cell r="F25103">
            <v>409298897420</v>
          </cell>
        </row>
        <row r="25104">
          <cell r="E25104" t="str">
            <v>LUC-EZZ-420159-00</v>
          </cell>
          <cell r="F25104">
            <v>409298897420</v>
          </cell>
        </row>
        <row r="25105">
          <cell r="E25105" t="str">
            <v>LUC-EZZ-420100-00</v>
          </cell>
          <cell r="F25105">
            <v>409298897420</v>
          </cell>
        </row>
        <row r="25106">
          <cell r="E25106" t="str">
            <v>LUC-EZZ-400426-00</v>
          </cell>
          <cell r="F25106">
            <v>409298897420</v>
          </cell>
        </row>
        <row r="25107">
          <cell r="E25107" t="str">
            <v>LUC-E00-420059-00</v>
          </cell>
          <cell r="F25107">
            <v>409298897420</v>
          </cell>
        </row>
        <row r="25108">
          <cell r="E25108" t="str">
            <v>LUC-EZZ-420100-00</v>
          </cell>
          <cell r="F25108">
            <v>409298897420</v>
          </cell>
        </row>
        <row r="25109">
          <cell r="E25109" t="str">
            <v>LUC-EZZ-400234-00</v>
          </cell>
          <cell r="F25109">
            <v>409298897420</v>
          </cell>
        </row>
        <row r="25110">
          <cell r="E25110" t="str">
            <v>LUC-EZZ-420330-00</v>
          </cell>
          <cell r="F25110">
            <v>409298897420</v>
          </cell>
        </row>
        <row r="25111">
          <cell r="E25111" t="str">
            <v>LUC-E00-420002-03</v>
          </cell>
          <cell r="F25111">
            <v>409298897420</v>
          </cell>
        </row>
        <row r="25112">
          <cell r="E25112" t="str">
            <v>LUC-EZZ-420058-00</v>
          </cell>
          <cell r="F25112">
            <v>409298897420</v>
          </cell>
        </row>
        <row r="25113">
          <cell r="E25113" t="str">
            <v>LUC-EZZ-420159-00</v>
          </cell>
          <cell r="F25113">
            <v>409298897420</v>
          </cell>
        </row>
        <row r="25114">
          <cell r="E25114" t="str">
            <v>LUC-EZZ-420084-00</v>
          </cell>
          <cell r="F25114">
            <v>409298897420</v>
          </cell>
        </row>
        <row r="25115">
          <cell r="E25115" t="str">
            <v>LUC-EZZ-420085-00</v>
          </cell>
          <cell r="F25115">
            <v>409298897420</v>
          </cell>
        </row>
        <row r="25116">
          <cell r="E25116" t="str">
            <v>LUC-EZZ-420100-00</v>
          </cell>
          <cell r="F25116">
            <v>409298897420</v>
          </cell>
        </row>
        <row r="25117">
          <cell r="E25117" t="str">
            <v>LUC-EZZ-420098-00</v>
          </cell>
          <cell r="F25117">
            <v>409298897420</v>
          </cell>
        </row>
        <row r="25118">
          <cell r="E25118" t="str">
            <v>LUC-E00-440144-00</v>
          </cell>
          <cell r="F25118">
            <v>409298897420</v>
          </cell>
        </row>
        <row r="25119">
          <cell r="E25119" t="str">
            <v>LUC-E00-420059-00</v>
          </cell>
          <cell r="F25119">
            <v>409298897420</v>
          </cell>
        </row>
        <row r="25120">
          <cell r="E25120" t="str">
            <v>LUC-E00-420016-00</v>
          </cell>
          <cell r="F25120">
            <v>409298897420</v>
          </cell>
        </row>
        <row r="25121">
          <cell r="E25121" t="str">
            <v>LUC-E00-420055-00</v>
          </cell>
          <cell r="F25121">
            <v>409298897420</v>
          </cell>
        </row>
        <row r="25122">
          <cell r="E25122" t="str">
            <v>LUC-E00-420033-00</v>
          </cell>
          <cell r="F25122">
            <v>409298897420</v>
          </cell>
        </row>
        <row r="25123">
          <cell r="E25123" t="str">
            <v>LUC-E00-400010-043</v>
          </cell>
          <cell r="F25123">
            <v>409298897420</v>
          </cell>
        </row>
        <row r="25124">
          <cell r="E25124" t="str">
            <v>LUC-E00-420059-00</v>
          </cell>
          <cell r="F25124">
            <v>409298897420</v>
          </cell>
        </row>
        <row r="25125">
          <cell r="E25125" t="str">
            <v>LUC-E00-420034-01</v>
          </cell>
          <cell r="F25125">
            <v>409298897420</v>
          </cell>
        </row>
        <row r="25126">
          <cell r="E25126" t="str">
            <v>LUC-E00-420033-00</v>
          </cell>
          <cell r="F25126">
            <v>409298897420</v>
          </cell>
        </row>
        <row r="25127">
          <cell r="E25127" t="str">
            <v>LUC-EZZ-420194-00</v>
          </cell>
          <cell r="F25127">
            <v>409298897420</v>
          </cell>
        </row>
        <row r="25128">
          <cell r="E25128" t="str">
            <v>LUC-EZZ-420330-00</v>
          </cell>
          <cell r="F25128">
            <v>409298897420</v>
          </cell>
        </row>
        <row r="25129">
          <cell r="E25129" t="str">
            <v>LUC-E00-440011-00</v>
          </cell>
          <cell r="F25129">
            <v>409298897420</v>
          </cell>
        </row>
        <row r="25130">
          <cell r="E25130" t="str">
            <v>LUC-EZZ-420143-00</v>
          </cell>
          <cell r="F25130">
            <v>409298897420</v>
          </cell>
        </row>
        <row r="25131">
          <cell r="E25131" t="str">
            <v>LUC-E00-470086-00</v>
          </cell>
          <cell r="F25131">
            <v>886038022922</v>
          </cell>
        </row>
        <row r="25132">
          <cell r="E25132" t="str">
            <v>HLOB-09-0477-00</v>
          </cell>
          <cell r="F25132">
            <v>886038022922</v>
          </cell>
        </row>
        <row r="25133">
          <cell r="E25133" t="str">
            <v>LUC-E00-470085-00</v>
          </cell>
          <cell r="F25133">
            <v>886038022922</v>
          </cell>
        </row>
        <row r="25134">
          <cell r="E25134" t="str">
            <v>HLOB-09-0477-00</v>
          </cell>
          <cell r="F25134">
            <v>886038022922</v>
          </cell>
        </row>
        <row r="25135">
          <cell r="E25135" t="str">
            <v>LUC-EZZ-420211-00</v>
          </cell>
          <cell r="F25135">
            <v>886038022922</v>
          </cell>
        </row>
        <row r="25136">
          <cell r="E25136" t="str">
            <v>LUC-EZZ-510030-00</v>
          </cell>
          <cell r="F25136">
            <v>886038022922</v>
          </cell>
        </row>
        <row r="25137">
          <cell r="E25137" t="str">
            <v>LUC-EZZ-510030-00</v>
          </cell>
          <cell r="F25137">
            <v>886038022922</v>
          </cell>
        </row>
        <row r="25138">
          <cell r="E25138" t="str">
            <v>LUC-E00-420011-04</v>
          </cell>
          <cell r="F25138">
            <v>886038022922</v>
          </cell>
        </row>
        <row r="25139">
          <cell r="E25139" t="str">
            <v>LUC-E00-420011-04</v>
          </cell>
          <cell r="F25139">
            <v>886038022922</v>
          </cell>
        </row>
        <row r="25140">
          <cell r="E25140" t="str">
            <v>LUC-E00-420011-04</v>
          </cell>
          <cell r="F25140">
            <v>886038022922</v>
          </cell>
        </row>
        <row r="25141">
          <cell r="E25141" t="str">
            <v>LUC-E00-400011-005</v>
          </cell>
          <cell r="F25141">
            <v>886038022922</v>
          </cell>
        </row>
        <row r="25142">
          <cell r="E25142" t="str">
            <v>LUC-E00-470043-00</v>
          </cell>
          <cell r="F25142">
            <v>395340327027</v>
          </cell>
        </row>
        <row r="25143">
          <cell r="E25143" t="str">
            <v>LUC-EZZ-470171-00</v>
          </cell>
          <cell r="F25143">
            <v>395340327027</v>
          </cell>
        </row>
        <row r="25144">
          <cell r="E25144" t="str">
            <v>LUC-E00-470043-00</v>
          </cell>
          <cell r="F25144">
            <v>395340327027</v>
          </cell>
        </row>
        <row r="25145">
          <cell r="E25145" t="str">
            <v>LUC-EZZ-470171-00</v>
          </cell>
          <cell r="F25145">
            <v>395340327027</v>
          </cell>
        </row>
        <row r="25146">
          <cell r="E25146" t="str">
            <v>LUC-E00-470083-00</v>
          </cell>
          <cell r="F25146">
            <v>395249591286</v>
          </cell>
        </row>
        <row r="25147">
          <cell r="E25147" t="str">
            <v>LUC-E00-470083-00</v>
          </cell>
          <cell r="F25147">
            <v>395249591286</v>
          </cell>
        </row>
        <row r="25148">
          <cell r="E25148" t="str">
            <v>LUC-E00-470083-00</v>
          </cell>
          <cell r="F25148">
            <v>395249591286</v>
          </cell>
        </row>
        <row r="25149">
          <cell r="E25149" t="str">
            <v>LUC-E00-470083-00</v>
          </cell>
          <cell r="F25149">
            <v>395249591286</v>
          </cell>
        </row>
        <row r="25150">
          <cell r="E25150" t="str">
            <v>LUC-E00-470001-00</v>
          </cell>
          <cell r="F25150">
            <v>395249591286</v>
          </cell>
        </row>
        <row r="25151">
          <cell r="E25151" t="str">
            <v>LUC-E00-470001-00</v>
          </cell>
          <cell r="F25151">
            <v>395249591286</v>
          </cell>
        </row>
        <row r="25152">
          <cell r="E25152" t="str">
            <v>LUC-E00-470001-00</v>
          </cell>
          <cell r="F25152">
            <v>395249591286</v>
          </cell>
        </row>
        <row r="25153">
          <cell r="E25153" t="str">
            <v>LUC-E00-470472-00</v>
          </cell>
          <cell r="F25153">
            <v>395249591286</v>
          </cell>
        </row>
        <row r="25154">
          <cell r="E25154" t="str">
            <v>LUC-E00-470472-00</v>
          </cell>
          <cell r="F25154">
            <v>395249591286</v>
          </cell>
        </row>
        <row r="25155">
          <cell r="E25155" t="str">
            <v>LUC-EZZ-470422-00</v>
          </cell>
          <cell r="F25155">
            <v>395249591286</v>
          </cell>
        </row>
        <row r="25156">
          <cell r="E25156" t="str">
            <v>LUC-E00-470079-00</v>
          </cell>
          <cell r="F25156">
            <v>395249591286</v>
          </cell>
        </row>
        <row r="25157">
          <cell r="E25157" t="str">
            <v>LUC-E00-470079-00</v>
          </cell>
          <cell r="F25157">
            <v>395249591286</v>
          </cell>
        </row>
        <row r="25158">
          <cell r="E25158" t="str">
            <v>LUC-E00-470079-00</v>
          </cell>
          <cell r="F25158">
            <v>395249591286</v>
          </cell>
        </row>
        <row r="25159">
          <cell r="E25159" t="str">
            <v>HLOB-09-0422-00</v>
          </cell>
          <cell r="F25159">
            <v>395249591286</v>
          </cell>
        </row>
        <row r="25160">
          <cell r="E25160" t="str">
            <v>HLOB-09-0422-00</v>
          </cell>
          <cell r="F25160">
            <v>395249591286</v>
          </cell>
        </row>
        <row r="25161">
          <cell r="E25161" t="str">
            <v>PUR-09-0346-00</v>
          </cell>
          <cell r="F25161">
            <v>479730167385</v>
          </cell>
        </row>
        <row r="25162">
          <cell r="E25162" t="str">
            <v>122-004493</v>
          </cell>
          <cell r="F25162">
            <v>489050966373</v>
          </cell>
        </row>
        <row r="25163">
          <cell r="E25163" t="str">
            <v>LUC-E00-510029-00-R</v>
          </cell>
          <cell r="F25163">
            <v>488870474310</v>
          </cell>
        </row>
        <row r="25164">
          <cell r="E25164" t="str">
            <v>124-002766</v>
          </cell>
          <cell r="F25164">
            <v>488870474310</v>
          </cell>
        </row>
        <row r="25165">
          <cell r="E25165" t="str">
            <v>183-001017</v>
          </cell>
          <cell r="F25165">
            <v>488870474310</v>
          </cell>
        </row>
        <row r="25166">
          <cell r="E25166" t="str">
            <v>174-001341</v>
          </cell>
          <cell r="F25166">
            <v>488870474310</v>
          </cell>
        </row>
        <row r="25167">
          <cell r="E25167" t="str">
            <v>LUC-EZZ-450037-00</v>
          </cell>
          <cell r="F25167">
            <v>488870474310</v>
          </cell>
        </row>
        <row r="25168">
          <cell r="E25168" t="str">
            <v>LUC-EZZ-450037-00</v>
          </cell>
          <cell r="F25168">
            <v>488870474310</v>
          </cell>
        </row>
        <row r="25169">
          <cell r="E25169" t="str">
            <v>LUC-E00-450029-00</v>
          </cell>
          <cell r="F25169">
            <v>488870474310</v>
          </cell>
        </row>
        <row r="25170">
          <cell r="E25170" t="str">
            <v>LUC-EZZ-400211-00</v>
          </cell>
          <cell r="F25170">
            <v>488870474310</v>
          </cell>
        </row>
        <row r="25171">
          <cell r="E25171" t="str">
            <v>EF-45236356</v>
          </cell>
          <cell r="F25171">
            <v>488870474310</v>
          </cell>
        </row>
        <row r="25172">
          <cell r="E25172" t="str">
            <v>LUC-EZZ-690138-02</v>
          </cell>
          <cell r="F25172">
            <v>482602717082</v>
          </cell>
        </row>
        <row r="25173">
          <cell r="E25173" t="str">
            <v>141-001584</v>
          </cell>
          <cell r="F25173">
            <v>886138312040</v>
          </cell>
        </row>
        <row r="25174">
          <cell r="E25174" t="str">
            <v>141-001538</v>
          </cell>
          <cell r="F25174">
            <v>886138312040</v>
          </cell>
        </row>
        <row r="25175">
          <cell r="E25175" t="str">
            <v>141-001583</v>
          </cell>
          <cell r="F25175">
            <v>886138312040</v>
          </cell>
        </row>
        <row r="25176">
          <cell r="E25176" t="str">
            <v>141-001583</v>
          </cell>
          <cell r="F25176">
            <v>886138312040</v>
          </cell>
        </row>
        <row r="25177">
          <cell r="E25177" t="str">
            <v>LUC-EZZ-450112-00</v>
          </cell>
          <cell r="F25177">
            <v>1811231505</v>
          </cell>
        </row>
        <row r="25178">
          <cell r="E25178" t="str">
            <v>LUC-EZZ-450112-00</v>
          </cell>
          <cell r="F25178">
            <v>1811231505</v>
          </cell>
        </row>
        <row r="25179">
          <cell r="E25179" t="str">
            <v>HLOB-05-0032-00</v>
          </cell>
          <cell r="F25179">
            <v>1811232312</v>
          </cell>
        </row>
        <row r="25180">
          <cell r="E25180" t="str">
            <v>LUC-EZZ-420536-00</v>
          </cell>
          <cell r="F25180">
            <v>886142181390</v>
          </cell>
        </row>
        <row r="25181">
          <cell r="E25181" t="str">
            <v>LUC-E00-400010-044</v>
          </cell>
          <cell r="F25181">
            <v>479730154889</v>
          </cell>
        </row>
        <row r="25182">
          <cell r="E25182" t="str">
            <v>EF-45116564.X.X</v>
          </cell>
          <cell r="F25182">
            <v>437723157684</v>
          </cell>
        </row>
        <row r="25183">
          <cell r="E25183" t="str">
            <v>122-000035.X.X</v>
          </cell>
          <cell r="F25183">
            <v>119209655522</v>
          </cell>
        </row>
        <row r="25184">
          <cell r="E25184" t="str">
            <v>LUC-P11-K41E00-01</v>
          </cell>
          <cell r="F25184">
            <v>119209655522</v>
          </cell>
        </row>
        <row r="25185">
          <cell r="E25185" t="str">
            <v>LUC-P11-K41F00-00</v>
          </cell>
          <cell r="F25185">
            <v>119209655522</v>
          </cell>
        </row>
        <row r="25186">
          <cell r="E25186" t="str">
            <v>AIC-121-006057</v>
          </cell>
          <cell r="F25186">
            <v>119209655522</v>
          </cell>
        </row>
        <row r="25187">
          <cell r="E25187" t="str">
            <v>PUR-09-0424-00</v>
          </cell>
          <cell r="F25187">
            <v>479730163450</v>
          </cell>
        </row>
        <row r="25188">
          <cell r="E25188" t="str">
            <v>LUC-EZZ-470248-02</v>
          </cell>
          <cell r="F25188">
            <v>479730170830</v>
          </cell>
        </row>
        <row r="25189">
          <cell r="E25189" t="str">
            <v>LUC-E00-440013-00</v>
          </cell>
          <cell r="F25189">
            <v>484361641386</v>
          </cell>
        </row>
        <row r="25190">
          <cell r="E25190" t="str">
            <v>LUC-E00-440013-01</v>
          </cell>
          <cell r="F25190">
            <v>484361641386</v>
          </cell>
        </row>
        <row r="25191">
          <cell r="E25191" t="str">
            <v>LUC-E00-440014-00</v>
          </cell>
          <cell r="F25191">
            <v>484361641386</v>
          </cell>
        </row>
        <row r="25192">
          <cell r="E25192" t="str">
            <v>LUC-E00-440048-00</v>
          </cell>
          <cell r="F25192">
            <v>484361641386</v>
          </cell>
        </row>
        <row r="25193">
          <cell r="E25193" t="str">
            <v>LUC-E00-440048-00</v>
          </cell>
          <cell r="F25193">
            <v>484361641386</v>
          </cell>
        </row>
        <row r="25194">
          <cell r="E25194" t="str">
            <v>LUC-E00-440072-01</v>
          </cell>
          <cell r="F25194">
            <v>484361641386</v>
          </cell>
        </row>
        <row r="25195">
          <cell r="E25195" t="str">
            <v>LUC-E00-440124-00</v>
          </cell>
          <cell r="F25195">
            <v>484361641386</v>
          </cell>
        </row>
        <row r="25196">
          <cell r="E25196" t="str">
            <v>LUC-EZZ-440018-00</v>
          </cell>
          <cell r="F25196">
            <v>484361641386</v>
          </cell>
        </row>
        <row r="25197">
          <cell r="E25197" t="str">
            <v>LUC-EZZ-440018-00</v>
          </cell>
          <cell r="F25197">
            <v>484361641386</v>
          </cell>
        </row>
        <row r="25198">
          <cell r="E25198" t="str">
            <v>LUC-EZZ-440028-00</v>
          </cell>
          <cell r="F25198">
            <v>484361641386</v>
          </cell>
        </row>
        <row r="25199">
          <cell r="E25199" t="str">
            <v>LUC-EZZ-440028-00</v>
          </cell>
          <cell r="F25199">
            <v>484361641386</v>
          </cell>
        </row>
        <row r="25200">
          <cell r="E25200" t="str">
            <v>LUC-EZZ-440028-00</v>
          </cell>
          <cell r="F25200">
            <v>484361641386</v>
          </cell>
        </row>
        <row r="25201">
          <cell r="E25201" t="str">
            <v>LUC-EZZ-440078-01</v>
          </cell>
          <cell r="F25201">
            <v>484361641386</v>
          </cell>
        </row>
        <row r="25202">
          <cell r="E25202" t="str">
            <v>LUC-EZZ-440162-00</v>
          </cell>
          <cell r="F25202">
            <v>484361641386</v>
          </cell>
        </row>
        <row r="25203">
          <cell r="E25203" t="str">
            <v>LUC-EZZ-440911-00</v>
          </cell>
          <cell r="F25203">
            <v>484361641386</v>
          </cell>
        </row>
        <row r="25204">
          <cell r="E25204" t="str">
            <v>LUC-EZZ-440911-00</v>
          </cell>
          <cell r="F25204">
            <v>484361641386</v>
          </cell>
        </row>
        <row r="25205">
          <cell r="E25205" t="str">
            <v>LUC-EZZ-440032-00</v>
          </cell>
          <cell r="F25205">
            <v>484361641386</v>
          </cell>
        </row>
        <row r="25206">
          <cell r="E25206" t="str">
            <v>LUC-EZZ-440032-00</v>
          </cell>
          <cell r="F25206">
            <v>484361641386</v>
          </cell>
        </row>
        <row r="25207">
          <cell r="E25207" t="str">
            <v>LUC-EZZ-440032-00</v>
          </cell>
          <cell r="F25207">
            <v>484361641386</v>
          </cell>
        </row>
        <row r="25208">
          <cell r="E25208" t="str">
            <v>LUC-E00-440077-02</v>
          </cell>
          <cell r="F25208">
            <v>484361641386</v>
          </cell>
        </row>
        <row r="25209">
          <cell r="E25209" t="str">
            <v>LUC-E00-440051-01</v>
          </cell>
          <cell r="F25209">
            <v>484361641386</v>
          </cell>
        </row>
        <row r="25210">
          <cell r="E25210" t="str">
            <v>LUC-E00-440051-01</v>
          </cell>
          <cell r="F25210">
            <v>484361641386</v>
          </cell>
        </row>
        <row r="25211">
          <cell r="E25211" t="str">
            <v>LUC-EZZ-440099-00</v>
          </cell>
          <cell r="F25211">
            <v>484361641386</v>
          </cell>
        </row>
        <row r="25212">
          <cell r="E25212" t="str">
            <v>LUC-EZZ-440192-00</v>
          </cell>
          <cell r="F25212">
            <v>486220310551</v>
          </cell>
        </row>
        <row r="25213">
          <cell r="E25213" t="str">
            <v>LUC-EZZ-440021-00</v>
          </cell>
          <cell r="F25213">
            <v>486220310551</v>
          </cell>
        </row>
        <row r="25214">
          <cell r="E25214" t="str">
            <v>LUC-E00-420054-00</v>
          </cell>
          <cell r="F25214">
            <v>490726187404</v>
          </cell>
        </row>
        <row r="25215">
          <cell r="E25215" t="str">
            <v>LUC-E00-450176-00</v>
          </cell>
          <cell r="F25215">
            <v>490726187404</v>
          </cell>
        </row>
        <row r="25216">
          <cell r="E25216" t="str">
            <v>LUC-E00-450176-00</v>
          </cell>
          <cell r="F25216">
            <v>490726187404</v>
          </cell>
        </row>
        <row r="25217">
          <cell r="E25217" t="str">
            <v>PUR-07-0315-00</v>
          </cell>
          <cell r="F25217">
            <v>490725490538</v>
          </cell>
        </row>
        <row r="25218">
          <cell r="E25218" t="str">
            <v>PUR-07-0315-00</v>
          </cell>
          <cell r="F25218">
            <v>490725490538</v>
          </cell>
        </row>
        <row r="25219">
          <cell r="E25219" t="str">
            <v>PUR-07-0315-00</v>
          </cell>
          <cell r="F25219">
            <v>490725490538</v>
          </cell>
        </row>
        <row r="25220">
          <cell r="E25220" t="str">
            <v>LUC-E00-420011-12</v>
          </cell>
          <cell r="F25220">
            <v>490726187389</v>
          </cell>
        </row>
        <row r="25221">
          <cell r="E25221" t="str">
            <v>LUC-EZZ-420020-00</v>
          </cell>
          <cell r="F25221">
            <v>490726187389</v>
          </cell>
        </row>
        <row r="25222">
          <cell r="E25222" t="str">
            <v>LUC-EZZ-420020-00</v>
          </cell>
          <cell r="F25222">
            <v>490726187389</v>
          </cell>
        </row>
        <row r="25223">
          <cell r="E25223" t="str">
            <v>LUC-E00-510064-00</v>
          </cell>
          <cell r="F25223">
            <v>490726187389</v>
          </cell>
        </row>
        <row r="25224">
          <cell r="E25224" t="str">
            <v>LUC-EZZ-450037-00</v>
          </cell>
          <cell r="F25224">
            <v>490726187389</v>
          </cell>
        </row>
        <row r="25225">
          <cell r="E25225" t="str">
            <v>LUC-E00-420275-00</v>
          </cell>
          <cell r="F25225">
            <v>471797719643</v>
          </cell>
        </row>
        <row r="25226">
          <cell r="E25226" t="str">
            <v>PURET-13-0002-00</v>
          </cell>
          <cell r="F25226">
            <v>471797719643</v>
          </cell>
        </row>
        <row r="25227">
          <cell r="E25227" t="str">
            <v>LUC-EZZ-420219-00</v>
          </cell>
          <cell r="F25227">
            <v>471797719643</v>
          </cell>
        </row>
        <row r="25228">
          <cell r="E25228" t="str">
            <v>LUC-EZZ-420118-00</v>
          </cell>
          <cell r="F25228">
            <v>471797719643</v>
          </cell>
        </row>
        <row r="25229">
          <cell r="E25229" t="str">
            <v>LUC-EZZ-420219-00</v>
          </cell>
          <cell r="F25229">
            <v>471797719643</v>
          </cell>
        </row>
        <row r="25230">
          <cell r="E25230" t="str">
            <v>LUC-EZZ-420097-00</v>
          </cell>
          <cell r="F25230">
            <v>471797719643</v>
          </cell>
        </row>
        <row r="25231">
          <cell r="E25231" t="str">
            <v>LUC-EZZ-420097-00</v>
          </cell>
          <cell r="F25231">
            <v>471797719643</v>
          </cell>
        </row>
        <row r="25232">
          <cell r="E25232" t="str">
            <v>LUC-E00-420072-01</v>
          </cell>
          <cell r="F25232">
            <v>471797719643</v>
          </cell>
        </row>
        <row r="25233">
          <cell r="E25233" t="str">
            <v>PUR-13-0212-00</v>
          </cell>
          <cell r="F25233">
            <v>471797719643</v>
          </cell>
        </row>
        <row r="25234">
          <cell r="E25234" t="str">
            <v>HLOB-13-0212-00</v>
          </cell>
          <cell r="F25234">
            <v>471797719643</v>
          </cell>
        </row>
        <row r="25235">
          <cell r="E25235" t="str">
            <v>PUR-13-0229-00</v>
          </cell>
          <cell r="F25235">
            <v>471797719643</v>
          </cell>
        </row>
        <row r="25236">
          <cell r="E25236" t="str">
            <v>HLOB-13-0022-00</v>
          </cell>
          <cell r="F25236">
            <v>471797719643</v>
          </cell>
        </row>
        <row r="25237">
          <cell r="E25237" t="str">
            <v>HLOB-13-0022-00</v>
          </cell>
          <cell r="F25237">
            <v>471797719643</v>
          </cell>
        </row>
        <row r="25238">
          <cell r="E25238" t="str">
            <v>PUR-13-0196-00</v>
          </cell>
          <cell r="F25238">
            <v>471797719643</v>
          </cell>
        </row>
        <row r="25239">
          <cell r="E25239" t="str">
            <v>PUR-13-0196-00</v>
          </cell>
          <cell r="F25239">
            <v>471797719643</v>
          </cell>
        </row>
        <row r="25240">
          <cell r="E25240" t="str">
            <v>PUR-13-0134-00</v>
          </cell>
          <cell r="F25240">
            <v>471797719643</v>
          </cell>
        </row>
        <row r="25241">
          <cell r="E25241" t="str">
            <v>PUR-13-0134-00</v>
          </cell>
          <cell r="F25241">
            <v>471797719643</v>
          </cell>
        </row>
        <row r="25242">
          <cell r="E25242" t="str">
            <v>HLOB-13-0134-00</v>
          </cell>
          <cell r="F25242">
            <v>471797719643</v>
          </cell>
        </row>
        <row r="25243">
          <cell r="E25243" t="str">
            <v>PUR-13-0134-00</v>
          </cell>
          <cell r="F25243">
            <v>471797719643</v>
          </cell>
        </row>
        <row r="25244">
          <cell r="E25244" t="str">
            <v>PUR-13-0134-00</v>
          </cell>
          <cell r="F25244">
            <v>471797719643</v>
          </cell>
        </row>
        <row r="25245">
          <cell r="E25245" t="str">
            <v>PUR-13-0134-00</v>
          </cell>
          <cell r="F25245">
            <v>471797719643</v>
          </cell>
        </row>
        <row r="25246">
          <cell r="E25246" t="str">
            <v>HLOB-13-0229-00</v>
          </cell>
          <cell r="F25246">
            <v>471797719643</v>
          </cell>
        </row>
        <row r="25247">
          <cell r="E25247" t="str">
            <v>PURET-13-0066-00</v>
          </cell>
          <cell r="F25247">
            <v>471797719643</v>
          </cell>
        </row>
        <row r="25248">
          <cell r="E25248" t="str">
            <v>PURET-13-0002-00</v>
          </cell>
          <cell r="F25248">
            <v>471797719643</v>
          </cell>
        </row>
        <row r="25249">
          <cell r="E25249" t="str">
            <v>141-001635</v>
          </cell>
          <cell r="F25249">
            <v>642108557558</v>
          </cell>
        </row>
        <row r="25250">
          <cell r="E25250" t="str">
            <v>LUC-EZZ-470096-00</v>
          </cell>
          <cell r="F25250">
            <v>395375578635</v>
          </cell>
        </row>
        <row r="25251">
          <cell r="E25251" t="str">
            <v>LUC-EZZ-470096-00</v>
          </cell>
          <cell r="F25251">
            <v>395375578635</v>
          </cell>
        </row>
        <row r="25252">
          <cell r="E25252" t="str">
            <v>LUC-EZZ-470096-00</v>
          </cell>
          <cell r="F25252">
            <v>395375578635</v>
          </cell>
        </row>
        <row r="25253">
          <cell r="E25253" t="str">
            <v>LUC-EZZ-470096-00</v>
          </cell>
          <cell r="F25253">
            <v>395375578635</v>
          </cell>
        </row>
        <row r="25254">
          <cell r="E25254" t="str">
            <v>LUC-E00-470388-00</v>
          </cell>
          <cell r="F25254">
            <v>395375578635</v>
          </cell>
        </row>
        <row r="25255">
          <cell r="E25255" t="str">
            <v>HLOB-03-0038-00</v>
          </cell>
          <cell r="F25255">
            <v>489673778460</v>
          </cell>
        </row>
        <row r="25256">
          <cell r="E25256" t="str">
            <v>LUC-E00-470318-00</v>
          </cell>
          <cell r="F25256">
            <v>395272070352</v>
          </cell>
        </row>
        <row r="25257">
          <cell r="E25257" t="str">
            <v>LUC-E00-450029-00</v>
          </cell>
          <cell r="F25257">
            <v>395272070352</v>
          </cell>
        </row>
        <row r="25258">
          <cell r="E25258" t="str">
            <v>LUC-EZZ-450214-00</v>
          </cell>
          <cell r="F25258">
            <v>395272070352</v>
          </cell>
        </row>
        <row r="25259">
          <cell r="E25259" t="str">
            <v>LUC-E00-510043-00</v>
          </cell>
          <cell r="F25259">
            <v>885979273629</v>
          </cell>
        </row>
        <row r="25260">
          <cell r="E25260" t="str">
            <v>LUC-P11-K2B300-03</v>
          </cell>
          <cell r="F25260" t="str">
            <v>PSHPH25B0001</v>
          </cell>
        </row>
        <row r="25261">
          <cell r="E25261" t="str">
            <v>LUC-P11-K2B300-03</v>
          </cell>
          <cell r="F25261" t="str">
            <v>PSHPH25B0001</v>
          </cell>
        </row>
        <row r="25262">
          <cell r="E25262" t="str">
            <v>LUC-P11-K2B300-03</v>
          </cell>
          <cell r="F25262" t="str">
            <v>PSHPH25B0001</v>
          </cell>
        </row>
        <row r="25263">
          <cell r="E25263" t="str">
            <v>LUC-E00-690217-01</v>
          </cell>
          <cell r="F25263">
            <v>4110331009</v>
          </cell>
        </row>
        <row r="25264">
          <cell r="E25264" t="str">
            <v>LUC-E00-690001-00</v>
          </cell>
          <cell r="F25264">
            <v>4110331042</v>
          </cell>
        </row>
        <row r="25265">
          <cell r="E25265" t="str">
            <v>LUC-E00-420043-01</v>
          </cell>
          <cell r="F25265">
            <v>4711894955</v>
          </cell>
        </row>
        <row r="25266">
          <cell r="E25266" t="str">
            <v>LUC-E00-400043-00</v>
          </cell>
          <cell r="F25266">
            <v>4711894955</v>
          </cell>
        </row>
        <row r="25267">
          <cell r="E25267" t="str">
            <v>LUC-E00-480007-00</v>
          </cell>
          <cell r="F25267">
            <v>4711894955</v>
          </cell>
        </row>
        <row r="25268">
          <cell r="E25268" t="str">
            <v>LUC-EZZ-441297-00</v>
          </cell>
          <cell r="F25268">
            <v>4711894955</v>
          </cell>
        </row>
        <row r="25269">
          <cell r="E25269" t="str">
            <v>LUC-E00-480007-00</v>
          </cell>
          <cell r="F25269">
            <v>4711894955</v>
          </cell>
        </row>
        <row r="25270">
          <cell r="E25270" t="str">
            <v>LUC-EZZ-441297-00</v>
          </cell>
          <cell r="F25270">
            <v>4711894955</v>
          </cell>
        </row>
        <row r="25271">
          <cell r="E25271" t="str">
            <v>HLOB-09-0408-00</v>
          </cell>
          <cell r="F25271">
            <v>4711894955</v>
          </cell>
        </row>
        <row r="25272">
          <cell r="E25272" t="str">
            <v>HLOB-09-0408-00</v>
          </cell>
          <cell r="F25272">
            <v>4711894955</v>
          </cell>
        </row>
        <row r="25273">
          <cell r="E25273" t="str">
            <v>LUC-E00-420051-02</v>
          </cell>
          <cell r="F25273">
            <v>4711894955</v>
          </cell>
        </row>
        <row r="25274">
          <cell r="E25274" t="str">
            <v>LUC-EZZ-420695-01</v>
          </cell>
          <cell r="F25274">
            <v>4711894955</v>
          </cell>
        </row>
        <row r="25275">
          <cell r="E25275" t="str">
            <v>LUC-E00-420043-01</v>
          </cell>
          <cell r="F25275">
            <v>4711894955</v>
          </cell>
        </row>
        <row r="25276">
          <cell r="E25276" t="str">
            <v>LUC-EZZ-420665-00</v>
          </cell>
          <cell r="F25276">
            <v>4711894955</v>
          </cell>
        </row>
        <row r="25277">
          <cell r="E25277" t="str">
            <v>LUC-EZZ-420665-00</v>
          </cell>
          <cell r="F25277">
            <v>4711894955</v>
          </cell>
        </row>
        <row r="25278">
          <cell r="E25278" t="str">
            <v>LUC-EZZ-420124-00</v>
          </cell>
          <cell r="F25278">
            <v>4711894955</v>
          </cell>
        </row>
        <row r="25279">
          <cell r="E25279" t="str">
            <v>LUC-EZZ-420695-01</v>
          </cell>
          <cell r="F25279">
            <v>4711894955</v>
          </cell>
        </row>
        <row r="25280">
          <cell r="E25280" t="str">
            <v>LUC-EZZ-440016-00</v>
          </cell>
          <cell r="F25280">
            <v>4711894955</v>
          </cell>
        </row>
        <row r="25281">
          <cell r="E25281" t="str">
            <v>PURET-13-0001-00</v>
          </cell>
          <cell r="F25281">
            <v>4711894955</v>
          </cell>
        </row>
        <row r="25282">
          <cell r="E25282" t="str">
            <v>LUC-EZZ-400596-00</v>
          </cell>
          <cell r="F25282">
            <v>4711894955</v>
          </cell>
        </row>
        <row r="25283">
          <cell r="E25283" t="str">
            <v>LUC-EZZ-440077-00</v>
          </cell>
          <cell r="F25283">
            <v>4711894955</v>
          </cell>
        </row>
        <row r="25284">
          <cell r="E25284" t="str">
            <v>LUC-EZZ-420482-00</v>
          </cell>
          <cell r="F25284">
            <v>4711894955</v>
          </cell>
        </row>
        <row r="25285">
          <cell r="E25285" t="str">
            <v>LUC-EZZ-420482-00</v>
          </cell>
          <cell r="F25285">
            <v>4711894955</v>
          </cell>
        </row>
        <row r="25286">
          <cell r="E25286" t="str">
            <v>PUR-13-0131-00</v>
          </cell>
          <cell r="F25286">
            <v>4711894955</v>
          </cell>
        </row>
        <row r="25287">
          <cell r="E25287" t="str">
            <v>LUC-E00-440022-00</v>
          </cell>
          <cell r="F25287">
            <v>4711894955</v>
          </cell>
        </row>
        <row r="25288">
          <cell r="E25288" t="str">
            <v>PURET-13-0001-00</v>
          </cell>
          <cell r="F25288">
            <v>4711894955</v>
          </cell>
        </row>
        <row r="25289">
          <cell r="E25289" t="str">
            <v>LUC-EZZ-420256-00</v>
          </cell>
          <cell r="F25289">
            <v>4711894955</v>
          </cell>
        </row>
        <row r="25290">
          <cell r="E25290" t="str">
            <v>LUC-EZZ-441297-00</v>
          </cell>
          <cell r="F25290">
            <v>4711894955</v>
          </cell>
        </row>
        <row r="25291">
          <cell r="E25291" t="str">
            <v>LUC-E00-420055-15</v>
          </cell>
          <cell r="F25291">
            <v>4711894955</v>
          </cell>
        </row>
        <row r="25292">
          <cell r="E25292" t="str">
            <v>LUC-E00-420055-15</v>
          </cell>
          <cell r="F25292">
            <v>4711894955</v>
          </cell>
        </row>
        <row r="25293">
          <cell r="E25293" t="str">
            <v>LUC-E00-420055-15</v>
          </cell>
          <cell r="F25293">
            <v>4711894955</v>
          </cell>
        </row>
        <row r="25294">
          <cell r="E25294" t="str">
            <v>LUC-EZZ-441297-00</v>
          </cell>
          <cell r="F25294">
            <v>4711894955</v>
          </cell>
        </row>
        <row r="25295">
          <cell r="E25295" t="str">
            <v>LUC-E00-540019-00</v>
          </cell>
          <cell r="F25295">
            <v>4711894955</v>
          </cell>
        </row>
        <row r="25296">
          <cell r="E25296" t="str">
            <v>LUC-EZZ-440036-00</v>
          </cell>
          <cell r="F25296">
            <v>4711894955</v>
          </cell>
        </row>
        <row r="25297">
          <cell r="E25297" t="str">
            <v>LUC-EZZ-440036-00</v>
          </cell>
          <cell r="F25297">
            <v>4711894955</v>
          </cell>
        </row>
        <row r="25298">
          <cell r="E25298" t="str">
            <v>LUC-EZZ-481784-00</v>
          </cell>
          <cell r="F25298">
            <v>4711894955</v>
          </cell>
        </row>
        <row r="25299">
          <cell r="E25299" t="str">
            <v>LUC-EZZ-400554-00</v>
          </cell>
          <cell r="F25299">
            <v>4711894955</v>
          </cell>
        </row>
        <row r="25300">
          <cell r="E25300" t="str">
            <v>LUC-E00-420052-00</v>
          </cell>
          <cell r="F25300">
            <v>4711894955</v>
          </cell>
        </row>
        <row r="25301">
          <cell r="E25301" t="str">
            <v>LUC-E00-420052-00</v>
          </cell>
          <cell r="F25301">
            <v>4711894955</v>
          </cell>
        </row>
        <row r="25302">
          <cell r="E25302" t="str">
            <v>LUC-EZZ-400554-00</v>
          </cell>
          <cell r="F25302">
            <v>4711894955</v>
          </cell>
        </row>
        <row r="25303">
          <cell r="E25303" t="str">
            <v>LUC-E00-420052-00</v>
          </cell>
          <cell r="F25303">
            <v>4711894955</v>
          </cell>
        </row>
        <row r="25304">
          <cell r="E25304" t="str">
            <v>HLOB-14-0085-00</v>
          </cell>
          <cell r="F25304">
            <v>4711894955</v>
          </cell>
        </row>
        <row r="25305">
          <cell r="E25305" t="str">
            <v>PUR-14-0085-00</v>
          </cell>
          <cell r="F25305">
            <v>4711894955</v>
          </cell>
        </row>
        <row r="25306">
          <cell r="E25306" t="str">
            <v>HLOB-14-0085-00</v>
          </cell>
          <cell r="F25306">
            <v>4711894955</v>
          </cell>
        </row>
        <row r="25307">
          <cell r="E25307" t="str">
            <v>LUC-EZZ-440202-00</v>
          </cell>
          <cell r="F25307">
            <v>4711894955</v>
          </cell>
        </row>
        <row r="25308">
          <cell r="E25308" t="str">
            <v>HLOB-13-0131-00</v>
          </cell>
          <cell r="F25308">
            <v>4711894955</v>
          </cell>
        </row>
        <row r="25309">
          <cell r="E25309" t="str">
            <v>LUC-E00-420054-06</v>
          </cell>
          <cell r="F25309">
            <v>4711894955</v>
          </cell>
        </row>
        <row r="25310">
          <cell r="E25310" t="str">
            <v>LUC-E00-420054-06</v>
          </cell>
          <cell r="F25310">
            <v>4711894955</v>
          </cell>
        </row>
        <row r="25311">
          <cell r="E25311" t="str">
            <v>LUC-E00-540019-00</v>
          </cell>
          <cell r="F25311">
            <v>4711894955</v>
          </cell>
        </row>
        <row r="25312">
          <cell r="E25312" t="str">
            <v>LUC-E00-540005-00</v>
          </cell>
          <cell r="F25312">
            <v>4711894955</v>
          </cell>
        </row>
        <row r="25313">
          <cell r="E25313" t="str">
            <v>LUC-EZZ-420344-00</v>
          </cell>
          <cell r="F25313">
            <v>4711894955</v>
          </cell>
        </row>
        <row r="25314">
          <cell r="E25314" t="str">
            <v>LUC-EZZ-420695-01</v>
          </cell>
          <cell r="F25314">
            <v>4711894955</v>
          </cell>
        </row>
        <row r="25315">
          <cell r="E25315" t="str">
            <v>HLOB-13-0119-00</v>
          </cell>
          <cell r="F25315">
            <v>4711894955</v>
          </cell>
        </row>
        <row r="25316">
          <cell r="E25316" t="str">
            <v>LUC-EZZ-420331-00</v>
          </cell>
          <cell r="F25316">
            <v>4711894955</v>
          </cell>
        </row>
        <row r="25317">
          <cell r="E25317" t="str">
            <v>LUC-EZZ-400621-00</v>
          </cell>
          <cell r="F25317">
            <v>4711894955</v>
          </cell>
        </row>
        <row r="25318">
          <cell r="E25318" t="str">
            <v>LUC-EZZ-400621-00</v>
          </cell>
          <cell r="F25318">
            <v>4711894955</v>
          </cell>
        </row>
        <row r="25319">
          <cell r="E25319" t="str">
            <v>LUC-E00-400023-000</v>
          </cell>
          <cell r="F25319">
            <v>4711894955</v>
          </cell>
        </row>
        <row r="25320">
          <cell r="E25320" t="str">
            <v>LUC-E00-400011-000</v>
          </cell>
          <cell r="F25320">
            <v>4711894955</v>
          </cell>
        </row>
        <row r="25321">
          <cell r="E25321" t="str">
            <v>LUC-EZZ-400200-00</v>
          </cell>
          <cell r="F25321">
            <v>4711894955</v>
          </cell>
        </row>
        <row r="25322">
          <cell r="E25322" t="str">
            <v>LUC-EZZ-400200-00</v>
          </cell>
          <cell r="F25322">
            <v>4711894955</v>
          </cell>
        </row>
        <row r="25323">
          <cell r="E25323" t="str">
            <v>LUC-EZZ-400588-00</v>
          </cell>
          <cell r="F25323">
            <v>4711894955</v>
          </cell>
        </row>
        <row r="25324">
          <cell r="E25324" t="str">
            <v>LUC-EZZ-400588-00</v>
          </cell>
          <cell r="F25324">
            <v>4711894955</v>
          </cell>
        </row>
        <row r="25325">
          <cell r="E25325" t="str">
            <v>LUC-E00-400034-529</v>
          </cell>
          <cell r="F25325">
            <v>4711894955</v>
          </cell>
        </row>
        <row r="25326">
          <cell r="E25326" t="str">
            <v>LUC-E00-400023-000</v>
          </cell>
          <cell r="F25326">
            <v>4711894955</v>
          </cell>
        </row>
        <row r="25327">
          <cell r="E25327" t="str">
            <v>LUC-E00-400050-01</v>
          </cell>
          <cell r="F25327">
            <v>4711894955</v>
          </cell>
        </row>
        <row r="25328">
          <cell r="E25328" t="str">
            <v>LUC-EZZ-400621-00</v>
          </cell>
          <cell r="F25328">
            <v>4711894955</v>
          </cell>
        </row>
        <row r="25329">
          <cell r="E25329" t="str">
            <v>LUC-E00-470331-00</v>
          </cell>
          <cell r="F25329">
            <v>4711894955</v>
          </cell>
        </row>
        <row r="25330">
          <cell r="E25330" t="str">
            <v>LUC-EZZ-420331-00</v>
          </cell>
          <cell r="F25330">
            <v>4711894955</v>
          </cell>
        </row>
        <row r="25331">
          <cell r="E25331" t="str">
            <v>LUC-E00-470331-00</v>
          </cell>
          <cell r="F25331">
            <v>4711894955</v>
          </cell>
        </row>
        <row r="25332">
          <cell r="E25332" t="str">
            <v>PURET-13-0119-00</v>
          </cell>
          <cell r="F25332">
            <v>4711894955</v>
          </cell>
        </row>
        <row r="25333">
          <cell r="E25333" t="str">
            <v>LUC-EZZ-420124-00</v>
          </cell>
          <cell r="F25333">
            <v>4711894955</v>
          </cell>
        </row>
        <row r="25334">
          <cell r="E25334" t="str">
            <v>LUC-E00-400034-023</v>
          </cell>
          <cell r="F25334">
            <v>4711894955</v>
          </cell>
        </row>
        <row r="25335">
          <cell r="E25335" t="str">
            <v>LUC-E00-510018-00</v>
          </cell>
          <cell r="F25335">
            <v>4711894955</v>
          </cell>
        </row>
        <row r="25336">
          <cell r="E25336" t="str">
            <v>PUR-21-0026-00</v>
          </cell>
          <cell r="F25336">
            <v>4711894955</v>
          </cell>
        </row>
        <row r="25337">
          <cell r="E25337" t="str">
            <v>HLOB-21-0026-00</v>
          </cell>
          <cell r="F25337">
            <v>4711894955</v>
          </cell>
        </row>
        <row r="25338">
          <cell r="E25338" t="str">
            <v>LUC-E00-510018-00</v>
          </cell>
          <cell r="F25338">
            <v>4711894955</v>
          </cell>
        </row>
        <row r="25339">
          <cell r="E25339" t="str">
            <v>LUC-E00-450010-00</v>
          </cell>
          <cell r="F25339">
            <v>4711894955</v>
          </cell>
        </row>
        <row r="25340">
          <cell r="E25340" t="str">
            <v>LUC-EZZ-420331-00</v>
          </cell>
          <cell r="F25340">
            <v>4711894955</v>
          </cell>
        </row>
        <row r="25341">
          <cell r="E25341" t="str">
            <v>LUC-P11-KA6000-04</v>
          </cell>
          <cell r="F25341" t="str">
            <v>HWHPH2503571</v>
          </cell>
        </row>
        <row r="25342">
          <cell r="E25342" t="str">
            <v>LUC-P21-K87100-00</v>
          </cell>
          <cell r="F25342">
            <v>4812863423</v>
          </cell>
        </row>
        <row r="25343">
          <cell r="E25343" t="str">
            <v>103-000229.X.X</v>
          </cell>
          <cell r="F25343">
            <v>484112423870</v>
          </cell>
        </row>
        <row r="25344">
          <cell r="E25344" t="str">
            <v>103-000229.X.X</v>
          </cell>
          <cell r="F25344">
            <v>484112423870</v>
          </cell>
        </row>
        <row r="25345">
          <cell r="E25345" t="str">
            <v>LUC-E00-470263-00</v>
          </cell>
          <cell r="F25345">
            <v>484112423870</v>
          </cell>
        </row>
        <row r="25346">
          <cell r="E25346" t="str">
            <v>LUC-E00-470263-00</v>
          </cell>
          <cell r="F25346">
            <v>484112423870</v>
          </cell>
        </row>
        <row r="25347">
          <cell r="E25347" t="str">
            <v>LUC-E00-470263-00</v>
          </cell>
          <cell r="F25347">
            <v>484112423870</v>
          </cell>
        </row>
        <row r="25348">
          <cell r="E25348" t="str">
            <v>LUC-P00-F18CDG-00</v>
          </cell>
          <cell r="F25348">
            <v>886104383320</v>
          </cell>
        </row>
        <row r="25349">
          <cell r="E25349" t="str">
            <v>LUC-P00-F189AG-00</v>
          </cell>
          <cell r="F25349">
            <v>886104383320</v>
          </cell>
        </row>
        <row r="25350">
          <cell r="E25350" t="str">
            <v>LUC-P00-F856AY-01</v>
          </cell>
          <cell r="F25350">
            <v>886104383320</v>
          </cell>
        </row>
        <row r="25351">
          <cell r="E25351" t="str">
            <v>LUC-P00-F856AY-01</v>
          </cell>
          <cell r="F25351">
            <v>886104383320</v>
          </cell>
        </row>
        <row r="25352">
          <cell r="E25352" t="str">
            <v>LUC-P00-F189AG-00</v>
          </cell>
          <cell r="F25352">
            <v>886104383320</v>
          </cell>
        </row>
        <row r="25353">
          <cell r="E25353" t="str">
            <v>LUC-E00-460018-00</v>
          </cell>
          <cell r="F25353">
            <v>470049452636</v>
          </cell>
        </row>
        <row r="25354">
          <cell r="E25354" t="str">
            <v>LUC-E00-470013-00</v>
          </cell>
          <cell r="F25354">
            <v>470049452636</v>
          </cell>
        </row>
        <row r="25355">
          <cell r="E25355" t="str">
            <v>LUC-E00-450047-00</v>
          </cell>
          <cell r="F25355">
            <v>419341598033</v>
          </cell>
        </row>
        <row r="25356">
          <cell r="E25356" t="str">
            <v>111-001348</v>
          </cell>
          <cell r="F25356">
            <v>643036782878</v>
          </cell>
        </row>
        <row r="25357">
          <cell r="E25357" t="str">
            <v>LUC-EZZ-510640-00</v>
          </cell>
          <cell r="F25357">
            <v>886102845880</v>
          </cell>
        </row>
        <row r="25358">
          <cell r="E25358" t="str">
            <v>LUC-EZZ-510640-00</v>
          </cell>
          <cell r="F25358">
            <v>886102845880</v>
          </cell>
        </row>
        <row r="25359">
          <cell r="E25359" t="str">
            <v>LUC-P11-K41700-00</v>
          </cell>
          <cell r="F25359">
            <v>475938946059</v>
          </cell>
        </row>
        <row r="25360">
          <cell r="E25360" t="str">
            <v>LUC-P11-K41700-00</v>
          </cell>
          <cell r="F25360">
            <v>475938946059</v>
          </cell>
        </row>
        <row r="25361">
          <cell r="E25361" t="str">
            <v>LUC-P11-K41700-00</v>
          </cell>
          <cell r="F25361">
            <v>475938946059</v>
          </cell>
        </row>
        <row r="25362">
          <cell r="E25362" t="str">
            <v>LUC-E00-400035-04</v>
          </cell>
          <cell r="F25362">
            <v>471783781480</v>
          </cell>
        </row>
        <row r="25363">
          <cell r="E25363" t="str">
            <v>LUC-E00-400035-04</v>
          </cell>
          <cell r="F25363">
            <v>471783781480</v>
          </cell>
        </row>
        <row r="25364">
          <cell r="E25364" t="str">
            <v>LUC-EZZ-400035-00</v>
          </cell>
          <cell r="F25364">
            <v>471783781480</v>
          </cell>
        </row>
        <row r="25365">
          <cell r="E25365" t="str">
            <v>HLOB-12-0407-00</v>
          </cell>
          <cell r="F25365">
            <v>471783781480</v>
          </cell>
        </row>
        <row r="25366">
          <cell r="E25366" t="str">
            <v>HLOB-12-0212-00</v>
          </cell>
          <cell r="F25366">
            <v>471783781480</v>
          </cell>
        </row>
        <row r="25367">
          <cell r="E25367" t="str">
            <v>HLOB-12-0212-00</v>
          </cell>
          <cell r="F25367">
            <v>471783781480</v>
          </cell>
        </row>
        <row r="25368">
          <cell r="E25368" t="str">
            <v>HLOB-12-0293-00</v>
          </cell>
          <cell r="F25368">
            <v>471783781480</v>
          </cell>
        </row>
        <row r="25369">
          <cell r="E25369" t="str">
            <v>EF-45098519.X.X</v>
          </cell>
          <cell r="F25369">
            <v>471783781480</v>
          </cell>
        </row>
        <row r="25370">
          <cell r="E25370" t="str">
            <v>HLOB-12-0431-00</v>
          </cell>
          <cell r="F25370">
            <v>471783781480</v>
          </cell>
        </row>
        <row r="25371">
          <cell r="E25371" t="str">
            <v>PUR-12-0431-00</v>
          </cell>
          <cell r="F25371">
            <v>471783781480</v>
          </cell>
        </row>
        <row r="25372">
          <cell r="E25372" t="str">
            <v>PUR-12-0460-00</v>
          </cell>
          <cell r="F25372">
            <v>471783781480</v>
          </cell>
        </row>
        <row r="25373">
          <cell r="E25373" t="str">
            <v>121-000193.X.X</v>
          </cell>
          <cell r="F25373">
            <v>471783781480</v>
          </cell>
        </row>
        <row r="25374">
          <cell r="E25374" t="str">
            <v>EF-45044095.X.X</v>
          </cell>
          <cell r="F25374">
            <v>471783781480</v>
          </cell>
        </row>
        <row r="25375">
          <cell r="E25375" t="str">
            <v>HLOB-12-0517-00</v>
          </cell>
          <cell r="F25375">
            <v>471783781480</v>
          </cell>
        </row>
        <row r="25376">
          <cell r="E25376" t="str">
            <v>PUR-12-0468-00</v>
          </cell>
          <cell r="F25376">
            <v>471783781480</v>
          </cell>
        </row>
        <row r="25377">
          <cell r="E25377" t="str">
            <v>PUR-12-0467-00</v>
          </cell>
          <cell r="F25377">
            <v>471783781480</v>
          </cell>
        </row>
        <row r="25378">
          <cell r="E25378" t="str">
            <v>LUC-EZZ-400035-00</v>
          </cell>
          <cell r="F25378">
            <v>471783781480</v>
          </cell>
        </row>
        <row r="25379">
          <cell r="E25379" t="str">
            <v>LUC-EZZ-420257-00</v>
          </cell>
          <cell r="F25379">
            <v>471783781480</v>
          </cell>
        </row>
        <row r="25380">
          <cell r="E25380" t="str">
            <v>LUC-EZZ-420148-00</v>
          </cell>
          <cell r="F25380">
            <v>471783781480</v>
          </cell>
        </row>
        <row r="25381">
          <cell r="E25381" t="str">
            <v>122-001250</v>
          </cell>
          <cell r="F25381">
            <v>471783781480</v>
          </cell>
        </row>
        <row r="25382">
          <cell r="E25382" t="str">
            <v>AIC-MP-00000278-000</v>
          </cell>
          <cell r="F25382">
            <v>471783781480</v>
          </cell>
        </row>
        <row r="25383">
          <cell r="E25383" t="str">
            <v>HLOB-13-0249-00</v>
          </cell>
          <cell r="F25383">
            <v>471783781480</v>
          </cell>
        </row>
        <row r="25384">
          <cell r="E25384" t="str">
            <v>PUR-13-0241-00</v>
          </cell>
          <cell r="F25384">
            <v>471783781480</v>
          </cell>
        </row>
        <row r="25385">
          <cell r="E25385" t="str">
            <v>HLOB-13-0226-00</v>
          </cell>
          <cell r="F25385">
            <v>471783781480</v>
          </cell>
        </row>
        <row r="25386">
          <cell r="E25386" t="str">
            <v>PUR-13-0226-00</v>
          </cell>
          <cell r="F25386">
            <v>471783781480</v>
          </cell>
        </row>
        <row r="25387">
          <cell r="E25387" t="str">
            <v>HLOB-13-0227-00</v>
          </cell>
          <cell r="F25387">
            <v>471783781480</v>
          </cell>
        </row>
        <row r="25388">
          <cell r="E25388" t="str">
            <v>HLOB-13-0227-00</v>
          </cell>
          <cell r="F25388">
            <v>471783781480</v>
          </cell>
        </row>
        <row r="25389">
          <cell r="E25389" t="str">
            <v>AIC-MP-00007226-000</v>
          </cell>
          <cell r="F25389">
            <v>471783781480</v>
          </cell>
        </row>
        <row r="25390">
          <cell r="E25390" t="str">
            <v>HLOB-13-0068-00</v>
          </cell>
          <cell r="F25390">
            <v>471783781480</v>
          </cell>
        </row>
        <row r="25391">
          <cell r="E25391" t="str">
            <v>HLOB-13-0006-00</v>
          </cell>
          <cell r="F25391">
            <v>471783781480</v>
          </cell>
        </row>
        <row r="25392">
          <cell r="E25392" t="str">
            <v>AIC-MP-00007226-000</v>
          </cell>
          <cell r="F25392">
            <v>471783781480</v>
          </cell>
        </row>
        <row r="25393">
          <cell r="E25393" t="str">
            <v>AIC-MP-00003346-000</v>
          </cell>
          <cell r="F25393">
            <v>471783781480</v>
          </cell>
        </row>
        <row r="25394">
          <cell r="E25394" t="str">
            <v>HLOB-12-0297-00</v>
          </cell>
          <cell r="F25394">
            <v>471783781480</v>
          </cell>
        </row>
        <row r="25395">
          <cell r="E25395" t="str">
            <v>HLOB-12-0297-00</v>
          </cell>
          <cell r="F25395">
            <v>471783781480</v>
          </cell>
        </row>
        <row r="25396">
          <cell r="E25396" t="str">
            <v>HLOB-12-0271-00</v>
          </cell>
          <cell r="F25396">
            <v>471783781480</v>
          </cell>
        </row>
        <row r="25397">
          <cell r="E25397" t="str">
            <v>PUR-12-0271-00</v>
          </cell>
          <cell r="F25397">
            <v>471783781480</v>
          </cell>
        </row>
        <row r="25398">
          <cell r="E25398" t="str">
            <v>AIC-MP-00002496-000</v>
          </cell>
          <cell r="F25398">
            <v>471783781480</v>
          </cell>
        </row>
        <row r="25399">
          <cell r="E25399" t="str">
            <v>AIC-MP-00002558-000</v>
          </cell>
          <cell r="F25399">
            <v>471783781480</v>
          </cell>
        </row>
        <row r="25400">
          <cell r="E25400" t="str">
            <v>AIC-122-004444</v>
          </cell>
          <cell r="F25400">
            <v>471783781480</v>
          </cell>
        </row>
        <row r="25401">
          <cell r="E25401" t="str">
            <v>LUC-EZZ-420822-00</v>
          </cell>
          <cell r="F25401">
            <v>471783781480</v>
          </cell>
        </row>
        <row r="25402">
          <cell r="E25402" t="str">
            <v>LUC-E00-420025-03</v>
          </cell>
          <cell r="F25402">
            <v>471783781480</v>
          </cell>
        </row>
        <row r="25403">
          <cell r="E25403" t="str">
            <v>LUC-EZZ-420822-00</v>
          </cell>
          <cell r="F25403">
            <v>471783781480</v>
          </cell>
        </row>
        <row r="25404">
          <cell r="E25404" t="str">
            <v>LUC-EZZ-420822-00</v>
          </cell>
          <cell r="F25404">
            <v>471783781480</v>
          </cell>
        </row>
        <row r="25405">
          <cell r="E25405" t="str">
            <v>LUC-EZZ-420257-00</v>
          </cell>
          <cell r="F25405">
            <v>471783781480</v>
          </cell>
        </row>
        <row r="25406">
          <cell r="E25406" t="str">
            <v>HLOB-13-0213-00</v>
          </cell>
          <cell r="F25406">
            <v>471783781480</v>
          </cell>
        </row>
        <row r="25407">
          <cell r="E25407" t="str">
            <v>LUC-EZZ-420257-00</v>
          </cell>
          <cell r="F25407">
            <v>471783781480</v>
          </cell>
        </row>
        <row r="25408">
          <cell r="E25408" t="str">
            <v>LUC-EZZ-420029-00</v>
          </cell>
          <cell r="F25408">
            <v>471783781480</v>
          </cell>
        </row>
        <row r="25409">
          <cell r="E25409" t="str">
            <v>121-000585.X.X</v>
          </cell>
          <cell r="F25409">
            <v>471783781480</v>
          </cell>
        </row>
        <row r="25410">
          <cell r="E25410" t="str">
            <v>HLOB-12-0414-00</v>
          </cell>
          <cell r="F25410">
            <v>471783781480</v>
          </cell>
        </row>
        <row r="25411">
          <cell r="E25411" t="str">
            <v>PUR-12-0431-00</v>
          </cell>
          <cell r="F25411">
            <v>471783781480</v>
          </cell>
        </row>
        <row r="25412">
          <cell r="E25412" t="str">
            <v>LUC-EZZ-470423-00</v>
          </cell>
          <cell r="F25412">
            <v>477592542393</v>
          </cell>
        </row>
        <row r="25413">
          <cell r="E25413" t="str">
            <v>PUR-03-0111-00</v>
          </cell>
          <cell r="F25413">
            <v>490900539339</v>
          </cell>
        </row>
        <row r="25414">
          <cell r="E25414" t="str">
            <v>PUR-03-0038-00</v>
          </cell>
          <cell r="F25414">
            <v>490900584721</v>
          </cell>
        </row>
        <row r="25415">
          <cell r="E25415" t="str">
            <v>PUR-03-0099-03</v>
          </cell>
          <cell r="F25415" t="str">
            <v>8XN0297</v>
          </cell>
        </row>
        <row r="25416">
          <cell r="E25416" t="str">
            <v>HLOB-03-0113-00</v>
          </cell>
          <cell r="F25416" t="str">
            <v>8XN0295</v>
          </cell>
        </row>
        <row r="25417">
          <cell r="E25417" t="str">
            <v>HLOB-03-0113-00</v>
          </cell>
          <cell r="F25417" t="str">
            <v>8XN0294</v>
          </cell>
        </row>
        <row r="25418">
          <cell r="E25418" t="str">
            <v>HLOB-03-0113-00</v>
          </cell>
          <cell r="F25418" t="str">
            <v>8XN0292</v>
          </cell>
        </row>
        <row r="25419">
          <cell r="E25419" t="str">
            <v>HLOB-03-0113-00</v>
          </cell>
          <cell r="F25419" t="str">
            <v>8XN0293</v>
          </cell>
        </row>
        <row r="25420">
          <cell r="E25420" t="str">
            <v>HLOB-03-0113-00</v>
          </cell>
          <cell r="F25420" t="str">
            <v>8XN0299</v>
          </cell>
        </row>
        <row r="25421">
          <cell r="E25421" t="str">
            <v>HLOB-03-0113-00</v>
          </cell>
          <cell r="F25421" t="str">
            <v>8XN0296</v>
          </cell>
        </row>
        <row r="25422">
          <cell r="E25422" t="str">
            <v>HLOB-03-0113-00</v>
          </cell>
          <cell r="F25422" t="str">
            <v>8XN0291</v>
          </cell>
        </row>
        <row r="25423">
          <cell r="E25423" t="str">
            <v>LUC-P11-K41300-00</v>
          </cell>
          <cell r="F25423">
            <v>490858083448</v>
          </cell>
        </row>
        <row r="25424">
          <cell r="E25424" t="str">
            <v>LUC-E00-470069-00</v>
          </cell>
          <cell r="F25424">
            <v>490858083448</v>
          </cell>
        </row>
        <row r="25425">
          <cell r="E25425" t="str">
            <v>134-001638</v>
          </cell>
          <cell r="F25425">
            <v>490858083448</v>
          </cell>
        </row>
        <row r="25426">
          <cell r="E25426" t="str">
            <v>AGI-532-40014-01</v>
          </cell>
          <cell r="F25426">
            <v>490858083448</v>
          </cell>
        </row>
        <row r="25427">
          <cell r="E25427" t="str">
            <v>HLOB-13-0262-00</v>
          </cell>
          <cell r="F25427">
            <v>490858083448</v>
          </cell>
        </row>
        <row r="25428">
          <cell r="E25428" t="str">
            <v>HLOB-11-0104-06</v>
          </cell>
          <cell r="F25428" t="str">
            <v>PSHPH25B0033</v>
          </cell>
        </row>
        <row r="25429">
          <cell r="E25429" t="str">
            <v>HLOB-11-0104-06</v>
          </cell>
          <cell r="F25429" t="str">
            <v>PSHPH25B0033</v>
          </cell>
        </row>
        <row r="25430">
          <cell r="E25430" t="str">
            <v>PUR-11-0105-04</v>
          </cell>
          <cell r="F25430" t="str">
            <v>PSHPH25B0033</v>
          </cell>
        </row>
        <row r="25431">
          <cell r="E25431" t="str">
            <v>PUR-11-0105-04</v>
          </cell>
          <cell r="F25431" t="str">
            <v>PSHPH25B0033</v>
          </cell>
        </row>
        <row r="25432">
          <cell r="E25432" t="str">
            <v>PUR-11-0105-04</v>
          </cell>
          <cell r="F25432" t="str">
            <v>PSHPH25B0033</v>
          </cell>
        </row>
        <row r="25433">
          <cell r="E25433" t="str">
            <v>PUR-11-0104-05</v>
          </cell>
          <cell r="F25433" t="str">
            <v>PSHPH25B0033</v>
          </cell>
        </row>
        <row r="25434">
          <cell r="E25434" t="str">
            <v>PUR-11-0104-05</v>
          </cell>
          <cell r="F25434" t="str">
            <v>PSHPH25B0033</v>
          </cell>
        </row>
        <row r="25435">
          <cell r="E25435" t="str">
            <v>PUR-11-0104-05</v>
          </cell>
          <cell r="F25435" t="str">
            <v>PSHPH25B0033</v>
          </cell>
        </row>
        <row r="25436">
          <cell r="E25436" t="str">
            <v>PUR-11-0104-05</v>
          </cell>
          <cell r="F25436" t="str">
            <v>PSHPH25B0033</v>
          </cell>
        </row>
        <row r="25437">
          <cell r="E25437" t="str">
            <v>HLOB-11-0144-05</v>
          </cell>
          <cell r="F25437" t="str">
            <v>PSHPH25B0033</v>
          </cell>
        </row>
        <row r="25438">
          <cell r="E25438" t="str">
            <v>HLOB-11-0144-05</v>
          </cell>
          <cell r="F25438" t="str">
            <v>PSHPH25B0033</v>
          </cell>
        </row>
        <row r="25439">
          <cell r="E25439" t="str">
            <v>PUR-31-0061-02</v>
          </cell>
          <cell r="F25439" t="str">
            <v>PSHPH25B0044</v>
          </cell>
        </row>
        <row r="25440">
          <cell r="E25440" t="str">
            <v>PUR-17-0283-02</v>
          </cell>
          <cell r="F25440" t="str">
            <v>PSHPH25B0044</v>
          </cell>
        </row>
        <row r="25441">
          <cell r="E25441" t="str">
            <v>PUR-17-0283-02</v>
          </cell>
          <cell r="F25441" t="str">
            <v>PSHPH25B0044</v>
          </cell>
        </row>
        <row r="25442">
          <cell r="E25442" t="str">
            <v>PUR-17-0153-01</v>
          </cell>
          <cell r="F25442" t="str">
            <v>PSHPH25B0044</v>
          </cell>
        </row>
        <row r="25443">
          <cell r="E25443" t="str">
            <v>PUR-17-0174-01</v>
          </cell>
          <cell r="F25443" t="str">
            <v>PSHPH25B0044</v>
          </cell>
        </row>
        <row r="25444">
          <cell r="E25444" t="str">
            <v>PUR-16-0044-01</v>
          </cell>
          <cell r="F25444" t="str">
            <v>MNN/HPH/01009</v>
          </cell>
        </row>
        <row r="25445">
          <cell r="E25445" t="str">
            <v>PUR-16-0046-01</v>
          </cell>
          <cell r="F25445" t="str">
            <v>MNN/HPH/01009</v>
          </cell>
        </row>
        <row r="25446">
          <cell r="E25446" t="str">
            <v>PUR-16-0046-01</v>
          </cell>
          <cell r="F25446" t="str">
            <v>MNN/HPH/01009</v>
          </cell>
        </row>
        <row r="25447">
          <cell r="E25447" t="str">
            <v>HLOB-16-0049-01</v>
          </cell>
          <cell r="F25447" t="str">
            <v>MNN/HPH/01009</v>
          </cell>
        </row>
        <row r="25448">
          <cell r="E25448" t="str">
            <v>HLOB-16-0049-01</v>
          </cell>
          <cell r="F25448" t="str">
            <v>MNN/HPH/01009</v>
          </cell>
        </row>
        <row r="25449">
          <cell r="E25449" t="str">
            <v>PUR-16-0049-01</v>
          </cell>
          <cell r="F25449" t="str">
            <v>MNN/HPH/01009</v>
          </cell>
        </row>
        <row r="25450">
          <cell r="E25450" t="str">
            <v>HLOB-16-0049-01</v>
          </cell>
          <cell r="F25450" t="str">
            <v>MNN/HPH/01009</v>
          </cell>
        </row>
        <row r="25451">
          <cell r="E25451" t="str">
            <v>PUR-16-0049-01</v>
          </cell>
          <cell r="F25451" t="str">
            <v>MNN/HPH/01009</v>
          </cell>
        </row>
        <row r="25452">
          <cell r="E25452" t="str">
            <v>PUR-16-0051-00</v>
          </cell>
          <cell r="F25452" t="str">
            <v>MNN/HPH/01009</v>
          </cell>
        </row>
        <row r="25453">
          <cell r="E25453" t="str">
            <v>AIC-MP-00007022-000</v>
          </cell>
          <cell r="F25453">
            <v>886215422560</v>
          </cell>
        </row>
        <row r="25454">
          <cell r="E25454" t="str">
            <v>AIC-MP-00006770-000</v>
          </cell>
          <cell r="F25454">
            <v>886215422560</v>
          </cell>
        </row>
        <row r="25455">
          <cell r="E25455" t="str">
            <v>AIC-MP-00007059-000</v>
          </cell>
          <cell r="F25455">
            <v>886215422560</v>
          </cell>
        </row>
        <row r="25456">
          <cell r="E25456" t="str">
            <v>AIC-MP-CN006777-S01</v>
          </cell>
          <cell r="F25456">
            <v>886215422560</v>
          </cell>
        </row>
        <row r="25457">
          <cell r="E25457" t="str">
            <v>PUR-27-0028-00</v>
          </cell>
          <cell r="F25457">
            <v>1757498072</v>
          </cell>
        </row>
        <row r="25458">
          <cell r="E25458" t="str">
            <v>LUC-E00-420086-00</v>
          </cell>
          <cell r="F25458">
            <v>1757498470</v>
          </cell>
        </row>
        <row r="25459">
          <cell r="E25459" t="str">
            <v>LUC-E00-400018-000</v>
          </cell>
          <cell r="F25459">
            <v>1757498470</v>
          </cell>
        </row>
        <row r="25460">
          <cell r="E25460" t="str">
            <v>HLOB-27-0028-00</v>
          </cell>
          <cell r="F25460">
            <v>1757498470</v>
          </cell>
        </row>
        <row r="25461">
          <cell r="E25461" t="str">
            <v>LUC-EZZ-400629-00</v>
          </cell>
          <cell r="F25461">
            <v>1757498470</v>
          </cell>
        </row>
        <row r="25462">
          <cell r="E25462" t="str">
            <v>LUC-E00-400018-000</v>
          </cell>
          <cell r="F25462">
            <v>1757498470</v>
          </cell>
        </row>
        <row r="25463">
          <cell r="E25463" t="str">
            <v>EF-45130942</v>
          </cell>
          <cell r="F25463">
            <v>1757498470</v>
          </cell>
        </row>
        <row r="25464">
          <cell r="E25464" t="str">
            <v>EF-45130942</v>
          </cell>
          <cell r="F25464">
            <v>1757498470</v>
          </cell>
        </row>
        <row r="25465">
          <cell r="E25465" t="str">
            <v>LUC-EZZ-400624-00</v>
          </cell>
          <cell r="F25465">
            <v>1757498470</v>
          </cell>
        </row>
        <row r="25466">
          <cell r="E25466" t="str">
            <v>LUC-EZZ-490071-06</v>
          </cell>
          <cell r="F25466">
            <v>1516948</v>
          </cell>
        </row>
        <row r="25467">
          <cell r="E25467" t="str">
            <v>LUC-E00-470087-00</v>
          </cell>
          <cell r="F25467">
            <v>4494031452</v>
          </cell>
        </row>
        <row r="25468">
          <cell r="E25468" t="str">
            <v>LUC-E00-510027-00</v>
          </cell>
          <cell r="F25468">
            <v>4494031452</v>
          </cell>
        </row>
        <row r="25469">
          <cell r="E25469" t="str">
            <v>PUR-03-0082-02</v>
          </cell>
          <cell r="F25469">
            <v>490900586713</v>
          </cell>
        </row>
        <row r="25470">
          <cell r="E25470" t="str">
            <v>LUC-E00-470042-00</v>
          </cell>
          <cell r="F25470">
            <v>395403725891</v>
          </cell>
        </row>
        <row r="25471">
          <cell r="E25471" t="str">
            <v>LUC-E00-470081-00</v>
          </cell>
          <cell r="F25471">
            <v>395403725891</v>
          </cell>
        </row>
        <row r="25472">
          <cell r="E25472" t="str">
            <v>LUC-E00-470081-00</v>
          </cell>
          <cell r="F25472">
            <v>395403725891</v>
          </cell>
        </row>
        <row r="25473">
          <cell r="E25473" t="str">
            <v>LUC-E00-470081-00</v>
          </cell>
          <cell r="F25473">
            <v>395403725891</v>
          </cell>
        </row>
        <row r="25474">
          <cell r="E25474" t="str">
            <v>LUC-E00-470081-00</v>
          </cell>
          <cell r="F25474">
            <v>395403725891</v>
          </cell>
        </row>
        <row r="25475">
          <cell r="E25475" t="str">
            <v>LUC-E00-470028-00</v>
          </cell>
          <cell r="F25475">
            <v>395403725891</v>
          </cell>
        </row>
        <row r="25476">
          <cell r="E25476" t="str">
            <v>LUC-EZZ-471621-00</v>
          </cell>
          <cell r="F25476">
            <v>395403725891</v>
          </cell>
        </row>
        <row r="25477">
          <cell r="E25477" t="str">
            <v>LUC-EZZ-471621-00</v>
          </cell>
          <cell r="F25477">
            <v>395403725891</v>
          </cell>
        </row>
        <row r="25478">
          <cell r="E25478" t="str">
            <v>LUC-E00-470042-00</v>
          </cell>
          <cell r="F25478">
            <v>395403725891</v>
          </cell>
        </row>
        <row r="25479">
          <cell r="E25479" t="str">
            <v>LUC-EZZ-470248-02</v>
          </cell>
          <cell r="F25479">
            <v>395403725891</v>
          </cell>
        </row>
        <row r="25480">
          <cell r="E25480" t="str">
            <v>LUC-E00-470042-00</v>
          </cell>
          <cell r="F25480">
            <v>395403725891</v>
          </cell>
        </row>
        <row r="25481">
          <cell r="E25481" t="str">
            <v>LUC-EZZ-470248-02</v>
          </cell>
          <cell r="F25481">
            <v>395403725891</v>
          </cell>
        </row>
        <row r="25482">
          <cell r="E25482" t="str">
            <v>LUC-EZZ-470248-02</v>
          </cell>
          <cell r="F25482">
            <v>395403725891</v>
          </cell>
        </row>
        <row r="25483">
          <cell r="E25483" t="str">
            <v>HLOB-03-0113-00</v>
          </cell>
          <cell r="F25483" t="str">
            <v>8XN1011</v>
          </cell>
        </row>
        <row r="25484">
          <cell r="E25484" t="str">
            <v>HLOB-03-0113-00</v>
          </cell>
          <cell r="F25484" t="str">
            <v>8XN1010</v>
          </cell>
        </row>
        <row r="25485">
          <cell r="E25485" t="str">
            <v>HLOB-03-0113-00</v>
          </cell>
          <cell r="F25485" t="str">
            <v>8XN1009</v>
          </cell>
        </row>
        <row r="25486">
          <cell r="E25486" t="str">
            <v>HLOB-03-0113-00</v>
          </cell>
          <cell r="F25486" t="str">
            <v>8XN1008</v>
          </cell>
        </row>
        <row r="25487">
          <cell r="E25487" t="str">
            <v>LUC-E00-470259-00</v>
          </cell>
          <cell r="F25487">
            <v>491493316847</v>
          </cell>
        </row>
        <row r="25488">
          <cell r="E25488" t="str">
            <v>LUC-E00-420027-05</v>
          </cell>
          <cell r="F25488">
            <v>491093585153</v>
          </cell>
        </row>
        <row r="25489">
          <cell r="E25489" t="str">
            <v>LUC-E00-400010-026</v>
          </cell>
          <cell r="F25489">
            <v>491093585153</v>
          </cell>
        </row>
        <row r="25490">
          <cell r="E25490" t="str">
            <v>LUC-E00-400032-397</v>
          </cell>
          <cell r="F25490">
            <v>491093585153</v>
          </cell>
        </row>
        <row r="25491">
          <cell r="E25491" t="str">
            <v>LUC-E00-400028-002</v>
          </cell>
          <cell r="F25491">
            <v>491093585153</v>
          </cell>
        </row>
        <row r="25492">
          <cell r="E25492" t="str">
            <v>LUC-EZZ-400207-00</v>
          </cell>
          <cell r="F25492">
            <v>491093585153</v>
          </cell>
        </row>
        <row r="25493">
          <cell r="E25493" t="str">
            <v>LUC-E00-420027-05</v>
          </cell>
          <cell r="F25493">
            <v>491093585153</v>
          </cell>
        </row>
        <row r="25494">
          <cell r="E25494" t="str">
            <v>103-000230.X.X</v>
          </cell>
          <cell r="F25494">
            <v>480304816209</v>
          </cell>
        </row>
        <row r="25495">
          <cell r="E25495" t="str">
            <v>AGI-510-40123-01</v>
          </cell>
          <cell r="F25495">
            <v>886177070876</v>
          </cell>
        </row>
        <row r="25496">
          <cell r="E25496" t="str">
            <v>PUR-09-0343-00</v>
          </cell>
          <cell r="F25496">
            <v>480820934370</v>
          </cell>
        </row>
        <row r="25497">
          <cell r="E25497" t="str">
            <v>PUR-09-0343-00</v>
          </cell>
          <cell r="F25497">
            <v>480820934370</v>
          </cell>
        </row>
        <row r="25498">
          <cell r="E25498" t="str">
            <v>PUR-09-0343-00</v>
          </cell>
          <cell r="F25498">
            <v>480820934370</v>
          </cell>
        </row>
        <row r="25499">
          <cell r="E25499" t="str">
            <v>AIC-126-002334</v>
          </cell>
          <cell r="F25499">
            <v>395461919129</v>
          </cell>
        </row>
        <row r="25500">
          <cell r="E25500" t="str">
            <v>LUC-P11-JA3300-00</v>
          </cell>
          <cell r="F25500">
            <v>472187337857</v>
          </cell>
        </row>
        <row r="25501">
          <cell r="E25501" t="str">
            <v>LUC-P11-JA3300-00</v>
          </cell>
          <cell r="F25501">
            <v>472187337857</v>
          </cell>
        </row>
        <row r="25502">
          <cell r="E25502" t="str">
            <v>LUC-P11-JA3300-00</v>
          </cell>
          <cell r="F25502">
            <v>472187337857</v>
          </cell>
        </row>
        <row r="25503">
          <cell r="E25503" t="str">
            <v>130-000513</v>
          </cell>
          <cell r="F25503">
            <v>489239565002</v>
          </cell>
        </row>
        <row r="25504">
          <cell r="E25504" t="str">
            <v>130-000513</v>
          </cell>
          <cell r="F25504">
            <v>489239565002</v>
          </cell>
        </row>
        <row r="25505">
          <cell r="E25505" t="str">
            <v>130-000513</v>
          </cell>
          <cell r="F25505">
            <v>489239565002</v>
          </cell>
        </row>
        <row r="25506">
          <cell r="E25506" t="str">
            <v>LUC-EZZ-470096-00</v>
          </cell>
          <cell r="F25506">
            <v>395466303905</v>
          </cell>
        </row>
        <row r="25507">
          <cell r="E25507" t="str">
            <v>HLOB-09-0424-00</v>
          </cell>
          <cell r="F25507">
            <v>395466303905</v>
          </cell>
        </row>
        <row r="25508">
          <cell r="E25508" t="str">
            <v>EF-45225061</v>
          </cell>
          <cell r="F25508">
            <v>395466303905</v>
          </cell>
        </row>
        <row r="25509">
          <cell r="E25509" t="str">
            <v>LUC-EZZ-470359-00</v>
          </cell>
          <cell r="F25509">
            <v>395374933005</v>
          </cell>
        </row>
        <row r="25510">
          <cell r="E25510" t="str">
            <v>LUC-E00-470071-00</v>
          </cell>
          <cell r="F25510">
            <v>395374933005</v>
          </cell>
        </row>
        <row r="25511">
          <cell r="E25511" t="str">
            <v>LUC-E00-470071-00</v>
          </cell>
          <cell r="F25511">
            <v>395374933005</v>
          </cell>
        </row>
        <row r="25512">
          <cell r="E25512" t="str">
            <v>LUC-E00-470069-00</v>
          </cell>
          <cell r="F25512">
            <v>395374933005</v>
          </cell>
        </row>
        <row r="25513">
          <cell r="E25513" t="str">
            <v>LUC-E00-470069-00</v>
          </cell>
          <cell r="F25513">
            <v>395374933005</v>
          </cell>
        </row>
        <row r="25514">
          <cell r="E25514" t="str">
            <v>LUC-EZZ-470114-00</v>
          </cell>
          <cell r="F25514">
            <v>395374933005</v>
          </cell>
        </row>
        <row r="25515">
          <cell r="E25515" t="str">
            <v>LUC-EZZ-470114-00</v>
          </cell>
          <cell r="F25515">
            <v>395374933005</v>
          </cell>
        </row>
        <row r="25516">
          <cell r="E25516" t="str">
            <v>LUC-E00-470069-00</v>
          </cell>
          <cell r="F25516">
            <v>395374933005</v>
          </cell>
        </row>
        <row r="25517">
          <cell r="E25517" t="str">
            <v>LUC-EZZ-470114-00</v>
          </cell>
          <cell r="F25517">
            <v>395374933005</v>
          </cell>
        </row>
        <row r="25518">
          <cell r="E25518" t="str">
            <v>LUC-E00-470069-00</v>
          </cell>
          <cell r="F25518">
            <v>395374933005</v>
          </cell>
        </row>
        <row r="25519">
          <cell r="E25519" t="str">
            <v>LUC-EZZ-470114-00</v>
          </cell>
          <cell r="F25519">
            <v>395374933005</v>
          </cell>
        </row>
        <row r="25520">
          <cell r="E25520" t="str">
            <v>LUC-E00-470094-00</v>
          </cell>
          <cell r="F25520">
            <v>395374933005</v>
          </cell>
        </row>
        <row r="25521">
          <cell r="E25521" t="str">
            <v>LUC-E00-470124-00</v>
          </cell>
          <cell r="F25521">
            <v>395374933005</v>
          </cell>
        </row>
        <row r="25522">
          <cell r="E25522" t="str">
            <v>LUC-E00-470017-00</v>
          </cell>
          <cell r="F25522">
            <v>395374933005</v>
          </cell>
        </row>
        <row r="25523">
          <cell r="E25523" t="str">
            <v>LUC-E00-470017-00</v>
          </cell>
          <cell r="F25523">
            <v>395374933005</v>
          </cell>
        </row>
        <row r="25524">
          <cell r="E25524" t="str">
            <v>AIC-MP-00004069-000</v>
          </cell>
          <cell r="F25524">
            <v>395571239629</v>
          </cell>
        </row>
        <row r="25525">
          <cell r="E25525" t="str">
            <v>EF-45047095</v>
          </cell>
          <cell r="F25525">
            <v>395571239629</v>
          </cell>
        </row>
        <row r="25526">
          <cell r="E25526" t="str">
            <v>AIC-MP-IC006053-S01</v>
          </cell>
          <cell r="F25526">
            <v>490055612094</v>
          </cell>
        </row>
        <row r="25527">
          <cell r="E25527" t="str">
            <v>LUC-P11-L1AU00-02</v>
          </cell>
          <cell r="F25527" t="str">
            <v>HWHPH2503633</v>
          </cell>
        </row>
        <row r="25528">
          <cell r="E25528" t="str">
            <v>PUR-11-0106-05</v>
          </cell>
          <cell r="F25528" t="str">
            <v>LSZHPH2513556</v>
          </cell>
        </row>
        <row r="25529">
          <cell r="E25529" t="str">
            <v>HLOB-11-0106-05</v>
          </cell>
          <cell r="F25529" t="str">
            <v>LSZHPH2513556</v>
          </cell>
        </row>
        <row r="25530">
          <cell r="E25530" t="str">
            <v>HLOB-11-0106-05</v>
          </cell>
          <cell r="F25530" t="str">
            <v>LSZHPH2513556</v>
          </cell>
        </row>
        <row r="25531">
          <cell r="E25531" t="str">
            <v>PUR-11-0066-05</v>
          </cell>
          <cell r="F25531" t="str">
            <v>LSZHPH2513556</v>
          </cell>
        </row>
        <row r="25532">
          <cell r="E25532" t="str">
            <v>LUC-E00-690106-01</v>
          </cell>
          <cell r="F25532" t="str">
            <v>HWHPH2503660</v>
          </cell>
        </row>
        <row r="25533">
          <cell r="E25533" t="str">
            <v>LUC-E00-690106-01</v>
          </cell>
          <cell r="F25533" t="str">
            <v>HWHPH2503660</v>
          </cell>
        </row>
        <row r="25534">
          <cell r="E25534" t="str">
            <v>LUC-E00-690106-00</v>
          </cell>
          <cell r="F25534" t="str">
            <v>HWHPH2503660</v>
          </cell>
        </row>
        <row r="25535">
          <cell r="E25535" t="str">
            <v>LUC-E00-690106-00</v>
          </cell>
          <cell r="F25535" t="str">
            <v>HWHPH2503660</v>
          </cell>
        </row>
        <row r="25536">
          <cell r="E25536" t="str">
            <v>LUC-E00-690033-00</v>
          </cell>
          <cell r="F25536" t="str">
            <v>HWHPH2503660</v>
          </cell>
        </row>
        <row r="25537">
          <cell r="E25537" t="str">
            <v>LUC-E00-690033-01</v>
          </cell>
          <cell r="F25537" t="str">
            <v>HWHPH2503660</v>
          </cell>
        </row>
        <row r="25538">
          <cell r="E25538" t="str">
            <v>LUC-E00-690033-02</v>
          </cell>
          <cell r="F25538" t="str">
            <v>HWHPH2503660</v>
          </cell>
        </row>
        <row r="25539">
          <cell r="E25539" t="str">
            <v>LUC-E00-690033-02</v>
          </cell>
          <cell r="F25539" t="str">
            <v>HWHPH2503660</v>
          </cell>
        </row>
        <row r="25540">
          <cell r="E25540" t="str">
            <v>LUC-E00-690033-03</v>
          </cell>
          <cell r="F25540" t="str">
            <v>HWHPH2503660</v>
          </cell>
        </row>
        <row r="25541">
          <cell r="E25541" t="str">
            <v>LUC-E00-690033-03</v>
          </cell>
          <cell r="F25541" t="str">
            <v>HWHPH2503660</v>
          </cell>
        </row>
        <row r="25542">
          <cell r="E25542" t="str">
            <v>LUC-P00-F134CG-00</v>
          </cell>
          <cell r="F25542" t="str">
            <v>TXGHPHK25N17</v>
          </cell>
        </row>
        <row r="25543">
          <cell r="E25543" t="str">
            <v>LUC-P00-F189AG-00</v>
          </cell>
          <cell r="F25543" t="str">
            <v>TXGHPHK25N17</v>
          </cell>
        </row>
        <row r="25544">
          <cell r="E25544" t="str">
            <v>LUC-EZZ-540018-00</v>
          </cell>
          <cell r="F25544">
            <v>1811253581</v>
          </cell>
        </row>
        <row r="25545">
          <cell r="E25545" t="str">
            <v>LUC-E00-460009-00</v>
          </cell>
          <cell r="F25545">
            <v>1811253581</v>
          </cell>
        </row>
        <row r="25546">
          <cell r="E25546" t="str">
            <v>LUC-E00-460007-01</v>
          </cell>
          <cell r="F25546">
            <v>1811253581</v>
          </cell>
        </row>
        <row r="25547">
          <cell r="E25547" t="str">
            <v>PURET-24-0002-00</v>
          </cell>
          <cell r="F25547">
            <v>1811253581</v>
          </cell>
        </row>
        <row r="25548">
          <cell r="E25548" t="str">
            <v>LUC-P11-K41G00-00</v>
          </cell>
          <cell r="F25548">
            <v>1811253581</v>
          </cell>
        </row>
        <row r="25549">
          <cell r="E25549" t="str">
            <v>LUC-P11-K41G00-00</v>
          </cell>
          <cell r="F25549">
            <v>1811253581</v>
          </cell>
        </row>
        <row r="25550">
          <cell r="E25550" t="str">
            <v>LUC-P11-K18000-00</v>
          </cell>
          <cell r="F25550">
            <v>1811253581</v>
          </cell>
        </row>
        <row r="25551">
          <cell r="E25551" t="str">
            <v>LUC-P11-K18000-00</v>
          </cell>
          <cell r="F25551">
            <v>1811253581</v>
          </cell>
        </row>
        <row r="25552">
          <cell r="E25552" t="str">
            <v>LUC-P11-K18000-00</v>
          </cell>
          <cell r="F25552">
            <v>1811253581</v>
          </cell>
        </row>
        <row r="25553">
          <cell r="E25553" t="str">
            <v>LUC-E00-400069-00</v>
          </cell>
          <cell r="F25553">
            <v>1811253581</v>
          </cell>
        </row>
        <row r="25554">
          <cell r="E25554" t="str">
            <v>LUC-E00-400069-00</v>
          </cell>
          <cell r="F25554">
            <v>1811253581</v>
          </cell>
        </row>
        <row r="25555">
          <cell r="E25555" t="str">
            <v>EF-45108861.X.X</v>
          </cell>
          <cell r="F25555">
            <v>1811253581</v>
          </cell>
        </row>
        <row r="25556">
          <cell r="E25556" t="str">
            <v>PUR-14-0076-00</v>
          </cell>
          <cell r="F25556">
            <v>1811253581</v>
          </cell>
        </row>
        <row r="25557">
          <cell r="E25557" t="str">
            <v>HLOB-14-0076-00</v>
          </cell>
          <cell r="F25557">
            <v>1811253581</v>
          </cell>
        </row>
        <row r="25558">
          <cell r="E25558" t="str">
            <v>LUC-E00-400028-000</v>
          </cell>
          <cell r="F25558">
            <v>1811253581</v>
          </cell>
        </row>
        <row r="25559">
          <cell r="E25559" t="str">
            <v>LUC-EZZ-400241-00</v>
          </cell>
          <cell r="F25559">
            <v>1811253581</v>
          </cell>
        </row>
        <row r="25560">
          <cell r="E25560" t="str">
            <v>LUC-EZZ-400831-00</v>
          </cell>
          <cell r="F25560">
            <v>1811253581</v>
          </cell>
        </row>
        <row r="25561">
          <cell r="E25561" t="str">
            <v>PURET-12-0257-00</v>
          </cell>
          <cell r="F25561">
            <v>1811253581</v>
          </cell>
        </row>
        <row r="25562">
          <cell r="E25562" t="str">
            <v>HLOB-12-0408-00</v>
          </cell>
          <cell r="F25562">
            <v>1811253581</v>
          </cell>
        </row>
        <row r="25563">
          <cell r="E25563" t="str">
            <v>PUR-14-0095-00</v>
          </cell>
          <cell r="F25563">
            <v>1811253581</v>
          </cell>
        </row>
        <row r="25564">
          <cell r="E25564" t="str">
            <v>HLOB-12-0084-00</v>
          </cell>
          <cell r="F25564">
            <v>1811253581</v>
          </cell>
        </row>
        <row r="25565">
          <cell r="E25565" t="str">
            <v>PUR-14-0102-00</v>
          </cell>
          <cell r="F25565">
            <v>1811253581</v>
          </cell>
        </row>
        <row r="25566">
          <cell r="E25566" t="str">
            <v>PUR-09-0444-00</v>
          </cell>
          <cell r="F25566">
            <v>1811253581</v>
          </cell>
        </row>
        <row r="25567">
          <cell r="E25567" t="str">
            <v>LUC-E00-400024-04</v>
          </cell>
          <cell r="F25567">
            <v>1811253581</v>
          </cell>
        </row>
        <row r="25568">
          <cell r="E25568" t="str">
            <v>121-000538.X.X</v>
          </cell>
          <cell r="F25568">
            <v>1811253581</v>
          </cell>
        </row>
        <row r="25569">
          <cell r="E25569" t="str">
            <v>LUC-EZZ-460781-00</v>
          </cell>
          <cell r="F25569">
            <v>1811253581</v>
          </cell>
        </row>
        <row r="25570">
          <cell r="E25570" t="str">
            <v>PUR-09-0329-00</v>
          </cell>
          <cell r="F25570">
            <v>1811253581</v>
          </cell>
        </row>
        <row r="25571">
          <cell r="E25571" t="str">
            <v>PUR-09-0329-00</v>
          </cell>
          <cell r="F25571">
            <v>1811253581</v>
          </cell>
        </row>
        <row r="25572">
          <cell r="E25572" t="str">
            <v>PUR-09-0329-00</v>
          </cell>
          <cell r="F25572">
            <v>1811253581</v>
          </cell>
        </row>
        <row r="25573">
          <cell r="E25573" t="str">
            <v>PUR-09-0329-00</v>
          </cell>
          <cell r="F25573">
            <v>1811253581</v>
          </cell>
        </row>
        <row r="25574">
          <cell r="E25574" t="str">
            <v>PUR-09-0329-00</v>
          </cell>
          <cell r="F25574">
            <v>1811253581</v>
          </cell>
        </row>
        <row r="25575">
          <cell r="E25575" t="str">
            <v>PUR-03-0038-00</v>
          </cell>
          <cell r="F25575">
            <v>7811806450</v>
          </cell>
        </row>
        <row r="25576">
          <cell r="E25576" t="str">
            <v>LUC-EZZ-490071-06</v>
          </cell>
          <cell r="F25576">
            <v>1516973</v>
          </cell>
        </row>
        <row r="25577">
          <cell r="E25577" t="str">
            <v>LUC-EZZ-490071-06</v>
          </cell>
          <cell r="F25577">
            <v>1516973</v>
          </cell>
        </row>
        <row r="25578">
          <cell r="E25578" t="str">
            <v>HLOB-03-0113-00</v>
          </cell>
          <cell r="F25578" t="str">
            <v>8XN1023</v>
          </cell>
        </row>
        <row r="25579">
          <cell r="E25579" t="str">
            <v>PUR-03-0096-02</v>
          </cell>
          <cell r="F25579" t="str">
            <v>8XN1019</v>
          </cell>
        </row>
        <row r="25580">
          <cell r="E25580" t="str">
            <v>HLOB-12-0472-00</v>
          </cell>
          <cell r="F25580">
            <v>886255636978</v>
          </cell>
        </row>
        <row r="25581">
          <cell r="E25581" t="str">
            <v>PUR-12-0420-00</v>
          </cell>
          <cell r="F25581">
            <v>886255636978</v>
          </cell>
        </row>
        <row r="25582">
          <cell r="E25582" t="str">
            <v>PUR-12-0499-00</v>
          </cell>
          <cell r="F25582">
            <v>886255636978</v>
          </cell>
        </row>
        <row r="25583">
          <cell r="E25583" t="str">
            <v>PUR-12-0284-00</v>
          </cell>
          <cell r="F25583">
            <v>886255636978</v>
          </cell>
        </row>
        <row r="25584">
          <cell r="E25584" t="str">
            <v>PUR-12-0420-00</v>
          </cell>
          <cell r="F25584">
            <v>886255636978</v>
          </cell>
        </row>
        <row r="25585">
          <cell r="E25585" t="str">
            <v>PUR-12-0065-00</v>
          </cell>
          <cell r="F25585">
            <v>886255636978</v>
          </cell>
        </row>
        <row r="25586">
          <cell r="E25586" t="str">
            <v>PUR-12-0507-00</v>
          </cell>
          <cell r="F25586">
            <v>886255636978</v>
          </cell>
        </row>
        <row r="25587">
          <cell r="E25587" t="str">
            <v>EF-45049939.X.X</v>
          </cell>
          <cell r="F25587">
            <v>886255636978</v>
          </cell>
        </row>
        <row r="25588">
          <cell r="E25588" t="str">
            <v>HLOB-12-0284-00</v>
          </cell>
          <cell r="F25588">
            <v>886255636978</v>
          </cell>
        </row>
        <row r="25589">
          <cell r="E25589" t="str">
            <v>HLOB-12-0412-00</v>
          </cell>
          <cell r="F25589">
            <v>886255636978</v>
          </cell>
        </row>
        <row r="25590">
          <cell r="E25590" t="str">
            <v>HLOB-12-0412-00</v>
          </cell>
          <cell r="F25590">
            <v>886255636978</v>
          </cell>
        </row>
        <row r="25591">
          <cell r="E25591" t="str">
            <v>HLOB-12-0475-00</v>
          </cell>
          <cell r="F25591">
            <v>886255636978</v>
          </cell>
        </row>
        <row r="25592">
          <cell r="E25592" t="str">
            <v>HLOB-12-0284-00</v>
          </cell>
          <cell r="F25592">
            <v>886255636978</v>
          </cell>
        </row>
        <row r="25593">
          <cell r="E25593" t="str">
            <v>HLOB-12-0284-00</v>
          </cell>
          <cell r="F25593">
            <v>886255636978</v>
          </cell>
        </row>
        <row r="25594">
          <cell r="E25594" t="str">
            <v>HLOB-12-0257-00</v>
          </cell>
          <cell r="F25594">
            <v>886255636978</v>
          </cell>
        </row>
        <row r="25595">
          <cell r="E25595" t="str">
            <v>HLOB-12-0257-00</v>
          </cell>
          <cell r="F25595">
            <v>886255636978</v>
          </cell>
        </row>
        <row r="25596">
          <cell r="E25596" t="str">
            <v>HLOB-12-0257-00</v>
          </cell>
          <cell r="F25596">
            <v>886255636978</v>
          </cell>
        </row>
        <row r="25597">
          <cell r="E25597" t="str">
            <v>HLOB-12-0065-00</v>
          </cell>
          <cell r="F25597">
            <v>886255636978</v>
          </cell>
        </row>
        <row r="25598">
          <cell r="E25598" t="str">
            <v>HLOB-12-0170-00</v>
          </cell>
          <cell r="F25598">
            <v>886255636978</v>
          </cell>
        </row>
        <row r="25599">
          <cell r="E25599" t="str">
            <v>HLOB-12-0483-00</v>
          </cell>
          <cell r="F25599">
            <v>886255636978</v>
          </cell>
        </row>
        <row r="25600">
          <cell r="E25600" t="str">
            <v>HLOB-12-0056-00</v>
          </cell>
          <cell r="F25600">
            <v>886255636978</v>
          </cell>
        </row>
        <row r="25601">
          <cell r="E25601" t="str">
            <v>HLOB-12-0474-00</v>
          </cell>
          <cell r="F25601">
            <v>886255636978</v>
          </cell>
        </row>
        <row r="25602">
          <cell r="E25602" t="str">
            <v>PUR-12-0420-00</v>
          </cell>
          <cell r="F25602">
            <v>886255636978</v>
          </cell>
        </row>
        <row r="25603">
          <cell r="E25603" t="str">
            <v>HLOB-12-0257-00</v>
          </cell>
          <cell r="F25603">
            <v>886255636978</v>
          </cell>
        </row>
        <row r="25604">
          <cell r="E25604" t="str">
            <v>HLOB-12-0284-00</v>
          </cell>
          <cell r="F25604">
            <v>886255636978</v>
          </cell>
        </row>
        <row r="25605">
          <cell r="E25605" t="str">
            <v>EF-45045057.X.X</v>
          </cell>
          <cell r="F25605">
            <v>886255636978</v>
          </cell>
        </row>
        <row r="25606">
          <cell r="E25606" t="str">
            <v>PURET-12-0257-00</v>
          </cell>
          <cell r="F25606">
            <v>886255636978</v>
          </cell>
        </row>
        <row r="25607">
          <cell r="E25607" t="str">
            <v>PURET-12-0257-00</v>
          </cell>
          <cell r="F25607">
            <v>886255636978</v>
          </cell>
        </row>
        <row r="25608">
          <cell r="E25608" t="str">
            <v>PURET-12-0056-00</v>
          </cell>
          <cell r="F25608">
            <v>886255636978</v>
          </cell>
        </row>
        <row r="25609">
          <cell r="E25609" t="str">
            <v>PUR-12-0294-00</v>
          </cell>
          <cell r="F25609">
            <v>886255636978</v>
          </cell>
        </row>
        <row r="25610">
          <cell r="E25610" t="str">
            <v>PUR-12-0432-00</v>
          </cell>
          <cell r="F25610">
            <v>886255636978</v>
          </cell>
        </row>
        <row r="25611">
          <cell r="E25611" t="str">
            <v>PUR-12-0474-00</v>
          </cell>
          <cell r="F25611">
            <v>886255636978</v>
          </cell>
        </row>
        <row r="25612">
          <cell r="E25612" t="str">
            <v>PURET-12-0257-00</v>
          </cell>
          <cell r="F25612">
            <v>886255636978</v>
          </cell>
        </row>
        <row r="25613">
          <cell r="E25613" t="str">
            <v>LUC-EZZ-440022-00</v>
          </cell>
          <cell r="F25613">
            <v>886255636978</v>
          </cell>
        </row>
        <row r="25614">
          <cell r="E25614" t="str">
            <v>LUC-EZZ-440022-00</v>
          </cell>
          <cell r="F25614">
            <v>886255636978</v>
          </cell>
        </row>
        <row r="25615">
          <cell r="E25615" t="str">
            <v>LUC-EZZ-440022-00</v>
          </cell>
          <cell r="F25615">
            <v>886255636978</v>
          </cell>
        </row>
        <row r="25616">
          <cell r="E25616" t="str">
            <v>HLOB-12-0170-00</v>
          </cell>
          <cell r="F25616">
            <v>886255636978</v>
          </cell>
        </row>
        <row r="25617">
          <cell r="E25617" t="str">
            <v>AIC-MP-00004300-000</v>
          </cell>
          <cell r="F25617">
            <v>886255636978</v>
          </cell>
        </row>
        <row r="25618">
          <cell r="E25618" t="str">
            <v>AIC-MP-00004300-000</v>
          </cell>
          <cell r="F25618">
            <v>886255636978</v>
          </cell>
        </row>
        <row r="25619">
          <cell r="E25619" t="str">
            <v>AIC-122-004453</v>
          </cell>
          <cell r="F25619">
            <v>886255636978</v>
          </cell>
        </row>
        <row r="25620">
          <cell r="E25620" t="str">
            <v>130-000558</v>
          </cell>
          <cell r="F25620">
            <v>470186559571</v>
          </cell>
        </row>
        <row r="25621">
          <cell r="E25621" t="str">
            <v>LUC-E00-460005-00</v>
          </cell>
          <cell r="F25621">
            <v>886137535495</v>
          </cell>
        </row>
        <row r="25622">
          <cell r="E25622" t="str">
            <v>HLOB-33-0027-00</v>
          </cell>
          <cell r="F25622">
            <v>886216802555</v>
          </cell>
        </row>
        <row r="25623">
          <cell r="E25623" t="str">
            <v>HLOB-33-0027-00</v>
          </cell>
          <cell r="F25623">
            <v>886216802555</v>
          </cell>
        </row>
        <row r="25624">
          <cell r="E25624" t="str">
            <v>HLOB-18-0640-00</v>
          </cell>
          <cell r="F25624">
            <v>886216802555</v>
          </cell>
        </row>
        <row r="25625">
          <cell r="E25625" t="str">
            <v>HLOB-18-0640-00</v>
          </cell>
          <cell r="F25625">
            <v>886216802555</v>
          </cell>
        </row>
        <row r="25626">
          <cell r="E25626" t="str">
            <v>HLOB-03-0113-00</v>
          </cell>
          <cell r="F25626" t="str">
            <v>8XN1022</v>
          </cell>
        </row>
        <row r="25627">
          <cell r="E25627" t="str">
            <v>LUC-EZZ-420352-00</v>
          </cell>
          <cell r="F25627">
            <v>1129185094</v>
          </cell>
        </row>
        <row r="25628">
          <cell r="E25628" t="str">
            <v>LUC-E00-470122-01</v>
          </cell>
          <cell r="F25628">
            <v>1129185094</v>
          </cell>
        </row>
        <row r="25629">
          <cell r="E25629" t="str">
            <v>LUC-E00-470122-01</v>
          </cell>
          <cell r="F25629">
            <v>1129185094</v>
          </cell>
        </row>
        <row r="25630">
          <cell r="E25630" t="str">
            <v>LUC-E00-470122-01</v>
          </cell>
          <cell r="F25630">
            <v>1129185094</v>
          </cell>
        </row>
        <row r="25631">
          <cell r="E25631" t="str">
            <v>LUC-E00-470122-01</v>
          </cell>
          <cell r="F25631">
            <v>1129185094</v>
          </cell>
        </row>
        <row r="25632">
          <cell r="E25632" t="str">
            <v>LUC-E00-470122-01</v>
          </cell>
          <cell r="F25632">
            <v>1129185094</v>
          </cell>
        </row>
        <row r="25633">
          <cell r="E25633" t="str">
            <v>LUC-E00-470122-01</v>
          </cell>
          <cell r="F25633">
            <v>1129185094</v>
          </cell>
        </row>
        <row r="25634">
          <cell r="E25634" t="str">
            <v>LUC-EZZ-470152-00</v>
          </cell>
          <cell r="F25634">
            <v>1129185094</v>
          </cell>
        </row>
        <row r="25635">
          <cell r="E25635" t="str">
            <v>LUC-E00-470062-00</v>
          </cell>
          <cell r="F25635">
            <v>1129185094</v>
          </cell>
        </row>
        <row r="25636">
          <cell r="E25636" t="str">
            <v>LUC-E00-470004-00</v>
          </cell>
          <cell r="F25636">
            <v>1129185094</v>
          </cell>
        </row>
        <row r="25637">
          <cell r="E25637" t="str">
            <v>LUC-E00-450056-00</v>
          </cell>
          <cell r="F25637">
            <v>1129185094</v>
          </cell>
        </row>
        <row r="25638">
          <cell r="E25638" t="str">
            <v>LUC-E00-460023-00</v>
          </cell>
          <cell r="F25638">
            <v>1129185094</v>
          </cell>
        </row>
        <row r="25639">
          <cell r="E25639" t="str">
            <v>LUC-EZZ-510053-00</v>
          </cell>
          <cell r="F25639">
            <v>1129185094</v>
          </cell>
        </row>
        <row r="25640">
          <cell r="E25640" t="str">
            <v>LUC-E00-470062-00</v>
          </cell>
          <cell r="F25640">
            <v>1129185094</v>
          </cell>
        </row>
        <row r="25641">
          <cell r="E25641" t="str">
            <v>LUC-EZZ-470155-00</v>
          </cell>
          <cell r="F25641">
            <v>1129185094</v>
          </cell>
        </row>
        <row r="25642">
          <cell r="E25642" t="str">
            <v>LUC-E00-470033-00</v>
          </cell>
          <cell r="F25642">
            <v>1129185094</v>
          </cell>
        </row>
        <row r="25643">
          <cell r="E25643" t="str">
            <v>LUC-E00-470033-00</v>
          </cell>
          <cell r="F25643">
            <v>1129185094</v>
          </cell>
        </row>
        <row r="25644">
          <cell r="E25644" t="str">
            <v>LUC-E00-470033-00</v>
          </cell>
          <cell r="F25644">
            <v>1129185094</v>
          </cell>
        </row>
        <row r="25645">
          <cell r="E25645" t="str">
            <v>LUC-E00-470080-00</v>
          </cell>
          <cell r="F25645">
            <v>1129185094</v>
          </cell>
        </row>
        <row r="25646">
          <cell r="E25646" t="str">
            <v>LUC-EZZ-470155-00</v>
          </cell>
          <cell r="F25646">
            <v>1129185094</v>
          </cell>
        </row>
        <row r="25647">
          <cell r="E25647" t="str">
            <v>LUC-E00-420057-01</v>
          </cell>
          <cell r="F25647">
            <v>1129185094</v>
          </cell>
        </row>
        <row r="25648">
          <cell r="E25648" t="str">
            <v>LUC-EZZ-440042-00</v>
          </cell>
          <cell r="F25648">
            <v>1129185094</v>
          </cell>
        </row>
        <row r="25649">
          <cell r="E25649" t="str">
            <v>LUC-EZZ-420490-00</v>
          </cell>
          <cell r="F25649">
            <v>1129185094</v>
          </cell>
        </row>
        <row r="25650">
          <cell r="E25650" t="str">
            <v>LUC-EZZ-420002-00</v>
          </cell>
          <cell r="F25650">
            <v>1129185094</v>
          </cell>
        </row>
        <row r="25651">
          <cell r="E25651" t="str">
            <v>LUC-E00-470173-00</v>
          </cell>
          <cell r="F25651">
            <v>1129185094</v>
          </cell>
        </row>
        <row r="25652">
          <cell r="E25652" t="str">
            <v>PURET-24-0008-00</v>
          </cell>
          <cell r="F25652">
            <v>1129185094</v>
          </cell>
        </row>
        <row r="25653">
          <cell r="E25653" t="str">
            <v>PURET-24-0008-00</v>
          </cell>
          <cell r="F25653">
            <v>1129185094</v>
          </cell>
        </row>
        <row r="25654">
          <cell r="E25654" t="str">
            <v>LUC-EZZ-420322-00</v>
          </cell>
          <cell r="F25654">
            <v>1129185094</v>
          </cell>
        </row>
        <row r="25655">
          <cell r="E25655" t="str">
            <v>LUC-EZZ-420090-00</v>
          </cell>
          <cell r="F25655">
            <v>1129185094</v>
          </cell>
        </row>
        <row r="25656">
          <cell r="E25656" t="str">
            <v>LUC-EZZ-420090-00</v>
          </cell>
          <cell r="F25656">
            <v>1129185094</v>
          </cell>
        </row>
        <row r="25657">
          <cell r="E25657" t="str">
            <v>LUC-EZZ-420136-00</v>
          </cell>
          <cell r="F25657">
            <v>1129185094</v>
          </cell>
        </row>
        <row r="25658">
          <cell r="E25658" t="str">
            <v>LUC-EZZ-420136-00</v>
          </cell>
          <cell r="F25658">
            <v>1129185094</v>
          </cell>
        </row>
        <row r="25659">
          <cell r="E25659" t="str">
            <v>LUC-EZZ-420136-00</v>
          </cell>
          <cell r="F25659">
            <v>1129185094</v>
          </cell>
        </row>
        <row r="25660">
          <cell r="E25660" t="str">
            <v>LUC-EZZ-420136-00</v>
          </cell>
          <cell r="F25660">
            <v>1129185094</v>
          </cell>
        </row>
        <row r="25661">
          <cell r="E25661" t="str">
            <v>LUC-E00-420019-00</v>
          </cell>
          <cell r="F25661">
            <v>1129185094</v>
          </cell>
        </row>
        <row r="25662">
          <cell r="E25662" t="str">
            <v>LUC-E00-420019-00</v>
          </cell>
          <cell r="F25662">
            <v>1129185094</v>
          </cell>
        </row>
        <row r="25663">
          <cell r="E25663" t="str">
            <v>LUC-E00-460038-00</v>
          </cell>
          <cell r="F25663">
            <v>1129185094</v>
          </cell>
        </row>
        <row r="25664">
          <cell r="E25664" t="str">
            <v>LUC-EZZ-520045-00</v>
          </cell>
          <cell r="F25664">
            <v>1129185094</v>
          </cell>
        </row>
        <row r="25665">
          <cell r="E25665" t="str">
            <v>LUC-E00-420054-00</v>
          </cell>
          <cell r="F25665">
            <v>1129185094</v>
          </cell>
        </row>
        <row r="25666">
          <cell r="E25666" t="str">
            <v>LUC-EZZ-420089-00</v>
          </cell>
          <cell r="F25666">
            <v>1129185094</v>
          </cell>
        </row>
        <row r="25667">
          <cell r="E25667" t="str">
            <v>LUC-E00-540004-00</v>
          </cell>
          <cell r="F25667">
            <v>1129185094</v>
          </cell>
        </row>
        <row r="25668">
          <cell r="E25668" t="str">
            <v>LUC-EZZ-420189-00</v>
          </cell>
          <cell r="F25668">
            <v>1129185094</v>
          </cell>
        </row>
        <row r="25669">
          <cell r="E25669" t="str">
            <v>LUC-EZZ-440176-00</v>
          </cell>
          <cell r="F25669">
            <v>1129185094</v>
          </cell>
        </row>
        <row r="25670">
          <cell r="E25670" t="str">
            <v>LUC-EZZ-420324-00</v>
          </cell>
          <cell r="F25670">
            <v>1129185094</v>
          </cell>
        </row>
        <row r="25671">
          <cell r="E25671" t="str">
            <v>109-000192</v>
          </cell>
          <cell r="F25671">
            <v>1129185094</v>
          </cell>
        </row>
        <row r="25672">
          <cell r="E25672" t="str">
            <v>LUC-EZZ-480029-00</v>
          </cell>
          <cell r="F25672">
            <v>1129185094</v>
          </cell>
        </row>
        <row r="25673">
          <cell r="E25673" t="str">
            <v>LUC-E00-470044-00</v>
          </cell>
          <cell r="F25673">
            <v>1129185094</v>
          </cell>
        </row>
        <row r="25674">
          <cell r="E25674" t="str">
            <v>LUC-E00-400010-001</v>
          </cell>
          <cell r="F25674">
            <v>1129185094</v>
          </cell>
        </row>
        <row r="25675">
          <cell r="E25675" t="str">
            <v>LUC-E00-470061-00</v>
          </cell>
          <cell r="F25675">
            <v>1129185094</v>
          </cell>
        </row>
        <row r="25676">
          <cell r="E25676" t="str">
            <v>LUC-E00-470061-00</v>
          </cell>
          <cell r="F25676">
            <v>1129185094</v>
          </cell>
        </row>
        <row r="25677">
          <cell r="E25677" t="str">
            <v>LUC-EZZ-440206-00</v>
          </cell>
          <cell r="F25677">
            <v>1129185094</v>
          </cell>
        </row>
        <row r="25678">
          <cell r="E25678" t="str">
            <v>LUC-E00-470175-00</v>
          </cell>
          <cell r="F25678">
            <v>1129185094</v>
          </cell>
        </row>
        <row r="25679">
          <cell r="E25679" t="str">
            <v>LUC-E00-470089-00</v>
          </cell>
          <cell r="F25679">
            <v>1129185094</v>
          </cell>
        </row>
        <row r="25680">
          <cell r="E25680" t="str">
            <v>LUC-EZZ-450087-00</v>
          </cell>
          <cell r="F25680">
            <v>1129185094</v>
          </cell>
        </row>
        <row r="25681">
          <cell r="E25681" t="str">
            <v>LUC-E00-510019-00</v>
          </cell>
          <cell r="F25681">
            <v>1129185094</v>
          </cell>
        </row>
        <row r="25682">
          <cell r="E25682" t="str">
            <v>HLOB-13-0262-00</v>
          </cell>
          <cell r="F25682">
            <v>1129185094</v>
          </cell>
        </row>
        <row r="25683">
          <cell r="E25683" t="str">
            <v>LUC-E00-470175-00</v>
          </cell>
          <cell r="F25683">
            <v>1129185094</v>
          </cell>
        </row>
        <row r="25684">
          <cell r="E25684" t="str">
            <v>LUC-EZZ-480029-00</v>
          </cell>
          <cell r="F25684">
            <v>1129185094</v>
          </cell>
        </row>
        <row r="25685">
          <cell r="E25685" t="str">
            <v>LUC-EZZ-450113-00</v>
          </cell>
          <cell r="F25685">
            <v>1129185094</v>
          </cell>
        </row>
        <row r="25686">
          <cell r="E25686" t="str">
            <v>LUC-E00-470089-00</v>
          </cell>
          <cell r="F25686">
            <v>1129185094</v>
          </cell>
        </row>
        <row r="25687">
          <cell r="E25687" t="str">
            <v>LUC-EZZ-450113-00</v>
          </cell>
          <cell r="F25687">
            <v>1129185094</v>
          </cell>
        </row>
        <row r="25688">
          <cell r="E25688" t="str">
            <v>LUC-EZZ-471023-00</v>
          </cell>
          <cell r="F25688">
            <v>1129185094</v>
          </cell>
        </row>
        <row r="25689">
          <cell r="E25689" t="str">
            <v>LUC-E00-420054-04</v>
          </cell>
          <cell r="F25689">
            <v>1129185094</v>
          </cell>
        </row>
        <row r="25690">
          <cell r="E25690" t="str">
            <v>LUC-E00-470318-00</v>
          </cell>
          <cell r="F25690">
            <v>1129185094</v>
          </cell>
        </row>
        <row r="25691">
          <cell r="E25691" t="str">
            <v>LUC-E00-470173-00</v>
          </cell>
          <cell r="F25691">
            <v>1129185094</v>
          </cell>
        </row>
        <row r="25692">
          <cell r="E25692" t="str">
            <v>LUC-EZZ-440176-00</v>
          </cell>
          <cell r="F25692">
            <v>1129185094</v>
          </cell>
        </row>
        <row r="25693">
          <cell r="E25693" t="str">
            <v>LUC-EZZ-440176-00</v>
          </cell>
          <cell r="F25693">
            <v>1129185094</v>
          </cell>
        </row>
        <row r="25694">
          <cell r="E25694" t="str">
            <v>LUC-E00-400010-026</v>
          </cell>
          <cell r="F25694">
            <v>1129185094</v>
          </cell>
        </row>
        <row r="25695">
          <cell r="E25695" t="str">
            <v>LUC-EZZ-440169-00</v>
          </cell>
          <cell r="F25695">
            <v>1129185094</v>
          </cell>
        </row>
        <row r="25696">
          <cell r="E25696" t="str">
            <v>LUC-E00-420054-01</v>
          </cell>
          <cell r="F25696">
            <v>1129185094</v>
          </cell>
        </row>
        <row r="25697">
          <cell r="E25697" t="str">
            <v>LUC-E00-470131-00</v>
          </cell>
          <cell r="F25697">
            <v>1129185094</v>
          </cell>
        </row>
        <row r="25698">
          <cell r="E25698" t="str">
            <v>LUC-E00-470131-00</v>
          </cell>
          <cell r="F25698">
            <v>1129185094</v>
          </cell>
        </row>
        <row r="25699">
          <cell r="E25699" t="str">
            <v>LUC-EZZ-470274-00</v>
          </cell>
          <cell r="F25699">
            <v>1129185094</v>
          </cell>
        </row>
        <row r="25700">
          <cell r="E25700" t="str">
            <v>LUC-E00-400010-005</v>
          </cell>
          <cell r="F25700">
            <v>1129185094</v>
          </cell>
        </row>
        <row r="25701">
          <cell r="E25701" t="str">
            <v>SKY-220-500579-000</v>
          </cell>
          <cell r="F25701">
            <v>1129185094</v>
          </cell>
        </row>
        <row r="25702">
          <cell r="E25702" t="str">
            <v>SKY-220-500579-000</v>
          </cell>
          <cell r="F25702">
            <v>1129185094</v>
          </cell>
        </row>
        <row r="25703">
          <cell r="E25703" t="str">
            <v>LUC-E00-450068-00</v>
          </cell>
          <cell r="F25703">
            <v>1129185094</v>
          </cell>
        </row>
        <row r="25704">
          <cell r="E25704" t="str">
            <v>LUC-E00-400010-048</v>
          </cell>
          <cell r="F25704">
            <v>1129185094</v>
          </cell>
        </row>
        <row r="25705">
          <cell r="E25705" t="str">
            <v>LUC-E00-400010-000</v>
          </cell>
          <cell r="F25705">
            <v>1129185094</v>
          </cell>
        </row>
        <row r="25706">
          <cell r="E25706" t="str">
            <v>LUC-E00-540004-00</v>
          </cell>
          <cell r="F25706">
            <v>1129185094</v>
          </cell>
        </row>
        <row r="25707">
          <cell r="E25707" t="str">
            <v>LUC-E00-400067-143</v>
          </cell>
          <cell r="F25707">
            <v>1129185094</v>
          </cell>
        </row>
        <row r="25708">
          <cell r="E25708" t="str">
            <v>LUC-EZZ-450476-00</v>
          </cell>
          <cell r="F25708">
            <v>1129185094</v>
          </cell>
        </row>
        <row r="25709">
          <cell r="E25709" t="str">
            <v>LUC-E00-400010-048</v>
          </cell>
          <cell r="F25709">
            <v>1129185094</v>
          </cell>
        </row>
        <row r="25710">
          <cell r="E25710" t="str">
            <v>LUC-EZZ-450113-00</v>
          </cell>
          <cell r="F25710">
            <v>1129185094</v>
          </cell>
        </row>
        <row r="25711">
          <cell r="E25711" t="str">
            <v>LUC-E00-480008-00</v>
          </cell>
          <cell r="F25711">
            <v>1129185094</v>
          </cell>
        </row>
        <row r="25712">
          <cell r="E25712" t="str">
            <v>LUC-EZZ-450113-00</v>
          </cell>
          <cell r="F25712">
            <v>1129185094</v>
          </cell>
        </row>
        <row r="25713">
          <cell r="E25713" t="str">
            <v>LUC-E00-450041-00</v>
          </cell>
          <cell r="F25713">
            <v>1129185094</v>
          </cell>
        </row>
        <row r="25714">
          <cell r="E25714" t="str">
            <v>LUC-E00-470061-00</v>
          </cell>
          <cell r="F25714">
            <v>1129185094</v>
          </cell>
        </row>
        <row r="25715">
          <cell r="E25715" t="str">
            <v>LUC-E00-470062-00</v>
          </cell>
          <cell r="F25715">
            <v>1129185094</v>
          </cell>
        </row>
        <row r="25716">
          <cell r="E25716" t="str">
            <v>LUC-E00-470061-00</v>
          </cell>
          <cell r="F25716">
            <v>1129185094</v>
          </cell>
        </row>
        <row r="25717">
          <cell r="E25717" t="str">
            <v>LUC-EZZ-420281-00</v>
          </cell>
          <cell r="F25717">
            <v>1129185094</v>
          </cell>
        </row>
        <row r="25718">
          <cell r="E25718" t="str">
            <v>LUC-E00-420069-00</v>
          </cell>
          <cell r="F25718">
            <v>1129185094</v>
          </cell>
        </row>
        <row r="25719">
          <cell r="E25719" t="str">
            <v>LUC-EZZ-510638-00</v>
          </cell>
          <cell r="F25719">
            <v>1129185094</v>
          </cell>
        </row>
        <row r="25720">
          <cell r="E25720" t="str">
            <v>PURET-24-0008-00</v>
          </cell>
          <cell r="F25720">
            <v>1129185094</v>
          </cell>
        </row>
        <row r="25721">
          <cell r="E25721" t="str">
            <v>LUC-E00-470173-00</v>
          </cell>
          <cell r="F25721">
            <v>1129185094</v>
          </cell>
        </row>
        <row r="25722">
          <cell r="E25722" t="str">
            <v>PUR-13-0262-00</v>
          </cell>
          <cell r="F25722">
            <v>1129185094</v>
          </cell>
        </row>
        <row r="25723">
          <cell r="E25723" t="str">
            <v>LUC-E00-470096-00</v>
          </cell>
          <cell r="F25723">
            <v>1129185094</v>
          </cell>
        </row>
        <row r="25724">
          <cell r="E25724" t="str">
            <v>LUC-E00-470096-00</v>
          </cell>
          <cell r="F25724">
            <v>1129185094</v>
          </cell>
        </row>
        <row r="25725">
          <cell r="E25725" t="str">
            <v>LUC-E00-470096-00</v>
          </cell>
          <cell r="F25725">
            <v>1129185094</v>
          </cell>
        </row>
        <row r="25726">
          <cell r="E25726" t="str">
            <v>LUC-E00-470361-00</v>
          </cell>
          <cell r="F25726">
            <v>1129185094</v>
          </cell>
        </row>
        <row r="25727">
          <cell r="E25727" t="str">
            <v>LUC-E00-470361-00</v>
          </cell>
          <cell r="F25727">
            <v>1129185094</v>
          </cell>
        </row>
        <row r="25728">
          <cell r="E25728" t="str">
            <v>LUC-EZZ-420322-00</v>
          </cell>
          <cell r="F25728">
            <v>1129185094</v>
          </cell>
        </row>
        <row r="25729">
          <cell r="E25729" t="str">
            <v>LUC-E00-420173-00</v>
          </cell>
          <cell r="F25729">
            <v>1129185094</v>
          </cell>
        </row>
        <row r="25730">
          <cell r="E25730" t="str">
            <v>LUC-E00-510082-00</v>
          </cell>
          <cell r="F25730">
            <v>1129185094</v>
          </cell>
        </row>
        <row r="25731">
          <cell r="E25731" t="str">
            <v>LUC-E00-510030-00</v>
          </cell>
          <cell r="F25731">
            <v>1129185094</v>
          </cell>
        </row>
        <row r="25732">
          <cell r="E25732" t="str">
            <v>LUC-E00-400003-007</v>
          </cell>
          <cell r="F25732">
            <v>1129185094</v>
          </cell>
        </row>
        <row r="25733">
          <cell r="E25733" t="str">
            <v>LUC-EZZ-440176-00</v>
          </cell>
          <cell r="F25733">
            <v>1129185094</v>
          </cell>
        </row>
        <row r="25734">
          <cell r="E25734" t="str">
            <v>LUC-EZZ-440176-00</v>
          </cell>
          <cell r="F25734">
            <v>1129185094</v>
          </cell>
        </row>
        <row r="25735">
          <cell r="E25735" t="str">
            <v>122-000915.X.X</v>
          </cell>
          <cell r="F25735">
            <v>1129185094</v>
          </cell>
        </row>
        <row r="25736">
          <cell r="E25736" t="str">
            <v>LUC-EZZ-420089-00</v>
          </cell>
          <cell r="F25736">
            <v>1129185094</v>
          </cell>
        </row>
        <row r="25737">
          <cell r="E25737" t="str">
            <v>LUC-E00-540004-00</v>
          </cell>
          <cell r="F25737">
            <v>1129185094</v>
          </cell>
        </row>
        <row r="25738">
          <cell r="E25738" t="str">
            <v>LUC-EZZ-420101-00</v>
          </cell>
          <cell r="F25738">
            <v>1129185094</v>
          </cell>
        </row>
        <row r="25739">
          <cell r="E25739" t="str">
            <v>LUC-EZZ-440176-00</v>
          </cell>
          <cell r="F25739">
            <v>1129185094</v>
          </cell>
        </row>
        <row r="25740">
          <cell r="E25740" t="str">
            <v>LUC-E00-470131-00</v>
          </cell>
          <cell r="F25740">
            <v>1129185094</v>
          </cell>
        </row>
        <row r="25741">
          <cell r="E25741" t="str">
            <v>LUC-E00-470131-00</v>
          </cell>
          <cell r="F25741">
            <v>1129185094</v>
          </cell>
        </row>
        <row r="25742">
          <cell r="E25742" t="str">
            <v>LUC-EZZ-440176-00</v>
          </cell>
          <cell r="F25742">
            <v>1129185094</v>
          </cell>
        </row>
        <row r="25743">
          <cell r="E25743" t="str">
            <v>LUC-EZZ-440176-00</v>
          </cell>
          <cell r="F25743">
            <v>1129185094</v>
          </cell>
        </row>
        <row r="25744">
          <cell r="E25744" t="str">
            <v>LUC-EZZ-440176-00</v>
          </cell>
          <cell r="F25744">
            <v>1129185094</v>
          </cell>
        </row>
        <row r="25745">
          <cell r="E25745" t="str">
            <v>LUC-EZZ-440176-00</v>
          </cell>
          <cell r="F25745">
            <v>1129185094</v>
          </cell>
        </row>
        <row r="25746">
          <cell r="E25746" t="str">
            <v>LUC-E00-470131-00</v>
          </cell>
          <cell r="F25746">
            <v>1129185094</v>
          </cell>
        </row>
        <row r="25747">
          <cell r="E25747" t="str">
            <v>109-000192</v>
          </cell>
          <cell r="F25747">
            <v>1129185094</v>
          </cell>
        </row>
        <row r="25748">
          <cell r="E25748" t="str">
            <v>LUC-E00-420173-00</v>
          </cell>
          <cell r="F25748">
            <v>1129185094</v>
          </cell>
        </row>
        <row r="25749">
          <cell r="E25749" t="str">
            <v>LUC-E00-510041-00</v>
          </cell>
          <cell r="F25749">
            <v>1129185094</v>
          </cell>
        </row>
        <row r="25750">
          <cell r="E25750" t="str">
            <v>LUC-E00-470061-00</v>
          </cell>
          <cell r="F25750">
            <v>1129185094</v>
          </cell>
        </row>
        <row r="25751">
          <cell r="E25751" t="str">
            <v>LUC-E00-470061-00</v>
          </cell>
          <cell r="F25751">
            <v>1129185094</v>
          </cell>
        </row>
        <row r="25752">
          <cell r="E25752" t="str">
            <v>LUC-EZZ-440206-00</v>
          </cell>
          <cell r="F25752">
            <v>1129185094</v>
          </cell>
        </row>
        <row r="25753">
          <cell r="E25753" t="str">
            <v>LUC-E00-510028-00</v>
          </cell>
          <cell r="F25753">
            <v>1129185094</v>
          </cell>
        </row>
        <row r="25754">
          <cell r="E25754" t="str">
            <v>LUC-E00-510093-00</v>
          </cell>
          <cell r="F25754">
            <v>1129185094</v>
          </cell>
        </row>
        <row r="25755">
          <cell r="E25755" t="str">
            <v>LUC-E00-510093-00</v>
          </cell>
          <cell r="F25755">
            <v>1129185094</v>
          </cell>
        </row>
        <row r="25756">
          <cell r="E25756" t="str">
            <v>LUC-E00-510093-00</v>
          </cell>
          <cell r="F25756">
            <v>1129185094</v>
          </cell>
        </row>
        <row r="25757">
          <cell r="E25757" t="str">
            <v>LUC-E00-510093-00</v>
          </cell>
          <cell r="F25757">
            <v>1129185094</v>
          </cell>
        </row>
        <row r="25758">
          <cell r="E25758" t="str">
            <v>LUC-E00-510093-00</v>
          </cell>
          <cell r="F25758">
            <v>1129185094</v>
          </cell>
        </row>
        <row r="25759">
          <cell r="E25759" t="str">
            <v>LUC-E00-460001-01</v>
          </cell>
          <cell r="F25759">
            <v>1129185094</v>
          </cell>
        </row>
        <row r="25760">
          <cell r="E25760" t="str">
            <v>LUC-E00-510084-00</v>
          </cell>
          <cell r="F25760">
            <v>1129185094</v>
          </cell>
        </row>
        <row r="25761">
          <cell r="E25761" t="str">
            <v>LUC-E00-470063-00</v>
          </cell>
          <cell r="F25761">
            <v>1129185094</v>
          </cell>
        </row>
        <row r="25762">
          <cell r="E25762" t="str">
            <v>LUC-E00-420020-03</v>
          </cell>
          <cell r="F25762">
            <v>1129185094</v>
          </cell>
        </row>
        <row r="25763">
          <cell r="E25763" t="str">
            <v>LUC-E00-400010-022</v>
          </cell>
          <cell r="F25763">
            <v>1129185094</v>
          </cell>
        </row>
        <row r="25764">
          <cell r="E25764" t="str">
            <v>LUC-E00-420173-00</v>
          </cell>
          <cell r="F25764">
            <v>1129185094</v>
          </cell>
        </row>
        <row r="25765">
          <cell r="E25765" t="str">
            <v>LUC-EZZ-421002-00</v>
          </cell>
          <cell r="F25765">
            <v>1129185094</v>
          </cell>
        </row>
        <row r="25766">
          <cell r="E25766" t="str">
            <v>LUC-EZZ-420172-00</v>
          </cell>
          <cell r="F25766">
            <v>1129185094</v>
          </cell>
        </row>
        <row r="25767">
          <cell r="E25767" t="str">
            <v>LUC-EZZ-420281-00</v>
          </cell>
          <cell r="F25767">
            <v>1129185094</v>
          </cell>
        </row>
        <row r="25768">
          <cell r="E25768" t="str">
            <v>LUC-EZZ-450237-00</v>
          </cell>
          <cell r="F25768">
            <v>1129185094</v>
          </cell>
        </row>
        <row r="25769">
          <cell r="E25769" t="str">
            <v>LUC-EZZ-400194-00</v>
          </cell>
          <cell r="F25769">
            <v>1129185094</v>
          </cell>
        </row>
        <row r="25770">
          <cell r="E25770" t="str">
            <v>LUC-EZZ-480029-00</v>
          </cell>
          <cell r="F25770">
            <v>1129185094</v>
          </cell>
        </row>
        <row r="25771">
          <cell r="E25771" t="str">
            <v>LUC-EZZ-480029-00</v>
          </cell>
          <cell r="F25771">
            <v>1129185094</v>
          </cell>
        </row>
        <row r="25772">
          <cell r="E25772" t="str">
            <v>LUC-E00-420056-00</v>
          </cell>
          <cell r="F25772">
            <v>1129185094</v>
          </cell>
        </row>
        <row r="25773">
          <cell r="E25773" t="str">
            <v>LUC-EZZ-420102-00</v>
          </cell>
          <cell r="F25773">
            <v>1129185094</v>
          </cell>
        </row>
        <row r="25774">
          <cell r="E25774" t="str">
            <v>LUC-EZZ-420014-00</v>
          </cell>
          <cell r="F25774">
            <v>1129185094</v>
          </cell>
        </row>
        <row r="25775">
          <cell r="E25775" t="str">
            <v>LUC-EZZ-450060-00</v>
          </cell>
          <cell r="F25775">
            <v>1129185094</v>
          </cell>
        </row>
        <row r="25776">
          <cell r="E25776" t="str">
            <v>LUC-E00-460034-00</v>
          </cell>
          <cell r="F25776">
            <v>1129185094</v>
          </cell>
        </row>
        <row r="25777">
          <cell r="E25777" t="str">
            <v>LUC-E00-440029-00</v>
          </cell>
          <cell r="F25777">
            <v>1129185094</v>
          </cell>
        </row>
        <row r="25778">
          <cell r="E25778" t="str">
            <v>LUC-E00-470389-00</v>
          </cell>
          <cell r="F25778">
            <v>1129185094</v>
          </cell>
        </row>
        <row r="25779">
          <cell r="E25779" t="str">
            <v>LUC-E00-470389-00</v>
          </cell>
          <cell r="F25779">
            <v>1129185094</v>
          </cell>
        </row>
        <row r="25780">
          <cell r="E25780" t="str">
            <v>LUC-E00-470389-00</v>
          </cell>
          <cell r="F25780">
            <v>1129185094</v>
          </cell>
        </row>
        <row r="25781">
          <cell r="E25781" t="str">
            <v>LUC-E00-440057-00</v>
          </cell>
          <cell r="F25781">
            <v>1129185094</v>
          </cell>
        </row>
        <row r="25782">
          <cell r="E25782" t="str">
            <v>LUC-E00-440057-00</v>
          </cell>
          <cell r="F25782">
            <v>1129185094</v>
          </cell>
        </row>
        <row r="25783">
          <cell r="E25783" t="str">
            <v>LUC-E00-440057-00</v>
          </cell>
          <cell r="F25783">
            <v>1129185094</v>
          </cell>
        </row>
        <row r="25784">
          <cell r="E25784" t="str">
            <v>LUC-E00-440057-00</v>
          </cell>
          <cell r="F25784">
            <v>1129185094</v>
          </cell>
        </row>
        <row r="25785">
          <cell r="E25785" t="str">
            <v>LUC-E00-440057-00</v>
          </cell>
          <cell r="F25785">
            <v>1129185094</v>
          </cell>
        </row>
        <row r="25786">
          <cell r="E25786" t="str">
            <v>LUC-E00-470379-00</v>
          </cell>
          <cell r="F25786">
            <v>1129185094</v>
          </cell>
        </row>
        <row r="25787">
          <cell r="E25787" t="str">
            <v>LUC-EZZ-440176-00</v>
          </cell>
          <cell r="F25787">
            <v>1129185094</v>
          </cell>
        </row>
        <row r="25788">
          <cell r="E25788" t="str">
            <v>LUC-E00-510017-00</v>
          </cell>
          <cell r="F25788">
            <v>1129185094</v>
          </cell>
        </row>
        <row r="25789">
          <cell r="E25789" t="str">
            <v>LUC-E00-440057-00</v>
          </cell>
          <cell r="F25789">
            <v>1129185094</v>
          </cell>
        </row>
        <row r="25790">
          <cell r="E25790" t="str">
            <v>SKY-220-501793-000</v>
          </cell>
          <cell r="F25790">
            <v>1129185094</v>
          </cell>
        </row>
        <row r="25791">
          <cell r="E25791" t="str">
            <v>SKY-220-501793-000</v>
          </cell>
          <cell r="F25791">
            <v>1129185094</v>
          </cell>
        </row>
        <row r="25792">
          <cell r="E25792" t="str">
            <v>SKY-220-501793-000</v>
          </cell>
          <cell r="F25792">
            <v>1129185094</v>
          </cell>
        </row>
        <row r="25793">
          <cell r="E25793" t="str">
            <v>SKY-220-501793-000</v>
          </cell>
          <cell r="F25793">
            <v>1129185094</v>
          </cell>
        </row>
        <row r="25794">
          <cell r="E25794" t="str">
            <v>LUC-E00-400048-00</v>
          </cell>
          <cell r="F25794">
            <v>1129185094</v>
          </cell>
        </row>
        <row r="25795">
          <cell r="E25795" t="str">
            <v>LUC-E00-470379-00</v>
          </cell>
          <cell r="F25795">
            <v>1129185094</v>
          </cell>
        </row>
        <row r="25796">
          <cell r="E25796" t="str">
            <v>LUC-E00-400010-021</v>
          </cell>
          <cell r="F25796">
            <v>1129185094</v>
          </cell>
        </row>
        <row r="25797">
          <cell r="E25797" t="str">
            <v>LUC-E00-470131-00</v>
          </cell>
          <cell r="F25797">
            <v>1129185094</v>
          </cell>
        </row>
        <row r="25798">
          <cell r="E25798" t="str">
            <v>LUC-E00-420186-00</v>
          </cell>
          <cell r="F25798">
            <v>1129185094</v>
          </cell>
        </row>
        <row r="25799">
          <cell r="E25799" t="str">
            <v>LUC-E00-400010-026</v>
          </cell>
          <cell r="F25799">
            <v>1129185094</v>
          </cell>
        </row>
        <row r="25800">
          <cell r="E25800" t="str">
            <v>LUC-E00-400010-021</v>
          </cell>
          <cell r="F25800">
            <v>1129185094</v>
          </cell>
        </row>
        <row r="25801">
          <cell r="E25801" t="str">
            <v>LUC-E00-690001-00</v>
          </cell>
          <cell r="F25801">
            <v>4110331182</v>
          </cell>
        </row>
        <row r="25802">
          <cell r="E25802" t="str">
            <v>LUC-E00-690157-01</v>
          </cell>
          <cell r="F25802">
            <v>4110331183</v>
          </cell>
        </row>
        <row r="25803">
          <cell r="E25803" t="str">
            <v>LUC-EZZ-690942-00</v>
          </cell>
          <cell r="F25803">
            <v>4110331184</v>
          </cell>
        </row>
        <row r="25804">
          <cell r="E25804" t="str">
            <v>LUC-E00-690062-01</v>
          </cell>
          <cell r="F25804">
            <v>4110331185</v>
          </cell>
        </row>
        <row r="25805">
          <cell r="E25805" t="str">
            <v>LUC-EZZ-690241-00</v>
          </cell>
          <cell r="F25805">
            <v>4110331186</v>
          </cell>
        </row>
        <row r="25806">
          <cell r="E25806" t="str">
            <v>LUC-EZZ-690145-00</v>
          </cell>
          <cell r="F25806">
            <v>4110331232</v>
          </cell>
        </row>
        <row r="25807">
          <cell r="E25807" t="str">
            <v>LUC-E00-690214-00</v>
          </cell>
          <cell r="F25807">
            <v>4110331233</v>
          </cell>
        </row>
        <row r="25808">
          <cell r="E25808" t="str">
            <v>LUC-E00-690217-01</v>
          </cell>
          <cell r="F25808">
            <v>4110331337</v>
          </cell>
        </row>
        <row r="25809">
          <cell r="E25809" t="str">
            <v>LUC-EZZ-691595-00</v>
          </cell>
          <cell r="F25809">
            <v>4110331338</v>
          </cell>
        </row>
        <row r="25810">
          <cell r="E25810" t="str">
            <v>LUC-E00-690217-01</v>
          </cell>
          <cell r="F25810">
            <v>4110331339</v>
          </cell>
        </row>
        <row r="25811">
          <cell r="E25811" t="str">
            <v>PUR-03-0038-00</v>
          </cell>
          <cell r="F25811">
            <v>9227557651</v>
          </cell>
        </row>
        <row r="25812">
          <cell r="E25812" t="str">
            <v>PUR-03-0038-00</v>
          </cell>
          <cell r="F25812">
            <v>9227557651</v>
          </cell>
        </row>
        <row r="25813">
          <cell r="E25813" t="str">
            <v>LUC-P11-J36100-03</v>
          </cell>
          <cell r="F25813" t="str">
            <v>HKHPG2511189</v>
          </cell>
        </row>
        <row r="25814">
          <cell r="E25814" t="str">
            <v>LUC-P11-K33800-04</v>
          </cell>
          <cell r="F25814" t="str">
            <v>HKHPG2511189</v>
          </cell>
        </row>
        <row r="25815">
          <cell r="E25815" t="str">
            <v>LUC-P11-K34000-03</v>
          </cell>
          <cell r="F25815" t="str">
            <v>HKHPG2511189</v>
          </cell>
        </row>
        <row r="25816">
          <cell r="E25816" t="str">
            <v>LUC-P11-K33800-04</v>
          </cell>
          <cell r="F25816" t="str">
            <v>HKHPG2511189</v>
          </cell>
        </row>
        <row r="25817">
          <cell r="E25817" t="str">
            <v>LUC-P11-J5R000-05</v>
          </cell>
          <cell r="F25817" t="str">
            <v>HKHPG2511189</v>
          </cell>
        </row>
        <row r="25818">
          <cell r="E25818" t="str">
            <v>LUC-EZZ-440200-00</v>
          </cell>
          <cell r="F25818" t="str">
            <v>HKHPG2511190</v>
          </cell>
        </row>
        <row r="25819">
          <cell r="E25819" t="str">
            <v>LUC-EZZ-440200-00</v>
          </cell>
          <cell r="F25819" t="str">
            <v>HKHPG2511190</v>
          </cell>
        </row>
        <row r="25820">
          <cell r="E25820" t="str">
            <v>HLOB-12-0017-00</v>
          </cell>
          <cell r="F25820" t="str">
            <v>HKHPG2511190</v>
          </cell>
        </row>
        <row r="25821">
          <cell r="E25821" t="str">
            <v>EF-45083316.X.X</v>
          </cell>
          <cell r="F25821" t="str">
            <v>HKHPG2511190</v>
          </cell>
        </row>
        <row r="25822">
          <cell r="E25822" t="str">
            <v>HLOB-12-0017-00</v>
          </cell>
          <cell r="F25822" t="str">
            <v>HKHPG2511190</v>
          </cell>
        </row>
        <row r="25823">
          <cell r="E25823" t="str">
            <v>HLOB-12-0088-00</v>
          </cell>
          <cell r="F25823" t="str">
            <v>HKHPG2511190</v>
          </cell>
        </row>
        <row r="25824">
          <cell r="E25824" t="str">
            <v>PUR-12-0294-00</v>
          </cell>
          <cell r="F25824" t="str">
            <v>HKHPG2511190</v>
          </cell>
        </row>
        <row r="25825">
          <cell r="E25825" t="str">
            <v>PUR-12-0294-00</v>
          </cell>
          <cell r="F25825" t="str">
            <v>HKHPG2511190</v>
          </cell>
        </row>
        <row r="25826">
          <cell r="E25826" t="str">
            <v>LUC-EZZ-440200-00</v>
          </cell>
          <cell r="F25826" t="str">
            <v>HKHPG2511190</v>
          </cell>
        </row>
        <row r="25827">
          <cell r="E25827" t="str">
            <v>LUC-E00-690030-03</v>
          </cell>
          <cell r="F25827" t="str">
            <v>HKHPG2511190</v>
          </cell>
        </row>
        <row r="25828">
          <cell r="E25828" t="str">
            <v>LUC-E00-690030-03</v>
          </cell>
          <cell r="F25828" t="str">
            <v>HKHPG2511190</v>
          </cell>
        </row>
        <row r="25829">
          <cell r="E25829" t="str">
            <v>LUC-E00-690030-03</v>
          </cell>
          <cell r="F25829" t="str">
            <v>HKHPG2511190</v>
          </cell>
        </row>
        <row r="25830">
          <cell r="E25830" t="str">
            <v>LUC-E00-690030-03</v>
          </cell>
          <cell r="F25830" t="str">
            <v>HKHPG2511190</v>
          </cell>
        </row>
        <row r="25831">
          <cell r="E25831" t="str">
            <v>EF-45083316.X.X</v>
          </cell>
          <cell r="F25831" t="str">
            <v>HKHPG2511190</v>
          </cell>
        </row>
        <row r="25832">
          <cell r="E25832" t="str">
            <v>122-001191</v>
          </cell>
          <cell r="F25832" t="str">
            <v>HKHPG2511190</v>
          </cell>
        </row>
        <row r="25833">
          <cell r="E25833" t="str">
            <v>EF-45083316.X.X</v>
          </cell>
          <cell r="F25833" t="str">
            <v>HKHPG2511190</v>
          </cell>
        </row>
        <row r="25834">
          <cell r="E25834" t="str">
            <v>EF-45043819.X.X</v>
          </cell>
          <cell r="F25834" t="str">
            <v>HKHPG2511190</v>
          </cell>
        </row>
        <row r="25835">
          <cell r="E25835" t="str">
            <v>LUC-E00-690030-03</v>
          </cell>
          <cell r="F25835" t="str">
            <v>HKHPG2511190</v>
          </cell>
        </row>
        <row r="25836">
          <cell r="E25836" t="str">
            <v>LUC-E00-690030-03</v>
          </cell>
          <cell r="F25836" t="str">
            <v>HKHPG2511190</v>
          </cell>
        </row>
        <row r="25837">
          <cell r="E25837" t="str">
            <v>LUC-E00-690030-03</v>
          </cell>
          <cell r="F25837" t="str">
            <v>HKHPG2511190</v>
          </cell>
        </row>
        <row r="25838">
          <cell r="E25838" t="str">
            <v>LUC-E00-690030-03</v>
          </cell>
          <cell r="F25838" t="str">
            <v>HKHPG2511190</v>
          </cell>
        </row>
        <row r="25839">
          <cell r="E25839" t="str">
            <v>LUC-E00-690030-03</v>
          </cell>
          <cell r="F25839" t="str">
            <v>HKHPG2511190</v>
          </cell>
        </row>
        <row r="25840">
          <cell r="E25840" t="str">
            <v>LUC-E00-690030-03</v>
          </cell>
          <cell r="F25840" t="str">
            <v>HKHPG2511190</v>
          </cell>
        </row>
        <row r="25841">
          <cell r="E25841" t="str">
            <v>LUC-E00-690030-03</v>
          </cell>
          <cell r="F25841" t="str">
            <v>HKHPG2511190</v>
          </cell>
        </row>
        <row r="25842">
          <cell r="E25842" t="str">
            <v>LUC-E00-690030-03</v>
          </cell>
          <cell r="F25842" t="str">
            <v>HKHPG2511190</v>
          </cell>
        </row>
        <row r="25843">
          <cell r="E25843" t="str">
            <v>LUC-E00-690030-03</v>
          </cell>
          <cell r="F25843" t="str">
            <v>HKHPG2511190</v>
          </cell>
        </row>
        <row r="25844">
          <cell r="E25844" t="str">
            <v>AIC-121-006067</v>
          </cell>
          <cell r="F25844" t="str">
            <v>HKHPG2511190</v>
          </cell>
        </row>
        <row r="25845">
          <cell r="E25845" t="str">
            <v>AIC-121-006065</v>
          </cell>
          <cell r="F25845" t="str">
            <v>HKHPG2511190</v>
          </cell>
        </row>
        <row r="25846">
          <cell r="E25846" t="str">
            <v>AIC-121-006065</v>
          </cell>
          <cell r="F25846" t="str">
            <v>HKHPG2511190</v>
          </cell>
        </row>
        <row r="25847">
          <cell r="E25847" t="str">
            <v>AIC-MP-00000773-000</v>
          </cell>
          <cell r="F25847" t="str">
            <v>HKHPG2511190</v>
          </cell>
        </row>
        <row r="25848">
          <cell r="E25848" t="str">
            <v>LUC-E00-510043-00</v>
          </cell>
          <cell r="F25848">
            <v>395521445912</v>
          </cell>
        </row>
        <row r="25849">
          <cell r="E25849" t="str">
            <v>LUC-E00-510043-00</v>
          </cell>
          <cell r="F25849">
            <v>395521445912</v>
          </cell>
        </row>
        <row r="25850">
          <cell r="E25850" t="str">
            <v>LUC-P21-K3AB00-00</v>
          </cell>
          <cell r="F25850" t="str">
            <v>LSHHPH25016991</v>
          </cell>
        </row>
        <row r="25851">
          <cell r="E25851" t="str">
            <v>LUC-P21-K3AT00-00</v>
          </cell>
          <cell r="F25851" t="str">
            <v>LSHHPH25016991</v>
          </cell>
        </row>
        <row r="25852">
          <cell r="E25852" t="str">
            <v>LUC-E00-470110-00</v>
          </cell>
          <cell r="F25852">
            <v>395556947464</v>
          </cell>
        </row>
        <row r="25853">
          <cell r="E25853" t="str">
            <v>LUC-E00-470110-00</v>
          </cell>
          <cell r="F25853">
            <v>395556947464</v>
          </cell>
        </row>
        <row r="25854">
          <cell r="E25854" t="str">
            <v>LUC-E00-470110-00</v>
          </cell>
          <cell r="F25854">
            <v>395556947464</v>
          </cell>
        </row>
        <row r="25855">
          <cell r="E25855" t="str">
            <v>LUC-EZZ-470138-00</v>
          </cell>
          <cell r="F25855">
            <v>395513475685</v>
          </cell>
        </row>
        <row r="25856">
          <cell r="E25856" t="str">
            <v>LUC-E00-470037-00</v>
          </cell>
          <cell r="F25856">
            <v>395513475685</v>
          </cell>
        </row>
        <row r="25857">
          <cell r="E25857" t="str">
            <v>LUC-EZZ-470138-00</v>
          </cell>
          <cell r="F25857">
            <v>395513475685</v>
          </cell>
        </row>
        <row r="25858">
          <cell r="E25858" t="str">
            <v>LUC-EZZ-470138-00</v>
          </cell>
          <cell r="F25858">
            <v>395513475685</v>
          </cell>
        </row>
        <row r="25859">
          <cell r="E25859" t="str">
            <v>LUC-EZZ-470139-00</v>
          </cell>
          <cell r="F25859">
            <v>395462666306</v>
          </cell>
        </row>
        <row r="25860">
          <cell r="E25860" t="str">
            <v>LUC-EZZ-470480-00</v>
          </cell>
          <cell r="F25860">
            <v>395462666306</v>
          </cell>
        </row>
        <row r="25861">
          <cell r="E25861" t="str">
            <v>LUC-EZZ-470480-00</v>
          </cell>
          <cell r="F25861">
            <v>395462666306</v>
          </cell>
        </row>
        <row r="25862">
          <cell r="E25862" t="str">
            <v>LUC-EZZ-471571-00</v>
          </cell>
          <cell r="F25862">
            <v>395462666306</v>
          </cell>
        </row>
        <row r="25863">
          <cell r="E25863" t="str">
            <v>LUC-EZZ-470171-00</v>
          </cell>
          <cell r="F25863">
            <v>395462666306</v>
          </cell>
        </row>
        <row r="25864">
          <cell r="E25864" t="str">
            <v>LUC-EZZ-470171-00</v>
          </cell>
          <cell r="F25864">
            <v>395462666306</v>
          </cell>
        </row>
        <row r="25865">
          <cell r="E25865" t="str">
            <v>LUC-E00-470519-00</v>
          </cell>
          <cell r="F25865">
            <v>395462666306</v>
          </cell>
        </row>
        <row r="25866">
          <cell r="E25866" t="str">
            <v>LUC-E00-470039-00</v>
          </cell>
          <cell r="F25866">
            <v>395462666306</v>
          </cell>
        </row>
        <row r="25867">
          <cell r="E25867" t="str">
            <v>LUC-E00-470039-00</v>
          </cell>
          <cell r="F25867">
            <v>395462666306</v>
          </cell>
        </row>
        <row r="25868">
          <cell r="E25868" t="str">
            <v>LUC-E00-470039-00</v>
          </cell>
          <cell r="F25868">
            <v>395462666306</v>
          </cell>
        </row>
        <row r="25869">
          <cell r="E25869" t="str">
            <v>LUC-E00-470039-00</v>
          </cell>
          <cell r="F25869">
            <v>395462666306</v>
          </cell>
        </row>
        <row r="25870">
          <cell r="E25870" t="str">
            <v>LUC-E00-470041-00</v>
          </cell>
          <cell r="F25870">
            <v>395462666306</v>
          </cell>
        </row>
        <row r="25871">
          <cell r="E25871" t="str">
            <v>LUC-EZZ-470181-00</v>
          </cell>
          <cell r="F25871">
            <v>395462666306</v>
          </cell>
        </row>
        <row r="25872">
          <cell r="E25872" t="str">
            <v>LUC-E00-470041-00</v>
          </cell>
          <cell r="F25872">
            <v>395462666306</v>
          </cell>
        </row>
        <row r="25873">
          <cell r="E25873" t="str">
            <v>LUC-EZZ-470181-00</v>
          </cell>
          <cell r="F25873">
            <v>395462666306</v>
          </cell>
        </row>
        <row r="25874">
          <cell r="E25874" t="str">
            <v>LUC-E00-470081-00</v>
          </cell>
          <cell r="F25874">
            <v>395462666306</v>
          </cell>
        </row>
        <row r="25875">
          <cell r="E25875" t="str">
            <v>LUC-EZZ-470092-00</v>
          </cell>
          <cell r="F25875">
            <v>395462666306</v>
          </cell>
        </row>
        <row r="25876">
          <cell r="E25876" t="str">
            <v>LUC-EZZ-470092-00</v>
          </cell>
          <cell r="F25876">
            <v>395462666306</v>
          </cell>
        </row>
        <row r="25877">
          <cell r="E25877" t="str">
            <v>LUC-EZZ-470092-00</v>
          </cell>
          <cell r="F25877">
            <v>395462666306</v>
          </cell>
        </row>
        <row r="25878">
          <cell r="E25878" t="str">
            <v>LUC-E00-470042-00</v>
          </cell>
          <cell r="F25878">
            <v>395462666306</v>
          </cell>
        </row>
        <row r="25879">
          <cell r="E25879" t="str">
            <v>LUC-EZZ-470181-00</v>
          </cell>
          <cell r="F25879">
            <v>395462666306</v>
          </cell>
        </row>
        <row r="25880">
          <cell r="E25880" t="str">
            <v>LUC-E00-470038-00</v>
          </cell>
          <cell r="F25880">
            <v>395462666306</v>
          </cell>
        </row>
        <row r="25881">
          <cell r="E25881" t="str">
            <v>LUC-E00-470038-00</v>
          </cell>
          <cell r="F25881">
            <v>395462666306</v>
          </cell>
        </row>
        <row r="25882">
          <cell r="E25882" t="str">
            <v>LUC-E00-470038-00</v>
          </cell>
          <cell r="F25882">
            <v>395462666306</v>
          </cell>
        </row>
        <row r="25883">
          <cell r="E25883" t="str">
            <v>LUC-E00-470086-00</v>
          </cell>
          <cell r="F25883">
            <v>395462666306</v>
          </cell>
        </row>
        <row r="25884">
          <cell r="E25884" t="str">
            <v>LUC-E00-470196-00</v>
          </cell>
          <cell r="F25884">
            <v>395462666306</v>
          </cell>
        </row>
        <row r="25885">
          <cell r="E25885" t="str">
            <v>LUC-E00-470196-00</v>
          </cell>
          <cell r="F25885">
            <v>395462666306</v>
          </cell>
        </row>
        <row r="25886">
          <cell r="E25886" t="str">
            <v>EF-45091073.X.X</v>
          </cell>
          <cell r="F25886">
            <v>395462666306</v>
          </cell>
        </row>
        <row r="25887">
          <cell r="E25887" t="str">
            <v>LUC-E00-470121-01</v>
          </cell>
          <cell r="F25887">
            <v>395561263302</v>
          </cell>
        </row>
        <row r="25888">
          <cell r="E25888" t="str">
            <v>EF-45130849</v>
          </cell>
          <cell r="F25888">
            <v>395561263302</v>
          </cell>
        </row>
        <row r="25889">
          <cell r="E25889" t="str">
            <v>EF-45156843</v>
          </cell>
          <cell r="F25889">
            <v>461596508843</v>
          </cell>
        </row>
        <row r="25890">
          <cell r="E25890" t="str">
            <v>PUR-09-0294-00</v>
          </cell>
          <cell r="F25890">
            <v>395599759410</v>
          </cell>
        </row>
        <row r="25891">
          <cell r="E25891" t="str">
            <v>HLOB-09-0427-00</v>
          </cell>
          <cell r="F25891">
            <v>119209658289</v>
          </cell>
        </row>
        <row r="25892">
          <cell r="E25892" t="str">
            <v>HLOB-09-0427-00</v>
          </cell>
          <cell r="F25892">
            <v>119209658289</v>
          </cell>
        </row>
        <row r="25893">
          <cell r="E25893" t="str">
            <v>PUR-09-0213-00</v>
          </cell>
          <cell r="F25893">
            <v>119209658289</v>
          </cell>
        </row>
        <row r="25894">
          <cell r="E25894" t="str">
            <v>HLOB-15-0207-00</v>
          </cell>
          <cell r="F25894">
            <v>886217829124</v>
          </cell>
        </row>
        <row r="25895">
          <cell r="E25895" t="str">
            <v>HLOB-15-0207-00</v>
          </cell>
          <cell r="F25895">
            <v>886217829124</v>
          </cell>
        </row>
        <row r="25896">
          <cell r="E25896" t="str">
            <v>HLOB-15-0207-00</v>
          </cell>
          <cell r="F25896">
            <v>886217829124</v>
          </cell>
        </row>
        <row r="25897">
          <cell r="E25897" t="str">
            <v>LUC-E00-690201-00</v>
          </cell>
          <cell r="F25897">
            <v>886217829124</v>
          </cell>
        </row>
        <row r="25898">
          <cell r="E25898" t="str">
            <v>LUC-E00-400010-003</v>
          </cell>
          <cell r="F25898">
            <v>479730173185</v>
          </cell>
        </row>
        <row r="25899">
          <cell r="E25899" t="str">
            <v>PUR-09-0424-00</v>
          </cell>
          <cell r="F25899">
            <v>479730173391</v>
          </cell>
        </row>
        <row r="25900">
          <cell r="E25900" t="str">
            <v>PUR-14-0087-00</v>
          </cell>
          <cell r="F25900">
            <v>479730174641</v>
          </cell>
        </row>
        <row r="25901">
          <cell r="E25901" t="str">
            <v>PUR-09-0434-00</v>
          </cell>
          <cell r="F25901">
            <v>479730172763</v>
          </cell>
        </row>
        <row r="25902">
          <cell r="E25902" t="str">
            <v>PUR-09-0424-00</v>
          </cell>
          <cell r="F25902">
            <v>479730173417</v>
          </cell>
        </row>
        <row r="25903">
          <cell r="E25903" t="str">
            <v>160-001209</v>
          </cell>
          <cell r="F25903">
            <v>471782699760</v>
          </cell>
        </row>
        <row r="25904">
          <cell r="E25904" t="str">
            <v>LUC-EZZ-690244-00</v>
          </cell>
          <cell r="F25904">
            <v>395480127500</v>
          </cell>
        </row>
        <row r="25905">
          <cell r="E25905" t="str">
            <v>PUR-09-0424-00</v>
          </cell>
          <cell r="F25905">
            <v>479730175784</v>
          </cell>
        </row>
        <row r="25906">
          <cell r="E25906" t="str">
            <v>LUC-EZZ-400244-00</v>
          </cell>
          <cell r="F25906">
            <v>479730174928</v>
          </cell>
        </row>
        <row r="25907">
          <cell r="E25907" t="str">
            <v>LUC-EZZ-400244-00</v>
          </cell>
          <cell r="F25907">
            <v>479730174928</v>
          </cell>
        </row>
        <row r="25908">
          <cell r="E25908" t="str">
            <v>PUR-09-0324-00</v>
          </cell>
          <cell r="F25908">
            <v>479730177228</v>
          </cell>
        </row>
        <row r="25909">
          <cell r="E25909" t="str">
            <v>EF-45188480</v>
          </cell>
          <cell r="F25909">
            <v>479730177467</v>
          </cell>
        </row>
        <row r="25910">
          <cell r="E25910" t="str">
            <v>103-000216.X.X</v>
          </cell>
          <cell r="F25910">
            <v>480304816297</v>
          </cell>
        </row>
        <row r="25911">
          <cell r="E25911" t="str">
            <v>PUR-03-0038-00</v>
          </cell>
          <cell r="F25911">
            <v>491493332236</v>
          </cell>
        </row>
        <row r="25912">
          <cell r="E25912" t="str">
            <v>HLOB-07-0167-00</v>
          </cell>
          <cell r="F25912">
            <v>490725495746</v>
          </cell>
        </row>
        <row r="25913">
          <cell r="E25913" t="str">
            <v>HLOB-07-0328-00</v>
          </cell>
          <cell r="F25913">
            <v>490725495746</v>
          </cell>
        </row>
        <row r="25914">
          <cell r="E25914" t="str">
            <v>HLOB-07-0328-00</v>
          </cell>
          <cell r="F25914">
            <v>490725495746</v>
          </cell>
        </row>
        <row r="25915">
          <cell r="E25915" t="str">
            <v>HLOB-07-0328-00</v>
          </cell>
          <cell r="F25915">
            <v>490725495746</v>
          </cell>
        </row>
        <row r="25916">
          <cell r="E25916" t="str">
            <v>PUR-09-0324-00</v>
          </cell>
          <cell r="F25916">
            <v>479730177537</v>
          </cell>
        </row>
        <row r="25917">
          <cell r="E25917" t="str">
            <v>LUC-E00-480015-01</v>
          </cell>
          <cell r="F25917">
            <v>643036784068</v>
          </cell>
        </row>
        <row r="25918">
          <cell r="E25918" t="str">
            <v>LUC-E00-460007-00</v>
          </cell>
          <cell r="F25918">
            <v>707296250083</v>
          </cell>
        </row>
        <row r="25919">
          <cell r="E25919" t="str">
            <v>LUC-E00-470059-00</v>
          </cell>
          <cell r="F25919">
            <v>643036783988</v>
          </cell>
        </row>
        <row r="25920">
          <cell r="E25920" t="str">
            <v>LUC-E00-420019-01</v>
          </cell>
          <cell r="F25920">
            <v>643036784057</v>
          </cell>
        </row>
        <row r="25921">
          <cell r="E25921" t="str">
            <v>LUC-E00-420019-01</v>
          </cell>
          <cell r="F25921">
            <v>643036784057</v>
          </cell>
        </row>
        <row r="25922">
          <cell r="E25922" t="str">
            <v>LUC-E00-420019-01</v>
          </cell>
          <cell r="F25922">
            <v>643036784057</v>
          </cell>
        </row>
        <row r="25923">
          <cell r="E25923" t="str">
            <v>LUC-E00-400026-00</v>
          </cell>
          <cell r="F25923">
            <v>707296250201</v>
          </cell>
        </row>
        <row r="25924">
          <cell r="E25924" t="str">
            <v>LUC-E00-460007-00</v>
          </cell>
          <cell r="F25924">
            <v>707296250040</v>
          </cell>
        </row>
        <row r="25925">
          <cell r="E25925" t="str">
            <v>LUC-E00-460007-00</v>
          </cell>
          <cell r="F25925">
            <v>707296250245</v>
          </cell>
        </row>
        <row r="25926">
          <cell r="E25926" t="str">
            <v>LUC-E00-460007-00</v>
          </cell>
          <cell r="F25926">
            <v>707296250326</v>
          </cell>
        </row>
        <row r="25927">
          <cell r="E25927" t="str">
            <v>LUC-E00-460007-00</v>
          </cell>
          <cell r="F25927">
            <v>707296250602</v>
          </cell>
        </row>
        <row r="25928">
          <cell r="E25928" t="str">
            <v>LUC-E00-460007-00</v>
          </cell>
          <cell r="F25928">
            <v>707296250370</v>
          </cell>
        </row>
        <row r="25929">
          <cell r="E25929" t="str">
            <v>LUC-E00-460007-00</v>
          </cell>
          <cell r="F25929">
            <v>707296250613</v>
          </cell>
        </row>
        <row r="25930">
          <cell r="E25930" t="str">
            <v>LUC-E00-460007-00</v>
          </cell>
          <cell r="F25930">
            <v>707296250576</v>
          </cell>
        </row>
        <row r="25931">
          <cell r="E25931" t="str">
            <v>LUC-E00-460007-00</v>
          </cell>
          <cell r="F25931">
            <v>707296250668</v>
          </cell>
        </row>
        <row r="25932">
          <cell r="E25932" t="str">
            <v>LUC-E00-460007-00</v>
          </cell>
          <cell r="F25932">
            <v>707296250705</v>
          </cell>
        </row>
        <row r="25933">
          <cell r="E25933" t="str">
            <v>PUR-12-0337-00</v>
          </cell>
          <cell r="F25933">
            <v>886218303995</v>
          </cell>
        </row>
        <row r="25934">
          <cell r="E25934" t="str">
            <v>HLOB-13-0159-00</v>
          </cell>
          <cell r="F25934">
            <v>886218303995</v>
          </cell>
        </row>
        <row r="25935">
          <cell r="E25935" t="str">
            <v>PUR-12-0337-00</v>
          </cell>
          <cell r="F25935">
            <v>886218303995</v>
          </cell>
        </row>
        <row r="25936">
          <cell r="E25936" t="str">
            <v>HLOB-12-0337-00</v>
          </cell>
          <cell r="F25936">
            <v>886218303995</v>
          </cell>
        </row>
        <row r="25937">
          <cell r="E25937" t="str">
            <v>HLOB-12-0343-00</v>
          </cell>
          <cell r="F25937">
            <v>886218303995</v>
          </cell>
        </row>
        <row r="25938">
          <cell r="E25938" t="str">
            <v>PUR-13-0159-00</v>
          </cell>
          <cell r="F25938">
            <v>886218303995</v>
          </cell>
        </row>
        <row r="25939">
          <cell r="E25939" t="str">
            <v>122-000827.X.X</v>
          </cell>
          <cell r="F25939">
            <v>886218303995</v>
          </cell>
        </row>
        <row r="25940">
          <cell r="E25940" t="str">
            <v>LUC-E00-460007-00</v>
          </cell>
          <cell r="F25940">
            <v>707296250646</v>
          </cell>
        </row>
        <row r="25941">
          <cell r="E25941" t="str">
            <v>LUC-E00-460007-00</v>
          </cell>
          <cell r="F25941">
            <v>707296250852</v>
          </cell>
        </row>
        <row r="25942">
          <cell r="E25942" t="str">
            <v>LUC-E00-460007-00</v>
          </cell>
          <cell r="F25942">
            <v>707296250771</v>
          </cell>
        </row>
        <row r="25943">
          <cell r="E25943" t="str">
            <v>LUC-P21-K33R00-01</v>
          </cell>
          <cell r="F25943">
            <v>886259627030</v>
          </cell>
        </row>
        <row r="25944">
          <cell r="E25944" t="str">
            <v>EF-45155479</v>
          </cell>
          <cell r="F25944">
            <v>886219949382</v>
          </cell>
        </row>
        <row r="25945">
          <cell r="E25945" t="str">
            <v>LUC-E00-460007-00</v>
          </cell>
          <cell r="F25945">
            <v>707296250830</v>
          </cell>
        </row>
        <row r="25946">
          <cell r="E25946" t="str">
            <v>AIC-MP-00006419-000</v>
          </cell>
          <cell r="F25946">
            <v>886218577385</v>
          </cell>
        </row>
        <row r="25947">
          <cell r="E25947" t="str">
            <v>LUC-EZZ-470094-00</v>
          </cell>
          <cell r="F25947">
            <v>395562750081</v>
          </cell>
        </row>
        <row r="25948">
          <cell r="E25948" t="str">
            <v>PUR-03-0092-03</v>
          </cell>
          <cell r="F25948" t="str">
            <v>8XN1058</v>
          </cell>
        </row>
        <row r="25949">
          <cell r="E25949" t="str">
            <v>PUR-03-0096-02</v>
          </cell>
          <cell r="F25949" t="str">
            <v>8XN1020</v>
          </cell>
        </row>
        <row r="25950">
          <cell r="E25950" t="str">
            <v>PUR-03-0092-03</v>
          </cell>
          <cell r="F25950" t="str">
            <v>8XN1055</v>
          </cell>
        </row>
        <row r="25951">
          <cell r="E25951" t="str">
            <v>PUR-03-0092-03</v>
          </cell>
          <cell r="F25951" t="str">
            <v>8XN1047</v>
          </cell>
        </row>
        <row r="25952">
          <cell r="E25952" t="str">
            <v>PUR-03-0092-03</v>
          </cell>
          <cell r="F25952" t="str">
            <v>8XN1056</v>
          </cell>
        </row>
        <row r="25953">
          <cell r="E25953" t="str">
            <v>PUR-03-0091-02</v>
          </cell>
          <cell r="F25953">
            <v>491945432469</v>
          </cell>
        </row>
        <row r="25954">
          <cell r="E25954" t="str">
            <v>PUR-03-0091-02</v>
          </cell>
          <cell r="F25954">
            <v>491945432469</v>
          </cell>
        </row>
        <row r="25955">
          <cell r="E25955" t="str">
            <v>PUR-03-0092-03</v>
          </cell>
          <cell r="F25955" t="str">
            <v>8XN1057</v>
          </cell>
        </row>
        <row r="25956">
          <cell r="E25956" t="str">
            <v>LUC-E00-470473-00</v>
          </cell>
          <cell r="F25956">
            <v>395471582819</v>
          </cell>
        </row>
        <row r="25957">
          <cell r="E25957" t="str">
            <v>LUC-EZZ-470308-00</v>
          </cell>
          <cell r="F25957">
            <v>395471582819</v>
          </cell>
        </row>
        <row r="25958">
          <cell r="E25958" t="str">
            <v>LUC-E00-470388-00</v>
          </cell>
          <cell r="F25958">
            <v>395570766251</v>
          </cell>
        </row>
        <row r="25959">
          <cell r="E25959" t="str">
            <v>LUC-P21-K33900-00</v>
          </cell>
          <cell r="F25959">
            <v>886184233743</v>
          </cell>
        </row>
        <row r="25960">
          <cell r="E25960" t="str">
            <v>LUC-E00-470086-00</v>
          </cell>
          <cell r="F25960">
            <v>395607803147</v>
          </cell>
        </row>
        <row r="25961">
          <cell r="E25961" t="str">
            <v>LUC-EZZ-470139-00</v>
          </cell>
          <cell r="F25961">
            <v>395607803147</v>
          </cell>
        </row>
        <row r="25962">
          <cell r="E25962" t="str">
            <v>LUC-EZZ-471571-00</v>
          </cell>
          <cell r="F25962">
            <v>395607803147</v>
          </cell>
        </row>
        <row r="25963">
          <cell r="E25963" t="str">
            <v>LUC-E00-470071-01</v>
          </cell>
          <cell r="F25963">
            <v>395607803147</v>
          </cell>
        </row>
        <row r="25964">
          <cell r="E25964" t="str">
            <v>LUC-E00-470353-00</v>
          </cell>
          <cell r="F25964">
            <v>395607803147</v>
          </cell>
        </row>
        <row r="25965">
          <cell r="E25965" t="str">
            <v>AIC-MP-00004184-000</v>
          </cell>
          <cell r="F25965">
            <v>886219260150</v>
          </cell>
        </row>
        <row r="25966">
          <cell r="E25966" t="str">
            <v>AIC-MP-00000219-000</v>
          </cell>
          <cell r="F25966">
            <v>886219260150</v>
          </cell>
        </row>
        <row r="25967">
          <cell r="E25967" t="str">
            <v>AIC-MP-00004185-000</v>
          </cell>
          <cell r="F25967">
            <v>886219260150</v>
          </cell>
        </row>
        <row r="25968">
          <cell r="E25968" t="str">
            <v>AIC-MP-00004185-000</v>
          </cell>
          <cell r="F25968">
            <v>886219260150</v>
          </cell>
        </row>
        <row r="25969">
          <cell r="E25969" t="str">
            <v>AIC-126-002388</v>
          </cell>
          <cell r="F25969">
            <v>476615867224</v>
          </cell>
        </row>
        <row r="25970">
          <cell r="E25970" t="str">
            <v>AIC-126-002388</v>
          </cell>
          <cell r="F25970">
            <v>476615867224</v>
          </cell>
        </row>
        <row r="25971">
          <cell r="E25971" t="str">
            <v>LUC-EZZ-470114-00</v>
          </cell>
          <cell r="F25971">
            <v>395462053869</v>
          </cell>
        </row>
        <row r="25972">
          <cell r="E25972" t="str">
            <v>LUC-E00-470031-00</v>
          </cell>
          <cell r="F25972">
            <v>395462053869</v>
          </cell>
        </row>
        <row r="25973">
          <cell r="E25973" t="str">
            <v>LUC-EZZ-470069-00</v>
          </cell>
          <cell r="F25973">
            <v>395462053869</v>
          </cell>
        </row>
        <row r="25974">
          <cell r="E25974" t="str">
            <v>LUC-E00-470085-00</v>
          </cell>
          <cell r="F25974">
            <v>886290253170</v>
          </cell>
        </row>
        <row r="25975">
          <cell r="E25975" t="str">
            <v>HLOB-09-0477-00</v>
          </cell>
          <cell r="F25975">
            <v>886290253170</v>
          </cell>
        </row>
        <row r="25976">
          <cell r="E25976" t="str">
            <v>LUC-E00-470124-00</v>
          </cell>
          <cell r="F25976">
            <v>886290253170</v>
          </cell>
        </row>
        <row r="25977">
          <cell r="E25977" t="str">
            <v>LUC-E00-470001-00</v>
          </cell>
          <cell r="F25977">
            <v>886290253170</v>
          </cell>
        </row>
        <row r="25978">
          <cell r="E25978" t="str">
            <v>LUC-E00-420028-00</v>
          </cell>
          <cell r="F25978">
            <v>886290253170</v>
          </cell>
        </row>
        <row r="25979">
          <cell r="E25979" t="str">
            <v>EF-45151001</v>
          </cell>
          <cell r="F25979">
            <v>886290253170</v>
          </cell>
        </row>
        <row r="25980">
          <cell r="E25980" t="str">
            <v>LUC-EZZ-400011-00</v>
          </cell>
          <cell r="F25980">
            <v>886290253170</v>
          </cell>
        </row>
        <row r="25981">
          <cell r="E25981" t="str">
            <v>LUC-E00-420011-04</v>
          </cell>
          <cell r="F25981">
            <v>886290253170</v>
          </cell>
        </row>
        <row r="25982">
          <cell r="E25982" t="str">
            <v>LUC-E00-470086-00</v>
          </cell>
          <cell r="F25982">
            <v>886290253170</v>
          </cell>
        </row>
        <row r="25983">
          <cell r="E25983" t="str">
            <v>LUC-E00-470029-00</v>
          </cell>
          <cell r="F25983">
            <v>395515447872</v>
          </cell>
        </row>
        <row r="25984">
          <cell r="E25984" t="str">
            <v>LUC-E00-470029-00</v>
          </cell>
          <cell r="F25984">
            <v>395515447872</v>
          </cell>
        </row>
        <row r="25985">
          <cell r="E25985" t="str">
            <v>LUC-E00-470029-00</v>
          </cell>
          <cell r="F25985">
            <v>395515447872</v>
          </cell>
        </row>
        <row r="25986">
          <cell r="E25986" t="str">
            <v>LUC-EZZ-470139-00</v>
          </cell>
          <cell r="F25986">
            <v>395515447872</v>
          </cell>
        </row>
        <row r="25987">
          <cell r="E25987" t="str">
            <v>LUC-EZZ-470139-00</v>
          </cell>
          <cell r="F25987">
            <v>395515447872</v>
          </cell>
        </row>
        <row r="25988">
          <cell r="E25988" t="str">
            <v>LUC-E00-470116-00</v>
          </cell>
          <cell r="F25988">
            <v>395515447872</v>
          </cell>
        </row>
        <row r="25989">
          <cell r="E25989" t="str">
            <v>LUC-E00-470353-00</v>
          </cell>
          <cell r="F25989">
            <v>395515447872</v>
          </cell>
        </row>
        <row r="25990">
          <cell r="E25990" t="str">
            <v>LUC-EZZ-470208-00</v>
          </cell>
          <cell r="F25990">
            <v>395515447872</v>
          </cell>
        </row>
        <row r="25991">
          <cell r="E25991" t="str">
            <v>LUC-E00-470071-01</v>
          </cell>
          <cell r="F25991">
            <v>395515447872</v>
          </cell>
        </row>
        <row r="25992">
          <cell r="E25992" t="str">
            <v>LUC-E00-470071-01</v>
          </cell>
          <cell r="F25992">
            <v>395515447872</v>
          </cell>
        </row>
        <row r="25993">
          <cell r="E25993" t="str">
            <v>LUC-E00-470071-01</v>
          </cell>
          <cell r="F25993">
            <v>395515447872</v>
          </cell>
        </row>
        <row r="25994">
          <cell r="E25994" t="str">
            <v>LUC-EZZ-470208-00</v>
          </cell>
          <cell r="F25994">
            <v>395515447872</v>
          </cell>
        </row>
        <row r="25995">
          <cell r="E25995" t="str">
            <v>LUC-E00-470071-01</v>
          </cell>
          <cell r="F25995">
            <v>395515447872</v>
          </cell>
        </row>
        <row r="25996">
          <cell r="E25996" t="str">
            <v>LUC-EZZ-470208-00</v>
          </cell>
          <cell r="F25996">
            <v>395515447872</v>
          </cell>
        </row>
        <row r="25997">
          <cell r="E25997" t="str">
            <v>LUC-E00-470071-01</v>
          </cell>
          <cell r="F25997">
            <v>395515447872</v>
          </cell>
        </row>
        <row r="25998">
          <cell r="E25998" t="str">
            <v>LUC-E00-470071-01</v>
          </cell>
          <cell r="F25998">
            <v>395515447872</v>
          </cell>
        </row>
        <row r="25999">
          <cell r="E25999" t="str">
            <v>LUC-E00-470071-01</v>
          </cell>
          <cell r="F25999">
            <v>395515447872</v>
          </cell>
        </row>
        <row r="26000">
          <cell r="E26000" t="str">
            <v>LUC-EZZ-470181-00</v>
          </cell>
          <cell r="F26000">
            <v>395515447872</v>
          </cell>
        </row>
        <row r="26001">
          <cell r="E26001" t="str">
            <v>LUC-E00-470041-00</v>
          </cell>
          <cell r="F26001">
            <v>395515447872</v>
          </cell>
        </row>
        <row r="26002">
          <cell r="E26002" t="str">
            <v>LUC-EZZ-470181-00</v>
          </cell>
          <cell r="F26002">
            <v>395515447872</v>
          </cell>
        </row>
        <row r="26003">
          <cell r="E26003" t="str">
            <v>LUC-EZZ-470181-00</v>
          </cell>
          <cell r="F26003">
            <v>395515447872</v>
          </cell>
        </row>
        <row r="26004">
          <cell r="E26004" t="str">
            <v>LUC-EZZ-470181-00</v>
          </cell>
          <cell r="F26004">
            <v>395515447872</v>
          </cell>
        </row>
        <row r="26005">
          <cell r="E26005" t="str">
            <v>LUC-EZZ-470181-00</v>
          </cell>
          <cell r="F26005">
            <v>395515447872</v>
          </cell>
        </row>
        <row r="26006">
          <cell r="E26006" t="str">
            <v>LUC-E00-470071-01</v>
          </cell>
          <cell r="F26006">
            <v>395515447872</v>
          </cell>
        </row>
        <row r="26007">
          <cell r="E26007" t="str">
            <v>LUC-E00-470116-00</v>
          </cell>
          <cell r="F26007">
            <v>395515447872</v>
          </cell>
        </row>
        <row r="26008">
          <cell r="E26008" t="str">
            <v>LUC-E00-470086-00</v>
          </cell>
          <cell r="F26008">
            <v>395515447872</v>
          </cell>
        </row>
        <row r="26009">
          <cell r="E26009" t="str">
            <v>LUC-E00-470086-00</v>
          </cell>
          <cell r="F26009">
            <v>395515447872</v>
          </cell>
        </row>
        <row r="26010">
          <cell r="E26010" t="str">
            <v>LUC-E00-470086-00</v>
          </cell>
          <cell r="F26010">
            <v>395515447872</v>
          </cell>
        </row>
        <row r="26011">
          <cell r="E26011" t="str">
            <v>LUC-E00-470086-00</v>
          </cell>
          <cell r="F26011">
            <v>395515447872</v>
          </cell>
        </row>
        <row r="26012">
          <cell r="E26012" t="str">
            <v>LUC-E00-470086-00</v>
          </cell>
          <cell r="F26012">
            <v>395515447872</v>
          </cell>
        </row>
        <row r="26013">
          <cell r="E26013" t="str">
            <v>LUC-E00-470086-00</v>
          </cell>
          <cell r="F26013">
            <v>395515447872</v>
          </cell>
        </row>
        <row r="26014">
          <cell r="E26014" t="str">
            <v>LUC-E00-470083-00</v>
          </cell>
          <cell r="F26014">
            <v>395377409782</v>
          </cell>
        </row>
        <row r="26015">
          <cell r="E26015" t="str">
            <v>LUC-E00-470472-00</v>
          </cell>
          <cell r="F26015">
            <v>395377409782</v>
          </cell>
        </row>
        <row r="26016">
          <cell r="E26016" t="str">
            <v>PUR-09-0324-00</v>
          </cell>
          <cell r="F26016">
            <v>395377409782</v>
          </cell>
        </row>
        <row r="26017">
          <cell r="E26017" t="str">
            <v>LUC-E00-470045-00</v>
          </cell>
          <cell r="F26017">
            <v>395377409782</v>
          </cell>
        </row>
        <row r="26018">
          <cell r="E26018" t="str">
            <v>LUC-E00-470413-01</v>
          </cell>
          <cell r="F26018">
            <v>395377409782</v>
          </cell>
        </row>
        <row r="26019">
          <cell r="E26019" t="str">
            <v>LUC-E00-470127-00</v>
          </cell>
          <cell r="F26019">
            <v>395377409782</v>
          </cell>
        </row>
        <row r="26020">
          <cell r="E26020" t="str">
            <v>LUC-EZZ-470308-00</v>
          </cell>
          <cell r="F26020">
            <v>395377409782</v>
          </cell>
        </row>
        <row r="26021">
          <cell r="E26021" t="str">
            <v>LUC-E00-470079-00</v>
          </cell>
          <cell r="F26021">
            <v>395377409782</v>
          </cell>
        </row>
        <row r="26022">
          <cell r="E26022" t="str">
            <v>LUC-E00-470036-00</v>
          </cell>
          <cell r="F26022">
            <v>395377409782</v>
          </cell>
        </row>
        <row r="26023">
          <cell r="E26023" t="str">
            <v>LUC-E00-470272-01</v>
          </cell>
          <cell r="F26023">
            <v>395377409782</v>
          </cell>
        </row>
        <row r="26024">
          <cell r="E26024" t="str">
            <v>LUC-E00-470072-00</v>
          </cell>
          <cell r="F26024">
            <v>395377409782</v>
          </cell>
        </row>
        <row r="26025">
          <cell r="E26025" t="str">
            <v>LUC-EZZ-470855-00</v>
          </cell>
          <cell r="F26025">
            <v>395377409782</v>
          </cell>
        </row>
        <row r="26026">
          <cell r="E26026" t="str">
            <v>LUC-EZZ-470422-00</v>
          </cell>
          <cell r="F26026">
            <v>395377409782</v>
          </cell>
        </row>
        <row r="26027">
          <cell r="E26027" t="str">
            <v>LUC-E00-470112-00</v>
          </cell>
          <cell r="F26027">
            <v>395377409782</v>
          </cell>
        </row>
        <row r="26028">
          <cell r="E26028" t="str">
            <v>LUC-EZZ-470095-00</v>
          </cell>
          <cell r="F26028">
            <v>395377409782</v>
          </cell>
        </row>
        <row r="26029">
          <cell r="E26029" t="str">
            <v>LUC-EZZ-470433-00</v>
          </cell>
          <cell r="F26029">
            <v>395377409782</v>
          </cell>
        </row>
        <row r="26030">
          <cell r="E26030" t="str">
            <v>LUC-E00-470030-00</v>
          </cell>
          <cell r="F26030">
            <v>395377409782</v>
          </cell>
        </row>
        <row r="26031">
          <cell r="E26031" t="str">
            <v>LUC-EZZ-471743-00</v>
          </cell>
          <cell r="F26031">
            <v>395377409782</v>
          </cell>
        </row>
        <row r="26032">
          <cell r="E26032" t="str">
            <v>LUC-E00-470073-00</v>
          </cell>
          <cell r="F26032">
            <v>395377409782</v>
          </cell>
        </row>
        <row r="26033">
          <cell r="E26033" t="str">
            <v>LUC-E00-440003-01</v>
          </cell>
          <cell r="F26033">
            <v>4711895782</v>
          </cell>
        </row>
        <row r="26034">
          <cell r="E26034" t="str">
            <v>LUC-E00-440003-02</v>
          </cell>
          <cell r="F26034">
            <v>4711895782</v>
          </cell>
        </row>
        <row r="26035">
          <cell r="E26035" t="str">
            <v>LUC-E00-440003-02</v>
          </cell>
          <cell r="F26035">
            <v>4711895782</v>
          </cell>
        </row>
        <row r="26036">
          <cell r="E26036" t="str">
            <v>LUC-E00-440013-00</v>
          </cell>
          <cell r="F26036">
            <v>4711895782</v>
          </cell>
        </row>
        <row r="26037">
          <cell r="E26037" t="str">
            <v>LUC-E00-440013-00</v>
          </cell>
          <cell r="F26037">
            <v>4711895782</v>
          </cell>
        </row>
        <row r="26038">
          <cell r="E26038" t="str">
            <v>LUC-E00-440014-00</v>
          </cell>
          <cell r="F26038">
            <v>4711895782</v>
          </cell>
        </row>
        <row r="26039">
          <cell r="E26039" t="str">
            <v>LUC-E00-440014-00</v>
          </cell>
          <cell r="F26039">
            <v>4711895782</v>
          </cell>
        </row>
        <row r="26040">
          <cell r="E26040" t="str">
            <v>LUC-E00-440014-01</v>
          </cell>
          <cell r="F26040">
            <v>4711895782</v>
          </cell>
        </row>
        <row r="26041">
          <cell r="E26041" t="str">
            <v>LUC-E00-440014-01</v>
          </cell>
          <cell r="F26041">
            <v>4711895782</v>
          </cell>
        </row>
        <row r="26042">
          <cell r="E26042" t="str">
            <v>LUC-E00-440023-02</v>
          </cell>
          <cell r="F26042">
            <v>4711895782</v>
          </cell>
        </row>
        <row r="26043">
          <cell r="E26043" t="str">
            <v>LUC-E00-440023-02</v>
          </cell>
          <cell r="F26043">
            <v>4711895782</v>
          </cell>
        </row>
        <row r="26044">
          <cell r="E26044" t="str">
            <v>LUC-E00-440046-00</v>
          </cell>
          <cell r="F26044">
            <v>4711895782</v>
          </cell>
        </row>
        <row r="26045">
          <cell r="E26045" t="str">
            <v>LUC-E00-440048-00</v>
          </cell>
          <cell r="F26045">
            <v>4711895782</v>
          </cell>
        </row>
        <row r="26046">
          <cell r="E26046" t="str">
            <v>LUC-E00-440072-01</v>
          </cell>
          <cell r="F26046">
            <v>4711895782</v>
          </cell>
        </row>
        <row r="26047">
          <cell r="E26047" t="str">
            <v>LUC-E00-440124-00</v>
          </cell>
          <cell r="F26047">
            <v>4711895782</v>
          </cell>
        </row>
        <row r="26048">
          <cell r="E26048" t="str">
            <v>LUC-E00-440124-00</v>
          </cell>
          <cell r="F26048">
            <v>4711895782</v>
          </cell>
        </row>
        <row r="26049">
          <cell r="E26049" t="str">
            <v>LUC-EZZ-440031-00</v>
          </cell>
          <cell r="F26049">
            <v>4711895782</v>
          </cell>
        </row>
        <row r="26050">
          <cell r="E26050" t="str">
            <v>LUC-EZZ-440031-00</v>
          </cell>
          <cell r="F26050">
            <v>4711895782</v>
          </cell>
        </row>
        <row r="26051">
          <cell r="E26051" t="str">
            <v>LUC-EZZ-440078-01</v>
          </cell>
          <cell r="F26051">
            <v>4711895782</v>
          </cell>
        </row>
        <row r="26052">
          <cell r="E26052" t="str">
            <v>LUC-EZZ-440078-01</v>
          </cell>
          <cell r="F26052">
            <v>4711895782</v>
          </cell>
        </row>
        <row r="26053">
          <cell r="E26053" t="str">
            <v>HLOB-13-0028-00</v>
          </cell>
          <cell r="F26053">
            <v>4711895779</v>
          </cell>
        </row>
        <row r="26054">
          <cell r="E26054" t="str">
            <v>PURET-12-0029-00</v>
          </cell>
          <cell r="F26054">
            <v>4711895779</v>
          </cell>
        </row>
        <row r="26055">
          <cell r="E26055" t="str">
            <v>PURET-12-0029-00</v>
          </cell>
          <cell r="F26055">
            <v>4711895779</v>
          </cell>
        </row>
        <row r="26056">
          <cell r="E26056" t="str">
            <v>HLOB-13-0009-00</v>
          </cell>
          <cell r="F26056">
            <v>4711895779</v>
          </cell>
        </row>
        <row r="26057">
          <cell r="E26057" t="str">
            <v>HLOB-13-0009-00</v>
          </cell>
          <cell r="F26057">
            <v>4711895779</v>
          </cell>
        </row>
        <row r="26058">
          <cell r="E26058" t="str">
            <v>HLOB-13-0009-00</v>
          </cell>
          <cell r="F26058">
            <v>4711895779</v>
          </cell>
        </row>
        <row r="26059">
          <cell r="E26059" t="str">
            <v>PURET-13-0009-00</v>
          </cell>
          <cell r="F26059">
            <v>4711895779</v>
          </cell>
        </row>
        <row r="26060">
          <cell r="E26060" t="str">
            <v>122-001188</v>
          </cell>
          <cell r="F26060">
            <v>4711895779</v>
          </cell>
        </row>
        <row r="26061">
          <cell r="E26061" t="str">
            <v>122-001188</v>
          </cell>
          <cell r="F26061">
            <v>4711895779</v>
          </cell>
        </row>
        <row r="26062">
          <cell r="E26062" t="str">
            <v>HLOB-13-0009-00</v>
          </cell>
          <cell r="F26062">
            <v>4711895779</v>
          </cell>
        </row>
        <row r="26063">
          <cell r="E26063" t="str">
            <v>LUC-E00-470074-00</v>
          </cell>
          <cell r="F26063">
            <v>4711895779</v>
          </cell>
        </row>
        <row r="26064">
          <cell r="E26064" t="str">
            <v>LUC-E00-470074-00</v>
          </cell>
          <cell r="F26064">
            <v>4711895779</v>
          </cell>
        </row>
        <row r="26065">
          <cell r="E26065" t="str">
            <v>LUC-EZZ-400297-00</v>
          </cell>
          <cell r="F26065">
            <v>4711895779</v>
          </cell>
        </row>
        <row r="26066">
          <cell r="E26066" t="str">
            <v>LUC-EZZ-400178-00</v>
          </cell>
          <cell r="F26066">
            <v>4711895779</v>
          </cell>
        </row>
        <row r="26067">
          <cell r="E26067" t="str">
            <v>LUC-EZZ-400783-00</v>
          </cell>
          <cell r="F26067">
            <v>4711895779</v>
          </cell>
        </row>
        <row r="26068">
          <cell r="E26068" t="str">
            <v>LUC-EZZ-470358-00</v>
          </cell>
          <cell r="F26068">
            <v>4711895779</v>
          </cell>
        </row>
        <row r="26069">
          <cell r="E26069" t="str">
            <v>LUC-EZZ-420391-00</v>
          </cell>
          <cell r="F26069">
            <v>4711895779</v>
          </cell>
        </row>
        <row r="26070">
          <cell r="E26070" t="str">
            <v>LUC-EZZ-450050-00</v>
          </cell>
          <cell r="F26070">
            <v>4711895779</v>
          </cell>
        </row>
        <row r="26071">
          <cell r="E26071" t="str">
            <v>LUC-E00-400012-15</v>
          </cell>
          <cell r="F26071">
            <v>4711895779</v>
          </cell>
        </row>
        <row r="26072">
          <cell r="E26072" t="str">
            <v>LUC-E00-400012-06</v>
          </cell>
          <cell r="F26072">
            <v>4711895779</v>
          </cell>
        </row>
        <row r="26073">
          <cell r="E26073" t="str">
            <v>LUC-E00-400012-17</v>
          </cell>
          <cell r="F26073">
            <v>4711895779</v>
          </cell>
        </row>
        <row r="26074">
          <cell r="E26074" t="str">
            <v>LUC-E00-400012-17</v>
          </cell>
          <cell r="F26074">
            <v>4711895779</v>
          </cell>
        </row>
        <row r="26075">
          <cell r="E26075" t="str">
            <v>LUC-EZZ-450017-00</v>
          </cell>
          <cell r="F26075">
            <v>4711895779</v>
          </cell>
        </row>
        <row r="26076">
          <cell r="E26076" t="str">
            <v>LUC-E00-510020-00</v>
          </cell>
          <cell r="F26076">
            <v>4711895779</v>
          </cell>
        </row>
        <row r="26077">
          <cell r="E26077" t="str">
            <v>LUC-E00-420020-08</v>
          </cell>
          <cell r="F26077">
            <v>4711895779</v>
          </cell>
        </row>
        <row r="26078">
          <cell r="E26078" t="str">
            <v>LUC-EZZ-440037-00</v>
          </cell>
          <cell r="F26078">
            <v>4711895779</v>
          </cell>
        </row>
        <row r="26079">
          <cell r="E26079" t="str">
            <v>LUC-EZZ-421242-00</v>
          </cell>
          <cell r="F26079">
            <v>4711895779</v>
          </cell>
        </row>
        <row r="26080">
          <cell r="E26080" t="str">
            <v>LUC-E00-420037-14</v>
          </cell>
          <cell r="F26080">
            <v>4711895779</v>
          </cell>
        </row>
        <row r="26081">
          <cell r="E26081" t="str">
            <v>LUC-E00-420020-08</v>
          </cell>
          <cell r="F26081">
            <v>4711895779</v>
          </cell>
        </row>
        <row r="26082">
          <cell r="E26082" t="str">
            <v>PUR-05-0031-00</v>
          </cell>
          <cell r="F26082">
            <v>1811265466</v>
          </cell>
        </row>
        <row r="26083">
          <cell r="E26083" t="str">
            <v>HLOB-05-0031-00</v>
          </cell>
          <cell r="F26083">
            <v>1811265466</v>
          </cell>
        </row>
        <row r="26084">
          <cell r="E26084" t="str">
            <v>PUR-05-0031-00</v>
          </cell>
          <cell r="F26084">
            <v>1811265466</v>
          </cell>
        </row>
        <row r="26085">
          <cell r="E26085" t="str">
            <v>EF-45134746</v>
          </cell>
          <cell r="F26085">
            <v>462141583311</v>
          </cell>
        </row>
        <row r="26086">
          <cell r="E26086" t="str">
            <v>LUC-P21-KA3200-00</v>
          </cell>
          <cell r="F26086">
            <v>462141583311</v>
          </cell>
        </row>
        <row r="26087">
          <cell r="E26087" t="str">
            <v>LUC-E00-690200-01</v>
          </cell>
          <cell r="F26087">
            <v>462141583311</v>
          </cell>
        </row>
        <row r="26088">
          <cell r="E26088" t="str">
            <v>LUC-E00-470379-00</v>
          </cell>
          <cell r="F26088">
            <v>489954264350</v>
          </cell>
        </row>
        <row r="26089">
          <cell r="E26089" t="str">
            <v>LUC-P11-K18000-00</v>
          </cell>
          <cell r="F26089">
            <v>489954264350</v>
          </cell>
        </row>
        <row r="26090">
          <cell r="E26090" t="str">
            <v>LUC-P11-K41700-00</v>
          </cell>
          <cell r="F26090">
            <v>489954264350</v>
          </cell>
        </row>
        <row r="26091">
          <cell r="E26091" t="str">
            <v>LUC-P11-K41700-00</v>
          </cell>
          <cell r="F26091">
            <v>489954264350</v>
          </cell>
        </row>
        <row r="26092">
          <cell r="E26092" t="str">
            <v>LUC-E00-400018-01</v>
          </cell>
          <cell r="F26092">
            <v>489954264350</v>
          </cell>
        </row>
        <row r="26093">
          <cell r="E26093" t="str">
            <v>PUR-24-0036-00</v>
          </cell>
          <cell r="F26093">
            <v>489954264350</v>
          </cell>
        </row>
        <row r="26094">
          <cell r="E26094" t="str">
            <v>HLOB-13-0258-00</v>
          </cell>
          <cell r="F26094">
            <v>489954264350</v>
          </cell>
        </row>
        <row r="26095">
          <cell r="E26095" t="str">
            <v>LUC-P11-K41700-00</v>
          </cell>
          <cell r="F26095">
            <v>489954264350</v>
          </cell>
        </row>
        <row r="26096">
          <cell r="E26096" t="str">
            <v>LUC-E00-440147-00</v>
          </cell>
          <cell r="F26096">
            <v>489954264350</v>
          </cell>
        </row>
        <row r="26097">
          <cell r="E26097" t="str">
            <v>EF-45224584</v>
          </cell>
          <cell r="F26097">
            <v>461596535549</v>
          </cell>
        </row>
        <row r="26098">
          <cell r="E26098" t="str">
            <v>PUR-09-0422-00</v>
          </cell>
          <cell r="F26098">
            <v>489800881779</v>
          </cell>
        </row>
        <row r="26099">
          <cell r="E26099" t="str">
            <v>PUR-09-0422-00</v>
          </cell>
          <cell r="F26099">
            <v>489800881779</v>
          </cell>
        </row>
        <row r="26100">
          <cell r="E26100" t="str">
            <v>HLOB-09-0343-00</v>
          </cell>
          <cell r="F26100">
            <v>489800881779</v>
          </cell>
        </row>
        <row r="26101">
          <cell r="E26101" t="str">
            <v>HLOB-09-0343-00</v>
          </cell>
          <cell r="F26101">
            <v>489800881779</v>
          </cell>
        </row>
        <row r="26102">
          <cell r="E26102" t="str">
            <v>HLOB-09-0343-00</v>
          </cell>
          <cell r="F26102">
            <v>489800881779</v>
          </cell>
        </row>
        <row r="26103">
          <cell r="E26103" t="str">
            <v>HLOB-09-0343-00</v>
          </cell>
          <cell r="F26103">
            <v>489800881779</v>
          </cell>
        </row>
        <row r="26104">
          <cell r="E26104" t="str">
            <v>HLOB-09-0343-00</v>
          </cell>
          <cell r="F26104">
            <v>489800881779</v>
          </cell>
        </row>
        <row r="26105">
          <cell r="E26105" t="str">
            <v>141-001480-01</v>
          </cell>
          <cell r="F26105">
            <v>886326558690</v>
          </cell>
        </row>
        <row r="26106">
          <cell r="E26106" t="str">
            <v>LUC-E00-450029-00</v>
          </cell>
          <cell r="F26106">
            <v>886370821540</v>
          </cell>
        </row>
        <row r="26107">
          <cell r="E26107" t="str">
            <v>LUC-EZZ-440021-00</v>
          </cell>
          <cell r="F26107">
            <v>486220350040</v>
          </cell>
        </row>
        <row r="26108">
          <cell r="E26108" t="str">
            <v>LUC-EZZ-440192-00</v>
          </cell>
          <cell r="F26108">
            <v>486220350040</v>
          </cell>
        </row>
        <row r="26109">
          <cell r="E26109" t="str">
            <v>LUC-EZZ-420396-00</v>
          </cell>
          <cell r="F26109">
            <v>486220350040</v>
          </cell>
        </row>
        <row r="26110">
          <cell r="E26110" t="str">
            <v>LUC-E00-470083-00</v>
          </cell>
          <cell r="F26110">
            <v>395615921950</v>
          </cell>
        </row>
        <row r="26111">
          <cell r="E26111" t="str">
            <v>PUR-09-0324-00</v>
          </cell>
          <cell r="F26111">
            <v>395615921950</v>
          </cell>
        </row>
        <row r="26112">
          <cell r="E26112" t="str">
            <v>PUR-09-0324-00</v>
          </cell>
          <cell r="F26112">
            <v>395615921950</v>
          </cell>
        </row>
        <row r="26113">
          <cell r="E26113" t="str">
            <v>PUR-09-0324-00</v>
          </cell>
          <cell r="F26113">
            <v>395615921950</v>
          </cell>
        </row>
        <row r="26114">
          <cell r="E26114" t="str">
            <v>LUC-E00-470036-00</v>
          </cell>
          <cell r="F26114">
            <v>395615921950</v>
          </cell>
        </row>
        <row r="26115">
          <cell r="E26115" t="str">
            <v>LUC-EZZ-470093-00</v>
          </cell>
          <cell r="F26115">
            <v>395615921950</v>
          </cell>
        </row>
        <row r="26116">
          <cell r="E26116" t="str">
            <v>LUC-E00-470062-00</v>
          </cell>
          <cell r="F26116">
            <v>1616960321</v>
          </cell>
        </row>
        <row r="26117">
          <cell r="E26117" t="str">
            <v>LUC-E00-470062-00</v>
          </cell>
          <cell r="F26117">
            <v>1616960321</v>
          </cell>
        </row>
        <row r="26118">
          <cell r="E26118" t="str">
            <v>LUC-E00-470062-00</v>
          </cell>
          <cell r="F26118">
            <v>1616960321</v>
          </cell>
        </row>
        <row r="26119">
          <cell r="E26119" t="str">
            <v>LUC-P11-JA2100-00</v>
          </cell>
          <cell r="F26119" t="str">
            <v>HWHPH2503728</v>
          </cell>
        </row>
        <row r="26120">
          <cell r="E26120" t="str">
            <v>LUC-P11-JA2100-00</v>
          </cell>
          <cell r="F26120" t="str">
            <v>HWHPH2503728</v>
          </cell>
        </row>
        <row r="26121">
          <cell r="E26121" t="str">
            <v>LUC-P11-JA2100-00</v>
          </cell>
          <cell r="F26121" t="str">
            <v>HWHPH2503728</v>
          </cell>
        </row>
        <row r="26122">
          <cell r="E26122" t="str">
            <v>LUC-E00-420074-00</v>
          </cell>
          <cell r="F26122">
            <v>4711896023</v>
          </cell>
        </row>
        <row r="26123">
          <cell r="E26123" t="str">
            <v>LUC-EZZ-510082-00</v>
          </cell>
          <cell r="F26123">
            <v>4711896023</v>
          </cell>
        </row>
        <row r="26124">
          <cell r="E26124" t="str">
            <v>LUC-E00-450010-00</v>
          </cell>
          <cell r="F26124">
            <v>4711896023</v>
          </cell>
        </row>
        <row r="26125">
          <cell r="E26125" t="str">
            <v>LUC-EZZ-400278-00</v>
          </cell>
          <cell r="F26125">
            <v>4711896023</v>
          </cell>
        </row>
        <row r="26126">
          <cell r="E26126" t="str">
            <v>LUC-E00-400023-000</v>
          </cell>
          <cell r="F26126">
            <v>4711896023</v>
          </cell>
        </row>
        <row r="26127">
          <cell r="E26127" t="str">
            <v>LUC-E00-420172-00</v>
          </cell>
          <cell r="F26127">
            <v>4711896023</v>
          </cell>
        </row>
        <row r="26128">
          <cell r="E26128" t="str">
            <v>LUC-E00-420172-00</v>
          </cell>
          <cell r="F26128">
            <v>4711896023</v>
          </cell>
        </row>
        <row r="26129">
          <cell r="E26129" t="str">
            <v>LUC-EZZ-420396-00</v>
          </cell>
          <cell r="F26129">
            <v>4711896023</v>
          </cell>
        </row>
        <row r="26130">
          <cell r="E26130" t="str">
            <v>LUC-E00-470331-00</v>
          </cell>
          <cell r="F26130">
            <v>4711896023</v>
          </cell>
        </row>
        <row r="26131">
          <cell r="E26131" t="str">
            <v>HLOB-13-0001-00</v>
          </cell>
          <cell r="F26131">
            <v>4711896023</v>
          </cell>
        </row>
        <row r="26132">
          <cell r="E26132" t="str">
            <v>PURET-13-0119-00</v>
          </cell>
          <cell r="F26132">
            <v>4711896023</v>
          </cell>
        </row>
        <row r="26133">
          <cell r="E26133" t="str">
            <v>AIC-122-004385</v>
          </cell>
          <cell r="F26133">
            <v>4711896023</v>
          </cell>
        </row>
        <row r="26134">
          <cell r="E26134" t="str">
            <v>HLOB-13-0001-00</v>
          </cell>
          <cell r="F26134">
            <v>4711896023</v>
          </cell>
        </row>
        <row r="26135">
          <cell r="E26135" t="str">
            <v>PURET-13-0119-00</v>
          </cell>
          <cell r="F26135">
            <v>4711896023</v>
          </cell>
        </row>
        <row r="26136">
          <cell r="E26136" t="str">
            <v>HLOB-13-0001-00</v>
          </cell>
          <cell r="F26136">
            <v>4711896023</v>
          </cell>
        </row>
        <row r="26137">
          <cell r="E26137" t="str">
            <v>PURET-13-0119-00</v>
          </cell>
          <cell r="F26137">
            <v>4711896023</v>
          </cell>
        </row>
        <row r="26138">
          <cell r="E26138" t="str">
            <v>LUC-EZZ-420124-00</v>
          </cell>
          <cell r="F26138">
            <v>4711896023</v>
          </cell>
        </row>
        <row r="26139">
          <cell r="E26139" t="str">
            <v>HLOB-13-0001-00</v>
          </cell>
          <cell r="F26139">
            <v>4711896023</v>
          </cell>
        </row>
        <row r="26140">
          <cell r="E26140" t="str">
            <v>LUC-EZZ-400200-00</v>
          </cell>
          <cell r="F26140">
            <v>4711896023</v>
          </cell>
        </row>
        <row r="26141">
          <cell r="E26141" t="str">
            <v>LUC-EZZ-440016-00</v>
          </cell>
          <cell r="F26141">
            <v>4711896023</v>
          </cell>
        </row>
        <row r="26142">
          <cell r="E26142" t="str">
            <v>LUC-EZZ-420331-00</v>
          </cell>
          <cell r="F26142">
            <v>4711896023</v>
          </cell>
        </row>
        <row r="26143">
          <cell r="E26143" t="str">
            <v>LUC-EZZ-440016-00</v>
          </cell>
          <cell r="F26143">
            <v>4711896023</v>
          </cell>
        </row>
        <row r="26144">
          <cell r="E26144" t="str">
            <v>LUC-E00-450037-00</v>
          </cell>
          <cell r="F26144">
            <v>4711896023</v>
          </cell>
        </row>
        <row r="26145">
          <cell r="E26145" t="str">
            <v>LUC-EZZ-420124-00</v>
          </cell>
          <cell r="F26145">
            <v>4711896023</v>
          </cell>
        </row>
        <row r="26146">
          <cell r="E26146" t="str">
            <v>LUC-EZZ-420124-00</v>
          </cell>
          <cell r="F26146">
            <v>4711896023</v>
          </cell>
        </row>
        <row r="26147">
          <cell r="E26147" t="str">
            <v>LUC-E00-510018-00</v>
          </cell>
          <cell r="F26147">
            <v>4711896023</v>
          </cell>
        </row>
        <row r="26148">
          <cell r="E26148" t="str">
            <v>PURET-13-0119-00</v>
          </cell>
          <cell r="F26148">
            <v>4711896023</v>
          </cell>
        </row>
        <row r="26149">
          <cell r="E26149" t="str">
            <v>PURET-13-0119-00</v>
          </cell>
          <cell r="F26149">
            <v>4711896023</v>
          </cell>
        </row>
        <row r="26150">
          <cell r="E26150" t="str">
            <v>LUC-EZZ-420145-00</v>
          </cell>
          <cell r="F26150">
            <v>4711896023</v>
          </cell>
        </row>
        <row r="26151">
          <cell r="E26151" t="str">
            <v>LUC-EZZ-420195-00</v>
          </cell>
          <cell r="F26151">
            <v>4711896023</v>
          </cell>
        </row>
        <row r="26152">
          <cell r="E26152" t="str">
            <v>LUC-E00-400034-118</v>
          </cell>
          <cell r="F26152">
            <v>4711896023</v>
          </cell>
        </row>
        <row r="26153">
          <cell r="E26153" t="str">
            <v>LUC-EZZ-420195-00</v>
          </cell>
          <cell r="F26153">
            <v>4711896023</v>
          </cell>
        </row>
        <row r="26154">
          <cell r="E26154" t="str">
            <v>LUC-EZZ-440077-00</v>
          </cell>
          <cell r="F26154">
            <v>4711896023</v>
          </cell>
        </row>
        <row r="26155">
          <cell r="E26155" t="str">
            <v>LUC-E00-420055-01</v>
          </cell>
          <cell r="F26155">
            <v>4711896023</v>
          </cell>
        </row>
        <row r="26156">
          <cell r="E26156" t="str">
            <v>LUC-EZZ-420200-00</v>
          </cell>
          <cell r="F26156">
            <v>4711896023</v>
          </cell>
        </row>
        <row r="26157">
          <cell r="E26157" t="str">
            <v>LUC-EZZ-420342-00</v>
          </cell>
          <cell r="F26157">
            <v>4711896023</v>
          </cell>
        </row>
        <row r="26158">
          <cell r="E26158" t="str">
            <v>LUC-EZZ-400554-00</v>
          </cell>
          <cell r="F26158">
            <v>4711896023</v>
          </cell>
        </row>
        <row r="26159">
          <cell r="E26159" t="str">
            <v>LUC-EZZ-400200-00</v>
          </cell>
          <cell r="F26159">
            <v>4711896023</v>
          </cell>
        </row>
        <row r="26160">
          <cell r="E26160" t="str">
            <v>LUC-EZZ-400289-00</v>
          </cell>
          <cell r="F26160">
            <v>4711896023</v>
          </cell>
        </row>
        <row r="26161">
          <cell r="E26161" t="str">
            <v>LUC-EZZ-420256-00</v>
          </cell>
          <cell r="F26161">
            <v>4711896023</v>
          </cell>
        </row>
        <row r="26162">
          <cell r="E26162" t="str">
            <v>LUC-EZZ-440077-00</v>
          </cell>
          <cell r="F26162">
            <v>4711896023</v>
          </cell>
        </row>
        <row r="26163">
          <cell r="E26163" t="str">
            <v>LUC-EZZ-401556-00</v>
          </cell>
          <cell r="F26163">
            <v>4711896023</v>
          </cell>
        </row>
        <row r="26164">
          <cell r="E26164" t="str">
            <v>LUC-EZZ-400010-00</v>
          </cell>
          <cell r="F26164">
            <v>4711896023</v>
          </cell>
        </row>
        <row r="26165">
          <cell r="E26165" t="str">
            <v>LUC-EZZ-420005-00</v>
          </cell>
          <cell r="F26165">
            <v>4711896023</v>
          </cell>
        </row>
        <row r="26166">
          <cell r="E26166" t="str">
            <v>LUC-EZZ-420695-01</v>
          </cell>
          <cell r="F26166">
            <v>4711896023</v>
          </cell>
        </row>
        <row r="26167">
          <cell r="E26167" t="str">
            <v>LUC-E00-450010-00</v>
          </cell>
          <cell r="F26167">
            <v>4711896023</v>
          </cell>
        </row>
        <row r="26168">
          <cell r="E26168" t="str">
            <v>LUC-EZZ-400200-00</v>
          </cell>
          <cell r="F26168">
            <v>4711896023</v>
          </cell>
        </row>
        <row r="26169">
          <cell r="E26169" t="str">
            <v>LUC-EZZ-420256-00</v>
          </cell>
          <cell r="F26169">
            <v>4711896023</v>
          </cell>
        </row>
        <row r="26170">
          <cell r="E26170" t="str">
            <v>LUC-E00-450010-00</v>
          </cell>
          <cell r="F26170">
            <v>4711896023</v>
          </cell>
        </row>
        <row r="26171">
          <cell r="E26171" t="str">
            <v>142-000043</v>
          </cell>
          <cell r="F26171">
            <v>4711896023</v>
          </cell>
        </row>
        <row r="26172">
          <cell r="E26172" t="str">
            <v>LUC-EZZ-420331-00</v>
          </cell>
          <cell r="F26172">
            <v>4711896023</v>
          </cell>
        </row>
        <row r="26173">
          <cell r="E26173" t="str">
            <v>LUC-EZZ-400608-00</v>
          </cell>
          <cell r="F26173">
            <v>4711896023</v>
          </cell>
        </row>
        <row r="26174">
          <cell r="E26174" t="str">
            <v>LUC-EZZ-400608-00</v>
          </cell>
          <cell r="F26174">
            <v>4711896023</v>
          </cell>
        </row>
        <row r="26175">
          <cell r="E26175" t="str">
            <v>LUC-EZZ-400465-00</v>
          </cell>
          <cell r="F26175">
            <v>4711896023</v>
          </cell>
        </row>
        <row r="26176">
          <cell r="E26176" t="str">
            <v>LUC-EZZ-420195-00</v>
          </cell>
          <cell r="F26176">
            <v>4711896023</v>
          </cell>
        </row>
        <row r="26177">
          <cell r="E26177" t="str">
            <v>LUC-EZZ-420344-00</v>
          </cell>
          <cell r="F26177">
            <v>4711896023</v>
          </cell>
        </row>
        <row r="26178">
          <cell r="E26178" t="str">
            <v>LUC-E00-400034-118</v>
          </cell>
          <cell r="F26178">
            <v>4711896023</v>
          </cell>
        </row>
        <row r="26179">
          <cell r="E26179" t="str">
            <v>LUC-EZZ-420005-00</v>
          </cell>
          <cell r="F26179">
            <v>4711896023</v>
          </cell>
        </row>
        <row r="26180">
          <cell r="E26180" t="str">
            <v>LUC-E00-480007-00</v>
          </cell>
          <cell r="F26180">
            <v>4711896023</v>
          </cell>
        </row>
        <row r="26181">
          <cell r="E26181" t="str">
            <v>LUC-E00-400023-000</v>
          </cell>
          <cell r="F26181">
            <v>4711896023</v>
          </cell>
        </row>
        <row r="26182">
          <cell r="E26182" t="str">
            <v>LUC-E00-420054-06</v>
          </cell>
          <cell r="F26182">
            <v>4711896023</v>
          </cell>
        </row>
        <row r="26183">
          <cell r="E26183" t="str">
            <v>LUC-EZZ-400608-00</v>
          </cell>
          <cell r="F26183">
            <v>4711896023</v>
          </cell>
        </row>
        <row r="26184">
          <cell r="E26184" t="str">
            <v>LUC-E00-400034-090</v>
          </cell>
          <cell r="F26184">
            <v>4711896023</v>
          </cell>
        </row>
        <row r="26185">
          <cell r="E26185" t="str">
            <v>LUC-E00-400067-458</v>
          </cell>
          <cell r="F26185">
            <v>4711896023</v>
          </cell>
        </row>
        <row r="26186">
          <cell r="E26186" t="str">
            <v>LUC-EZZ-420321-00</v>
          </cell>
          <cell r="F26186">
            <v>4812864666</v>
          </cell>
        </row>
        <row r="26187">
          <cell r="E26187" t="str">
            <v>LUC-EZZ-420527-00</v>
          </cell>
          <cell r="F26187">
            <v>4812864666</v>
          </cell>
        </row>
        <row r="26188">
          <cell r="E26188" t="str">
            <v>AIC-MP-00003427-000</v>
          </cell>
          <cell r="F26188">
            <v>4812864666</v>
          </cell>
        </row>
        <row r="26189">
          <cell r="E26189" t="str">
            <v>LUC-E00-420072-01</v>
          </cell>
          <cell r="F26189">
            <v>4812864666</v>
          </cell>
        </row>
        <row r="26190">
          <cell r="E26190" t="str">
            <v>PUR-13-0134-00</v>
          </cell>
          <cell r="F26190">
            <v>4812864666</v>
          </cell>
        </row>
        <row r="26191">
          <cell r="E26191" t="str">
            <v>PUR-13-0134-00</v>
          </cell>
          <cell r="F26191">
            <v>4812864666</v>
          </cell>
        </row>
        <row r="26192">
          <cell r="E26192" t="str">
            <v>HLOB-13-0134-00</v>
          </cell>
          <cell r="F26192">
            <v>4812864666</v>
          </cell>
        </row>
        <row r="26193">
          <cell r="E26193" t="str">
            <v>HLOB-13-0134-00</v>
          </cell>
          <cell r="F26193">
            <v>4812864666</v>
          </cell>
        </row>
        <row r="26194">
          <cell r="E26194" t="str">
            <v>HLOB-13-0134-00</v>
          </cell>
          <cell r="F26194">
            <v>4812864666</v>
          </cell>
        </row>
        <row r="26195">
          <cell r="E26195" t="str">
            <v>HLOB-13-0134-00</v>
          </cell>
          <cell r="F26195">
            <v>4812864666</v>
          </cell>
        </row>
        <row r="26196">
          <cell r="E26196" t="str">
            <v>PUR-13-0212-00</v>
          </cell>
          <cell r="F26196">
            <v>4812864666</v>
          </cell>
        </row>
        <row r="26197">
          <cell r="E26197" t="str">
            <v>HLOB-13-0212-00</v>
          </cell>
          <cell r="F26197">
            <v>4812864666</v>
          </cell>
        </row>
        <row r="26198">
          <cell r="E26198" t="str">
            <v>PUR-13-0229-00</v>
          </cell>
          <cell r="F26198">
            <v>4812864666</v>
          </cell>
        </row>
        <row r="26199">
          <cell r="E26199" t="str">
            <v>HLOB-13-0229-00</v>
          </cell>
          <cell r="F26199">
            <v>4812864666</v>
          </cell>
        </row>
        <row r="26200">
          <cell r="E26200" t="str">
            <v>HLOB-13-0229-00</v>
          </cell>
          <cell r="F26200">
            <v>4812864666</v>
          </cell>
        </row>
        <row r="26201">
          <cell r="E26201" t="str">
            <v>HLOB-13-0229-00</v>
          </cell>
          <cell r="F26201">
            <v>4812864666</v>
          </cell>
        </row>
        <row r="26202">
          <cell r="E26202" t="str">
            <v>HLOB-13-0229-00</v>
          </cell>
          <cell r="F26202">
            <v>4812864666</v>
          </cell>
        </row>
        <row r="26203">
          <cell r="E26203" t="str">
            <v>HLOB-13-0229-00</v>
          </cell>
          <cell r="F26203">
            <v>4812864666</v>
          </cell>
        </row>
        <row r="26204">
          <cell r="E26204" t="str">
            <v>HLOB-13-0229-00</v>
          </cell>
          <cell r="F26204">
            <v>4812864666</v>
          </cell>
        </row>
        <row r="26205">
          <cell r="E26205" t="str">
            <v>PURET-13-0069-00</v>
          </cell>
          <cell r="F26205">
            <v>4812864666</v>
          </cell>
        </row>
        <row r="26206">
          <cell r="E26206" t="str">
            <v>PURET-13-0066-00</v>
          </cell>
          <cell r="F26206">
            <v>4812864666</v>
          </cell>
        </row>
        <row r="26207">
          <cell r="E26207" t="str">
            <v>HLOB-13-0022-00</v>
          </cell>
          <cell r="F26207">
            <v>4812864666</v>
          </cell>
        </row>
        <row r="26208">
          <cell r="E26208" t="str">
            <v>HLOB-13-0022-00</v>
          </cell>
          <cell r="F26208">
            <v>4812864666</v>
          </cell>
        </row>
        <row r="26209">
          <cell r="E26209" t="str">
            <v>HLOB-13-0022-00</v>
          </cell>
          <cell r="F26209">
            <v>4812864666</v>
          </cell>
        </row>
        <row r="26210">
          <cell r="E26210" t="str">
            <v>HLOB-13-0022-00</v>
          </cell>
          <cell r="F26210">
            <v>4812864666</v>
          </cell>
        </row>
        <row r="26211">
          <cell r="E26211" t="str">
            <v>HLOB-13-0022-00</v>
          </cell>
          <cell r="F26211">
            <v>4812864666</v>
          </cell>
        </row>
        <row r="26212">
          <cell r="E26212" t="str">
            <v>HLOB-13-0022-00</v>
          </cell>
          <cell r="F26212">
            <v>4812864666</v>
          </cell>
        </row>
        <row r="26213">
          <cell r="E26213" t="str">
            <v>HLOB-13-0022-00</v>
          </cell>
          <cell r="F26213">
            <v>4812864666</v>
          </cell>
        </row>
        <row r="26214">
          <cell r="E26214" t="str">
            <v>HLOB-13-0022-00</v>
          </cell>
          <cell r="F26214">
            <v>4812864666</v>
          </cell>
        </row>
        <row r="26215">
          <cell r="E26215" t="str">
            <v>LUC-EZZ-420539-00</v>
          </cell>
          <cell r="F26215">
            <v>4812864666</v>
          </cell>
        </row>
        <row r="26216">
          <cell r="E26216" t="str">
            <v>PUR-13-0212-00</v>
          </cell>
          <cell r="F26216">
            <v>4812864666</v>
          </cell>
        </row>
        <row r="26217">
          <cell r="E26217" t="str">
            <v>HLOB-13-0212-00</v>
          </cell>
          <cell r="F26217">
            <v>4812864666</v>
          </cell>
        </row>
        <row r="26218">
          <cell r="E26218" t="str">
            <v>HLOB-13-0212-00</v>
          </cell>
          <cell r="F26218">
            <v>4812864666</v>
          </cell>
        </row>
        <row r="26219">
          <cell r="E26219" t="str">
            <v>HLOB-13-0212-00</v>
          </cell>
          <cell r="F26219">
            <v>4812864666</v>
          </cell>
        </row>
        <row r="26220">
          <cell r="E26220" t="str">
            <v>HLOB-13-0212-00</v>
          </cell>
          <cell r="F26220">
            <v>4812864666</v>
          </cell>
        </row>
        <row r="26221">
          <cell r="E26221" t="str">
            <v>HLOB-13-0002-00</v>
          </cell>
          <cell r="F26221">
            <v>4812864666</v>
          </cell>
        </row>
        <row r="26222">
          <cell r="E26222" t="str">
            <v>HLOB-13-0002-00</v>
          </cell>
          <cell r="F26222">
            <v>4812864666</v>
          </cell>
        </row>
        <row r="26223">
          <cell r="E26223" t="str">
            <v>PURET-13-0002-00</v>
          </cell>
          <cell r="F26223">
            <v>4812864666</v>
          </cell>
        </row>
        <row r="26224">
          <cell r="E26224" t="str">
            <v>HLOB-13-0138-00</v>
          </cell>
          <cell r="F26224">
            <v>4812864666</v>
          </cell>
        </row>
        <row r="26225">
          <cell r="E26225" t="str">
            <v>PUR-13-0138-00</v>
          </cell>
          <cell r="F26225">
            <v>4812864666</v>
          </cell>
        </row>
        <row r="26226">
          <cell r="E26226" t="str">
            <v>HLOB-13-0138-00</v>
          </cell>
          <cell r="F26226">
            <v>4812864666</v>
          </cell>
        </row>
        <row r="26227">
          <cell r="E26227" t="str">
            <v>HLOB-13-0138-00</v>
          </cell>
          <cell r="F26227">
            <v>4812864666</v>
          </cell>
        </row>
        <row r="26228">
          <cell r="E26228" t="str">
            <v>HLOB-13-0138-00</v>
          </cell>
          <cell r="F26228">
            <v>4812864666</v>
          </cell>
        </row>
        <row r="26229">
          <cell r="E26229" t="str">
            <v>HLOB-13-0138-00</v>
          </cell>
          <cell r="F26229">
            <v>4812864666</v>
          </cell>
        </row>
        <row r="26230">
          <cell r="E26230" t="str">
            <v>LUC-E00-420038-01</v>
          </cell>
          <cell r="F26230">
            <v>886370291447</v>
          </cell>
        </row>
        <row r="26231">
          <cell r="E26231" t="str">
            <v>LUC-E00-420037-14</v>
          </cell>
          <cell r="F26231">
            <v>886370291447</v>
          </cell>
        </row>
        <row r="26232">
          <cell r="E26232" t="str">
            <v>LUC-E00-400012-19</v>
          </cell>
          <cell r="F26232">
            <v>886370291447</v>
          </cell>
        </row>
        <row r="26233">
          <cell r="E26233" t="str">
            <v>LUC-EZZ-421242-00</v>
          </cell>
          <cell r="F26233">
            <v>886370291447</v>
          </cell>
        </row>
        <row r="26234">
          <cell r="E26234" t="str">
            <v>HLOB-13-0155-00</v>
          </cell>
          <cell r="F26234">
            <v>886370291447</v>
          </cell>
        </row>
        <row r="26235">
          <cell r="E26235" t="str">
            <v>HLOB-13-0155-00</v>
          </cell>
          <cell r="F26235">
            <v>886370291447</v>
          </cell>
        </row>
        <row r="26236">
          <cell r="E26236" t="str">
            <v>HLOB-13-0155-00</v>
          </cell>
          <cell r="F26236">
            <v>886370291447</v>
          </cell>
        </row>
        <row r="26237">
          <cell r="E26237" t="str">
            <v>HLOB-13-0155-00</v>
          </cell>
          <cell r="F26237">
            <v>886370291447</v>
          </cell>
        </row>
        <row r="26238">
          <cell r="E26238" t="str">
            <v>HLOB-13-0155-00</v>
          </cell>
          <cell r="F26238">
            <v>886370291447</v>
          </cell>
        </row>
        <row r="26239">
          <cell r="E26239" t="str">
            <v>HLOB-13-0155-00</v>
          </cell>
          <cell r="F26239">
            <v>886370291447</v>
          </cell>
        </row>
        <row r="26240">
          <cell r="E26240" t="str">
            <v>HLOB-13-0155-00</v>
          </cell>
          <cell r="F26240">
            <v>886370291447</v>
          </cell>
        </row>
        <row r="26241">
          <cell r="E26241" t="str">
            <v>HLOB-13-0155-00</v>
          </cell>
          <cell r="F26241">
            <v>886370291447</v>
          </cell>
        </row>
        <row r="26242">
          <cell r="E26242" t="str">
            <v>HLOB-13-0155-00</v>
          </cell>
          <cell r="F26242">
            <v>886370291447</v>
          </cell>
        </row>
        <row r="26243">
          <cell r="E26243" t="str">
            <v>AGI-500-40220-01</v>
          </cell>
          <cell r="F26243">
            <v>886370291447</v>
          </cell>
        </row>
        <row r="26244">
          <cell r="E26244" t="str">
            <v>PUR-13-0155-00</v>
          </cell>
          <cell r="F26244">
            <v>886370291447</v>
          </cell>
        </row>
        <row r="26245">
          <cell r="E26245" t="str">
            <v>HLOB-13-0155-00</v>
          </cell>
          <cell r="F26245">
            <v>886370291447</v>
          </cell>
        </row>
        <row r="26246">
          <cell r="E26246" t="str">
            <v>HLOB-13-0028-00</v>
          </cell>
          <cell r="F26246">
            <v>886370291447</v>
          </cell>
        </row>
        <row r="26247">
          <cell r="E26247" t="str">
            <v>HLOB-13-0028-00</v>
          </cell>
          <cell r="F26247">
            <v>886370291447</v>
          </cell>
        </row>
        <row r="26248">
          <cell r="E26248" t="str">
            <v>PURET-13-0028-00</v>
          </cell>
          <cell r="F26248">
            <v>886370291447</v>
          </cell>
        </row>
        <row r="26249">
          <cell r="E26249" t="str">
            <v>LUC-E00-450205-00</v>
          </cell>
          <cell r="F26249">
            <v>886370291447</v>
          </cell>
        </row>
        <row r="26250">
          <cell r="E26250" t="str">
            <v>122-000846.X.X</v>
          </cell>
          <cell r="F26250">
            <v>886370291447</v>
          </cell>
        </row>
        <row r="26251">
          <cell r="E26251" t="str">
            <v>122-000846.X.X</v>
          </cell>
          <cell r="F26251">
            <v>886370291447</v>
          </cell>
        </row>
        <row r="26252">
          <cell r="E26252" t="str">
            <v>121-003819</v>
          </cell>
          <cell r="F26252">
            <v>886420995483</v>
          </cell>
        </row>
        <row r="26253">
          <cell r="E26253" t="str">
            <v>EF-45103518</v>
          </cell>
          <cell r="F26253">
            <v>886420995483</v>
          </cell>
        </row>
        <row r="26254">
          <cell r="E26254" t="str">
            <v>PUR-09-0213-00</v>
          </cell>
          <cell r="F26254">
            <v>479730184697</v>
          </cell>
        </row>
        <row r="26255">
          <cell r="E26255" t="str">
            <v>PUR-03-0095-00</v>
          </cell>
          <cell r="F26255">
            <v>491493361335</v>
          </cell>
        </row>
        <row r="26256">
          <cell r="E26256" t="str">
            <v>LUC-E00-470020-01</v>
          </cell>
          <cell r="F26256">
            <v>886374672334</v>
          </cell>
        </row>
        <row r="26257">
          <cell r="E26257" t="str">
            <v>LUC-E00-470020-01</v>
          </cell>
          <cell r="F26257">
            <v>886374672334</v>
          </cell>
        </row>
        <row r="26258">
          <cell r="E26258" t="str">
            <v>LUC-EZZ-450236-00</v>
          </cell>
          <cell r="F26258">
            <v>409298898574</v>
          </cell>
        </row>
        <row r="26259">
          <cell r="E26259" t="str">
            <v>LUC-EZZ-450236-00</v>
          </cell>
          <cell r="F26259">
            <v>409298898574</v>
          </cell>
        </row>
        <row r="26260">
          <cell r="E26260" t="str">
            <v>LUC-EZZ-400260-00</v>
          </cell>
          <cell r="F26260">
            <v>409298898574</v>
          </cell>
        </row>
        <row r="26261">
          <cell r="E26261" t="str">
            <v>LUC-EZZ-420101-00</v>
          </cell>
          <cell r="F26261">
            <v>409298898574</v>
          </cell>
        </row>
        <row r="26262">
          <cell r="E26262" t="str">
            <v>LUC-E00-420003-00</v>
          </cell>
          <cell r="F26262">
            <v>409298898574</v>
          </cell>
        </row>
        <row r="26263">
          <cell r="E26263" t="str">
            <v>LUC-EZZ-400609-00</v>
          </cell>
          <cell r="F26263">
            <v>409298898574</v>
          </cell>
        </row>
        <row r="26264">
          <cell r="E26264" t="str">
            <v>LUC-EZZ-441177-00</v>
          </cell>
          <cell r="F26264">
            <v>409298898574</v>
          </cell>
        </row>
        <row r="26265">
          <cell r="E26265" t="str">
            <v>LUC-EZZ-420099-00</v>
          </cell>
          <cell r="F26265">
            <v>409298898574</v>
          </cell>
        </row>
        <row r="26266">
          <cell r="E26266" t="str">
            <v>LUC-E00-420003-00</v>
          </cell>
          <cell r="F26266">
            <v>409298898574</v>
          </cell>
        </row>
        <row r="26267">
          <cell r="E26267" t="str">
            <v>LUC-E00-420003-00</v>
          </cell>
          <cell r="F26267">
            <v>409298898574</v>
          </cell>
        </row>
        <row r="26268">
          <cell r="E26268" t="str">
            <v>LUC-E00-420056-01</v>
          </cell>
          <cell r="F26268">
            <v>409298898574</v>
          </cell>
        </row>
        <row r="26269">
          <cell r="E26269" t="str">
            <v>LUC-EZZ-421653-00</v>
          </cell>
          <cell r="F26269">
            <v>471783783943</v>
          </cell>
        </row>
        <row r="26270">
          <cell r="E26270" t="str">
            <v>PUR-12-0271-00</v>
          </cell>
          <cell r="F26270">
            <v>471783783943</v>
          </cell>
        </row>
        <row r="26271">
          <cell r="E26271" t="str">
            <v>LUC-EZZ-401538-00</v>
          </cell>
          <cell r="F26271">
            <v>471783783943</v>
          </cell>
        </row>
        <row r="26272">
          <cell r="E26272" t="str">
            <v>HLOB-12-0407-00</v>
          </cell>
          <cell r="F26272">
            <v>471783783943</v>
          </cell>
        </row>
        <row r="26273">
          <cell r="E26273" t="str">
            <v>HLOB-12-0407-00</v>
          </cell>
          <cell r="F26273">
            <v>471783783943</v>
          </cell>
        </row>
        <row r="26274">
          <cell r="E26274" t="str">
            <v>HLOB-12-0407-00</v>
          </cell>
          <cell r="F26274">
            <v>471783783943</v>
          </cell>
        </row>
        <row r="26275">
          <cell r="E26275" t="str">
            <v>PUR-12-0297-00</v>
          </cell>
          <cell r="F26275">
            <v>471783783943</v>
          </cell>
        </row>
        <row r="26276">
          <cell r="E26276" t="str">
            <v>HLOB-12-0294-00</v>
          </cell>
          <cell r="F26276">
            <v>471783783943</v>
          </cell>
        </row>
        <row r="26277">
          <cell r="E26277" t="str">
            <v>HLOB-12-0294-00</v>
          </cell>
          <cell r="F26277">
            <v>471783783943</v>
          </cell>
        </row>
        <row r="26278">
          <cell r="E26278" t="str">
            <v>HLOB-12-0294-00</v>
          </cell>
          <cell r="F26278">
            <v>471783783943</v>
          </cell>
        </row>
        <row r="26279">
          <cell r="E26279" t="str">
            <v>HLOB-12-0294-00</v>
          </cell>
          <cell r="F26279">
            <v>471783783943</v>
          </cell>
        </row>
        <row r="26280">
          <cell r="E26280" t="str">
            <v>HLOB-12-0294-00</v>
          </cell>
          <cell r="F26280">
            <v>471783783943</v>
          </cell>
        </row>
        <row r="26281">
          <cell r="E26281" t="str">
            <v>HLOB-12-0294-00</v>
          </cell>
          <cell r="F26281">
            <v>471783783943</v>
          </cell>
        </row>
        <row r="26282">
          <cell r="E26282" t="str">
            <v>HLOB-12-0035-00</v>
          </cell>
          <cell r="F26282">
            <v>471783783943</v>
          </cell>
        </row>
        <row r="26283">
          <cell r="E26283" t="str">
            <v>HLOB-12-0035-00</v>
          </cell>
          <cell r="F26283">
            <v>471783783943</v>
          </cell>
        </row>
        <row r="26284">
          <cell r="E26284" t="str">
            <v>HLOB-12-0212-00</v>
          </cell>
          <cell r="F26284">
            <v>471783783943</v>
          </cell>
        </row>
        <row r="26285">
          <cell r="E26285" t="str">
            <v>HLOB-12-0212-00</v>
          </cell>
          <cell r="F26285">
            <v>471783783943</v>
          </cell>
        </row>
        <row r="26286">
          <cell r="E26286" t="str">
            <v>HLOB-12-0212-00</v>
          </cell>
          <cell r="F26286">
            <v>471783783943</v>
          </cell>
        </row>
        <row r="26287">
          <cell r="E26287" t="str">
            <v>HLOB-12-0212-00</v>
          </cell>
          <cell r="F26287">
            <v>471783783943</v>
          </cell>
        </row>
        <row r="26288">
          <cell r="E26288" t="str">
            <v>HLOB-12-0212-00</v>
          </cell>
          <cell r="F26288">
            <v>471783783943</v>
          </cell>
        </row>
        <row r="26289">
          <cell r="E26289" t="str">
            <v>AIC-MP-00002401-000</v>
          </cell>
          <cell r="F26289">
            <v>471783783943</v>
          </cell>
        </row>
        <row r="26290">
          <cell r="E26290" t="str">
            <v>HLOB-12-0293-00</v>
          </cell>
          <cell r="F26290">
            <v>471783783943</v>
          </cell>
        </row>
        <row r="26291">
          <cell r="E26291" t="str">
            <v>HLOB-12-0293-00</v>
          </cell>
          <cell r="F26291">
            <v>471783783943</v>
          </cell>
        </row>
        <row r="26292">
          <cell r="E26292" t="str">
            <v>AIC-MP-00002528-000</v>
          </cell>
          <cell r="F26292">
            <v>471783783943</v>
          </cell>
        </row>
        <row r="26293">
          <cell r="E26293" t="str">
            <v>HLOB-12-0460-00</v>
          </cell>
          <cell r="F26293">
            <v>471783783943</v>
          </cell>
        </row>
        <row r="26294">
          <cell r="E26294" t="str">
            <v>HLOB-12-0460-00</v>
          </cell>
          <cell r="F26294">
            <v>471783783943</v>
          </cell>
        </row>
        <row r="26295">
          <cell r="E26295" t="str">
            <v>HLOB-12-0487-00</v>
          </cell>
          <cell r="F26295">
            <v>471783783943</v>
          </cell>
        </row>
        <row r="26296">
          <cell r="E26296" t="str">
            <v>HLOB-12-0304-00</v>
          </cell>
          <cell r="F26296">
            <v>471783783943</v>
          </cell>
        </row>
        <row r="26297">
          <cell r="E26297" t="str">
            <v>HLOB-12-0304-00</v>
          </cell>
          <cell r="F26297">
            <v>471783783943</v>
          </cell>
        </row>
        <row r="26298">
          <cell r="E26298" t="str">
            <v>HLOB-12-0304-00</v>
          </cell>
          <cell r="F26298">
            <v>471783783943</v>
          </cell>
        </row>
        <row r="26299">
          <cell r="E26299" t="str">
            <v>HLOB-12-0304-00</v>
          </cell>
          <cell r="F26299">
            <v>471783783943</v>
          </cell>
        </row>
        <row r="26300">
          <cell r="E26300" t="str">
            <v>HLOB-12-0304-00</v>
          </cell>
          <cell r="F26300">
            <v>471783783943</v>
          </cell>
        </row>
        <row r="26301">
          <cell r="E26301" t="str">
            <v>HLOB-12-0304-00</v>
          </cell>
          <cell r="F26301">
            <v>471783783943</v>
          </cell>
        </row>
        <row r="26302">
          <cell r="E26302" t="str">
            <v>PUR-12-0304-00</v>
          </cell>
          <cell r="F26302">
            <v>471783783943</v>
          </cell>
        </row>
        <row r="26303">
          <cell r="E26303" t="str">
            <v>PUR-12-0467-00</v>
          </cell>
          <cell r="F26303">
            <v>471783783943</v>
          </cell>
        </row>
        <row r="26304">
          <cell r="E26304" t="str">
            <v>121-000033.X.X</v>
          </cell>
          <cell r="F26304">
            <v>471783783943</v>
          </cell>
        </row>
        <row r="26305">
          <cell r="E26305" t="str">
            <v>HLOB-13-0042-00</v>
          </cell>
          <cell r="F26305">
            <v>471783783943</v>
          </cell>
        </row>
        <row r="26306">
          <cell r="E26306" t="str">
            <v>AIC-MP-00003333-000</v>
          </cell>
          <cell r="F26306">
            <v>471783783943</v>
          </cell>
        </row>
        <row r="26307">
          <cell r="E26307" t="str">
            <v>HLOB-13-0068-00</v>
          </cell>
          <cell r="F26307">
            <v>471783783943</v>
          </cell>
        </row>
        <row r="26308">
          <cell r="E26308" t="str">
            <v>HLOB-13-0068-00</v>
          </cell>
          <cell r="F26308">
            <v>471783783943</v>
          </cell>
        </row>
        <row r="26309">
          <cell r="E26309" t="str">
            <v>AIC-122-004451</v>
          </cell>
          <cell r="F26309">
            <v>471783783943</v>
          </cell>
        </row>
        <row r="26310">
          <cell r="E26310" t="str">
            <v>HLOB-13-0246-00</v>
          </cell>
          <cell r="F26310">
            <v>471783783943</v>
          </cell>
        </row>
        <row r="26311">
          <cell r="E26311" t="str">
            <v>122-001250</v>
          </cell>
          <cell r="F26311">
            <v>471783783943</v>
          </cell>
        </row>
        <row r="26312">
          <cell r="E26312" t="str">
            <v>122-001250</v>
          </cell>
          <cell r="F26312">
            <v>471783783943</v>
          </cell>
        </row>
        <row r="26313">
          <cell r="E26313" t="str">
            <v>LUC-E00-420135-00</v>
          </cell>
          <cell r="F26313">
            <v>471783783943</v>
          </cell>
        </row>
        <row r="26314">
          <cell r="E26314" t="str">
            <v>LUC-E00-420274-00</v>
          </cell>
          <cell r="F26314">
            <v>471783783943</v>
          </cell>
        </row>
        <row r="26315">
          <cell r="E26315" t="str">
            <v>AIC-MP-00003561-000</v>
          </cell>
          <cell r="F26315">
            <v>471783783943</v>
          </cell>
        </row>
        <row r="26316">
          <cell r="E26316" t="str">
            <v>LUC-E00-400035-04</v>
          </cell>
          <cell r="F26316">
            <v>471783783943</v>
          </cell>
        </row>
        <row r="26317">
          <cell r="E26317" t="str">
            <v>LUC-EZZ-400035-00</v>
          </cell>
          <cell r="F26317">
            <v>471783783943</v>
          </cell>
        </row>
        <row r="26318">
          <cell r="E26318" t="str">
            <v>HLOB-12-0517-00</v>
          </cell>
          <cell r="F26318">
            <v>471783783943</v>
          </cell>
        </row>
        <row r="26319">
          <cell r="E26319" t="str">
            <v>LUC-EZZ-420345-00</v>
          </cell>
          <cell r="F26319">
            <v>471783783943</v>
          </cell>
        </row>
        <row r="26320">
          <cell r="E26320" t="str">
            <v>LUC-EZZ-420822-00</v>
          </cell>
          <cell r="F26320">
            <v>471783783943</v>
          </cell>
        </row>
        <row r="26321">
          <cell r="E26321" t="str">
            <v>LUC-EZZ-421132-00</v>
          </cell>
          <cell r="F26321">
            <v>471783783943</v>
          </cell>
        </row>
        <row r="26322">
          <cell r="E26322" t="str">
            <v>LUC-E00-420037-01</v>
          </cell>
          <cell r="F26322">
            <v>471783783943</v>
          </cell>
        </row>
        <row r="26323">
          <cell r="E26323" t="str">
            <v>LUC-E00-420037-01</v>
          </cell>
          <cell r="F26323">
            <v>471783783943</v>
          </cell>
        </row>
        <row r="26324">
          <cell r="E26324" t="str">
            <v>LUC-EZZ-470423-00</v>
          </cell>
          <cell r="F26324">
            <v>477592543378</v>
          </cell>
        </row>
        <row r="26325">
          <cell r="E26325" t="str">
            <v>LUC-E00-470037-00</v>
          </cell>
          <cell r="F26325">
            <v>395653078793</v>
          </cell>
        </row>
        <row r="26326">
          <cell r="E26326" t="str">
            <v>LUC-E00-470037-00</v>
          </cell>
          <cell r="F26326">
            <v>395653078793</v>
          </cell>
        </row>
        <row r="26327">
          <cell r="E26327" t="str">
            <v>LUC-E00-470037-00</v>
          </cell>
          <cell r="F26327">
            <v>395653078793</v>
          </cell>
        </row>
        <row r="26328">
          <cell r="E26328" t="str">
            <v>LUC-E00-460005-00</v>
          </cell>
          <cell r="F26328">
            <v>886417302645</v>
          </cell>
        </row>
        <row r="26329">
          <cell r="E26329" t="str">
            <v>LUC-E00-460005-00</v>
          </cell>
          <cell r="F26329">
            <v>886417302645</v>
          </cell>
        </row>
        <row r="26330">
          <cell r="E26330" t="str">
            <v>LUC-E00-460005-00</v>
          </cell>
          <cell r="F26330">
            <v>886417302645</v>
          </cell>
        </row>
        <row r="26331">
          <cell r="E26331" t="str">
            <v>LUC-E00-460005-00</v>
          </cell>
          <cell r="F26331">
            <v>886417302645</v>
          </cell>
        </row>
        <row r="26332">
          <cell r="E26332" t="str">
            <v>LUC-E00-470069-00</v>
          </cell>
          <cell r="F26332">
            <v>886417302645</v>
          </cell>
        </row>
        <row r="26333">
          <cell r="E26333" t="str">
            <v>LUC-E00-470069-00</v>
          </cell>
          <cell r="F26333">
            <v>886417302645</v>
          </cell>
        </row>
        <row r="26334">
          <cell r="E26334" t="str">
            <v>123-000306.X.X</v>
          </cell>
          <cell r="F26334">
            <v>481005851960</v>
          </cell>
        </row>
        <row r="26335">
          <cell r="E26335" t="str">
            <v>LUC-EZZ-420345-00</v>
          </cell>
          <cell r="F26335">
            <v>481005851960</v>
          </cell>
        </row>
        <row r="26336">
          <cell r="E26336" t="str">
            <v>119-001192</v>
          </cell>
          <cell r="F26336">
            <v>481005851960</v>
          </cell>
        </row>
        <row r="26337">
          <cell r="E26337" t="str">
            <v>121-004027</v>
          </cell>
          <cell r="F26337">
            <v>481005851960</v>
          </cell>
        </row>
        <row r="26338">
          <cell r="E26338" t="str">
            <v>LUC-E00-440147-00</v>
          </cell>
          <cell r="F26338">
            <v>481005851960</v>
          </cell>
        </row>
        <row r="26339">
          <cell r="E26339" t="str">
            <v>LUC-E00-420047-00</v>
          </cell>
          <cell r="F26339">
            <v>481005851960</v>
          </cell>
        </row>
        <row r="26340">
          <cell r="E26340" t="str">
            <v>121-001410</v>
          </cell>
          <cell r="F26340">
            <v>481005851960</v>
          </cell>
        </row>
        <row r="26341">
          <cell r="E26341" t="str">
            <v>PUR-13-0263-00</v>
          </cell>
          <cell r="F26341">
            <v>481005851960</v>
          </cell>
        </row>
        <row r="26342">
          <cell r="E26342" t="str">
            <v>LUC-EZZ-490304-04</v>
          </cell>
          <cell r="F26342">
            <v>5646462113</v>
          </cell>
        </row>
        <row r="26343">
          <cell r="E26343" t="str">
            <v>LUC-EZZ-490304-04</v>
          </cell>
          <cell r="F26343">
            <v>5646462113</v>
          </cell>
        </row>
        <row r="26344">
          <cell r="E26344" t="str">
            <v>LUC-EZZ-490304-04</v>
          </cell>
          <cell r="F26344">
            <v>1517011</v>
          </cell>
        </row>
        <row r="26345">
          <cell r="E26345" t="str">
            <v>LUC-EZZ-490231-05</v>
          </cell>
          <cell r="F26345">
            <v>1517011</v>
          </cell>
        </row>
        <row r="26346">
          <cell r="E26346" t="str">
            <v>LUC-EZZ-490305-05</v>
          </cell>
          <cell r="F26346">
            <v>1517011</v>
          </cell>
        </row>
        <row r="26347">
          <cell r="E26347" t="str">
            <v>LUC-EZZ-490050-03</v>
          </cell>
          <cell r="F26347">
            <v>1517011</v>
          </cell>
        </row>
        <row r="26348">
          <cell r="E26348" t="str">
            <v>LUC-EZZ-490121-06</v>
          </cell>
          <cell r="F26348">
            <v>1517011</v>
          </cell>
        </row>
        <row r="26349">
          <cell r="E26349" t="str">
            <v>LUC-EZZ-490315-02</v>
          </cell>
          <cell r="F26349">
            <v>1517011</v>
          </cell>
        </row>
        <row r="26350">
          <cell r="E26350" t="str">
            <v>LUC-EZZ-490230-05</v>
          </cell>
          <cell r="F26350">
            <v>1517011</v>
          </cell>
        </row>
        <row r="26351">
          <cell r="E26351" t="str">
            <v>LUC-EZZ-490316-02</v>
          </cell>
          <cell r="F26351">
            <v>1517011</v>
          </cell>
        </row>
        <row r="26352">
          <cell r="E26352" t="str">
            <v>LUC-EZZ-490316-02</v>
          </cell>
          <cell r="F26352">
            <v>1517011</v>
          </cell>
        </row>
        <row r="26353">
          <cell r="E26353" t="str">
            <v>LUC-EZZ-490121-06</v>
          </cell>
          <cell r="F26353">
            <v>1517011</v>
          </cell>
        </row>
        <row r="26354">
          <cell r="E26354" t="str">
            <v>LUC-EZZ-490121-06</v>
          </cell>
          <cell r="F26354">
            <v>1517011</v>
          </cell>
        </row>
        <row r="26355">
          <cell r="E26355" t="str">
            <v>LUC-EZZ-490201-07</v>
          </cell>
          <cell r="F26355">
            <v>1517011</v>
          </cell>
        </row>
        <row r="26356">
          <cell r="E26356" t="str">
            <v>LUC-EZZ-490225-05</v>
          </cell>
          <cell r="F26356">
            <v>1517011</v>
          </cell>
        </row>
        <row r="26357">
          <cell r="E26357" t="str">
            <v>LUC-EZZ-490225-05</v>
          </cell>
          <cell r="F26357">
            <v>1517011</v>
          </cell>
        </row>
        <row r="26358">
          <cell r="E26358" t="str">
            <v>LUC-EZZ-490225-05</v>
          </cell>
          <cell r="F26358">
            <v>1517011</v>
          </cell>
        </row>
        <row r="26359">
          <cell r="E26359" t="str">
            <v>LUC-EZZ-490306-00</v>
          </cell>
          <cell r="F26359">
            <v>1517011</v>
          </cell>
        </row>
        <row r="26360">
          <cell r="E26360" t="str">
            <v>LUC-EZZ-490306-00</v>
          </cell>
          <cell r="F26360">
            <v>1517011</v>
          </cell>
        </row>
        <row r="26361">
          <cell r="E26361" t="str">
            <v>LUC-P11-J80200-00</v>
          </cell>
          <cell r="F26361" t="str">
            <v>LSHHPH2501763A</v>
          </cell>
        </row>
        <row r="26362">
          <cell r="E26362" t="str">
            <v>LUC-P11-J80200-00</v>
          </cell>
          <cell r="F26362" t="str">
            <v>LSHHPH2501763A</v>
          </cell>
        </row>
        <row r="26363">
          <cell r="E26363" t="str">
            <v>LUC-P11-J80300-00</v>
          </cell>
          <cell r="F26363" t="str">
            <v>LSHHPH2501763A</v>
          </cell>
        </row>
        <row r="26364">
          <cell r="E26364" t="str">
            <v>LUC-P11-J81300-01</v>
          </cell>
          <cell r="F26364" t="str">
            <v>LSHHPH2501763A</v>
          </cell>
        </row>
        <row r="26365">
          <cell r="E26365" t="str">
            <v>LUC-P11-J81300-01</v>
          </cell>
          <cell r="F26365" t="str">
            <v>LSHHPH2501763A</v>
          </cell>
        </row>
        <row r="26366">
          <cell r="E26366" t="str">
            <v>LUC-P11-J81500-01</v>
          </cell>
          <cell r="F26366" t="str">
            <v>LSHHPH2501763A</v>
          </cell>
        </row>
        <row r="26367">
          <cell r="E26367" t="str">
            <v>PUR-13-0236-00</v>
          </cell>
          <cell r="F26367">
            <v>4915009570</v>
          </cell>
        </row>
        <row r="26368">
          <cell r="E26368" t="str">
            <v>LUC-EZZ-470128-00</v>
          </cell>
          <cell r="F26368">
            <v>395798745126</v>
          </cell>
        </row>
        <row r="26369">
          <cell r="E26369" t="str">
            <v>LUC-EZZ-420364-00</v>
          </cell>
          <cell r="F26369">
            <v>488209942746</v>
          </cell>
        </row>
        <row r="26370">
          <cell r="E26370" t="str">
            <v>EF-45146847</v>
          </cell>
          <cell r="F26370">
            <v>886371012697</v>
          </cell>
        </row>
        <row r="26371">
          <cell r="E26371" t="str">
            <v>AIC-MP-DE000171-S01</v>
          </cell>
          <cell r="F26371">
            <v>491093704567</v>
          </cell>
        </row>
        <row r="26372">
          <cell r="E26372" t="str">
            <v>LUC-EZZ-510640-00</v>
          </cell>
          <cell r="F26372">
            <v>886377294484</v>
          </cell>
        </row>
        <row r="26373">
          <cell r="E26373" t="str">
            <v>LUC-EZZ-510640-00</v>
          </cell>
          <cell r="F26373">
            <v>886377294484</v>
          </cell>
        </row>
        <row r="26374">
          <cell r="E26374" t="str">
            <v>LUC-P11-K37000-02</v>
          </cell>
          <cell r="F26374">
            <v>7880573256</v>
          </cell>
        </row>
        <row r="26375">
          <cell r="E26375" t="str">
            <v>LUC-P11-K37000-02</v>
          </cell>
          <cell r="F26375">
            <v>7880573256</v>
          </cell>
        </row>
        <row r="26376">
          <cell r="E26376" t="str">
            <v>LUC-P11-K37000-02</v>
          </cell>
          <cell r="F26376">
            <v>7880573256</v>
          </cell>
        </row>
        <row r="26377">
          <cell r="E26377" t="str">
            <v>LUC-P11-K37000-02</v>
          </cell>
          <cell r="F26377">
            <v>7880573256</v>
          </cell>
        </row>
        <row r="26378">
          <cell r="E26378" t="str">
            <v>LUC-EZZ-420049-00</v>
          </cell>
          <cell r="F26378">
            <v>7880573256</v>
          </cell>
        </row>
        <row r="26379">
          <cell r="E26379" t="str">
            <v>LUC-EZZ-400454-00</v>
          </cell>
          <cell r="F26379">
            <v>7880573256</v>
          </cell>
        </row>
        <row r="26380">
          <cell r="E26380" t="str">
            <v>LUC-EZZ-420507-00</v>
          </cell>
          <cell r="F26380">
            <v>7880573256</v>
          </cell>
        </row>
        <row r="26381">
          <cell r="E26381" t="str">
            <v>LUC-E00-420003-00</v>
          </cell>
          <cell r="F26381">
            <v>7880573256</v>
          </cell>
        </row>
        <row r="26382">
          <cell r="E26382" t="str">
            <v>LUC-E00-400018-01</v>
          </cell>
          <cell r="F26382">
            <v>7880573256</v>
          </cell>
        </row>
        <row r="26383">
          <cell r="E26383" t="str">
            <v>LUC-EZZ-420507-00</v>
          </cell>
          <cell r="F26383">
            <v>7880573256</v>
          </cell>
        </row>
        <row r="26384">
          <cell r="E26384" t="str">
            <v>HLOB-33-0027-00</v>
          </cell>
          <cell r="F26384">
            <v>886412103806</v>
          </cell>
        </row>
        <row r="26385">
          <cell r="E26385" t="str">
            <v>LUC-E00-470069-00</v>
          </cell>
          <cell r="F26385">
            <v>395745588163</v>
          </cell>
        </row>
        <row r="26386">
          <cell r="E26386" t="str">
            <v>LUC-EZZ-470138-00</v>
          </cell>
          <cell r="F26386">
            <v>395691842203</v>
          </cell>
        </row>
        <row r="26387">
          <cell r="E26387" t="str">
            <v>LUC-E00-470036-00</v>
          </cell>
          <cell r="F26387">
            <v>395671516927</v>
          </cell>
        </row>
        <row r="26388">
          <cell r="E26388" t="str">
            <v>LUC-E00-470042-00</v>
          </cell>
          <cell r="F26388">
            <v>395750410975</v>
          </cell>
        </row>
        <row r="26389">
          <cell r="E26389" t="str">
            <v>LUC-E00-470039-00</v>
          </cell>
          <cell r="F26389">
            <v>395750410975</v>
          </cell>
        </row>
        <row r="26390">
          <cell r="E26390" t="str">
            <v>LUC-E00-470079-00</v>
          </cell>
          <cell r="F26390">
            <v>395760412306</v>
          </cell>
        </row>
        <row r="26391">
          <cell r="E26391" t="str">
            <v>LUC-E00-470079-00</v>
          </cell>
          <cell r="F26391">
            <v>395760412306</v>
          </cell>
        </row>
        <row r="26392">
          <cell r="E26392" t="str">
            <v>HLOB-09-0422-00</v>
          </cell>
          <cell r="F26392">
            <v>395760412306</v>
          </cell>
        </row>
        <row r="26393">
          <cell r="E26393" t="str">
            <v>PUR-09-0213-00</v>
          </cell>
          <cell r="F26393">
            <v>395760412306</v>
          </cell>
        </row>
        <row r="26394">
          <cell r="E26394" t="str">
            <v>PUR-09-0213-00</v>
          </cell>
          <cell r="F26394">
            <v>395760412306</v>
          </cell>
        </row>
        <row r="26395">
          <cell r="E26395" t="str">
            <v>LUC-EZZ-470304-00</v>
          </cell>
          <cell r="F26395">
            <v>395655699003</v>
          </cell>
        </row>
        <row r="26396">
          <cell r="E26396" t="str">
            <v>LUC-E00-470045-00</v>
          </cell>
          <cell r="F26396">
            <v>395655699003</v>
          </cell>
        </row>
        <row r="26397">
          <cell r="E26397" t="str">
            <v>LUC-E00-470413-01</v>
          </cell>
          <cell r="F26397">
            <v>395655699003</v>
          </cell>
        </row>
        <row r="26398">
          <cell r="E26398" t="str">
            <v>LUC-E00-470413-01</v>
          </cell>
          <cell r="F26398">
            <v>395655699003</v>
          </cell>
        </row>
        <row r="26399">
          <cell r="E26399" t="str">
            <v>LUC-E00-470413-01</v>
          </cell>
          <cell r="F26399">
            <v>395655699003</v>
          </cell>
        </row>
        <row r="26400">
          <cell r="E26400" t="str">
            <v>LUC-E00-470127-00</v>
          </cell>
          <cell r="F26400">
            <v>395655699003</v>
          </cell>
        </row>
        <row r="26401">
          <cell r="E26401" t="str">
            <v>LUC-E00-470127-00</v>
          </cell>
          <cell r="F26401">
            <v>395655699003</v>
          </cell>
        </row>
        <row r="26402">
          <cell r="E26402" t="str">
            <v>LUC-E00-470127-00</v>
          </cell>
          <cell r="F26402">
            <v>395655699003</v>
          </cell>
        </row>
        <row r="26403">
          <cell r="E26403" t="str">
            <v>LUC-E00-470127-00</v>
          </cell>
          <cell r="F26403">
            <v>395655699003</v>
          </cell>
        </row>
        <row r="26404">
          <cell r="E26404" t="str">
            <v>PUR-03-0092-03</v>
          </cell>
          <cell r="F26404" t="str">
            <v>8XN1072</v>
          </cell>
        </row>
        <row r="26405">
          <cell r="E26405" t="str">
            <v>PUR-03-0092-03</v>
          </cell>
          <cell r="F26405" t="str">
            <v>8XN1071</v>
          </cell>
        </row>
        <row r="26406">
          <cell r="E26406" t="str">
            <v>PUR-03-0092-03</v>
          </cell>
          <cell r="F26406" t="str">
            <v>8XN1069</v>
          </cell>
        </row>
        <row r="26407">
          <cell r="E26407" t="str">
            <v>PUR-03-0092-03</v>
          </cell>
          <cell r="F26407" t="str">
            <v>8XN1070</v>
          </cell>
        </row>
        <row r="26408">
          <cell r="E26408" t="str">
            <v>PUR-03-0095-00</v>
          </cell>
          <cell r="F26408">
            <v>490900662167</v>
          </cell>
        </row>
        <row r="26409">
          <cell r="E26409" t="str">
            <v>PUR-03-0082-02</v>
          </cell>
          <cell r="F26409">
            <v>490900665979</v>
          </cell>
        </row>
        <row r="26410">
          <cell r="E26410" t="str">
            <v>PUR-03-0095-00</v>
          </cell>
          <cell r="F26410">
            <v>490900711033</v>
          </cell>
        </row>
        <row r="26411">
          <cell r="E26411" t="str">
            <v>PUR-03-0082-02</v>
          </cell>
          <cell r="F26411">
            <v>491945472602</v>
          </cell>
        </row>
        <row r="26412">
          <cell r="E26412" t="str">
            <v>PUR-03-0095-00</v>
          </cell>
          <cell r="F26412">
            <v>490900664490</v>
          </cell>
        </row>
        <row r="26413">
          <cell r="E26413" t="str">
            <v>PUR-03-0095-00</v>
          </cell>
          <cell r="F26413">
            <v>491945471570</v>
          </cell>
        </row>
        <row r="26414">
          <cell r="E26414" t="str">
            <v>HLOB-18-0667-00</v>
          </cell>
          <cell r="F26414">
            <v>886412549740</v>
          </cell>
        </row>
        <row r="26415">
          <cell r="E26415" t="str">
            <v>LUC-E00-460005-00</v>
          </cell>
          <cell r="F26415">
            <v>886325694422</v>
          </cell>
        </row>
        <row r="26416">
          <cell r="E26416" t="str">
            <v>LUC-EZZ-480174-00</v>
          </cell>
          <cell r="F26416">
            <v>20251021</v>
          </cell>
        </row>
        <row r="26417">
          <cell r="E26417" t="str">
            <v>HLOB-31-0103-01</v>
          </cell>
          <cell r="F26417" t="str">
            <v>IPTH251105-UNI</v>
          </cell>
        </row>
        <row r="26418">
          <cell r="E26418" t="str">
            <v>HLOB-31-0103-01</v>
          </cell>
          <cell r="F26418" t="str">
            <v>IPTH251105-UNI</v>
          </cell>
        </row>
        <row r="26419">
          <cell r="E26419" t="str">
            <v>PUR-17-0358-01</v>
          </cell>
          <cell r="F26419" t="str">
            <v>VN20251104001</v>
          </cell>
        </row>
        <row r="26420">
          <cell r="E26420" t="str">
            <v>HLOB-17-0359-01</v>
          </cell>
          <cell r="F26420" t="str">
            <v>VN20251104001</v>
          </cell>
        </row>
        <row r="26421">
          <cell r="E26421" t="str">
            <v>PUR-17-0130-00</v>
          </cell>
          <cell r="F26421" t="str">
            <v>INV-UNG-041125</v>
          </cell>
        </row>
        <row r="26422">
          <cell r="E26422" t="str">
            <v>PUR-17-0130-00</v>
          </cell>
          <cell r="F26422" t="str">
            <v>INV-UNG-041125</v>
          </cell>
        </row>
        <row r="26423">
          <cell r="E26423" t="str">
            <v>PUR-17-0131-00</v>
          </cell>
          <cell r="F26423" t="str">
            <v>INV-UNG-041125</v>
          </cell>
        </row>
        <row r="26424">
          <cell r="E26424" t="str">
            <v>PUR-17-0131-00</v>
          </cell>
          <cell r="F26424" t="str">
            <v>INV-UNG-041125</v>
          </cell>
        </row>
        <row r="26425">
          <cell r="E26425" t="str">
            <v>PUR-17-0149-00</v>
          </cell>
          <cell r="F26425" t="str">
            <v>INV-UNG-041125</v>
          </cell>
        </row>
        <row r="26426">
          <cell r="E26426" t="str">
            <v>PUR-17-0149-00</v>
          </cell>
          <cell r="F26426" t="str">
            <v>INV-UNG-041125</v>
          </cell>
        </row>
        <row r="26427">
          <cell r="E26427" t="str">
            <v>PUR-17-0154-00</v>
          </cell>
          <cell r="F26427" t="str">
            <v>INV-UNG-041125</v>
          </cell>
        </row>
        <row r="26428">
          <cell r="E26428" t="str">
            <v>PUR-17-0154-00</v>
          </cell>
          <cell r="F26428" t="str">
            <v>INV-UNG-041125</v>
          </cell>
        </row>
        <row r="26429">
          <cell r="E26429" t="str">
            <v>PUR-17-0155-00</v>
          </cell>
          <cell r="F26429" t="str">
            <v>INV-UNG-041125</v>
          </cell>
        </row>
        <row r="26430">
          <cell r="E26430" t="str">
            <v>PUR-17-0155-00</v>
          </cell>
          <cell r="F26430" t="str">
            <v>INV-UNG-041125</v>
          </cell>
        </row>
        <row r="26431">
          <cell r="E26431" t="str">
            <v>PUR-17-0156-00</v>
          </cell>
          <cell r="F26431" t="str">
            <v>INV-UNG-041125</v>
          </cell>
        </row>
        <row r="26432">
          <cell r="E26432" t="str">
            <v>PUR-17-0156-00</v>
          </cell>
          <cell r="F26432" t="str">
            <v>INV-UNG-041125</v>
          </cell>
        </row>
        <row r="26433">
          <cell r="E26433" t="str">
            <v>LUC-161-001418</v>
          </cell>
          <cell r="F26433">
            <v>683</v>
          </cell>
        </row>
        <row r="26434">
          <cell r="E26434" t="str">
            <v>LUC-161-001419</v>
          </cell>
          <cell r="F26434">
            <v>683</v>
          </cell>
        </row>
        <row r="26435">
          <cell r="E26435" t="str">
            <v>LUC-P11-K2BC00-01</v>
          </cell>
          <cell r="F26435" t="str">
            <v>001/11/25-UNIGEN</v>
          </cell>
        </row>
        <row r="26436">
          <cell r="E26436" t="str">
            <v>LUC-P11-K2BC00-01</v>
          </cell>
          <cell r="F26436" t="str">
            <v>001/11/25-UNIGEN</v>
          </cell>
        </row>
        <row r="26437">
          <cell r="E26437" t="str">
            <v>PUR-17-0283-02</v>
          </cell>
          <cell r="F26437" t="str">
            <v>VN20251117001</v>
          </cell>
        </row>
        <row r="26438">
          <cell r="E26438" t="str">
            <v>HLOB-16-0086-01</v>
          </cell>
          <cell r="F26438" t="str">
            <v>VN20251117001</v>
          </cell>
        </row>
        <row r="26439">
          <cell r="E26439" t="str">
            <v>HLOB-17-0359-01</v>
          </cell>
          <cell r="F26439" t="str">
            <v>VN20251117001</v>
          </cell>
        </row>
        <row r="26440">
          <cell r="E26440" t="str">
            <v>LUC-161-001418</v>
          </cell>
          <cell r="F26440">
            <v>719</v>
          </cell>
        </row>
        <row r="26441">
          <cell r="E26441" t="str">
            <v>LUC-161-001419</v>
          </cell>
          <cell r="F26441">
            <v>719</v>
          </cell>
        </row>
        <row r="26442">
          <cell r="E26442" t="str">
            <v>PUR-16-0085-01</v>
          </cell>
          <cell r="F26442" t="str">
            <v>VN20251124003</v>
          </cell>
        </row>
        <row r="26443">
          <cell r="E26443" t="str">
            <v>PUR-17-0358-01</v>
          </cell>
          <cell r="F26443" t="str">
            <v>VN20251124003</v>
          </cell>
        </row>
        <row r="26444">
          <cell r="E26444" t="str">
            <v>HLOB-17-0361-01</v>
          </cell>
          <cell r="F26444" t="str">
            <v>VN20251124003</v>
          </cell>
        </row>
        <row r="26445">
          <cell r="E26445" t="str">
            <v>PUR-17-0357-01</v>
          </cell>
          <cell r="F26445" t="str">
            <v>VN20251124003</v>
          </cell>
        </row>
        <row r="26446">
          <cell r="E26446" t="str">
            <v>HLOB-16-0086-01</v>
          </cell>
          <cell r="F26446" t="str">
            <v>VN20251124003</v>
          </cell>
        </row>
        <row r="26447">
          <cell r="E26447" t="str">
            <v>HLOB-17-0359-01</v>
          </cell>
          <cell r="F26447" t="str">
            <v>VN20251124003</v>
          </cell>
        </row>
        <row r="26448">
          <cell r="E26448" t="str">
            <v>PUR-17-0130-00</v>
          </cell>
          <cell r="F26448" t="str">
            <v>INV-UNG-251125</v>
          </cell>
        </row>
        <row r="26449">
          <cell r="E26449" t="str">
            <v>PUR-17-0131-00</v>
          </cell>
          <cell r="F26449" t="str">
            <v>INV-UNG-251125</v>
          </cell>
        </row>
        <row r="26450">
          <cell r="E26450" t="str">
            <v>PUR-17-0149-00</v>
          </cell>
          <cell r="F26450" t="str">
            <v>INV-UNG-251125</v>
          </cell>
        </row>
        <row r="26451">
          <cell r="E26451" t="str">
            <v>PUR-17-0154-00</v>
          </cell>
          <cell r="F26451" t="str">
            <v>INV-UNG-251125</v>
          </cell>
        </row>
        <row r="26452">
          <cell r="E26452" t="str">
            <v>PUR-17-0154-00</v>
          </cell>
          <cell r="F26452" t="str">
            <v>INV-UNG-251125</v>
          </cell>
        </row>
        <row r="26453">
          <cell r="E26453" t="str">
            <v>PUR-17-0155-00</v>
          </cell>
          <cell r="F26453" t="str">
            <v>INV-UNG-251125</v>
          </cell>
        </row>
        <row r="26454">
          <cell r="E26454" t="str">
            <v>PUR-17-0156-00</v>
          </cell>
          <cell r="F26454" t="str">
            <v>INV-UNG-251125</v>
          </cell>
        </row>
        <row r="26455">
          <cell r="E26455" t="str">
            <v>161-000110.X.X</v>
          </cell>
          <cell r="F26455" t="str">
            <v>UNIGEN251129</v>
          </cell>
        </row>
        <row r="26456">
          <cell r="E26456" t="str">
            <v>161-000290</v>
          </cell>
          <cell r="F26456" t="str">
            <v>UNIGEN251129</v>
          </cell>
        </row>
        <row r="26457">
          <cell r="E26457" t="str">
            <v>161-000306</v>
          </cell>
          <cell r="F26457" t="str">
            <v>UNIGEN251129</v>
          </cell>
        </row>
        <row r="26458">
          <cell r="E26458" t="str">
            <v>AGI-871-40004-01</v>
          </cell>
          <cell r="F26458" t="str">
            <v>UNIGEN251129</v>
          </cell>
        </row>
        <row r="26459">
          <cell r="E26459" t="str">
            <v>161-001520</v>
          </cell>
          <cell r="F26459" t="str">
            <v>TV-UNI-1125</v>
          </cell>
        </row>
        <row r="26460">
          <cell r="E26460" t="str">
            <v>161-001520</v>
          </cell>
          <cell r="F26460" t="str">
            <v>TV-UNI-1125</v>
          </cell>
        </row>
        <row r="26461">
          <cell r="E26461" t="str">
            <v>161-001521</v>
          </cell>
          <cell r="F26461" t="str">
            <v>TV-UNI-1125</v>
          </cell>
        </row>
        <row r="26462">
          <cell r="E26462" t="str">
            <v>PUR-10-0312-00</v>
          </cell>
          <cell r="F26462" t="str">
            <v>YFYJ-PUR 2511 TV</v>
          </cell>
        </row>
        <row r="26463">
          <cell r="E26463" t="str">
            <v>PUR-10-0313-00</v>
          </cell>
          <cell r="F26463" t="str">
            <v>YFYJ-PUR 2511 TV</v>
          </cell>
        </row>
        <row r="26464">
          <cell r="E26464" t="str">
            <v>PUR-10-0313-00</v>
          </cell>
          <cell r="F26464" t="str">
            <v>YFYJ-PUR 2511 TV</v>
          </cell>
        </row>
        <row r="26465">
          <cell r="E26465" t="str">
            <v>PUR-10-0188-00</v>
          </cell>
          <cell r="F26465" t="str">
            <v>YFYJ-PUR 251125 JS</v>
          </cell>
        </row>
        <row r="26466">
          <cell r="E26466" t="str">
            <v>PUR-10-0334-00</v>
          </cell>
          <cell r="F26466" t="str">
            <v>YFYJ-PUR 2511 GS</v>
          </cell>
        </row>
        <row r="26467">
          <cell r="E26467" t="str">
            <v>161-001383</v>
          </cell>
          <cell r="F26467" t="str">
            <v>00001813</v>
          </cell>
        </row>
        <row r="26468">
          <cell r="E26468" t="str">
            <v>186-000541.X.X</v>
          </cell>
          <cell r="F26468" t="str">
            <v>00001813</v>
          </cell>
        </row>
        <row r="26469">
          <cell r="E26469" t="str">
            <v>PUR-18-0409-00</v>
          </cell>
          <cell r="F26469" t="str">
            <v>00001813</v>
          </cell>
        </row>
        <row r="26470">
          <cell r="E26470" t="str">
            <v>PUR-18-0410-00</v>
          </cell>
          <cell r="F26470" t="str">
            <v>00001813</v>
          </cell>
        </row>
        <row r="26471">
          <cell r="E26471" t="str">
            <v>186-000533</v>
          </cell>
          <cell r="F26471" t="str">
            <v>00001813</v>
          </cell>
        </row>
        <row r="26472">
          <cell r="E26472" t="str">
            <v>186-000311.X.X</v>
          </cell>
          <cell r="F26472" t="str">
            <v>00001813</v>
          </cell>
        </row>
        <row r="26473">
          <cell r="E26473" t="str">
            <v>PURET-18-0014-00</v>
          </cell>
          <cell r="F26473" t="str">
            <v>00001813</v>
          </cell>
        </row>
        <row r="26474">
          <cell r="E26474" t="str">
            <v>PURET-18-0079-00</v>
          </cell>
          <cell r="F26474" t="str">
            <v>00001813</v>
          </cell>
        </row>
        <row r="26475">
          <cell r="E26475" t="str">
            <v>PUR-33-0018-00</v>
          </cell>
          <cell r="F26475" t="str">
            <v>00001813</v>
          </cell>
        </row>
        <row r="26476">
          <cell r="E26476" t="str">
            <v>AGI-899-40013-01</v>
          </cell>
          <cell r="F26476" t="str">
            <v>00001813</v>
          </cell>
        </row>
        <row r="26477">
          <cell r="E26477" t="str">
            <v>PUR-18-0484-00</v>
          </cell>
          <cell r="F26477" t="str">
            <v>00001813</v>
          </cell>
        </row>
        <row r="26478">
          <cell r="E26478" t="str">
            <v>PUR-18-0480-00</v>
          </cell>
          <cell r="F26478" t="str">
            <v>00001813</v>
          </cell>
        </row>
        <row r="26479">
          <cell r="E26479" t="str">
            <v>LUC-LABEL-50X25</v>
          </cell>
          <cell r="F26479" t="str">
            <v>00001813</v>
          </cell>
        </row>
        <row r="26480">
          <cell r="E26480" t="str">
            <v>LUC-LABEL-13x13</v>
          </cell>
          <cell r="F26480" t="str">
            <v>00001813</v>
          </cell>
        </row>
        <row r="26481">
          <cell r="E26481" t="str">
            <v>LUC-LABEL-20x10</v>
          </cell>
          <cell r="F26481" t="str">
            <v>00001813</v>
          </cell>
        </row>
        <row r="26482">
          <cell r="E26482" t="str">
            <v>LUC-LABEL-13X6.5</v>
          </cell>
          <cell r="F26482" t="str">
            <v>00001813</v>
          </cell>
        </row>
        <row r="26483">
          <cell r="E26483" t="str">
            <v>LUC-LABEL-60X40-V</v>
          </cell>
          <cell r="F26483" t="str">
            <v>00001813</v>
          </cell>
        </row>
        <row r="26484">
          <cell r="E26484" t="str">
            <v>LUC-186-001786</v>
          </cell>
          <cell r="F26484" t="str">
            <v>00001813</v>
          </cell>
        </row>
        <row r="26485">
          <cell r="E26485" t="str">
            <v>PUR-33-0025-00</v>
          </cell>
          <cell r="F26485" t="str">
            <v>00001813</v>
          </cell>
        </row>
        <row r="26486">
          <cell r="E26486" t="str">
            <v>LUC-186-001796</v>
          </cell>
          <cell r="F26486" t="str">
            <v>00001813</v>
          </cell>
        </row>
        <row r="26487">
          <cell r="E26487" t="str">
            <v>HLOB-33-0018-00</v>
          </cell>
          <cell r="F26487" t="str">
            <v>00001813</v>
          </cell>
        </row>
        <row r="26488">
          <cell r="E26488" t="str">
            <v>HLOB-33-0012-00</v>
          </cell>
          <cell r="F26488" t="str">
            <v>00001813</v>
          </cell>
        </row>
        <row r="26489">
          <cell r="E26489" t="str">
            <v>HLOB-33-0004-00</v>
          </cell>
          <cell r="F26489" t="str">
            <v>00001813</v>
          </cell>
        </row>
        <row r="26490">
          <cell r="E26490" t="str">
            <v>161-001396</v>
          </cell>
          <cell r="F26490" t="str">
            <v>UVH-10/25</v>
          </cell>
        </row>
        <row r="26491">
          <cell r="E26491" t="str">
            <v>AGI-872-40023-01</v>
          </cell>
          <cell r="F26491" t="str">
            <v>UVH-10/25</v>
          </cell>
        </row>
        <row r="26492">
          <cell r="E26492" t="str">
            <v>AGI-872-40023-01</v>
          </cell>
          <cell r="F26492" t="str">
            <v>UVH-10/25</v>
          </cell>
        </row>
        <row r="26493">
          <cell r="E26493" t="str">
            <v>AGI-872-40025-01</v>
          </cell>
          <cell r="F26493" t="str">
            <v>UVH-10/25</v>
          </cell>
        </row>
        <row r="26494">
          <cell r="E26494" t="str">
            <v>AGI-872-40025-01</v>
          </cell>
          <cell r="F26494" t="str">
            <v>UVH-10/25</v>
          </cell>
        </row>
        <row r="26495">
          <cell r="E26495" t="str">
            <v>LUC-161-001414</v>
          </cell>
          <cell r="F26495" t="str">
            <v>UVH-10/25</v>
          </cell>
        </row>
        <row r="26496">
          <cell r="E26496" t="str">
            <v>LUC-161-001414</v>
          </cell>
          <cell r="F26496" t="str">
            <v>UVH-10/25</v>
          </cell>
        </row>
        <row r="26497">
          <cell r="E26497" t="str">
            <v>LUC-161-001414</v>
          </cell>
          <cell r="F26497" t="str">
            <v>UVH-10/25</v>
          </cell>
        </row>
        <row r="26498">
          <cell r="E26498" t="str">
            <v>LUC-161-001414</v>
          </cell>
          <cell r="F26498" t="str">
            <v>UVH-10/25</v>
          </cell>
        </row>
        <row r="26499">
          <cell r="E26499" t="str">
            <v>LUC-161-001414</v>
          </cell>
          <cell r="F26499" t="str">
            <v>UVH-10/25</v>
          </cell>
        </row>
        <row r="26500">
          <cell r="E26500" t="str">
            <v>LUC-161-001415</v>
          </cell>
          <cell r="F26500" t="str">
            <v>UVH-10/25</v>
          </cell>
        </row>
        <row r="26501">
          <cell r="E26501" t="str">
            <v>LUC-161-001415</v>
          </cell>
          <cell r="F26501" t="str">
            <v>UVH-10/25</v>
          </cell>
        </row>
        <row r="26502">
          <cell r="E26502" t="str">
            <v>LUC-161-001415</v>
          </cell>
          <cell r="F26502" t="str">
            <v>UVH-10/25</v>
          </cell>
        </row>
        <row r="26503">
          <cell r="E26503" t="str">
            <v>LUC-161-001415</v>
          </cell>
          <cell r="F26503" t="str">
            <v>UVH-10/25</v>
          </cell>
        </row>
        <row r="26504">
          <cell r="E26504" t="str">
            <v>LUC-161-001415</v>
          </cell>
          <cell r="F26504" t="str">
            <v>UVH-10/25</v>
          </cell>
        </row>
        <row r="26505">
          <cell r="E26505" t="str">
            <v>LUC-161-001416</v>
          </cell>
          <cell r="F26505" t="str">
            <v>UVH-10/25</v>
          </cell>
        </row>
        <row r="26506">
          <cell r="E26506" t="str">
            <v>LUC-161-001416</v>
          </cell>
          <cell r="F26506" t="str">
            <v>UVH-10/25</v>
          </cell>
        </row>
        <row r="26507">
          <cell r="E26507" t="str">
            <v>LUC-161-001416</v>
          </cell>
          <cell r="F26507" t="str">
            <v>UVH-10/25</v>
          </cell>
        </row>
        <row r="26508">
          <cell r="E26508" t="str">
            <v>LUC-161-001417</v>
          </cell>
          <cell r="F26508" t="str">
            <v>UVH-10/25</v>
          </cell>
        </row>
        <row r="26509">
          <cell r="E26509" t="str">
            <v>LUC-161-001417</v>
          </cell>
          <cell r="F26509" t="str">
            <v>UVH-10/25</v>
          </cell>
        </row>
        <row r="26510">
          <cell r="E26510" t="str">
            <v>LUC-161-001417</v>
          </cell>
          <cell r="F26510" t="str">
            <v>UVH-10/25</v>
          </cell>
        </row>
        <row r="26511">
          <cell r="E26511" t="str">
            <v>LUC-161-001420</v>
          </cell>
          <cell r="F26511" t="str">
            <v>UVH-10/25</v>
          </cell>
        </row>
        <row r="26512">
          <cell r="E26512" t="str">
            <v>LUC-161-001420</v>
          </cell>
          <cell r="F26512" t="str">
            <v>UVH-10/25</v>
          </cell>
        </row>
        <row r="26513">
          <cell r="E26513" t="str">
            <v>LUC-161-001420</v>
          </cell>
          <cell r="F26513" t="str">
            <v>UVH-10/25</v>
          </cell>
        </row>
        <row r="26514">
          <cell r="E26514" t="str">
            <v>LUC-161-001420</v>
          </cell>
          <cell r="F26514" t="str">
            <v>UVH-10/25</v>
          </cell>
        </row>
        <row r="26515">
          <cell r="E26515" t="str">
            <v>LUC-161-001420</v>
          </cell>
          <cell r="F26515" t="str">
            <v>UVH-10/25</v>
          </cell>
        </row>
        <row r="26516">
          <cell r="E26516" t="str">
            <v>LUC-161-001421</v>
          </cell>
          <cell r="F26516" t="str">
            <v>UVH-10/25</v>
          </cell>
        </row>
        <row r="26517">
          <cell r="E26517" t="str">
            <v>LUC-161-001421</v>
          </cell>
          <cell r="F26517" t="str">
            <v>UVH-10/25</v>
          </cell>
        </row>
        <row r="26518">
          <cell r="E26518" t="str">
            <v>LUC-161-001421</v>
          </cell>
          <cell r="F26518" t="str">
            <v>UVH-10/25</v>
          </cell>
        </row>
        <row r="26519">
          <cell r="E26519" t="str">
            <v>LUC-161-001421</v>
          </cell>
          <cell r="F26519" t="str">
            <v>UVH-10/25</v>
          </cell>
        </row>
        <row r="26520">
          <cell r="E26520" t="str">
            <v>LUC-161-001421</v>
          </cell>
          <cell r="F26520" t="str">
            <v>UVH-10/25</v>
          </cell>
        </row>
        <row r="26521">
          <cell r="E26521" t="str">
            <v>LUC-161-001421</v>
          </cell>
          <cell r="F26521" t="str">
            <v>UVH-10/25</v>
          </cell>
        </row>
        <row r="26522">
          <cell r="E26522" t="str">
            <v>LUC-161-001422</v>
          </cell>
          <cell r="F26522" t="str">
            <v>UVH-10/25</v>
          </cell>
        </row>
        <row r="26523">
          <cell r="E26523" t="str">
            <v>LUC-161-001422</v>
          </cell>
          <cell r="F26523" t="str">
            <v>UVH-10/25</v>
          </cell>
        </row>
        <row r="26524">
          <cell r="E26524" t="str">
            <v>LUC-161-001422</v>
          </cell>
          <cell r="F26524" t="str">
            <v>UVH-10/25</v>
          </cell>
        </row>
        <row r="26525">
          <cell r="E26525" t="str">
            <v>LUC-161-001422</v>
          </cell>
          <cell r="F26525" t="str">
            <v>UVH-10/25</v>
          </cell>
        </row>
        <row r="26526">
          <cell r="E26526" t="str">
            <v>LUC-161-001422</v>
          </cell>
          <cell r="F26526" t="str">
            <v>UVH-10/25</v>
          </cell>
        </row>
        <row r="26527">
          <cell r="E26527" t="str">
            <v>LUC-161-001425</v>
          </cell>
          <cell r="F26527" t="str">
            <v>UVH-10/25</v>
          </cell>
        </row>
        <row r="26528">
          <cell r="E26528" t="str">
            <v>LUC-161-001425</v>
          </cell>
          <cell r="F26528" t="str">
            <v>UVH-10/25</v>
          </cell>
        </row>
        <row r="26529">
          <cell r="E26529" t="str">
            <v>LUC-161-001425</v>
          </cell>
          <cell r="F26529" t="str">
            <v>UVH-10/25</v>
          </cell>
        </row>
        <row r="26530">
          <cell r="E26530" t="str">
            <v>LUC-161-001425</v>
          </cell>
          <cell r="F26530" t="str">
            <v>UVH-10/25</v>
          </cell>
        </row>
        <row r="26531">
          <cell r="E26531" t="str">
            <v>LUC-161-001425</v>
          </cell>
          <cell r="F26531" t="str">
            <v>UVH-10/25</v>
          </cell>
        </row>
        <row r="26532">
          <cell r="E26532" t="str">
            <v>LUC-161-001425</v>
          </cell>
          <cell r="F26532" t="str">
            <v>UVH-10/25</v>
          </cell>
        </row>
        <row r="26533">
          <cell r="E26533" t="str">
            <v>LUC-161-001426</v>
          </cell>
          <cell r="F26533" t="str">
            <v>UVH-10/25</v>
          </cell>
        </row>
        <row r="26534">
          <cell r="E26534" t="str">
            <v>LUC-161-001426</v>
          </cell>
          <cell r="F26534" t="str">
            <v>UVH-10/25</v>
          </cell>
        </row>
        <row r="26535">
          <cell r="E26535" t="str">
            <v>LUC-161-001426</v>
          </cell>
          <cell r="F26535" t="str">
            <v>UVH-10/25</v>
          </cell>
        </row>
        <row r="26536">
          <cell r="E26536" t="str">
            <v>LUC-161-001426</v>
          </cell>
          <cell r="F26536" t="str">
            <v>UVH-10/25</v>
          </cell>
        </row>
        <row r="26537">
          <cell r="E26537" t="str">
            <v>LUC-161-001427</v>
          </cell>
          <cell r="F26537" t="str">
            <v>UVH-10/25</v>
          </cell>
        </row>
        <row r="26538">
          <cell r="E26538" t="str">
            <v>LUC-161-001427</v>
          </cell>
          <cell r="F26538" t="str">
            <v>UVH-10/25</v>
          </cell>
        </row>
        <row r="26539">
          <cell r="E26539" t="str">
            <v>LUC-161-001427</v>
          </cell>
          <cell r="F26539" t="str">
            <v>UVH-10/25</v>
          </cell>
        </row>
        <row r="26540">
          <cell r="E26540" t="str">
            <v>LUC-161-001428</v>
          </cell>
          <cell r="F26540" t="str">
            <v>UVH-10/25</v>
          </cell>
        </row>
        <row r="26541">
          <cell r="E26541" t="str">
            <v>LUC-161-001428</v>
          </cell>
          <cell r="F26541" t="str">
            <v>UVH-10/25</v>
          </cell>
        </row>
        <row r="26542">
          <cell r="E26542" t="str">
            <v>LUC-161-001428</v>
          </cell>
          <cell r="F26542" t="str">
            <v>UVH-10/25</v>
          </cell>
        </row>
        <row r="26543">
          <cell r="E26543" t="str">
            <v>LUC-161-001428</v>
          </cell>
          <cell r="F26543" t="str">
            <v>UVH-10/25</v>
          </cell>
        </row>
        <row r="26544">
          <cell r="E26544" t="str">
            <v>LUC-161-001428</v>
          </cell>
          <cell r="F26544" t="str">
            <v>UVH-10/25</v>
          </cell>
        </row>
        <row r="26545">
          <cell r="E26545" t="str">
            <v>LUC-161-001429</v>
          </cell>
          <cell r="F26545" t="str">
            <v>UVH-10/25</v>
          </cell>
        </row>
        <row r="26546">
          <cell r="E26546" t="str">
            <v>LUC-161-001429</v>
          </cell>
          <cell r="F26546" t="str">
            <v>UVH-10/25</v>
          </cell>
        </row>
        <row r="26547">
          <cell r="E26547" t="str">
            <v>LUC-161-001429</v>
          </cell>
          <cell r="F26547" t="str">
            <v>UVH-10/25</v>
          </cell>
        </row>
        <row r="26548">
          <cell r="E26548" t="str">
            <v>LUC-161-001429</v>
          </cell>
          <cell r="F26548" t="str">
            <v>UVH-10/25</v>
          </cell>
        </row>
        <row r="26549">
          <cell r="E26549" t="str">
            <v>LUC-161-001429</v>
          </cell>
          <cell r="F26549" t="str">
            <v>UVH-10/25</v>
          </cell>
        </row>
        <row r="26550">
          <cell r="E26550" t="str">
            <v>LUC-161-001430</v>
          </cell>
          <cell r="F26550" t="str">
            <v>UVH-10/25</v>
          </cell>
        </row>
        <row r="26551">
          <cell r="E26551" t="str">
            <v>LUC-161-001430</v>
          </cell>
          <cell r="F26551" t="str">
            <v>UVH-10/25</v>
          </cell>
        </row>
        <row r="26552">
          <cell r="E26552" t="str">
            <v>LUC-161-001430</v>
          </cell>
          <cell r="F26552" t="str">
            <v>UVH-10/25</v>
          </cell>
        </row>
        <row r="26553">
          <cell r="E26553" t="str">
            <v>LUC-161-001430</v>
          </cell>
          <cell r="F26553" t="str">
            <v>UVH-10/25</v>
          </cell>
        </row>
        <row r="26554">
          <cell r="E26554" t="str">
            <v>LUC-161-001430</v>
          </cell>
          <cell r="F26554" t="str">
            <v>UVH-10/25</v>
          </cell>
        </row>
        <row r="26555">
          <cell r="E26555" t="str">
            <v>LUC-161-001431</v>
          </cell>
          <cell r="F26555" t="str">
            <v>UVH-10/25</v>
          </cell>
        </row>
        <row r="26556">
          <cell r="E26556" t="str">
            <v>LUC-161-001431</v>
          </cell>
          <cell r="F26556" t="str">
            <v>UVH-10/25</v>
          </cell>
        </row>
        <row r="26557">
          <cell r="E26557" t="str">
            <v>LUC-161-001431</v>
          </cell>
          <cell r="F26557" t="str">
            <v>UVH-10/25</v>
          </cell>
        </row>
        <row r="26558">
          <cell r="E26558" t="str">
            <v>LUC-161-001432</v>
          </cell>
          <cell r="F26558" t="str">
            <v>UVH-10/25</v>
          </cell>
        </row>
        <row r="26559">
          <cell r="E26559" t="str">
            <v>LUC-161-001432</v>
          </cell>
          <cell r="F26559" t="str">
            <v>UVH-10/25</v>
          </cell>
        </row>
        <row r="26560">
          <cell r="E26560" t="str">
            <v>LUC-161-001432</v>
          </cell>
          <cell r="F26560" t="str">
            <v>UVH-10/25</v>
          </cell>
        </row>
        <row r="26561">
          <cell r="E26561" t="str">
            <v>LUC-161-001432</v>
          </cell>
          <cell r="F26561" t="str">
            <v>UVH-10/25</v>
          </cell>
        </row>
        <row r="26562">
          <cell r="E26562" t="str">
            <v>LUC-161-001433</v>
          </cell>
          <cell r="F26562" t="str">
            <v>UVH-10/25</v>
          </cell>
        </row>
        <row r="26563">
          <cell r="E26563" t="str">
            <v>LUC-161-001433</v>
          </cell>
          <cell r="F26563" t="str">
            <v>UVH-10/25</v>
          </cell>
        </row>
        <row r="26564">
          <cell r="E26564" t="str">
            <v>LUC-161-001433</v>
          </cell>
          <cell r="F26564" t="str">
            <v>UVH-10/25</v>
          </cell>
        </row>
        <row r="26565">
          <cell r="E26565" t="str">
            <v>LUC-161-001434</v>
          </cell>
          <cell r="F26565" t="str">
            <v>UVH-10/25</v>
          </cell>
        </row>
        <row r="26566">
          <cell r="E26566" t="str">
            <v>LUC-161-001434</v>
          </cell>
          <cell r="F26566" t="str">
            <v>UVH-10/25</v>
          </cell>
        </row>
        <row r="26567">
          <cell r="E26567" t="str">
            <v>LUC-161-001435</v>
          </cell>
          <cell r="F26567" t="str">
            <v>UVH-10/25</v>
          </cell>
        </row>
        <row r="26568">
          <cell r="E26568" t="str">
            <v>LUC-161-001435</v>
          </cell>
          <cell r="F26568" t="str">
            <v>UVH-10/25</v>
          </cell>
        </row>
        <row r="26569">
          <cell r="E26569" t="str">
            <v>LUC-161-001436</v>
          </cell>
          <cell r="F26569" t="str">
            <v>UVH-10/25</v>
          </cell>
        </row>
        <row r="26570">
          <cell r="E26570" t="str">
            <v>LUC-161-001436</v>
          </cell>
          <cell r="F26570" t="str">
            <v>UVH-10/25</v>
          </cell>
        </row>
        <row r="26571">
          <cell r="E26571" t="str">
            <v>LUC-161-001436</v>
          </cell>
          <cell r="F26571" t="str">
            <v>UVH-10/25</v>
          </cell>
        </row>
        <row r="26572">
          <cell r="E26572" t="str">
            <v>LUC-161-001436</v>
          </cell>
          <cell r="F26572" t="str">
            <v>UVH-10/25</v>
          </cell>
        </row>
        <row r="26573">
          <cell r="E26573" t="str">
            <v>LUC-161-001437</v>
          </cell>
          <cell r="F26573" t="str">
            <v>UVH-10/25</v>
          </cell>
        </row>
        <row r="26574">
          <cell r="E26574" t="str">
            <v>LUC-161-001437</v>
          </cell>
          <cell r="F26574" t="str">
            <v>UVH-10/25</v>
          </cell>
        </row>
        <row r="26575">
          <cell r="E26575" t="str">
            <v>LUC-161-001437</v>
          </cell>
          <cell r="F26575" t="str">
            <v>UVH-10/25</v>
          </cell>
        </row>
        <row r="26576">
          <cell r="E26576" t="str">
            <v>LUC-161-001437</v>
          </cell>
          <cell r="F26576" t="str">
            <v>UVH-10/25</v>
          </cell>
        </row>
        <row r="26577">
          <cell r="E26577" t="str">
            <v>LUC-161-001438</v>
          </cell>
          <cell r="F26577" t="str">
            <v>UVH-10/25</v>
          </cell>
        </row>
        <row r="26578">
          <cell r="E26578" t="str">
            <v>LUC-161-001438</v>
          </cell>
          <cell r="F26578" t="str">
            <v>UVH-10/25</v>
          </cell>
        </row>
        <row r="26579">
          <cell r="E26579" t="str">
            <v>LUC-161-001438</v>
          </cell>
          <cell r="F26579" t="str">
            <v>UVH-10/25</v>
          </cell>
        </row>
        <row r="26580">
          <cell r="E26580" t="str">
            <v>LUC-161-001438</v>
          </cell>
          <cell r="F26580" t="str">
            <v>UVH-10/25</v>
          </cell>
        </row>
        <row r="26581">
          <cell r="E26581" t="str">
            <v>LUC-161-001439</v>
          </cell>
          <cell r="F26581" t="str">
            <v>UVH-10/25</v>
          </cell>
        </row>
        <row r="26582">
          <cell r="E26582" t="str">
            <v>LUC-161-001439</v>
          </cell>
          <cell r="F26582" t="str">
            <v>UVH-10/25</v>
          </cell>
        </row>
        <row r="26583">
          <cell r="E26583" t="str">
            <v>LUC-161-001439</v>
          </cell>
          <cell r="F26583" t="str">
            <v>UVH-10/25</v>
          </cell>
        </row>
        <row r="26584">
          <cell r="E26584" t="str">
            <v>LUC-161-001439</v>
          </cell>
          <cell r="F26584" t="str">
            <v>UVH-10/25</v>
          </cell>
        </row>
        <row r="26585">
          <cell r="E26585" t="str">
            <v>LUC-161-001440</v>
          </cell>
          <cell r="F26585" t="str">
            <v>UVH-10/25</v>
          </cell>
        </row>
        <row r="26586">
          <cell r="E26586" t="str">
            <v>LUC-161-001440</v>
          </cell>
          <cell r="F26586" t="str">
            <v>UVH-10/25</v>
          </cell>
        </row>
        <row r="26587">
          <cell r="E26587" t="str">
            <v>LUC-161-001440</v>
          </cell>
          <cell r="F26587" t="str">
            <v>UVH-10/25</v>
          </cell>
        </row>
        <row r="26588">
          <cell r="E26588" t="str">
            <v>LUC-161-001440</v>
          </cell>
          <cell r="F26588" t="str">
            <v>UVH-10/25</v>
          </cell>
        </row>
        <row r="26589">
          <cell r="E26589" t="str">
            <v>LUC-161-001441</v>
          </cell>
          <cell r="F26589" t="str">
            <v>UVH-10/25</v>
          </cell>
        </row>
        <row r="26590">
          <cell r="E26590" t="str">
            <v>LUC-161-001441</v>
          </cell>
          <cell r="F26590" t="str">
            <v>UVH-10/25</v>
          </cell>
        </row>
        <row r="26591">
          <cell r="E26591" t="str">
            <v>LUC-161-001441</v>
          </cell>
          <cell r="F26591" t="str">
            <v>UVH-10/25</v>
          </cell>
        </row>
        <row r="26592">
          <cell r="E26592" t="str">
            <v>LUC-161-001474</v>
          </cell>
          <cell r="F26592" t="str">
            <v>UVH-10/25</v>
          </cell>
        </row>
        <row r="26593">
          <cell r="E26593" t="str">
            <v>LUC-161-001474</v>
          </cell>
          <cell r="F26593" t="str">
            <v>UVH-10/25</v>
          </cell>
        </row>
        <row r="26594">
          <cell r="E26594" t="str">
            <v>LUC-161-001474</v>
          </cell>
          <cell r="F26594" t="str">
            <v>UVH-10/25</v>
          </cell>
        </row>
        <row r="26595">
          <cell r="E26595" t="str">
            <v>LUC-161-001474</v>
          </cell>
          <cell r="F26595" t="str">
            <v>UVH-10/25</v>
          </cell>
        </row>
        <row r="26596">
          <cell r="E26596" t="str">
            <v>LUC-161-001475</v>
          </cell>
          <cell r="F26596" t="str">
            <v>UVH-10/25</v>
          </cell>
        </row>
        <row r="26597">
          <cell r="E26597" t="str">
            <v>LUC-161-001475</v>
          </cell>
          <cell r="F26597" t="str">
            <v>UVH-10/25</v>
          </cell>
        </row>
        <row r="26598">
          <cell r="E26598" t="str">
            <v>LUC-161-001475</v>
          </cell>
          <cell r="F26598" t="str">
            <v>UVH-10/25</v>
          </cell>
        </row>
        <row r="26599">
          <cell r="E26599" t="str">
            <v>LUC-161-001475</v>
          </cell>
          <cell r="F26599" t="str">
            <v>UVH-10/25</v>
          </cell>
        </row>
        <row r="26600">
          <cell r="E26600" t="str">
            <v>LUC-161-001485</v>
          </cell>
          <cell r="F26600" t="str">
            <v>UVH-10/25</v>
          </cell>
        </row>
        <row r="26601">
          <cell r="E26601" t="str">
            <v>LUC-161-001485</v>
          </cell>
          <cell r="F26601" t="str">
            <v>UVH-10/25</v>
          </cell>
        </row>
        <row r="26602">
          <cell r="E26602" t="str">
            <v>LUC-161-001485</v>
          </cell>
          <cell r="F26602" t="str">
            <v>UVH-10/25</v>
          </cell>
        </row>
        <row r="26603">
          <cell r="E26603" t="str">
            <v>LUC-161-001486</v>
          </cell>
          <cell r="F26603" t="str">
            <v>UVH-10/25</v>
          </cell>
        </row>
        <row r="26604">
          <cell r="E26604" t="str">
            <v>LUC-161-001487</v>
          </cell>
          <cell r="F26604" t="str">
            <v>UVH-10/25</v>
          </cell>
        </row>
        <row r="26605">
          <cell r="E26605" t="str">
            <v>LUC-161-001488</v>
          </cell>
          <cell r="F26605" t="str">
            <v>UVH-10/25</v>
          </cell>
        </row>
        <row r="26606">
          <cell r="E26606" t="str">
            <v>LUC-161-001489</v>
          </cell>
          <cell r="F26606" t="str">
            <v>UVH-10/25</v>
          </cell>
        </row>
        <row r="26607">
          <cell r="E26607" t="str">
            <v>LUC-161-001490</v>
          </cell>
          <cell r="F26607" t="str">
            <v>UVH-10/25</v>
          </cell>
        </row>
        <row r="26608">
          <cell r="E26608" t="str">
            <v>LUC-161-001491</v>
          </cell>
          <cell r="F26608" t="str">
            <v>UVH-10/25</v>
          </cell>
        </row>
        <row r="26609">
          <cell r="E26609" t="str">
            <v>LUC-161-001492</v>
          </cell>
          <cell r="F26609" t="str">
            <v>UVH-10/25</v>
          </cell>
        </row>
        <row r="26610">
          <cell r="E26610" t="str">
            <v>LUC-161-001492</v>
          </cell>
          <cell r="F26610" t="str">
            <v>UVH-10/25</v>
          </cell>
        </row>
        <row r="26611">
          <cell r="E26611" t="str">
            <v>LUC-161-001492</v>
          </cell>
          <cell r="F26611" t="str">
            <v>UVH-10/25</v>
          </cell>
        </row>
        <row r="26612">
          <cell r="E26612" t="str">
            <v>LUC-161-001492</v>
          </cell>
          <cell r="F26612" t="str">
            <v>UVH-10/25</v>
          </cell>
        </row>
        <row r="26613">
          <cell r="E26613" t="str">
            <v>LUC-161-001492</v>
          </cell>
          <cell r="F26613" t="str">
            <v>UVH-10/25</v>
          </cell>
        </row>
        <row r="26614">
          <cell r="E26614" t="str">
            <v>LUC-161-001493</v>
          </cell>
          <cell r="F26614" t="str">
            <v>UVH-10/25</v>
          </cell>
        </row>
        <row r="26615">
          <cell r="E26615" t="str">
            <v>LUC-161-001493</v>
          </cell>
          <cell r="F26615" t="str">
            <v>UVH-10/25</v>
          </cell>
        </row>
        <row r="26616">
          <cell r="E26616" t="str">
            <v>LUC-161-001493</v>
          </cell>
          <cell r="F26616" t="str">
            <v>UVH-10/25</v>
          </cell>
        </row>
        <row r="26617">
          <cell r="E26617" t="str">
            <v>PUR-17-0157-00</v>
          </cell>
          <cell r="F26617" t="str">
            <v>YM-1126-2025-UNIGEN</v>
          </cell>
        </row>
        <row r="26618">
          <cell r="E26618" t="str">
            <v>EF-45198782</v>
          </cell>
          <cell r="F26618" t="str">
            <v>084/UNIGEN</v>
          </cell>
        </row>
        <row r="26619">
          <cell r="E26619" t="str">
            <v>EF-45198779</v>
          </cell>
          <cell r="F26619" t="str">
            <v>084/UNIGEN</v>
          </cell>
        </row>
        <row r="26620">
          <cell r="E26620" t="str">
            <v>EF-161-000307</v>
          </cell>
          <cell r="F26620" t="str">
            <v>084/UNIGEN</v>
          </cell>
        </row>
        <row r="26621">
          <cell r="E26621" t="str">
            <v>LUC-EZZ-470297-00</v>
          </cell>
          <cell r="F26621">
            <v>395752230345</v>
          </cell>
        </row>
        <row r="26622">
          <cell r="E26622" t="str">
            <v>LUC-EZZ-470241-00</v>
          </cell>
          <cell r="F26622">
            <v>395752230345</v>
          </cell>
        </row>
        <row r="26623">
          <cell r="E26623" t="str">
            <v>LUC-EZZ-470241-00</v>
          </cell>
          <cell r="F26623">
            <v>395752230345</v>
          </cell>
        </row>
        <row r="26624">
          <cell r="E26624" t="str">
            <v>LUC-E00-470070-00</v>
          </cell>
          <cell r="F26624">
            <v>395752230345</v>
          </cell>
        </row>
        <row r="26625">
          <cell r="E26625" t="str">
            <v>LUC-EZZ-470241-00</v>
          </cell>
          <cell r="F26625">
            <v>395752230345</v>
          </cell>
        </row>
        <row r="26626">
          <cell r="E26626" t="str">
            <v>LUC-P11-K2B400-02</v>
          </cell>
          <cell r="F26626" t="str">
            <v>WTPKELHPH250748</v>
          </cell>
        </row>
        <row r="26627">
          <cell r="E26627" t="str">
            <v>LUC-P11-K2B300-03</v>
          </cell>
          <cell r="F26627" t="str">
            <v>WTPKELHPH250748</v>
          </cell>
        </row>
        <row r="26628">
          <cell r="E26628" t="str">
            <v>LUC-P11-K2B300-03</v>
          </cell>
          <cell r="F26628" t="str">
            <v>WTPKELHPH250748</v>
          </cell>
        </row>
        <row r="26629">
          <cell r="E26629" t="str">
            <v>LUC-P11-K2B300-03</v>
          </cell>
          <cell r="F26629" t="str">
            <v>WTPKELHPH250748</v>
          </cell>
        </row>
        <row r="26630">
          <cell r="E26630" t="str">
            <v>LUC-P21-K34500-02</v>
          </cell>
          <cell r="F26630" t="str">
            <v>S00419614</v>
          </cell>
        </row>
        <row r="26631">
          <cell r="E26631" t="str">
            <v>LUC-P21-K33200-02</v>
          </cell>
          <cell r="F26631" t="str">
            <v>S00419614</v>
          </cell>
        </row>
        <row r="26632">
          <cell r="E26632" t="str">
            <v>LUC-P21-K61200-02</v>
          </cell>
          <cell r="F26632" t="str">
            <v>S00419614</v>
          </cell>
        </row>
        <row r="26633">
          <cell r="E26633" t="str">
            <v>LUC-P21-K34200-00</v>
          </cell>
          <cell r="F26633" t="str">
            <v>S00419614</v>
          </cell>
        </row>
        <row r="26634">
          <cell r="E26634" t="str">
            <v>LUC-P21-K34600-02</v>
          </cell>
          <cell r="F26634" t="str">
            <v>S00419614</v>
          </cell>
        </row>
        <row r="26635">
          <cell r="E26635" t="str">
            <v>LUC-P21-K81001-01</v>
          </cell>
          <cell r="F26635" t="str">
            <v>LSHHPH2501779</v>
          </cell>
        </row>
        <row r="26636">
          <cell r="E26636" t="str">
            <v>LUC-P21-K81100-01</v>
          </cell>
          <cell r="F26636" t="str">
            <v>LSHHPH2501779</v>
          </cell>
        </row>
        <row r="26637">
          <cell r="E26637" t="str">
            <v>LUC-P21-K81101-01</v>
          </cell>
          <cell r="F26637" t="str">
            <v>LSHHPH2501779</v>
          </cell>
        </row>
        <row r="26638">
          <cell r="E26638" t="str">
            <v>LUC-P21-K81202-00</v>
          </cell>
          <cell r="F26638" t="str">
            <v>LSHHPH2501779</v>
          </cell>
        </row>
        <row r="26639">
          <cell r="E26639" t="str">
            <v>LUC-E00-420068-00</v>
          </cell>
          <cell r="F26639">
            <v>478682600413</v>
          </cell>
        </row>
        <row r="26640">
          <cell r="E26640" t="str">
            <v>LUC-EZZ-490071-06</v>
          </cell>
          <cell r="F26640">
            <v>1517041</v>
          </cell>
        </row>
        <row r="26641">
          <cell r="E26641" t="str">
            <v>LUC-EZZ-490231-05</v>
          </cell>
          <cell r="F26641">
            <v>1517041</v>
          </cell>
        </row>
        <row r="26642">
          <cell r="E26642" t="str">
            <v>LUC-EZZ-490231-05</v>
          </cell>
          <cell r="F26642">
            <v>1517041</v>
          </cell>
        </row>
        <row r="26643">
          <cell r="E26643" t="str">
            <v>LUC-EZZ-490305-05</v>
          </cell>
          <cell r="F26643">
            <v>1517041</v>
          </cell>
        </row>
        <row r="26644">
          <cell r="E26644" t="str">
            <v>LUC-EZZ-490305-05</v>
          </cell>
          <cell r="F26644">
            <v>1517041</v>
          </cell>
        </row>
        <row r="26645">
          <cell r="E26645" t="str">
            <v>LUC-EZZ-490231-05</v>
          </cell>
          <cell r="F26645">
            <v>1517041</v>
          </cell>
        </row>
        <row r="26646">
          <cell r="E26646" t="str">
            <v>LUC-EZZ-490201-07</v>
          </cell>
          <cell r="F26646">
            <v>1517041</v>
          </cell>
        </row>
        <row r="26647">
          <cell r="E26647" t="str">
            <v>LUC-EZZ-490071-06</v>
          </cell>
          <cell r="F26647">
            <v>1517041</v>
          </cell>
        </row>
        <row r="26648">
          <cell r="E26648" t="str">
            <v>LUC-EZZ-490071-06</v>
          </cell>
          <cell r="F26648">
            <v>1517041</v>
          </cell>
        </row>
        <row r="26649">
          <cell r="E26649" t="str">
            <v>LUC-EZZ-490315-02</v>
          </cell>
          <cell r="F26649">
            <v>1517041</v>
          </cell>
        </row>
        <row r="26650">
          <cell r="E26650" t="str">
            <v>LUC-EZZ-490231-05</v>
          </cell>
          <cell r="F26650">
            <v>1517051</v>
          </cell>
        </row>
        <row r="26651">
          <cell r="E26651" t="str">
            <v>LUC-P11-KA6000-04</v>
          </cell>
          <cell r="F26651" t="str">
            <v>HWHPH2503733</v>
          </cell>
        </row>
        <row r="26652">
          <cell r="E26652" t="str">
            <v>LUC-EZZ-420392-00</v>
          </cell>
          <cell r="F26652" t="str">
            <v>TXGHPHK25N19</v>
          </cell>
        </row>
        <row r="26653">
          <cell r="E26653" t="str">
            <v>LUC-E00-470118-00</v>
          </cell>
          <cell r="F26653" t="str">
            <v>TXGHPHK25N19</v>
          </cell>
        </row>
        <row r="26654">
          <cell r="E26654" t="str">
            <v>LUC-EZZ-510077-00</v>
          </cell>
          <cell r="F26654" t="str">
            <v>TXGHPHK25N19</v>
          </cell>
        </row>
        <row r="26655">
          <cell r="E26655" t="str">
            <v>LUC-E00-470120-00</v>
          </cell>
          <cell r="F26655" t="str">
            <v>TXGHPHK25N19</v>
          </cell>
        </row>
        <row r="26656">
          <cell r="E26656" t="str">
            <v>LUC-EZZ-450476-00</v>
          </cell>
          <cell r="F26656" t="str">
            <v>TXGHPHK25N19</v>
          </cell>
        </row>
        <row r="26657">
          <cell r="E26657" t="str">
            <v>LUC-E00-470032-00</v>
          </cell>
          <cell r="F26657" t="str">
            <v>TXGHPHK25N19</v>
          </cell>
        </row>
        <row r="26658">
          <cell r="E26658" t="str">
            <v>LUC-E00-450026-00</v>
          </cell>
          <cell r="F26658" t="str">
            <v>TXGHPHK25N19</v>
          </cell>
        </row>
        <row r="26659">
          <cell r="E26659" t="str">
            <v>LUC-EZZ-470696-00</v>
          </cell>
          <cell r="F26659" t="str">
            <v>TXGHPHK25N19</v>
          </cell>
        </row>
        <row r="26660">
          <cell r="E26660" t="str">
            <v>LUC-EZZ-420188-00</v>
          </cell>
          <cell r="F26660" t="str">
            <v>TXGHPHK25N19</v>
          </cell>
        </row>
        <row r="26661">
          <cell r="E26661" t="str">
            <v>LUC-E00-420048-00</v>
          </cell>
          <cell r="F26661" t="str">
            <v>TXGHPHK25N19</v>
          </cell>
        </row>
        <row r="26662">
          <cell r="E26662" t="str">
            <v>LUC-E00-420057-01</v>
          </cell>
          <cell r="F26662" t="str">
            <v>TXGHPHK25N19</v>
          </cell>
        </row>
        <row r="26663">
          <cell r="E26663" t="str">
            <v>LUC-E00-400048-00</v>
          </cell>
          <cell r="F26663" t="str">
            <v>TXGHPHK25N19</v>
          </cell>
        </row>
        <row r="26664">
          <cell r="E26664" t="str">
            <v>LUC-EZZ-470235-00</v>
          </cell>
          <cell r="F26664" t="str">
            <v>TXGHPHK25N19</v>
          </cell>
        </row>
        <row r="26665">
          <cell r="E26665" t="str">
            <v>LUC-E00-470028-00</v>
          </cell>
          <cell r="F26665" t="str">
            <v>TXGHPHK25N19</v>
          </cell>
        </row>
        <row r="26666">
          <cell r="E26666" t="str">
            <v>LUC-E00-470075-00</v>
          </cell>
          <cell r="F26666" t="str">
            <v>TXGHPHK25N19</v>
          </cell>
        </row>
        <row r="26667">
          <cell r="E26667" t="str">
            <v>LUC-E00-510015-00</v>
          </cell>
          <cell r="F26667" t="str">
            <v>TXGHPHK25N19</v>
          </cell>
        </row>
        <row r="26668">
          <cell r="E26668" t="str">
            <v>LUC-EZZ-511370-00</v>
          </cell>
          <cell r="F26668" t="str">
            <v>TXGHPHK25N19</v>
          </cell>
        </row>
        <row r="26669">
          <cell r="E26669" t="str">
            <v>LUC-EZZ-510007-00</v>
          </cell>
          <cell r="F26669" t="str">
            <v>TXGHPHK25N19</v>
          </cell>
        </row>
        <row r="26670">
          <cell r="E26670" t="str">
            <v>LUC-E00-450026-00</v>
          </cell>
          <cell r="F26670" t="str">
            <v>TXGHPHK25N19</v>
          </cell>
        </row>
        <row r="26671">
          <cell r="E26671" t="str">
            <v>LUC-EZZ-480008-00</v>
          </cell>
          <cell r="F26671" t="str">
            <v>TXGHPHK25N19</v>
          </cell>
        </row>
        <row r="26672">
          <cell r="E26672" t="str">
            <v>LUC-EZZ-421252-00</v>
          </cell>
          <cell r="F26672" t="str">
            <v>TXGHPHK25N19</v>
          </cell>
        </row>
        <row r="26673">
          <cell r="E26673" t="str">
            <v>LUC-E00-420011-05</v>
          </cell>
          <cell r="F26673" t="str">
            <v>TXGHPHK25N19</v>
          </cell>
        </row>
        <row r="26674">
          <cell r="E26674" t="str">
            <v>LUC-EZZ-421554-00</v>
          </cell>
          <cell r="F26674" t="str">
            <v>TXGHPHK25N19</v>
          </cell>
        </row>
        <row r="26675">
          <cell r="E26675" t="str">
            <v>LUC-EZZ-420101-00</v>
          </cell>
          <cell r="F26675" t="str">
            <v>TXGHPHK25N19</v>
          </cell>
        </row>
        <row r="26676">
          <cell r="E26676" t="str">
            <v>LUC-EZZ-420866-00</v>
          </cell>
          <cell r="F26676" t="str">
            <v>TXGHPHK25N19</v>
          </cell>
        </row>
        <row r="26677">
          <cell r="E26677" t="str">
            <v>LUC-EZZ-421281-00</v>
          </cell>
          <cell r="F26677" t="str">
            <v>TXGHPHK25N19</v>
          </cell>
        </row>
        <row r="26678">
          <cell r="E26678" t="str">
            <v>LUC-EZZ-420210-00</v>
          </cell>
          <cell r="F26678" t="str">
            <v>TXGHPHK25N19</v>
          </cell>
        </row>
        <row r="26679">
          <cell r="E26679" t="str">
            <v>LUC-EZZ-420322-00</v>
          </cell>
          <cell r="F26679" t="str">
            <v>TXGHPHK25N19</v>
          </cell>
        </row>
        <row r="26680">
          <cell r="E26680" t="str">
            <v>LUC-EZZ-420321-00</v>
          </cell>
          <cell r="F26680" t="str">
            <v>TXGHPHK25N19</v>
          </cell>
        </row>
        <row r="26681">
          <cell r="E26681" t="str">
            <v>LUC-E00-420054-00</v>
          </cell>
          <cell r="F26681" t="str">
            <v>TXGHPHK25N19</v>
          </cell>
        </row>
        <row r="26682">
          <cell r="E26682" t="str">
            <v>LUC-E00-420054-00</v>
          </cell>
          <cell r="F26682" t="str">
            <v>TXGHPHK25N19</v>
          </cell>
        </row>
        <row r="26683">
          <cell r="E26683" t="str">
            <v>LUC-EZZ-420252-00</v>
          </cell>
          <cell r="F26683" t="str">
            <v>TXGHPHK25N19</v>
          </cell>
        </row>
        <row r="26684">
          <cell r="E26684" t="str">
            <v>LUC-E00-400056-00</v>
          </cell>
          <cell r="F26684" t="str">
            <v>TXGHPHK25N19</v>
          </cell>
        </row>
        <row r="26685">
          <cell r="E26685" t="str">
            <v>LUC-E00-470080-00</v>
          </cell>
          <cell r="F26685" t="str">
            <v>TXGHPHK25N19</v>
          </cell>
        </row>
        <row r="26686">
          <cell r="E26686" t="str">
            <v>LUC-EZZ-470162-00</v>
          </cell>
          <cell r="F26686" t="str">
            <v>TXGHPHK25N19</v>
          </cell>
        </row>
        <row r="26687">
          <cell r="E26687" t="str">
            <v>LUC-EZZ-470276-00</v>
          </cell>
          <cell r="F26687" t="str">
            <v>TXGHPHK25N19</v>
          </cell>
        </row>
        <row r="26688">
          <cell r="E26688" t="str">
            <v>LUC-EZZ-470097-01</v>
          </cell>
          <cell r="F26688" t="str">
            <v>TXGHPHK25N19</v>
          </cell>
        </row>
        <row r="26689">
          <cell r="E26689" t="str">
            <v>LUC-E00-470447-00</v>
          </cell>
          <cell r="F26689" t="str">
            <v>TXGHPHK25N19</v>
          </cell>
        </row>
        <row r="26690">
          <cell r="E26690" t="str">
            <v>LUC-EZZ-510048-00</v>
          </cell>
          <cell r="F26690" t="str">
            <v>TXGHPHK25N19</v>
          </cell>
        </row>
        <row r="26691">
          <cell r="E26691" t="str">
            <v>LUC-E00-460015-00</v>
          </cell>
          <cell r="F26691" t="str">
            <v>TXGHPHK25N19</v>
          </cell>
        </row>
        <row r="26692">
          <cell r="E26692" t="str">
            <v>LUC-EZZ-450060-00</v>
          </cell>
          <cell r="F26692" t="str">
            <v>TXGHPHK25N19</v>
          </cell>
        </row>
        <row r="26693">
          <cell r="E26693" t="str">
            <v>LUC-EZZ-450089-00</v>
          </cell>
          <cell r="F26693" t="str">
            <v>TXGHPHK25N19</v>
          </cell>
        </row>
        <row r="26694">
          <cell r="E26694" t="str">
            <v>LUC-EZZ-450110-00</v>
          </cell>
          <cell r="F26694" t="str">
            <v>TXGHPHK25N19</v>
          </cell>
        </row>
        <row r="26695">
          <cell r="E26695" t="str">
            <v>LUC-E00-420070-00</v>
          </cell>
          <cell r="F26695" t="str">
            <v>TXGHPHK25N19</v>
          </cell>
        </row>
        <row r="26696">
          <cell r="E26696" t="str">
            <v>LUC-E00-420002-07</v>
          </cell>
          <cell r="F26696" t="str">
            <v>TXGHPHK25N19</v>
          </cell>
        </row>
        <row r="26697">
          <cell r="E26697" t="str">
            <v>LUC-E00-420047-02</v>
          </cell>
          <cell r="F26697" t="str">
            <v>TXGHPHK25N19</v>
          </cell>
        </row>
        <row r="26698">
          <cell r="E26698" t="str">
            <v>LUC-EZZ-420493-00</v>
          </cell>
          <cell r="F26698" t="str">
            <v>TXGHPHK25N19</v>
          </cell>
        </row>
        <row r="26699">
          <cell r="E26699" t="str">
            <v>LUC-E00-420049-00</v>
          </cell>
          <cell r="F26699" t="str">
            <v>TXGHPHK25N19</v>
          </cell>
        </row>
        <row r="26700">
          <cell r="E26700" t="str">
            <v>LUC-E00-460015-01</v>
          </cell>
          <cell r="F26700" t="str">
            <v>TXGHPHK25N19</v>
          </cell>
        </row>
        <row r="26701">
          <cell r="E26701" t="str">
            <v>LUC-E00-400017-000</v>
          </cell>
          <cell r="F26701" t="str">
            <v>TXGHPHK25N19</v>
          </cell>
        </row>
        <row r="26702">
          <cell r="E26702" t="str">
            <v>LUC-EZZ-401680-00</v>
          </cell>
          <cell r="F26702" t="str">
            <v>TXGHPHK25N19</v>
          </cell>
        </row>
        <row r="26703">
          <cell r="E26703" t="str">
            <v>LUC-E00-470071-00</v>
          </cell>
          <cell r="F26703" t="str">
            <v>TXGHPHK25N19</v>
          </cell>
        </row>
        <row r="26704">
          <cell r="E26704" t="str">
            <v>LUC-EZZ-470236-00</v>
          </cell>
          <cell r="F26704" t="str">
            <v>TXGHPHK25N19</v>
          </cell>
        </row>
        <row r="26705">
          <cell r="E26705" t="str">
            <v>LUC-E00-470095-00</v>
          </cell>
          <cell r="F26705" t="str">
            <v>TXGHPHK25N19</v>
          </cell>
        </row>
        <row r="26706">
          <cell r="E26706" t="str">
            <v>LUC-EZZ-480024-00</v>
          </cell>
          <cell r="F26706" t="str">
            <v>TXGHPHK25N19</v>
          </cell>
        </row>
        <row r="26707">
          <cell r="E26707" t="str">
            <v>LUC-E00-540005-00</v>
          </cell>
          <cell r="F26707" t="str">
            <v>TXGHPHK25N19</v>
          </cell>
        </row>
        <row r="26708">
          <cell r="E26708" t="str">
            <v>LUC-P11-K2B400-02</v>
          </cell>
          <cell r="F26708" t="str">
            <v>TXGHPHK25N19</v>
          </cell>
        </row>
        <row r="26709">
          <cell r="E26709" t="str">
            <v>LUC-P11-KA4000-00</v>
          </cell>
          <cell r="F26709" t="str">
            <v>TXGHPHK25N19</v>
          </cell>
        </row>
        <row r="26710">
          <cell r="E26710" t="str">
            <v>LUC-E00-400011-000</v>
          </cell>
          <cell r="F26710" t="str">
            <v>TXGHPHK25N19</v>
          </cell>
        </row>
        <row r="26711">
          <cell r="E26711" t="str">
            <v>LUC-EZZ-401250-00</v>
          </cell>
          <cell r="F26711" t="str">
            <v>TXGHPHK25N19</v>
          </cell>
        </row>
        <row r="26712">
          <cell r="E26712" t="str">
            <v>LUC-E00-440024-00</v>
          </cell>
          <cell r="F26712" t="str">
            <v>TXGHPHK25N19</v>
          </cell>
        </row>
        <row r="26713">
          <cell r="E26713" t="str">
            <v>LUC-EZZ-470091-00</v>
          </cell>
          <cell r="F26713" t="str">
            <v>TXGHPHK25N19</v>
          </cell>
        </row>
        <row r="26714">
          <cell r="E26714" t="str">
            <v>LUC-EZZ-470239-00</v>
          </cell>
          <cell r="F26714" t="str">
            <v>TXGHPHK25N19</v>
          </cell>
        </row>
        <row r="26715">
          <cell r="E26715" t="str">
            <v>LUC-EZZ-450019-00</v>
          </cell>
          <cell r="F26715" t="str">
            <v>TXGHPHK25N19</v>
          </cell>
        </row>
        <row r="26716">
          <cell r="E26716" t="str">
            <v>LUC-EZZ-520011-00</v>
          </cell>
          <cell r="F26716" t="str">
            <v>TXGHPHK25N19</v>
          </cell>
        </row>
        <row r="26717">
          <cell r="E26717" t="str">
            <v>LUC-EZZ-420536-00</v>
          </cell>
          <cell r="F26717" t="str">
            <v>TXGHPHK25N19</v>
          </cell>
        </row>
        <row r="26718">
          <cell r="E26718" t="str">
            <v>LUC-E00-400028-000</v>
          </cell>
          <cell r="F26718" t="str">
            <v>TXGHPHK25N19</v>
          </cell>
        </row>
        <row r="26719">
          <cell r="E26719" t="str">
            <v>LUC-EZZ-400145-00</v>
          </cell>
          <cell r="F26719" t="str">
            <v>TXGHPHK25N19</v>
          </cell>
        </row>
        <row r="26720">
          <cell r="E26720" t="str">
            <v>LUC-E00-400010-000</v>
          </cell>
          <cell r="F26720" t="str">
            <v>TXGHPHK25N19</v>
          </cell>
        </row>
        <row r="26721">
          <cell r="E26721" t="str">
            <v>LUC-E00-400010-018</v>
          </cell>
          <cell r="F26721" t="str">
            <v>TXGHPHK25N19</v>
          </cell>
        </row>
        <row r="26722">
          <cell r="E26722" t="str">
            <v>LUC-EZZ-400228-00</v>
          </cell>
          <cell r="F26722" t="str">
            <v>TXGHPHK25N19</v>
          </cell>
        </row>
        <row r="26723">
          <cell r="E26723" t="str">
            <v>LUC-EZZ-400265-00</v>
          </cell>
          <cell r="F26723" t="str">
            <v>TXGHPHK25N19</v>
          </cell>
        </row>
        <row r="26724">
          <cell r="E26724" t="str">
            <v>LUC-EZZ-400426-00</v>
          </cell>
          <cell r="F26724" t="str">
            <v>TXGHPHK25N19</v>
          </cell>
        </row>
        <row r="26725">
          <cell r="E26725" t="str">
            <v>LUC-EZZ-400243-00</v>
          </cell>
          <cell r="F26725" t="str">
            <v>TXGHPHK25N19</v>
          </cell>
        </row>
        <row r="26726">
          <cell r="E26726" t="str">
            <v>LUC-EZZ-401043-00</v>
          </cell>
          <cell r="F26726" t="str">
            <v>TXGHPHK25N19</v>
          </cell>
        </row>
        <row r="26727">
          <cell r="E26727" t="str">
            <v>LUC-E00-400001-005</v>
          </cell>
          <cell r="F26727" t="str">
            <v>TXGHPHK25N19</v>
          </cell>
        </row>
        <row r="26728">
          <cell r="E26728" t="str">
            <v>LUC-EZZ-421002-00</v>
          </cell>
          <cell r="F26728" t="str">
            <v>TXGHPHK25N19</v>
          </cell>
        </row>
        <row r="26729">
          <cell r="E26729" t="str">
            <v>LUC-EZZ-400554-00</v>
          </cell>
          <cell r="F26729" t="str">
            <v>TXGHPHK25N19</v>
          </cell>
        </row>
        <row r="26730">
          <cell r="E26730" t="str">
            <v>LUC-E00-400010-028</v>
          </cell>
          <cell r="F26730" t="str">
            <v>TXGHPHK25N19</v>
          </cell>
        </row>
        <row r="26731">
          <cell r="E26731" t="str">
            <v>LUC-EZZ-400259-00</v>
          </cell>
          <cell r="F26731" t="str">
            <v>TXGHPHK25N19</v>
          </cell>
        </row>
        <row r="26732">
          <cell r="E26732" t="str">
            <v>LUC-EZZ-400278-00</v>
          </cell>
          <cell r="F26732" t="str">
            <v>TXGHPHK25N19</v>
          </cell>
        </row>
        <row r="26733">
          <cell r="E26733" t="str">
            <v>LUC-EZZ-450093-00</v>
          </cell>
          <cell r="F26733" t="str">
            <v>TXGHPHK25N19</v>
          </cell>
        </row>
        <row r="26734">
          <cell r="E26734" t="str">
            <v>LUC-EZZ-450070-00</v>
          </cell>
          <cell r="F26734" t="str">
            <v>TXGHPHK25N19</v>
          </cell>
        </row>
        <row r="26735">
          <cell r="E26735" t="str">
            <v>LUC-EZZ-480893-00</v>
          </cell>
          <cell r="F26735" t="str">
            <v>TXGHPHK25N19</v>
          </cell>
        </row>
        <row r="26736">
          <cell r="E26736" t="str">
            <v>LUC-EZZ-480174-00</v>
          </cell>
          <cell r="F26736" t="str">
            <v>TXGHPHK25N19</v>
          </cell>
        </row>
        <row r="26737">
          <cell r="E26737" t="str">
            <v>LUC-EZZ-420179-00</v>
          </cell>
          <cell r="F26737" t="str">
            <v>TXGHPHK25N19</v>
          </cell>
        </row>
        <row r="26738">
          <cell r="E26738" t="str">
            <v>LUC-EZZ-420191-00</v>
          </cell>
          <cell r="F26738" t="str">
            <v>TXGHPHK25N19</v>
          </cell>
        </row>
        <row r="26739">
          <cell r="E26739" t="str">
            <v>LUC-EZZ-400537-00</v>
          </cell>
          <cell r="F26739" t="str">
            <v>TXGHPHK25N19</v>
          </cell>
        </row>
        <row r="26740">
          <cell r="E26740" t="str">
            <v>LUC-EZZ-400580-00</v>
          </cell>
          <cell r="F26740" t="str">
            <v>TXGHPHK25N19</v>
          </cell>
        </row>
        <row r="26741">
          <cell r="E26741" t="str">
            <v>LUC-EZZ-400232-00</v>
          </cell>
          <cell r="F26741" t="str">
            <v>TXGHPHK25N19</v>
          </cell>
        </row>
        <row r="26742">
          <cell r="E26742" t="str">
            <v>LUC-E00-400010-039</v>
          </cell>
          <cell r="F26742" t="str">
            <v>TXGHPHK25N19</v>
          </cell>
        </row>
        <row r="26743">
          <cell r="E26743" t="str">
            <v>LUC-EZZ-400241-00</v>
          </cell>
          <cell r="F26743" t="str">
            <v>TXGHPHK25N19</v>
          </cell>
        </row>
        <row r="26744">
          <cell r="E26744" t="str">
            <v>LUC-E00-400010-002</v>
          </cell>
          <cell r="F26744" t="str">
            <v>TXGHPHK25N19</v>
          </cell>
        </row>
        <row r="26745">
          <cell r="E26745" t="str">
            <v>LUC-EZZ-400264-00</v>
          </cell>
          <cell r="F26745" t="str">
            <v>TXGHPHK25N19</v>
          </cell>
        </row>
        <row r="26746">
          <cell r="E26746" t="str">
            <v>LUC-EZZ-400543-00</v>
          </cell>
          <cell r="F26746" t="str">
            <v>TXGHPHK25N19</v>
          </cell>
        </row>
        <row r="26747">
          <cell r="E26747" t="str">
            <v>LUC-E00-400010-003</v>
          </cell>
          <cell r="F26747" t="str">
            <v>TXGHPHK25N19</v>
          </cell>
        </row>
        <row r="26748">
          <cell r="E26748" t="str">
            <v>LUC-E00-470074-01</v>
          </cell>
          <cell r="F26748" t="str">
            <v>TXGHPHK25N19</v>
          </cell>
        </row>
        <row r="26749">
          <cell r="E26749" t="str">
            <v>LUC-E00-460006-00</v>
          </cell>
          <cell r="F26749" t="str">
            <v>TXGHPHK25N19</v>
          </cell>
        </row>
        <row r="26750">
          <cell r="E26750" t="str">
            <v>LUC-E00-460009-00</v>
          </cell>
          <cell r="F26750" t="str">
            <v>TXGHPHK25N19</v>
          </cell>
        </row>
        <row r="26751">
          <cell r="E26751" t="str">
            <v>LUC-P11-K33R00-01</v>
          </cell>
          <cell r="F26751" t="str">
            <v>S00419721</v>
          </cell>
        </row>
        <row r="26752">
          <cell r="E26752" t="str">
            <v>LUC-P11-K33P00-00</v>
          </cell>
          <cell r="F26752" t="str">
            <v>S00419721</v>
          </cell>
        </row>
        <row r="26753">
          <cell r="E26753" t="str">
            <v>LUC-P11-K33C00-02</v>
          </cell>
          <cell r="F26753" t="str">
            <v>S00419721</v>
          </cell>
        </row>
        <row r="26754">
          <cell r="E26754" t="str">
            <v>LUC-EZZ-451277-00</v>
          </cell>
          <cell r="F26754">
            <v>1811290224</v>
          </cell>
        </row>
        <row r="26755">
          <cell r="E26755" t="str">
            <v>LUC-E00-450044-00</v>
          </cell>
          <cell r="F26755">
            <v>1811290224</v>
          </cell>
        </row>
        <row r="26756">
          <cell r="E26756" t="str">
            <v>LUC-EZZ-400192-00</v>
          </cell>
          <cell r="F26756">
            <v>1811290224</v>
          </cell>
        </row>
        <row r="26757">
          <cell r="E26757" t="str">
            <v>LUC-EZZ-400192-00</v>
          </cell>
          <cell r="F26757">
            <v>1811290224</v>
          </cell>
        </row>
        <row r="26758">
          <cell r="E26758" t="str">
            <v>LUC-EZZ-400831-00</v>
          </cell>
          <cell r="F26758">
            <v>1811290224</v>
          </cell>
        </row>
        <row r="26759">
          <cell r="E26759" t="str">
            <v>LUC-EZZ-400831-00</v>
          </cell>
          <cell r="F26759">
            <v>1811290224</v>
          </cell>
        </row>
        <row r="26760">
          <cell r="E26760" t="str">
            <v>LUC-EZZ-400831-00</v>
          </cell>
          <cell r="F26760">
            <v>1811290224</v>
          </cell>
        </row>
        <row r="26761">
          <cell r="E26761" t="str">
            <v>HLOB-09-0279-00</v>
          </cell>
          <cell r="F26761">
            <v>1811290224</v>
          </cell>
        </row>
        <row r="26762">
          <cell r="E26762" t="str">
            <v>PUR-09-0279-00</v>
          </cell>
          <cell r="F26762">
            <v>1811290224</v>
          </cell>
        </row>
        <row r="26763">
          <cell r="E26763" t="str">
            <v>LUC-EZZ-400831-00</v>
          </cell>
          <cell r="F26763">
            <v>1811290224</v>
          </cell>
        </row>
        <row r="26764">
          <cell r="E26764" t="str">
            <v>LUC-EZZ-400241-00</v>
          </cell>
          <cell r="F26764">
            <v>1811290224</v>
          </cell>
        </row>
        <row r="26765">
          <cell r="E26765" t="str">
            <v>LUC-EZZ-400036-00</v>
          </cell>
          <cell r="F26765">
            <v>1811290224</v>
          </cell>
        </row>
        <row r="26766">
          <cell r="E26766" t="str">
            <v>LUC-EZZ-400127-00</v>
          </cell>
          <cell r="F26766">
            <v>1811290224</v>
          </cell>
        </row>
        <row r="26767">
          <cell r="E26767" t="str">
            <v>PUR-14-0077-00</v>
          </cell>
          <cell r="F26767">
            <v>1811290224</v>
          </cell>
        </row>
        <row r="26768">
          <cell r="E26768" t="str">
            <v>HLOB-14-0076-00</v>
          </cell>
          <cell r="F26768">
            <v>1811290224</v>
          </cell>
        </row>
        <row r="26769">
          <cell r="E26769" t="str">
            <v>PUR-13-0125-00</v>
          </cell>
          <cell r="F26769">
            <v>1811290224</v>
          </cell>
        </row>
        <row r="26770">
          <cell r="E26770" t="str">
            <v>PUR-13-0125-00</v>
          </cell>
          <cell r="F26770">
            <v>1811290224</v>
          </cell>
        </row>
        <row r="26771">
          <cell r="E26771" t="str">
            <v>LUC-EZZ-451660-00</v>
          </cell>
          <cell r="F26771">
            <v>1811290224</v>
          </cell>
        </row>
        <row r="26772">
          <cell r="E26772" t="str">
            <v>LUC-EZZ-451660-00</v>
          </cell>
          <cell r="F26772">
            <v>1811290224</v>
          </cell>
        </row>
        <row r="26773">
          <cell r="E26773" t="str">
            <v>HLOB-13-0125-00</v>
          </cell>
          <cell r="F26773">
            <v>1811290224</v>
          </cell>
        </row>
        <row r="26774">
          <cell r="E26774" t="str">
            <v>HLOB-13-0125-00</v>
          </cell>
          <cell r="F26774">
            <v>1811290224</v>
          </cell>
        </row>
        <row r="26775">
          <cell r="E26775" t="str">
            <v>PUR-13-0125-00</v>
          </cell>
          <cell r="F26775">
            <v>1811290224</v>
          </cell>
        </row>
        <row r="26776">
          <cell r="E26776" t="str">
            <v>HLOB-13-0125-00</v>
          </cell>
          <cell r="F26776">
            <v>1811290224</v>
          </cell>
        </row>
        <row r="26777">
          <cell r="E26777" t="str">
            <v>PUR-13-0125-00</v>
          </cell>
          <cell r="F26777">
            <v>1811290224</v>
          </cell>
        </row>
        <row r="26778">
          <cell r="E26778" t="str">
            <v>LUC-EZZ-470093-00</v>
          </cell>
          <cell r="F26778">
            <v>1811290224</v>
          </cell>
        </row>
        <row r="26779">
          <cell r="E26779" t="str">
            <v>HLOB-09-0444-00</v>
          </cell>
          <cell r="F26779">
            <v>1811290224</v>
          </cell>
        </row>
        <row r="26780">
          <cell r="E26780" t="str">
            <v>HLOB-09-0444-00</v>
          </cell>
          <cell r="F26780">
            <v>1811290224</v>
          </cell>
        </row>
        <row r="26781">
          <cell r="E26781" t="str">
            <v>LUC-E00-470074-01</v>
          </cell>
          <cell r="F26781">
            <v>1811290224</v>
          </cell>
        </row>
        <row r="26782">
          <cell r="E26782" t="str">
            <v>LUC-E00-400049-00</v>
          </cell>
          <cell r="F26782">
            <v>1811290224</v>
          </cell>
        </row>
        <row r="26783">
          <cell r="E26783" t="str">
            <v>LUC-E00-400035-06</v>
          </cell>
          <cell r="F26783">
            <v>1811290224</v>
          </cell>
        </row>
        <row r="26784">
          <cell r="E26784" t="str">
            <v>LUC-E00-450044-00</v>
          </cell>
          <cell r="F26784">
            <v>1811290224</v>
          </cell>
        </row>
        <row r="26785">
          <cell r="E26785" t="str">
            <v>EF-45058031</v>
          </cell>
          <cell r="F26785">
            <v>1811290224</v>
          </cell>
        </row>
        <row r="26786">
          <cell r="E26786" t="str">
            <v>HLOB-24-0008-00</v>
          </cell>
          <cell r="F26786">
            <v>1811290224</v>
          </cell>
        </row>
        <row r="26787">
          <cell r="E26787" t="str">
            <v>HLOB-24-0008-00</v>
          </cell>
          <cell r="F26787">
            <v>1811290224</v>
          </cell>
        </row>
        <row r="26788">
          <cell r="E26788" t="str">
            <v>AIC-MP-00003546-000</v>
          </cell>
          <cell r="F26788">
            <v>1811290224</v>
          </cell>
        </row>
        <row r="26789">
          <cell r="E26789" t="str">
            <v>HLOB-09-0050-00</v>
          </cell>
          <cell r="F26789">
            <v>1811290224</v>
          </cell>
        </row>
        <row r="26790">
          <cell r="E26790" t="str">
            <v>LUC-E00-450044-00</v>
          </cell>
          <cell r="F26790">
            <v>1811290224</v>
          </cell>
        </row>
        <row r="26791">
          <cell r="E26791" t="str">
            <v>LUC-P11-K41300-00</v>
          </cell>
          <cell r="F26791">
            <v>475938950496</v>
          </cell>
        </row>
        <row r="26792">
          <cell r="E26792" t="str">
            <v>LUC-P11-K41300-00</v>
          </cell>
          <cell r="F26792">
            <v>475938950496</v>
          </cell>
        </row>
        <row r="26793">
          <cell r="E26793" t="str">
            <v>LUC-EZZ-420695-01-TDK</v>
          </cell>
          <cell r="F26793">
            <v>492152740439</v>
          </cell>
        </row>
        <row r="26794">
          <cell r="E26794" t="str">
            <v>LUC-E00-470020-01</v>
          </cell>
          <cell r="F26794">
            <v>886476082323</v>
          </cell>
        </row>
        <row r="26795">
          <cell r="E26795" t="str">
            <v>LUC-E00-470020-01</v>
          </cell>
          <cell r="F26795">
            <v>886476082323</v>
          </cell>
        </row>
        <row r="26796">
          <cell r="E26796" t="str">
            <v>LUC-E00-470020-01</v>
          </cell>
          <cell r="F26796">
            <v>886476082323</v>
          </cell>
        </row>
        <row r="26797">
          <cell r="E26797" t="str">
            <v>LUC-E00-470020-01</v>
          </cell>
          <cell r="F26797">
            <v>886476082323</v>
          </cell>
        </row>
        <row r="26798">
          <cell r="E26798" t="str">
            <v>LUC-E00-510061-01</v>
          </cell>
          <cell r="F26798">
            <v>886476082323</v>
          </cell>
        </row>
        <row r="26799">
          <cell r="E26799" t="str">
            <v>LUC-E00-510018-00</v>
          </cell>
          <cell r="F26799">
            <v>491093716858</v>
          </cell>
        </row>
        <row r="26800">
          <cell r="E26800" t="str">
            <v>LUC-E00-400010-003</v>
          </cell>
          <cell r="F26800">
            <v>491093716858</v>
          </cell>
        </row>
        <row r="26801">
          <cell r="E26801" t="str">
            <v>LUC-E00-420027-05</v>
          </cell>
          <cell r="F26801">
            <v>491093716858</v>
          </cell>
        </row>
        <row r="26802">
          <cell r="E26802" t="str">
            <v>LUC-EZZ-400210-00</v>
          </cell>
          <cell r="F26802">
            <v>491093716858</v>
          </cell>
        </row>
        <row r="26803">
          <cell r="E26803" t="str">
            <v>HLOB-13-0258-00</v>
          </cell>
          <cell r="F26803">
            <v>491093716858</v>
          </cell>
        </row>
        <row r="26804">
          <cell r="E26804" t="str">
            <v>LUC-EZZ-440127-00</v>
          </cell>
          <cell r="F26804">
            <v>491093716858</v>
          </cell>
        </row>
        <row r="26805">
          <cell r="E26805" t="str">
            <v>LUC-EZZ-440127-00</v>
          </cell>
          <cell r="F26805">
            <v>491093716858</v>
          </cell>
        </row>
        <row r="26806">
          <cell r="E26806" t="str">
            <v>HLOB-13-0258-00</v>
          </cell>
          <cell r="F26806">
            <v>491093716858</v>
          </cell>
        </row>
        <row r="26807">
          <cell r="E26807" t="str">
            <v>HLOB-13-0258-00</v>
          </cell>
          <cell r="F26807">
            <v>491093716858</v>
          </cell>
        </row>
        <row r="26808">
          <cell r="E26808" t="str">
            <v>LUC-E00-400023-04</v>
          </cell>
          <cell r="F26808">
            <v>491093716858</v>
          </cell>
        </row>
        <row r="26809">
          <cell r="E26809" t="str">
            <v>HLOB-13-0258-00</v>
          </cell>
          <cell r="F26809">
            <v>491093716858</v>
          </cell>
        </row>
        <row r="26810">
          <cell r="E26810" t="str">
            <v>HLOB-25-0012-00</v>
          </cell>
          <cell r="F26810">
            <v>430998646418</v>
          </cell>
        </row>
        <row r="26811">
          <cell r="E26811" t="str">
            <v>LUC-P11-KA4000-00</v>
          </cell>
          <cell r="F26811">
            <v>886418838738</v>
          </cell>
        </row>
        <row r="26812">
          <cell r="E26812" t="str">
            <v>LUC-P11-KA4000-00</v>
          </cell>
          <cell r="F26812">
            <v>886418838738</v>
          </cell>
        </row>
        <row r="26813">
          <cell r="E26813" t="str">
            <v>LUC-P11-KA4000-00</v>
          </cell>
          <cell r="F26813">
            <v>886418838738</v>
          </cell>
        </row>
        <row r="26814">
          <cell r="E26814" t="str">
            <v>LUC-E00-510021-00</v>
          </cell>
          <cell r="F26814">
            <v>886476647100</v>
          </cell>
        </row>
        <row r="26815">
          <cell r="E26815" t="str">
            <v>LUC-E00-470331-00</v>
          </cell>
          <cell r="F26815">
            <v>886476647100</v>
          </cell>
        </row>
        <row r="26816">
          <cell r="E26816" t="str">
            <v>LUC-E00-690010-00</v>
          </cell>
          <cell r="F26816">
            <v>395692045300</v>
          </cell>
        </row>
        <row r="26817">
          <cell r="E26817" t="str">
            <v>LUC-E00-470036-00</v>
          </cell>
          <cell r="F26817">
            <v>395697824625</v>
          </cell>
        </row>
        <row r="26818">
          <cell r="E26818" t="str">
            <v>LUC-EZZ-470093-00</v>
          </cell>
          <cell r="F26818">
            <v>395697824625</v>
          </cell>
        </row>
        <row r="26819">
          <cell r="E26819" t="str">
            <v>LUC-EZZ-470093-00</v>
          </cell>
          <cell r="F26819">
            <v>395697824625</v>
          </cell>
        </row>
        <row r="26820">
          <cell r="E26820" t="str">
            <v>LUC-EZZ-470093-00</v>
          </cell>
          <cell r="F26820">
            <v>395697824625</v>
          </cell>
        </row>
        <row r="26821">
          <cell r="E26821" t="str">
            <v>PUR-15-0220-00</v>
          </cell>
          <cell r="F26821">
            <v>4915009573</v>
          </cell>
        </row>
        <row r="26822">
          <cell r="E26822" t="str">
            <v>HLOB-15-0220-00</v>
          </cell>
          <cell r="F26822">
            <v>4915009573</v>
          </cell>
        </row>
        <row r="26823">
          <cell r="E26823" t="str">
            <v>PUR-15-0221-00</v>
          </cell>
          <cell r="F26823">
            <v>4915009573</v>
          </cell>
        </row>
        <row r="26824">
          <cell r="E26824" t="str">
            <v>LUC-E00-470122-01</v>
          </cell>
          <cell r="F26824">
            <v>3239397372</v>
          </cell>
        </row>
        <row r="26825">
          <cell r="E26825" t="str">
            <v>LUC-E00-470122-01</v>
          </cell>
          <cell r="F26825">
            <v>3239397372</v>
          </cell>
        </row>
        <row r="26826">
          <cell r="E26826" t="str">
            <v>LUC-E00-400010-048</v>
          </cell>
          <cell r="F26826">
            <v>3239397372</v>
          </cell>
        </row>
        <row r="26827">
          <cell r="E26827" t="str">
            <v>LUC-EZZ-510047-00</v>
          </cell>
          <cell r="F26827">
            <v>3239397372</v>
          </cell>
        </row>
        <row r="26828">
          <cell r="E26828" t="str">
            <v>LUC-E00-400010-048</v>
          </cell>
          <cell r="F26828">
            <v>3239397372</v>
          </cell>
        </row>
        <row r="26829">
          <cell r="E26829" t="str">
            <v>LUC-E00-400010-048</v>
          </cell>
          <cell r="F26829">
            <v>3239397372</v>
          </cell>
        </row>
        <row r="26830">
          <cell r="E26830" t="str">
            <v>LUC-EZZ-420125-00</v>
          </cell>
          <cell r="F26830">
            <v>3239397372</v>
          </cell>
        </row>
        <row r="26831">
          <cell r="E26831" t="str">
            <v>LUC-E00-470122-01</v>
          </cell>
          <cell r="F26831">
            <v>3239397372</v>
          </cell>
        </row>
        <row r="26832">
          <cell r="E26832" t="str">
            <v>LUC-EZZ-460737-00</v>
          </cell>
          <cell r="F26832">
            <v>3239397372</v>
          </cell>
        </row>
        <row r="26833">
          <cell r="E26833" t="str">
            <v>LUC-EZZ-470192-00</v>
          </cell>
          <cell r="F26833">
            <v>3239397372</v>
          </cell>
        </row>
        <row r="26834">
          <cell r="E26834" t="str">
            <v>LUC-EZZ-470431-00</v>
          </cell>
          <cell r="F26834">
            <v>3239397372</v>
          </cell>
        </row>
        <row r="26835">
          <cell r="E26835" t="str">
            <v>LUC-EZZ-460737-00</v>
          </cell>
          <cell r="F26835">
            <v>3239397372</v>
          </cell>
        </row>
        <row r="26836">
          <cell r="E26836" t="str">
            <v>LUC-EZZ-460737-00</v>
          </cell>
          <cell r="F26836">
            <v>3239397372</v>
          </cell>
        </row>
        <row r="26837">
          <cell r="E26837" t="str">
            <v>LUC-EZZ-460737-00</v>
          </cell>
          <cell r="F26837">
            <v>3239397372</v>
          </cell>
        </row>
        <row r="26838">
          <cell r="E26838" t="str">
            <v>LUC-EZZ-460737-00</v>
          </cell>
          <cell r="F26838">
            <v>3239397372</v>
          </cell>
        </row>
        <row r="26839">
          <cell r="E26839" t="str">
            <v>LUC-EZZ-470136-00</v>
          </cell>
          <cell r="F26839">
            <v>3239397372</v>
          </cell>
        </row>
        <row r="26840">
          <cell r="E26840" t="str">
            <v>LUC-EZZ-470136-00</v>
          </cell>
          <cell r="F26840">
            <v>3239397372</v>
          </cell>
        </row>
        <row r="26841">
          <cell r="E26841" t="str">
            <v>LUC-E00-470379-00</v>
          </cell>
          <cell r="F26841">
            <v>3239397372</v>
          </cell>
        </row>
        <row r="26842">
          <cell r="E26842" t="str">
            <v>LUC-EZZ-470961-00</v>
          </cell>
          <cell r="F26842">
            <v>3239397372</v>
          </cell>
        </row>
        <row r="26843">
          <cell r="E26843" t="str">
            <v>LUC-E00-470004-00</v>
          </cell>
          <cell r="F26843">
            <v>3239397372</v>
          </cell>
        </row>
        <row r="26844">
          <cell r="E26844" t="str">
            <v>LUC-E00-420056-01</v>
          </cell>
          <cell r="F26844">
            <v>3239397372</v>
          </cell>
        </row>
        <row r="26845">
          <cell r="E26845" t="str">
            <v>LUC-E00-470004-00</v>
          </cell>
          <cell r="F26845">
            <v>3239397372</v>
          </cell>
        </row>
        <row r="26846">
          <cell r="E26846" t="str">
            <v>LUC-E00-470059-00</v>
          </cell>
          <cell r="F26846">
            <v>3239397372</v>
          </cell>
        </row>
        <row r="26847">
          <cell r="E26847" t="str">
            <v>LUC-E00-470089-00</v>
          </cell>
          <cell r="F26847">
            <v>3239397372</v>
          </cell>
        </row>
        <row r="26848">
          <cell r="E26848" t="str">
            <v>LUC-EZZ-510077-00</v>
          </cell>
          <cell r="F26848">
            <v>3239397372</v>
          </cell>
        </row>
        <row r="26849">
          <cell r="E26849" t="str">
            <v>LUC-E00-460015-00</v>
          </cell>
          <cell r="F26849">
            <v>3239397372</v>
          </cell>
        </row>
        <row r="26850">
          <cell r="E26850" t="str">
            <v>LUC-E00-510045-00</v>
          </cell>
          <cell r="F26850">
            <v>3239397372</v>
          </cell>
        </row>
        <row r="26851">
          <cell r="E26851" t="str">
            <v>LUC-EZZ-470961-00</v>
          </cell>
          <cell r="F26851">
            <v>3239397372</v>
          </cell>
        </row>
        <row r="26852">
          <cell r="E26852" t="str">
            <v>LUC-EZZ-420189-00</v>
          </cell>
          <cell r="F26852">
            <v>3239397372</v>
          </cell>
        </row>
        <row r="26853">
          <cell r="E26853" t="str">
            <v>LUC-EZZ-421047-00</v>
          </cell>
          <cell r="F26853">
            <v>3239397372</v>
          </cell>
        </row>
        <row r="26854">
          <cell r="E26854" t="str">
            <v>LUC-E00-470044-00</v>
          </cell>
          <cell r="F26854">
            <v>3239397372</v>
          </cell>
        </row>
        <row r="26855">
          <cell r="E26855" t="str">
            <v>LUC-EZZ-421047-00</v>
          </cell>
          <cell r="F26855">
            <v>3239397372</v>
          </cell>
        </row>
        <row r="26856">
          <cell r="E26856" t="str">
            <v>LUC-E00-470004-00</v>
          </cell>
          <cell r="F26856">
            <v>3239397372</v>
          </cell>
        </row>
        <row r="26857">
          <cell r="E26857" t="str">
            <v>LUC-E00-470044-00</v>
          </cell>
          <cell r="F26857">
            <v>3239397372</v>
          </cell>
        </row>
        <row r="26858">
          <cell r="E26858" t="str">
            <v>LUC-E00-470062-00</v>
          </cell>
          <cell r="F26858">
            <v>3239397372</v>
          </cell>
        </row>
        <row r="26859">
          <cell r="E26859" t="str">
            <v>LUC-E00-400067-399</v>
          </cell>
          <cell r="F26859">
            <v>3239397372</v>
          </cell>
        </row>
        <row r="26860">
          <cell r="E26860" t="str">
            <v>LUC-E00-420051-00</v>
          </cell>
          <cell r="F26860">
            <v>3239397372</v>
          </cell>
        </row>
        <row r="26861">
          <cell r="E26861" t="str">
            <v>LUC-EZZ-400334-00</v>
          </cell>
          <cell r="F26861">
            <v>3239397372</v>
          </cell>
        </row>
        <row r="26862">
          <cell r="E26862" t="str">
            <v>LUC-E00-470060-00</v>
          </cell>
          <cell r="F26862">
            <v>3239397372</v>
          </cell>
        </row>
        <row r="26863">
          <cell r="E26863" t="str">
            <v>LUC-E00-470330-00</v>
          </cell>
          <cell r="F26863">
            <v>3239397372</v>
          </cell>
        </row>
        <row r="26864">
          <cell r="E26864" t="str">
            <v>LUC-EZZ-470152-01</v>
          </cell>
          <cell r="F26864">
            <v>3239397372</v>
          </cell>
        </row>
        <row r="26865">
          <cell r="E26865" t="str">
            <v>LUC-E00-420045-02</v>
          </cell>
          <cell r="F26865">
            <v>3239397372</v>
          </cell>
        </row>
        <row r="26866">
          <cell r="E26866" t="str">
            <v>LUC-E00-470178-00</v>
          </cell>
          <cell r="F26866">
            <v>3239397372</v>
          </cell>
        </row>
        <row r="26867">
          <cell r="E26867" t="str">
            <v>LUC-E00-420056-01</v>
          </cell>
          <cell r="F26867">
            <v>3239397372</v>
          </cell>
        </row>
        <row r="26868">
          <cell r="E26868" t="str">
            <v>LUC-E00-420076-00</v>
          </cell>
          <cell r="F26868">
            <v>3239397372</v>
          </cell>
        </row>
        <row r="26869">
          <cell r="E26869" t="str">
            <v>LUC-E00-420055-12</v>
          </cell>
          <cell r="F26869">
            <v>3239397372</v>
          </cell>
        </row>
        <row r="26870">
          <cell r="E26870" t="str">
            <v>LUC-EZZ-470961-00</v>
          </cell>
          <cell r="F26870">
            <v>3239397372</v>
          </cell>
        </row>
        <row r="26871">
          <cell r="E26871" t="str">
            <v>LUC-EZZ-440176-00</v>
          </cell>
          <cell r="F26871">
            <v>3239397372</v>
          </cell>
        </row>
        <row r="26872">
          <cell r="E26872" t="str">
            <v>LUC-EZZ-510639-00</v>
          </cell>
          <cell r="F26872">
            <v>3239397372</v>
          </cell>
        </row>
        <row r="26873">
          <cell r="E26873" t="str">
            <v>LUC-E00-450075-00</v>
          </cell>
          <cell r="F26873">
            <v>3239397372</v>
          </cell>
        </row>
        <row r="26874">
          <cell r="E26874" t="str">
            <v>LUC-E00-470361-00</v>
          </cell>
          <cell r="F26874">
            <v>3239397372</v>
          </cell>
        </row>
        <row r="26875">
          <cell r="E26875" t="str">
            <v>LUC-E00-510031-00</v>
          </cell>
          <cell r="F26875">
            <v>3239397372</v>
          </cell>
        </row>
        <row r="26876">
          <cell r="E26876" t="str">
            <v>LUC-EZZ-510053-00</v>
          </cell>
          <cell r="F26876">
            <v>3239397372</v>
          </cell>
        </row>
        <row r="26877">
          <cell r="E26877" t="str">
            <v>LUC-EZZ-450835-00</v>
          </cell>
          <cell r="F26877">
            <v>3239397372</v>
          </cell>
        </row>
        <row r="26878">
          <cell r="E26878" t="str">
            <v>LUC-EZZ-460737-00</v>
          </cell>
          <cell r="F26878">
            <v>3239397372</v>
          </cell>
        </row>
        <row r="26879">
          <cell r="E26879" t="str">
            <v>LUC-EZZ-510080-00</v>
          </cell>
          <cell r="F26879">
            <v>3239397372</v>
          </cell>
        </row>
        <row r="26880">
          <cell r="E26880" t="str">
            <v>LUC-EZZ-450476-00</v>
          </cell>
          <cell r="F26880">
            <v>3239397372</v>
          </cell>
        </row>
        <row r="26881">
          <cell r="E26881" t="str">
            <v>LUC-EZZ-450476-00</v>
          </cell>
          <cell r="F26881">
            <v>3239397372</v>
          </cell>
        </row>
        <row r="26882">
          <cell r="E26882" t="str">
            <v>LUC-EZZ-471023-00</v>
          </cell>
          <cell r="F26882">
            <v>3239397372</v>
          </cell>
        </row>
        <row r="26883">
          <cell r="E26883" t="str">
            <v>LUC-EZZ-450246-00</v>
          </cell>
          <cell r="F26883">
            <v>3239397372</v>
          </cell>
        </row>
        <row r="26884">
          <cell r="E26884" t="str">
            <v>LUC-EZZ-451368-00</v>
          </cell>
          <cell r="F26884">
            <v>3239397372</v>
          </cell>
        </row>
        <row r="26885">
          <cell r="E26885" t="str">
            <v>LUC-E00-450036-00</v>
          </cell>
          <cell r="F26885">
            <v>3239397372</v>
          </cell>
        </row>
        <row r="26886">
          <cell r="E26886" t="str">
            <v>LUC-E00-450036-00</v>
          </cell>
          <cell r="F26886">
            <v>3239397372</v>
          </cell>
        </row>
        <row r="26887">
          <cell r="E26887" t="str">
            <v>LUC-EZZ-450246-00</v>
          </cell>
          <cell r="F26887">
            <v>3239397372</v>
          </cell>
        </row>
        <row r="26888">
          <cell r="E26888" t="str">
            <v>LUC-EZZ-470155-00</v>
          </cell>
          <cell r="F26888">
            <v>3239397372</v>
          </cell>
        </row>
        <row r="26889">
          <cell r="E26889" t="str">
            <v>LUC-EZZ-470155-00</v>
          </cell>
          <cell r="F26889">
            <v>3239397372</v>
          </cell>
        </row>
        <row r="26890">
          <cell r="E26890" t="str">
            <v>LUC-E00-420186-00</v>
          </cell>
          <cell r="F26890">
            <v>3239397372</v>
          </cell>
        </row>
        <row r="26891">
          <cell r="E26891" t="str">
            <v>LUC-E00-400010-017</v>
          </cell>
          <cell r="F26891">
            <v>3239397372</v>
          </cell>
        </row>
        <row r="26892">
          <cell r="E26892" t="str">
            <v>LUC-E00-400012-19</v>
          </cell>
          <cell r="F26892">
            <v>3239397372</v>
          </cell>
        </row>
        <row r="26893">
          <cell r="E26893" t="str">
            <v>LUC-E00-400067-162</v>
          </cell>
          <cell r="F26893">
            <v>3239397372</v>
          </cell>
        </row>
        <row r="26894">
          <cell r="E26894" t="str">
            <v>LUC-EZZ-420089-00</v>
          </cell>
          <cell r="F26894">
            <v>3239397372</v>
          </cell>
        </row>
        <row r="26895">
          <cell r="E26895" t="str">
            <v>LUC-E00-420057-01</v>
          </cell>
          <cell r="F26895">
            <v>3239397372</v>
          </cell>
        </row>
        <row r="26896">
          <cell r="E26896" t="str">
            <v>LUC-E00-420054-00</v>
          </cell>
          <cell r="F26896">
            <v>3239397372</v>
          </cell>
        </row>
        <row r="26897">
          <cell r="E26897" t="str">
            <v>LUC-E00-470047-00</v>
          </cell>
          <cell r="F26897">
            <v>3239397372</v>
          </cell>
        </row>
        <row r="26898">
          <cell r="E26898" t="str">
            <v>PURET-24-0008-00</v>
          </cell>
          <cell r="F26898">
            <v>3239397372</v>
          </cell>
        </row>
        <row r="26899">
          <cell r="E26899" t="str">
            <v>PURET-24-0008-00</v>
          </cell>
          <cell r="F26899">
            <v>3239397372</v>
          </cell>
        </row>
        <row r="26900">
          <cell r="E26900" t="str">
            <v>LUC-E00-420055-15</v>
          </cell>
          <cell r="F26900">
            <v>3239397372</v>
          </cell>
        </row>
        <row r="26901">
          <cell r="E26901" t="str">
            <v>LUC-EZZ-420121-00</v>
          </cell>
          <cell r="F26901">
            <v>3239397372</v>
          </cell>
        </row>
        <row r="26902">
          <cell r="E26902" t="str">
            <v>LUC-E00-450030-00</v>
          </cell>
          <cell r="F26902">
            <v>3239397372</v>
          </cell>
        </row>
        <row r="26903">
          <cell r="E26903" t="str">
            <v>LUC-E00-450030-00</v>
          </cell>
          <cell r="F26903">
            <v>3239397372</v>
          </cell>
        </row>
        <row r="26904">
          <cell r="E26904" t="str">
            <v>LUC-E00-450030-00</v>
          </cell>
          <cell r="F26904">
            <v>3239397372</v>
          </cell>
        </row>
        <row r="26905">
          <cell r="E26905" t="str">
            <v>LUC-E00-450030-00</v>
          </cell>
          <cell r="F26905">
            <v>3239397372</v>
          </cell>
        </row>
        <row r="26906">
          <cell r="E26906" t="str">
            <v>EF-45110875.X.X</v>
          </cell>
          <cell r="F26906">
            <v>3239397372</v>
          </cell>
        </row>
        <row r="26907">
          <cell r="E26907" t="str">
            <v>EF-45110875.X.X</v>
          </cell>
          <cell r="F26907">
            <v>3239397372</v>
          </cell>
        </row>
        <row r="26908">
          <cell r="E26908" t="str">
            <v>LUC-EZZ-470431-00</v>
          </cell>
          <cell r="F26908">
            <v>3239397372</v>
          </cell>
        </row>
        <row r="26909">
          <cell r="E26909" t="str">
            <v>LUC-EZZ-470431-00</v>
          </cell>
          <cell r="F26909">
            <v>3239397372</v>
          </cell>
        </row>
        <row r="26910">
          <cell r="E26910" t="str">
            <v>LUC-EZZ-460737-00</v>
          </cell>
          <cell r="F26910">
            <v>3239397372</v>
          </cell>
        </row>
        <row r="26911">
          <cell r="E26911" t="str">
            <v>LUC-E00-480014-00</v>
          </cell>
          <cell r="F26911">
            <v>3239397372</v>
          </cell>
        </row>
        <row r="26912">
          <cell r="E26912" t="str">
            <v>LUC-E00-470131-00</v>
          </cell>
          <cell r="F26912">
            <v>3239397372</v>
          </cell>
        </row>
        <row r="26913">
          <cell r="E26913" t="str">
            <v>LUC-EZZ-400265-00</v>
          </cell>
          <cell r="F26913">
            <v>3239397372</v>
          </cell>
        </row>
        <row r="26914">
          <cell r="E26914" t="str">
            <v>LUC-EZZ-470152-00</v>
          </cell>
          <cell r="F26914">
            <v>3239397372</v>
          </cell>
        </row>
        <row r="26915">
          <cell r="E26915" t="str">
            <v>LUC-E00-420056-01</v>
          </cell>
          <cell r="F26915">
            <v>3239397372</v>
          </cell>
        </row>
        <row r="26916">
          <cell r="E26916" t="str">
            <v>LUC-EZZ-420320-00</v>
          </cell>
          <cell r="F26916">
            <v>3239397372</v>
          </cell>
        </row>
        <row r="26917">
          <cell r="E26917" t="str">
            <v>LUC-E00-420056-01</v>
          </cell>
          <cell r="F26917">
            <v>3239397372</v>
          </cell>
        </row>
        <row r="26918">
          <cell r="E26918" t="str">
            <v>LUC-EZZ-420320-00</v>
          </cell>
          <cell r="F26918">
            <v>3239397372</v>
          </cell>
        </row>
        <row r="26919">
          <cell r="E26919" t="str">
            <v>LUC-E00-420037-09</v>
          </cell>
          <cell r="F26919">
            <v>3239397372</v>
          </cell>
        </row>
        <row r="26920">
          <cell r="E26920" t="str">
            <v>LUC-E00-460015-00</v>
          </cell>
          <cell r="F26920">
            <v>3239397372</v>
          </cell>
        </row>
        <row r="26921">
          <cell r="E26921" t="str">
            <v>LUC-E00-470096-00</v>
          </cell>
          <cell r="F26921">
            <v>3239397372</v>
          </cell>
        </row>
        <row r="26922">
          <cell r="E26922" t="str">
            <v>LUC-E00-470096-00</v>
          </cell>
          <cell r="F26922">
            <v>3239397372</v>
          </cell>
        </row>
        <row r="26923">
          <cell r="E26923" t="str">
            <v>LUC-E00-470096-00</v>
          </cell>
          <cell r="F26923">
            <v>3239397372</v>
          </cell>
        </row>
        <row r="26924">
          <cell r="E26924" t="str">
            <v>LUC-EZZ-460737-00</v>
          </cell>
          <cell r="F26924">
            <v>3239397372</v>
          </cell>
        </row>
        <row r="26925">
          <cell r="E26925" t="str">
            <v>LUC-E00-440029-00</v>
          </cell>
          <cell r="F26925">
            <v>3239397372</v>
          </cell>
        </row>
        <row r="26926">
          <cell r="E26926" t="str">
            <v>LUC-EZZ-420189-00</v>
          </cell>
          <cell r="F26926">
            <v>3239397372</v>
          </cell>
        </row>
        <row r="26927">
          <cell r="E26927" t="str">
            <v>LUC-E00-450148-01</v>
          </cell>
          <cell r="F26927">
            <v>3239397372</v>
          </cell>
        </row>
        <row r="26928">
          <cell r="E26928" t="str">
            <v>LUC-E00-510030-00</v>
          </cell>
          <cell r="F26928">
            <v>3239397372</v>
          </cell>
        </row>
        <row r="26929">
          <cell r="E26929" t="str">
            <v>LUC-EZZ-480029-00</v>
          </cell>
          <cell r="F26929">
            <v>3239397372</v>
          </cell>
        </row>
        <row r="26930">
          <cell r="E26930" t="str">
            <v>LUC-EZZ-480029-00</v>
          </cell>
          <cell r="F26930">
            <v>3239397372</v>
          </cell>
        </row>
        <row r="26931">
          <cell r="E26931" t="str">
            <v>LUC-EZZ-480029-00</v>
          </cell>
          <cell r="F26931">
            <v>3239397372</v>
          </cell>
        </row>
        <row r="26932">
          <cell r="E26932" t="str">
            <v>LUC-E00-510041-00</v>
          </cell>
          <cell r="F26932">
            <v>3239397372</v>
          </cell>
        </row>
        <row r="26933">
          <cell r="E26933" t="str">
            <v>LUC-EZZ-420118-00</v>
          </cell>
          <cell r="F26933">
            <v>3239397372</v>
          </cell>
        </row>
        <row r="26934">
          <cell r="E26934" t="str">
            <v>LUC-E00-470049-00</v>
          </cell>
          <cell r="F26934">
            <v>3239397372</v>
          </cell>
        </row>
        <row r="26935">
          <cell r="E26935" t="str">
            <v>LUC-E00-470049-00</v>
          </cell>
          <cell r="F26935">
            <v>3239397372</v>
          </cell>
        </row>
        <row r="26936">
          <cell r="E26936" t="str">
            <v>LUC-EZZ-510080-00</v>
          </cell>
          <cell r="F26936">
            <v>3239397372</v>
          </cell>
        </row>
        <row r="26937">
          <cell r="E26937" t="str">
            <v>LUC-EZZ-420189-00</v>
          </cell>
          <cell r="F26937">
            <v>3239397372</v>
          </cell>
        </row>
        <row r="26938">
          <cell r="E26938" t="str">
            <v>LUC-E00-450036-00</v>
          </cell>
          <cell r="F26938">
            <v>3239397372</v>
          </cell>
        </row>
        <row r="26939">
          <cell r="E26939" t="str">
            <v>LUC-EZZ-400218-00</v>
          </cell>
          <cell r="F26939">
            <v>3239397372</v>
          </cell>
        </row>
        <row r="26940">
          <cell r="E26940" t="str">
            <v>LUC-E00-420037-10</v>
          </cell>
          <cell r="F26940">
            <v>3239397372</v>
          </cell>
        </row>
        <row r="26941">
          <cell r="E26941" t="str">
            <v>LUC-E00-420025-05</v>
          </cell>
          <cell r="F26941">
            <v>3239397372</v>
          </cell>
        </row>
        <row r="26942">
          <cell r="E26942" t="str">
            <v>LUC-E00-510084-00</v>
          </cell>
          <cell r="F26942">
            <v>3239397372</v>
          </cell>
        </row>
        <row r="26943">
          <cell r="E26943" t="str">
            <v>LUC-E00-510084-00</v>
          </cell>
          <cell r="F26943">
            <v>3239397372</v>
          </cell>
        </row>
        <row r="26944">
          <cell r="E26944" t="str">
            <v>LUC-E00-400056-01</v>
          </cell>
          <cell r="F26944">
            <v>3239397372</v>
          </cell>
        </row>
        <row r="26945">
          <cell r="E26945" t="str">
            <v>LUC-E00-540004-00</v>
          </cell>
          <cell r="F26945">
            <v>3239397372</v>
          </cell>
        </row>
        <row r="26946">
          <cell r="E26946" t="str">
            <v>LUC-E00-400010-020</v>
          </cell>
          <cell r="F26946">
            <v>3239397372</v>
          </cell>
        </row>
        <row r="26947">
          <cell r="E26947" t="str">
            <v>LUC-EZZ-420020-00</v>
          </cell>
          <cell r="F26947">
            <v>3239397372</v>
          </cell>
        </row>
        <row r="26948">
          <cell r="E26948" t="str">
            <v>LUC-E00-460038-00</v>
          </cell>
          <cell r="F26948">
            <v>3239397372</v>
          </cell>
        </row>
        <row r="26949">
          <cell r="E26949" t="str">
            <v>LUC-E00-440057-00</v>
          </cell>
          <cell r="F26949">
            <v>3239397372</v>
          </cell>
        </row>
        <row r="26950">
          <cell r="E26950" t="str">
            <v>LUC-E00-440047-00</v>
          </cell>
          <cell r="F26950">
            <v>3239397372</v>
          </cell>
        </row>
        <row r="26951">
          <cell r="E26951" t="str">
            <v>LUC-E00-470131-00</v>
          </cell>
          <cell r="F26951">
            <v>3239397372</v>
          </cell>
        </row>
        <row r="26952">
          <cell r="E26952" t="str">
            <v>109-000192</v>
          </cell>
          <cell r="F26952">
            <v>3239397372</v>
          </cell>
        </row>
        <row r="26953">
          <cell r="E26953" t="str">
            <v>LUC-EZZ-400245-00</v>
          </cell>
          <cell r="F26953">
            <v>3239397372</v>
          </cell>
        </row>
        <row r="26954">
          <cell r="E26954" t="str">
            <v>LUC-E00-450036-00</v>
          </cell>
          <cell r="F26954">
            <v>3239397372</v>
          </cell>
        </row>
        <row r="26955">
          <cell r="E26955" t="str">
            <v>LUC-E00-450028-00</v>
          </cell>
          <cell r="F26955">
            <v>3239397372</v>
          </cell>
        </row>
        <row r="26956">
          <cell r="E26956" t="str">
            <v>LUC-EZZ-400606-00</v>
          </cell>
          <cell r="F26956">
            <v>3239397372</v>
          </cell>
        </row>
        <row r="26957">
          <cell r="E26957" t="str">
            <v>LUC-EZZ-420023-00</v>
          </cell>
          <cell r="F26957">
            <v>3239397372</v>
          </cell>
        </row>
        <row r="26958">
          <cell r="E26958" t="str">
            <v>LUC-EZZ-420281-00</v>
          </cell>
          <cell r="F26958">
            <v>3239397372</v>
          </cell>
        </row>
        <row r="26959">
          <cell r="E26959" t="str">
            <v>LUC-E00-450041-00</v>
          </cell>
          <cell r="F26959">
            <v>3239397372</v>
          </cell>
        </row>
        <row r="26960">
          <cell r="E26960" t="str">
            <v>LUC-EZZ-420102-00</v>
          </cell>
          <cell r="F26960">
            <v>3239397372</v>
          </cell>
        </row>
        <row r="26961">
          <cell r="E26961" t="str">
            <v>LUC-EZZ-420125-00</v>
          </cell>
          <cell r="F26961">
            <v>3239397372</v>
          </cell>
        </row>
        <row r="26962">
          <cell r="E26962" t="str">
            <v>LUC-EZZ-400223-00</v>
          </cell>
          <cell r="F26962">
            <v>3239397372</v>
          </cell>
        </row>
        <row r="26963">
          <cell r="E26963" t="str">
            <v>LUC-E00-460008-00</v>
          </cell>
          <cell r="F26963">
            <v>3239397372</v>
          </cell>
        </row>
        <row r="26964">
          <cell r="E26964" t="str">
            <v>LUC-E00-400010-010</v>
          </cell>
          <cell r="F26964">
            <v>3239397372</v>
          </cell>
        </row>
        <row r="26965">
          <cell r="E26965" t="str">
            <v>LUC-EZZ-450053-00</v>
          </cell>
          <cell r="F26965">
            <v>3239397372</v>
          </cell>
        </row>
        <row r="26966">
          <cell r="E26966" t="str">
            <v>LUC-EZZ-420189-00</v>
          </cell>
          <cell r="F26966">
            <v>3239397372</v>
          </cell>
        </row>
        <row r="26967">
          <cell r="E26967" t="str">
            <v>LUC-EZZ-451368-00</v>
          </cell>
          <cell r="F26967">
            <v>3239397372</v>
          </cell>
        </row>
        <row r="26968">
          <cell r="E26968" t="str">
            <v>EF-45130484</v>
          </cell>
          <cell r="F26968">
            <v>3239397372</v>
          </cell>
        </row>
        <row r="26969">
          <cell r="E26969" t="str">
            <v>LUC-E00-450028-00</v>
          </cell>
          <cell r="F26969">
            <v>3239397372</v>
          </cell>
        </row>
        <row r="26970">
          <cell r="E26970" t="str">
            <v>LUC-E00-460015-00</v>
          </cell>
          <cell r="F26970">
            <v>3239397372</v>
          </cell>
        </row>
        <row r="26971">
          <cell r="E26971" t="str">
            <v>LUC-EZZ-420695-01-TDK</v>
          </cell>
          <cell r="F26971">
            <v>3239397372</v>
          </cell>
        </row>
        <row r="26972">
          <cell r="E26972" t="str">
            <v>LUC-EZZ-470424-00</v>
          </cell>
          <cell r="F26972">
            <v>3239397372</v>
          </cell>
        </row>
        <row r="26973">
          <cell r="E26973" t="str">
            <v>LUC-EZZ-470424-00</v>
          </cell>
          <cell r="F26973">
            <v>3239397372</v>
          </cell>
        </row>
        <row r="26974">
          <cell r="E26974" t="str">
            <v>LUC-EZZ-420252-00</v>
          </cell>
          <cell r="F26974">
            <v>3239397372</v>
          </cell>
        </row>
        <row r="26975">
          <cell r="E26975" t="str">
            <v>LUC-E00-420055-15</v>
          </cell>
          <cell r="F26975">
            <v>3239397372</v>
          </cell>
        </row>
        <row r="26976">
          <cell r="E26976" t="str">
            <v>LUC-EZZ-470245-00</v>
          </cell>
          <cell r="F26976">
            <v>3239397372</v>
          </cell>
        </row>
        <row r="26977">
          <cell r="E26977" t="str">
            <v>LUC-EZZ-690241-00</v>
          </cell>
          <cell r="F26977">
            <v>4110331475</v>
          </cell>
        </row>
        <row r="26978">
          <cell r="E26978" t="str">
            <v>LUC-EZZ-691595-00</v>
          </cell>
          <cell r="F26978">
            <v>4110331404</v>
          </cell>
        </row>
        <row r="26979">
          <cell r="E26979" t="str">
            <v>LUC-E00-690214-00</v>
          </cell>
          <cell r="F26979">
            <v>4110331405</v>
          </cell>
        </row>
        <row r="26980">
          <cell r="E26980" t="str">
            <v>LUC-P11-K35500-04</v>
          </cell>
          <cell r="F26980" t="str">
            <v>SHHPH25024650</v>
          </cell>
        </row>
        <row r="26981">
          <cell r="E26981" t="str">
            <v>LUC-P11-K34900-02</v>
          </cell>
          <cell r="F26981" t="str">
            <v>SHHPH25024650</v>
          </cell>
        </row>
        <row r="26982">
          <cell r="E26982" t="str">
            <v>LUC-P11-K34900-02</v>
          </cell>
          <cell r="F26982" t="str">
            <v>SHHPH25024650</v>
          </cell>
        </row>
        <row r="26983">
          <cell r="E26983" t="str">
            <v>LUC-P11-K35400-03</v>
          </cell>
          <cell r="F26983" t="str">
            <v>SHHPH25024650</v>
          </cell>
        </row>
        <row r="26984">
          <cell r="E26984" t="str">
            <v>LUC-P11-K35400-03</v>
          </cell>
          <cell r="F26984" t="str">
            <v>SHHPH25024650</v>
          </cell>
        </row>
        <row r="26985">
          <cell r="E26985" t="str">
            <v>LUC-E00-440147-00</v>
          </cell>
          <cell r="F26985">
            <v>4711897277</v>
          </cell>
        </row>
        <row r="26986">
          <cell r="E26986" t="str">
            <v>LUC-E00-420074-00</v>
          </cell>
          <cell r="F26986">
            <v>4711897277</v>
          </cell>
        </row>
        <row r="26987">
          <cell r="E26987" t="str">
            <v>LUC-E00-420074-00</v>
          </cell>
          <cell r="F26987">
            <v>4711897277</v>
          </cell>
        </row>
        <row r="26988">
          <cell r="E26988" t="str">
            <v>PUR-21-0026-00</v>
          </cell>
          <cell r="F26988">
            <v>4711897277</v>
          </cell>
        </row>
        <row r="26989">
          <cell r="E26989" t="str">
            <v>PUR-14-0085-00</v>
          </cell>
          <cell r="F26989">
            <v>4711897277</v>
          </cell>
        </row>
        <row r="26990">
          <cell r="E26990" t="str">
            <v>HLOB-14-0085-00</v>
          </cell>
          <cell r="F26990">
            <v>4711897277</v>
          </cell>
        </row>
        <row r="26991">
          <cell r="E26991" t="str">
            <v>HLOB-27-0024-00</v>
          </cell>
          <cell r="F26991">
            <v>4711897277</v>
          </cell>
        </row>
        <row r="26992">
          <cell r="E26992" t="str">
            <v>PUR-14-0085-00</v>
          </cell>
          <cell r="F26992">
            <v>4711897277</v>
          </cell>
        </row>
        <row r="26993">
          <cell r="E26993" t="str">
            <v>HLOB-13-0237-00</v>
          </cell>
          <cell r="F26993">
            <v>4711897277</v>
          </cell>
        </row>
        <row r="26994">
          <cell r="E26994" t="str">
            <v>HLOB-13-0237-00</v>
          </cell>
          <cell r="F26994">
            <v>4711897277</v>
          </cell>
        </row>
        <row r="26995">
          <cell r="E26995" t="str">
            <v>LUC-EZZ-510082-00</v>
          </cell>
          <cell r="F26995">
            <v>4711897277</v>
          </cell>
        </row>
        <row r="26996">
          <cell r="E26996" t="str">
            <v>PUR-09-0417-00</v>
          </cell>
          <cell r="F26996">
            <v>4711897277</v>
          </cell>
        </row>
        <row r="26997">
          <cell r="E26997" t="str">
            <v>HLOB-09-0417-00</v>
          </cell>
          <cell r="F26997">
            <v>4711897277</v>
          </cell>
        </row>
        <row r="26998">
          <cell r="E26998" t="str">
            <v>PUR-13-0237-00</v>
          </cell>
          <cell r="F26998">
            <v>4711897277</v>
          </cell>
        </row>
        <row r="26999">
          <cell r="E26999" t="str">
            <v>PUR-09-0408-00</v>
          </cell>
          <cell r="F26999">
            <v>4711897277</v>
          </cell>
        </row>
        <row r="27000">
          <cell r="E27000" t="str">
            <v>PUR-15-0207-00</v>
          </cell>
          <cell r="F27000">
            <v>4711897277</v>
          </cell>
        </row>
        <row r="27001">
          <cell r="E27001" t="str">
            <v>EF-45155438</v>
          </cell>
          <cell r="F27001">
            <v>4711897277</v>
          </cell>
        </row>
        <row r="27002">
          <cell r="E27002" t="str">
            <v>LUC-EZZ-440189-00</v>
          </cell>
          <cell r="F27002">
            <v>4711897277</v>
          </cell>
        </row>
        <row r="27003">
          <cell r="E27003" t="str">
            <v>LUC-EZZ-440189-00</v>
          </cell>
          <cell r="F27003">
            <v>4711897277</v>
          </cell>
        </row>
        <row r="27004">
          <cell r="E27004" t="str">
            <v>LUC-EZZ-440189-00</v>
          </cell>
          <cell r="F27004">
            <v>4711897277</v>
          </cell>
        </row>
        <row r="27005">
          <cell r="E27005" t="str">
            <v>PUR-15-0207-00</v>
          </cell>
          <cell r="F27005">
            <v>4711897277</v>
          </cell>
        </row>
        <row r="27006">
          <cell r="E27006" t="str">
            <v>PUR-27-0024-00</v>
          </cell>
          <cell r="F27006">
            <v>4711897277</v>
          </cell>
        </row>
        <row r="27007">
          <cell r="E27007" t="str">
            <v>LUC-E00-400067-100</v>
          </cell>
          <cell r="F27007">
            <v>4711897277</v>
          </cell>
        </row>
        <row r="27008">
          <cell r="E27008" t="str">
            <v>LUC-E00-400067-149</v>
          </cell>
          <cell r="F27008">
            <v>4711897277</v>
          </cell>
        </row>
        <row r="27009">
          <cell r="E27009" t="str">
            <v>LUC-E00-400034-069</v>
          </cell>
          <cell r="F27009">
            <v>4711897277</v>
          </cell>
        </row>
        <row r="27010">
          <cell r="E27010" t="str">
            <v>LUC-E00-400067-035</v>
          </cell>
          <cell r="F27010">
            <v>4711897277</v>
          </cell>
        </row>
        <row r="27011">
          <cell r="E27011" t="str">
            <v>LUC-E00-400034-069</v>
          </cell>
          <cell r="F27011">
            <v>4711897277</v>
          </cell>
        </row>
        <row r="27012">
          <cell r="E27012" t="str">
            <v>LUC-E00-540019-00</v>
          </cell>
          <cell r="F27012">
            <v>4711897277</v>
          </cell>
        </row>
        <row r="27013">
          <cell r="E27013" t="str">
            <v>LUC-EZZ-440189-00</v>
          </cell>
          <cell r="F27013">
            <v>4711897277</v>
          </cell>
        </row>
        <row r="27014">
          <cell r="E27014" t="str">
            <v>LUC-E00-400043-00</v>
          </cell>
          <cell r="F27014">
            <v>4711897277</v>
          </cell>
        </row>
        <row r="27015">
          <cell r="E27015" t="str">
            <v>LUC-E00-400034-023</v>
          </cell>
          <cell r="F27015">
            <v>4711897277</v>
          </cell>
        </row>
        <row r="27016">
          <cell r="E27016" t="str">
            <v>PUR-13-0237-00</v>
          </cell>
          <cell r="F27016">
            <v>4711897277</v>
          </cell>
        </row>
        <row r="27017">
          <cell r="E27017" t="str">
            <v>LUC-E00-420054-03</v>
          </cell>
          <cell r="F27017">
            <v>4711897277</v>
          </cell>
        </row>
        <row r="27018">
          <cell r="E27018" t="str">
            <v>LUC-EZZ-470276-00</v>
          </cell>
          <cell r="F27018">
            <v>489765944668</v>
          </cell>
        </row>
        <row r="27019">
          <cell r="E27019" t="str">
            <v>PUR-09-0424-00</v>
          </cell>
          <cell r="F27019">
            <v>479730197105</v>
          </cell>
        </row>
        <row r="27020">
          <cell r="E27020" t="str">
            <v>LUC-EZZ-400162-00</v>
          </cell>
          <cell r="F27020">
            <v>479730195959</v>
          </cell>
        </row>
        <row r="27021">
          <cell r="E27021" t="str">
            <v>LUC-EZZ-400162-00</v>
          </cell>
          <cell r="F27021">
            <v>479730195959</v>
          </cell>
        </row>
        <row r="27022">
          <cell r="E27022" t="str">
            <v>LUC-E00-400028-002</v>
          </cell>
          <cell r="F27022">
            <v>479730192412</v>
          </cell>
        </row>
        <row r="27023">
          <cell r="E27023" t="str">
            <v>LUC-EZZ-400207-00</v>
          </cell>
          <cell r="F27023">
            <v>479730197756</v>
          </cell>
        </row>
        <row r="27024">
          <cell r="E27024" t="str">
            <v>LUC-EZZ-400211-00</v>
          </cell>
          <cell r="F27024">
            <v>479730197686</v>
          </cell>
        </row>
        <row r="27025">
          <cell r="E27025" t="str">
            <v>LUC-E00-400010-016</v>
          </cell>
          <cell r="F27025">
            <v>479730198020</v>
          </cell>
        </row>
        <row r="27026">
          <cell r="E27026" t="str">
            <v>LUC-EZZ-400336-00</v>
          </cell>
          <cell r="F27026">
            <v>479730198914</v>
          </cell>
        </row>
        <row r="27027">
          <cell r="E27027" t="str">
            <v>PUR-09-0417-00</v>
          </cell>
          <cell r="F27027">
            <v>479730199016</v>
          </cell>
        </row>
        <row r="27028">
          <cell r="E27028" t="str">
            <v>LUC-E00-440003-01</v>
          </cell>
          <cell r="F27028">
            <v>484361643150</v>
          </cell>
        </row>
        <row r="27029">
          <cell r="E27029" t="str">
            <v>LUC-E00-440013-00</v>
          </cell>
          <cell r="F27029">
            <v>484361643150</v>
          </cell>
        </row>
        <row r="27030">
          <cell r="E27030" t="str">
            <v>LUC-E00-440013-01</v>
          </cell>
          <cell r="F27030">
            <v>484361643150</v>
          </cell>
        </row>
        <row r="27031">
          <cell r="E27031" t="str">
            <v>LUC-E00-440014-00</v>
          </cell>
          <cell r="F27031">
            <v>484361643150</v>
          </cell>
        </row>
        <row r="27032">
          <cell r="E27032" t="str">
            <v>LUC-E00-440014-00</v>
          </cell>
          <cell r="F27032">
            <v>484361643150</v>
          </cell>
        </row>
        <row r="27033">
          <cell r="E27033" t="str">
            <v>LUC-E00-440014-01</v>
          </cell>
          <cell r="F27033">
            <v>484361643150</v>
          </cell>
        </row>
        <row r="27034">
          <cell r="E27034" t="str">
            <v>LUC-E00-440023-02</v>
          </cell>
          <cell r="F27034">
            <v>484361643150</v>
          </cell>
        </row>
        <row r="27035">
          <cell r="E27035" t="str">
            <v>LUC-E00-440023-02</v>
          </cell>
          <cell r="F27035">
            <v>484361643150</v>
          </cell>
        </row>
        <row r="27036">
          <cell r="E27036" t="str">
            <v>LUC-E00-440048-00</v>
          </cell>
          <cell r="F27036">
            <v>484361643150</v>
          </cell>
        </row>
        <row r="27037">
          <cell r="E27037" t="str">
            <v>LUC-E00-440048-00</v>
          </cell>
          <cell r="F27037">
            <v>484361643150</v>
          </cell>
        </row>
        <row r="27038">
          <cell r="E27038" t="str">
            <v>LUC-E00-440072-01</v>
          </cell>
          <cell r="F27038">
            <v>484361643150</v>
          </cell>
        </row>
        <row r="27039">
          <cell r="E27039" t="str">
            <v>LUC-E00-440124-00</v>
          </cell>
          <cell r="F27039">
            <v>484361643150</v>
          </cell>
        </row>
        <row r="27040">
          <cell r="E27040" t="str">
            <v>LUC-EZZ-440028-00</v>
          </cell>
          <cell r="F27040">
            <v>484361643150</v>
          </cell>
        </row>
        <row r="27041">
          <cell r="E27041" t="str">
            <v>LUC-EZZ-440072-00</v>
          </cell>
          <cell r="F27041">
            <v>484361643150</v>
          </cell>
        </row>
        <row r="27042">
          <cell r="E27042" t="str">
            <v>LUC-EZZ-440078-01</v>
          </cell>
          <cell r="F27042">
            <v>484361643150</v>
          </cell>
        </row>
        <row r="27043">
          <cell r="E27043" t="str">
            <v>LUC-EZZ-440078-01</v>
          </cell>
          <cell r="F27043">
            <v>484361643150</v>
          </cell>
        </row>
        <row r="27044">
          <cell r="E27044" t="str">
            <v>LUC-EZZ-440911-00</v>
          </cell>
          <cell r="F27044">
            <v>484361643150</v>
          </cell>
        </row>
        <row r="27045">
          <cell r="E27045" t="str">
            <v>LUC-EZZ-440030-00</v>
          </cell>
          <cell r="F27045">
            <v>484361643150</v>
          </cell>
        </row>
        <row r="27046">
          <cell r="E27046" t="str">
            <v>LUC-EZZ-440100-00</v>
          </cell>
          <cell r="F27046">
            <v>484361643150</v>
          </cell>
        </row>
        <row r="27047">
          <cell r="E27047" t="str">
            <v>LUC-E00-510018-00</v>
          </cell>
          <cell r="F27047">
            <v>486220387894</v>
          </cell>
        </row>
        <row r="27048">
          <cell r="E27048" t="str">
            <v>AIC-110-001137</v>
          </cell>
          <cell r="F27048">
            <v>492501334189</v>
          </cell>
        </row>
        <row r="27049">
          <cell r="E27049" t="str">
            <v>LUC-EZZ-450070-00</v>
          </cell>
          <cell r="F27049">
            <v>707296252064</v>
          </cell>
        </row>
        <row r="27050">
          <cell r="E27050" t="str">
            <v>LUC-E00-450009-00</v>
          </cell>
          <cell r="F27050">
            <v>886454351637</v>
          </cell>
        </row>
        <row r="27051">
          <cell r="E27051" t="str">
            <v>EF-45129267</v>
          </cell>
          <cell r="F27051">
            <v>886454351637</v>
          </cell>
        </row>
        <row r="27052">
          <cell r="E27052" t="str">
            <v>PUR-13-0159-00</v>
          </cell>
          <cell r="F27052">
            <v>886454351637</v>
          </cell>
        </row>
        <row r="27053">
          <cell r="E27053" t="str">
            <v>122-000291.X.X</v>
          </cell>
          <cell r="F27053">
            <v>886454351637</v>
          </cell>
        </row>
        <row r="27054">
          <cell r="E27054" t="str">
            <v>121-000359.X.X</v>
          </cell>
          <cell r="F27054">
            <v>886454351637</v>
          </cell>
        </row>
        <row r="27055">
          <cell r="E27055" t="str">
            <v>121-000359.X.X</v>
          </cell>
          <cell r="F27055">
            <v>886454351637</v>
          </cell>
        </row>
        <row r="27056">
          <cell r="E27056" t="str">
            <v>122-000673.X.X</v>
          </cell>
          <cell r="F27056">
            <v>886454351637</v>
          </cell>
        </row>
        <row r="27057">
          <cell r="E27057" t="str">
            <v>LUC-EZZ-470305-00</v>
          </cell>
          <cell r="F27057">
            <v>395803148420</v>
          </cell>
        </row>
        <row r="27058">
          <cell r="E27058" t="str">
            <v>LUC-E00-470196-00</v>
          </cell>
          <cell r="F27058">
            <v>395803148420</v>
          </cell>
        </row>
        <row r="27059">
          <cell r="E27059" t="str">
            <v>LUC-EZZ-421534-00</v>
          </cell>
          <cell r="F27059">
            <v>409298899765</v>
          </cell>
        </row>
        <row r="27060">
          <cell r="E27060" t="str">
            <v>LUC-EZZ-400426-00</v>
          </cell>
          <cell r="F27060">
            <v>409298899765</v>
          </cell>
        </row>
        <row r="27061">
          <cell r="E27061" t="str">
            <v>LUC-EZZ-400454-00</v>
          </cell>
          <cell r="F27061">
            <v>409298899765</v>
          </cell>
        </row>
        <row r="27062">
          <cell r="E27062" t="str">
            <v>LUC-E00-400018-01</v>
          </cell>
          <cell r="F27062">
            <v>409298899765</v>
          </cell>
        </row>
        <row r="27063">
          <cell r="E27063" t="str">
            <v>LUC-EZZ-420143-00</v>
          </cell>
          <cell r="F27063">
            <v>409298899765</v>
          </cell>
        </row>
        <row r="27064">
          <cell r="E27064" t="str">
            <v>LUC-EZZ-420173-00</v>
          </cell>
          <cell r="F27064">
            <v>409298899765</v>
          </cell>
        </row>
        <row r="27065">
          <cell r="E27065" t="str">
            <v>LUC-E00-420011-00</v>
          </cell>
          <cell r="F27065">
            <v>409298899765</v>
          </cell>
        </row>
        <row r="27066">
          <cell r="E27066" t="str">
            <v>LUC-E00-440011-00</v>
          </cell>
          <cell r="F27066">
            <v>409298899765</v>
          </cell>
        </row>
        <row r="27067">
          <cell r="E27067" t="str">
            <v>LUC-E00-400267-00</v>
          </cell>
          <cell r="F27067">
            <v>409298899765</v>
          </cell>
        </row>
        <row r="27068">
          <cell r="E27068" t="str">
            <v>LUC-EZZ-420084-00</v>
          </cell>
          <cell r="F27068">
            <v>409298899765</v>
          </cell>
        </row>
        <row r="27069">
          <cell r="E27069" t="str">
            <v>LUC-E00-420055-05</v>
          </cell>
          <cell r="F27069">
            <v>409298899765</v>
          </cell>
        </row>
        <row r="27070">
          <cell r="E27070" t="str">
            <v>LUC-E00-420002-03</v>
          </cell>
          <cell r="F27070">
            <v>409298899765</v>
          </cell>
        </row>
        <row r="27071">
          <cell r="E27071" t="str">
            <v>LUC-EZZ-420213-00</v>
          </cell>
          <cell r="F27071">
            <v>409298899765</v>
          </cell>
        </row>
        <row r="27072">
          <cell r="E27072" t="str">
            <v>LUC-EZZ-420330-00</v>
          </cell>
          <cell r="F27072">
            <v>409298899765</v>
          </cell>
        </row>
        <row r="27073">
          <cell r="E27073" t="str">
            <v>LUC-P11-KA4000-00</v>
          </cell>
          <cell r="F27073">
            <v>886476739436</v>
          </cell>
        </row>
        <row r="27074">
          <cell r="E27074" t="str">
            <v>EF-45047292.X.X</v>
          </cell>
          <cell r="F27074">
            <v>395805022691</v>
          </cell>
        </row>
        <row r="27075">
          <cell r="E27075" t="str">
            <v>LUC-E00-470070-00</v>
          </cell>
          <cell r="F27075">
            <v>395882596022</v>
          </cell>
        </row>
        <row r="27076">
          <cell r="E27076" t="str">
            <v>LUC-EZZ-470249-00</v>
          </cell>
          <cell r="F27076">
            <v>395882596022</v>
          </cell>
        </row>
        <row r="27077">
          <cell r="E27077" t="str">
            <v>LUC-E00-470116-00</v>
          </cell>
          <cell r="F27077">
            <v>395882596022</v>
          </cell>
        </row>
        <row r="27078">
          <cell r="E27078" t="str">
            <v>LUC-E00-470037-00</v>
          </cell>
          <cell r="F27078">
            <v>395882596022</v>
          </cell>
        </row>
        <row r="27079">
          <cell r="E27079" t="str">
            <v>LUC-E00-470086-00</v>
          </cell>
          <cell r="F27079">
            <v>395882596022</v>
          </cell>
        </row>
        <row r="27080">
          <cell r="E27080" t="str">
            <v>LUC-E00-470519-00</v>
          </cell>
          <cell r="F27080">
            <v>395882596022</v>
          </cell>
        </row>
        <row r="27081">
          <cell r="E27081" t="str">
            <v>LUC-EZZ-470139-00</v>
          </cell>
          <cell r="F27081">
            <v>395882596022</v>
          </cell>
        </row>
        <row r="27082">
          <cell r="E27082" t="str">
            <v>LUC-E00-470041-00</v>
          </cell>
          <cell r="F27082">
            <v>395882596022</v>
          </cell>
        </row>
        <row r="27083">
          <cell r="E27083" t="str">
            <v>EF-45184614</v>
          </cell>
          <cell r="F27083">
            <v>461596509140</v>
          </cell>
        </row>
        <row r="27084">
          <cell r="E27084" t="str">
            <v>AIC-134-001640</v>
          </cell>
          <cell r="F27084">
            <v>469369189609</v>
          </cell>
        </row>
        <row r="27085">
          <cell r="E27085" t="str">
            <v>PUR-14-0087-00</v>
          </cell>
          <cell r="F27085">
            <v>479730186760</v>
          </cell>
        </row>
        <row r="27086">
          <cell r="E27086" t="str">
            <v>LUC-E00-450149-01</v>
          </cell>
          <cell r="F27086">
            <v>119209660289</v>
          </cell>
        </row>
        <row r="27087">
          <cell r="E27087" t="str">
            <v>LUC-EZZ-450177-00</v>
          </cell>
          <cell r="F27087">
            <v>119209660289</v>
          </cell>
        </row>
        <row r="27088">
          <cell r="E27088" t="str">
            <v>LUC-EZZ-400766-00</v>
          </cell>
          <cell r="F27088">
            <v>479730187170</v>
          </cell>
        </row>
        <row r="27089">
          <cell r="E27089" t="str">
            <v>LUC-E00-470094-00</v>
          </cell>
          <cell r="F27089">
            <v>479730190177</v>
          </cell>
        </row>
        <row r="27090">
          <cell r="E27090" t="str">
            <v>PUR-09-0422-00</v>
          </cell>
          <cell r="F27090">
            <v>479730190729</v>
          </cell>
        </row>
        <row r="27091">
          <cell r="E27091" t="str">
            <v>PUR-27-0017-00</v>
          </cell>
          <cell r="F27091">
            <v>479730191092</v>
          </cell>
        </row>
        <row r="27092">
          <cell r="E27092" t="str">
            <v>PUR-09-0422-00</v>
          </cell>
          <cell r="F27092">
            <v>479730190784</v>
          </cell>
        </row>
        <row r="27093">
          <cell r="E27093" t="str">
            <v>LUC-EZZ-470095-00</v>
          </cell>
          <cell r="F27093">
            <v>479730191666</v>
          </cell>
        </row>
        <row r="27094">
          <cell r="E27094" t="str">
            <v>PUR-09-0434-00</v>
          </cell>
          <cell r="F27094">
            <v>479730192206</v>
          </cell>
        </row>
        <row r="27095">
          <cell r="E27095" t="str">
            <v>LUC-E00-470093-00</v>
          </cell>
          <cell r="F27095">
            <v>395865557662</v>
          </cell>
        </row>
        <row r="27096">
          <cell r="E27096" t="str">
            <v>EF-45091073.X.X</v>
          </cell>
          <cell r="F27096">
            <v>395866929707</v>
          </cell>
        </row>
        <row r="27097">
          <cell r="E27097" t="str">
            <v>LUC-EZZ-470480-00</v>
          </cell>
          <cell r="F27097">
            <v>395866929707</v>
          </cell>
        </row>
        <row r="27098">
          <cell r="E27098" t="str">
            <v>LUC-E00-470070-00</v>
          </cell>
          <cell r="F27098">
            <v>395851012851</v>
          </cell>
        </row>
        <row r="27099">
          <cell r="E27099" t="str">
            <v>LUC-EZZ-470297-00</v>
          </cell>
          <cell r="F27099">
            <v>395851012851</v>
          </cell>
        </row>
        <row r="27100">
          <cell r="E27100" t="str">
            <v>LUC-EZZ-470297-00</v>
          </cell>
          <cell r="F27100">
            <v>395851012851</v>
          </cell>
        </row>
        <row r="27101">
          <cell r="E27101" t="str">
            <v>LUC-E00-470070-00</v>
          </cell>
          <cell r="F27101">
            <v>395851012851</v>
          </cell>
        </row>
        <row r="27102">
          <cell r="E27102" t="str">
            <v>LUC-EZZ-470241-00</v>
          </cell>
          <cell r="F27102">
            <v>395851012851</v>
          </cell>
        </row>
        <row r="27103">
          <cell r="E27103" t="str">
            <v>LUC-E00-470070-00</v>
          </cell>
          <cell r="F27103">
            <v>395851012851</v>
          </cell>
        </row>
        <row r="27104">
          <cell r="E27104" t="str">
            <v>LUC-E00-470001-00</v>
          </cell>
          <cell r="F27104">
            <v>886475232258</v>
          </cell>
        </row>
        <row r="27105">
          <cell r="E27105" t="str">
            <v>HLOB-09-0424-00</v>
          </cell>
          <cell r="F27105">
            <v>886475232258</v>
          </cell>
        </row>
        <row r="27106">
          <cell r="E27106" t="str">
            <v>LUC-EZZ-450006-00</v>
          </cell>
          <cell r="F27106">
            <v>886475232258</v>
          </cell>
        </row>
        <row r="27107">
          <cell r="E27107" t="str">
            <v>LUC-E00-420238-00</v>
          </cell>
          <cell r="F27107">
            <v>886475232258</v>
          </cell>
        </row>
        <row r="27108">
          <cell r="E27108" t="str">
            <v>LUC-E00-420238-00</v>
          </cell>
          <cell r="F27108">
            <v>886475232258</v>
          </cell>
        </row>
        <row r="27109">
          <cell r="E27109" t="str">
            <v>LUC-EZZ-510030-00</v>
          </cell>
          <cell r="F27109">
            <v>886475232258</v>
          </cell>
        </row>
        <row r="27110">
          <cell r="E27110" t="str">
            <v>LUC-E00-510034-00</v>
          </cell>
          <cell r="F27110">
            <v>886475232258</v>
          </cell>
        </row>
        <row r="27111">
          <cell r="E27111" t="str">
            <v>LUC-EZZ-510030-00</v>
          </cell>
          <cell r="F27111">
            <v>886475232258</v>
          </cell>
        </row>
        <row r="27112">
          <cell r="E27112" t="str">
            <v>LUC-E00-510034-00</v>
          </cell>
          <cell r="F27112">
            <v>886475232258</v>
          </cell>
        </row>
        <row r="27113">
          <cell r="E27113" t="str">
            <v>LUC-EZZ-510030-00</v>
          </cell>
          <cell r="F27113">
            <v>886475232258</v>
          </cell>
        </row>
        <row r="27114">
          <cell r="E27114" t="str">
            <v>LUC-EZZ-450006-00</v>
          </cell>
          <cell r="F27114">
            <v>886475232258</v>
          </cell>
        </row>
        <row r="27115">
          <cell r="E27115" t="str">
            <v>AIC-MP-00000207-000</v>
          </cell>
          <cell r="F27115">
            <v>886475232258</v>
          </cell>
        </row>
        <row r="27116">
          <cell r="E27116" t="str">
            <v>LUC-EZZ-470811-00</v>
          </cell>
          <cell r="F27116">
            <v>491093721700</v>
          </cell>
        </row>
        <row r="27117">
          <cell r="E27117" t="str">
            <v>LUC-E00-460042-00</v>
          </cell>
          <cell r="F27117">
            <v>491093713403</v>
          </cell>
        </row>
        <row r="27118">
          <cell r="E27118" t="str">
            <v>LUC-E00-440172-00</v>
          </cell>
          <cell r="F27118">
            <v>491093713403</v>
          </cell>
        </row>
        <row r="27119">
          <cell r="E27119" t="str">
            <v>LUC-E00-470423-00</v>
          </cell>
          <cell r="F27119">
            <v>491093713403</v>
          </cell>
        </row>
        <row r="27120">
          <cell r="E27120" t="str">
            <v>LUC-P11-K37000-02</v>
          </cell>
          <cell r="F27120">
            <v>462141598759</v>
          </cell>
        </row>
        <row r="27121">
          <cell r="E27121" t="str">
            <v>LUC-E00-690200-01</v>
          </cell>
          <cell r="F27121">
            <v>462141598369</v>
          </cell>
        </row>
        <row r="27122">
          <cell r="E27122" t="str">
            <v>LUC-P11-J80200-00</v>
          </cell>
          <cell r="F27122" t="str">
            <v>LSHHPH2502081</v>
          </cell>
        </row>
        <row r="27123">
          <cell r="E27123" t="str">
            <v>LUC-P11-J80300-00</v>
          </cell>
          <cell r="F27123" t="str">
            <v>LSHHPH2502081</v>
          </cell>
        </row>
        <row r="27124">
          <cell r="E27124" t="str">
            <v>LUC-P11-J80300-00</v>
          </cell>
          <cell r="F27124" t="str">
            <v>LSHHPH2502081</v>
          </cell>
        </row>
        <row r="27125">
          <cell r="E27125" t="str">
            <v>LUC-P11-J81300-01</v>
          </cell>
          <cell r="F27125" t="str">
            <v>LSHHPH2502081</v>
          </cell>
        </row>
        <row r="27126">
          <cell r="E27126" t="str">
            <v>LUC-P11-J81500-01</v>
          </cell>
          <cell r="F27126" t="str">
            <v>LSHHPH2502081</v>
          </cell>
        </row>
        <row r="27127">
          <cell r="E27127" t="str">
            <v>LUC-P11-J81500-01</v>
          </cell>
          <cell r="F27127" t="str">
            <v>LSHHPH2502081</v>
          </cell>
        </row>
        <row r="27128">
          <cell r="E27128" t="str">
            <v>PUR-330-000056</v>
          </cell>
          <cell r="F27128" t="str">
            <v>01PEN0371640</v>
          </cell>
        </row>
        <row r="27129">
          <cell r="E27129" t="str">
            <v>PUR-27-0017-00</v>
          </cell>
          <cell r="F27129">
            <v>488209944576</v>
          </cell>
        </row>
        <row r="27130">
          <cell r="E27130" t="str">
            <v>AIC-133-001102</v>
          </cell>
          <cell r="F27130">
            <v>469369190874</v>
          </cell>
        </row>
        <row r="27131">
          <cell r="E27131" t="str">
            <v>LUC-EZZ-420219-00</v>
          </cell>
          <cell r="F27131">
            <v>471797720316</v>
          </cell>
        </row>
        <row r="27132">
          <cell r="E27132" t="str">
            <v>LUC-EZZ-420321-00</v>
          </cell>
          <cell r="F27132">
            <v>471797720316</v>
          </cell>
        </row>
        <row r="27133">
          <cell r="E27133" t="str">
            <v>LUC-EZZ-420261-00</v>
          </cell>
          <cell r="F27133">
            <v>471797720316</v>
          </cell>
        </row>
        <row r="27134">
          <cell r="E27134" t="str">
            <v>LUC-E00-400059-098</v>
          </cell>
          <cell r="F27134">
            <v>471797720316</v>
          </cell>
        </row>
        <row r="27135">
          <cell r="E27135" t="str">
            <v>HLOB-13-0002-00</v>
          </cell>
          <cell r="F27135">
            <v>471797720316</v>
          </cell>
        </row>
        <row r="27136">
          <cell r="E27136" t="str">
            <v>HLOB-13-0002-00</v>
          </cell>
          <cell r="F27136">
            <v>471797720316</v>
          </cell>
        </row>
        <row r="27137">
          <cell r="E27137" t="str">
            <v>HLOB-13-0002-00</v>
          </cell>
          <cell r="F27137">
            <v>471797720316</v>
          </cell>
        </row>
        <row r="27138">
          <cell r="E27138" t="str">
            <v>HLOB-13-0138-00</v>
          </cell>
          <cell r="F27138">
            <v>471797720316</v>
          </cell>
        </row>
        <row r="27139">
          <cell r="E27139" t="str">
            <v>HLOB-13-0138-00</v>
          </cell>
          <cell r="F27139">
            <v>471797720316</v>
          </cell>
        </row>
        <row r="27140">
          <cell r="E27140" t="str">
            <v>PURET-12-0028-00</v>
          </cell>
          <cell r="F27140">
            <v>886622648444</v>
          </cell>
        </row>
        <row r="27141">
          <cell r="E27141" t="str">
            <v>EF-45040795</v>
          </cell>
          <cell r="F27141">
            <v>886622648444</v>
          </cell>
        </row>
        <row r="27142">
          <cell r="E27142" t="str">
            <v>EF-45049937</v>
          </cell>
          <cell r="F27142">
            <v>886622648444</v>
          </cell>
        </row>
        <row r="27143">
          <cell r="E27143" t="str">
            <v>PUR-12-0472-00</v>
          </cell>
          <cell r="F27143">
            <v>886622648444</v>
          </cell>
        </row>
        <row r="27144">
          <cell r="E27144" t="str">
            <v>PUR-12-0512-00</v>
          </cell>
          <cell r="F27144">
            <v>886622648444</v>
          </cell>
        </row>
        <row r="27145">
          <cell r="E27145" t="str">
            <v>PUR-12-0512-00</v>
          </cell>
          <cell r="F27145">
            <v>886622648444</v>
          </cell>
        </row>
        <row r="27146">
          <cell r="E27146" t="str">
            <v>PUR-12-0512-00</v>
          </cell>
          <cell r="F27146">
            <v>886622648444</v>
          </cell>
        </row>
        <row r="27147">
          <cell r="E27147" t="str">
            <v>HLOB-12-0420-00</v>
          </cell>
          <cell r="F27147">
            <v>886622648444</v>
          </cell>
        </row>
        <row r="27148">
          <cell r="E27148" t="str">
            <v>HLOB-12-0284-00</v>
          </cell>
          <cell r="F27148">
            <v>886622648444</v>
          </cell>
        </row>
        <row r="27149">
          <cell r="E27149" t="str">
            <v>PURET-12-0135-00</v>
          </cell>
          <cell r="F27149">
            <v>886622648444</v>
          </cell>
        </row>
        <row r="27150">
          <cell r="E27150" t="str">
            <v>PUR-12-0065-00</v>
          </cell>
          <cell r="F27150">
            <v>886622648444</v>
          </cell>
        </row>
        <row r="27151">
          <cell r="E27151" t="str">
            <v>PUR-12-0483-00</v>
          </cell>
          <cell r="F27151">
            <v>886622648444</v>
          </cell>
        </row>
        <row r="27152">
          <cell r="E27152" t="str">
            <v>LUC-EZZ-450249-00</v>
          </cell>
          <cell r="F27152">
            <v>886622648444</v>
          </cell>
        </row>
        <row r="27153">
          <cell r="E27153" t="str">
            <v>HLOB-12-0449-00</v>
          </cell>
          <cell r="F27153">
            <v>886622648444</v>
          </cell>
        </row>
        <row r="27154">
          <cell r="E27154" t="str">
            <v>HLOB-12-0440-00</v>
          </cell>
          <cell r="F27154">
            <v>886622648444</v>
          </cell>
        </row>
        <row r="27155">
          <cell r="E27155" t="str">
            <v>LUC-P11-K41700-00</v>
          </cell>
          <cell r="F27155">
            <v>1875244512</v>
          </cell>
        </row>
        <row r="27156">
          <cell r="E27156" t="str">
            <v>LUC-P11-K41700-00</v>
          </cell>
          <cell r="F27156">
            <v>1875248292</v>
          </cell>
        </row>
        <row r="27157">
          <cell r="E27157" t="str">
            <v>LUC-E00-470071-00</v>
          </cell>
          <cell r="F27157">
            <v>396076981545</v>
          </cell>
        </row>
        <row r="27158">
          <cell r="E27158" t="str">
            <v>LUC-E00-470069-00</v>
          </cell>
          <cell r="F27158">
            <v>396076981545</v>
          </cell>
        </row>
        <row r="27159">
          <cell r="E27159" t="str">
            <v>LUC-E00-470069-00</v>
          </cell>
          <cell r="F27159">
            <v>396076981545</v>
          </cell>
        </row>
        <row r="27160">
          <cell r="E27160" t="str">
            <v>AGI-450-40087-01</v>
          </cell>
          <cell r="F27160">
            <v>396074133115</v>
          </cell>
        </row>
        <row r="27161">
          <cell r="E27161" t="str">
            <v>LUC-E00-470071-01</v>
          </cell>
          <cell r="F27161">
            <v>479730190751</v>
          </cell>
        </row>
        <row r="27162">
          <cell r="E27162" t="str">
            <v>LUC-EZZ-400203-00</v>
          </cell>
          <cell r="F27162">
            <v>479730192147</v>
          </cell>
        </row>
        <row r="27163">
          <cell r="E27163" t="str">
            <v>LUC-EZZ-400206-00</v>
          </cell>
          <cell r="F27163">
            <v>479730192158</v>
          </cell>
        </row>
        <row r="27164">
          <cell r="E27164" t="str">
            <v>PUR-09-0344-00</v>
          </cell>
          <cell r="F27164">
            <v>492501336891</v>
          </cell>
        </row>
        <row r="27165">
          <cell r="E27165" t="str">
            <v>PUR-14-0096-00</v>
          </cell>
          <cell r="F27165">
            <v>479730192240</v>
          </cell>
        </row>
        <row r="27166">
          <cell r="E27166" t="str">
            <v>LUC-E00-470137-00</v>
          </cell>
          <cell r="F27166">
            <v>886473756440</v>
          </cell>
        </row>
        <row r="27167">
          <cell r="E27167" t="str">
            <v>LUC-EZZ-510640-00</v>
          </cell>
          <cell r="F27167">
            <v>886619802691</v>
          </cell>
        </row>
        <row r="27168">
          <cell r="E27168" t="str">
            <v>EF-45142345</v>
          </cell>
          <cell r="F27168">
            <v>886614337554</v>
          </cell>
        </row>
        <row r="27169">
          <cell r="E27169" t="str">
            <v>HLOB-25-0012-00</v>
          </cell>
          <cell r="F27169">
            <v>430998646900</v>
          </cell>
        </row>
        <row r="27170">
          <cell r="E27170" t="str">
            <v>LUC-E00-460005-00</v>
          </cell>
          <cell r="F27170">
            <v>886554225607</v>
          </cell>
        </row>
        <row r="27171">
          <cell r="E27171" t="str">
            <v>LUC-E00-510021-00</v>
          </cell>
          <cell r="F27171">
            <v>886554225607</v>
          </cell>
        </row>
        <row r="27172">
          <cell r="E27172" t="str">
            <v>LUC-E00-470331-00</v>
          </cell>
          <cell r="F27172">
            <v>886554225607</v>
          </cell>
        </row>
        <row r="27173">
          <cell r="E27173" t="str">
            <v>HLOB-07-0332-00</v>
          </cell>
          <cell r="F27173">
            <v>886622890796</v>
          </cell>
        </row>
        <row r="27174">
          <cell r="E27174" t="str">
            <v>PUR-07-0332-00</v>
          </cell>
          <cell r="F27174">
            <v>886622890796</v>
          </cell>
        </row>
        <row r="27175">
          <cell r="E27175" t="str">
            <v>EF-45059919.X.X</v>
          </cell>
          <cell r="F27175">
            <v>886625070622</v>
          </cell>
        </row>
        <row r="27176">
          <cell r="E27176" t="str">
            <v>EF-45126672</v>
          </cell>
          <cell r="F27176">
            <v>886625070622</v>
          </cell>
        </row>
        <row r="27177">
          <cell r="E27177" t="str">
            <v>PUR-13-0238-00</v>
          </cell>
          <cell r="F27177">
            <v>886625070622</v>
          </cell>
        </row>
        <row r="27178">
          <cell r="E27178" t="str">
            <v>EF-45057846.X.X</v>
          </cell>
          <cell r="F27178">
            <v>886625070622</v>
          </cell>
        </row>
        <row r="27179">
          <cell r="E27179" t="str">
            <v>PURET-13-0022-00</v>
          </cell>
          <cell r="F27179">
            <v>886625070622</v>
          </cell>
        </row>
        <row r="27180">
          <cell r="E27180" t="str">
            <v>EF-45057846.X.X</v>
          </cell>
          <cell r="F27180">
            <v>886625070622</v>
          </cell>
        </row>
        <row r="27181">
          <cell r="E27181" t="str">
            <v>EF-45059919.X.X</v>
          </cell>
          <cell r="F27181">
            <v>886625070622</v>
          </cell>
        </row>
        <row r="27182">
          <cell r="E27182" t="str">
            <v>HLOB-13-0238-00</v>
          </cell>
          <cell r="F27182">
            <v>886625070622</v>
          </cell>
        </row>
        <row r="27183">
          <cell r="E27183" t="str">
            <v>HLOB-13-0238-00</v>
          </cell>
          <cell r="F27183">
            <v>886625070622</v>
          </cell>
        </row>
        <row r="27184">
          <cell r="E27184" t="str">
            <v>EF-45058007.X.X</v>
          </cell>
          <cell r="F27184">
            <v>886625070622</v>
          </cell>
        </row>
        <row r="27185">
          <cell r="E27185" t="str">
            <v>EF-45126672</v>
          </cell>
          <cell r="F27185">
            <v>886625070622</v>
          </cell>
        </row>
        <row r="27186">
          <cell r="E27186" t="str">
            <v>HLOB-13-0259-00</v>
          </cell>
          <cell r="F27186">
            <v>886625070622</v>
          </cell>
        </row>
        <row r="27187">
          <cell r="E27187" t="str">
            <v>HLOB-13-0259-00</v>
          </cell>
          <cell r="F27187">
            <v>886625070622</v>
          </cell>
        </row>
        <row r="27188">
          <cell r="E27188" t="str">
            <v>HLOB-13-0259-00</v>
          </cell>
          <cell r="F27188">
            <v>886625070622</v>
          </cell>
        </row>
        <row r="27189">
          <cell r="E27189" t="str">
            <v>HLOB-13-0259-00</v>
          </cell>
          <cell r="F27189">
            <v>886625070622</v>
          </cell>
        </row>
        <row r="27190">
          <cell r="E27190" t="str">
            <v>HLOB-13-0259-00</v>
          </cell>
          <cell r="F27190">
            <v>886625070622</v>
          </cell>
        </row>
        <row r="27191">
          <cell r="E27191" t="str">
            <v>PURET-13-0022-00</v>
          </cell>
          <cell r="F27191">
            <v>886625070622</v>
          </cell>
        </row>
        <row r="27192">
          <cell r="E27192" t="str">
            <v>PURET-13-0022-00</v>
          </cell>
          <cell r="F27192">
            <v>886625070622</v>
          </cell>
        </row>
        <row r="27193">
          <cell r="E27193" t="str">
            <v>HLOB-13-0259-00</v>
          </cell>
          <cell r="F27193">
            <v>886625070622</v>
          </cell>
        </row>
        <row r="27194">
          <cell r="E27194" t="str">
            <v>HLOB-13-0259-00</v>
          </cell>
          <cell r="F27194">
            <v>886625070622</v>
          </cell>
        </row>
        <row r="27195">
          <cell r="E27195" t="str">
            <v>HLOB-13-0259-00</v>
          </cell>
          <cell r="F27195">
            <v>886625070622</v>
          </cell>
        </row>
        <row r="27196">
          <cell r="E27196" t="str">
            <v>HLOB-13-0259-00</v>
          </cell>
          <cell r="F27196">
            <v>886625070622</v>
          </cell>
        </row>
        <row r="27197">
          <cell r="E27197" t="str">
            <v>122-000589.X.X</v>
          </cell>
          <cell r="F27197">
            <v>886625070622</v>
          </cell>
        </row>
        <row r="27198">
          <cell r="E27198" t="str">
            <v>LUC-E00-400012-18</v>
          </cell>
          <cell r="F27198">
            <v>886625070622</v>
          </cell>
        </row>
        <row r="27199">
          <cell r="E27199" t="str">
            <v>LUC-E00-400075-00</v>
          </cell>
          <cell r="F27199">
            <v>886625070622</v>
          </cell>
        </row>
        <row r="27200">
          <cell r="E27200" t="str">
            <v>LUC-E00-400075-00</v>
          </cell>
          <cell r="F27200">
            <v>886625070622</v>
          </cell>
        </row>
        <row r="27201">
          <cell r="E27201" t="str">
            <v>LUC-E00-400075-00</v>
          </cell>
          <cell r="F27201">
            <v>886625070622</v>
          </cell>
        </row>
        <row r="27202">
          <cell r="E27202" t="str">
            <v>LUC-E00-420037-02</v>
          </cell>
          <cell r="F27202">
            <v>886625070622</v>
          </cell>
        </row>
        <row r="27203">
          <cell r="E27203" t="str">
            <v>HLOB-12-0029-00</v>
          </cell>
          <cell r="F27203">
            <v>886625070622</v>
          </cell>
        </row>
        <row r="27204">
          <cell r="E27204" t="str">
            <v>HLOB-12-0029-00</v>
          </cell>
          <cell r="F27204">
            <v>886625070622</v>
          </cell>
        </row>
        <row r="27205">
          <cell r="E27205" t="str">
            <v>HLOB-13-0009-00</v>
          </cell>
          <cell r="F27205">
            <v>886625070622</v>
          </cell>
        </row>
        <row r="27206">
          <cell r="E27206" t="str">
            <v>PURET-12-0029-00</v>
          </cell>
          <cell r="F27206">
            <v>886625070622</v>
          </cell>
        </row>
        <row r="27207">
          <cell r="E27207" t="str">
            <v>HLOB-13-0009-00</v>
          </cell>
          <cell r="F27207">
            <v>886625070622</v>
          </cell>
        </row>
        <row r="27208">
          <cell r="E27208" t="str">
            <v>PURET-12-0029-00</v>
          </cell>
          <cell r="F27208">
            <v>886625070622</v>
          </cell>
        </row>
        <row r="27209">
          <cell r="E27209" t="str">
            <v>PURET-13-0009-00</v>
          </cell>
          <cell r="F27209">
            <v>886625070622</v>
          </cell>
        </row>
        <row r="27210">
          <cell r="E27210" t="str">
            <v>PURET-13-0009-00</v>
          </cell>
          <cell r="F27210">
            <v>886625070622</v>
          </cell>
        </row>
        <row r="27211">
          <cell r="E27211" t="str">
            <v>HLOB-13-0009-00</v>
          </cell>
          <cell r="F27211">
            <v>886625070622</v>
          </cell>
        </row>
        <row r="27212">
          <cell r="E27212" t="str">
            <v>LUC-E00-470070-00</v>
          </cell>
          <cell r="F27212">
            <v>395990376368</v>
          </cell>
        </row>
        <row r="27213">
          <cell r="E27213" t="str">
            <v>PUR-03-0082-02</v>
          </cell>
          <cell r="F27213">
            <v>493264778468</v>
          </cell>
        </row>
        <row r="27214">
          <cell r="E27214" t="str">
            <v>121-000113.X.X</v>
          </cell>
          <cell r="F27214">
            <v>886592229268</v>
          </cell>
        </row>
        <row r="27215">
          <cell r="E27215" t="str">
            <v>LUC-EZZ-450246-00</v>
          </cell>
          <cell r="F27215">
            <v>481005889106</v>
          </cell>
        </row>
        <row r="27216">
          <cell r="E27216" t="str">
            <v>LUC-E00-420184-00</v>
          </cell>
          <cell r="F27216">
            <v>481005889106</v>
          </cell>
        </row>
        <row r="27217">
          <cell r="E27217" t="str">
            <v>LUC-EZZ-420021-00</v>
          </cell>
          <cell r="F27217">
            <v>481005889106</v>
          </cell>
        </row>
        <row r="27218">
          <cell r="E27218" t="str">
            <v>LUC-EZZ-420021-00</v>
          </cell>
          <cell r="F27218">
            <v>481005889106</v>
          </cell>
        </row>
        <row r="27219">
          <cell r="E27219" t="str">
            <v>122-000777.X.X</v>
          </cell>
          <cell r="F27219">
            <v>481005889106</v>
          </cell>
        </row>
        <row r="27220">
          <cell r="E27220" t="str">
            <v>LUC-EZZ-470844-00</v>
          </cell>
          <cell r="F27220">
            <v>481005889106</v>
          </cell>
        </row>
        <row r="27221">
          <cell r="E27221" t="str">
            <v>LUC-P11-K41300-00</v>
          </cell>
          <cell r="F27221">
            <v>481005889106</v>
          </cell>
        </row>
        <row r="27222">
          <cell r="E27222" t="str">
            <v>LUC-E00-450010-00</v>
          </cell>
          <cell r="F27222">
            <v>481005889106</v>
          </cell>
        </row>
        <row r="27223">
          <cell r="E27223" t="str">
            <v>LUC-EZZ-420507-00</v>
          </cell>
          <cell r="F27223">
            <v>481005889106</v>
          </cell>
        </row>
        <row r="27224">
          <cell r="E27224" t="str">
            <v>126-001967</v>
          </cell>
          <cell r="F27224">
            <v>481005889106</v>
          </cell>
        </row>
        <row r="27225">
          <cell r="E27225" t="str">
            <v>LUC-EZZ-690138-02</v>
          </cell>
          <cell r="F27225" t="str">
            <v>ST25120286</v>
          </cell>
        </row>
        <row r="27226">
          <cell r="E27226" t="str">
            <v>EF-45093131.X.X</v>
          </cell>
          <cell r="F27226">
            <v>419341601342</v>
          </cell>
        </row>
        <row r="27227">
          <cell r="E27227" t="str">
            <v>EF-45045744.X.X</v>
          </cell>
          <cell r="F27227">
            <v>419341601342</v>
          </cell>
        </row>
        <row r="27228">
          <cell r="E27228" t="str">
            <v>LUC-E00-450047-00</v>
          </cell>
          <cell r="F27228">
            <v>419341601169</v>
          </cell>
        </row>
        <row r="27229">
          <cell r="E27229" t="str">
            <v>PUR-09-0344-00</v>
          </cell>
          <cell r="F27229">
            <v>492501338714</v>
          </cell>
        </row>
        <row r="27230">
          <cell r="E27230" t="str">
            <v>PUR-09-0344-00</v>
          </cell>
          <cell r="F27230">
            <v>492501338714</v>
          </cell>
        </row>
        <row r="27231">
          <cell r="E27231" t="str">
            <v>PUR-09-0344-00</v>
          </cell>
          <cell r="F27231">
            <v>492501338714</v>
          </cell>
        </row>
        <row r="27232">
          <cell r="E27232" t="str">
            <v>PUR-09-0344-00</v>
          </cell>
          <cell r="F27232">
            <v>492501338714</v>
          </cell>
        </row>
        <row r="27233">
          <cell r="E27233" t="str">
            <v>LUC-E00-420015-00</v>
          </cell>
          <cell r="F27233">
            <v>493596511606</v>
          </cell>
        </row>
        <row r="27234">
          <cell r="E27234" t="str">
            <v>LUC-E00-420275-00</v>
          </cell>
          <cell r="F27234">
            <v>493596511970</v>
          </cell>
        </row>
        <row r="27235">
          <cell r="E27235" t="str">
            <v>HLOB-13-0258-00</v>
          </cell>
          <cell r="F27235">
            <v>493596511970</v>
          </cell>
        </row>
        <row r="27236">
          <cell r="E27236" t="str">
            <v>LUC-E00-510021-00</v>
          </cell>
          <cell r="F27236">
            <v>886569958107</v>
          </cell>
        </row>
        <row r="27237">
          <cell r="E27237" t="str">
            <v>LUC-E00-510021-00</v>
          </cell>
          <cell r="F27237">
            <v>886626019035</v>
          </cell>
        </row>
        <row r="27238">
          <cell r="E27238" t="str">
            <v>LUC-EZZ-470247-00</v>
          </cell>
          <cell r="F27238">
            <v>395993837455</v>
          </cell>
        </row>
        <row r="27239">
          <cell r="E27239" t="str">
            <v>AIC-MP-IC007399-S01</v>
          </cell>
          <cell r="F27239">
            <v>396086271167</v>
          </cell>
        </row>
        <row r="27240">
          <cell r="E27240" t="str">
            <v>PUR-09-0324-00</v>
          </cell>
          <cell r="F27240">
            <v>395870781948</v>
          </cell>
        </row>
        <row r="27241">
          <cell r="E27241" t="str">
            <v>PUR-09-0324-00</v>
          </cell>
          <cell r="F27241">
            <v>395870781948</v>
          </cell>
        </row>
        <row r="27242">
          <cell r="E27242" t="str">
            <v>PUR-09-0324-00</v>
          </cell>
          <cell r="F27242">
            <v>395870781948</v>
          </cell>
        </row>
        <row r="27243">
          <cell r="E27243" t="str">
            <v>LUC-E00-470086-00</v>
          </cell>
          <cell r="F27243">
            <v>395996014624</v>
          </cell>
        </row>
        <row r="27244">
          <cell r="E27244" t="str">
            <v>LUC-E00-470086-00</v>
          </cell>
          <cell r="F27244">
            <v>395996014624</v>
          </cell>
        </row>
        <row r="27245">
          <cell r="E27245" t="str">
            <v>LUC-E00-470043-00</v>
          </cell>
          <cell r="F27245">
            <v>395996014624</v>
          </cell>
        </row>
        <row r="27246">
          <cell r="E27246" t="str">
            <v>LUC-EZZ-470171-00</v>
          </cell>
          <cell r="F27246">
            <v>395996014624</v>
          </cell>
        </row>
        <row r="27247">
          <cell r="E27247" t="str">
            <v>PUR-18-0562-00</v>
          </cell>
          <cell r="F27247">
            <v>886675295008</v>
          </cell>
        </row>
        <row r="27248">
          <cell r="E27248" t="str">
            <v>HLOB-18-0640-00</v>
          </cell>
          <cell r="F27248">
            <v>886675295008</v>
          </cell>
        </row>
        <row r="27249">
          <cell r="E27249" t="str">
            <v>PUR-03-0104-03</v>
          </cell>
          <cell r="F27249" t="str">
            <v>8XN1085</v>
          </cell>
        </row>
        <row r="27250">
          <cell r="E27250" t="str">
            <v>LUC-E00-690010-00</v>
          </cell>
          <cell r="F27250">
            <v>7607568150</v>
          </cell>
        </row>
        <row r="27251">
          <cell r="E27251" t="str">
            <v>PUR-17-0158-00</v>
          </cell>
          <cell r="F27251">
            <v>451399163150</v>
          </cell>
        </row>
        <row r="27252">
          <cell r="E27252" t="str">
            <v>LUC-EZZ-470424-00</v>
          </cell>
          <cell r="F27252">
            <v>396111328142</v>
          </cell>
        </row>
        <row r="27253">
          <cell r="E27253" t="str">
            <v>LUC-EZZ-400042-00</v>
          </cell>
          <cell r="F27253">
            <v>471783791194</v>
          </cell>
        </row>
        <row r="27254">
          <cell r="E27254" t="str">
            <v>PUR-12-0408-00</v>
          </cell>
          <cell r="F27254">
            <v>471783791194</v>
          </cell>
        </row>
        <row r="27255">
          <cell r="E27255" t="str">
            <v>HLOB-12-0408-00</v>
          </cell>
          <cell r="F27255">
            <v>471783791194</v>
          </cell>
        </row>
        <row r="27256">
          <cell r="E27256" t="str">
            <v>HLOB-12-0297-00</v>
          </cell>
          <cell r="F27256">
            <v>471783791194</v>
          </cell>
        </row>
        <row r="27257">
          <cell r="E27257" t="str">
            <v>HLOB-12-0297-00</v>
          </cell>
          <cell r="F27257">
            <v>471783791194</v>
          </cell>
        </row>
        <row r="27258">
          <cell r="E27258" t="str">
            <v>HLOB-12-0294-00</v>
          </cell>
          <cell r="F27258">
            <v>471783791194</v>
          </cell>
        </row>
        <row r="27259">
          <cell r="E27259" t="str">
            <v>HLOB-12-0294-00</v>
          </cell>
          <cell r="F27259">
            <v>471783791194</v>
          </cell>
        </row>
        <row r="27260">
          <cell r="E27260" t="str">
            <v>HLOB-12-0212-00</v>
          </cell>
          <cell r="F27260">
            <v>471783791194</v>
          </cell>
        </row>
        <row r="27261">
          <cell r="E27261" t="str">
            <v>HLOB-12-0212-00</v>
          </cell>
          <cell r="F27261">
            <v>471783791194</v>
          </cell>
        </row>
        <row r="27262">
          <cell r="E27262" t="str">
            <v>PURET-12-0212-00</v>
          </cell>
          <cell r="F27262">
            <v>471783791194</v>
          </cell>
        </row>
        <row r="27263">
          <cell r="E27263" t="str">
            <v>HLOB-12-0247-00</v>
          </cell>
          <cell r="F27263">
            <v>471783791194</v>
          </cell>
        </row>
        <row r="27264">
          <cell r="E27264" t="str">
            <v>121-000203.X.X</v>
          </cell>
          <cell r="F27264">
            <v>471783791194</v>
          </cell>
        </row>
        <row r="27265">
          <cell r="E27265" t="str">
            <v>AIC-MP-00002446-000</v>
          </cell>
          <cell r="F27265">
            <v>471783791194</v>
          </cell>
        </row>
        <row r="27266">
          <cell r="E27266" t="str">
            <v>AIC-MP-00002463-000</v>
          </cell>
          <cell r="F27266">
            <v>471783791194</v>
          </cell>
        </row>
        <row r="27267">
          <cell r="E27267" t="str">
            <v>HLOB-12-0271-00</v>
          </cell>
          <cell r="F27267">
            <v>471783791194</v>
          </cell>
        </row>
        <row r="27268">
          <cell r="E27268" t="str">
            <v>PUR-12-0293-00</v>
          </cell>
          <cell r="F27268">
            <v>471783791194</v>
          </cell>
        </row>
        <row r="27269">
          <cell r="E27269" t="str">
            <v>HLOB-12-0293-00</v>
          </cell>
          <cell r="F27269">
            <v>471783791194</v>
          </cell>
        </row>
        <row r="27270">
          <cell r="E27270" t="str">
            <v>HLOB-12-0293-00</v>
          </cell>
          <cell r="F27270">
            <v>471783791194</v>
          </cell>
        </row>
        <row r="27271">
          <cell r="E27271" t="str">
            <v>HLOB-12-0293-00</v>
          </cell>
          <cell r="F27271">
            <v>471783791194</v>
          </cell>
        </row>
        <row r="27272">
          <cell r="E27272" t="str">
            <v>HLOB-12-0460-00</v>
          </cell>
          <cell r="F27272">
            <v>471783791194</v>
          </cell>
        </row>
        <row r="27273">
          <cell r="E27273" t="str">
            <v>PUR-12-0460-00</v>
          </cell>
          <cell r="F27273">
            <v>471783791194</v>
          </cell>
        </row>
        <row r="27274">
          <cell r="E27274" t="str">
            <v>HLOB-12-0304-00</v>
          </cell>
          <cell r="F27274">
            <v>471783791194</v>
          </cell>
        </row>
        <row r="27275">
          <cell r="E27275" t="str">
            <v>HLOB-12-0304-00</v>
          </cell>
          <cell r="F27275">
            <v>471783791194</v>
          </cell>
        </row>
        <row r="27276">
          <cell r="E27276" t="str">
            <v>HLOB-12-0304-00</v>
          </cell>
          <cell r="F27276">
            <v>471783791194</v>
          </cell>
        </row>
        <row r="27277">
          <cell r="E27277" t="str">
            <v>121-000022.X.X</v>
          </cell>
          <cell r="F27277">
            <v>471783791194</v>
          </cell>
        </row>
        <row r="27278">
          <cell r="E27278" t="str">
            <v>121-000098.X.X</v>
          </cell>
          <cell r="F27278">
            <v>471783791194</v>
          </cell>
        </row>
        <row r="27279">
          <cell r="E27279" t="str">
            <v>PUR-12-0468-00</v>
          </cell>
          <cell r="F27279">
            <v>471783791194</v>
          </cell>
        </row>
        <row r="27280">
          <cell r="E27280" t="str">
            <v>HLOB-12-0468-00</v>
          </cell>
          <cell r="F27280">
            <v>471783791194</v>
          </cell>
        </row>
        <row r="27281">
          <cell r="E27281" t="str">
            <v>HLOB-12-0434-00</v>
          </cell>
          <cell r="F27281">
            <v>471783791194</v>
          </cell>
        </row>
        <row r="27282">
          <cell r="E27282" t="str">
            <v>HLOB-13-0249-00</v>
          </cell>
          <cell r="F27282">
            <v>471783791194</v>
          </cell>
        </row>
        <row r="27283">
          <cell r="E27283" t="str">
            <v>PUR-13-0227-00</v>
          </cell>
          <cell r="F27283">
            <v>471783791194</v>
          </cell>
        </row>
        <row r="27284">
          <cell r="E27284" t="str">
            <v>PUR-13-0227-00</v>
          </cell>
          <cell r="F27284">
            <v>471783791194</v>
          </cell>
        </row>
        <row r="27285">
          <cell r="E27285" t="str">
            <v>HLOB-13-0227-00</v>
          </cell>
          <cell r="F27285">
            <v>471783791194</v>
          </cell>
        </row>
        <row r="27286">
          <cell r="E27286" t="str">
            <v>PURET-13-0068-00</v>
          </cell>
          <cell r="F27286">
            <v>471783791194</v>
          </cell>
        </row>
        <row r="27287">
          <cell r="E27287" t="str">
            <v>EF-45043352.X.X</v>
          </cell>
          <cell r="F27287">
            <v>471783791194</v>
          </cell>
        </row>
        <row r="27288">
          <cell r="E27288" t="str">
            <v>PURET-13-0006-00</v>
          </cell>
          <cell r="F27288">
            <v>471783791194</v>
          </cell>
        </row>
        <row r="27289">
          <cell r="E27289" t="str">
            <v>PUR-13-0246-00</v>
          </cell>
          <cell r="F27289">
            <v>471783791194</v>
          </cell>
        </row>
        <row r="27290">
          <cell r="E27290" t="str">
            <v>PUR-13-0246-00</v>
          </cell>
          <cell r="F27290">
            <v>471783791194</v>
          </cell>
        </row>
        <row r="27291">
          <cell r="E27291" t="str">
            <v>AIC-122-004444</v>
          </cell>
          <cell r="F27291">
            <v>471783791194</v>
          </cell>
        </row>
        <row r="27292">
          <cell r="E27292" t="str">
            <v>122-001250</v>
          </cell>
          <cell r="F27292">
            <v>471783791194</v>
          </cell>
        </row>
        <row r="27293">
          <cell r="E27293" t="str">
            <v>PURET-13-0068-00</v>
          </cell>
          <cell r="F27293">
            <v>471783791194</v>
          </cell>
        </row>
        <row r="27294">
          <cell r="E27294" t="str">
            <v>121-000585.X.X</v>
          </cell>
          <cell r="F27294">
            <v>471783791194</v>
          </cell>
        </row>
        <row r="27295">
          <cell r="E27295" t="str">
            <v>121-000747.X.X</v>
          </cell>
          <cell r="F27295">
            <v>471783791194</v>
          </cell>
        </row>
        <row r="27296">
          <cell r="E27296" t="str">
            <v>EF-45103947.X.X</v>
          </cell>
          <cell r="F27296">
            <v>471783791194</v>
          </cell>
        </row>
        <row r="27297">
          <cell r="E27297" t="str">
            <v>122-000369.X.X</v>
          </cell>
          <cell r="F27297">
            <v>471783791194</v>
          </cell>
        </row>
        <row r="27298">
          <cell r="E27298" t="str">
            <v>122-000369.X.X</v>
          </cell>
          <cell r="F27298">
            <v>471783791194</v>
          </cell>
        </row>
        <row r="27299">
          <cell r="E27299" t="str">
            <v>121-000440.X.X</v>
          </cell>
          <cell r="F27299">
            <v>471783791194</v>
          </cell>
        </row>
        <row r="27300">
          <cell r="E27300" t="str">
            <v>122-001674</v>
          </cell>
          <cell r="F27300">
            <v>471783791194</v>
          </cell>
        </row>
        <row r="27301">
          <cell r="E27301" t="str">
            <v>LUC-E00-690217-01</v>
          </cell>
          <cell r="F27301">
            <v>4110331536</v>
          </cell>
        </row>
        <row r="27302">
          <cell r="E27302" t="str">
            <v>LUC-E00-690001-00</v>
          </cell>
          <cell r="F27302">
            <v>4110331537</v>
          </cell>
        </row>
        <row r="27303">
          <cell r="E27303" t="str">
            <v>LUC-E00-690030-03</v>
          </cell>
          <cell r="F27303">
            <v>4110331556</v>
          </cell>
        </row>
        <row r="27304">
          <cell r="E27304" t="str">
            <v>LUC-E00-690001-00</v>
          </cell>
          <cell r="F27304">
            <v>4110331562</v>
          </cell>
        </row>
        <row r="27305">
          <cell r="E27305" t="str">
            <v>LUC-E00-400010-048</v>
          </cell>
          <cell r="F27305">
            <v>2233986042</v>
          </cell>
        </row>
        <row r="27306">
          <cell r="E27306" t="str">
            <v>LUC-E00-450056-00</v>
          </cell>
          <cell r="F27306">
            <v>2233986042</v>
          </cell>
        </row>
        <row r="27307">
          <cell r="E27307" t="str">
            <v>LUC-E00-450056-00</v>
          </cell>
          <cell r="F27307">
            <v>2233986042</v>
          </cell>
        </row>
        <row r="27308">
          <cell r="E27308" t="str">
            <v>LUC-EZZ-420345-00</v>
          </cell>
          <cell r="F27308">
            <v>2233986042</v>
          </cell>
        </row>
        <row r="27309">
          <cell r="E27309" t="str">
            <v>LUC-EZZ-420345-00</v>
          </cell>
          <cell r="F27309">
            <v>2233986042</v>
          </cell>
        </row>
        <row r="27310">
          <cell r="E27310" t="str">
            <v>LUC-EZZ-420345-00</v>
          </cell>
          <cell r="F27310">
            <v>2233986042</v>
          </cell>
        </row>
        <row r="27311">
          <cell r="E27311" t="str">
            <v>LUC-E00-470044-00</v>
          </cell>
          <cell r="F27311">
            <v>2233986042</v>
          </cell>
        </row>
        <row r="27312">
          <cell r="E27312" t="str">
            <v>LUC-E00-470032-00</v>
          </cell>
          <cell r="F27312">
            <v>2233986042</v>
          </cell>
        </row>
        <row r="27313">
          <cell r="E27313" t="str">
            <v>LUC-E00-510064-00</v>
          </cell>
          <cell r="F27313">
            <v>2233986042</v>
          </cell>
        </row>
        <row r="27314">
          <cell r="E27314" t="str">
            <v>LUC-E00-510064-00</v>
          </cell>
          <cell r="F27314">
            <v>2233986042</v>
          </cell>
        </row>
        <row r="27315">
          <cell r="E27315" t="str">
            <v>LUC-E00-510019-00</v>
          </cell>
          <cell r="F27315">
            <v>2233986042</v>
          </cell>
        </row>
        <row r="27316">
          <cell r="E27316" t="str">
            <v>LUC-E00-420054-01</v>
          </cell>
          <cell r="F27316">
            <v>2233986042</v>
          </cell>
        </row>
        <row r="27317">
          <cell r="E27317" t="str">
            <v>LUC-E00-470062-00</v>
          </cell>
          <cell r="F27317">
            <v>2233986042</v>
          </cell>
        </row>
        <row r="27318">
          <cell r="E27318" t="str">
            <v>LUC-E00-470062-00</v>
          </cell>
          <cell r="F27318">
            <v>2233986042</v>
          </cell>
        </row>
        <row r="27319">
          <cell r="E27319" t="str">
            <v>LUC-E00-510037-00</v>
          </cell>
          <cell r="F27319">
            <v>2233986042</v>
          </cell>
        </row>
        <row r="27320">
          <cell r="E27320" t="str">
            <v>LUC-E00-470062-00</v>
          </cell>
          <cell r="F27320">
            <v>2233986042</v>
          </cell>
        </row>
        <row r="27321">
          <cell r="E27321" t="str">
            <v>LUC-E00-420060-00</v>
          </cell>
          <cell r="F27321">
            <v>2233986042</v>
          </cell>
        </row>
        <row r="27322">
          <cell r="E27322" t="str">
            <v>LUC-E00-420060-00</v>
          </cell>
          <cell r="F27322">
            <v>2233986042</v>
          </cell>
        </row>
        <row r="27323">
          <cell r="E27323" t="str">
            <v>LUC-E00-470047-00</v>
          </cell>
          <cell r="F27323">
            <v>2233986042</v>
          </cell>
        </row>
        <row r="27324">
          <cell r="E27324" t="str">
            <v>LUC-E00-470122-01</v>
          </cell>
          <cell r="F27324">
            <v>2233986042</v>
          </cell>
        </row>
        <row r="27325">
          <cell r="E27325" t="str">
            <v>LUC-E00-470061-00</v>
          </cell>
          <cell r="F27325">
            <v>2233986042</v>
          </cell>
        </row>
        <row r="27326">
          <cell r="E27326" t="str">
            <v>LUC-E00-470061-00</v>
          </cell>
          <cell r="F27326">
            <v>2233986042</v>
          </cell>
        </row>
        <row r="27327">
          <cell r="E27327" t="str">
            <v>LUC-E00-470061-00</v>
          </cell>
          <cell r="F27327">
            <v>2233986042</v>
          </cell>
        </row>
        <row r="27328">
          <cell r="E27328" t="str">
            <v>LUC-E00-470343-00</v>
          </cell>
          <cell r="F27328">
            <v>2233986042</v>
          </cell>
        </row>
        <row r="27329">
          <cell r="E27329" t="str">
            <v>LUC-EZZ-470961-00</v>
          </cell>
          <cell r="F27329">
            <v>2233986042</v>
          </cell>
        </row>
        <row r="27330">
          <cell r="E27330" t="str">
            <v>LUC-E00-470173-00</v>
          </cell>
          <cell r="F27330">
            <v>2233986042</v>
          </cell>
        </row>
        <row r="27331">
          <cell r="E27331" t="str">
            <v>LUC-EZZ-470464-00</v>
          </cell>
          <cell r="F27331">
            <v>2233986042</v>
          </cell>
        </row>
        <row r="27332">
          <cell r="E27332" t="str">
            <v>LUC-EZZ-421047-00</v>
          </cell>
          <cell r="F27332">
            <v>2233986042</v>
          </cell>
        </row>
        <row r="27333">
          <cell r="E27333" t="str">
            <v>LUC-EZZ-421047-00</v>
          </cell>
          <cell r="F27333">
            <v>2233986042</v>
          </cell>
        </row>
        <row r="27334">
          <cell r="E27334" t="str">
            <v>LUC-E00-470009-00</v>
          </cell>
          <cell r="F27334">
            <v>2233986042</v>
          </cell>
        </row>
        <row r="27335">
          <cell r="E27335" t="str">
            <v>LUC-E00-470009-00</v>
          </cell>
          <cell r="F27335">
            <v>2233986042</v>
          </cell>
        </row>
        <row r="27336">
          <cell r="E27336" t="str">
            <v>LUC-E00-470004-00</v>
          </cell>
          <cell r="F27336">
            <v>2233986042</v>
          </cell>
        </row>
        <row r="27337">
          <cell r="E27337" t="str">
            <v>LUC-E00-470009-00</v>
          </cell>
          <cell r="F27337">
            <v>2233986042</v>
          </cell>
        </row>
        <row r="27338">
          <cell r="E27338" t="str">
            <v>LUC-E00-470004-00</v>
          </cell>
          <cell r="F27338">
            <v>2233986042</v>
          </cell>
        </row>
        <row r="27339">
          <cell r="E27339" t="str">
            <v>LUC-E00-470004-00</v>
          </cell>
          <cell r="F27339">
            <v>2233986042</v>
          </cell>
        </row>
        <row r="27340">
          <cell r="E27340" t="str">
            <v>LUC-E00-420054-00</v>
          </cell>
          <cell r="F27340">
            <v>2233986042</v>
          </cell>
        </row>
        <row r="27341">
          <cell r="E27341" t="str">
            <v>LUC-EZZ-420089-00</v>
          </cell>
          <cell r="F27341">
            <v>2233986042</v>
          </cell>
        </row>
        <row r="27342">
          <cell r="E27342" t="str">
            <v>LUC-EZZ-400194-00</v>
          </cell>
          <cell r="F27342">
            <v>2233986042</v>
          </cell>
        </row>
        <row r="27343">
          <cell r="E27343" t="str">
            <v>LUC-E00-510037-00</v>
          </cell>
          <cell r="F27343">
            <v>2233986042</v>
          </cell>
        </row>
        <row r="27344">
          <cell r="E27344" t="str">
            <v>LUC-EZZ-420507-00</v>
          </cell>
          <cell r="F27344">
            <v>2233986042</v>
          </cell>
        </row>
        <row r="27345">
          <cell r="E27345" t="str">
            <v>LUC-E00-470131-00</v>
          </cell>
          <cell r="F27345">
            <v>2233986042</v>
          </cell>
        </row>
        <row r="27346">
          <cell r="E27346" t="str">
            <v>LUC-E00-470131-00</v>
          </cell>
          <cell r="F27346">
            <v>2233986042</v>
          </cell>
        </row>
        <row r="27347">
          <cell r="E27347" t="str">
            <v>LUC-E00-470047-00</v>
          </cell>
          <cell r="F27347">
            <v>2233986042</v>
          </cell>
        </row>
        <row r="27348">
          <cell r="E27348" t="str">
            <v>LUC-EZZ-420345-00</v>
          </cell>
          <cell r="F27348">
            <v>2233986042</v>
          </cell>
        </row>
        <row r="27349">
          <cell r="E27349" t="str">
            <v>LUC-E00-420027-04</v>
          </cell>
          <cell r="F27349">
            <v>2233986042</v>
          </cell>
        </row>
        <row r="27350">
          <cell r="E27350" t="str">
            <v>LUC-E00-470343-00</v>
          </cell>
          <cell r="F27350">
            <v>2233986042</v>
          </cell>
        </row>
        <row r="27351">
          <cell r="E27351" t="str">
            <v>LUC-EZZ-420345-00</v>
          </cell>
          <cell r="F27351">
            <v>2233986042</v>
          </cell>
        </row>
        <row r="27352">
          <cell r="E27352" t="str">
            <v>LUC-EZZ-510023-00</v>
          </cell>
          <cell r="F27352">
            <v>2233986042</v>
          </cell>
        </row>
        <row r="27353">
          <cell r="E27353" t="str">
            <v>LUC-E00-470343-00</v>
          </cell>
          <cell r="F27353">
            <v>2233986042</v>
          </cell>
        </row>
        <row r="27354">
          <cell r="E27354" t="str">
            <v>LUC-E00-470049-00</v>
          </cell>
          <cell r="F27354">
            <v>2233986042</v>
          </cell>
        </row>
        <row r="27355">
          <cell r="E27355" t="str">
            <v>LUC-E00-470009-00</v>
          </cell>
          <cell r="F27355">
            <v>2233986042</v>
          </cell>
        </row>
        <row r="27356">
          <cell r="E27356" t="str">
            <v>LUC-EZZ-420507-00</v>
          </cell>
          <cell r="F27356">
            <v>2233986042</v>
          </cell>
        </row>
        <row r="27357">
          <cell r="E27357" t="str">
            <v>LUC-EZZ-420507-00</v>
          </cell>
          <cell r="F27357">
            <v>2233986042</v>
          </cell>
        </row>
        <row r="27358">
          <cell r="E27358" t="str">
            <v>LUC-EZZ-470431-00</v>
          </cell>
          <cell r="F27358">
            <v>2233986042</v>
          </cell>
        </row>
        <row r="27359">
          <cell r="E27359" t="str">
            <v>LUC-EZZ-470431-00</v>
          </cell>
          <cell r="F27359">
            <v>2233986042</v>
          </cell>
        </row>
        <row r="27360">
          <cell r="E27360" t="str">
            <v>LUC-EZZ-420345-00</v>
          </cell>
          <cell r="F27360">
            <v>2233986042</v>
          </cell>
        </row>
        <row r="27361">
          <cell r="E27361" t="str">
            <v>LUC-EZZ-420345-00</v>
          </cell>
          <cell r="F27361">
            <v>2233986042</v>
          </cell>
        </row>
        <row r="27362">
          <cell r="E27362" t="str">
            <v>LUC-E00-510014-00</v>
          </cell>
          <cell r="F27362">
            <v>2233986042</v>
          </cell>
        </row>
        <row r="27363">
          <cell r="E27363" t="str">
            <v>LUC-E00-510014-00</v>
          </cell>
          <cell r="F27363">
            <v>2233986042</v>
          </cell>
        </row>
        <row r="27364">
          <cell r="E27364" t="str">
            <v>LUC-EZZ-470362-00</v>
          </cell>
          <cell r="F27364">
            <v>2233986042</v>
          </cell>
        </row>
        <row r="27365">
          <cell r="E27365" t="str">
            <v>LUC-E00-400010-023</v>
          </cell>
          <cell r="F27365">
            <v>2233986042</v>
          </cell>
        </row>
        <row r="27366">
          <cell r="E27366" t="str">
            <v>LUC-E00-420058-00</v>
          </cell>
          <cell r="F27366">
            <v>2233986042</v>
          </cell>
        </row>
        <row r="27367">
          <cell r="E27367" t="str">
            <v>LUC-E00-540004-00</v>
          </cell>
          <cell r="F27367">
            <v>2233986042</v>
          </cell>
        </row>
        <row r="27368">
          <cell r="E27368" t="str">
            <v>LUC-E00-420056-00</v>
          </cell>
          <cell r="F27368">
            <v>2233986042</v>
          </cell>
        </row>
        <row r="27369">
          <cell r="E27369" t="str">
            <v>LUC-EZZ-420121-00</v>
          </cell>
          <cell r="F27369">
            <v>2233986042</v>
          </cell>
        </row>
        <row r="27370">
          <cell r="E27370" t="str">
            <v>LUC-E00-420050-00</v>
          </cell>
          <cell r="F27370">
            <v>2233986042</v>
          </cell>
        </row>
        <row r="27371">
          <cell r="E27371" t="str">
            <v>LUC-E00-450060-00</v>
          </cell>
          <cell r="F27371">
            <v>2233986042</v>
          </cell>
        </row>
        <row r="27372">
          <cell r="E27372" t="str">
            <v>LUC-E00-510015-00</v>
          </cell>
          <cell r="F27372">
            <v>2233986042</v>
          </cell>
        </row>
        <row r="27373">
          <cell r="E27373" t="str">
            <v>LUC-E00-540004-00</v>
          </cell>
          <cell r="F27373">
            <v>2233986042</v>
          </cell>
        </row>
        <row r="27374">
          <cell r="E27374" t="str">
            <v>LUC-EZZ-440176-00</v>
          </cell>
          <cell r="F27374">
            <v>2233986042</v>
          </cell>
        </row>
        <row r="27375">
          <cell r="E27375" t="str">
            <v>LUC-E00-470062-00</v>
          </cell>
          <cell r="F27375">
            <v>2233986042</v>
          </cell>
        </row>
        <row r="27376">
          <cell r="E27376" t="str">
            <v>LUC-E00-470044-00</v>
          </cell>
          <cell r="F27376">
            <v>2233986042</v>
          </cell>
        </row>
        <row r="27377">
          <cell r="E27377" t="str">
            <v>LUC-EZZ-420345-00</v>
          </cell>
          <cell r="F27377">
            <v>2233986042</v>
          </cell>
        </row>
        <row r="27378">
          <cell r="E27378" t="str">
            <v>LUC-EZZ-420174-00</v>
          </cell>
          <cell r="F27378">
            <v>2233986042</v>
          </cell>
        </row>
        <row r="27379">
          <cell r="E27379" t="str">
            <v>LUC-E00-510037-00</v>
          </cell>
          <cell r="F27379">
            <v>2233986042</v>
          </cell>
        </row>
        <row r="27380">
          <cell r="E27380" t="str">
            <v>LUC-E00-510037-00</v>
          </cell>
          <cell r="F27380">
            <v>2233986042</v>
          </cell>
        </row>
        <row r="27381">
          <cell r="E27381" t="str">
            <v>LUC-EZZ-510023-00</v>
          </cell>
          <cell r="F27381">
            <v>2233986042</v>
          </cell>
        </row>
        <row r="27382">
          <cell r="E27382" t="str">
            <v>LUC-E00-450041-00</v>
          </cell>
          <cell r="F27382">
            <v>2233986042</v>
          </cell>
        </row>
        <row r="27383">
          <cell r="E27383" t="str">
            <v>LUC-E00-470047-00</v>
          </cell>
          <cell r="F27383">
            <v>2233986042</v>
          </cell>
        </row>
        <row r="27384">
          <cell r="E27384" t="str">
            <v>LUC-E00-470047-00</v>
          </cell>
          <cell r="F27384">
            <v>2233986042</v>
          </cell>
        </row>
        <row r="27385">
          <cell r="E27385" t="str">
            <v>LUC-E00-510041-00</v>
          </cell>
          <cell r="F27385">
            <v>2233986042</v>
          </cell>
        </row>
        <row r="27386">
          <cell r="E27386" t="str">
            <v>LUC-EZZ-470155-00</v>
          </cell>
          <cell r="F27386">
            <v>2233986042</v>
          </cell>
        </row>
        <row r="27387">
          <cell r="E27387" t="str">
            <v>LUC-EZZ-420345-00</v>
          </cell>
          <cell r="F27387">
            <v>2233986042</v>
          </cell>
        </row>
        <row r="27388">
          <cell r="E27388" t="str">
            <v>LUC-E00-470062-00</v>
          </cell>
          <cell r="F27388">
            <v>2233986042</v>
          </cell>
        </row>
        <row r="27389">
          <cell r="E27389" t="str">
            <v>LUC-E00-470090-00</v>
          </cell>
          <cell r="F27389">
            <v>2233986042</v>
          </cell>
        </row>
        <row r="27390">
          <cell r="E27390" t="str">
            <v>LUC-E00-470009-00</v>
          </cell>
          <cell r="F27390">
            <v>2233986042</v>
          </cell>
        </row>
        <row r="27391">
          <cell r="E27391" t="str">
            <v>EF-45054385.X.X</v>
          </cell>
          <cell r="F27391">
            <v>2233986042</v>
          </cell>
        </row>
        <row r="27392">
          <cell r="E27392" t="str">
            <v>EF-45052488.X.X</v>
          </cell>
          <cell r="F27392">
            <v>2233986042</v>
          </cell>
        </row>
        <row r="27393">
          <cell r="E27393" t="str">
            <v>LUC-EZZ-470155-00</v>
          </cell>
          <cell r="F27393">
            <v>2233986042</v>
          </cell>
        </row>
        <row r="27394">
          <cell r="E27394" t="str">
            <v>LUC-E00-470062-00</v>
          </cell>
          <cell r="F27394">
            <v>2233986042</v>
          </cell>
        </row>
        <row r="27395">
          <cell r="E27395" t="str">
            <v>LUC-EZZ-420345-00</v>
          </cell>
          <cell r="F27395">
            <v>2233986042</v>
          </cell>
        </row>
        <row r="27396">
          <cell r="E27396" t="str">
            <v>LUC-EZZ-420345-00</v>
          </cell>
          <cell r="F27396">
            <v>2233986042</v>
          </cell>
        </row>
        <row r="27397">
          <cell r="E27397" t="str">
            <v>LUC-EZZ-420345-00</v>
          </cell>
          <cell r="F27397">
            <v>2233986042</v>
          </cell>
        </row>
        <row r="27398">
          <cell r="E27398" t="str">
            <v>LUC-E00-470004-00</v>
          </cell>
          <cell r="F27398">
            <v>2233986042</v>
          </cell>
        </row>
        <row r="27399">
          <cell r="E27399" t="str">
            <v>LUC-E00-470389-00</v>
          </cell>
          <cell r="F27399">
            <v>2233986042</v>
          </cell>
        </row>
        <row r="27400">
          <cell r="E27400" t="str">
            <v>LUC-E00-470004-00</v>
          </cell>
          <cell r="F27400">
            <v>2233986042</v>
          </cell>
        </row>
        <row r="27401">
          <cell r="E27401" t="str">
            <v>LUC-E00-470301-00</v>
          </cell>
          <cell r="F27401">
            <v>2233986042</v>
          </cell>
        </row>
        <row r="27402">
          <cell r="E27402" t="str">
            <v>LUC-E00-420054-00</v>
          </cell>
          <cell r="F27402">
            <v>2233986042</v>
          </cell>
        </row>
        <row r="27403">
          <cell r="E27403" t="str">
            <v>LUC-E00-420054-04</v>
          </cell>
          <cell r="F27403">
            <v>2233986042</v>
          </cell>
        </row>
        <row r="27404">
          <cell r="E27404" t="str">
            <v>LUC-E00-420054-04</v>
          </cell>
          <cell r="F27404">
            <v>2233986042</v>
          </cell>
        </row>
        <row r="27405">
          <cell r="E27405" t="str">
            <v>LUC-EZZ-400194-00</v>
          </cell>
          <cell r="F27405">
            <v>2233986042</v>
          </cell>
        </row>
        <row r="27406">
          <cell r="E27406" t="str">
            <v>LUC-E00-450056-00</v>
          </cell>
          <cell r="F27406">
            <v>2233986042</v>
          </cell>
        </row>
        <row r="27407">
          <cell r="E27407" t="str">
            <v>LUC-E00-460023-00</v>
          </cell>
          <cell r="F27407">
            <v>2233986042</v>
          </cell>
        </row>
        <row r="27408">
          <cell r="E27408" t="str">
            <v>LUC-E00-450056-00</v>
          </cell>
          <cell r="F27408">
            <v>2233986042</v>
          </cell>
        </row>
        <row r="27409">
          <cell r="E27409" t="str">
            <v>LUC-E00-460023-00</v>
          </cell>
          <cell r="F27409">
            <v>2233986042</v>
          </cell>
        </row>
        <row r="27410">
          <cell r="E27410" t="str">
            <v>LUC-E00-470175-00</v>
          </cell>
          <cell r="F27410">
            <v>2233986042</v>
          </cell>
        </row>
        <row r="27411">
          <cell r="E27411" t="str">
            <v>LUC-EZZ-471619-01</v>
          </cell>
          <cell r="F27411">
            <v>2233986042</v>
          </cell>
        </row>
        <row r="27412">
          <cell r="E27412" t="str">
            <v>LUC-E00-470049-00</v>
          </cell>
          <cell r="F27412">
            <v>2233986042</v>
          </cell>
        </row>
        <row r="27413">
          <cell r="E27413" t="str">
            <v>LUC-E00-450057-00</v>
          </cell>
          <cell r="F27413">
            <v>2233986042</v>
          </cell>
        </row>
        <row r="27414">
          <cell r="E27414" t="str">
            <v>LUC-EZZ-510048-00</v>
          </cell>
          <cell r="F27414">
            <v>2233986042</v>
          </cell>
        </row>
        <row r="27415">
          <cell r="E27415" t="str">
            <v>LUC-EZZ-510048-00</v>
          </cell>
          <cell r="F27415">
            <v>2233986042</v>
          </cell>
        </row>
        <row r="27416">
          <cell r="E27416" t="str">
            <v>LUC-E00-510064-00</v>
          </cell>
          <cell r="F27416">
            <v>2233986042</v>
          </cell>
        </row>
        <row r="27417">
          <cell r="E27417" t="str">
            <v>LUC-E00-470044-00</v>
          </cell>
          <cell r="F27417">
            <v>2233986042</v>
          </cell>
        </row>
        <row r="27418">
          <cell r="E27418" t="str">
            <v>LUC-E00-470062-00</v>
          </cell>
          <cell r="F27418">
            <v>2233986042</v>
          </cell>
        </row>
        <row r="27419">
          <cell r="E27419" t="str">
            <v>LUC-E00-470301-00</v>
          </cell>
          <cell r="F27419">
            <v>2233986042</v>
          </cell>
        </row>
        <row r="27420">
          <cell r="E27420" t="str">
            <v>LUC-E00-470004-00</v>
          </cell>
          <cell r="F27420">
            <v>2233986042</v>
          </cell>
        </row>
        <row r="27421">
          <cell r="E27421" t="str">
            <v>LUC-EZZ-510023-00</v>
          </cell>
          <cell r="F27421">
            <v>2233986042</v>
          </cell>
        </row>
        <row r="27422">
          <cell r="E27422" t="str">
            <v>LUC-EZZ-400411-00</v>
          </cell>
          <cell r="F27422">
            <v>2233986042</v>
          </cell>
        </row>
        <row r="27423">
          <cell r="E27423" t="str">
            <v>LUC-P21-K2C400-02</v>
          </cell>
          <cell r="F27423" t="str">
            <v>BSJNB0089302</v>
          </cell>
        </row>
        <row r="27424">
          <cell r="E27424" t="str">
            <v>LUC-P21-K2C400-02</v>
          </cell>
          <cell r="F27424" t="str">
            <v>BSJNB0089302</v>
          </cell>
        </row>
        <row r="27425">
          <cell r="E27425" t="str">
            <v>LUC-P21-K61100-02</v>
          </cell>
          <cell r="F27425" t="str">
            <v>BSJNB0089302</v>
          </cell>
        </row>
        <row r="27426">
          <cell r="E27426" t="str">
            <v>LUC-P21-K61100-02</v>
          </cell>
          <cell r="F27426" t="str">
            <v>BSJNB0089302</v>
          </cell>
        </row>
        <row r="27427">
          <cell r="E27427" t="str">
            <v>LUC-EZZ-400412-00</v>
          </cell>
          <cell r="F27427">
            <v>1811326580</v>
          </cell>
        </row>
        <row r="27428">
          <cell r="E27428" t="str">
            <v>LUC-EZZ-400036-00</v>
          </cell>
          <cell r="F27428">
            <v>1811326580</v>
          </cell>
        </row>
        <row r="27429">
          <cell r="E27429" t="str">
            <v>LUC-EZZ-400192-00</v>
          </cell>
          <cell r="F27429">
            <v>1811326580</v>
          </cell>
        </row>
        <row r="27430">
          <cell r="E27430" t="str">
            <v>LUC-EZZ-400192-00</v>
          </cell>
          <cell r="F27430">
            <v>1811326580</v>
          </cell>
        </row>
        <row r="27431">
          <cell r="E27431" t="str">
            <v>LUC-EZZ-400208-00</v>
          </cell>
          <cell r="F27431">
            <v>1811326580</v>
          </cell>
        </row>
        <row r="27432">
          <cell r="E27432" t="str">
            <v>LUC-EZZ-400241-00</v>
          </cell>
          <cell r="F27432">
            <v>1811326580</v>
          </cell>
        </row>
        <row r="27433">
          <cell r="E27433" t="str">
            <v>PUR-12-0288-00</v>
          </cell>
          <cell r="F27433">
            <v>1811326580</v>
          </cell>
        </row>
        <row r="27434">
          <cell r="E27434" t="str">
            <v>LUC-E00-400028-08</v>
          </cell>
          <cell r="F27434">
            <v>1811326580</v>
          </cell>
        </row>
        <row r="27435">
          <cell r="E27435" t="str">
            <v>LUC-E00-450241-00</v>
          </cell>
          <cell r="F27435">
            <v>1811326580</v>
          </cell>
        </row>
        <row r="27436">
          <cell r="E27436" t="str">
            <v>LUC-E00-400028-06</v>
          </cell>
          <cell r="F27436">
            <v>1811326580</v>
          </cell>
        </row>
        <row r="27437">
          <cell r="E27437" t="str">
            <v>LUC-E00-450044-00</v>
          </cell>
          <cell r="F27437">
            <v>1811326580</v>
          </cell>
        </row>
        <row r="27438">
          <cell r="E27438" t="str">
            <v>LUC-EZZ-450093-00</v>
          </cell>
          <cell r="F27438">
            <v>1811326580</v>
          </cell>
        </row>
        <row r="27439">
          <cell r="E27439" t="str">
            <v>LUC-EZZ-450093-00</v>
          </cell>
          <cell r="F27439">
            <v>1811326580</v>
          </cell>
        </row>
        <row r="27440">
          <cell r="E27440" t="str">
            <v>AGI-530-40006-01</v>
          </cell>
          <cell r="F27440">
            <v>1811326580</v>
          </cell>
        </row>
        <row r="27441">
          <cell r="E27441" t="str">
            <v>LUC-EZZ-540018-00</v>
          </cell>
          <cell r="F27441">
            <v>1811326580</v>
          </cell>
        </row>
        <row r="27442">
          <cell r="E27442" t="str">
            <v>LUC-EZZ-540018-00</v>
          </cell>
          <cell r="F27442">
            <v>1811326580</v>
          </cell>
        </row>
        <row r="27443">
          <cell r="E27443" t="str">
            <v>LUC-EZZ-400036-00</v>
          </cell>
          <cell r="F27443">
            <v>1811326580</v>
          </cell>
        </row>
        <row r="27444">
          <cell r="E27444" t="str">
            <v>LUC-EZZ-400036-00</v>
          </cell>
          <cell r="F27444">
            <v>1811326580</v>
          </cell>
        </row>
        <row r="27445">
          <cell r="E27445" t="str">
            <v>LUC-EZZ-470162-00</v>
          </cell>
          <cell r="F27445">
            <v>1811326580</v>
          </cell>
        </row>
        <row r="27446">
          <cell r="E27446" t="str">
            <v>LUC-EZZ-540018-00</v>
          </cell>
          <cell r="F27446">
            <v>1811326580</v>
          </cell>
        </row>
        <row r="27447">
          <cell r="E27447" t="str">
            <v>LUC-EZZ-401060-00</v>
          </cell>
          <cell r="F27447">
            <v>1811326580</v>
          </cell>
        </row>
        <row r="27448">
          <cell r="E27448" t="str">
            <v>LUC-E00-400024-04</v>
          </cell>
          <cell r="F27448">
            <v>1811326580</v>
          </cell>
        </row>
        <row r="27449">
          <cell r="E27449" t="str">
            <v>LUC-EZZ-400801-00</v>
          </cell>
          <cell r="F27449">
            <v>1811336391</v>
          </cell>
        </row>
        <row r="27450">
          <cell r="E27450" t="str">
            <v>LUC-EZZ-400801-00</v>
          </cell>
          <cell r="F27450">
            <v>1811336391</v>
          </cell>
        </row>
        <row r="27451">
          <cell r="E27451" t="str">
            <v>PUR-14-0076-00</v>
          </cell>
          <cell r="F27451">
            <v>1811336391</v>
          </cell>
        </row>
        <row r="27452">
          <cell r="E27452" t="str">
            <v>PUR-14-0077-00</v>
          </cell>
          <cell r="F27452">
            <v>1811336391</v>
          </cell>
        </row>
        <row r="27453">
          <cell r="E27453" t="str">
            <v>PUR-14-0076-00</v>
          </cell>
          <cell r="F27453">
            <v>1811336391</v>
          </cell>
        </row>
        <row r="27454">
          <cell r="E27454" t="str">
            <v>PUR-14-0077-00</v>
          </cell>
          <cell r="F27454">
            <v>1811336391</v>
          </cell>
        </row>
        <row r="27455">
          <cell r="E27455" t="str">
            <v>PUR-14-0076-00</v>
          </cell>
          <cell r="F27455">
            <v>1811336391</v>
          </cell>
        </row>
        <row r="27456">
          <cell r="E27456" t="str">
            <v>HLOB-14-0076-00</v>
          </cell>
          <cell r="F27456">
            <v>1811336391</v>
          </cell>
        </row>
        <row r="27457">
          <cell r="E27457" t="str">
            <v>PUR-14-0076-00</v>
          </cell>
          <cell r="F27457">
            <v>1811336391</v>
          </cell>
        </row>
        <row r="27458">
          <cell r="E27458" t="str">
            <v>PUR-14-0077-00</v>
          </cell>
          <cell r="F27458">
            <v>1811336391</v>
          </cell>
        </row>
        <row r="27459">
          <cell r="E27459" t="str">
            <v>HLOB-14-0076-00</v>
          </cell>
          <cell r="F27459">
            <v>1811336391</v>
          </cell>
        </row>
        <row r="27460">
          <cell r="E27460" t="str">
            <v>PUR-14-0076-00</v>
          </cell>
          <cell r="F27460">
            <v>1811336391</v>
          </cell>
        </row>
        <row r="27461">
          <cell r="E27461" t="str">
            <v>LUC-EZZ-400264-00</v>
          </cell>
          <cell r="F27461">
            <v>1811336391</v>
          </cell>
        </row>
        <row r="27462">
          <cell r="E27462" t="str">
            <v>LUC-EZZ-400264-00</v>
          </cell>
          <cell r="F27462">
            <v>1811336391</v>
          </cell>
        </row>
        <row r="27463">
          <cell r="E27463" t="str">
            <v>LUC-EZZ-690758-00</v>
          </cell>
          <cell r="F27463">
            <v>1811336391</v>
          </cell>
        </row>
        <row r="27464">
          <cell r="E27464" t="str">
            <v>LUC-EZZ-690758-00</v>
          </cell>
          <cell r="F27464">
            <v>1811336391</v>
          </cell>
        </row>
        <row r="27465">
          <cell r="E27465" t="str">
            <v>LUC-EZZ-690758-00</v>
          </cell>
          <cell r="F27465">
            <v>1811336391</v>
          </cell>
        </row>
        <row r="27466">
          <cell r="E27466" t="str">
            <v>LUC-EZZ-690758-00</v>
          </cell>
          <cell r="F27466">
            <v>1811336391</v>
          </cell>
        </row>
        <row r="27467">
          <cell r="E27467" t="str">
            <v>PUR-14-0083-00</v>
          </cell>
          <cell r="F27467">
            <v>1811336391</v>
          </cell>
        </row>
        <row r="27468">
          <cell r="E27468" t="str">
            <v>PUR-14-0083-00</v>
          </cell>
          <cell r="F27468">
            <v>1811336391</v>
          </cell>
        </row>
        <row r="27469">
          <cell r="E27469" t="str">
            <v>LUC-EZZ-420151-00</v>
          </cell>
          <cell r="F27469">
            <v>1811336391</v>
          </cell>
        </row>
        <row r="27470">
          <cell r="E27470" t="str">
            <v>HLOB-14-0083-00</v>
          </cell>
          <cell r="F27470">
            <v>1811336391</v>
          </cell>
        </row>
        <row r="27471">
          <cell r="E27471" t="str">
            <v>EF-45113162</v>
          </cell>
          <cell r="F27471">
            <v>1811336391</v>
          </cell>
        </row>
        <row r="27472">
          <cell r="E27472" t="str">
            <v>LUC-EZZ-420151-00</v>
          </cell>
          <cell r="F27472">
            <v>1811336391</v>
          </cell>
        </row>
        <row r="27473">
          <cell r="E27473" t="str">
            <v>HLOB-09-0279-00</v>
          </cell>
          <cell r="F27473">
            <v>1811336391</v>
          </cell>
        </row>
        <row r="27474">
          <cell r="E27474" t="str">
            <v>PUR-14-0096-00</v>
          </cell>
          <cell r="F27474">
            <v>1811336391</v>
          </cell>
        </row>
        <row r="27475">
          <cell r="E27475" t="str">
            <v>PUR-14-0096-00</v>
          </cell>
          <cell r="F27475">
            <v>1811336391</v>
          </cell>
        </row>
        <row r="27476">
          <cell r="E27476" t="str">
            <v>LUC-EZZ-451368-00</v>
          </cell>
          <cell r="F27476">
            <v>1811336391</v>
          </cell>
        </row>
        <row r="27477">
          <cell r="E27477" t="str">
            <v>HLOB-14-0103-00</v>
          </cell>
          <cell r="F27477">
            <v>1811336391</v>
          </cell>
        </row>
        <row r="27478">
          <cell r="E27478" t="str">
            <v>PUR-14-0103-00</v>
          </cell>
          <cell r="F27478">
            <v>1811336391</v>
          </cell>
        </row>
        <row r="27479">
          <cell r="E27479" t="str">
            <v>PUR-14-0103-00</v>
          </cell>
          <cell r="F27479">
            <v>1811336391</v>
          </cell>
        </row>
        <row r="27480">
          <cell r="E27480" t="str">
            <v>LUC-EZZ-400766-00</v>
          </cell>
          <cell r="F27480">
            <v>1811336391</v>
          </cell>
        </row>
        <row r="27481">
          <cell r="E27481" t="str">
            <v>PURET-12-0084-00</v>
          </cell>
          <cell r="F27481">
            <v>1811336391</v>
          </cell>
        </row>
        <row r="27482">
          <cell r="E27482" t="str">
            <v>HLOB-12-0084-00</v>
          </cell>
          <cell r="F27482">
            <v>1811336391</v>
          </cell>
        </row>
        <row r="27483">
          <cell r="E27483" t="str">
            <v>LUC-EZZ-420151-00</v>
          </cell>
          <cell r="F27483">
            <v>1811336391</v>
          </cell>
        </row>
        <row r="27484">
          <cell r="E27484" t="str">
            <v>LUC-EZZ-400801-00</v>
          </cell>
          <cell r="F27484">
            <v>1811336391</v>
          </cell>
        </row>
        <row r="27485">
          <cell r="E27485" t="str">
            <v>LUC-EZZ-480008-00</v>
          </cell>
          <cell r="F27485">
            <v>1811336391</v>
          </cell>
        </row>
        <row r="27486">
          <cell r="E27486" t="str">
            <v>EF-45042452</v>
          </cell>
          <cell r="F27486">
            <v>1811336391</v>
          </cell>
        </row>
        <row r="27487">
          <cell r="E27487" t="str">
            <v>PUR-24-0028-00</v>
          </cell>
          <cell r="F27487">
            <v>1811336391</v>
          </cell>
        </row>
        <row r="27488">
          <cell r="E27488" t="str">
            <v>PUR-09-0279-00</v>
          </cell>
          <cell r="F27488">
            <v>1811336391</v>
          </cell>
        </row>
        <row r="27489">
          <cell r="E27489" t="str">
            <v>PUR-09-0279-00</v>
          </cell>
          <cell r="F27489">
            <v>1811336391</v>
          </cell>
        </row>
        <row r="27490">
          <cell r="E27490" t="str">
            <v>HLOB-09-0050-00</v>
          </cell>
          <cell r="F27490">
            <v>1811336391</v>
          </cell>
        </row>
        <row r="27491">
          <cell r="E27491" t="str">
            <v>PUR-13-0125-00</v>
          </cell>
          <cell r="F27491">
            <v>1811336391</v>
          </cell>
        </row>
        <row r="27492">
          <cell r="E27492" t="str">
            <v>LUC-EZZ-400005-00</v>
          </cell>
          <cell r="F27492">
            <v>1811336391</v>
          </cell>
        </row>
        <row r="27493">
          <cell r="E27493" t="str">
            <v>PURET-24-0002-00</v>
          </cell>
          <cell r="F27493">
            <v>1811336391</v>
          </cell>
        </row>
        <row r="27494">
          <cell r="E27494" t="str">
            <v>EF-45116977</v>
          </cell>
          <cell r="F27494">
            <v>1811336391</v>
          </cell>
        </row>
        <row r="27495">
          <cell r="E27495" t="str">
            <v>LUC-EZZ-470811-00</v>
          </cell>
          <cell r="F27495">
            <v>1811336391</v>
          </cell>
        </row>
        <row r="27496">
          <cell r="E27496" t="str">
            <v>HLOB-27-0028-00</v>
          </cell>
          <cell r="F27496">
            <v>1046049196</v>
          </cell>
        </row>
        <row r="27497">
          <cell r="E27497" t="str">
            <v>LUC-EZZ-421298-00</v>
          </cell>
          <cell r="F27497">
            <v>1046049196</v>
          </cell>
        </row>
        <row r="27498">
          <cell r="E27498" t="str">
            <v>LUC-E00-400028-002</v>
          </cell>
          <cell r="F27498">
            <v>1046049196</v>
          </cell>
        </row>
        <row r="27499">
          <cell r="E27499" t="str">
            <v>LUC-E00-400018-000</v>
          </cell>
          <cell r="F27499">
            <v>1046049196</v>
          </cell>
        </row>
        <row r="27500">
          <cell r="E27500" t="str">
            <v>LUC-EZZ-400578-00</v>
          </cell>
          <cell r="F27500">
            <v>1046049196</v>
          </cell>
        </row>
        <row r="27501">
          <cell r="E27501" t="str">
            <v>LUC-EZZ-400588-00</v>
          </cell>
          <cell r="F27501">
            <v>1046049196</v>
          </cell>
        </row>
        <row r="27502">
          <cell r="E27502" t="str">
            <v>LUC-P11-K35000-02</v>
          </cell>
          <cell r="F27502">
            <v>886712315940</v>
          </cell>
        </row>
        <row r="27503">
          <cell r="E27503" t="str">
            <v>LUC-P11-JA4100-00</v>
          </cell>
          <cell r="F27503">
            <v>886712315940</v>
          </cell>
        </row>
        <row r="27504">
          <cell r="E27504" t="str">
            <v>LUC-P11-JA4100-00</v>
          </cell>
          <cell r="F27504">
            <v>886712315940</v>
          </cell>
        </row>
        <row r="27505">
          <cell r="E27505" t="str">
            <v>LUC-P21-KA3100-00</v>
          </cell>
          <cell r="F27505">
            <v>886712315940</v>
          </cell>
        </row>
        <row r="27506">
          <cell r="E27506" t="str">
            <v>LUC-P21-KA3100-00</v>
          </cell>
          <cell r="F27506">
            <v>886712315940</v>
          </cell>
        </row>
        <row r="27507">
          <cell r="E27507" t="str">
            <v>PUR-13-0236-00</v>
          </cell>
          <cell r="F27507">
            <v>4915017896</v>
          </cell>
        </row>
        <row r="27508">
          <cell r="E27508" t="str">
            <v>HLOB-13-0236-00</v>
          </cell>
          <cell r="F27508">
            <v>4915017896</v>
          </cell>
        </row>
        <row r="27509">
          <cell r="E27509" t="str">
            <v>PUR-13-0236-00</v>
          </cell>
          <cell r="F27509">
            <v>4915017896</v>
          </cell>
        </row>
        <row r="27510">
          <cell r="E27510" t="str">
            <v>PUR-13-0236-00</v>
          </cell>
          <cell r="F27510">
            <v>4915017896</v>
          </cell>
        </row>
        <row r="27511">
          <cell r="E27511" t="str">
            <v>HLOB-03-0114-00</v>
          </cell>
          <cell r="F27511" t="str">
            <v>8XN1103</v>
          </cell>
        </row>
        <row r="27512">
          <cell r="E27512" t="str">
            <v>HLOB-03-0113-00</v>
          </cell>
          <cell r="F27512" t="str">
            <v>8XN1116</v>
          </cell>
        </row>
        <row r="27513">
          <cell r="E27513" t="str">
            <v>HLOB-03-0113-00</v>
          </cell>
          <cell r="F27513" t="str">
            <v>8XN1116</v>
          </cell>
        </row>
        <row r="27514">
          <cell r="E27514" t="str">
            <v>PUR-03-0096-02</v>
          </cell>
          <cell r="F27514" t="str">
            <v>8XN1117</v>
          </cell>
        </row>
        <row r="27515">
          <cell r="E27515" t="str">
            <v>PUR-03-0096-02</v>
          </cell>
          <cell r="F27515" t="str">
            <v>8XN1117</v>
          </cell>
        </row>
        <row r="27516">
          <cell r="E27516" t="str">
            <v>PUR-03-0099-03</v>
          </cell>
          <cell r="F27516" t="str">
            <v>8XN1118</v>
          </cell>
        </row>
        <row r="27517">
          <cell r="E27517" t="str">
            <v>LUC-P11-K35500-04</v>
          </cell>
          <cell r="F27517" t="str">
            <v>BSJSH0089203</v>
          </cell>
        </row>
        <row r="27518">
          <cell r="E27518" t="str">
            <v>LUC-P11-K35500-04</v>
          </cell>
          <cell r="F27518" t="str">
            <v>BSJSH0089203</v>
          </cell>
        </row>
        <row r="27519">
          <cell r="E27519" t="str">
            <v>LUC-P11-K34A00-03</v>
          </cell>
          <cell r="F27519" t="str">
            <v>BSJSH0089203</v>
          </cell>
        </row>
        <row r="27520">
          <cell r="E27520" t="str">
            <v>LUC-P11-K34A00-03</v>
          </cell>
          <cell r="F27520" t="str">
            <v>BSJSH0089203</v>
          </cell>
        </row>
        <row r="27521">
          <cell r="E27521" t="str">
            <v>LUC-P11-K34900-02</v>
          </cell>
          <cell r="F27521" t="str">
            <v>BSJSH0089203</v>
          </cell>
        </row>
        <row r="27522">
          <cell r="E27522" t="str">
            <v>LUC-P11-K35400-03</v>
          </cell>
          <cell r="F27522" t="str">
            <v>BSJSH0089203</v>
          </cell>
        </row>
        <row r="27523">
          <cell r="E27523" t="str">
            <v>LUC-E00-420056-01</v>
          </cell>
          <cell r="F27523" t="str">
            <v>TXGHPHK25D02</v>
          </cell>
        </row>
        <row r="27524">
          <cell r="E27524" t="str">
            <v>LUC-EZZ-470272-00</v>
          </cell>
          <cell r="F27524" t="str">
            <v>TXGHPHK25D02</v>
          </cell>
        </row>
        <row r="27525">
          <cell r="E27525" t="str">
            <v>LUC-EZZ-470276-00</v>
          </cell>
          <cell r="F27525" t="str">
            <v>TXGHPHK25D02</v>
          </cell>
        </row>
        <row r="27526">
          <cell r="E27526" t="str">
            <v>LUC-EZZ-470276-00</v>
          </cell>
          <cell r="F27526" t="str">
            <v>TXGHPHK25D02</v>
          </cell>
        </row>
        <row r="27527">
          <cell r="E27527" t="str">
            <v>LUC-EZZ-470276-00</v>
          </cell>
          <cell r="F27527" t="str">
            <v>TXGHPHK25D02</v>
          </cell>
        </row>
        <row r="27528">
          <cell r="E27528" t="str">
            <v>LUC-EZZ-470152-00</v>
          </cell>
          <cell r="F27528" t="str">
            <v>TXGHPHK25D02</v>
          </cell>
        </row>
        <row r="27529">
          <cell r="E27529" t="str">
            <v>LUC-EZZ-470152-00</v>
          </cell>
          <cell r="F27529" t="str">
            <v>TXGHPHK25D02</v>
          </cell>
        </row>
        <row r="27530">
          <cell r="E27530" t="str">
            <v>LUC-EZZ-470152-00</v>
          </cell>
          <cell r="F27530" t="str">
            <v>TXGHPHK25D02</v>
          </cell>
        </row>
        <row r="27531">
          <cell r="E27531" t="str">
            <v>LUC-EZZ-470152-00</v>
          </cell>
          <cell r="F27531" t="str">
            <v>TXGHPHK25D02</v>
          </cell>
        </row>
        <row r="27532">
          <cell r="E27532" t="str">
            <v>LUC-EZZ-470153-00</v>
          </cell>
          <cell r="F27532" t="str">
            <v>TXGHPHK25D02</v>
          </cell>
        </row>
        <row r="27533">
          <cell r="E27533" t="str">
            <v>LUC-EZZ-470153-00</v>
          </cell>
          <cell r="F27533" t="str">
            <v>TXGHPHK25D02</v>
          </cell>
        </row>
        <row r="27534">
          <cell r="E27534" t="str">
            <v>LUC-EZZ-470153-00</v>
          </cell>
          <cell r="F27534" t="str">
            <v>TXGHPHK25D02</v>
          </cell>
        </row>
        <row r="27535">
          <cell r="E27535" t="str">
            <v>LUC-EZZ-470153-00</v>
          </cell>
          <cell r="F27535" t="str">
            <v>TXGHPHK25D02</v>
          </cell>
        </row>
        <row r="27536">
          <cell r="E27536" t="str">
            <v>LUC-EZZ-470153-00</v>
          </cell>
          <cell r="F27536" t="str">
            <v>TXGHPHK25D02</v>
          </cell>
        </row>
        <row r="27537">
          <cell r="E27537" t="str">
            <v>LUC-EZZ-470153-00</v>
          </cell>
          <cell r="F27537" t="str">
            <v>TXGHPHK25D02</v>
          </cell>
        </row>
        <row r="27538">
          <cell r="E27538" t="str">
            <v>LUC-EZZ-510077-00</v>
          </cell>
          <cell r="F27538" t="str">
            <v>TXGHPHK25D02</v>
          </cell>
        </row>
        <row r="27539">
          <cell r="E27539" t="str">
            <v>LUC-EZZ-510077-00</v>
          </cell>
          <cell r="F27539" t="str">
            <v>TXGHPHK25D02</v>
          </cell>
        </row>
        <row r="27540">
          <cell r="E27540" t="str">
            <v>LUC-EZZ-510077-00</v>
          </cell>
          <cell r="F27540" t="str">
            <v>TXGHPHK25D02</v>
          </cell>
        </row>
        <row r="27541">
          <cell r="E27541" t="str">
            <v>LUC-E00-400028-06</v>
          </cell>
          <cell r="F27541" t="str">
            <v>TXGHPHK25D02</v>
          </cell>
        </row>
        <row r="27542">
          <cell r="E27542" t="str">
            <v>LUC-E00-400028-06</v>
          </cell>
          <cell r="F27542" t="str">
            <v>TXGHPHK25D02</v>
          </cell>
        </row>
        <row r="27543">
          <cell r="E27543" t="str">
            <v>LUC-EZZ-400570-00</v>
          </cell>
          <cell r="F27543" t="str">
            <v>TXGHPHK25D02</v>
          </cell>
        </row>
        <row r="27544">
          <cell r="E27544" t="str">
            <v>LUC-EZZ-401725-00</v>
          </cell>
          <cell r="F27544" t="str">
            <v>TXGHPHK25D02</v>
          </cell>
        </row>
        <row r="27545">
          <cell r="E27545" t="str">
            <v>LUC-EZZ-401250-00</v>
          </cell>
          <cell r="F27545" t="str">
            <v>TXGHPHK25D02</v>
          </cell>
        </row>
        <row r="27546">
          <cell r="E27546" t="str">
            <v>LUC-EZZ-401250-00</v>
          </cell>
          <cell r="F27546" t="str">
            <v>TXGHPHK25D02</v>
          </cell>
        </row>
        <row r="27547">
          <cell r="E27547" t="str">
            <v>LUC-EZZ-401250-00</v>
          </cell>
          <cell r="F27547" t="str">
            <v>TXGHPHK25D02</v>
          </cell>
        </row>
        <row r="27548">
          <cell r="E27548" t="str">
            <v>LUC-EZZ-401250-00</v>
          </cell>
          <cell r="F27548" t="str">
            <v>TXGHPHK25D02</v>
          </cell>
        </row>
        <row r="27549">
          <cell r="E27549" t="str">
            <v>LUC-EZZ-440073-00</v>
          </cell>
          <cell r="F27549" t="str">
            <v>TXGHPHK25D02</v>
          </cell>
        </row>
        <row r="27550">
          <cell r="E27550" t="str">
            <v>LUC-EZZ-470369-00</v>
          </cell>
          <cell r="F27550" t="str">
            <v>TXGHPHK25D02</v>
          </cell>
        </row>
        <row r="27551">
          <cell r="E27551" t="str">
            <v>LUC-EZZ-470369-00</v>
          </cell>
          <cell r="F27551" t="str">
            <v>TXGHPHK25D02</v>
          </cell>
        </row>
        <row r="27552">
          <cell r="E27552" t="str">
            <v>LUC-E00-400028-06</v>
          </cell>
          <cell r="F27552" t="str">
            <v>TXGHPHK25D02</v>
          </cell>
        </row>
        <row r="27553">
          <cell r="E27553" t="str">
            <v>LUC-EZZ-451660-00</v>
          </cell>
          <cell r="F27553" t="str">
            <v>TXGHPHK25D02</v>
          </cell>
        </row>
        <row r="27554">
          <cell r="E27554" t="str">
            <v>LUC-EZZ-451660-00</v>
          </cell>
          <cell r="F27554" t="str">
            <v>TXGHPHK25D02</v>
          </cell>
        </row>
        <row r="27555">
          <cell r="E27555" t="str">
            <v>LUC-EZZ-451660-00</v>
          </cell>
          <cell r="F27555" t="str">
            <v>TXGHPHK25D02</v>
          </cell>
        </row>
        <row r="27556">
          <cell r="E27556" t="str">
            <v>LUC-EZZ-451660-00</v>
          </cell>
          <cell r="F27556" t="str">
            <v>TXGHPHK25D02</v>
          </cell>
        </row>
        <row r="27557">
          <cell r="E27557" t="str">
            <v>LUC-E00-510021-00</v>
          </cell>
          <cell r="F27557">
            <v>886824673693</v>
          </cell>
        </row>
        <row r="27558">
          <cell r="E27558" t="str">
            <v>LUC-E00-420235-00</v>
          </cell>
          <cell r="F27558">
            <v>409298900773</v>
          </cell>
        </row>
        <row r="27559">
          <cell r="E27559" t="str">
            <v>LUC-EZZ-690175-00</v>
          </cell>
          <cell r="F27559">
            <v>409298900773</v>
          </cell>
        </row>
        <row r="27560">
          <cell r="E27560" t="str">
            <v>LUC-EZZ-450236-00</v>
          </cell>
          <cell r="F27560">
            <v>409298900773</v>
          </cell>
        </row>
        <row r="27561">
          <cell r="E27561" t="str">
            <v>LUC-E00-420060-03</v>
          </cell>
          <cell r="F27561">
            <v>409298900773</v>
          </cell>
        </row>
        <row r="27562">
          <cell r="E27562" t="str">
            <v>LUC-E00-420235-00</v>
          </cell>
          <cell r="F27562">
            <v>409298900773</v>
          </cell>
        </row>
        <row r="27563">
          <cell r="E27563" t="str">
            <v>LUC-EZZ-420176-00</v>
          </cell>
          <cell r="F27563">
            <v>409298900773</v>
          </cell>
        </row>
        <row r="27564">
          <cell r="E27564" t="str">
            <v>LUC-E00-400022-000</v>
          </cell>
          <cell r="F27564">
            <v>409298900773</v>
          </cell>
        </row>
        <row r="27565">
          <cell r="E27565" t="str">
            <v>LUC-E00-420034-01</v>
          </cell>
          <cell r="F27565">
            <v>409298900773</v>
          </cell>
        </row>
        <row r="27566">
          <cell r="E27566" t="str">
            <v>LUC-EZZ-420289-00</v>
          </cell>
          <cell r="F27566">
            <v>409298900773</v>
          </cell>
        </row>
        <row r="27567">
          <cell r="E27567" t="str">
            <v>LUC-EZZ-400609-00</v>
          </cell>
          <cell r="F27567">
            <v>409298900773</v>
          </cell>
        </row>
        <row r="27568">
          <cell r="E27568" t="str">
            <v>LUC-E00-440030-00</v>
          </cell>
          <cell r="F27568">
            <v>409298900773</v>
          </cell>
        </row>
        <row r="27569">
          <cell r="E27569" t="str">
            <v>LUC-E00-420011-02</v>
          </cell>
          <cell r="F27569">
            <v>409298900773</v>
          </cell>
        </row>
        <row r="27570">
          <cell r="E27570" t="str">
            <v>LUC-E00-420235-00</v>
          </cell>
          <cell r="F27570">
            <v>409298900773</v>
          </cell>
        </row>
        <row r="27571">
          <cell r="E27571" t="str">
            <v>LUC-E00-420016-00</v>
          </cell>
          <cell r="F27571">
            <v>409298900773</v>
          </cell>
        </row>
        <row r="27572">
          <cell r="E27572" t="str">
            <v>LUC-EZZ-421362-00</v>
          </cell>
          <cell r="F27572">
            <v>409298900773</v>
          </cell>
        </row>
        <row r="27573">
          <cell r="E27573" t="str">
            <v>LUC-E00-420047-00</v>
          </cell>
          <cell r="F27573">
            <v>409298900773</v>
          </cell>
        </row>
        <row r="27574">
          <cell r="E27574" t="str">
            <v>LUC-EZZ-420085-00</v>
          </cell>
          <cell r="F27574">
            <v>409298900773</v>
          </cell>
        </row>
        <row r="27575">
          <cell r="E27575" t="str">
            <v>LUC-E00-440144-00</v>
          </cell>
          <cell r="F27575">
            <v>409298900773</v>
          </cell>
        </row>
        <row r="27576">
          <cell r="E27576" t="str">
            <v>LUC-EZZ-420392-00</v>
          </cell>
          <cell r="F27576">
            <v>409298900773</v>
          </cell>
        </row>
        <row r="27577">
          <cell r="E27577" t="str">
            <v>LUC-EZZ-420159-00</v>
          </cell>
          <cell r="F27577">
            <v>409298900773</v>
          </cell>
        </row>
        <row r="27578">
          <cell r="E27578" t="str">
            <v>LUC-EZZ-420058-00</v>
          </cell>
          <cell r="F27578">
            <v>409298900773</v>
          </cell>
        </row>
        <row r="27579">
          <cell r="E27579" t="str">
            <v>LUC-EZZ-420100-00</v>
          </cell>
          <cell r="F27579">
            <v>409298900773</v>
          </cell>
        </row>
        <row r="27580">
          <cell r="E27580" t="str">
            <v>LUC-EZZ-420194-00</v>
          </cell>
          <cell r="F27580">
            <v>409298900773</v>
          </cell>
        </row>
        <row r="27581">
          <cell r="E27581" t="str">
            <v>LUC-E00-440011-00</v>
          </cell>
          <cell r="F27581">
            <v>409298900773</v>
          </cell>
        </row>
        <row r="27582">
          <cell r="E27582" t="str">
            <v>LUC-EZZ-420403-00</v>
          </cell>
          <cell r="F27582">
            <v>409298900773</v>
          </cell>
        </row>
        <row r="27583">
          <cell r="E27583" t="str">
            <v>LUC-E00-400001-003</v>
          </cell>
          <cell r="F27583">
            <v>409298900773</v>
          </cell>
        </row>
        <row r="27584">
          <cell r="E27584" t="str">
            <v>LUC-EZZ-480735-00</v>
          </cell>
          <cell r="F27584">
            <v>493448935312</v>
          </cell>
        </row>
        <row r="27585">
          <cell r="E27585" t="str">
            <v>LUC-E00-480005-00</v>
          </cell>
          <cell r="F27585">
            <v>493448935312</v>
          </cell>
        </row>
        <row r="27586">
          <cell r="E27586" t="str">
            <v>LUC-E00-480001-00</v>
          </cell>
          <cell r="F27586">
            <v>493448935312</v>
          </cell>
        </row>
        <row r="27587">
          <cell r="E27587" t="str">
            <v>LUC-E00-470081-00</v>
          </cell>
          <cell r="F27587">
            <v>396345949195</v>
          </cell>
        </row>
        <row r="27588">
          <cell r="E27588" t="str">
            <v>LUC-E00-470041-00</v>
          </cell>
          <cell r="F27588">
            <v>396345949195</v>
          </cell>
        </row>
        <row r="27589">
          <cell r="E27589" t="str">
            <v>LUC-EZZ-470181-00</v>
          </cell>
          <cell r="F27589">
            <v>396345949195</v>
          </cell>
        </row>
        <row r="27590">
          <cell r="E27590" t="str">
            <v>PUR-03-0111-00</v>
          </cell>
          <cell r="F27590">
            <v>493264847553</v>
          </cell>
        </row>
        <row r="27591">
          <cell r="E27591" t="str">
            <v>PUR-12-0343-00</v>
          </cell>
          <cell r="F27591">
            <v>886715987922</v>
          </cell>
        </row>
        <row r="27592">
          <cell r="E27592" t="str">
            <v>HLOB-13-0159-00</v>
          </cell>
          <cell r="F27592">
            <v>886715987922</v>
          </cell>
        </row>
        <row r="27593">
          <cell r="E27593" t="str">
            <v>PUR-12-0337-00</v>
          </cell>
          <cell r="F27593">
            <v>886715987922</v>
          </cell>
        </row>
        <row r="27594">
          <cell r="E27594" t="str">
            <v>LUC-E00-400069-00</v>
          </cell>
          <cell r="F27594">
            <v>886715987922</v>
          </cell>
        </row>
        <row r="27595">
          <cell r="E27595" t="str">
            <v>121-000359.X.X</v>
          </cell>
          <cell r="F27595">
            <v>886715987922</v>
          </cell>
        </row>
        <row r="27596">
          <cell r="E27596" t="str">
            <v>122-000291.X.X</v>
          </cell>
          <cell r="F27596">
            <v>886715987922</v>
          </cell>
        </row>
        <row r="27597">
          <cell r="E27597" t="str">
            <v>EF-45129267</v>
          </cell>
          <cell r="F27597">
            <v>886715987922</v>
          </cell>
        </row>
        <row r="27598">
          <cell r="E27598" t="str">
            <v>122-000215.X.X</v>
          </cell>
          <cell r="F27598">
            <v>886715987922</v>
          </cell>
        </row>
        <row r="27599">
          <cell r="E27599" t="str">
            <v>122-000215.X.X</v>
          </cell>
          <cell r="F27599">
            <v>886715987922</v>
          </cell>
        </row>
        <row r="27600">
          <cell r="E27600" t="str">
            <v>122-000926.X.X</v>
          </cell>
          <cell r="F27600">
            <v>886715987922</v>
          </cell>
        </row>
        <row r="27601">
          <cell r="E27601" t="str">
            <v>EF-45130606</v>
          </cell>
          <cell r="F27601">
            <v>396271986334</v>
          </cell>
        </row>
        <row r="27602">
          <cell r="E27602" t="str">
            <v>LUC-EZZ-690131-00</v>
          </cell>
          <cell r="F27602">
            <v>886719904597</v>
          </cell>
        </row>
        <row r="27603">
          <cell r="E27603" t="str">
            <v>PUR-12-0507-00</v>
          </cell>
          <cell r="F27603">
            <v>886753608590</v>
          </cell>
        </row>
        <row r="27604">
          <cell r="E27604" t="str">
            <v>HLOB-12-0475-00</v>
          </cell>
          <cell r="F27604">
            <v>886753608590</v>
          </cell>
        </row>
        <row r="27605">
          <cell r="E27605" t="str">
            <v>HLOB-12-0257-00</v>
          </cell>
          <cell r="F27605">
            <v>886753608590</v>
          </cell>
        </row>
        <row r="27606">
          <cell r="E27606" t="str">
            <v>HLOB-12-0056-00</v>
          </cell>
          <cell r="F27606">
            <v>886753608590</v>
          </cell>
        </row>
        <row r="27607">
          <cell r="E27607" t="str">
            <v>PUR-12-0284-00</v>
          </cell>
          <cell r="F27607">
            <v>886753608590</v>
          </cell>
        </row>
        <row r="27608">
          <cell r="E27608" t="str">
            <v>PUR-12-0525-00</v>
          </cell>
          <cell r="F27608">
            <v>886753608590</v>
          </cell>
        </row>
        <row r="27609">
          <cell r="E27609" t="str">
            <v>HLOB-12-0056-00</v>
          </cell>
          <cell r="F27609">
            <v>886753608590</v>
          </cell>
        </row>
        <row r="27610">
          <cell r="E27610" t="str">
            <v>PURET-12-0170-00</v>
          </cell>
          <cell r="F27610">
            <v>886753608590</v>
          </cell>
        </row>
        <row r="27611">
          <cell r="E27611" t="str">
            <v>PURET-12-0170-00</v>
          </cell>
          <cell r="F27611">
            <v>886753608590</v>
          </cell>
        </row>
        <row r="27612">
          <cell r="E27612" t="str">
            <v>PUR-12-0420-00</v>
          </cell>
          <cell r="F27612">
            <v>886753608590</v>
          </cell>
        </row>
        <row r="27613">
          <cell r="E27613" t="str">
            <v>EF-45036483.X.X</v>
          </cell>
          <cell r="F27613">
            <v>886753608590</v>
          </cell>
        </row>
        <row r="27614">
          <cell r="E27614" t="str">
            <v>EF-45043833.X.X</v>
          </cell>
          <cell r="F27614">
            <v>886753608590</v>
          </cell>
        </row>
        <row r="27615">
          <cell r="E27615" t="str">
            <v>PUR-12-0284-00</v>
          </cell>
          <cell r="F27615">
            <v>886753608590</v>
          </cell>
        </row>
        <row r="27616">
          <cell r="E27616" t="str">
            <v>EF-45050182.X.X</v>
          </cell>
          <cell r="F27616">
            <v>886753608590</v>
          </cell>
        </row>
        <row r="27617">
          <cell r="E27617" t="str">
            <v>HLOB-12-0257-00</v>
          </cell>
          <cell r="F27617">
            <v>886753608590</v>
          </cell>
        </row>
        <row r="27618">
          <cell r="E27618" t="str">
            <v>HLOB-12-0028-00</v>
          </cell>
          <cell r="F27618">
            <v>886753608590</v>
          </cell>
        </row>
        <row r="27619">
          <cell r="E27619" t="str">
            <v>LUC-E00-440172-00</v>
          </cell>
          <cell r="F27619">
            <v>886676081469</v>
          </cell>
        </row>
        <row r="27620">
          <cell r="E27620" t="str">
            <v>LUC-E00-420037-02</v>
          </cell>
          <cell r="F27620">
            <v>886676081469</v>
          </cell>
        </row>
        <row r="27621">
          <cell r="E27621" t="str">
            <v>LUC-EZZ-470811-00</v>
          </cell>
          <cell r="F27621">
            <v>490055655101</v>
          </cell>
        </row>
        <row r="27622">
          <cell r="E27622" t="str">
            <v>PURET-12-0052-00</v>
          </cell>
          <cell r="F27622">
            <v>886720562456</v>
          </cell>
        </row>
        <row r="27623">
          <cell r="E27623" t="str">
            <v>126-000386</v>
          </cell>
          <cell r="F27623">
            <v>886720562456</v>
          </cell>
        </row>
        <row r="27624">
          <cell r="E27624" t="str">
            <v>122-000735.X.X</v>
          </cell>
          <cell r="F27624">
            <v>886720562456</v>
          </cell>
        </row>
        <row r="27625">
          <cell r="E27625" t="str">
            <v>HLOB-13-0245-00</v>
          </cell>
          <cell r="F27625">
            <v>886720562456</v>
          </cell>
        </row>
        <row r="27626">
          <cell r="E27626" t="str">
            <v>HLOB-12-0088-00</v>
          </cell>
          <cell r="F27626">
            <v>886720562456</v>
          </cell>
        </row>
        <row r="27627">
          <cell r="E27627" t="str">
            <v>AIC-MP-00000779-000</v>
          </cell>
          <cell r="F27627">
            <v>886720562456</v>
          </cell>
        </row>
        <row r="27628">
          <cell r="E27628" t="str">
            <v>AIC-MP-00000776-000</v>
          </cell>
          <cell r="F27628">
            <v>886720562456</v>
          </cell>
        </row>
        <row r="27629">
          <cell r="E27629" t="str">
            <v>AIC-MP-00000277-000</v>
          </cell>
          <cell r="F27629">
            <v>886720562456</v>
          </cell>
        </row>
        <row r="27630">
          <cell r="E27630" t="str">
            <v>EF-45168872</v>
          </cell>
          <cell r="F27630">
            <v>479730200712</v>
          </cell>
        </row>
        <row r="27631">
          <cell r="E27631" t="str">
            <v>PUR-14-0087-00</v>
          </cell>
          <cell r="F27631">
            <v>479730201410</v>
          </cell>
        </row>
        <row r="27632">
          <cell r="E27632" t="str">
            <v>EF-45188480</v>
          </cell>
          <cell r="F27632">
            <v>479730201260</v>
          </cell>
        </row>
        <row r="27633">
          <cell r="E27633" t="str">
            <v>LUC-EZZ-690242-00</v>
          </cell>
          <cell r="F27633">
            <v>395832480493</v>
          </cell>
        </row>
        <row r="27634">
          <cell r="E27634" t="str">
            <v>LUC-E00-420056-02</v>
          </cell>
          <cell r="F27634">
            <v>886790998395</v>
          </cell>
        </row>
        <row r="27635">
          <cell r="E27635" t="str">
            <v>LUC-E00-470072-00</v>
          </cell>
          <cell r="F27635">
            <v>886790998395</v>
          </cell>
        </row>
        <row r="27636">
          <cell r="E27636" t="str">
            <v>LUC-EZZ-470297-00</v>
          </cell>
          <cell r="F27636">
            <v>886790998395</v>
          </cell>
        </row>
        <row r="27637">
          <cell r="E27637" t="str">
            <v>LUC-E00-510034-00</v>
          </cell>
          <cell r="F27637">
            <v>886790998395</v>
          </cell>
        </row>
        <row r="27638">
          <cell r="E27638" t="str">
            <v>LUC-E00-470085-00</v>
          </cell>
          <cell r="F27638">
            <v>886790998395</v>
          </cell>
        </row>
        <row r="27639">
          <cell r="E27639" t="str">
            <v>LUC-EZZ-510030-00</v>
          </cell>
          <cell r="F27639">
            <v>886790998395</v>
          </cell>
        </row>
        <row r="27640">
          <cell r="E27640" t="str">
            <v>HLOB-09-0424-00</v>
          </cell>
          <cell r="F27640">
            <v>886790998395</v>
          </cell>
        </row>
        <row r="27641">
          <cell r="E27641" t="str">
            <v>LUC-E00-420011-04</v>
          </cell>
          <cell r="F27641">
            <v>886790998395</v>
          </cell>
        </row>
        <row r="27642">
          <cell r="E27642" t="str">
            <v>LUC-E00-420011-04</v>
          </cell>
          <cell r="F27642">
            <v>886790998395</v>
          </cell>
        </row>
        <row r="27643">
          <cell r="E27643" t="str">
            <v>AIC-MP-00007071-000</v>
          </cell>
          <cell r="F27643">
            <v>886790998395</v>
          </cell>
        </row>
        <row r="27644">
          <cell r="E27644" t="str">
            <v>AIC-MP-00004955-000</v>
          </cell>
          <cell r="F27644">
            <v>886790998395</v>
          </cell>
        </row>
        <row r="27645">
          <cell r="E27645" t="str">
            <v>EF-45076928.X.X</v>
          </cell>
          <cell r="F27645">
            <v>886790998395</v>
          </cell>
        </row>
        <row r="27646">
          <cell r="E27646" t="str">
            <v>EF-45118972</v>
          </cell>
          <cell r="F27646">
            <v>886790998395</v>
          </cell>
        </row>
        <row r="27647">
          <cell r="E27647" t="str">
            <v>EF-45095289</v>
          </cell>
          <cell r="F27647">
            <v>479730202005</v>
          </cell>
        </row>
        <row r="27648">
          <cell r="E27648" t="str">
            <v>LUC-E00-400010-044</v>
          </cell>
          <cell r="F27648">
            <v>479730202601</v>
          </cell>
        </row>
        <row r="27649">
          <cell r="E27649" t="str">
            <v>LUC-EZZ-400206-00</v>
          </cell>
          <cell r="F27649">
            <v>479730202542</v>
          </cell>
        </row>
        <row r="27650">
          <cell r="E27650" t="str">
            <v>LUC-EZZ-400226-00</v>
          </cell>
          <cell r="F27650">
            <v>479730202690</v>
          </cell>
        </row>
        <row r="27651">
          <cell r="E27651" t="str">
            <v>LUC-E00-420071-00</v>
          </cell>
          <cell r="F27651">
            <v>479730202461</v>
          </cell>
        </row>
        <row r="27652">
          <cell r="E27652" t="str">
            <v>LUC-E00-400028-002</v>
          </cell>
          <cell r="F27652">
            <v>479730205129</v>
          </cell>
        </row>
        <row r="27653">
          <cell r="E27653" t="str">
            <v>PUR-09-0417-00</v>
          </cell>
          <cell r="F27653">
            <v>479730207224</v>
          </cell>
        </row>
        <row r="27654">
          <cell r="E27654" t="str">
            <v>EF-45130435</v>
          </cell>
          <cell r="F27654">
            <v>479730205519</v>
          </cell>
        </row>
        <row r="27655">
          <cell r="E27655" t="str">
            <v>LUC-EZZ-400568-00</v>
          </cell>
          <cell r="F27655">
            <v>479730202704</v>
          </cell>
        </row>
        <row r="27656">
          <cell r="E27656" t="str">
            <v>LUC-EZZ-400226-00</v>
          </cell>
          <cell r="F27656">
            <v>479730202726</v>
          </cell>
        </row>
        <row r="27657">
          <cell r="E27657" t="str">
            <v>HLOB-21-0036-00</v>
          </cell>
          <cell r="F27657">
            <v>479730207658</v>
          </cell>
        </row>
        <row r="27658">
          <cell r="E27658" t="str">
            <v>LUC-E00-400010-044</v>
          </cell>
          <cell r="F27658">
            <v>479730207989</v>
          </cell>
        </row>
        <row r="27659">
          <cell r="E27659" t="str">
            <v>EF-45188480</v>
          </cell>
          <cell r="F27659">
            <v>479730211043</v>
          </cell>
        </row>
        <row r="27660">
          <cell r="E27660" t="str">
            <v>LUC-EZZ-401059-00</v>
          </cell>
          <cell r="F27660">
            <v>479730208415</v>
          </cell>
        </row>
        <row r="27661">
          <cell r="E27661" t="str">
            <v>EF-45188480</v>
          </cell>
          <cell r="F27661">
            <v>479730211032</v>
          </cell>
        </row>
        <row r="27662">
          <cell r="E27662" t="str">
            <v>PUR-21-0036-00</v>
          </cell>
          <cell r="F27662">
            <v>479730207680</v>
          </cell>
        </row>
        <row r="27663">
          <cell r="E27663" t="str">
            <v>LUC-EZZ-400537-00</v>
          </cell>
          <cell r="F27663">
            <v>479730211488</v>
          </cell>
        </row>
        <row r="27664">
          <cell r="E27664" t="str">
            <v>HLOB-15-0220-00</v>
          </cell>
          <cell r="F27664">
            <v>481663280800</v>
          </cell>
        </row>
        <row r="27665">
          <cell r="E27665" t="str">
            <v>PUR-15-0220-00</v>
          </cell>
          <cell r="F27665">
            <v>481663280800</v>
          </cell>
        </row>
        <row r="27666">
          <cell r="E27666" t="str">
            <v>PUR-27-0017-00</v>
          </cell>
          <cell r="F27666">
            <v>488209945973</v>
          </cell>
        </row>
        <row r="27667">
          <cell r="E27667" t="str">
            <v>LUC-E00-510043-00</v>
          </cell>
          <cell r="F27667">
            <v>643036786071</v>
          </cell>
        </row>
        <row r="27668">
          <cell r="E27668" t="str">
            <v>HLOB-13-0258-00</v>
          </cell>
          <cell r="F27668">
            <v>488209946627</v>
          </cell>
        </row>
        <row r="27669">
          <cell r="E27669" t="str">
            <v>EF-45130022</v>
          </cell>
          <cell r="F27669">
            <v>886693323489</v>
          </cell>
        </row>
        <row r="27670">
          <cell r="E27670" t="str">
            <v>LUC-E00-460007-00</v>
          </cell>
          <cell r="F27670">
            <v>707296255383</v>
          </cell>
        </row>
        <row r="27671">
          <cell r="E27671" t="str">
            <v>LUC-E00-460007-00</v>
          </cell>
          <cell r="F27671">
            <v>707296255968</v>
          </cell>
        </row>
        <row r="27672">
          <cell r="E27672" t="str">
            <v>LUC-E00-460007-00</v>
          </cell>
          <cell r="F27672">
            <v>707296256048</v>
          </cell>
        </row>
        <row r="27673">
          <cell r="E27673" t="str">
            <v>LUC-E00-450029-00</v>
          </cell>
          <cell r="F27673">
            <v>886789272565</v>
          </cell>
        </row>
        <row r="27674">
          <cell r="E27674" t="str">
            <v>LUC-E00-450029-00</v>
          </cell>
          <cell r="F27674">
            <v>886789272565</v>
          </cell>
        </row>
        <row r="27675">
          <cell r="E27675" t="str">
            <v>LUC-E00-450029-00</v>
          </cell>
          <cell r="F27675">
            <v>886789272565</v>
          </cell>
        </row>
        <row r="27676">
          <cell r="E27676" t="str">
            <v>LUC-E00-450029-00</v>
          </cell>
          <cell r="F27676">
            <v>886789272565</v>
          </cell>
        </row>
        <row r="27677">
          <cell r="E27677" t="str">
            <v>LUC-E00-460005-00</v>
          </cell>
          <cell r="F27677">
            <v>886789832053</v>
          </cell>
        </row>
        <row r="27678">
          <cell r="E27678" t="str">
            <v>LUC-E00-450029-00</v>
          </cell>
          <cell r="F27678">
            <v>886789832053</v>
          </cell>
        </row>
        <row r="27679">
          <cell r="E27679" t="str">
            <v>HLOB-09-0343-00</v>
          </cell>
          <cell r="F27679">
            <v>489800918243</v>
          </cell>
        </row>
        <row r="27680">
          <cell r="E27680" t="str">
            <v>HLOB-09-0343-00</v>
          </cell>
          <cell r="F27680">
            <v>489800918243</v>
          </cell>
        </row>
        <row r="27681">
          <cell r="E27681" t="str">
            <v>AIC-120-012790</v>
          </cell>
          <cell r="F27681">
            <v>886751001953</v>
          </cell>
        </row>
        <row r="27682">
          <cell r="E27682" t="str">
            <v>AIC-133-001104</v>
          </cell>
          <cell r="F27682">
            <v>886751001953</v>
          </cell>
        </row>
        <row r="27683">
          <cell r="E27683" t="str">
            <v>EF-45111698</v>
          </cell>
          <cell r="F27683">
            <v>396272529892</v>
          </cell>
        </row>
        <row r="27684">
          <cell r="E27684" t="str">
            <v>LUC-E00-470030-00</v>
          </cell>
          <cell r="F27684">
            <v>396075234544</v>
          </cell>
        </row>
        <row r="27685">
          <cell r="E27685" t="str">
            <v>HLOB-09-0477-00</v>
          </cell>
          <cell r="F27685">
            <v>396075234544</v>
          </cell>
        </row>
        <row r="27686">
          <cell r="E27686" t="str">
            <v>LUC-EZZ-470191-00</v>
          </cell>
          <cell r="F27686">
            <v>396278365757</v>
          </cell>
        </row>
        <row r="27687">
          <cell r="E27687" t="str">
            <v>LUC-E00-470086-00</v>
          </cell>
          <cell r="F27687">
            <v>396212567085</v>
          </cell>
        </row>
        <row r="27688">
          <cell r="E27688" t="str">
            <v>LUC-EZZ-471621-00</v>
          </cell>
          <cell r="F27688">
            <v>396212567085</v>
          </cell>
        </row>
        <row r="27689">
          <cell r="E27689" t="str">
            <v>LUC-E00-470085-00</v>
          </cell>
          <cell r="F27689">
            <v>396212567085</v>
          </cell>
        </row>
        <row r="27690">
          <cell r="E27690" t="str">
            <v>LUC-P11-J67400-02</v>
          </cell>
          <cell r="F27690">
            <v>472187339687</v>
          </cell>
        </row>
        <row r="27691">
          <cell r="E27691" t="str">
            <v>LUC-P11-J67400-02</v>
          </cell>
          <cell r="F27691">
            <v>472187339687</v>
          </cell>
        </row>
        <row r="27692">
          <cell r="E27692" t="str">
            <v>LUC-EZZ-470811-00</v>
          </cell>
          <cell r="F27692">
            <v>396272801258</v>
          </cell>
        </row>
        <row r="27693">
          <cell r="E27693" t="str">
            <v>HLOB-09-0256-00</v>
          </cell>
          <cell r="F27693">
            <v>396272801258</v>
          </cell>
        </row>
        <row r="27694">
          <cell r="E27694" t="str">
            <v>LUC-E00-470029-00</v>
          </cell>
          <cell r="F27694">
            <v>396272801258</v>
          </cell>
        </row>
        <row r="27695">
          <cell r="E27695" t="str">
            <v>LUC-E00-470116-00</v>
          </cell>
          <cell r="F27695">
            <v>396272801258</v>
          </cell>
        </row>
        <row r="27696">
          <cell r="E27696" t="str">
            <v>LUC-E00-470028-00</v>
          </cell>
          <cell r="F27696">
            <v>396272801258</v>
          </cell>
        </row>
        <row r="27697">
          <cell r="E27697" t="str">
            <v>LUC-E00-470028-00</v>
          </cell>
          <cell r="F27697">
            <v>396272801258</v>
          </cell>
        </row>
        <row r="27698">
          <cell r="E27698" t="str">
            <v>LUC-EZZ-471621-00</v>
          </cell>
          <cell r="F27698">
            <v>396272801258</v>
          </cell>
        </row>
        <row r="27699">
          <cell r="E27699" t="str">
            <v>LUC-EZZ-471621-00</v>
          </cell>
          <cell r="F27699">
            <v>396272801258</v>
          </cell>
        </row>
        <row r="27700">
          <cell r="E27700" t="str">
            <v>PUR-17-0150-01</v>
          </cell>
          <cell r="F27700" t="str">
            <v>PSHPH25B0111</v>
          </cell>
        </row>
        <row r="27701">
          <cell r="E27701" t="str">
            <v>PUR-17-0152-01</v>
          </cell>
          <cell r="F27701" t="str">
            <v>PSHPH25B0111</v>
          </cell>
        </row>
        <row r="27702">
          <cell r="E27702" t="str">
            <v>PUR-17-0153-01</v>
          </cell>
          <cell r="F27702" t="str">
            <v>PSHPH25B0111</v>
          </cell>
        </row>
        <row r="27703">
          <cell r="E27703" t="str">
            <v>PUR-17-0174-01</v>
          </cell>
          <cell r="F27703" t="str">
            <v>PSHPH25B0111</v>
          </cell>
        </row>
        <row r="27704">
          <cell r="E27704" t="str">
            <v>HLOB-11-0104-06</v>
          </cell>
          <cell r="F27704" t="str">
            <v>PSHPH25B0104</v>
          </cell>
        </row>
        <row r="27705">
          <cell r="E27705" t="str">
            <v>PUR-11-0104-05</v>
          </cell>
          <cell r="F27705" t="str">
            <v>PSHPH25B0104</v>
          </cell>
        </row>
        <row r="27706">
          <cell r="E27706" t="str">
            <v>PUR-11-0104-05</v>
          </cell>
          <cell r="F27706" t="str">
            <v>PSHPH25B0104</v>
          </cell>
        </row>
        <row r="27707">
          <cell r="E27707" t="str">
            <v>HLOB-11-0104-06</v>
          </cell>
          <cell r="F27707" t="str">
            <v>PSHPH25B0104</v>
          </cell>
        </row>
        <row r="27708">
          <cell r="E27708" t="str">
            <v>HLOB-11-0104-06</v>
          </cell>
          <cell r="F27708" t="str">
            <v>PSHPH25B0104</v>
          </cell>
        </row>
        <row r="27709">
          <cell r="E27709" t="str">
            <v>HLOB-11-0104-06</v>
          </cell>
          <cell r="F27709" t="str">
            <v>PSHPH25B0104</v>
          </cell>
        </row>
        <row r="27710">
          <cell r="E27710" t="str">
            <v>HLOB-11-0104-06</v>
          </cell>
          <cell r="F27710" t="str">
            <v>PSHPH25B0104</v>
          </cell>
        </row>
        <row r="27711">
          <cell r="E27711" t="str">
            <v>HLOB-11-0104-06</v>
          </cell>
          <cell r="F27711" t="str">
            <v>PSHPH25B0104</v>
          </cell>
        </row>
        <row r="27712">
          <cell r="E27712" t="str">
            <v>HLOB-11-0104-06</v>
          </cell>
          <cell r="F27712" t="str">
            <v>PSHPH25B0104</v>
          </cell>
        </row>
        <row r="27713">
          <cell r="E27713" t="str">
            <v>HLOB-11-0104-06</v>
          </cell>
          <cell r="F27713" t="str">
            <v>PSHPH25B0104</v>
          </cell>
        </row>
        <row r="27714">
          <cell r="E27714" t="str">
            <v>HLOB-11-0104-06</v>
          </cell>
          <cell r="F27714" t="str">
            <v>PSHPH25B0104</v>
          </cell>
        </row>
        <row r="27715">
          <cell r="E27715" t="str">
            <v>PUR-11-0104-05</v>
          </cell>
          <cell r="F27715" t="str">
            <v>PSHPH25B0104</v>
          </cell>
        </row>
        <row r="27716">
          <cell r="E27716" t="str">
            <v>PUR-16-0046-01</v>
          </cell>
          <cell r="F27716" t="str">
            <v>MNN/HPH/01022</v>
          </cell>
        </row>
        <row r="27717">
          <cell r="E27717" t="str">
            <v>PUR-16-0046-01</v>
          </cell>
          <cell r="F27717" t="str">
            <v>MNN/HPH/01022</v>
          </cell>
        </row>
        <row r="27718">
          <cell r="E27718" t="str">
            <v>PUR-16-0049-01</v>
          </cell>
          <cell r="F27718" t="str">
            <v>MNN/HPH/01022</v>
          </cell>
        </row>
        <row r="27719">
          <cell r="E27719" t="str">
            <v>PUR-16-0049-01</v>
          </cell>
          <cell r="F27719" t="str">
            <v>MNN/HPH/01022</v>
          </cell>
        </row>
        <row r="27720">
          <cell r="E27720" t="str">
            <v>PUR-16-0051-00</v>
          </cell>
          <cell r="F27720" t="str">
            <v>MNN/HPH/01022</v>
          </cell>
        </row>
        <row r="27721">
          <cell r="E27721" t="str">
            <v>LUC-P11-J80200-00</v>
          </cell>
          <cell r="F27721" t="str">
            <v>LSHHPH25023391</v>
          </cell>
        </row>
        <row r="27722">
          <cell r="E27722" t="str">
            <v>LUC-P11-J80300-00</v>
          </cell>
          <cell r="F27722" t="str">
            <v>LSHHPH25023391</v>
          </cell>
        </row>
        <row r="27723">
          <cell r="E27723" t="str">
            <v>LUC-P11-J80300-00</v>
          </cell>
          <cell r="F27723" t="str">
            <v>LSHHPH25023391</v>
          </cell>
        </row>
        <row r="27724">
          <cell r="E27724" t="str">
            <v>LUC-P11-J81300-01</v>
          </cell>
          <cell r="F27724" t="str">
            <v>LSHHPH25023391</v>
          </cell>
        </row>
        <row r="27725">
          <cell r="E27725" t="str">
            <v>LUC-P11-J81500-01</v>
          </cell>
          <cell r="F27725" t="str">
            <v>LSHHPH25023391</v>
          </cell>
        </row>
        <row r="27726">
          <cell r="E27726" t="str">
            <v>LUC-E00-690106-00</v>
          </cell>
          <cell r="F27726" t="str">
            <v>HWHPH2503857</v>
          </cell>
        </row>
        <row r="27727">
          <cell r="E27727" t="str">
            <v>LUC-E00-690106-00</v>
          </cell>
          <cell r="F27727" t="str">
            <v>HWHPH2503857</v>
          </cell>
        </row>
        <row r="27728">
          <cell r="E27728" t="str">
            <v>LUC-E00-690106-00</v>
          </cell>
          <cell r="F27728" t="str">
            <v>HWHPH2503857</v>
          </cell>
        </row>
        <row r="27729">
          <cell r="E27729" t="str">
            <v>LUC-E00-690106-01</v>
          </cell>
          <cell r="F27729" t="str">
            <v>HWHPH2503857</v>
          </cell>
        </row>
        <row r="27730">
          <cell r="E27730" t="str">
            <v>LUC-E00-690106-01</v>
          </cell>
          <cell r="F27730" t="str">
            <v>HWHPH2503857</v>
          </cell>
        </row>
        <row r="27731">
          <cell r="E27731" t="str">
            <v>LUC-E00-690033-03</v>
          </cell>
          <cell r="F27731" t="str">
            <v>HWHPH2503857</v>
          </cell>
        </row>
        <row r="27732">
          <cell r="E27732" t="str">
            <v>LUC-E00-690033-03</v>
          </cell>
          <cell r="F27732" t="str">
            <v>HWHPH2503857</v>
          </cell>
        </row>
        <row r="27733">
          <cell r="E27733" t="str">
            <v>LUC-E00-690033-00</v>
          </cell>
          <cell r="F27733" t="str">
            <v>HWHPH2503857</v>
          </cell>
        </row>
        <row r="27734">
          <cell r="E27734" t="str">
            <v>LUC-E00-690033-01</v>
          </cell>
          <cell r="F27734" t="str">
            <v>HWHPH2503857</v>
          </cell>
        </row>
        <row r="27735">
          <cell r="E27735" t="str">
            <v>LUC-E00-690033-02</v>
          </cell>
          <cell r="F27735" t="str">
            <v>HWHPH2503857</v>
          </cell>
        </row>
        <row r="27736">
          <cell r="E27736" t="str">
            <v>LUC-E00-690033-02</v>
          </cell>
          <cell r="F27736" t="str">
            <v>HWHPH2503857</v>
          </cell>
        </row>
        <row r="27737">
          <cell r="E27737" t="str">
            <v>LUC-E00-690033-02</v>
          </cell>
          <cell r="F27737" t="str">
            <v>HWHPH2503857</v>
          </cell>
        </row>
        <row r="27738">
          <cell r="E27738" t="str">
            <v>LUC-E00-690033-03</v>
          </cell>
          <cell r="F27738" t="str">
            <v>HWHPH2503857</v>
          </cell>
        </row>
        <row r="27739">
          <cell r="E27739" t="str">
            <v>LUC-E00-420068-00</v>
          </cell>
          <cell r="F27739">
            <v>4711898676</v>
          </cell>
        </row>
        <row r="27740">
          <cell r="E27740" t="str">
            <v>LUC-E00-420068-00</v>
          </cell>
          <cell r="F27740">
            <v>4711898676</v>
          </cell>
        </row>
        <row r="27741">
          <cell r="E27741" t="str">
            <v>LUC-E00-420068-00</v>
          </cell>
          <cell r="F27741">
            <v>4711898676</v>
          </cell>
        </row>
        <row r="27742">
          <cell r="E27742" t="str">
            <v>LUC-E00-420068-00</v>
          </cell>
          <cell r="F27742">
            <v>4711898676</v>
          </cell>
        </row>
        <row r="27743">
          <cell r="E27743" t="str">
            <v>LUC-E00-420068-00</v>
          </cell>
          <cell r="F27743">
            <v>4711898676</v>
          </cell>
        </row>
        <row r="27744">
          <cell r="E27744" t="str">
            <v>LUC-E00-420068-00</v>
          </cell>
          <cell r="F27744">
            <v>4711898676</v>
          </cell>
        </row>
        <row r="27745">
          <cell r="E27745" t="str">
            <v>LUC-E00-420068-00</v>
          </cell>
          <cell r="F27745">
            <v>4711898676</v>
          </cell>
        </row>
        <row r="27746">
          <cell r="E27746" t="str">
            <v>LUC-E00-420068-00</v>
          </cell>
          <cell r="F27746">
            <v>4711898676</v>
          </cell>
        </row>
        <row r="27747">
          <cell r="E27747" t="str">
            <v>LUC-E00-420068-00</v>
          </cell>
          <cell r="F27747">
            <v>4711898676</v>
          </cell>
        </row>
        <row r="27748">
          <cell r="E27748" t="str">
            <v>LUC-E00-420068-00</v>
          </cell>
          <cell r="F27748">
            <v>4711898676</v>
          </cell>
        </row>
        <row r="27749">
          <cell r="E27749" t="str">
            <v>EF-45092354.X.X</v>
          </cell>
          <cell r="F27749">
            <v>4711898676</v>
          </cell>
        </row>
        <row r="27750">
          <cell r="E27750" t="str">
            <v>LUC-E00-450154-00</v>
          </cell>
          <cell r="F27750">
            <v>4711898676</v>
          </cell>
        </row>
        <row r="27751">
          <cell r="E27751" t="str">
            <v>LUC-E00-450154-00</v>
          </cell>
          <cell r="F27751">
            <v>4711898676</v>
          </cell>
        </row>
        <row r="27752">
          <cell r="E27752" t="str">
            <v>LUC-EZZ-420331-00</v>
          </cell>
          <cell r="F27752">
            <v>4711898676</v>
          </cell>
        </row>
        <row r="27753">
          <cell r="E27753" t="str">
            <v>LUC-EZZ-420331-00</v>
          </cell>
          <cell r="F27753">
            <v>4711898676</v>
          </cell>
        </row>
        <row r="27754">
          <cell r="E27754" t="str">
            <v>LUC-EZZ-420005-00</v>
          </cell>
          <cell r="F27754">
            <v>4711898676</v>
          </cell>
        </row>
        <row r="27755">
          <cell r="E27755" t="str">
            <v>LUC-EZZ-420200-00</v>
          </cell>
          <cell r="F27755">
            <v>4711898676</v>
          </cell>
        </row>
        <row r="27756">
          <cell r="E27756" t="str">
            <v>LUC-EZZ-420342-00</v>
          </cell>
          <cell r="F27756">
            <v>4711898676</v>
          </cell>
        </row>
        <row r="27757">
          <cell r="E27757" t="str">
            <v>LUC-EZZ-440077-00</v>
          </cell>
          <cell r="F27757">
            <v>4711898676</v>
          </cell>
        </row>
        <row r="27758">
          <cell r="E27758" t="str">
            <v>LUC-EZZ-440077-00</v>
          </cell>
          <cell r="F27758">
            <v>4711898676</v>
          </cell>
        </row>
        <row r="27759">
          <cell r="E27759" t="str">
            <v>PUR-27-0024-00</v>
          </cell>
          <cell r="F27759">
            <v>4711898676</v>
          </cell>
        </row>
        <row r="27760">
          <cell r="E27760" t="str">
            <v>LUC-E00-420055-06</v>
          </cell>
          <cell r="F27760">
            <v>4711898676</v>
          </cell>
        </row>
        <row r="27761">
          <cell r="E27761" t="str">
            <v>LUC-EZZ-420482-00</v>
          </cell>
          <cell r="F27761">
            <v>4711898676</v>
          </cell>
        </row>
        <row r="27762">
          <cell r="E27762" t="str">
            <v>LUC-E00-420055-08</v>
          </cell>
          <cell r="F27762">
            <v>4711898676</v>
          </cell>
        </row>
        <row r="27763">
          <cell r="E27763" t="str">
            <v>LUC-E00-420068-00</v>
          </cell>
          <cell r="F27763">
            <v>4711898676</v>
          </cell>
        </row>
        <row r="27764">
          <cell r="E27764" t="str">
            <v>LUC-E00-420068-00</v>
          </cell>
          <cell r="F27764">
            <v>4711898676</v>
          </cell>
        </row>
        <row r="27765">
          <cell r="E27765" t="str">
            <v>LUC-E00-420068-00</v>
          </cell>
          <cell r="F27765">
            <v>4711898676</v>
          </cell>
        </row>
        <row r="27766">
          <cell r="E27766" t="str">
            <v>LUC-E00-420068-00</v>
          </cell>
          <cell r="F27766">
            <v>4711898676</v>
          </cell>
        </row>
        <row r="27767">
          <cell r="E27767" t="str">
            <v>HLOB-13-0131-00</v>
          </cell>
          <cell r="F27767">
            <v>4711898676</v>
          </cell>
        </row>
        <row r="27768">
          <cell r="E27768" t="str">
            <v>LUC-E00-420052-00</v>
          </cell>
          <cell r="F27768">
            <v>4711898676</v>
          </cell>
        </row>
        <row r="27769">
          <cell r="E27769" t="str">
            <v>LUC-E00-440022-00</v>
          </cell>
          <cell r="F27769">
            <v>4711898676</v>
          </cell>
        </row>
        <row r="27770">
          <cell r="E27770" t="str">
            <v>LUC-E00-420052-00</v>
          </cell>
          <cell r="F27770">
            <v>4711898676</v>
          </cell>
        </row>
        <row r="27771">
          <cell r="E27771" t="str">
            <v>PUR-27-0024-00</v>
          </cell>
          <cell r="F27771">
            <v>4711898676</v>
          </cell>
        </row>
        <row r="27772">
          <cell r="E27772" t="str">
            <v>LUC-E00-420055-08</v>
          </cell>
          <cell r="F27772">
            <v>4711898676</v>
          </cell>
        </row>
        <row r="27773">
          <cell r="E27773" t="str">
            <v>LUC-EZZ-440189-00</v>
          </cell>
          <cell r="F27773">
            <v>4711898676</v>
          </cell>
        </row>
        <row r="27774">
          <cell r="E27774" t="str">
            <v>LUC-EZZ-420396-00</v>
          </cell>
          <cell r="F27774">
            <v>4711898676</v>
          </cell>
        </row>
        <row r="27775">
          <cell r="E27775" t="str">
            <v>LUC-E00-400067-405</v>
          </cell>
          <cell r="F27775">
            <v>4711898676</v>
          </cell>
        </row>
        <row r="27776">
          <cell r="E27776" t="str">
            <v>LUC-E00-400043-00</v>
          </cell>
          <cell r="F27776">
            <v>4711898676</v>
          </cell>
        </row>
        <row r="27777">
          <cell r="E27777" t="str">
            <v>HLOB-13-0131-00</v>
          </cell>
          <cell r="F27777">
            <v>4711898676</v>
          </cell>
        </row>
        <row r="27778">
          <cell r="E27778" t="str">
            <v>HLOB-27-0024-00</v>
          </cell>
          <cell r="F27778">
            <v>4711898676</v>
          </cell>
        </row>
        <row r="27779">
          <cell r="E27779" t="str">
            <v>EF-45134776</v>
          </cell>
          <cell r="F27779">
            <v>4711898676</v>
          </cell>
        </row>
        <row r="27780">
          <cell r="E27780" t="str">
            <v>PUR-13-0131-00</v>
          </cell>
          <cell r="F27780">
            <v>4711898676</v>
          </cell>
        </row>
        <row r="27781">
          <cell r="E27781" t="str">
            <v>LUC-E00-450154-00</v>
          </cell>
          <cell r="F27781">
            <v>4711898676</v>
          </cell>
        </row>
        <row r="27782">
          <cell r="E27782" t="str">
            <v>LUC-EZZ-420396-00</v>
          </cell>
          <cell r="F27782">
            <v>4711898676</v>
          </cell>
        </row>
        <row r="27783">
          <cell r="E27783" t="str">
            <v>LUC-EZZ-440016-00</v>
          </cell>
          <cell r="F27783">
            <v>4711898676</v>
          </cell>
        </row>
        <row r="27784">
          <cell r="E27784" t="str">
            <v>LUC-E00-400011-003</v>
          </cell>
          <cell r="F27784">
            <v>4711898676</v>
          </cell>
        </row>
        <row r="27785">
          <cell r="E27785" t="str">
            <v>LUC-E00-400011-003</v>
          </cell>
          <cell r="F27785">
            <v>4711898676</v>
          </cell>
        </row>
        <row r="27786">
          <cell r="E27786" t="str">
            <v>LUC-EZZ-420331-00</v>
          </cell>
          <cell r="F27786">
            <v>4711898676</v>
          </cell>
        </row>
        <row r="27787">
          <cell r="E27787" t="str">
            <v>LUC-EZZ-420331-00</v>
          </cell>
          <cell r="F27787">
            <v>4711898676</v>
          </cell>
        </row>
        <row r="27788">
          <cell r="E27788" t="str">
            <v>LUC-EZZ-420331-00</v>
          </cell>
          <cell r="F27788">
            <v>4711898676</v>
          </cell>
        </row>
        <row r="27789">
          <cell r="E27789" t="str">
            <v>HLOB-13-0131-00</v>
          </cell>
          <cell r="F27789">
            <v>4711898676</v>
          </cell>
        </row>
        <row r="27790">
          <cell r="E27790" t="str">
            <v>HLOB-27-0024-00</v>
          </cell>
          <cell r="F27790">
            <v>4711898676</v>
          </cell>
        </row>
        <row r="27791">
          <cell r="E27791" t="str">
            <v>PUR-14-0085-00</v>
          </cell>
          <cell r="F27791">
            <v>4711898676</v>
          </cell>
        </row>
        <row r="27792">
          <cell r="E27792" t="str">
            <v>PUR-14-0085-00</v>
          </cell>
          <cell r="F27792">
            <v>4711898676</v>
          </cell>
        </row>
        <row r="27793">
          <cell r="E27793" t="str">
            <v>LUC-E00-400011-003</v>
          </cell>
          <cell r="F27793">
            <v>4711898676</v>
          </cell>
        </row>
        <row r="27794">
          <cell r="E27794" t="str">
            <v>LUC-E00-400011-003</v>
          </cell>
          <cell r="F27794">
            <v>4711898676</v>
          </cell>
        </row>
        <row r="27795">
          <cell r="E27795" t="str">
            <v>LUC-EZZ-420354-00</v>
          </cell>
          <cell r="F27795">
            <v>4711898676</v>
          </cell>
        </row>
        <row r="27796">
          <cell r="E27796" t="str">
            <v>AIC-122-004389</v>
          </cell>
          <cell r="F27796">
            <v>4711898676</v>
          </cell>
        </row>
        <row r="27797">
          <cell r="E27797" t="str">
            <v>EF-45061084</v>
          </cell>
          <cell r="F27797">
            <v>4711898676</v>
          </cell>
        </row>
        <row r="27798">
          <cell r="E27798" t="str">
            <v>LUC-E00-400011-003</v>
          </cell>
          <cell r="F27798">
            <v>4711898676</v>
          </cell>
        </row>
        <row r="27799">
          <cell r="E27799" t="str">
            <v>LUC-EZZ-441672-00</v>
          </cell>
          <cell r="F27799">
            <v>4711898676</v>
          </cell>
        </row>
        <row r="27800">
          <cell r="E27800" t="str">
            <v>LUC-EZZ-420256-00</v>
          </cell>
          <cell r="F27800">
            <v>4711898676</v>
          </cell>
        </row>
        <row r="27801">
          <cell r="E27801" t="str">
            <v>LUC-E00-440022-00</v>
          </cell>
          <cell r="F27801">
            <v>4711898676</v>
          </cell>
        </row>
        <row r="27802">
          <cell r="E27802" t="str">
            <v>LUC-E00-420172-00</v>
          </cell>
          <cell r="F27802">
            <v>4711898676</v>
          </cell>
        </row>
        <row r="27803">
          <cell r="E27803" t="str">
            <v>LUC-E00-420172-00</v>
          </cell>
          <cell r="F27803">
            <v>4711898676</v>
          </cell>
        </row>
        <row r="27804">
          <cell r="E27804" t="str">
            <v>LUC-E00-420172-00</v>
          </cell>
          <cell r="F27804">
            <v>4711898676</v>
          </cell>
        </row>
        <row r="27805">
          <cell r="E27805" t="str">
            <v>LUC-E00-420172-00</v>
          </cell>
          <cell r="F27805">
            <v>4711898676</v>
          </cell>
        </row>
        <row r="27806">
          <cell r="E27806" t="str">
            <v>LUC-EZZ-441672-00</v>
          </cell>
          <cell r="F27806">
            <v>4711898676</v>
          </cell>
        </row>
        <row r="27807">
          <cell r="E27807" t="str">
            <v>LUC-E00-480007-00</v>
          </cell>
          <cell r="F27807">
            <v>4711898676</v>
          </cell>
        </row>
        <row r="27808">
          <cell r="E27808" t="str">
            <v>LUC-EZZ-420200-00</v>
          </cell>
          <cell r="F27808">
            <v>4711898676</v>
          </cell>
        </row>
        <row r="27809">
          <cell r="E27809" t="str">
            <v>LUC-EZZ-440077-00</v>
          </cell>
          <cell r="F27809">
            <v>4711898676</v>
          </cell>
        </row>
        <row r="27810">
          <cell r="E27810" t="str">
            <v>HLOB-09-0408-00</v>
          </cell>
          <cell r="F27810">
            <v>4711898676</v>
          </cell>
        </row>
        <row r="27811">
          <cell r="E27811" t="str">
            <v>LUC-E00-420036-00</v>
          </cell>
          <cell r="F27811">
            <v>4711898676</v>
          </cell>
        </row>
        <row r="27812">
          <cell r="E27812" t="str">
            <v>PUR-25-0009-00</v>
          </cell>
          <cell r="F27812">
            <v>4711898676</v>
          </cell>
        </row>
        <row r="27813">
          <cell r="E27813" t="str">
            <v>LUC-EZZ-420482-00</v>
          </cell>
          <cell r="F27813">
            <v>4711898676</v>
          </cell>
        </row>
        <row r="27814">
          <cell r="E27814" t="str">
            <v>LUC-EZZ-420482-00</v>
          </cell>
          <cell r="F27814">
            <v>4711898676</v>
          </cell>
        </row>
        <row r="27815">
          <cell r="E27815" t="str">
            <v>PUR-09-0408-00</v>
          </cell>
          <cell r="F27815">
            <v>4711898676</v>
          </cell>
        </row>
        <row r="27816">
          <cell r="E27816" t="str">
            <v>LUC-EZZ-420120-00</v>
          </cell>
          <cell r="F27816">
            <v>4711898676</v>
          </cell>
        </row>
        <row r="27817">
          <cell r="E27817" t="str">
            <v>LUC-EZZ-420256-00</v>
          </cell>
          <cell r="F27817">
            <v>4711898676</v>
          </cell>
        </row>
        <row r="27818">
          <cell r="E27818" t="str">
            <v>LUC-EZZ-420256-00</v>
          </cell>
          <cell r="F27818">
            <v>4711898676</v>
          </cell>
        </row>
        <row r="27819">
          <cell r="E27819" t="str">
            <v>LUC-EZZ-420256-00</v>
          </cell>
          <cell r="F27819">
            <v>4711898676</v>
          </cell>
        </row>
        <row r="27820">
          <cell r="E27820" t="str">
            <v>HLOB-25-0009-00</v>
          </cell>
          <cell r="F27820">
            <v>4711898676</v>
          </cell>
        </row>
        <row r="27821">
          <cell r="E27821" t="str">
            <v>PUR-09-0408-00</v>
          </cell>
          <cell r="F27821">
            <v>4711898676</v>
          </cell>
        </row>
        <row r="27822">
          <cell r="E27822" t="str">
            <v>HLOB-25-0009-00</v>
          </cell>
          <cell r="F27822">
            <v>4711898676</v>
          </cell>
        </row>
        <row r="27823">
          <cell r="E27823" t="str">
            <v>LUC-EZZ-420120-00</v>
          </cell>
          <cell r="F27823">
            <v>4711898676</v>
          </cell>
        </row>
        <row r="27824">
          <cell r="E27824" t="str">
            <v>LUC-E00-420036-00</v>
          </cell>
          <cell r="F27824">
            <v>4711898676</v>
          </cell>
        </row>
        <row r="27825">
          <cell r="E27825" t="str">
            <v>LUC-E00-420036-00</v>
          </cell>
          <cell r="F27825">
            <v>4711898676</v>
          </cell>
        </row>
        <row r="27826">
          <cell r="E27826" t="str">
            <v>HLOB-25-0009-00</v>
          </cell>
          <cell r="F27826">
            <v>4711898676</v>
          </cell>
        </row>
        <row r="27827">
          <cell r="E27827" t="str">
            <v>LUC-E00-400067-263</v>
          </cell>
          <cell r="F27827">
            <v>4711898676</v>
          </cell>
        </row>
        <row r="27828">
          <cell r="E27828" t="str">
            <v>LUC-E00-400067-344</v>
          </cell>
          <cell r="F27828">
            <v>4711898676</v>
          </cell>
        </row>
        <row r="27829">
          <cell r="E27829" t="str">
            <v>LUC-E00-400050-01</v>
          </cell>
          <cell r="F27829">
            <v>4711898676</v>
          </cell>
        </row>
        <row r="27830">
          <cell r="E27830" t="str">
            <v>LUC-E00-400050-01</v>
          </cell>
          <cell r="F27830">
            <v>4711898676</v>
          </cell>
        </row>
        <row r="27831">
          <cell r="E27831" t="str">
            <v>LUC-E00-400023-000</v>
          </cell>
          <cell r="F27831">
            <v>4711898676</v>
          </cell>
        </row>
        <row r="27832">
          <cell r="E27832" t="str">
            <v>LUC-E00-400034-023</v>
          </cell>
          <cell r="F27832">
            <v>4711898676</v>
          </cell>
        </row>
        <row r="27833">
          <cell r="E27833" t="str">
            <v>LUC-E00-450154-00</v>
          </cell>
          <cell r="F27833">
            <v>4711898676</v>
          </cell>
        </row>
        <row r="27834">
          <cell r="E27834" t="str">
            <v>LUC-E00-400034-023</v>
          </cell>
          <cell r="F27834">
            <v>4711898676</v>
          </cell>
        </row>
        <row r="27835">
          <cell r="E27835" t="str">
            <v>LUC-E00-400034-069</v>
          </cell>
          <cell r="F27835">
            <v>4711898676</v>
          </cell>
        </row>
        <row r="27836">
          <cell r="E27836" t="str">
            <v>LUC-E00-400034-090</v>
          </cell>
          <cell r="F27836">
            <v>4711898676</v>
          </cell>
        </row>
        <row r="27837">
          <cell r="E27837" t="str">
            <v>LUC-EZZ-400621-00</v>
          </cell>
          <cell r="F27837">
            <v>4711898676</v>
          </cell>
        </row>
        <row r="27838">
          <cell r="E27838" t="str">
            <v>LUC-E00-400034-023</v>
          </cell>
          <cell r="F27838">
            <v>4711898676</v>
          </cell>
        </row>
        <row r="27839">
          <cell r="E27839" t="str">
            <v>LUC-E00-400067-263</v>
          </cell>
          <cell r="F27839">
            <v>4711898676</v>
          </cell>
        </row>
        <row r="27840">
          <cell r="E27840" t="str">
            <v>LUC-EZZ-400200-00</v>
          </cell>
          <cell r="F27840">
            <v>4711898676</v>
          </cell>
        </row>
        <row r="27841">
          <cell r="E27841" t="str">
            <v>LUC-E00-400067-152</v>
          </cell>
          <cell r="F27841">
            <v>4711898676</v>
          </cell>
        </row>
        <row r="27842">
          <cell r="E27842" t="str">
            <v>LUC-E00-400067-344</v>
          </cell>
          <cell r="F27842">
            <v>4711898676</v>
          </cell>
        </row>
        <row r="27843">
          <cell r="E27843" t="str">
            <v>HLOB-07-0315-00</v>
          </cell>
          <cell r="F27843">
            <v>4711898676</v>
          </cell>
        </row>
        <row r="27844">
          <cell r="E27844" t="str">
            <v>LUC-P21-K3AB00-00</v>
          </cell>
          <cell r="F27844" t="str">
            <v>LSHHPH2502328</v>
          </cell>
        </row>
        <row r="27845">
          <cell r="E27845" t="str">
            <v>LUC-P21-K3AT00-00</v>
          </cell>
          <cell r="F27845" t="str">
            <v>LSHHPH2502328</v>
          </cell>
        </row>
        <row r="27846">
          <cell r="E27846" t="str">
            <v>LUC-EZZ-510640-00</v>
          </cell>
          <cell r="F27846">
            <v>886871526977</v>
          </cell>
        </row>
        <row r="27847">
          <cell r="E27847" t="str">
            <v>LUC-P11-K18000-00</v>
          </cell>
          <cell r="F27847">
            <v>493633375805</v>
          </cell>
        </row>
        <row r="27848">
          <cell r="E27848" t="str">
            <v>LUC-P11-K41700-00</v>
          </cell>
          <cell r="F27848">
            <v>493633375805</v>
          </cell>
        </row>
        <row r="27849">
          <cell r="E27849" t="str">
            <v>LUC-E00-420037-03</v>
          </cell>
          <cell r="F27849">
            <v>493633375805</v>
          </cell>
        </row>
        <row r="27850">
          <cell r="E27850" t="str">
            <v>LUC-E00-420038-01</v>
          </cell>
          <cell r="F27850">
            <v>493633375805</v>
          </cell>
        </row>
        <row r="27851">
          <cell r="E27851" t="str">
            <v>LUC-EZZ-420345-00</v>
          </cell>
          <cell r="F27851">
            <v>493633375805</v>
          </cell>
        </row>
        <row r="27852">
          <cell r="E27852" t="str">
            <v>LUC-EZZ-420345-00</v>
          </cell>
          <cell r="F27852">
            <v>493633375805</v>
          </cell>
        </row>
        <row r="27853">
          <cell r="E27853" t="str">
            <v>LUC-EZZ-420695-01-TDK</v>
          </cell>
          <cell r="F27853">
            <v>493633375805</v>
          </cell>
        </row>
        <row r="27854">
          <cell r="E27854" t="str">
            <v>HLOB-13-0258-00</v>
          </cell>
          <cell r="F27854">
            <v>493633375805</v>
          </cell>
        </row>
        <row r="27855">
          <cell r="E27855" t="str">
            <v>LUC-E00-470423-00</v>
          </cell>
          <cell r="F27855">
            <v>493633375805</v>
          </cell>
        </row>
        <row r="27856">
          <cell r="E27856" t="str">
            <v>HLOB-05-0032-00</v>
          </cell>
          <cell r="F27856">
            <v>1811340930</v>
          </cell>
        </row>
        <row r="27857">
          <cell r="E27857" t="str">
            <v>PUR-05-0032-00</v>
          </cell>
          <cell r="F27857">
            <v>1811340930</v>
          </cell>
        </row>
        <row r="27858">
          <cell r="E27858" t="str">
            <v>PUR-05-0031-00</v>
          </cell>
          <cell r="F27858">
            <v>1811340930</v>
          </cell>
        </row>
        <row r="27859">
          <cell r="E27859" t="str">
            <v>HLOB-05-0031-00</v>
          </cell>
          <cell r="F27859">
            <v>1811340930</v>
          </cell>
        </row>
        <row r="27860">
          <cell r="E27860" t="str">
            <v>HLOB-05-0031-00</v>
          </cell>
          <cell r="F27860">
            <v>1811340930</v>
          </cell>
        </row>
        <row r="27861">
          <cell r="E27861" t="str">
            <v>HLOB-05-0031-00</v>
          </cell>
          <cell r="F27861">
            <v>1811340930</v>
          </cell>
        </row>
        <row r="27862">
          <cell r="E27862" t="str">
            <v>PUR-05-0031-00</v>
          </cell>
          <cell r="F27862">
            <v>1811340930</v>
          </cell>
        </row>
        <row r="27863">
          <cell r="E27863" t="str">
            <v>111-001553</v>
          </cell>
          <cell r="F27863">
            <v>643036786520</v>
          </cell>
        </row>
        <row r="27864">
          <cell r="E27864" t="str">
            <v>EF-45120874.X.X</v>
          </cell>
          <cell r="F27864">
            <v>479730214443</v>
          </cell>
        </row>
        <row r="27865">
          <cell r="E27865" t="str">
            <v>EF-45225755</v>
          </cell>
          <cell r="F27865">
            <v>417969483343</v>
          </cell>
        </row>
        <row r="27866">
          <cell r="E27866" t="str">
            <v>LUC-E00-470137-00</v>
          </cell>
          <cell r="F27866">
            <v>886716843088</v>
          </cell>
        </row>
        <row r="27867">
          <cell r="E27867" t="str">
            <v>LUC-E00-470137-00</v>
          </cell>
          <cell r="F27867">
            <v>886716843088</v>
          </cell>
        </row>
        <row r="27868">
          <cell r="E27868" t="str">
            <v>LUC-E00-470137-00</v>
          </cell>
          <cell r="F27868">
            <v>886716843088</v>
          </cell>
        </row>
        <row r="27869">
          <cell r="E27869" t="str">
            <v>LUC-E00-470137-00</v>
          </cell>
          <cell r="F27869">
            <v>886716843088</v>
          </cell>
        </row>
        <row r="27870">
          <cell r="E27870" t="str">
            <v>HLOB-13-0258-00</v>
          </cell>
          <cell r="F27870">
            <v>488209947196</v>
          </cell>
        </row>
        <row r="27871">
          <cell r="E27871" t="str">
            <v>AIC-122-004390</v>
          </cell>
          <cell r="F27871">
            <v>119209662432</v>
          </cell>
        </row>
        <row r="27872">
          <cell r="E27872" t="str">
            <v>LUC-E00-510034-00</v>
          </cell>
          <cell r="F27872">
            <v>119209662432</v>
          </cell>
        </row>
        <row r="27873">
          <cell r="E27873" t="str">
            <v>LUC-E00-470331-00</v>
          </cell>
          <cell r="F27873">
            <v>886824179150</v>
          </cell>
        </row>
        <row r="27874">
          <cell r="E27874" t="str">
            <v>LUC-E00-510061-01</v>
          </cell>
          <cell r="F27874">
            <v>886869682384</v>
          </cell>
        </row>
        <row r="27875">
          <cell r="E27875" t="str">
            <v>141-002789</v>
          </cell>
          <cell r="F27875">
            <v>642108557878</v>
          </cell>
        </row>
        <row r="27876">
          <cell r="E27876" t="str">
            <v>LUC-E00-470183-00</v>
          </cell>
          <cell r="F27876">
            <v>489800927822</v>
          </cell>
        </row>
        <row r="27877">
          <cell r="E27877" t="str">
            <v>LUC-EZZ-471743-00</v>
          </cell>
          <cell r="F27877">
            <v>396216214983</v>
          </cell>
        </row>
        <row r="27878">
          <cell r="E27878" t="str">
            <v>LUC-EZZ-470350-00</v>
          </cell>
          <cell r="F27878">
            <v>396216214983</v>
          </cell>
        </row>
        <row r="27879">
          <cell r="E27879" t="str">
            <v>LUC-EZZ-470350-00</v>
          </cell>
          <cell r="F27879">
            <v>396216214983</v>
          </cell>
        </row>
        <row r="27880">
          <cell r="E27880" t="str">
            <v>LUC-EZZ-470855-00</v>
          </cell>
          <cell r="F27880">
            <v>396216214983</v>
          </cell>
        </row>
        <row r="27881">
          <cell r="E27881" t="str">
            <v>LUC-EZZ-470855-00</v>
          </cell>
          <cell r="F27881">
            <v>396216214983</v>
          </cell>
        </row>
        <row r="27882">
          <cell r="E27882" t="str">
            <v>LUC-EZZ-470855-00</v>
          </cell>
          <cell r="F27882">
            <v>396216214983</v>
          </cell>
        </row>
        <row r="27883">
          <cell r="E27883" t="str">
            <v>LUC-E00-470072-00</v>
          </cell>
          <cell r="F27883">
            <v>396216214983</v>
          </cell>
        </row>
        <row r="27884">
          <cell r="E27884" t="str">
            <v>AIC-MP-IC005426-S01</v>
          </cell>
          <cell r="F27884">
            <v>396216214983</v>
          </cell>
        </row>
        <row r="27885">
          <cell r="E27885" t="str">
            <v>LUC-EZZ-470093-00</v>
          </cell>
          <cell r="F27885">
            <v>396216214983</v>
          </cell>
        </row>
        <row r="27886">
          <cell r="E27886" t="str">
            <v>AIC-MP-IC007306-S01</v>
          </cell>
          <cell r="F27886">
            <v>396216214983</v>
          </cell>
        </row>
        <row r="27887">
          <cell r="E27887" t="str">
            <v>LUC-EZZ-471743-00</v>
          </cell>
          <cell r="F27887">
            <v>396216214983</v>
          </cell>
        </row>
        <row r="27888">
          <cell r="E27888" t="str">
            <v>LUC-E00-470073-00</v>
          </cell>
          <cell r="F27888">
            <v>396216214983</v>
          </cell>
        </row>
        <row r="27889">
          <cell r="E27889" t="str">
            <v>LUC-EZZ-471743-00</v>
          </cell>
          <cell r="F27889">
            <v>396216214983</v>
          </cell>
        </row>
        <row r="27890">
          <cell r="E27890" t="str">
            <v>PUR-27-0017-00</v>
          </cell>
          <cell r="F27890">
            <v>479730215038</v>
          </cell>
        </row>
        <row r="27891">
          <cell r="E27891" t="str">
            <v>LUC-P11-K41800-00</v>
          </cell>
          <cell r="F27891">
            <v>462303461216</v>
          </cell>
        </row>
        <row r="27892">
          <cell r="E27892" t="str">
            <v>LUC-E00-460005-00</v>
          </cell>
          <cell r="F27892">
            <v>886825682753</v>
          </cell>
        </row>
        <row r="27893">
          <cell r="E27893" t="str">
            <v>LUC-E00-460005-00</v>
          </cell>
          <cell r="F27893">
            <v>886825682753</v>
          </cell>
        </row>
        <row r="27894">
          <cell r="E27894" t="str">
            <v>LUC-EZZ-690942-00</v>
          </cell>
          <cell r="F27894">
            <v>4110331624</v>
          </cell>
        </row>
        <row r="27895">
          <cell r="E27895" t="str">
            <v>LUC-EZZ-690942-00</v>
          </cell>
          <cell r="F27895">
            <v>4110331625</v>
          </cell>
        </row>
        <row r="27896">
          <cell r="E27896" t="str">
            <v>LUC-EZZ-690942-00</v>
          </cell>
          <cell r="F27896">
            <v>4110331626</v>
          </cell>
        </row>
        <row r="27897">
          <cell r="E27897" t="str">
            <v>LUC-E00-690157-01</v>
          </cell>
          <cell r="F27897">
            <v>4110331660</v>
          </cell>
        </row>
        <row r="27898">
          <cell r="E27898" t="str">
            <v>LUC-EZZ-690241-00</v>
          </cell>
          <cell r="F27898">
            <v>4110331661</v>
          </cell>
        </row>
        <row r="27899">
          <cell r="E27899" t="str">
            <v>LUC-EZZ-690241-00</v>
          </cell>
          <cell r="F27899">
            <v>4110331662</v>
          </cell>
        </row>
        <row r="27900">
          <cell r="E27900" t="str">
            <v>EF-45125060</v>
          </cell>
          <cell r="F27900">
            <v>4711898504</v>
          </cell>
        </row>
        <row r="27901">
          <cell r="E27901" t="str">
            <v>LUC-E00-440003-00</v>
          </cell>
          <cell r="F27901">
            <v>4711898504</v>
          </cell>
        </row>
        <row r="27902">
          <cell r="E27902" t="str">
            <v>LUC-E00-440003-00</v>
          </cell>
          <cell r="F27902">
            <v>4711898504</v>
          </cell>
        </row>
        <row r="27903">
          <cell r="E27903" t="str">
            <v>LUC-EZZ-440031-00</v>
          </cell>
          <cell r="F27903">
            <v>4711898504</v>
          </cell>
        </row>
        <row r="27904">
          <cell r="E27904" t="str">
            <v>LUC-EZZ-440072-00</v>
          </cell>
          <cell r="F27904">
            <v>4711898504</v>
          </cell>
        </row>
        <row r="27905">
          <cell r="E27905" t="str">
            <v>LUC-EZZ-440078-01</v>
          </cell>
          <cell r="F27905">
            <v>4711898504</v>
          </cell>
        </row>
        <row r="27906">
          <cell r="E27906" t="str">
            <v>LUC-EZZ-440162-00</v>
          </cell>
          <cell r="F27906">
            <v>4711898504</v>
          </cell>
        </row>
        <row r="27907">
          <cell r="E27907" t="str">
            <v>LUC-EZZ-440090-00</v>
          </cell>
          <cell r="F27907">
            <v>4711898504</v>
          </cell>
        </row>
        <row r="27908">
          <cell r="E27908" t="str">
            <v>LUC-E00-440077-02</v>
          </cell>
          <cell r="F27908">
            <v>4711898504</v>
          </cell>
        </row>
        <row r="27909">
          <cell r="E27909" t="str">
            <v>LUC-E00-440051-01</v>
          </cell>
          <cell r="F27909">
            <v>4711898504</v>
          </cell>
        </row>
        <row r="27910">
          <cell r="E27910" t="str">
            <v>LUC-EZZ-440099-00</v>
          </cell>
          <cell r="F27910">
            <v>4711898504</v>
          </cell>
        </row>
        <row r="27911">
          <cell r="E27911" t="str">
            <v>PUR-13-0250-00</v>
          </cell>
          <cell r="F27911">
            <v>4915017895</v>
          </cell>
        </row>
        <row r="27912">
          <cell r="E27912" t="str">
            <v>PURET-13-0027-00</v>
          </cell>
          <cell r="F27912">
            <v>4915017895</v>
          </cell>
        </row>
        <row r="27913">
          <cell r="E27913" t="str">
            <v>HLOB-12-0088-00</v>
          </cell>
          <cell r="F27913">
            <v>4915017895</v>
          </cell>
        </row>
        <row r="27914">
          <cell r="E27914" t="str">
            <v>HLOB-12-0482-00</v>
          </cell>
          <cell r="F27914">
            <v>4915017895</v>
          </cell>
        </row>
        <row r="27915">
          <cell r="E27915" t="str">
            <v>HLOB-12-0482-00</v>
          </cell>
          <cell r="F27915">
            <v>4915017895</v>
          </cell>
        </row>
        <row r="27916">
          <cell r="E27916" t="str">
            <v>HLOB-12-0482-00</v>
          </cell>
          <cell r="F27916">
            <v>4915017895</v>
          </cell>
        </row>
        <row r="27917">
          <cell r="E27917" t="str">
            <v>PUR-13-0248-00</v>
          </cell>
          <cell r="F27917">
            <v>4915017895</v>
          </cell>
        </row>
        <row r="27918">
          <cell r="E27918" t="str">
            <v>PUR-12-0482-00</v>
          </cell>
          <cell r="F27918">
            <v>4915017895</v>
          </cell>
        </row>
        <row r="27919">
          <cell r="E27919" t="str">
            <v>PUR-12-0482-00</v>
          </cell>
          <cell r="F27919">
            <v>4915017895</v>
          </cell>
        </row>
        <row r="27920">
          <cell r="E27920" t="str">
            <v>PUR-12-0482-00</v>
          </cell>
          <cell r="F27920">
            <v>4915017895</v>
          </cell>
        </row>
        <row r="27921">
          <cell r="E27921" t="str">
            <v>PUR-12-0294-00</v>
          </cell>
          <cell r="F27921">
            <v>4915017895</v>
          </cell>
        </row>
        <row r="27922">
          <cell r="E27922" t="str">
            <v>PURET-12-0017-00</v>
          </cell>
          <cell r="F27922">
            <v>4915017895</v>
          </cell>
        </row>
        <row r="27923">
          <cell r="E27923" t="str">
            <v>PURET-12-0017-00</v>
          </cell>
          <cell r="F27923">
            <v>4915017895</v>
          </cell>
        </row>
        <row r="27924">
          <cell r="E27924" t="str">
            <v>EF-45061965.X.X</v>
          </cell>
          <cell r="F27924">
            <v>4915017895</v>
          </cell>
        </row>
        <row r="27925">
          <cell r="E27925" t="str">
            <v>EF-45037930.X.X</v>
          </cell>
          <cell r="F27925">
            <v>4915017895</v>
          </cell>
        </row>
        <row r="27926">
          <cell r="E27926" t="str">
            <v>122-001191</v>
          </cell>
          <cell r="F27926">
            <v>4915017895</v>
          </cell>
        </row>
        <row r="27927">
          <cell r="E27927" t="str">
            <v>LUC-E00-690030-03</v>
          </cell>
          <cell r="F27927">
            <v>4915017895</v>
          </cell>
        </row>
        <row r="27928">
          <cell r="E27928" t="str">
            <v>LUC-E00-690030-03</v>
          </cell>
          <cell r="F27928">
            <v>4915017895</v>
          </cell>
        </row>
        <row r="27929">
          <cell r="E27929" t="str">
            <v>HLOB-12-0017-00</v>
          </cell>
          <cell r="F27929">
            <v>4915017895</v>
          </cell>
        </row>
        <row r="27930">
          <cell r="E27930" t="str">
            <v>HLOB-12-0017-00</v>
          </cell>
          <cell r="F27930">
            <v>4915017895</v>
          </cell>
        </row>
        <row r="27931">
          <cell r="E27931" t="str">
            <v>HLOB-12-0017-00</v>
          </cell>
          <cell r="F27931">
            <v>4915017895</v>
          </cell>
        </row>
        <row r="27932">
          <cell r="E27932" t="str">
            <v>HLOB-12-0017-00</v>
          </cell>
          <cell r="F27932">
            <v>4915017895</v>
          </cell>
        </row>
        <row r="27933">
          <cell r="E27933" t="str">
            <v>HLOB-12-0017-00</v>
          </cell>
          <cell r="F27933">
            <v>4915017895</v>
          </cell>
        </row>
        <row r="27934">
          <cell r="E27934" t="str">
            <v>HLOB-12-0017-00</v>
          </cell>
          <cell r="F27934">
            <v>4915017895</v>
          </cell>
        </row>
        <row r="27935">
          <cell r="E27935" t="str">
            <v>AIC-122-004386</v>
          </cell>
          <cell r="F27935">
            <v>4915017895</v>
          </cell>
        </row>
        <row r="27936">
          <cell r="E27936" t="str">
            <v>AIC-MP-00000773-000</v>
          </cell>
          <cell r="F27936">
            <v>4915017895</v>
          </cell>
        </row>
        <row r="27937">
          <cell r="E27937" t="str">
            <v>AGI-510-40123-01</v>
          </cell>
          <cell r="F27937">
            <v>886760361105</v>
          </cell>
        </row>
        <row r="27938">
          <cell r="E27938" t="str">
            <v>AGI-510-40123-01</v>
          </cell>
          <cell r="F27938">
            <v>886760361105</v>
          </cell>
        </row>
        <row r="27939">
          <cell r="E27939" t="str">
            <v>AGI-510-40123-01</v>
          </cell>
          <cell r="F27939">
            <v>886760361105</v>
          </cell>
        </row>
        <row r="27940">
          <cell r="E27940" t="str">
            <v>AGI-510-40123-01</v>
          </cell>
          <cell r="F27940">
            <v>886760361105</v>
          </cell>
        </row>
        <row r="27941">
          <cell r="E27941" t="str">
            <v>AGI-600-40049-01</v>
          </cell>
          <cell r="F27941">
            <v>5648749072</v>
          </cell>
        </row>
        <row r="27942">
          <cell r="E27942" t="str">
            <v>LUC-P11-K33900-02</v>
          </cell>
          <cell r="F27942" t="str">
            <v>LNBHPH257088</v>
          </cell>
        </row>
        <row r="27943">
          <cell r="E27943" t="str">
            <v>LUC-P11-K33A00-02</v>
          </cell>
          <cell r="F27943" t="str">
            <v>LNBHPH257088</v>
          </cell>
        </row>
        <row r="27944">
          <cell r="E27944" t="str">
            <v>LUC-P11-K33B00-02</v>
          </cell>
          <cell r="F27944" t="str">
            <v>LNBHPH257088</v>
          </cell>
        </row>
        <row r="27945">
          <cell r="E27945" t="str">
            <v>LUC-EZZ-490305-05</v>
          </cell>
          <cell r="F27945">
            <v>1517121</v>
          </cell>
        </row>
        <row r="27946">
          <cell r="E27946" t="str">
            <v>LUC-EZZ-490231-05</v>
          </cell>
          <cell r="F27946">
            <v>1517121</v>
          </cell>
        </row>
        <row r="27947">
          <cell r="E27947" t="str">
            <v>LUC-EZZ-490225-05</v>
          </cell>
          <cell r="F27947">
            <v>1517121</v>
          </cell>
        </row>
        <row r="27948">
          <cell r="E27948" t="str">
            <v>LUC-EZZ-490305-05</v>
          </cell>
          <cell r="F27948">
            <v>1517121</v>
          </cell>
        </row>
        <row r="27949">
          <cell r="E27949" t="str">
            <v>LUC-EZZ-490307-01</v>
          </cell>
          <cell r="F27949">
            <v>1517121</v>
          </cell>
        </row>
        <row r="27950">
          <cell r="E27950" t="str">
            <v>LUC-EZZ-490050-03</v>
          </cell>
          <cell r="F27950">
            <v>1517121</v>
          </cell>
        </row>
        <row r="27951">
          <cell r="E27951" t="str">
            <v>EF-45054135.X.X</v>
          </cell>
          <cell r="F27951">
            <v>426080016670</v>
          </cell>
        </row>
        <row r="27952">
          <cell r="E27952" t="str">
            <v>PUR-09-0408-00</v>
          </cell>
          <cell r="F27952">
            <v>426080016670</v>
          </cell>
        </row>
        <row r="27953">
          <cell r="E27953" t="str">
            <v>PUR-23-0013-00</v>
          </cell>
          <cell r="F27953">
            <v>426080016670</v>
          </cell>
        </row>
        <row r="27954">
          <cell r="E27954" t="str">
            <v>PUR-31-0061-02</v>
          </cell>
          <cell r="F27954">
            <v>426080016670</v>
          </cell>
        </row>
        <row r="27955">
          <cell r="E27955" t="str">
            <v>LUC-E00-460018-00</v>
          </cell>
          <cell r="F27955">
            <v>494063726020</v>
          </cell>
        </row>
        <row r="27956">
          <cell r="E27956" t="str">
            <v>LUC-EZZ-420219-00</v>
          </cell>
          <cell r="F27956">
            <v>471797720864</v>
          </cell>
        </row>
        <row r="27957">
          <cell r="E27957" t="str">
            <v>LUC-EZZ-420219-00</v>
          </cell>
          <cell r="F27957">
            <v>471797720864</v>
          </cell>
        </row>
        <row r="27958">
          <cell r="E27958" t="str">
            <v>LUC-EZZ-420097-00</v>
          </cell>
          <cell r="F27958">
            <v>471797720864</v>
          </cell>
        </row>
        <row r="27959">
          <cell r="E27959" t="str">
            <v>LUC-EZZ-420219-00</v>
          </cell>
          <cell r="F27959">
            <v>471797720864</v>
          </cell>
        </row>
        <row r="27960">
          <cell r="E27960" t="str">
            <v>LUC-EZZ-420097-00</v>
          </cell>
          <cell r="F27960">
            <v>471797720864</v>
          </cell>
        </row>
        <row r="27961">
          <cell r="E27961" t="str">
            <v>LUC-EZZ-420118-00</v>
          </cell>
          <cell r="F27961">
            <v>471797720864</v>
          </cell>
        </row>
        <row r="27962">
          <cell r="E27962" t="str">
            <v>LUC-EZZ-420097-00</v>
          </cell>
          <cell r="F27962">
            <v>471797720864</v>
          </cell>
        </row>
        <row r="27963">
          <cell r="E27963" t="str">
            <v>LUC-EZZ-420118-00</v>
          </cell>
          <cell r="F27963">
            <v>471797720864</v>
          </cell>
        </row>
        <row r="27964">
          <cell r="E27964" t="str">
            <v>LUC-EZZ-420527-00</v>
          </cell>
          <cell r="F27964">
            <v>471797720864</v>
          </cell>
        </row>
        <row r="27965">
          <cell r="E27965" t="str">
            <v>LUC-E00-420275-00</v>
          </cell>
          <cell r="F27965">
            <v>471797720864</v>
          </cell>
        </row>
        <row r="27966">
          <cell r="E27966" t="str">
            <v>PURET-13-0002-00</v>
          </cell>
          <cell r="F27966">
            <v>471797720864</v>
          </cell>
        </row>
        <row r="27967">
          <cell r="E27967" t="str">
            <v>HLOB-13-0002-00</v>
          </cell>
          <cell r="F27967">
            <v>471797720864</v>
          </cell>
        </row>
        <row r="27968">
          <cell r="E27968" t="str">
            <v>PURET-13-0002-00</v>
          </cell>
          <cell r="F27968">
            <v>471797720864</v>
          </cell>
        </row>
        <row r="27969">
          <cell r="E27969" t="str">
            <v>HLOB-13-0002-00</v>
          </cell>
          <cell r="F27969">
            <v>471797720864</v>
          </cell>
        </row>
        <row r="27970">
          <cell r="E27970" t="str">
            <v>HLOB-13-0002-00</v>
          </cell>
          <cell r="F27970">
            <v>471797720864</v>
          </cell>
        </row>
        <row r="27971">
          <cell r="E27971" t="str">
            <v>HLOB-13-0138-00</v>
          </cell>
          <cell r="F27971">
            <v>471797720864</v>
          </cell>
        </row>
        <row r="27972">
          <cell r="E27972" t="str">
            <v>HLOB-13-0138-00</v>
          </cell>
          <cell r="F27972">
            <v>471797720864</v>
          </cell>
        </row>
        <row r="27973">
          <cell r="E27973" t="str">
            <v>HLOB-13-0138-00</v>
          </cell>
          <cell r="F27973">
            <v>471797720864</v>
          </cell>
        </row>
        <row r="27974">
          <cell r="E27974" t="str">
            <v>PUR-13-0138-00</v>
          </cell>
          <cell r="F27974">
            <v>471797720864</v>
          </cell>
        </row>
        <row r="27975">
          <cell r="E27975" t="str">
            <v>LUC-E00-420185-00</v>
          </cell>
          <cell r="F27975">
            <v>471797720864</v>
          </cell>
        </row>
        <row r="27976">
          <cell r="E27976" t="str">
            <v>141-002725</v>
          </cell>
          <cell r="F27976">
            <v>886869451081</v>
          </cell>
        </row>
        <row r="27977">
          <cell r="E27977" t="str">
            <v>141-002725</v>
          </cell>
          <cell r="F27977">
            <v>886869451081</v>
          </cell>
        </row>
        <row r="27978">
          <cell r="E27978" t="str">
            <v>141-002728</v>
          </cell>
          <cell r="F27978">
            <v>886869451081</v>
          </cell>
        </row>
        <row r="27979">
          <cell r="E27979" t="str">
            <v>141-002728</v>
          </cell>
          <cell r="F27979">
            <v>886869451081</v>
          </cell>
        </row>
        <row r="27980">
          <cell r="E27980" t="str">
            <v>141-001581</v>
          </cell>
          <cell r="F27980">
            <v>886869451081</v>
          </cell>
        </row>
        <row r="27981">
          <cell r="E27981" t="str">
            <v>141-001581</v>
          </cell>
          <cell r="F27981">
            <v>886869451081</v>
          </cell>
        </row>
        <row r="27982">
          <cell r="E27982" t="str">
            <v>141-001265-01.X.X</v>
          </cell>
          <cell r="F27982">
            <v>886869451081</v>
          </cell>
        </row>
        <row r="27983">
          <cell r="E27983" t="str">
            <v>141-001265-01.X.X</v>
          </cell>
          <cell r="F27983">
            <v>886869451081</v>
          </cell>
        </row>
        <row r="27984">
          <cell r="E27984" t="str">
            <v>141-001265-01.X.X</v>
          </cell>
          <cell r="F27984">
            <v>886869451081</v>
          </cell>
        </row>
        <row r="27985">
          <cell r="E27985" t="str">
            <v>LUC-EZZ-470422-00</v>
          </cell>
          <cell r="F27985">
            <v>396323883745</v>
          </cell>
        </row>
        <row r="27986">
          <cell r="E27986" t="str">
            <v>LUC-EZZ-470095-00</v>
          </cell>
          <cell r="F27986">
            <v>396323883745</v>
          </cell>
        </row>
        <row r="27987">
          <cell r="E27987" t="str">
            <v>AIC-MP-00006139-000</v>
          </cell>
          <cell r="F27987">
            <v>886912509794</v>
          </cell>
        </row>
        <row r="27988">
          <cell r="E27988" t="str">
            <v>AIC-174-001344</v>
          </cell>
          <cell r="F27988">
            <v>886912509794</v>
          </cell>
        </row>
        <row r="27989">
          <cell r="E27989" t="str">
            <v>AIC-123-001933</v>
          </cell>
          <cell r="F27989">
            <v>886912509794</v>
          </cell>
        </row>
        <row r="27990">
          <cell r="E27990" t="str">
            <v>122-000919.X.X</v>
          </cell>
          <cell r="F27990">
            <v>471783793175</v>
          </cell>
        </row>
        <row r="27991">
          <cell r="E27991" t="str">
            <v>122-000919.X.X</v>
          </cell>
          <cell r="F27991">
            <v>471783793175</v>
          </cell>
        </row>
        <row r="27992">
          <cell r="E27992" t="str">
            <v>122-000919.X.X</v>
          </cell>
          <cell r="F27992">
            <v>471783793175</v>
          </cell>
        </row>
        <row r="27993">
          <cell r="E27993" t="str">
            <v>LUC-E00-420025-02</v>
          </cell>
          <cell r="F27993">
            <v>471783793175</v>
          </cell>
        </row>
        <row r="27994">
          <cell r="E27994" t="str">
            <v>HLOB-12-0408-00</v>
          </cell>
          <cell r="F27994">
            <v>471783793175</v>
          </cell>
        </row>
        <row r="27995">
          <cell r="E27995" t="str">
            <v>PUR-12-0297-00</v>
          </cell>
          <cell r="F27995">
            <v>471783793175</v>
          </cell>
        </row>
        <row r="27996">
          <cell r="E27996" t="str">
            <v>PURET-12-0035-00</v>
          </cell>
          <cell r="F27996">
            <v>471783793175</v>
          </cell>
        </row>
        <row r="27997">
          <cell r="E27997" t="str">
            <v>HLOB-12-0271-00</v>
          </cell>
          <cell r="F27997">
            <v>471783793175</v>
          </cell>
        </row>
        <row r="27998">
          <cell r="E27998" t="str">
            <v>PUR-12-0293-00</v>
          </cell>
          <cell r="F27998">
            <v>471783793175</v>
          </cell>
        </row>
        <row r="27999">
          <cell r="E27999" t="str">
            <v>HLOB-12-0304-00</v>
          </cell>
          <cell r="F27999">
            <v>471783793175</v>
          </cell>
        </row>
        <row r="28000">
          <cell r="E28000" t="str">
            <v>121-000206.X.X</v>
          </cell>
          <cell r="F28000">
            <v>471783793175</v>
          </cell>
        </row>
        <row r="28001">
          <cell r="E28001" t="str">
            <v>PUR-12-0468-00</v>
          </cell>
          <cell r="F28001">
            <v>471783793175</v>
          </cell>
        </row>
        <row r="28002">
          <cell r="E28002" t="str">
            <v>HLOB-12-0468-00</v>
          </cell>
          <cell r="F28002">
            <v>471783793175</v>
          </cell>
        </row>
        <row r="28003">
          <cell r="E28003" t="str">
            <v>HLOB-12-0509-00</v>
          </cell>
          <cell r="F28003">
            <v>471783793175</v>
          </cell>
        </row>
        <row r="28004">
          <cell r="E28004" t="str">
            <v>HLOB-12-0470-00</v>
          </cell>
          <cell r="F28004">
            <v>471783793175</v>
          </cell>
        </row>
        <row r="28005">
          <cell r="E28005" t="str">
            <v>HLOB-12-0467-00</v>
          </cell>
          <cell r="F28005">
            <v>471783793175</v>
          </cell>
        </row>
        <row r="28006">
          <cell r="E28006" t="str">
            <v>PUR-13-0241-00</v>
          </cell>
          <cell r="F28006">
            <v>471783793175</v>
          </cell>
        </row>
        <row r="28007">
          <cell r="E28007" t="str">
            <v>PUR-13-0226-00</v>
          </cell>
          <cell r="F28007">
            <v>471783793175</v>
          </cell>
        </row>
        <row r="28008">
          <cell r="E28008" t="str">
            <v>HLOB-13-0226-00</v>
          </cell>
          <cell r="F28008">
            <v>471783793175</v>
          </cell>
        </row>
        <row r="28009">
          <cell r="E28009" t="str">
            <v>HLOB-13-0227-00</v>
          </cell>
          <cell r="F28009">
            <v>471783793175</v>
          </cell>
        </row>
        <row r="28010">
          <cell r="E28010" t="str">
            <v>PUR-12-0297-00</v>
          </cell>
          <cell r="F28010">
            <v>471783793175</v>
          </cell>
        </row>
        <row r="28011">
          <cell r="E28011" t="str">
            <v>HLOB-12-0297-00</v>
          </cell>
          <cell r="F28011">
            <v>471783793175</v>
          </cell>
        </row>
        <row r="28012">
          <cell r="E28012" t="str">
            <v>AIC-MP-00000278-000</v>
          </cell>
          <cell r="F28012">
            <v>471783793175</v>
          </cell>
        </row>
        <row r="28013">
          <cell r="E28013" t="str">
            <v>LUC-EZZ-400035-00</v>
          </cell>
          <cell r="F28013">
            <v>471783793175</v>
          </cell>
        </row>
        <row r="28014">
          <cell r="E28014" t="str">
            <v>LUC-EZZ-420501-00</v>
          </cell>
          <cell r="F28014">
            <v>471783793175</v>
          </cell>
        </row>
        <row r="28015">
          <cell r="E28015" t="str">
            <v>121-000585.X.X</v>
          </cell>
          <cell r="F28015">
            <v>471783793175</v>
          </cell>
        </row>
        <row r="28016">
          <cell r="E28016" t="str">
            <v>121-000521.X.X</v>
          </cell>
          <cell r="F28016">
            <v>471783793175</v>
          </cell>
        </row>
        <row r="28017">
          <cell r="E28017" t="str">
            <v>HLOB-14-0086-00</v>
          </cell>
          <cell r="F28017">
            <v>471783793175</v>
          </cell>
        </row>
        <row r="28018">
          <cell r="E28018" t="str">
            <v>HLOB-14-0086-00</v>
          </cell>
          <cell r="F28018">
            <v>471783793175</v>
          </cell>
        </row>
        <row r="28019">
          <cell r="E28019" t="str">
            <v>HLOB-14-0086-00</v>
          </cell>
          <cell r="F28019">
            <v>471783793175</v>
          </cell>
        </row>
        <row r="28020">
          <cell r="E28020" t="str">
            <v>HLOB-14-0086-00</v>
          </cell>
          <cell r="F28020">
            <v>471783793175</v>
          </cell>
        </row>
        <row r="28021">
          <cell r="E28021" t="str">
            <v>HLOB-14-0086-00</v>
          </cell>
          <cell r="F28021">
            <v>471783793175</v>
          </cell>
        </row>
        <row r="28022">
          <cell r="E28022" t="str">
            <v>PUR-14-0086-00</v>
          </cell>
          <cell r="F28022">
            <v>471783793175</v>
          </cell>
        </row>
        <row r="28023">
          <cell r="E28023" t="str">
            <v>PUR-14-0086-00</v>
          </cell>
          <cell r="F28023">
            <v>471783793175</v>
          </cell>
        </row>
        <row r="28024">
          <cell r="E28024" t="str">
            <v>AIC-122-004336</v>
          </cell>
          <cell r="F28024">
            <v>471783793175</v>
          </cell>
        </row>
        <row r="28025">
          <cell r="E28025" t="str">
            <v>PUR-03-0111-00</v>
          </cell>
          <cell r="F28025">
            <v>494556352989</v>
          </cell>
        </row>
        <row r="28026">
          <cell r="E28026" t="str">
            <v>LUC-E00-510018-00</v>
          </cell>
          <cell r="F28026">
            <v>615498828276</v>
          </cell>
        </row>
        <row r="28027">
          <cell r="E28027" t="str">
            <v>LUC-E00-420037-00</v>
          </cell>
          <cell r="F28027">
            <v>481005925119</v>
          </cell>
        </row>
        <row r="28028">
          <cell r="E28028" t="str">
            <v>AGI-450-40087-01</v>
          </cell>
          <cell r="F28028">
            <v>481005925119</v>
          </cell>
        </row>
        <row r="28029">
          <cell r="E28029" t="str">
            <v>AGI-450-40087-01</v>
          </cell>
          <cell r="F28029">
            <v>481005925119</v>
          </cell>
        </row>
        <row r="28030">
          <cell r="E28030" t="str">
            <v>119-001192</v>
          </cell>
          <cell r="F28030">
            <v>481005925119</v>
          </cell>
        </row>
        <row r="28031">
          <cell r="E28031" t="str">
            <v>LUC-E00-420184-00</v>
          </cell>
          <cell r="F28031">
            <v>481005925119</v>
          </cell>
        </row>
        <row r="28032">
          <cell r="E28032" t="str">
            <v>HLOB-14-0109-00</v>
          </cell>
          <cell r="F28032">
            <v>481005925119</v>
          </cell>
        </row>
        <row r="28033">
          <cell r="E28033" t="str">
            <v>121-000521.X.X</v>
          </cell>
          <cell r="F28033">
            <v>481005925119</v>
          </cell>
        </row>
        <row r="28034">
          <cell r="E28034" t="str">
            <v>EF-45079903.X.X</v>
          </cell>
          <cell r="F28034">
            <v>493891682619</v>
          </cell>
        </row>
        <row r="28035">
          <cell r="E28035" t="str">
            <v>HLOB-15-0220-00</v>
          </cell>
          <cell r="F28035">
            <v>481663281082</v>
          </cell>
        </row>
        <row r="28036">
          <cell r="E28036" t="str">
            <v>LUC-E00-690010-00</v>
          </cell>
          <cell r="F28036">
            <v>7607569012</v>
          </cell>
        </row>
        <row r="28037">
          <cell r="E28037" t="str">
            <v>LUC-P11-K82200-01</v>
          </cell>
          <cell r="F28037" t="str">
            <v>XH25120496</v>
          </cell>
        </row>
        <row r="28038">
          <cell r="E28038" t="str">
            <v>LUC-P11-K82200-01</v>
          </cell>
          <cell r="F28038" t="str">
            <v>XH25120496</v>
          </cell>
        </row>
        <row r="28039">
          <cell r="E28039" t="str">
            <v>LUC-P11-K82300-00</v>
          </cell>
          <cell r="F28039" t="str">
            <v>XH25120496</v>
          </cell>
        </row>
        <row r="28040">
          <cell r="E28040" t="str">
            <v>LUC-P11-K82300-00</v>
          </cell>
          <cell r="F28040" t="str">
            <v>XH25120496</v>
          </cell>
        </row>
        <row r="28041">
          <cell r="E28041" t="str">
            <v>PUR-24-0028-00</v>
          </cell>
          <cell r="F28041">
            <v>1811358264</v>
          </cell>
        </row>
        <row r="28042">
          <cell r="E28042" t="str">
            <v>LUC-EZZ-420151-00</v>
          </cell>
          <cell r="F28042">
            <v>1811358264</v>
          </cell>
        </row>
        <row r="28043">
          <cell r="E28043" t="str">
            <v>LUC-EZZ-420151-00</v>
          </cell>
          <cell r="F28043">
            <v>1811358264</v>
          </cell>
        </row>
        <row r="28044">
          <cell r="E28044" t="str">
            <v>HLOB-13-0215-00</v>
          </cell>
          <cell r="F28044">
            <v>1811358264</v>
          </cell>
        </row>
        <row r="28045">
          <cell r="E28045" t="str">
            <v>HLOB-13-0215-00</v>
          </cell>
          <cell r="F28045">
            <v>1811358264</v>
          </cell>
        </row>
        <row r="28046">
          <cell r="E28046" t="str">
            <v>HLOB-09-0279-00</v>
          </cell>
          <cell r="F28046">
            <v>1811358264</v>
          </cell>
        </row>
        <row r="28047">
          <cell r="E28047" t="str">
            <v>PUR-14-0076-00</v>
          </cell>
          <cell r="F28047">
            <v>1811358264</v>
          </cell>
        </row>
        <row r="28048">
          <cell r="E28048" t="str">
            <v>PUR-14-0105-00</v>
          </cell>
          <cell r="F28048">
            <v>1811358264</v>
          </cell>
        </row>
        <row r="28049">
          <cell r="E28049" t="str">
            <v>PUR-14-0105-00</v>
          </cell>
          <cell r="F28049">
            <v>1811358264</v>
          </cell>
        </row>
        <row r="28050">
          <cell r="E28050" t="str">
            <v>LUC-EZZ-451368-00</v>
          </cell>
          <cell r="F28050">
            <v>1811358264</v>
          </cell>
        </row>
        <row r="28051">
          <cell r="E28051" t="str">
            <v>PURET-12-0257-00</v>
          </cell>
          <cell r="F28051">
            <v>1811358264</v>
          </cell>
        </row>
        <row r="28052">
          <cell r="E28052" t="str">
            <v>PUR-14-0096-00</v>
          </cell>
          <cell r="F28052">
            <v>1811358264</v>
          </cell>
        </row>
        <row r="28053">
          <cell r="E28053" t="str">
            <v>AGI-410-50002-01</v>
          </cell>
          <cell r="F28053">
            <v>1811358264</v>
          </cell>
        </row>
        <row r="28054">
          <cell r="E28054" t="str">
            <v>EF-45072119</v>
          </cell>
          <cell r="F28054">
            <v>1811358264</v>
          </cell>
        </row>
        <row r="28055">
          <cell r="E28055" t="str">
            <v>LUC-EZZ-420151-00</v>
          </cell>
          <cell r="F28055">
            <v>1811358264</v>
          </cell>
        </row>
        <row r="28056">
          <cell r="E28056" t="str">
            <v>LUC-EZZ-420151-00</v>
          </cell>
          <cell r="F28056">
            <v>1811358264</v>
          </cell>
        </row>
        <row r="28057">
          <cell r="E28057" t="str">
            <v>LUC-E00-400035-06</v>
          </cell>
          <cell r="F28057">
            <v>1811358264</v>
          </cell>
        </row>
        <row r="28058">
          <cell r="E28058" t="str">
            <v>LUC-E00-400035-00</v>
          </cell>
          <cell r="F28058">
            <v>1811358264</v>
          </cell>
        </row>
        <row r="28059">
          <cell r="E28059" t="str">
            <v>AIC-MP-00003546-000</v>
          </cell>
          <cell r="F28059">
            <v>1811358264</v>
          </cell>
        </row>
        <row r="28060">
          <cell r="E28060" t="str">
            <v>LUC-E00-470073-00</v>
          </cell>
          <cell r="F28060">
            <v>396432579373</v>
          </cell>
        </row>
        <row r="28061">
          <cell r="E28061" t="str">
            <v>LUC-E00-470073-00</v>
          </cell>
          <cell r="F28061">
            <v>396432579373</v>
          </cell>
        </row>
        <row r="28062">
          <cell r="E28062" t="str">
            <v>AIC-MP-00004220-000</v>
          </cell>
          <cell r="F28062">
            <v>396432579373</v>
          </cell>
        </row>
        <row r="28063">
          <cell r="E28063" t="str">
            <v>HLOB-09-0213-00</v>
          </cell>
          <cell r="F28063">
            <v>396432579373</v>
          </cell>
        </row>
        <row r="28064">
          <cell r="E28064" t="str">
            <v>HLOB-09-0213-00</v>
          </cell>
          <cell r="F28064">
            <v>396432579373</v>
          </cell>
        </row>
        <row r="28065">
          <cell r="E28065" t="str">
            <v>HLOB-09-0213-00</v>
          </cell>
          <cell r="F28065">
            <v>396432579373</v>
          </cell>
        </row>
        <row r="28066">
          <cell r="E28066" t="str">
            <v>HLOB-09-0213-00</v>
          </cell>
          <cell r="F28066">
            <v>396432579373</v>
          </cell>
        </row>
        <row r="28067">
          <cell r="E28067" t="str">
            <v>LUC-E00-470083-00</v>
          </cell>
          <cell r="F28067">
            <v>396432579373</v>
          </cell>
        </row>
        <row r="28068">
          <cell r="E28068" t="str">
            <v>LUC-E00-470001-00</v>
          </cell>
          <cell r="F28068">
            <v>396432579373</v>
          </cell>
        </row>
        <row r="28069">
          <cell r="E28069" t="str">
            <v>LUC-E00-470472-00</v>
          </cell>
          <cell r="F28069">
            <v>396432579373</v>
          </cell>
        </row>
        <row r="28070">
          <cell r="E28070" t="str">
            <v>LUC-E00-460005-00</v>
          </cell>
          <cell r="F28070">
            <v>886875934570</v>
          </cell>
        </row>
        <row r="28071">
          <cell r="E28071" t="str">
            <v>LUC-E00-510021-00</v>
          </cell>
          <cell r="F28071">
            <v>886875934570</v>
          </cell>
        </row>
        <row r="28072">
          <cell r="E28072" t="str">
            <v>LUC-EZZ-510640-00</v>
          </cell>
          <cell r="F28072">
            <v>886875934570</v>
          </cell>
        </row>
        <row r="28073">
          <cell r="E28073" t="str">
            <v>LUC-E00-460005-00</v>
          </cell>
          <cell r="F28073">
            <v>886875934570</v>
          </cell>
        </row>
        <row r="28074">
          <cell r="E28074" t="str">
            <v>EF-45171576</v>
          </cell>
          <cell r="F28074">
            <v>886867704026</v>
          </cell>
        </row>
        <row r="28075">
          <cell r="E28075" t="str">
            <v>PUR-07-0167-00</v>
          </cell>
          <cell r="F28075">
            <v>886868048240</v>
          </cell>
        </row>
        <row r="28076">
          <cell r="E28076" t="str">
            <v>AIC-MP-IC004977-S01</v>
          </cell>
          <cell r="F28076">
            <v>396432178230</v>
          </cell>
        </row>
        <row r="28077">
          <cell r="E28077" t="str">
            <v>LUC-E00-470274-00</v>
          </cell>
          <cell r="F28077">
            <v>396432178230</v>
          </cell>
        </row>
        <row r="28078">
          <cell r="E28078" t="str">
            <v>PUR-11-0138-06</v>
          </cell>
          <cell r="F28078">
            <v>586385860379</v>
          </cell>
        </row>
        <row r="28079">
          <cell r="E28079" t="str">
            <v>PUR-11-0138-06</v>
          </cell>
          <cell r="F28079">
            <v>586385860379</v>
          </cell>
        </row>
        <row r="28080">
          <cell r="E28080" t="str">
            <v>HLOB-09-0434-00</v>
          </cell>
          <cell r="F28080">
            <v>396444246013</v>
          </cell>
        </row>
        <row r="28081">
          <cell r="E28081" t="str">
            <v>LUC-EZZ-470811-00</v>
          </cell>
          <cell r="F28081">
            <v>396435469530</v>
          </cell>
        </row>
        <row r="28082">
          <cell r="E28082" t="str">
            <v>LUC-EZZ-470811-00</v>
          </cell>
          <cell r="F28082">
            <v>396435469530</v>
          </cell>
        </row>
        <row r="28083">
          <cell r="E28083" t="str">
            <v>LUC-EZZ-470811-00</v>
          </cell>
          <cell r="F28083">
            <v>396435469530</v>
          </cell>
        </row>
        <row r="28084">
          <cell r="E28084" t="str">
            <v>LUC-EZZ-470811-00</v>
          </cell>
          <cell r="F28084">
            <v>396435469530</v>
          </cell>
        </row>
        <row r="28085">
          <cell r="E28085" t="str">
            <v>LUC-EZZ-470811-00</v>
          </cell>
          <cell r="F28085">
            <v>396435469530</v>
          </cell>
        </row>
        <row r="28086">
          <cell r="E28086" t="str">
            <v>LUC-EZZ-470181-00</v>
          </cell>
          <cell r="F28086">
            <v>396435469530</v>
          </cell>
        </row>
        <row r="28087">
          <cell r="E28087" t="str">
            <v>121-000113.X.X</v>
          </cell>
          <cell r="F28087">
            <v>886855019909</v>
          </cell>
        </row>
        <row r="28088">
          <cell r="E28088" t="str">
            <v>LUC-EZZ-691595-00</v>
          </cell>
          <cell r="F28088">
            <v>4110331771</v>
          </cell>
        </row>
        <row r="28089">
          <cell r="E28089" t="str">
            <v>LUC-E00-690001-00</v>
          </cell>
          <cell r="F28089">
            <v>4110331724</v>
          </cell>
        </row>
        <row r="28090">
          <cell r="E28090" t="str">
            <v>LUC-EZZ-400246-00</v>
          </cell>
          <cell r="F28090">
            <v>5093657715</v>
          </cell>
        </row>
        <row r="28091">
          <cell r="E28091" t="str">
            <v>LUC-EZZ-420536-00</v>
          </cell>
          <cell r="F28091">
            <v>5093657715</v>
          </cell>
        </row>
        <row r="28092">
          <cell r="E28092" t="str">
            <v>LUC-E00-400018-000</v>
          </cell>
          <cell r="F28092">
            <v>5093657715</v>
          </cell>
        </row>
        <row r="28093">
          <cell r="E28093" t="str">
            <v>PUR-27-0028-00</v>
          </cell>
          <cell r="F28093">
            <v>5093657715</v>
          </cell>
        </row>
        <row r="28094">
          <cell r="E28094" t="str">
            <v>LUC-EZZ-400209-00</v>
          </cell>
          <cell r="F28094">
            <v>5093657715</v>
          </cell>
        </row>
        <row r="28095">
          <cell r="E28095" t="str">
            <v>LUC-E00-400047-00</v>
          </cell>
          <cell r="F28095">
            <v>5093657715</v>
          </cell>
        </row>
        <row r="28096">
          <cell r="E28096" t="str">
            <v>LUC-E00-400067-391</v>
          </cell>
          <cell r="F28096">
            <v>5093657715</v>
          </cell>
        </row>
        <row r="28097">
          <cell r="E28097" t="str">
            <v>LUC-P11-K41700-00</v>
          </cell>
          <cell r="F28097">
            <v>5093657715</v>
          </cell>
        </row>
        <row r="28098">
          <cell r="E28098" t="str">
            <v>LUC-E00-420076-00</v>
          </cell>
          <cell r="F28098">
            <v>6675803724</v>
          </cell>
        </row>
        <row r="28099">
          <cell r="E28099" t="str">
            <v>LUC-E00-400010-048</v>
          </cell>
          <cell r="F28099">
            <v>6675803724</v>
          </cell>
        </row>
        <row r="28100">
          <cell r="E28100" t="str">
            <v>LUC-E00-420020-03</v>
          </cell>
          <cell r="F28100">
            <v>6675803724</v>
          </cell>
        </row>
        <row r="28101">
          <cell r="E28101" t="str">
            <v>LUC-E00-420037-09</v>
          </cell>
          <cell r="F28101">
            <v>6675803724</v>
          </cell>
        </row>
        <row r="28102">
          <cell r="E28102" t="str">
            <v>LUC-E00-420058-00</v>
          </cell>
          <cell r="F28102">
            <v>6675803724</v>
          </cell>
        </row>
        <row r="28103">
          <cell r="E28103" t="str">
            <v>LUC-E00-420020-03</v>
          </cell>
          <cell r="F28103">
            <v>6675803724</v>
          </cell>
        </row>
        <row r="28104">
          <cell r="E28104" t="str">
            <v>LUC-E00-420020-03</v>
          </cell>
          <cell r="F28104">
            <v>6675803724</v>
          </cell>
        </row>
        <row r="28105">
          <cell r="E28105" t="str">
            <v>LUC-E00-470090-00</v>
          </cell>
          <cell r="F28105">
            <v>6675803724</v>
          </cell>
        </row>
        <row r="28106">
          <cell r="E28106" t="str">
            <v>LUC-E00-470059-00</v>
          </cell>
          <cell r="F28106">
            <v>6675803724</v>
          </cell>
        </row>
        <row r="28107">
          <cell r="E28107" t="str">
            <v>LUC-E00-460038-00</v>
          </cell>
          <cell r="F28107">
            <v>6675803724</v>
          </cell>
        </row>
        <row r="28108">
          <cell r="E28108" t="str">
            <v>LUC-E00-510064-00</v>
          </cell>
          <cell r="F28108">
            <v>6675803724</v>
          </cell>
        </row>
        <row r="28109">
          <cell r="E28109" t="str">
            <v>LUC-E00-450148-01</v>
          </cell>
          <cell r="F28109">
            <v>6675803724</v>
          </cell>
        </row>
        <row r="28110">
          <cell r="E28110" t="str">
            <v>LUC-E00-440029-00</v>
          </cell>
          <cell r="F28110">
            <v>6675803724</v>
          </cell>
        </row>
        <row r="28111">
          <cell r="E28111" t="str">
            <v>LUC-EZZ-400475-00</v>
          </cell>
          <cell r="F28111">
            <v>6675803724</v>
          </cell>
        </row>
        <row r="28112">
          <cell r="E28112" t="str">
            <v>LUC-E00-510084-00</v>
          </cell>
          <cell r="F28112">
            <v>6675803724</v>
          </cell>
        </row>
        <row r="28113">
          <cell r="E28113" t="str">
            <v>LUC-E00-480015-01</v>
          </cell>
          <cell r="F28113">
            <v>6675803724</v>
          </cell>
        </row>
        <row r="28114">
          <cell r="E28114" t="str">
            <v>LUC-E00-510045-00</v>
          </cell>
          <cell r="F28114">
            <v>6675803724</v>
          </cell>
        </row>
        <row r="28115">
          <cell r="E28115" t="str">
            <v>LUC-E00-510041-00</v>
          </cell>
          <cell r="F28115">
            <v>6675803724</v>
          </cell>
        </row>
        <row r="28116">
          <cell r="E28116" t="str">
            <v>LUC-E00-460001-01</v>
          </cell>
          <cell r="F28116">
            <v>6675803724</v>
          </cell>
        </row>
        <row r="28117">
          <cell r="E28117" t="str">
            <v>LUC-E00-470048-00</v>
          </cell>
          <cell r="F28117">
            <v>6675803724</v>
          </cell>
        </row>
        <row r="28118">
          <cell r="E28118" t="str">
            <v>LUC-E00-400056-00</v>
          </cell>
          <cell r="F28118">
            <v>6675803724</v>
          </cell>
        </row>
        <row r="28119">
          <cell r="E28119" t="str">
            <v>LUC-E00-420054-04</v>
          </cell>
          <cell r="F28119">
            <v>6675803724</v>
          </cell>
        </row>
        <row r="28120">
          <cell r="E28120" t="str">
            <v>LUC-E00-510030-00</v>
          </cell>
          <cell r="F28120">
            <v>6675803724</v>
          </cell>
        </row>
        <row r="28121">
          <cell r="E28121" t="str">
            <v>LUC-EZZ-420094-00</v>
          </cell>
          <cell r="F28121">
            <v>6675803724</v>
          </cell>
        </row>
        <row r="28122">
          <cell r="E28122" t="str">
            <v>LUC-EZZ-470696-00</v>
          </cell>
          <cell r="F28122">
            <v>6675803724</v>
          </cell>
        </row>
        <row r="28123">
          <cell r="E28123" t="str">
            <v>LUC-E00-420059-03</v>
          </cell>
          <cell r="F28123">
            <v>6675803724</v>
          </cell>
        </row>
        <row r="28124">
          <cell r="E28124" t="str">
            <v>LUC-E00-510064-00</v>
          </cell>
          <cell r="F28124">
            <v>6675803724</v>
          </cell>
        </row>
        <row r="28125">
          <cell r="E28125" t="str">
            <v>LUC-E00-420045-02</v>
          </cell>
          <cell r="F28125">
            <v>6675803724</v>
          </cell>
        </row>
        <row r="28126">
          <cell r="E28126" t="str">
            <v>LUC-EZZ-421047-00</v>
          </cell>
          <cell r="F28126">
            <v>6675803724</v>
          </cell>
        </row>
        <row r="28127">
          <cell r="E28127" t="str">
            <v>LUC-EZZ-420002-00</v>
          </cell>
          <cell r="F28127">
            <v>6675803724</v>
          </cell>
        </row>
        <row r="28128">
          <cell r="E28128" t="str">
            <v>LUC-E00-420057-01</v>
          </cell>
          <cell r="F28128">
            <v>6675803724</v>
          </cell>
        </row>
        <row r="28129">
          <cell r="E28129" t="str">
            <v>LUC-EZZ-420002-00</v>
          </cell>
          <cell r="F28129">
            <v>6675803724</v>
          </cell>
        </row>
        <row r="28130">
          <cell r="E28130" t="str">
            <v>LUC-EZZ-420002-00</v>
          </cell>
          <cell r="F28130">
            <v>6675803724</v>
          </cell>
        </row>
        <row r="28131">
          <cell r="E28131" t="str">
            <v>LUC-EZZ-420002-00</v>
          </cell>
          <cell r="F28131">
            <v>6675803724</v>
          </cell>
        </row>
        <row r="28132">
          <cell r="E28132" t="str">
            <v>LUC-E00-400010-020</v>
          </cell>
          <cell r="F28132">
            <v>6675803724</v>
          </cell>
        </row>
        <row r="28133">
          <cell r="E28133" t="str">
            <v>LUC-E00-400067-143</v>
          </cell>
          <cell r="F28133">
            <v>6675803724</v>
          </cell>
        </row>
        <row r="28134">
          <cell r="E28134" t="str">
            <v>LUC-E00-420002-10</v>
          </cell>
          <cell r="F28134">
            <v>6675803724</v>
          </cell>
        </row>
        <row r="28135">
          <cell r="E28135" t="str">
            <v>LUC-EZZ-420490-00</v>
          </cell>
          <cell r="F28135">
            <v>6675803724</v>
          </cell>
        </row>
        <row r="28136">
          <cell r="E28136" t="str">
            <v>LUC-E00-510066-00</v>
          </cell>
          <cell r="F28136">
            <v>6675803724</v>
          </cell>
        </row>
        <row r="28137">
          <cell r="E28137" t="str">
            <v>LUC-EZZ-420136-00</v>
          </cell>
          <cell r="F28137">
            <v>6675803724</v>
          </cell>
        </row>
        <row r="28138">
          <cell r="E28138" t="str">
            <v>LUC-EZZ-470431-00</v>
          </cell>
          <cell r="F28138">
            <v>6675803724</v>
          </cell>
        </row>
        <row r="28139">
          <cell r="E28139" t="str">
            <v>LUC-E00-420069-00</v>
          </cell>
          <cell r="F28139">
            <v>6675803724</v>
          </cell>
        </row>
        <row r="28140">
          <cell r="E28140" t="str">
            <v>LUC-E00-450060-00</v>
          </cell>
          <cell r="F28140">
            <v>6675803724</v>
          </cell>
        </row>
        <row r="28141">
          <cell r="E28141" t="str">
            <v>LUC-E00-440047-00</v>
          </cell>
          <cell r="F28141">
            <v>6675803724</v>
          </cell>
        </row>
        <row r="28142">
          <cell r="E28142" t="str">
            <v>LUC-E00-510066-00</v>
          </cell>
          <cell r="F28142">
            <v>6675803724</v>
          </cell>
        </row>
        <row r="28143">
          <cell r="E28143" t="str">
            <v>LUC-E00-420057-00</v>
          </cell>
          <cell r="F28143">
            <v>6675803724</v>
          </cell>
        </row>
        <row r="28144">
          <cell r="E28144" t="str">
            <v>LUC-E00-480008-00</v>
          </cell>
          <cell r="F28144">
            <v>6675803724</v>
          </cell>
        </row>
        <row r="28145">
          <cell r="E28145" t="str">
            <v>LUC-E00-510045-00</v>
          </cell>
          <cell r="F28145">
            <v>6675803724</v>
          </cell>
        </row>
        <row r="28146">
          <cell r="E28146" t="str">
            <v>PURET-24-0008-00</v>
          </cell>
          <cell r="F28146">
            <v>6675803724</v>
          </cell>
        </row>
        <row r="28147">
          <cell r="E28147" t="str">
            <v>LUC-E00-470318-00</v>
          </cell>
          <cell r="F28147">
            <v>6675803724</v>
          </cell>
        </row>
        <row r="28148">
          <cell r="E28148" t="str">
            <v>LUC-E00-470318-00</v>
          </cell>
          <cell r="F28148">
            <v>6675803724</v>
          </cell>
        </row>
        <row r="28149">
          <cell r="E28149" t="str">
            <v>LUC-E00-400010-037</v>
          </cell>
          <cell r="F28149">
            <v>6675803724</v>
          </cell>
        </row>
        <row r="28150">
          <cell r="E28150" t="str">
            <v>LUC-E00-470242-00</v>
          </cell>
          <cell r="F28150">
            <v>6675803724</v>
          </cell>
        </row>
        <row r="28151">
          <cell r="E28151" t="str">
            <v>LUC-E00-400010-008</v>
          </cell>
          <cell r="F28151">
            <v>6675803724</v>
          </cell>
        </row>
        <row r="28152">
          <cell r="E28152" t="str">
            <v>LUC-E00-400010-050</v>
          </cell>
          <cell r="F28152">
            <v>6675803724</v>
          </cell>
        </row>
        <row r="28153">
          <cell r="E28153" t="str">
            <v>LUC-EZZ-400414-00</v>
          </cell>
          <cell r="F28153">
            <v>6675803724</v>
          </cell>
        </row>
        <row r="28154">
          <cell r="E28154" t="str">
            <v>LUC-EZZ-400414-00</v>
          </cell>
          <cell r="F28154">
            <v>6675803724</v>
          </cell>
        </row>
        <row r="28155">
          <cell r="E28155" t="str">
            <v>LUC-EZZ-400414-00</v>
          </cell>
          <cell r="F28155">
            <v>6675803724</v>
          </cell>
        </row>
        <row r="28156">
          <cell r="E28156" t="str">
            <v>LUC-E00-470265-00</v>
          </cell>
          <cell r="F28156">
            <v>6675803724</v>
          </cell>
        </row>
        <row r="28157">
          <cell r="E28157" t="str">
            <v>LUC-E00-470265-00</v>
          </cell>
          <cell r="F28157">
            <v>6675803724</v>
          </cell>
        </row>
        <row r="28158">
          <cell r="E28158" t="str">
            <v>LUC-E00-470265-00</v>
          </cell>
          <cell r="F28158">
            <v>6675803724</v>
          </cell>
        </row>
        <row r="28159">
          <cell r="E28159" t="str">
            <v>LUC-E00-400001-010</v>
          </cell>
          <cell r="F28159">
            <v>6675803724</v>
          </cell>
        </row>
        <row r="28160">
          <cell r="E28160" t="str">
            <v>LUC-E00-400001-010</v>
          </cell>
          <cell r="F28160">
            <v>6675803724</v>
          </cell>
        </row>
        <row r="28161">
          <cell r="E28161" t="str">
            <v>LUC-EZZ-400204-00</v>
          </cell>
          <cell r="F28161">
            <v>6675803724</v>
          </cell>
        </row>
        <row r="28162">
          <cell r="E28162" t="str">
            <v>LUC-E00-400010-034</v>
          </cell>
          <cell r="F28162">
            <v>6675803724</v>
          </cell>
        </row>
        <row r="28163">
          <cell r="E28163" t="str">
            <v>LUC-E00-400010-034</v>
          </cell>
          <cell r="F28163">
            <v>6675803724</v>
          </cell>
        </row>
        <row r="28164">
          <cell r="E28164" t="str">
            <v>LUC-E00-400001-010</v>
          </cell>
          <cell r="F28164">
            <v>6675803724</v>
          </cell>
        </row>
        <row r="28165">
          <cell r="E28165" t="str">
            <v>LUC-E00-400001-010</v>
          </cell>
          <cell r="F28165">
            <v>6675803724</v>
          </cell>
        </row>
        <row r="28166">
          <cell r="E28166" t="str">
            <v>LUC-EZZ-400204-00</v>
          </cell>
          <cell r="F28166">
            <v>6675803724</v>
          </cell>
        </row>
        <row r="28167">
          <cell r="E28167" t="str">
            <v>LUC-EZZ-400204-00</v>
          </cell>
          <cell r="F28167">
            <v>6675803724</v>
          </cell>
        </row>
        <row r="28168">
          <cell r="E28168" t="str">
            <v>LUC-E00-400001-010</v>
          </cell>
          <cell r="F28168">
            <v>6675803724</v>
          </cell>
        </row>
        <row r="28169">
          <cell r="E28169" t="str">
            <v>LUC-E00-400054-01</v>
          </cell>
          <cell r="F28169">
            <v>6675803724</v>
          </cell>
        </row>
        <row r="28170">
          <cell r="E28170" t="str">
            <v>LUC-E00-420027-03</v>
          </cell>
          <cell r="F28170">
            <v>6675803724</v>
          </cell>
        </row>
        <row r="28171">
          <cell r="E28171" t="str">
            <v>LUC-E00-470062-00</v>
          </cell>
          <cell r="F28171">
            <v>6675803724</v>
          </cell>
        </row>
        <row r="28172">
          <cell r="E28172" t="str">
            <v>LUC-E00-420027-03</v>
          </cell>
          <cell r="F28172">
            <v>6675803724</v>
          </cell>
        </row>
        <row r="28173">
          <cell r="E28173" t="str">
            <v>LUC-E00-400001-013</v>
          </cell>
          <cell r="F28173">
            <v>6675803724</v>
          </cell>
        </row>
        <row r="28174">
          <cell r="E28174" t="str">
            <v>LUC-E00-400001-013</v>
          </cell>
          <cell r="F28174">
            <v>6675803724</v>
          </cell>
        </row>
        <row r="28175">
          <cell r="E28175" t="str">
            <v>LUC-EZZ-400291-00</v>
          </cell>
          <cell r="F28175">
            <v>6675803724</v>
          </cell>
        </row>
        <row r="28176">
          <cell r="E28176" t="str">
            <v>LUC-EZZ-400291-00</v>
          </cell>
          <cell r="F28176">
            <v>6675803724</v>
          </cell>
        </row>
        <row r="28177">
          <cell r="E28177" t="str">
            <v>LUC-E00-420171-00</v>
          </cell>
          <cell r="F28177">
            <v>6675803724</v>
          </cell>
        </row>
        <row r="28178">
          <cell r="E28178" t="str">
            <v>LUC-E00-420171-00</v>
          </cell>
          <cell r="F28178">
            <v>6675803724</v>
          </cell>
        </row>
        <row r="28179">
          <cell r="E28179" t="str">
            <v>LUC-E00-420171-00</v>
          </cell>
          <cell r="F28179">
            <v>6675803724</v>
          </cell>
        </row>
        <row r="28180">
          <cell r="E28180" t="str">
            <v>LUC-EZZ-400265-00</v>
          </cell>
          <cell r="F28180">
            <v>6675803724</v>
          </cell>
        </row>
        <row r="28181">
          <cell r="E28181" t="str">
            <v>LUC-EZZ-420094-00</v>
          </cell>
          <cell r="F28181">
            <v>6675803724</v>
          </cell>
        </row>
        <row r="28182">
          <cell r="E28182" t="str">
            <v>LUC-EZZ-420094-00</v>
          </cell>
          <cell r="F28182">
            <v>6675803724</v>
          </cell>
        </row>
        <row r="28183">
          <cell r="E28183" t="str">
            <v>LUC-E00-420054-00</v>
          </cell>
          <cell r="F28183">
            <v>6675803724</v>
          </cell>
        </row>
        <row r="28184">
          <cell r="E28184" t="str">
            <v>LUC-EZZ-420089-00</v>
          </cell>
          <cell r="F28184">
            <v>6675803724</v>
          </cell>
        </row>
        <row r="28185">
          <cell r="E28185" t="str">
            <v>LUC-E00-470301-00</v>
          </cell>
          <cell r="F28185">
            <v>6675803724</v>
          </cell>
        </row>
        <row r="28186">
          <cell r="E28186" t="str">
            <v>LUC-E00-420027-03</v>
          </cell>
          <cell r="F28186">
            <v>6675803724</v>
          </cell>
        </row>
        <row r="28187">
          <cell r="E28187" t="str">
            <v>LUC-E00-460023-00</v>
          </cell>
          <cell r="F28187">
            <v>6675803724</v>
          </cell>
        </row>
        <row r="28188">
          <cell r="E28188" t="str">
            <v>LUC-EZZ-470431-00</v>
          </cell>
          <cell r="F28188">
            <v>6675803724</v>
          </cell>
        </row>
        <row r="28189">
          <cell r="E28189" t="str">
            <v>LUC-E00-510112-00</v>
          </cell>
          <cell r="F28189">
            <v>6675803724</v>
          </cell>
        </row>
        <row r="28190">
          <cell r="E28190" t="str">
            <v>LUC-E00-510112-00</v>
          </cell>
          <cell r="F28190">
            <v>6675803724</v>
          </cell>
        </row>
        <row r="28191">
          <cell r="E28191" t="str">
            <v>LUC-E00-440029-00</v>
          </cell>
          <cell r="F28191">
            <v>6675803724</v>
          </cell>
        </row>
        <row r="28192">
          <cell r="E28192" t="str">
            <v>LUC-E00-510030-00</v>
          </cell>
          <cell r="F28192">
            <v>6675803724</v>
          </cell>
        </row>
        <row r="28193">
          <cell r="E28193" t="str">
            <v>LUC-E00-510041-00</v>
          </cell>
          <cell r="F28193">
            <v>6675803724</v>
          </cell>
        </row>
        <row r="28194">
          <cell r="E28194" t="str">
            <v>LUC-E00-510028-00</v>
          </cell>
          <cell r="F28194">
            <v>6675803724</v>
          </cell>
        </row>
        <row r="28195">
          <cell r="E28195" t="str">
            <v>LUC-E00-440057-00</v>
          </cell>
          <cell r="F28195">
            <v>6675803724</v>
          </cell>
        </row>
        <row r="28196">
          <cell r="E28196" t="str">
            <v>LUC-E00-510031-00</v>
          </cell>
          <cell r="F28196">
            <v>6675803724</v>
          </cell>
        </row>
        <row r="28197">
          <cell r="E28197" t="str">
            <v>LUC-E00-480008-00</v>
          </cell>
          <cell r="F28197">
            <v>6675803724</v>
          </cell>
        </row>
        <row r="28198">
          <cell r="E28198" t="str">
            <v>LUC-E00-460008-00</v>
          </cell>
          <cell r="F28198">
            <v>6675803724</v>
          </cell>
        </row>
        <row r="28199">
          <cell r="E28199" t="str">
            <v>LUC-E00-460008-00</v>
          </cell>
          <cell r="F28199">
            <v>6675803724</v>
          </cell>
        </row>
        <row r="28200">
          <cell r="E28200" t="str">
            <v>LUC-E00-510041-00</v>
          </cell>
          <cell r="F28200">
            <v>6675803724</v>
          </cell>
        </row>
        <row r="28201">
          <cell r="E28201" t="str">
            <v>LUC-E00-420076-00</v>
          </cell>
          <cell r="F28201">
            <v>6675803724</v>
          </cell>
        </row>
        <row r="28202">
          <cell r="E28202" t="str">
            <v>LUC-E00-510041-00</v>
          </cell>
          <cell r="F28202">
            <v>6675803724</v>
          </cell>
        </row>
        <row r="28203">
          <cell r="E28203" t="str">
            <v>LUC-E00-400010-043</v>
          </cell>
          <cell r="F28203">
            <v>6675803724</v>
          </cell>
        </row>
        <row r="28204">
          <cell r="E28204" t="str">
            <v>LUC-E00-510041-00</v>
          </cell>
          <cell r="F28204">
            <v>6675803724</v>
          </cell>
        </row>
        <row r="28205">
          <cell r="E28205" t="str">
            <v>LUC-E00-480015-01</v>
          </cell>
          <cell r="F28205">
            <v>6675803724</v>
          </cell>
        </row>
        <row r="28206">
          <cell r="E28206" t="str">
            <v>LUC-E00-400044-00</v>
          </cell>
          <cell r="F28206">
            <v>6675803724</v>
          </cell>
        </row>
        <row r="28207">
          <cell r="E28207" t="str">
            <v>LUC-EZZ-421047-00</v>
          </cell>
          <cell r="F28207">
            <v>6675803724</v>
          </cell>
        </row>
        <row r="28208">
          <cell r="E28208" t="str">
            <v>LUC-EZZ-450060-00</v>
          </cell>
          <cell r="F28208">
            <v>6675803724</v>
          </cell>
        </row>
        <row r="28209">
          <cell r="E28209" t="str">
            <v>LUC-EZZ-440206-00</v>
          </cell>
          <cell r="F28209">
            <v>6675803724</v>
          </cell>
        </row>
        <row r="28210">
          <cell r="E28210" t="str">
            <v>LUC-EZZ-440206-00</v>
          </cell>
          <cell r="F28210">
            <v>6675803724</v>
          </cell>
        </row>
        <row r="28211">
          <cell r="E28211" t="str">
            <v>LUC-EZZ-470424-00</v>
          </cell>
          <cell r="F28211">
            <v>6675803724</v>
          </cell>
        </row>
        <row r="28212">
          <cell r="E28212" t="str">
            <v>LUC-EZZ-420136-00</v>
          </cell>
          <cell r="F28212">
            <v>6675803724</v>
          </cell>
        </row>
        <row r="28213">
          <cell r="E28213" t="str">
            <v>LUC-E00-420019-00</v>
          </cell>
          <cell r="F28213">
            <v>6675803724</v>
          </cell>
        </row>
        <row r="28214">
          <cell r="E28214" t="str">
            <v>LUC-E00-460001-01</v>
          </cell>
          <cell r="F28214">
            <v>6675803724</v>
          </cell>
        </row>
        <row r="28215">
          <cell r="E28215" t="str">
            <v>LUC-E00-400044-00</v>
          </cell>
          <cell r="F28215">
            <v>6675803724</v>
          </cell>
        </row>
        <row r="28216">
          <cell r="E28216" t="str">
            <v>LUC-EZZ-400228-00</v>
          </cell>
          <cell r="F28216">
            <v>6675803724</v>
          </cell>
        </row>
        <row r="28217">
          <cell r="E28217" t="str">
            <v>LUC-EZZ-401719-00</v>
          </cell>
          <cell r="F28217">
            <v>6675803724</v>
          </cell>
        </row>
        <row r="28218">
          <cell r="E28218" t="str">
            <v>LUC-E00-470089-00</v>
          </cell>
          <cell r="F28218">
            <v>6675803724</v>
          </cell>
        </row>
        <row r="28219">
          <cell r="E28219" t="str">
            <v>LUC-E00-470047-00</v>
          </cell>
          <cell r="F28219">
            <v>6675803724</v>
          </cell>
        </row>
        <row r="28220">
          <cell r="E28220" t="str">
            <v>LUC-EZZ-470464-00</v>
          </cell>
          <cell r="F28220">
            <v>6675803724</v>
          </cell>
        </row>
        <row r="28221">
          <cell r="E28221" t="str">
            <v>LUC-EZZ-400301-00</v>
          </cell>
          <cell r="F28221">
            <v>6675803724</v>
          </cell>
        </row>
        <row r="28222">
          <cell r="E28222" t="str">
            <v>LUC-E00-420060-00</v>
          </cell>
          <cell r="F28222">
            <v>6675803724</v>
          </cell>
        </row>
        <row r="28223">
          <cell r="E28223" t="str">
            <v>LUC-EZZ-420121-00</v>
          </cell>
          <cell r="F28223">
            <v>6675803724</v>
          </cell>
        </row>
        <row r="28224">
          <cell r="E28224" t="str">
            <v>LUC-EZZ-400455-00</v>
          </cell>
          <cell r="F28224">
            <v>6675803724</v>
          </cell>
        </row>
        <row r="28225">
          <cell r="E28225" t="str">
            <v>LUC-EZZ-420281-00</v>
          </cell>
          <cell r="F28225">
            <v>6675803724</v>
          </cell>
        </row>
        <row r="28226">
          <cell r="E28226" t="str">
            <v>LUC-E00-470123-00</v>
          </cell>
          <cell r="F28226">
            <v>6675803724</v>
          </cell>
        </row>
        <row r="28227">
          <cell r="E28227" t="str">
            <v>LUC-EZZ-420014-00</v>
          </cell>
          <cell r="F28227">
            <v>6675803724</v>
          </cell>
        </row>
        <row r="28228">
          <cell r="E28228" t="str">
            <v>LUC-EZZ-420110-00</v>
          </cell>
          <cell r="F28228">
            <v>6675803724</v>
          </cell>
        </row>
        <row r="28229">
          <cell r="E28229" t="str">
            <v>LUC-E00-450075-00</v>
          </cell>
          <cell r="F28229">
            <v>6675803724</v>
          </cell>
        </row>
        <row r="28230">
          <cell r="E28230" t="str">
            <v>LUC-E00-400003-011</v>
          </cell>
          <cell r="F28230">
            <v>6675803724</v>
          </cell>
        </row>
        <row r="28231">
          <cell r="E28231" t="str">
            <v>LUC-E00-420056-00</v>
          </cell>
          <cell r="F28231">
            <v>6675803724</v>
          </cell>
        </row>
        <row r="28232">
          <cell r="E28232" t="str">
            <v>LUC-E00-420050-00</v>
          </cell>
          <cell r="F28232">
            <v>6675803724</v>
          </cell>
        </row>
        <row r="28233">
          <cell r="E28233" t="str">
            <v>LUC-E00-420116-01</v>
          </cell>
          <cell r="F28233">
            <v>6675803724</v>
          </cell>
        </row>
        <row r="28234">
          <cell r="E28234" t="str">
            <v>LUC-EZZ-450620-00</v>
          </cell>
          <cell r="F28234">
            <v>6675803724</v>
          </cell>
        </row>
        <row r="28235">
          <cell r="E28235" t="str">
            <v>LUC-EZZ-420320-00</v>
          </cell>
          <cell r="F28235">
            <v>6675803724</v>
          </cell>
        </row>
        <row r="28236">
          <cell r="E28236" t="str">
            <v>LUC-E00-400056-01</v>
          </cell>
          <cell r="F28236">
            <v>6675803724</v>
          </cell>
        </row>
        <row r="28237">
          <cell r="E28237" t="str">
            <v>LUC-EZZ-420490-00</v>
          </cell>
          <cell r="F28237">
            <v>6675803724</v>
          </cell>
        </row>
        <row r="28238">
          <cell r="E28238" t="str">
            <v>LUC-EZZ-450476-00</v>
          </cell>
          <cell r="F28238">
            <v>6675803724</v>
          </cell>
        </row>
        <row r="28239">
          <cell r="E28239" t="str">
            <v>LUC-E00-440148-00</v>
          </cell>
          <cell r="F28239">
            <v>6675803724</v>
          </cell>
        </row>
        <row r="28240">
          <cell r="E28240" t="str">
            <v>LUC-E00-400010-037</v>
          </cell>
          <cell r="F28240">
            <v>6675803724</v>
          </cell>
        </row>
        <row r="28241">
          <cell r="E28241" t="str">
            <v>LUC-E00-470318-00</v>
          </cell>
          <cell r="F28241">
            <v>6675803724</v>
          </cell>
        </row>
        <row r="28242">
          <cell r="E28242" t="str">
            <v>LUC-E00-400010-007</v>
          </cell>
          <cell r="F28242">
            <v>6675803724</v>
          </cell>
        </row>
        <row r="28243">
          <cell r="E28243" t="str">
            <v>LUC-E00-400010-037</v>
          </cell>
          <cell r="F28243">
            <v>6675803724</v>
          </cell>
        </row>
        <row r="28244">
          <cell r="E28244" t="str">
            <v>LUC-E00-420027-03</v>
          </cell>
          <cell r="F28244">
            <v>6675803724</v>
          </cell>
        </row>
        <row r="28245">
          <cell r="E28245" t="str">
            <v>LUC-E00-400010-007</v>
          </cell>
          <cell r="F28245">
            <v>6675803724</v>
          </cell>
        </row>
        <row r="28246">
          <cell r="E28246" t="str">
            <v>LUC-E00-400010-008</v>
          </cell>
          <cell r="F28246">
            <v>6675803724</v>
          </cell>
        </row>
        <row r="28247">
          <cell r="E28247" t="str">
            <v>LUC-E00-400010-013</v>
          </cell>
          <cell r="F28247">
            <v>6675803724</v>
          </cell>
        </row>
        <row r="28248">
          <cell r="E28248" t="str">
            <v>LUC-E00-400067-111</v>
          </cell>
          <cell r="F28248">
            <v>6675803724</v>
          </cell>
        </row>
        <row r="28249">
          <cell r="E28249" t="str">
            <v>LUC-E00-400067-111</v>
          </cell>
          <cell r="F28249">
            <v>6675803724</v>
          </cell>
        </row>
        <row r="28250">
          <cell r="E28250" t="str">
            <v>LUC-EZZ-471023-00</v>
          </cell>
          <cell r="F28250">
            <v>6675803724</v>
          </cell>
        </row>
        <row r="28251">
          <cell r="E28251" t="str">
            <v>LUC-E00-400001-013</v>
          </cell>
          <cell r="F28251">
            <v>6675803724</v>
          </cell>
        </row>
        <row r="28252">
          <cell r="E28252" t="str">
            <v>LUC-EZZ-400291-00</v>
          </cell>
          <cell r="F28252">
            <v>6675803724</v>
          </cell>
        </row>
        <row r="28253">
          <cell r="E28253" t="str">
            <v>LUC-E00-400067-211</v>
          </cell>
          <cell r="F28253">
            <v>6675803724</v>
          </cell>
        </row>
        <row r="28254">
          <cell r="E28254" t="str">
            <v>LUC-EZZ-450060-00</v>
          </cell>
          <cell r="F28254">
            <v>6675803724</v>
          </cell>
        </row>
        <row r="28255">
          <cell r="E28255" t="str">
            <v>LUC-EZZ-400291-00</v>
          </cell>
          <cell r="F28255">
            <v>6675803724</v>
          </cell>
        </row>
        <row r="28256">
          <cell r="E28256" t="str">
            <v>LUC-EZZ-400291-00</v>
          </cell>
          <cell r="F28256">
            <v>6675803724</v>
          </cell>
        </row>
        <row r="28257">
          <cell r="E28257" t="str">
            <v>LUC-EZZ-420094-00</v>
          </cell>
          <cell r="F28257">
            <v>6675803724</v>
          </cell>
        </row>
        <row r="28258">
          <cell r="E28258" t="str">
            <v>LUC-EZZ-420089-00</v>
          </cell>
          <cell r="F28258">
            <v>6675803724</v>
          </cell>
        </row>
        <row r="28259">
          <cell r="E28259" t="str">
            <v>LUC-E00-420027-03</v>
          </cell>
          <cell r="F28259">
            <v>6675803724</v>
          </cell>
        </row>
        <row r="28260">
          <cell r="E28260" t="str">
            <v>LUC-EZZ-400210-00</v>
          </cell>
          <cell r="F28260">
            <v>6675803724</v>
          </cell>
        </row>
        <row r="28261">
          <cell r="E28261" t="str">
            <v>LUC-EZZ-420507-00</v>
          </cell>
          <cell r="F28261">
            <v>6675803724</v>
          </cell>
        </row>
        <row r="28262">
          <cell r="E28262" t="str">
            <v>LUC-P11-K2B300-03</v>
          </cell>
          <cell r="F28262" t="str">
            <v>WTPKELHPH250778</v>
          </cell>
        </row>
        <row r="28263">
          <cell r="E28263" t="str">
            <v>LUC-P11-K2B300-03</v>
          </cell>
          <cell r="F28263" t="str">
            <v>WTPKELHPH250778</v>
          </cell>
        </row>
        <row r="28264">
          <cell r="E28264" t="str">
            <v>LUC-EZZ-420140-00</v>
          </cell>
          <cell r="F28264" t="str">
            <v>TXGHPHK25D04</v>
          </cell>
        </row>
        <row r="28265">
          <cell r="E28265" t="str">
            <v>LUC-E00-420037-09</v>
          </cell>
          <cell r="F28265" t="str">
            <v>TXGHPHK25D04</v>
          </cell>
        </row>
        <row r="28266">
          <cell r="E28266" t="str">
            <v>LUC-EZZ-421252-00</v>
          </cell>
          <cell r="F28266" t="str">
            <v>TXGHPHK25D04</v>
          </cell>
        </row>
        <row r="28267">
          <cell r="E28267" t="str">
            <v>LUC-EZZ-420539-00</v>
          </cell>
          <cell r="F28267" t="str">
            <v>TXGHPHK25D04</v>
          </cell>
        </row>
        <row r="28268">
          <cell r="E28268" t="str">
            <v>LUC-EZZ-421534-00</v>
          </cell>
          <cell r="F28268" t="str">
            <v>TXGHPHK25D04</v>
          </cell>
        </row>
        <row r="28269">
          <cell r="E28269" t="str">
            <v>LUC-E00-420037-03</v>
          </cell>
          <cell r="F28269" t="str">
            <v>TXGHPHK25D04</v>
          </cell>
        </row>
        <row r="28270">
          <cell r="E28270" t="str">
            <v>LUC-E00-420011-05</v>
          </cell>
          <cell r="F28270" t="str">
            <v>TXGHPHK25D04</v>
          </cell>
        </row>
        <row r="28271">
          <cell r="E28271" t="str">
            <v>LUC-EZZ-420145-00</v>
          </cell>
          <cell r="F28271" t="str">
            <v>TXGHPHK25D04</v>
          </cell>
        </row>
        <row r="28272">
          <cell r="E28272" t="str">
            <v>LUC-E00-420002-07</v>
          </cell>
          <cell r="F28272" t="str">
            <v>TXGHPHK25D04</v>
          </cell>
        </row>
        <row r="28273">
          <cell r="E28273" t="str">
            <v>LUC-EZZ-420488-00</v>
          </cell>
          <cell r="F28273" t="str">
            <v>TXGHPHK25D04</v>
          </cell>
        </row>
        <row r="28274">
          <cell r="E28274" t="str">
            <v>LUC-EZZ-421554-00</v>
          </cell>
          <cell r="F28274" t="str">
            <v>TXGHPHK25D04</v>
          </cell>
        </row>
        <row r="28275">
          <cell r="E28275" t="str">
            <v>LUC-E00-420038-01</v>
          </cell>
          <cell r="F28275" t="str">
            <v>TXGHPHK25D04</v>
          </cell>
        </row>
        <row r="28276">
          <cell r="E28276" t="str">
            <v>LUC-E00-420037-04</v>
          </cell>
          <cell r="F28276" t="str">
            <v>TXGHPHK25D04</v>
          </cell>
        </row>
        <row r="28277">
          <cell r="E28277" t="str">
            <v>LUC-EZZ-421242-00</v>
          </cell>
          <cell r="F28277" t="str">
            <v>TXGHPHK25D04</v>
          </cell>
        </row>
        <row r="28278">
          <cell r="E28278" t="str">
            <v>LUC-EZZ-420511-00</v>
          </cell>
          <cell r="F28278" t="str">
            <v>TXGHPHK25D04</v>
          </cell>
        </row>
        <row r="28279">
          <cell r="E28279" t="str">
            <v>LUC-EZZ-420365-00</v>
          </cell>
          <cell r="F28279" t="str">
            <v>TXGHPHK25D04</v>
          </cell>
        </row>
        <row r="28280">
          <cell r="E28280" t="str">
            <v>LUC-E00-420037-06</v>
          </cell>
          <cell r="F28280" t="str">
            <v>TXGHPHK25D04</v>
          </cell>
        </row>
        <row r="28281">
          <cell r="E28281" t="str">
            <v>LUC-E00-420060-00</v>
          </cell>
          <cell r="F28281" t="str">
            <v>TXGHPHK25D04</v>
          </cell>
        </row>
        <row r="28282">
          <cell r="E28282" t="str">
            <v>LUC-EZZ-420866-00</v>
          </cell>
          <cell r="F28282" t="str">
            <v>TXGHPHK25D04</v>
          </cell>
        </row>
        <row r="28283">
          <cell r="E28283" t="str">
            <v>LUC-E00-420047-02</v>
          </cell>
          <cell r="F28283" t="str">
            <v>TXGHPHK25D04</v>
          </cell>
        </row>
        <row r="28284">
          <cell r="E28284" t="str">
            <v>LUC-EZZ-421281-00</v>
          </cell>
          <cell r="F28284" t="str">
            <v>TXGHPHK25D04</v>
          </cell>
        </row>
        <row r="28285">
          <cell r="E28285" t="str">
            <v>LUC-E00-420049-00</v>
          </cell>
          <cell r="F28285" t="str">
            <v>TXGHPHK25D04</v>
          </cell>
        </row>
        <row r="28286">
          <cell r="E28286" t="str">
            <v>LUC-EZZ-420098-00</v>
          </cell>
          <cell r="F28286" t="str">
            <v>TXGHPHK25D04</v>
          </cell>
        </row>
        <row r="28287">
          <cell r="E28287" t="str">
            <v>LUC-E00-420048-00</v>
          </cell>
          <cell r="F28287" t="str">
            <v>TXGHPHK25D04</v>
          </cell>
        </row>
        <row r="28288">
          <cell r="E28288" t="str">
            <v>LUC-EZZ-421653-00</v>
          </cell>
          <cell r="F28288" t="str">
            <v>TXGHPHK25D04</v>
          </cell>
        </row>
        <row r="28289">
          <cell r="E28289" t="str">
            <v>LUC-EZZ-420123-00</v>
          </cell>
          <cell r="F28289" t="str">
            <v>TXGHPHK25D04</v>
          </cell>
        </row>
        <row r="28290">
          <cell r="E28290" t="str">
            <v>LUC-EZZ-420325-00</v>
          </cell>
          <cell r="F28290" t="str">
            <v>TXGHPHK25D04</v>
          </cell>
        </row>
        <row r="28291">
          <cell r="E28291" t="str">
            <v>LUC-EZZ-400283-00</v>
          </cell>
          <cell r="F28291" t="str">
            <v>TXGHPHK25D04</v>
          </cell>
        </row>
        <row r="28292">
          <cell r="E28292" t="str">
            <v>LUC-E00-400015-07</v>
          </cell>
          <cell r="F28292" t="str">
            <v>TXGHPHK25D04</v>
          </cell>
        </row>
        <row r="28293">
          <cell r="E28293" t="str">
            <v>LUC-E00-400048-00</v>
          </cell>
          <cell r="F28293" t="str">
            <v>TXGHPHK25D04</v>
          </cell>
        </row>
        <row r="28294">
          <cell r="E28294" t="str">
            <v>LUC-EZZ-520045-00</v>
          </cell>
          <cell r="F28294" t="str">
            <v>TXGHPHK25D04</v>
          </cell>
        </row>
        <row r="28295">
          <cell r="E28295" t="str">
            <v>LUC-E00-440030-00</v>
          </cell>
          <cell r="F28295" t="str">
            <v>TXGHPHK25D04</v>
          </cell>
        </row>
        <row r="28296">
          <cell r="E28296" t="str">
            <v>LUC-EZZ-440036-00</v>
          </cell>
          <cell r="F28296" t="str">
            <v>TXGHPHK25D04</v>
          </cell>
        </row>
        <row r="28297">
          <cell r="E28297" t="str">
            <v>LUC-EZZ-441297-00</v>
          </cell>
          <cell r="F28297" t="str">
            <v>TXGHPHK25D04</v>
          </cell>
        </row>
        <row r="28298">
          <cell r="E28298" t="str">
            <v>LUC-E00-440031-00</v>
          </cell>
          <cell r="F28298" t="str">
            <v>TXGHPHK25D04</v>
          </cell>
        </row>
        <row r="28299">
          <cell r="E28299" t="str">
            <v>LUC-EZZ-440127-00</v>
          </cell>
          <cell r="F28299" t="str">
            <v>TXGHPHK25D04</v>
          </cell>
        </row>
        <row r="28300">
          <cell r="E28300" t="str">
            <v>LUC-EZZ-440867-00</v>
          </cell>
          <cell r="F28300" t="str">
            <v>TXGHPHK25D04</v>
          </cell>
        </row>
        <row r="28301">
          <cell r="E28301" t="str">
            <v>LUC-EZZ-441177-00</v>
          </cell>
          <cell r="F28301" t="str">
            <v>TXGHPHK25D04</v>
          </cell>
        </row>
        <row r="28302">
          <cell r="E28302" t="str">
            <v>LUC-EZZ-441374-00</v>
          </cell>
          <cell r="F28302" t="str">
            <v>TXGHPHK25D04</v>
          </cell>
        </row>
        <row r="28303">
          <cell r="E28303" t="str">
            <v>LUC-EZZ-440169-00</v>
          </cell>
          <cell r="F28303" t="str">
            <v>TXGHPHK25D04</v>
          </cell>
        </row>
        <row r="28304">
          <cell r="E28304" t="str">
            <v>LUC-EZZ-440021-00</v>
          </cell>
          <cell r="F28304" t="str">
            <v>TXGHPHK25D04</v>
          </cell>
        </row>
        <row r="28305">
          <cell r="E28305" t="str">
            <v>LUC-EZZ-470235-00</v>
          </cell>
          <cell r="F28305" t="str">
            <v>TXGHPHK25D04</v>
          </cell>
        </row>
        <row r="28306">
          <cell r="E28306" t="str">
            <v>LUC-E00-470080-00</v>
          </cell>
          <cell r="F28306" t="str">
            <v>TXGHPHK25D04</v>
          </cell>
        </row>
        <row r="28307">
          <cell r="E28307" t="str">
            <v>LUC-E00-470074-01</v>
          </cell>
          <cell r="F28307" t="str">
            <v>TXGHPHK25D04</v>
          </cell>
        </row>
        <row r="28308">
          <cell r="E28308" t="str">
            <v>LUC-EZZ-470272-00</v>
          </cell>
          <cell r="F28308" t="str">
            <v>TXGHPHK25D04</v>
          </cell>
        </row>
        <row r="28309">
          <cell r="E28309" t="str">
            <v>LUC-E00-470118-00</v>
          </cell>
          <cell r="F28309" t="str">
            <v>TXGHPHK25D04</v>
          </cell>
        </row>
        <row r="28310">
          <cell r="E28310" t="str">
            <v>LUC-E00-470032-00</v>
          </cell>
          <cell r="F28310" t="str">
            <v>TXGHPHK25D04</v>
          </cell>
        </row>
        <row r="28311">
          <cell r="E28311" t="str">
            <v>LUC-EZZ-470097-01</v>
          </cell>
          <cell r="F28311" t="str">
            <v>TXGHPHK25D04</v>
          </cell>
        </row>
        <row r="28312">
          <cell r="E28312" t="str">
            <v>LUC-E00-470447-00</v>
          </cell>
          <cell r="F28312" t="str">
            <v>TXGHPHK25D04</v>
          </cell>
        </row>
        <row r="28313">
          <cell r="E28313" t="str">
            <v>LUC-E00-470021-00</v>
          </cell>
          <cell r="F28313" t="str">
            <v>TXGHPHK25D04</v>
          </cell>
        </row>
        <row r="28314">
          <cell r="E28314" t="str">
            <v>LUC-EZZ-510048-00</v>
          </cell>
          <cell r="F28314" t="str">
            <v>TXGHPHK25D04</v>
          </cell>
        </row>
        <row r="28315">
          <cell r="E28315" t="str">
            <v>LUC-EZZ-511370-00</v>
          </cell>
          <cell r="F28315" t="str">
            <v>TXGHPHK25D04</v>
          </cell>
        </row>
        <row r="28316">
          <cell r="E28316" t="str">
            <v>LUC-EZZ-510047-00</v>
          </cell>
          <cell r="F28316" t="str">
            <v>TXGHPHK25D04</v>
          </cell>
        </row>
        <row r="28317">
          <cell r="E28317" t="str">
            <v>LUC-EZZ-510081-00</v>
          </cell>
          <cell r="F28317" t="str">
            <v>TXGHPHK25D04</v>
          </cell>
        </row>
        <row r="28318">
          <cell r="E28318" t="str">
            <v>LUC-E00-450039-01</v>
          </cell>
          <cell r="F28318" t="str">
            <v>TXGHPHK25D04</v>
          </cell>
        </row>
        <row r="28319">
          <cell r="E28319" t="str">
            <v>LUC-E00-450026-00</v>
          </cell>
          <cell r="F28319" t="str">
            <v>TXGHPHK25D04</v>
          </cell>
        </row>
        <row r="28320">
          <cell r="E28320" t="str">
            <v>LUC-E00-450026-00</v>
          </cell>
          <cell r="F28320" t="str">
            <v>TXGHPHK25D04</v>
          </cell>
        </row>
        <row r="28321">
          <cell r="E28321" t="str">
            <v>LUC-E00-450028-00</v>
          </cell>
          <cell r="F28321" t="str">
            <v>TXGHPHK25D04</v>
          </cell>
        </row>
        <row r="28322">
          <cell r="E28322" t="str">
            <v>LUC-E00-460015-00</v>
          </cell>
          <cell r="F28322" t="str">
            <v>TXGHPHK25D04</v>
          </cell>
        </row>
        <row r="28323">
          <cell r="E28323" t="str">
            <v>LUC-E00-460015-01</v>
          </cell>
          <cell r="F28323" t="str">
            <v>TXGHPHK25D04</v>
          </cell>
        </row>
        <row r="28324">
          <cell r="E28324" t="str">
            <v>LUC-EZZ-470696-00</v>
          </cell>
          <cell r="F28324" t="str">
            <v>TXGHPHK25D04</v>
          </cell>
        </row>
        <row r="28325">
          <cell r="E28325" t="str">
            <v>LUC-EZZ-450246-00</v>
          </cell>
          <cell r="F28325" t="str">
            <v>TXGHPHK25D04</v>
          </cell>
        </row>
        <row r="28326">
          <cell r="E28326" t="str">
            <v>LUC-E00-450053-00</v>
          </cell>
          <cell r="F28326" t="str">
            <v>TXGHPHK25D04</v>
          </cell>
        </row>
        <row r="28327">
          <cell r="E28327" t="str">
            <v>LUC-E00-450043-00</v>
          </cell>
          <cell r="F28327" t="str">
            <v>TXGHPHK25D04</v>
          </cell>
        </row>
        <row r="28328">
          <cell r="E28328" t="str">
            <v>LUC-EZZ-450618-00</v>
          </cell>
          <cell r="F28328" t="str">
            <v>TXGHPHK25D04</v>
          </cell>
        </row>
        <row r="28329">
          <cell r="E28329" t="str">
            <v>LUC-E00-480006-00</v>
          </cell>
          <cell r="F28329" t="str">
            <v>TXGHPHK25D04</v>
          </cell>
        </row>
        <row r="28330">
          <cell r="E28330" t="str">
            <v>LUC-EZZ-480008-00</v>
          </cell>
          <cell r="F28330" t="str">
            <v>TXGHPHK25D04</v>
          </cell>
        </row>
        <row r="28331">
          <cell r="E28331" t="str">
            <v>LUC-E00-420071-00</v>
          </cell>
          <cell r="F28331" t="str">
            <v>TXGHPHK25D04</v>
          </cell>
        </row>
        <row r="28332">
          <cell r="E28332" t="str">
            <v>LUC-E00-420045-02</v>
          </cell>
          <cell r="F28332" t="str">
            <v>TXGHPHK25D04</v>
          </cell>
        </row>
        <row r="28333">
          <cell r="E28333" t="str">
            <v>LUC-EZZ-450234-00</v>
          </cell>
          <cell r="F28333" t="str">
            <v>TXGHPHK25D04</v>
          </cell>
        </row>
        <row r="28334">
          <cell r="E28334" t="str">
            <v>LUC-EZZ-420191-00</v>
          </cell>
          <cell r="F28334" t="str">
            <v>TXGHPHK25D04</v>
          </cell>
        </row>
        <row r="28335">
          <cell r="E28335" t="str">
            <v>LUC-E00-400028-000</v>
          </cell>
          <cell r="F28335" t="str">
            <v>TXGHPHK25D04</v>
          </cell>
        </row>
        <row r="28336">
          <cell r="E28336" t="str">
            <v>LUC-EZZ-400213-00</v>
          </cell>
          <cell r="F28336" t="str">
            <v>TXGHPHK25D04</v>
          </cell>
        </row>
        <row r="28337">
          <cell r="E28337" t="str">
            <v>LUC-EZZ-400412-00</v>
          </cell>
          <cell r="F28337" t="str">
            <v>TXGHPHK25D04</v>
          </cell>
        </row>
        <row r="28338">
          <cell r="E28338" t="str">
            <v>LUC-E00-400028-001</v>
          </cell>
          <cell r="F28338" t="str">
            <v>TXGHPHK25D04</v>
          </cell>
        </row>
        <row r="28339">
          <cell r="E28339" t="str">
            <v>LUC-EZZ-400203-00</v>
          </cell>
          <cell r="F28339" t="str">
            <v>TXGHPHK25D04</v>
          </cell>
        </row>
        <row r="28340">
          <cell r="E28340" t="str">
            <v>LUC-EZZ-400206-00</v>
          </cell>
          <cell r="F28340" t="str">
            <v>TXGHPHK25D04</v>
          </cell>
        </row>
        <row r="28341">
          <cell r="E28341" t="str">
            <v>LUC-E00-400010-000</v>
          </cell>
          <cell r="F28341" t="str">
            <v>TXGHPHK25D04</v>
          </cell>
        </row>
        <row r="28342">
          <cell r="E28342" t="str">
            <v>LUC-EZZ-400207-00</v>
          </cell>
          <cell r="F28342" t="str">
            <v>TXGHPHK25D04</v>
          </cell>
        </row>
        <row r="28343">
          <cell r="E28343" t="str">
            <v>LUC-EZZ-400043-00</v>
          </cell>
          <cell r="F28343" t="str">
            <v>TXGHPHK25D04</v>
          </cell>
        </row>
        <row r="28344">
          <cell r="E28344" t="str">
            <v>LUC-EZZ-400253-00</v>
          </cell>
          <cell r="F28344" t="str">
            <v>TXGHPHK25D04</v>
          </cell>
        </row>
        <row r="28345">
          <cell r="E28345" t="str">
            <v>LUC-EZZ-400427-00</v>
          </cell>
          <cell r="F28345" t="str">
            <v>TXGHPHK25D04</v>
          </cell>
        </row>
        <row r="28346">
          <cell r="E28346" t="str">
            <v>LUC-EZZ-400266-00</v>
          </cell>
          <cell r="F28346" t="str">
            <v>TXGHPHK25D04</v>
          </cell>
        </row>
        <row r="28347">
          <cell r="E28347" t="str">
            <v>LUC-E00-400046-00</v>
          </cell>
          <cell r="F28347" t="str">
            <v>TXGHPHK25D04</v>
          </cell>
        </row>
        <row r="28348">
          <cell r="E28348" t="str">
            <v>LUC-EZZ-400178-00</v>
          </cell>
          <cell r="F28348" t="str">
            <v>TXGHPHK25D04</v>
          </cell>
        </row>
        <row r="28349">
          <cell r="E28349" t="str">
            <v>LUC-EZZ-401652-00</v>
          </cell>
          <cell r="F28349" t="str">
            <v>TXGHPHK25D04</v>
          </cell>
        </row>
        <row r="28350">
          <cell r="E28350" t="str">
            <v>LUC-EZZ-401610-00</v>
          </cell>
          <cell r="F28350" t="str">
            <v>TXGHPHK25D04</v>
          </cell>
        </row>
        <row r="28351">
          <cell r="E28351" t="str">
            <v>LUC-E00-400010-047</v>
          </cell>
          <cell r="F28351" t="str">
            <v>TXGHPHK25D04</v>
          </cell>
        </row>
        <row r="28352">
          <cell r="E28352" t="str">
            <v>LUC-EZZ-400221-00</v>
          </cell>
          <cell r="F28352" t="str">
            <v>TXGHPHK25D04</v>
          </cell>
        </row>
        <row r="28353">
          <cell r="E28353" t="str">
            <v>LUC-EZZ-400232-00</v>
          </cell>
          <cell r="F28353" t="str">
            <v>TXGHPHK25D04</v>
          </cell>
        </row>
        <row r="28354">
          <cell r="E28354" t="str">
            <v>LUC-EZZ-400232-00</v>
          </cell>
          <cell r="F28354" t="str">
            <v>TXGHPHK25D04</v>
          </cell>
        </row>
        <row r="28355">
          <cell r="E28355" t="str">
            <v>LUC-EZZ-400542-00</v>
          </cell>
          <cell r="F28355" t="str">
            <v>TXGHPHK25D04</v>
          </cell>
        </row>
        <row r="28356">
          <cell r="E28356" t="str">
            <v>LUC-E00-400010-039</v>
          </cell>
          <cell r="F28356" t="str">
            <v>TXGHPHK25D04</v>
          </cell>
        </row>
        <row r="28357">
          <cell r="E28357" t="str">
            <v>LUC-E00-400068-00</v>
          </cell>
          <cell r="F28357" t="str">
            <v>TXGHPHK25D04</v>
          </cell>
        </row>
        <row r="28358">
          <cell r="E28358" t="str">
            <v>LUC-E00-400012-09</v>
          </cell>
          <cell r="F28358" t="str">
            <v>TXGHPHK25D04</v>
          </cell>
        </row>
        <row r="28359">
          <cell r="E28359" t="str">
            <v>LUC-EZZ-400265-00</v>
          </cell>
          <cell r="F28359" t="str">
            <v>TXGHPHK25D04</v>
          </cell>
        </row>
        <row r="28360">
          <cell r="E28360" t="str">
            <v>LUC-EZZ-400241-00</v>
          </cell>
          <cell r="F28360" t="str">
            <v>TXGHPHK25D04</v>
          </cell>
        </row>
        <row r="28361">
          <cell r="E28361" t="str">
            <v>LUC-EZZ-400359-00</v>
          </cell>
          <cell r="F28361" t="str">
            <v>TXGHPHK25D04</v>
          </cell>
        </row>
        <row r="28362">
          <cell r="E28362" t="str">
            <v>LUC-EZZ-400359-00</v>
          </cell>
          <cell r="F28362" t="str">
            <v>TXGHPHK25D04</v>
          </cell>
        </row>
        <row r="28363">
          <cell r="E28363" t="str">
            <v>LUC-E00-400067-399</v>
          </cell>
          <cell r="F28363" t="str">
            <v>TXGHPHK25D04</v>
          </cell>
        </row>
        <row r="28364">
          <cell r="E28364" t="str">
            <v>LUC-E00-400010-032</v>
          </cell>
          <cell r="F28364" t="str">
            <v>TXGHPHK25D04</v>
          </cell>
        </row>
        <row r="28365">
          <cell r="E28365" t="str">
            <v>LUC-EZZ-400263-00</v>
          </cell>
          <cell r="F28365" t="str">
            <v>TXGHPHK25D04</v>
          </cell>
        </row>
        <row r="28366">
          <cell r="E28366" t="str">
            <v>LUC-EZZ-400702-00</v>
          </cell>
          <cell r="F28366" t="str">
            <v>TXGHPHK25D04</v>
          </cell>
        </row>
        <row r="28367">
          <cell r="E28367" t="str">
            <v>LUC-E00-400067-227</v>
          </cell>
          <cell r="F28367" t="str">
            <v>TXGHPHK25D04</v>
          </cell>
        </row>
        <row r="28368">
          <cell r="E28368" t="str">
            <v>LUC-EZZ-400593-00</v>
          </cell>
          <cell r="F28368" t="str">
            <v>TXGHPHK25D04</v>
          </cell>
        </row>
        <row r="28369">
          <cell r="E28369" t="str">
            <v>LUC-E00-400012-06</v>
          </cell>
          <cell r="F28369" t="str">
            <v>TXGHPHK25D04</v>
          </cell>
        </row>
        <row r="28370">
          <cell r="E28370" t="str">
            <v>LUC-EZZ-400243-00</v>
          </cell>
          <cell r="F28370" t="str">
            <v>TXGHPHK25D04</v>
          </cell>
        </row>
        <row r="28371">
          <cell r="E28371" t="str">
            <v>LUC-EZZ-400433-00</v>
          </cell>
          <cell r="F28371" t="str">
            <v>TXGHPHK25D04</v>
          </cell>
        </row>
        <row r="28372">
          <cell r="E28372" t="str">
            <v>LUC-EZZ-400433-00</v>
          </cell>
          <cell r="F28372" t="str">
            <v>TXGHPHK25D04</v>
          </cell>
        </row>
        <row r="28373">
          <cell r="E28373" t="str">
            <v>LUC-EZZ-400444-00</v>
          </cell>
          <cell r="F28373" t="str">
            <v>TXGHPHK25D04</v>
          </cell>
        </row>
        <row r="28374">
          <cell r="E28374" t="str">
            <v>LUC-EZZ-400388-00</v>
          </cell>
          <cell r="F28374" t="str">
            <v>TXGHPHK25D04</v>
          </cell>
        </row>
        <row r="28375">
          <cell r="E28375" t="str">
            <v>LUC-EZZ-401662-00</v>
          </cell>
          <cell r="F28375" t="str">
            <v>TXGHPHK25D04</v>
          </cell>
        </row>
        <row r="28376">
          <cell r="E28376" t="str">
            <v>LUC-EZZ-400592-00</v>
          </cell>
          <cell r="F28376" t="str">
            <v>TXGHPHK25D04</v>
          </cell>
        </row>
        <row r="28377">
          <cell r="E28377" t="str">
            <v>LUC-EZZ-400264-00</v>
          </cell>
          <cell r="F28377" t="str">
            <v>TXGHPHK25D04</v>
          </cell>
        </row>
        <row r="28378">
          <cell r="E28378" t="str">
            <v>LUC-EZZ-400425-00</v>
          </cell>
          <cell r="F28378" t="str">
            <v>TXGHPHK25D04</v>
          </cell>
        </row>
        <row r="28379">
          <cell r="E28379" t="str">
            <v>LUC-EZZ-400783-00</v>
          </cell>
          <cell r="F28379" t="str">
            <v>TXGHPHK25D04</v>
          </cell>
        </row>
        <row r="28380">
          <cell r="E28380" t="str">
            <v>LUC-E00-400010-003</v>
          </cell>
          <cell r="F28380" t="str">
            <v>TXGHPHK25D04</v>
          </cell>
        </row>
        <row r="28381">
          <cell r="E28381" t="str">
            <v>LUC-EZZ-400812-00</v>
          </cell>
          <cell r="F28381" t="str">
            <v>TXGHPHK25D04</v>
          </cell>
        </row>
        <row r="28382">
          <cell r="E28382" t="str">
            <v>LUC-E00-400010-005</v>
          </cell>
          <cell r="F28382" t="str">
            <v>TXGHPHK25D04</v>
          </cell>
        </row>
        <row r="28383">
          <cell r="E28383" t="str">
            <v>LUC-EZZ-400594-00</v>
          </cell>
          <cell r="F28383" t="str">
            <v>TXGHPHK25D04</v>
          </cell>
        </row>
        <row r="28384">
          <cell r="E28384" t="str">
            <v>LUC-E00-400010-010</v>
          </cell>
          <cell r="F28384" t="str">
            <v>TXGHPHK25D04</v>
          </cell>
        </row>
        <row r="28385">
          <cell r="E28385" t="str">
            <v>LUC-EZZ-400595-00</v>
          </cell>
          <cell r="F28385" t="str">
            <v>TXGHPHK25D04</v>
          </cell>
        </row>
        <row r="28386">
          <cell r="E28386" t="str">
            <v>LUC-EZZ-401720-00</v>
          </cell>
          <cell r="F28386" t="str">
            <v>TXGHPHK25D04</v>
          </cell>
        </row>
        <row r="28387">
          <cell r="E28387" t="str">
            <v>LUC-EZZ-400290-00</v>
          </cell>
          <cell r="F28387" t="str">
            <v>TXGHPHK25D04</v>
          </cell>
        </row>
        <row r="28388">
          <cell r="E28388" t="str">
            <v>LUC-E00-400067-368</v>
          </cell>
          <cell r="F28388" t="str">
            <v>TXGHPHK25D04</v>
          </cell>
        </row>
        <row r="28389">
          <cell r="E28389" t="str">
            <v>LUC-E00-400025-09</v>
          </cell>
          <cell r="F28389" t="str">
            <v>TXGHPHK25D04</v>
          </cell>
        </row>
        <row r="28390">
          <cell r="E28390" t="str">
            <v>LUC-E00-400028-004</v>
          </cell>
          <cell r="F28390" t="str">
            <v>TXGHPHK25D04</v>
          </cell>
        </row>
        <row r="28391">
          <cell r="E28391" t="str">
            <v>LUC-EZZ-400554-00</v>
          </cell>
          <cell r="F28391" t="str">
            <v>TXGHPHK25D04</v>
          </cell>
        </row>
        <row r="28392">
          <cell r="E28392" t="str">
            <v>LUC-EZZ-400235-00</v>
          </cell>
          <cell r="F28392" t="str">
            <v>TXGHPHK25D04</v>
          </cell>
        </row>
        <row r="28393">
          <cell r="E28393" t="str">
            <v>LUC-EZZ-401312-00</v>
          </cell>
          <cell r="F28393" t="str">
            <v>TXGHPHK25D04</v>
          </cell>
        </row>
        <row r="28394">
          <cell r="E28394" t="str">
            <v>LUC-EZZ-400259-00</v>
          </cell>
          <cell r="F28394" t="str">
            <v>TXGHPHK25D04</v>
          </cell>
        </row>
        <row r="28395">
          <cell r="E28395" t="str">
            <v>LUC-EZZ-400262-00</v>
          </cell>
          <cell r="F28395" t="str">
            <v>TXGHPHK25D04</v>
          </cell>
        </row>
        <row r="28396">
          <cell r="E28396" t="str">
            <v>LUC-EZZ-401680-00</v>
          </cell>
          <cell r="F28396" t="str">
            <v>TXGHPHK25D04</v>
          </cell>
        </row>
        <row r="28397">
          <cell r="E28397" t="str">
            <v>LUC-EZZ-400801-00</v>
          </cell>
          <cell r="F28397" t="str">
            <v>TXGHPHK25D04</v>
          </cell>
        </row>
        <row r="28398">
          <cell r="E28398" t="str">
            <v>LUC-EZZ-401250-00</v>
          </cell>
          <cell r="F28398" t="str">
            <v>TXGHPHK25D04</v>
          </cell>
        </row>
        <row r="28399">
          <cell r="E28399" t="str">
            <v>LUC-E00-400074-00</v>
          </cell>
          <cell r="F28399" t="str">
            <v>TXGHPHK25D04</v>
          </cell>
        </row>
        <row r="28400">
          <cell r="E28400" t="str">
            <v>LUC-EZZ-400278-00</v>
          </cell>
          <cell r="F28400" t="str">
            <v>TXGHPHK25D04</v>
          </cell>
        </row>
        <row r="28401">
          <cell r="E28401" t="str">
            <v>LUC-E00-440024-00</v>
          </cell>
          <cell r="F28401" t="str">
            <v>TXGHPHK25D04</v>
          </cell>
        </row>
        <row r="28402">
          <cell r="E28402" t="str">
            <v>LUC-E00-440012-00</v>
          </cell>
          <cell r="F28402" t="str">
            <v>TXGHPHK25D04</v>
          </cell>
        </row>
        <row r="28403">
          <cell r="E28403" t="str">
            <v>LUC-E00-470119-00</v>
          </cell>
          <cell r="F28403" t="str">
            <v>TXGHPHK25D04</v>
          </cell>
        </row>
        <row r="28404">
          <cell r="E28404" t="str">
            <v>LUC-E00-470028-00</v>
          </cell>
          <cell r="F28404" t="str">
            <v>TXGHPHK25D04</v>
          </cell>
        </row>
        <row r="28405">
          <cell r="E28405" t="str">
            <v>LUC-E00-470075-00</v>
          </cell>
          <cell r="F28405" t="str">
            <v>TXGHPHK25D04</v>
          </cell>
        </row>
        <row r="28406">
          <cell r="E28406" t="str">
            <v>LUC-E00-470049-00</v>
          </cell>
          <cell r="F28406" t="str">
            <v>TXGHPHK25D04</v>
          </cell>
        </row>
        <row r="28407">
          <cell r="E28407" t="str">
            <v>LUC-E00-470112-00</v>
          </cell>
          <cell r="F28407" t="str">
            <v>TXGHPHK25D04</v>
          </cell>
        </row>
        <row r="28408">
          <cell r="E28408" t="str">
            <v>LUC-EZZ-470424-00</v>
          </cell>
          <cell r="F28408" t="str">
            <v>TXGHPHK25D04</v>
          </cell>
        </row>
        <row r="28409">
          <cell r="E28409" t="str">
            <v>LUC-EZZ-470431-00</v>
          </cell>
          <cell r="F28409" t="str">
            <v>TXGHPHK25D04</v>
          </cell>
        </row>
        <row r="28410">
          <cell r="E28410" t="str">
            <v>LUC-E00-470038-00</v>
          </cell>
          <cell r="F28410" t="str">
            <v>TXGHPHK25D04</v>
          </cell>
        </row>
        <row r="28411">
          <cell r="E28411" t="str">
            <v>LUC-EZZ-470096-00</v>
          </cell>
          <cell r="F28411" t="str">
            <v>TXGHPHK25D04</v>
          </cell>
        </row>
        <row r="28412">
          <cell r="E28412" t="str">
            <v>LUC-E00-470017-00</v>
          </cell>
          <cell r="F28412" t="str">
            <v>TXGHPHK25D04</v>
          </cell>
        </row>
        <row r="28413">
          <cell r="E28413" t="str">
            <v>LUC-EZZ-470211-00</v>
          </cell>
          <cell r="F28413" t="str">
            <v>TXGHPHK25D04</v>
          </cell>
        </row>
        <row r="28414">
          <cell r="E28414" t="str">
            <v>LUC-EZZ-510082-00</v>
          </cell>
          <cell r="F28414" t="str">
            <v>TXGHPHK25D04</v>
          </cell>
        </row>
        <row r="28415">
          <cell r="E28415" t="str">
            <v>LUC-EZZ-510077-00</v>
          </cell>
          <cell r="F28415" t="str">
            <v>TXGHPHK25D04</v>
          </cell>
        </row>
        <row r="28416">
          <cell r="E28416" t="str">
            <v>LUC-E00-450052-00</v>
          </cell>
          <cell r="F28416" t="str">
            <v>TXGHPHK25D04</v>
          </cell>
        </row>
        <row r="28417">
          <cell r="E28417" t="str">
            <v>LUC-E00-450054-00</v>
          </cell>
          <cell r="F28417" t="str">
            <v>TXGHPHK25D04</v>
          </cell>
        </row>
        <row r="28418">
          <cell r="E28418" t="str">
            <v>LUC-E00-460006-00</v>
          </cell>
          <cell r="F28418" t="str">
            <v>TXGHPHK25D04</v>
          </cell>
        </row>
        <row r="28419">
          <cell r="E28419" t="str">
            <v>LUC-EZZ-450093-00</v>
          </cell>
          <cell r="F28419" t="str">
            <v>TXGHPHK25D04</v>
          </cell>
        </row>
        <row r="28420">
          <cell r="E28420" t="str">
            <v>LUC-EZZ-450070-00</v>
          </cell>
          <cell r="F28420" t="str">
            <v>TXGHPHK25D04</v>
          </cell>
        </row>
        <row r="28421">
          <cell r="E28421" t="str">
            <v>LUC-EZZ-460781-00</v>
          </cell>
          <cell r="F28421" t="str">
            <v>TXGHPHK25D04</v>
          </cell>
        </row>
        <row r="28422">
          <cell r="E28422" t="str">
            <v>LUC-EZZ-450006-00</v>
          </cell>
          <cell r="F28422" t="str">
            <v>TXGHPHK25D04</v>
          </cell>
        </row>
        <row r="28423">
          <cell r="E28423" t="str">
            <v>LUC-EZZ-450231-00</v>
          </cell>
          <cell r="F28423" t="str">
            <v>TXGHPHK25D04</v>
          </cell>
        </row>
        <row r="28424">
          <cell r="E28424" t="str">
            <v>LUC-EZZ-450176-00</v>
          </cell>
          <cell r="F28424" t="str">
            <v>TXGHPHK25D04</v>
          </cell>
        </row>
        <row r="28425">
          <cell r="E28425" t="str">
            <v>LUC-EZZ-450019-00</v>
          </cell>
          <cell r="F28425" t="str">
            <v>TXGHPHK25D04</v>
          </cell>
        </row>
        <row r="28426">
          <cell r="E28426" t="str">
            <v>LUC-E00-460009-00</v>
          </cell>
          <cell r="F28426" t="str">
            <v>TXGHPHK25D04</v>
          </cell>
        </row>
        <row r="28427">
          <cell r="E28427" t="str">
            <v>LUC-EZZ-480893-00</v>
          </cell>
          <cell r="F28427" t="str">
            <v>TXGHPHK25D04</v>
          </cell>
        </row>
        <row r="28428">
          <cell r="E28428" t="str">
            <v>LUC-EZZ-480174-00</v>
          </cell>
          <cell r="F28428" t="str">
            <v>TXGHPHK25D04</v>
          </cell>
        </row>
        <row r="28429">
          <cell r="E28429" t="str">
            <v>LUC-EZZ-480024-00</v>
          </cell>
          <cell r="F28429" t="str">
            <v>TXGHPHK25D04</v>
          </cell>
        </row>
        <row r="28430">
          <cell r="E28430" t="str">
            <v>LUC-EZZ-580240-00</v>
          </cell>
          <cell r="F28430" t="str">
            <v>TXGHPHK25D04</v>
          </cell>
        </row>
        <row r="28431">
          <cell r="E28431" t="str">
            <v>LUC-P11-JA4100-00</v>
          </cell>
          <cell r="F28431" t="str">
            <v>TXGHPHK25D04</v>
          </cell>
        </row>
        <row r="28432">
          <cell r="E28432" t="str">
            <v>LUC-EZZ-520011-00</v>
          </cell>
          <cell r="F28432" t="str">
            <v>TXGHPHK25D04</v>
          </cell>
        </row>
        <row r="28433">
          <cell r="E28433" t="str">
            <v>LUC-P00-F143AG-00</v>
          </cell>
          <cell r="F28433">
            <v>4720757247</v>
          </cell>
        </row>
        <row r="28434">
          <cell r="E28434" t="str">
            <v>LUC-P00-F143AG-00</v>
          </cell>
          <cell r="F28434">
            <v>4720757247</v>
          </cell>
        </row>
        <row r="28435">
          <cell r="E28435" t="str">
            <v>LUC-P00-F143AG-00</v>
          </cell>
          <cell r="F28435">
            <v>4720757247</v>
          </cell>
        </row>
        <row r="28436">
          <cell r="E28436" t="str">
            <v>LUC-P00-F143AG-00</v>
          </cell>
          <cell r="F28436">
            <v>4720757247</v>
          </cell>
        </row>
        <row r="28437">
          <cell r="E28437" t="str">
            <v>LUC-P00-F143AG-00</v>
          </cell>
          <cell r="F28437">
            <v>4720757247</v>
          </cell>
        </row>
        <row r="28438">
          <cell r="E28438" t="str">
            <v>LUC-P00-F143AG-00</v>
          </cell>
          <cell r="F28438">
            <v>4720757247</v>
          </cell>
        </row>
        <row r="28439">
          <cell r="E28439" t="str">
            <v>LUC-P00-F143AG-00</v>
          </cell>
          <cell r="F28439">
            <v>4720757247</v>
          </cell>
        </row>
        <row r="28440">
          <cell r="E28440" t="str">
            <v>LUC-P00-F193DG-00</v>
          </cell>
          <cell r="F28440">
            <v>4720757247</v>
          </cell>
        </row>
        <row r="28441">
          <cell r="E28441" t="str">
            <v>LUC-P00-F143AG-00</v>
          </cell>
          <cell r="F28441">
            <v>4720757247</v>
          </cell>
        </row>
        <row r="28442">
          <cell r="E28442" t="str">
            <v>LUC-P00-F853AY-00</v>
          </cell>
          <cell r="F28442">
            <v>4720757247</v>
          </cell>
        </row>
        <row r="28443">
          <cell r="E28443" t="str">
            <v>LUC-P00-F85MDY-00</v>
          </cell>
          <cell r="F28443">
            <v>4720757247</v>
          </cell>
        </row>
        <row r="28444">
          <cell r="E28444" t="str">
            <v>LUC-P00-F193DG-00</v>
          </cell>
          <cell r="F28444">
            <v>4720757247</v>
          </cell>
        </row>
        <row r="28445">
          <cell r="E28445" t="str">
            <v>LUC-BNA-201-329</v>
          </cell>
          <cell r="F28445">
            <v>4720757247</v>
          </cell>
        </row>
        <row r="28446">
          <cell r="E28446" t="str">
            <v>LUC-E00-470331-00</v>
          </cell>
          <cell r="F28446">
            <v>5973390065</v>
          </cell>
        </row>
        <row r="28447">
          <cell r="E28447" t="str">
            <v>LUC-E00-400028-13</v>
          </cell>
          <cell r="F28447">
            <v>5973390065</v>
          </cell>
        </row>
        <row r="28448">
          <cell r="E28448" t="str">
            <v>PUR-12-0288-00</v>
          </cell>
          <cell r="F28448">
            <v>5973390065</v>
          </cell>
        </row>
        <row r="28449">
          <cell r="E28449" t="str">
            <v>PUR-12-0288-00</v>
          </cell>
          <cell r="F28449">
            <v>5973390065</v>
          </cell>
        </row>
        <row r="28450">
          <cell r="E28450" t="str">
            <v>LUC-EZZ-400831-00</v>
          </cell>
          <cell r="F28450">
            <v>5973390065</v>
          </cell>
        </row>
        <row r="28451">
          <cell r="E28451" t="str">
            <v>LUC-EZZ-420191-00</v>
          </cell>
          <cell r="F28451">
            <v>5973390065</v>
          </cell>
        </row>
        <row r="28452">
          <cell r="E28452" t="str">
            <v>LUC-EZZ-420191-00</v>
          </cell>
          <cell r="F28452">
            <v>5973390065</v>
          </cell>
        </row>
        <row r="28453">
          <cell r="E28453" t="str">
            <v>LUC-EZZ-540018-00</v>
          </cell>
          <cell r="F28453">
            <v>5973390065</v>
          </cell>
        </row>
        <row r="28454">
          <cell r="E28454" t="str">
            <v>LUC-E00-460007-01</v>
          </cell>
          <cell r="F28454">
            <v>5973390065</v>
          </cell>
        </row>
        <row r="28455">
          <cell r="E28455" t="str">
            <v>LUC-E00-460007-01</v>
          </cell>
          <cell r="F28455">
            <v>5973390065</v>
          </cell>
        </row>
        <row r="28456">
          <cell r="E28456" t="str">
            <v>LUC-E00-460007-01</v>
          </cell>
          <cell r="F28456">
            <v>5973390065</v>
          </cell>
        </row>
        <row r="28457">
          <cell r="E28457" t="str">
            <v>LUC-P11-K41300-00</v>
          </cell>
          <cell r="F28457">
            <v>5973390065</v>
          </cell>
        </row>
        <row r="28458">
          <cell r="E28458" t="str">
            <v>LUC-P11-K18000-00</v>
          </cell>
          <cell r="F28458">
            <v>5973390065</v>
          </cell>
        </row>
        <row r="28459">
          <cell r="E28459" t="str">
            <v>LUC-P11-K18000-00</v>
          </cell>
          <cell r="F28459">
            <v>5973390065</v>
          </cell>
        </row>
        <row r="28460">
          <cell r="E28460" t="str">
            <v>LUC-P11-K41700-00</v>
          </cell>
          <cell r="F28460">
            <v>5973390065</v>
          </cell>
        </row>
        <row r="28461">
          <cell r="E28461" t="str">
            <v>LUC-P11-K41700-00</v>
          </cell>
          <cell r="F28461">
            <v>5973390065</v>
          </cell>
        </row>
        <row r="28462">
          <cell r="E28462" t="str">
            <v>LUC-P11-K41700-00</v>
          </cell>
          <cell r="F28462">
            <v>5973390065</v>
          </cell>
        </row>
        <row r="28463">
          <cell r="E28463" t="str">
            <v>LUC-P11-K18000-00</v>
          </cell>
          <cell r="F28463">
            <v>5973390065</v>
          </cell>
        </row>
        <row r="28464">
          <cell r="E28464" t="str">
            <v>LUC-P11-K18000-00</v>
          </cell>
          <cell r="F28464">
            <v>5973390065</v>
          </cell>
        </row>
        <row r="28465">
          <cell r="E28465" t="str">
            <v>LUC-P11-K41D00-01</v>
          </cell>
          <cell r="F28465">
            <v>5973390065</v>
          </cell>
        </row>
        <row r="28466">
          <cell r="E28466" t="str">
            <v>LUC-P11-K41D00-01</v>
          </cell>
          <cell r="F28466">
            <v>5973390065</v>
          </cell>
        </row>
        <row r="28467">
          <cell r="E28467" t="str">
            <v>LUC-P11-K41D00-01</v>
          </cell>
          <cell r="F28467">
            <v>5973390065</v>
          </cell>
        </row>
        <row r="28468">
          <cell r="E28468" t="str">
            <v>EF-45051535</v>
          </cell>
          <cell r="F28468">
            <v>5973390065</v>
          </cell>
        </row>
        <row r="28469">
          <cell r="E28469" t="str">
            <v>LUC-E00-450039-00</v>
          </cell>
          <cell r="F28469">
            <v>5973390065</v>
          </cell>
        </row>
        <row r="28470">
          <cell r="E28470" t="str">
            <v>LUC-E00-470074-01</v>
          </cell>
          <cell r="F28470">
            <v>5973390065</v>
          </cell>
        </row>
        <row r="28471">
          <cell r="E28471" t="str">
            <v>LUC-E00-400028-06</v>
          </cell>
          <cell r="F28471">
            <v>5973390065</v>
          </cell>
        </row>
        <row r="28472">
          <cell r="E28472" t="str">
            <v>LUC-EZZ-400237-00</v>
          </cell>
          <cell r="F28472">
            <v>5973390065</v>
          </cell>
        </row>
        <row r="28473">
          <cell r="E28473" t="str">
            <v>LUC-EZZ-401295-00</v>
          </cell>
          <cell r="F28473">
            <v>5973390065</v>
          </cell>
        </row>
        <row r="28474">
          <cell r="E28474" t="str">
            <v>LUC-E00-450241-00</v>
          </cell>
          <cell r="F28474">
            <v>5973390065</v>
          </cell>
        </row>
        <row r="28475">
          <cell r="E28475" t="str">
            <v>EF-45133443</v>
          </cell>
          <cell r="F28475">
            <v>4766230232</v>
          </cell>
        </row>
        <row r="28476">
          <cell r="E28476" t="str">
            <v>EF-45213270</v>
          </cell>
          <cell r="F28476">
            <v>4766230232</v>
          </cell>
        </row>
        <row r="28477">
          <cell r="E28477" t="str">
            <v>AGI-450-40087-01</v>
          </cell>
          <cell r="F28477">
            <v>495265266404</v>
          </cell>
        </row>
        <row r="28478">
          <cell r="E28478" t="str">
            <v>PUR-03-0092-03</v>
          </cell>
          <cell r="F28478" t="str">
            <v>8XN1144</v>
          </cell>
        </row>
        <row r="28479">
          <cell r="E28479" t="str">
            <v>PUR-03-0092-03</v>
          </cell>
          <cell r="F28479" t="str">
            <v>8XN1151</v>
          </cell>
        </row>
        <row r="28480">
          <cell r="E28480" t="str">
            <v>PUR-03-0099-03</v>
          </cell>
          <cell r="F28480" t="str">
            <v>8XN1165</v>
          </cell>
        </row>
        <row r="28481">
          <cell r="E28481" t="str">
            <v>HLOB-03-0113-00</v>
          </cell>
          <cell r="F28481" t="str">
            <v>8XN1155</v>
          </cell>
        </row>
        <row r="28482">
          <cell r="E28482" t="str">
            <v>HLOB-03-0113-00</v>
          </cell>
          <cell r="F28482" t="str">
            <v>8XN1156</v>
          </cell>
        </row>
        <row r="28483">
          <cell r="E28483" t="str">
            <v>PUR-03-0104-03</v>
          </cell>
          <cell r="F28483" t="str">
            <v>8XN1143</v>
          </cell>
        </row>
        <row r="28484">
          <cell r="E28484" t="str">
            <v>PUR-03-0104-03</v>
          </cell>
          <cell r="F28484" t="str">
            <v>8XN1142</v>
          </cell>
        </row>
        <row r="28485">
          <cell r="E28485" t="str">
            <v>HLOB-03-0113-00</v>
          </cell>
          <cell r="F28485" t="str">
            <v>8XN1153</v>
          </cell>
        </row>
        <row r="28486">
          <cell r="E28486" t="str">
            <v>HLOB-03-0113-00</v>
          </cell>
          <cell r="F28486" t="str">
            <v>8XN1154</v>
          </cell>
        </row>
        <row r="28487">
          <cell r="E28487" t="str">
            <v>HLOB-03-0113-00</v>
          </cell>
          <cell r="F28487" t="str">
            <v>8XN1152</v>
          </cell>
        </row>
        <row r="28488">
          <cell r="E28488" t="str">
            <v>PUR-03-0096-02</v>
          </cell>
          <cell r="F28488" t="str">
            <v>8XN1141</v>
          </cell>
        </row>
        <row r="28489">
          <cell r="E28489" t="str">
            <v>LUC-E00-470028-00</v>
          </cell>
          <cell r="F28489">
            <v>479730221180</v>
          </cell>
        </row>
        <row r="28490">
          <cell r="E28490" t="str">
            <v>PUR-17-0158-00</v>
          </cell>
          <cell r="F28490">
            <v>451399163621</v>
          </cell>
        </row>
        <row r="28491">
          <cell r="E28491" t="str">
            <v>LUC-E00-460007-00</v>
          </cell>
          <cell r="F28491">
            <v>707296249057</v>
          </cell>
        </row>
        <row r="28492">
          <cell r="E28492" t="str">
            <v>LUC-EZZ-400409-00</v>
          </cell>
          <cell r="F28492">
            <v>488209947965</v>
          </cell>
        </row>
        <row r="28493">
          <cell r="E28493" t="str">
            <v>LUC-EZZ-400409-00</v>
          </cell>
          <cell r="F28493">
            <v>488209947965</v>
          </cell>
        </row>
        <row r="28494">
          <cell r="E28494" t="str">
            <v>LUC-E00-400026-00</v>
          </cell>
          <cell r="F28494">
            <v>488209947965</v>
          </cell>
        </row>
        <row r="28495">
          <cell r="E28495" t="str">
            <v>EF-45131276</v>
          </cell>
          <cell r="F28495">
            <v>886996157478</v>
          </cell>
        </row>
        <row r="28496">
          <cell r="E28496" t="str">
            <v>EF-45131277</v>
          </cell>
          <cell r="F28496">
            <v>886996157478</v>
          </cell>
        </row>
        <row r="28497">
          <cell r="E28497" t="str">
            <v>141-002781</v>
          </cell>
          <cell r="F28497">
            <v>886958752130</v>
          </cell>
        </row>
        <row r="28498">
          <cell r="E28498" t="str">
            <v>PUR-03-0104-03</v>
          </cell>
          <cell r="F28498">
            <v>483570640729</v>
          </cell>
        </row>
        <row r="28499">
          <cell r="E28499" t="str">
            <v>AIC-MP-00006812-000</v>
          </cell>
          <cell r="F28499">
            <v>396560054380</v>
          </cell>
        </row>
        <row r="28500">
          <cell r="E28500" t="str">
            <v>LUC-E00-440045-00</v>
          </cell>
          <cell r="F28500">
            <v>396529091219</v>
          </cell>
        </row>
        <row r="28501">
          <cell r="E28501" t="str">
            <v>AIC-MP-OT007308-S01</v>
          </cell>
          <cell r="F28501">
            <v>887037898642</v>
          </cell>
        </row>
        <row r="28502">
          <cell r="E28502" t="str">
            <v>AIC-MP-00007086-000</v>
          </cell>
          <cell r="F28502">
            <v>887037898642</v>
          </cell>
        </row>
        <row r="28503">
          <cell r="E28503" t="str">
            <v>AIC-MP-OT007295-S01</v>
          </cell>
          <cell r="F28503">
            <v>887037898642</v>
          </cell>
        </row>
        <row r="28504">
          <cell r="E28504" t="str">
            <v>LUC-EZZ-470211-00</v>
          </cell>
          <cell r="F28504">
            <v>396496348759</v>
          </cell>
        </row>
        <row r="28505">
          <cell r="E28505" t="str">
            <v>LUC-E00-4700103-00</v>
          </cell>
          <cell r="F28505">
            <v>396496872390</v>
          </cell>
        </row>
        <row r="28506">
          <cell r="E28506" t="str">
            <v>EF-45055270</v>
          </cell>
          <cell r="F28506">
            <v>419341603036</v>
          </cell>
        </row>
        <row r="28507">
          <cell r="E28507" t="str">
            <v>EF-45060929</v>
          </cell>
          <cell r="F28507">
            <v>419341603036</v>
          </cell>
        </row>
        <row r="28508">
          <cell r="E28508" t="str">
            <v>LUC-E00-420071-00</v>
          </cell>
          <cell r="F28508">
            <v>479730217832</v>
          </cell>
        </row>
        <row r="28509">
          <cell r="E28509" t="str">
            <v>LUC-E00-420071-00</v>
          </cell>
          <cell r="F28509">
            <v>479730217832</v>
          </cell>
        </row>
        <row r="28510">
          <cell r="E28510" t="str">
            <v>LUC-E00-420027-03</v>
          </cell>
          <cell r="F28510">
            <v>2503069111</v>
          </cell>
        </row>
        <row r="28511">
          <cell r="E28511" t="str">
            <v>LUC-P11-JA3400-00</v>
          </cell>
          <cell r="F28511">
            <v>462141616924</v>
          </cell>
        </row>
        <row r="28512">
          <cell r="E28512" t="str">
            <v>EF-45134746</v>
          </cell>
          <cell r="F28512">
            <v>462141616924</v>
          </cell>
        </row>
        <row r="28513">
          <cell r="E28513" t="str">
            <v>LUC-E00-690214-00</v>
          </cell>
          <cell r="F28513">
            <v>462141616924</v>
          </cell>
        </row>
        <row r="28514">
          <cell r="E28514" t="str">
            <v>LUC-E00-690214-00</v>
          </cell>
          <cell r="F28514">
            <v>462141616924</v>
          </cell>
        </row>
        <row r="28515">
          <cell r="E28515" t="str">
            <v>LUC-E00-690214-00</v>
          </cell>
          <cell r="F28515">
            <v>462141616924</v>
          </cell>
        </row>
        <row r="28516">
          <cell r="E28516" t="str">
            <v>LUC-E00-690214-00</v>
          </cell>
          <cell r="F28516">
            <v>462141616924</v>
          </cell>
        </row>
        <row r="28517">
          <cell r="E28517" t="str">
            <v>LUC-E00-690214-00</v>
          </cell>
          <cell r="F28517">
            <v>462141616924</v>
          </cell>
        </row>
        <row r="28518">
          <cell r="E28518" t="str">
            <v>LUC-E00-690214-00</v>
          </cell>
          <cell r="F28518">
            <v>462141616924</v>
          </cell>
        </row>
        <row r="28519">
          <cell r="E28519" t="str">
            <v>LUC-E00-690214-00</v>
          </cell>
          <cell r="F28519">
            <v>462141616924</v>
          </cell>
        </row>
        <row r="28520">
          <cell r="E28520" t="str">
            <v>LUC-E00-690214-00</v>
          </cell>
          <cell r="F28520">
            <v>462141616924</v>
          </cell>
        </row>
        <row r="28521">
          <cell r="E28521" t="str">
            <v>LUC-E00-690214-00</v>
          </cell>
          <cell r="F28521">
            <v>462141616924</v>
          </cell>
        </row>
        <row r="28522">
          <cell r="E28522" t="str">
            <v>LUC-E00-690214-00</v>
          </cell>
          <cell r="F28522">
            <v>462141616924</v>
          </cell>
        </row>
        <row r="28523">
          <cell r="E28523" t="str">
            <v>LUC-E00-690001-00</v>
          </cell>
          <cell r="F28523">
            <v>4110332041</v>
          </cell>
        </row>
        <row r="28524">
          <cell r="E28524" t="str">
            <v>LUC-E00-690001-00</v>
          </cell>
          <cell r="F28524">
            <v>4110332041</v>
          </cell>
        </row>
        <row r="28525">
          <cell r="E28525" t="str">
            <v>LUC-E00-690001-00</v>
          </cell>
          <cell r="F28525">
            <v>4110332041</v>
          </cell>
        </row>
        <row r="28526">
          <cell r="E28526" t="str">
            <v>LUC-E00-690001-00</v>
          </cell>
          <cell r="F28526">
            <v>4110332041</v>
          </cell>
        </row>
        <row r="28527">
          <cell r="E28527" t="str">
            <v>LUC-E00-690001-00</v>
          </cell>
          <cell r="F28527">
            <v>4110332042</v>
          </cell>
        </row>
        <row r="28528">
          <cell r="E28528" t="str">
            <v>LUC-E00-690001-00</v>
          </cell>
          <cell r="F28528">
            <v>4110332042</v>
          </cell>
        </row>
        <row r="28529">
          <cell r="E28529" t="str">
            <v>LUC-E00-690001-00</v>
          </cell>
          <cell r="F28529">
            <v>4110332042</v>
          </cell>
        </row>
        <row r="28530">
          <cell r="E28530" t="str">
            <v>LUC-E00-690001-00</v>
          </cell>
          <cell r="F28530">
            <v>4110332042</v>
          </cell>
        </row>
        <row r="28531">
          <cell r="E28531" t="str">
            <v>LUC-E00-690001-00</v>
          </cell>
          <cell r="F28531">
            <v>4110332042</v>
          </cell>
        </row>
        <row r="28532">
          <cell r="E28532" t="str">
            <v>LUC-E00-690001-00</v>
          </cell>
          <cell r="F28532">
            <v>4110332043</v>
          </cell>
        </row>
        <row r="28533">
          <cell r="E28533" t="str">
            <v>LUC-E00-690001-00</v>
          </cell>
          <cell r="F28533">
            <v>4110332043</v>
          </cell>
        </row>
        <row r="28534">
          <cell r="E28534" t="str">
            <v>LUC-E00-690001-00</v>
          </cell>
          <cell r="F28534">
            <v>4110332043</v>
          </cell>
        </row>
        <row r="28535">
          <cell r="E28535" t="str">
            <v>LUC-E00-690001-00</v>
          </cell>
          <cell r="F28535">
            <v>4110332043</v>
          </cell>
        </row>
        <row r="28536">
          <cell r="E28536" t="str">
            <v>LUC-E00-690001-00</v>
          </cell>
          <cell r="F28536">
            <v>4110332043</v>
          </cell>
        </row>
        <row r="28537">
          <cell r="E28537" t="str">
            <v>LUC-E00-690001-00</v>
          </cell>
          <cell r="F28537">
            <v>4110332043</v>
          </cell>
        </row>
        <row r="28538">
          <cell r="E28538" t="str">
            <v>LUC-E00-690001-00</v>
          </cell>
          <cell r="F28538">
            <v>4110332043</v>
          </cell>
        </row>
        <row r="28539">
          <cell r="E28539" t="str">
            <v>LUC-E00-690001-00</v>
          </cell>
          <cell r="F28539">
            <v>4110332043</v>
          </cell>
        </row>
        <row r="28540">
          <cell r="E28540" t="str">
            <v>LUC-EZZ-690241-00</v>
          </cell>
          <cell r="F28540">
            <v>4110332044</v>
          </cell>
        </row>
        <row r="28541">
          <cell r="E28541" t="str">
            <v>LUC-E00-690001-00</v>
          </cell>
          <cell r="F28541">
            <v>4110332045</v>
          </cell>
        </row>
        <row r="28542">
          <cell r="E28542" t="str">
            <v>LUC-E00-690001-00</v>
          </cell>
          <cell r="F28542">
            <v>4110332045</v>
          </cell>
        </row>
        <row r="28543">
          <cell r="E28543" t="str">
            <v>LUC-E00-690001-00</v>
          </cell>
          <cell r="F28543">
            <v>4110332045</v>
          </cell>
        </row>
        <row r="28544">
          <cell r="E28544" t="str">
            <v>LUC-E00-690001-00</v>
          </cell>
          <cell r="F28544">
            <v>4110332045</v>
          </cell>
        </row>
        <row r="28545">
          <cell r="E28545" t="str">
            <v>LUC-E00-690001-00</v>
          </cell>
          <cell r="F28545">
            <v>4110332045</v>
          </cell>
        </row>
        <row r="28546">
          <cell r="E28546" t="str">
            <v>LUC-E00-690001-00</v>
          </cell>
          <cell r="F28546">
            <v>4110332045</v>
          </cell>
        </row>
        <row r="28547">
          <cell r="E28547" t="str">
            <v>LUC-E00-690001-00</v>
          </cell>
          <cell r="F28547">
            <v>4110332045</v>
          </cell>
        </row>
        <row r="28548">
          <cell r="E28548" t="str">
            <v>LUC-E00-690001-00</v>
          </cell>
          <cell r="F28548">
            <v>4110332046</v>
          </cell>
        </row>
        <row r="28549">
          <cell r="E28549" t="str">
            <v>EF-45227728</v>
          </cell>
          <cell r="F28549">
            <v>4915020281</v>
          </cell>
        </row>
        <row r="28550">
          <cell r="E28550" t="str">
            <v>EF-45224584</v>
          </cell>
          <cell r="F28550">
            <v>4915020281</v>
          </cell>
        </row>
        <row r="28551">
          <cell r="E28551" t="str">
            <v>EF-45156843</v>
          </cell>
          <cell r="F28551">
            <v>4915020281</v>
          </cell>
        </row>
        <row r="28552">
          <cell r="E28552" t="str">
            <v>LUC-E00-470259-00</v>
          </cell>
          <cell r="F28552">
            <v>396709313959</v>
          </cell>
        </row>
        <row r="28553">
          <cell r="E28553" t="str">
            <v>122-000291.X.X</v>
          </cell>
          <cell r="F28553">
            <v>412069783941</v>
          </cell>
        </row>
        <row r="28554">
          <cell r="E28554" t="str">
            <v>LUC-E00-690029-00</v>
          </cell>
          <cell r="F28554">
            <v>886824336040</v>
          </cell>
        </row>
        <row r="28555">
          <cell r="E28555" t="str">
            <v>LUC-P11-K33800-04</v>
          </cell>
          <cell r="F28555" t="str">
            <v>HKHPG2512104</v>
          </cell>
        </row>
        <row r="28556">
          <cell r="E28556" t="str">
            <v>LUC-P11-K34000-03</v>
          </cell>
          <cell r="F28556" t="str">
            <v>HKHPG2512104</v>
          </cell>
        </row>
        <row r="28557">
          <cell r="E28557" t="str">
            <v>LUC-P11-L1AU00-02</v>
          </cell>
          <cell r="F28557" t="str">
            <v>HWHPH2503926</v>
          </cell>
        </row>
        <row r="28558">
          <cell r="E28558" t="str">
            <v>LUC-P11-J80300-00</v>
          </cell>
          <cell r="F28558" t="str">
            <v>LSHHPH2502626</v>
          </cell>
        </row>
        <row r="28559">
          <cell r="E28559" t="str">
            <v>LUC-P11-J80300-00</v>
          </cell>
          <cell r="F28559" t="str">
            <v>LSHHPH2502626</v>
          </cell>
        </row>
        <row r="28560">
          <cell r="E28560" t="str">
            <v>LUC-P11-J81300-01</v>
          </cell>
          <cell r="F28560" t="str">
            <v>LSHHPH2502626</v>
          </cell>
        </row>
        <row r="28561">
          <cell r="E28561" t="str">
            <v>LUC-P11-J81300-01</v>
          </cell>
          <cell r="F28561" t="str">
            <v>LSHHPH2502626</v>
          </cell>
        </row>
        <row r="28562">
          <cell r="E28562" t="str">
            <v>LUC-P11-J81500-01</v>
          </cell>
          <cell r="F28562" t="str">
            <v>LSHHPH2502626</v>
          </cell>
        </row>
        <row r="28563">
          <cell r="E28563" t="str">
            <v>LUC-EZZ-470248-02</v>
          </cell>
          <cell r="F28563">
            <v>396684656312</v>
          </cell>
        </row>
        <row r="28564">
          <cell r="E28564" t="str">
            <v>LUC-EZZ-470248-02</v>
          </cell>
          <cell r="F28564">
            <v>396684656312</v>
          </cell>
        </row>
        <row r="28565">
          <cell r="E28565" t="str">
            <v>LUC-E00-470042-00</v>
          </cell>
          <cell r="F28565">
            <v>396684656312</v>
          </cell>
        </row>
        <row r="28566">
          <cell r="E28566" t="str">
            <v>LUC-EZZ-480006-00</v>
          </cell>
          <cell r="F28566">
            <v>413017038515</v>
          </cell>
        </row>
        <row r="28567">
          <cell r="E28567" t="str">
            <v>LUC-EZZ-440129-00</v>
          </cell>
          <cell r="F28567">
            <v>396506606961</v>
          </cell>
        </row>
        <row r="28568">
          <cell r="E28568" t="str">
            <v>EF-45112739</v>
          </cell>
          <cell r="F28568">
            <v>396615695721</v>
          </cell>
        </row>
        <row r="28569">
          <cell r="E28569" t="str">
            <v>EF-45133505</v>
          </cell>
          <cell r="F28569">
            <v>396615695721</v>
          </cell>
        </row>
        <row r="28570">
          <cell r="E28570" t="str">
            <v>LUC-E00-470093-00</v>
          </cell>
          <cell r="F28570">
            <v>396660542864</v>
          </cell>
        </row>
        <row r="28571">
          <cell r="E28571" t="str">
            <v>HLOB-12-0284-00</v>
          </cell>
          <cell r="F28571">
            <v>886994142976</v>
          </cell>
        </row>
        <row r="28572">
          <cell r="E28572" t="str">
            <v>PUR-12-0472-00</v>
          </cell>
          <cell r="F28572">
            <v>886994142976</v>
          </cell>
        </row>
        <row r="28573">
          <cell r="E28573" t="str">
            <v>PUR-12-0472-00</v>
          </cell>
          <cell r="F28573">
            <v>886994142976</v>
          </cell>
        </row>
        <row r="28574">
          <cell r="E28574" t="str">
            <v>PUR-12-0483-00</v>
          </cell>
          <cell r="F28574">
            <v>886994142976</v>
          </cell>
        </row>
        <row r="28575">
          <cell r="E28575" t="str">
            <v>PURET-12-0257-00</v>
          </cell>
          <cell r="F28575">
            <v>886994142976</v>
          </cell>
        </row>
        <row r="28576">
          <cell r="E28576" t="str">
            <v>HLOB-12-0257-00</v>
          </cell>
          <cell r="F28576">
            <v>886994142976</v>
          </cell>
        </row>
        <row r="28577">
          <cell r="E28577" t="str">
            <v>HLOB-12-0284-00</v>
          </cell>
          <cell r="F28577">
            <v>886994142976</v>
          </cell>
        </row>
        <row r="28578">
          <cell r="E28578" t="str">
            <v>HLOB-12-0475-00</v>
          </cell>
          <cell r="F28578">
            <v>886994142976</v>
          </cell>
        </row>
        <row r="28579">
          <cell r="E28579" t="str">
            <v>126-000391</v>
          </cell>
          <cell r="F28579">
            <v>886999718925</v>
          </cell>
        </row>
        <row r="28580">
          <cell r="E28580" t="str">
            <v>126-000391</v>
          </cell>
          <cell r="F28580">
            <v>886999718925</v>
          </cell>
        </row>
        <row r="28581">
          <cell r="E28581" t="str">
            <v>122-000735.X.X</v>
          </cell>
          <cell r="F28581">
            <v>886999718925</v>
          </cell>
        </row>
        <row r="28582">
          <cell r="E28582" t="str">
            <v>LUC-E00-690030-03</v>
          </cell>
          <cell r="F28582">
            <v>886999718925</v>
          </cell>
        </row>
        <row r="28583">
          <cell r="E28583" t="str">
            <v>HLOB-12-0088-00</v>
          </cell>
          <cell r="F28583">
            <v>886999718925</v>
          </cell>
        </row>
        <row r="28584">
          <cell r="E28584" t="str">
            <v>HLOB-13-0027-00</v>
          </cell>
          <cell r="F28584">
            <v>886999718925</v>
          </cell>
        </row>
        <row r="28585">
          <cell r="E28585" t="str">
            <v>EF-45043819.X.X</v>
          </cell>
          <cell r="F28585">
            <v>886999718925</v>
          </cell>
        </row>
        <row r="28586">
          <cell r="E28586" t="str">
            <v>HLOB-12-0482-00</v>
          </cell>
          <cell r="F28586">
            <v>886999718925</v>
          </cell>
        </row>
        <row r="28587">
          <cell r="E28587" t="str">
            <v>HLOB-12-0482-00</v>
          </cell>
          <cell r="F28587">
            <v>886999718925</v>
          </cell>
        </row>
        <row r="28588">
          <cell r="E28588" t="str">
            <v>HLOB-12-0482-00</v>
          </cell>
          <cell r="F28588">
            <v>886999718925</v>
          </cell>
        </row>
        <row r="28589">
          <cell r="E28589" t="str">
            <v>LUC-E00-400059-140</v>
          </cell>
          <cell r="F28589">
            <v>887034452320</v>
          </cell>
        </row>
        <row r="28590">
          <cell r="E28590" t="str">
            <v>LUC-EZZ-400011-00</v>
          </cell>
          <cell r="F28590">
            <v>887034452320</v>
          </cell>
        </row>
        <row r="28591">
          <cell r="E28591" t="str">
            <v>AIC-124-002785</v>
          </cell>
          <cell r="F28591">
            <v>887034452320</v>
          </cell>
        </row>
        <row r="28592">
          <cell r="E28592" t="str">
            <v>EF-45120026</v>
          </cell>
          <cell r="F28592">
            <v>887034452320</v>
          </cell>
        </row>
        <row r="28593">
          <cell r="E28593" t="str">
            <v>LUC-E00-400059-004</v>
          </cell>
          <cell r="F28593">
            <v>887034452320</v>
          </cell>
        </row>
        <row r="28594">
          <cell r="E28594" t="str">
            <v>LUC-E00-400059-140</v>
          </cell>
          <cell r="F28594">
            <v>887034452320</v>
          </cell>
        </row>
        <row r="28595">
          <cell r="E28595" t="str">
            <v>LUC-E00-420027-08</v>
          </cell>
          <cell r="F28595">
            <v>887003884269</v>
          </cell>
        </row>
        <row r="28596">
          <cell r="E28596" t="str">
            <v>EF-45103518</v>
          </cell>
          <cell r="F28596">
            <v>887003884269</v>
          </cell>
        </row>
        <row r="28597">
          <cell r="E28597" t="str">
            <v>LUC-EZZ-420398-00</v>
          </cell>
          <cell r="F28597">
            <v>887003884269</v>
          </cell>
        </row>
        <row r="28598">
          <cell r="E28598" t="str">
            <v>LUC-E00-400010-044</v>
          </cell>
          <cell r="F28598">
            <v>479730220758</v>
          </cell>
        </row>
        <row r="28599">
          <cell r="E28599" t="str">
            <v>LUC-E00-400010-022</v>
          </cell>
          <cell r="F28599">
            <v>479730221467</v>
          </cell>
        </row>
        <row r="28600">
          <cell r="E28600" t="str">
            <v>LUC-EZZ-400206-00</v>
          </cell>
          <cell r="F28600">
            <v>479730221309</v>
          </cell>
        </row>
        <row r="28601">
          <cell r="E28601" t="str">
            <v>LUC-EZZ-401312-00</v>
          </cell>
          <cell r="F28601">
            <v>479730224385</v>
          </cell>
        </row>
        <row r="28602">
          <cell r="E28602" t="str">
            <v>LUC-EZZ-450234-00</v>
          </cell>
          <cell r="F28602">
            <v>479730221640</v>
          </cell>
        </row>
        <row r="28603">
          <cell r="E28603" t="str">
            <v>PUR-21-0036-00</v>
          </cell>
          <cell r="F28603">
            <v>479730225039</v>
          </cell>
        </row>
        <row r="28604">
          <cell r="E28604" t="str">
            <v>PUR-21-0036-00</v>
          </cell>
          <cell r="F28604">
            <v>479730225944</v>
          </cell>
        </row>
        <row r="28605">
          <cell r="E28605" t="str">
            <v>LUC-EZZ-400203-00</v>
          </cell>
          <cell r="F28605">
            <v>479730225348</v>
          </cell>
        </row>
        <row r="28606">
          <cell r="E28606" t="str">
            <v>LUC-E00-400010-026</v>
          </cell>
          <cell r="F28606">
            <v>479730226333</v>
          </cell>
        </row>
        <row r="28607">
          <cell r="E28607" t="str">
            <v>AIC-MP-00006881-000</v>
          </cell>
          <cell r="F28607">
            <v>479730226300</v>
          </cell>
        </row>
        <row r="28608">
          <cell r="E28608" t="str">
            <v>EF-45188480</v>
          </cell>
          <cell r="F28608">
            <v>479730228288</v>
          </cell>
        </row>
        <row r="28609">
          <cell r="E28609" t="str">
            <v>LUC-EZZ-400248-00</v>
          </cell>
          <cell r="F28609">
            <v>479730228358</v>
          </cell>
        </row>
        <row r="28610">
          <cell r="E28610" t="str">
            <v>LUC-E00-400010-026</v>
          </cell>
          <cell r="F28610">
            <v>479730228027</v>
          </cell>
        </row>
        <row r="28611">
          <cell r="E28611" t="str">
            <v>LUC-E00-400010-044</v>
          </cell>
          <cell r="F28611">
            <v>479730228450</v>
          </cell>
        </row>
        <row r="28612">
          <cell r="E28612" t="str">
            <v>HLOB-09-0417-00</v>
          </cell>
          <cell r="F28612">
            <v>479730229067</v>
          </cell>
        </row>
        <row r="28613">
          <cell r="E28613" t="str">
            <v>LUC-E00-440003-01</v>
          </cell>
          <cell r="F28613">
            <v>484361649413</v>
          </cell>
        </row>
        <row r="28614">
          <cell r="E28614" t="str">
            <v>LUC-E00-440046-00</v>
          </cell>
          <cell r="F28614">
            <v>484361649413</v>
          </cell>
        </row>
        <row r="28615">
          <cell r="E28615" t="str">
            <v>LUC-EZZ-440069-00</v>
          </cell>
          <cell r="F28615">
            <v>484361649413</v>
          </cell>
        </row>
        <row r="28616">
          <cell r="E28616" t="str">
            <v>LUC-EZZ-440072-00</v>
          </cell>
          <cell r="F28616">
            <v>484361649413</v>
          </cell>
        </row>
        <row r="28617">
          <cell r="E28617" t="str">
            <v>LUC-EZZ-440078-01</v>
          </cell>
          <cell r="F28617">
            <v>484361649413</v>
          </cell>
        </row>
        <row r="28618">
          <cell r="E28618" t="str">
            <v>LUC-E00-440077-02</v>
          </cell>
          <cell r="F28618">
            <v>484361649413</v>
          </cell>
        </row>
        <row r="28619">
          <cell r="E28619" t="str">
            <v>HLOB-09-0417-00</v>
          </cell>
          <cell r="F28619">
            <v>479730229549</v>
          </cell>
        </row>
        <row r="28620">
          <cell r="E28620" t="str">
            <v>PUR-09-0417-00</v>
          </cell>
          <cell r="F28620">
            <v>479730229104</v>
          </cell>
        </row>
        <row r="28621">
          <cell r="E28621" t="str">
            <v>HLOB-13-0258-00</v>
          </cell>
          <cell r="F28621">
            <v>488209948284</v>
          </cell>
        </row>
        <row r="28622">
          <cell r="E28622" t="str">
            <v>PUR-09-0344-00</v>
          </cell>
          <cell r="F28622">
            <v>492501348483</v>
          </cell>
        </row>
        <row r="28623">
          <cell r="E28623" t="str">
            <v>PUR-09-0344-00</v>
          </cell>
          <cell r="F28623">
            <v>492501348483</v>
          </cell>
        </row>
        <row r="28624">
          <cell r="E28624" t="str">
            <v>PUR-09-0344-00</v>
          </cell>
          <cell r="F28624">
            <v>492501348483</v>
          </cell>
        </row>
        <row r="28625">
          <cell r="E28625" t="str">
            <v>EF-45127606</v>
          </cell>
          <cell r="F28625">
            <v>493596651657</v>
          </cell>
        </row>
        <row r="28626">
          <cell r="E28626" t="str">
            <v>LUC-E00-400010-003</v>
          </cell>
          <cell r="F28626">
            <v>493596651819</v>
          </cell>
        </row>
        <row r="28627">
          <cell r="E28627" t="str">
            <v>LUC-EZZ-400260-00</v>
          </cell>
          <cell r="F28627">
            <v>409298901302</v>
          </cell>
        </row>
        <row r="28628">
          <cell r="E28628" t="str">
            <v>LUC-E00-440031-00</v>
          </cell>
          <cell r="F28628">
            <v>409298901302</v>
          </cell>
        </row>
        <row r="28629">
          <cell r="E28629" t="str">
            <v>LUC-E00-420033-00</v>
          </cell>
          <cell r="F28629">
            <v>409298901302</v>
          </cell>
        </row>
        <row r="28630">
          <cell r="E28630" t="str">
            <v>LUC-E00-400010-004</v>
          </cell>
          <cell r="F28630">
            <v>409298901302</v>
          </cell>
        </row>
        <row r="28631">
          <cell r="E28631" t="str">
            <v>LUC-E00-400067-207</v>
          </cell>
          <cell r="F28631">
            <v>409298901302</v>
          </cell>
        </row>
        <row r="28632">
          <cell r="E28632" t="str">
            <v>LUC-EZZ-440127-00</v>
          </cell>
          <cell r="F28632">
            <v>493596651922</v>
          </cell>
        </row>
        <row r="28633">
          <cell r="E28633" t="str">
            <v>EF-45130022</v>
          </cell>
          <cell r="F28633">
            <v>886899720955</v>
          </cell>
        </row>
        <row r="28634">
          <cell r="E28634" t="str">
            <v>EF-45187673</v>
          </cell>
          <cell r="F28634">
            <v>886899720955</v>
          </cell>
        </row>
        <row r="28635">
          <cell r="E28635" t="str">
            <v>LUC-EZZ-401652-00</v>
          </cell>
          <cell r="F28635">
            <v>493596657552</v>
          </cell>
        </row>
        <row r="28636">
          <cell r="E28636" t="str">
            <v>LUC-EZZ-440204-00</v>
          </cell>
          <cell r="F28636">
            <v>493596657552</v>
          </cell>
        </row>
        <row r="28637">
          <cell r="E28637" t="str">
            <v>HLOB-09-0346-00</v>
          </cell>
          <cell r="F28637">
            <v>493596657552</v>
          </cell>
        </row>
        <row r="28638">
          <cell r="E28638" t="str">
            <v>LUC-EZZ-440204-00</v>
          </cell>
          <cell r="F28638">
            <v>493596657552</v>
          </cell>
        </row>
        <row r="28639">
          <cell r="E28639" t="str">
            <v>LUC-E00-470024-00</v>
          </cell>
          <cell r="F28639">
            <v>679865591795</v>
          </cell>
        </row>
        <row r="28640">
          <cell r="E28640" t="str">
            <v>LUC-E00-470024-00</v>
          </cell>
          <cell r="F28640">
            <v>679865591795</v>
          </cell>
        </row>
        <row r="28641">
          <cell r="E28641" t="str">
            <v>LUC-E00-470024-00</v>
          </cell>
          <cell r="F28641">
            <v>679865591795</v>
          </cell>
        </row>
        <row r="28642">
          <cell r="E28642" t="str">
            <v>LUC-E00-470024-00</v>
          </cell>
          <cell r="F28642">
            <v>679865591795</v>
          </cell>
        </row>
        <row r="28643">
          <cell r="E28643" t="str">
            <v>LUC-E00-450009-00</v>
          </cell>
          <cell r="F28643">
            <v>887073607504</v>
          </cell>
        </row>
        <row r="28644">
          <cell r="E28644" t="str">
            <v>LUC-E00-450009-00</v>
          </cell>
          <cell r="F28644">
            <v>887073607504</v>
          </cell>
        </row>
        <row r="28645">
          <cell r="E28645" t="str">
            <v>122-000291.X.X</v>
          </cell>
          <cell r="F28645">
            <v>887073607504</v>
          </cell>
        </row>
        <row r="28646">
          <cell r="E28646" t="str">
            <v>HLOB-12-0343-00</v>
          </cell>
          <cell r="F28646">
            <v>887073607504</v>
          </cell>
        </row>
        <row r="28647">
          <cell r="E28647" t="str">
            <v>HLOB-12-0337-00</v>
          </cell>
          <cell r="F28647">
            <v>887073607504</v>
          </cell>
        </row>
        <row r="28648">
          <cell r="E28648" t="str">
            <v>HLOB-13-0159-00</v>
          </cell>
          <cell r="F28648">
            <v>887073607504</v>
          </cell>
        </row>
        <row r="28649">
          <cell r="E28649" t="str">
            <v>HLOB-13-0159-00</v>
          </cell>
          <cell r="F28649">
            <v>887073607504</v>
          </cell>
        </row>
        <row r="28650">
          <cell r="E28650" t="str">
            <v>HLOB-12-0337-00</v>
          </cell>
          <cell r="F28650">
            <v>887073607504</v>
          </cell>
        </row>
        <row r="28651">
          <cell r="E28651" t="str">
            <v>HLOB-12-0337-00</v>
          </cell>
          <cell r="F28651">
            <v>887073607504</v>
          </cell>
        </row>
        <row r="28652">
          <cell r="E28652" t="str">
            <v>103-000216.X.X</v>
          </cell>
          <cell r="F28652">
            <v>484112423962</v>
          </cell>
        </row>
        <row r="28653">
          <cell r="E28653" t="str">
            <v>LUC-EZZ-471621-00</v>
          </cell>
          <cell r="F28653">
            <v>815423201248</v>
          </cell>
        </row>
        <row r="28654">
          <cell r="E28654" t="str">
            <v>LUC-E00-470041-00</v>
          </cell>
          <cell r="F28654">
            <v>815423201248</v>
          </cell>
        </row>
        <row r="28655">
          <cell r="E28655" t="str">
            <v>LUC-EZZ-470181-00</v>
          </cell>
          <cell r="F28655">
            <v>815423201248</v>
          </cell>
        </row>
        <row r="28656">
          <cell r="E28656" t="str">
            <v>LUC-E00-470031-00</v>
          </cell>
          <cell r="F28656">
            <v>396605406057</v>
          </cell>
        </row>
        <row r="28657">
          <cell r="E28657" t="str">
            <v>LUC-EZZ-470359-00</v>
          </cell>
          <cell r="F28657">
            <v>396605406057</v>
          </cell>
        </row>
        <row r="28658">
          <cell r="E28658" t="str">
            <v>LUC-EZZ-400427-00</v>
          </cell>
          <cell r="F28658">
            <v>493782106627</v>
          </cell>
        </row>
        <row r="28659">
          <cell r="E28659" t="str">
            <v>LUC-E00-420286-01</v>
          </cell>
          <cell r="F28659">
            <v>493782106627</v>
          </cell>
        </row>
        <row r="28660">
          <cell r="E28660" t="str">
            <v>LUC-E00-440156-00</v>
          </cell>
          <cell r="F28660">
            <v>493782106627</v>
          </cell>
        </row>
        <row r="28661">
          <cell r="E28661" t="str">
            <v>LUC-E00-460176-00-R</v>
          </cell>
          <cell r="F28661">
            <v>493782106627</v>
          </cell>
        </row>
        <row r="28662">
          <cell r="E28662" t="str">
            <v>LUC-E00-450039-00-R</v>
          </cell>
          <cell r="F28662">
            <v>493782106627</v>
          </cell>
        </row>
        <row r="28663">
          <cell r="E28663" t="str">
            <v>HLOB-14-0109-00</v>
          </cell>
          <cell r="F28663">
            <v>493782106627</v>
          </cell>
        </row>
        <row r="28664">
          <cell r="E28664" t="str">
            <v>LUC-P11-K41700-00</v>
          </cell>
          <cell r="F28664">
            <v>493782106627</v>
          </cell>
        </row>
        <row r="28665">
          <cell r="E28665" t="str">
            <v>LUC-P11-K41700-00</v>
          </cell>
          <cell r="F28665">
            <v>493782106627</v>
          </cell>
        </row>
        <row r="28666">
          <cell r="E28666" t="str">
            <v>LUC-P11-K41800-00</v>
          </cell>
          <cell r="F28666">
            <v>493782106627</v>
          </cell>
        </row>
        <row r="28667">
          <cell r="E28667" t="str">
            <v>LUC-P11-K41800-00</v>
          </cell>
          <cell r="F28667">
            <v>493782106627</v>
          </cell>
        </row>
        <row r="28668">
          <cell r="E28668" t="str">
            <v>LUC-E00-510021-00-R</v>
          </cell>
          <cell r="F28668">
            <v>495265262898</v>
          </cell>
        </row>
        <row r="28669">
          <cell r="E28669" t="str">
            <v>LUC-E00-420019-00</v>
          </cell>
          <cell r="F28669">
            <v>5408297241</v>
          </cell>
        </row>
        <row r="28670">
          <cell r="E28670" t="str">
            <v>HLOB-07-0167-00</v>
          </cell>
          <cell r="F28670">
            <v>4915020298</v>
          </cell>
        </row>
        <row r="28671">
          <cell r="E28671" t="str">
            <v>HLOB-07-0167-00</v>
          </cell>
          <cell r="F28671">
            <v>4915020298</v>
          </cell>
        </row>
        <row r="28672">
          <cell r="E28672" t="str">
            <v>PUR-07-0167-00</v>
          </cell>
          <cell r="F28672">
            <v>4915020298</v>
          </cell>
        </row>
        <row r="28673">
          <cell r="E28673" t="str">
            <v>PUR-07-0167-00</v>
          </cell>
          <cell r="F28673">
            <v>4915020298</v>
          </cell>
        </row>
        <row r="28674">
          <cell r="E28674" t="str">
            <v>PUR-07-0167-00</v>
          </cell>
          <cell r="F28674">
            <v>4915020298</v>
          </cell>
        </row>
        <row r="28675">
          <cell r="E28675" t="str">
            <v>PUR-07-0167-00</v>
          </cell>
          <cell r="F28675">
            <v>4915020298</v>
          </cell>
        </row>
        <row r="28676">
          <cell r="E28676" t="str">
            <v>PUR-07-0328-00</v>
          </cell>
          <cell r="F28676">
            <v>4915020298</v>
          </cell>
        </row>
        <row r="28677">
          <cell r="E28677" t="str">
            <v>HLOB-07-0328-00</v>
          </cell>
          <cell r="F28677">
            <v>4915020298</v>
          </cell>
        </row>
        <row r="28678">
          <cell r="E28678" t="str">
            <v>AIC-BPM-UPG0000-D01</v>
          </cell>
          <cell r="F28678">
            <v>5649638610</v>
          </cell>
        </row>
        <row r="28679">
          <cell r="E28679" t="str">
            <v>LUC-E00-690032-00</v>
          </cell>
          <cell r="F28679">
            <v>396643138640</v>
          </cell>
        </row>
        <row r="28680">
          <cell r="E28680" t="str">
            <v>LUC-EZZ-470480-00</v>
          </cell>
          <cell r="F28680">
            <v>479730230108</v>
          </cell>
        </row>
        <row r="28681">
          <cell r="E28681" t="str">
            <v>AIC-120-012821</v>
          </cell>
          <cell r="F28681">
            <v>887074354313</v>
          </cell>
        </row>
        <row r="28682">
          <cell r="E28682" t="str">
            <v>AIC-MP-00006485-000</v>
          </cell>
          <cell r="F28682">
            <v>887074354313</v>
          </cell>
        </row>
        <row r="28683">
          <cell r="E28683" t="str">
            <v>EF-45227728</v>
          </cell>
          <cell r="F28683">
            <v>461596508692</v>
          </cell>
        </row>
        <row r="28684">
          <cell r="E28684" t="str">
            <v>LUC-E00-400010-026</v>
          </cell>
          <cell r="F28684">
            <v>479730230884</v>
          </cell>
        </row>
        <row r="28685">
          <cell r="E28685" t="str">
            <v>LUC-E00-470081-00</v>
          </cell>
          <cell r="F28685">
            <v>479730230840</v>
          </cell>
        </row>
        <row r="28686">
          <cell r="E28686" t="str">
            <v>LUC-E00-400010-001</v>
          </cell>
          <cell r="F28686">
            <v>479730232020</v>
          </cell>
        </row>
        <row r="28687">
          <cell r="E28687" t="str">
            <v>LUC-E00-460007-00</v>
          </cell>
          <cell r="F28687">
            <v>707296259470</v>
          </cell>
        </row>
        <row r="28688">
          <cell r="E28688" t="str">
            <v>LUC-EZZ-420364-00</v>
          </cell>
          <cell r="F28688">
            <v>488209948836</v>
          </cell>
        </row>
        <row r="28689">
          <cell r="E28689" t="str">
            <v>EF-45171838</v>
          </cell>
          <cell r="F28689">
            <v>494686533480</v>
          </cell>
        </row>
        <row r="28690">
          <cell r="E28690" t="str">
            <v>LUC-E00-460007-00</v>
          </cell>
          <cell r="F28690">
            <v>707296259481</v>
          </cell>
        </row>
        <row r="28691">
          <cell r="E28691" t="str">
            <v>LUC-E00-470038-00</v>
          </cell>
          <cell r="F28691">
            <v>396501165130</v>
          </cell>
        </row>
        <row r="28692">
          <cell r="E28692" t="str">
            <v>LUC-EZZ-470095-00</v>
          </cell>
          <cell r="F28692">
            <v>396611402642</v>
          </cell>
        </row>
        <row r="28693">
          <cell r="E28693" t="str">
            <v>LUC-E00-470045-00</v>
          </cell>
          <cell r="F28693">
            <v>396611402642</v>
          </cell>
        </row>
        <row r="28694">
          <cell r="E28694" t="str">
            <v>LUC-E00-470036-00</v>
          </cell>
          <cell r="F28694">
            <v>396611402642</v>
          </cell>
        </row>
        <row r="28695">
          <cell r="E28695" t="str">
            <v>HLOB-09-0477-00</v>
          </cell>
          <cell r="F28695">
            <v>396549618166</v>
          </cell>
        </row>
        <row r="28696">
          <cell r="E28696" t="str">
            <v>PUR-09-0417-00</v>
          </cell>
          <cell r="F28696">
            <v>479730231090</v>
          </cell>
        </row>
        <row r="28697">
          <cell r="E28697" t="str">
            <v>LUC-EZZ-440192-00</v>
          </cell>
          <cell r="F28697">
            <v>493206076280</v>
          </cell>
        </row>
        <row r="28698">
          <cell r="E28698" t="str">
            <v>LUC-EZZ-470423-00</v>
          </cell>
          <cell r="F28698">
            <v>477592544834</v>
          </cell>
        </row>
        <row r="28699">
          <cell r="E28699" t="str">
            <v>HLOB-03-0111-00</v>
          </cell>
          <cell r="F28699">
            <v>494556353220</v>
          </cell>
        </row>
        <row r="28700">
          <cell r="E28700" t="str">
            <v>PUR-03-0082-02</v>
          </cell>
          <cell r="F28700">
            <v>494556481680</v>
          </cell>
        </row>
        <row r="28701">
          <cell r="E28701" t="str">
            <v>EF-45139789</v>
          </cell>
          <cell r="F28701">
            <v>461596508394</v>
          </cell>
        </row>
        <row r="28702">
          <cell r="E28702" t="str">
            <v>EF-45184614</v>
          </cell>
          <cell r="F28702">
            <v>461596508394</v>
          </cell>
        </row>
        <row r="28703">
          <cell r="E28703" t="str">
            <v>EF-45166123-9</v>
          </cell>
          <cell r="F28703">
            <v>461596508394</v>
          </cell>
        </row>
        <row r="28704">
          <cell r="E28704" t="str">
            <v>LUC-E00-470263-00</v>
          </cell>
          <cell r="F28704">
            <v>480304816404</v>
          </cell>
        </row>
        <row r="28705">
          <cell r="E28705" t="str">
            <v>LUC-E00-470263-00</v>
          </cell>
          <cell r="F28705">
            <v>480304816404</v>
          </cell>
        </row>
        <row r="28706">
          <cell r="E28706" t="str">
            <v>103-000230.X.X</v>
          </cell>
          <cell r="F28706">
            <v>480304816426</v>
          </cell>
        </row>
        <row r="28707">
          <cell r="E28707" t="str">
            <v>103-000230.X.X</v>
          </cell>
          <cell r="F28707">
            <v>480304816426</v>
          </cell>
        </row>
        <row r="28708">
          <cell r="E28708" t="str">
            <v>103-000230.X.X</v>
          </cell>
          <cell r="F28708">
            <v>480304816426</v>
          </cell>
        </row>
        <row r="28709">
          <cell r="E28709" t="str">
            <v>LUC-E00-420002-00</v>
          </cell>
          <cell r="F28709">
            <v>4812872347</v>
          </cell>
        </row>
        <row r="28710">
          <cell r="E28710" t="str">
            <v>LUC-EZZ-420118-00</v>
          </cell>
          <cell r="F28710">
            <v>4812872347</v>
          </cell>
        </row>
        <row r="28711">
          <cell r="E28711" t="str">
            <v>LUC-E00-420002-00</v>
          </cell>
          <cell r="F28711">
            <v>4812872347</v>
          </cell>
        </row>
        <row r="28712">
          <cell r="E28712" t="str">
            <v>LUC-E00-420002-00</v>
          </cell>
          <cell r="F28712">
            <v>4812872347</v>
          </cell>
        </row>
        <row r="28713">
          <cell r="E28713" t="str">
            <v>LUC-EZZ-420097-00</v>
          </cell>
          <cell r="F28713">
            <v>4812872347</v>
          </cell>
        </row>
        <row r="28714">
          <cell r="E28714" t="str">
            <v>LUC-EZZ-420219-00</v>
          </cell>
          <cell r="F28714">
            <v>4812872347</v>
          </cell>
        </row>
        <row r="28715">
          <cell r="E28715" t="str">
            <v>LUC-E00-420002-00</v>
          </cell>
          <cell r="F28715">
            <v>4812872347</v>
          </cell>
        </row>
        <row r="28716">
          <cell r="E28716" t="str">
            <v>LUC-EZZ-420219-00</v>
          </cell>
          <cell r="F28716">
            <v>4812872347</v>
          </cell>
        </row>
        <row r="28717">
          <cell r="E28717" t="str">
            <v>LUC-EZZ-420321-00</v>
          </cell>
          <cell r="F28717">
            <v>4812872347</v>
          </cell>
        </row>
        <row r="28718">
          <cell r="E28718" t="str">
            <v>LUC-E00-420275-00</v>
          </cell>
          <cell r="F28718">
            <v>4812872347</v>
          </cell>
        </row>
        <row r="28719">
          <cell r="E28719" t="str">
            <v>HLOB-13-0212-00</v>
          </cell>
          <cell r="F28719">
            <v>4812872347</v>
          </cell>
        </row>
        <row r="28720">
          <cell r="E28720" t="str">
            <v>HLOB-13-0212-00</v>
          </cell>
          <cell r="F28720">
            <v>4812872347</v>
          </cell>
        </row>
        <row r="28721">
          <cell r="E28721" t="str">
            <v>LUC-EZZ-420321-00</v>
          </cell>
          <cell r="F28721">
            <v>471797721150</v>
          </cell>
        </row>
        <row r="28722">
          <cell r="E28722" t="str">
            <v>LUC-EZZ-420321-00</v>
          </cell>
          <cell r="F28722">
            <v>471797721150</v>
          </cell>
        </row>
        <row r="28723">
          <cell r="E28723" t="str">
            <v>LUC-E00-420037-03</v>
          </cell>
          <cell r="F28723">
            <v>471797721150</v>
          </cell>
        </row>
        <row r="28724">
          <cell r="E28724" t="str">
            <v>HLOB-13-0066-00</v>
          </cell>
          <cell r="F28724">
            <v>471797721150</v>
          </cell>
        </row>
        <row r="28725">
          <cell r="E28725" t="str">
            <v>PUR-03-0092-03</v>
          </cell>
          <cell r="F28725" t="str">
            <v>8XN1187</v>
          </cell>
        </row>
        <row r="28726">
          <cell r="E28726" t="str">
            <v>PUR-03-0092-03</v>
          </cell>
          <cell r="F28726" t="str">
            <v>8XN1188</v>
          </cell>
        </row>
        <row r="28727">
          <cell r="E28727" t="str">
            <v>PUR-03-0092-03</v>
          </cell>
          <cell r="F28727" t="str">
            <v>8XN1189</v>
          </cell>
        </row>
        <row r="28728">
          <cell r="E28728" t="str">
            <v>PUR-03-0099-03</v>
          </cell>
          <cell r="F28728" t="str">
            <v>8XN2220</v>
          </cell>
        </row>
        <row r="28729">
          <cell r="E28729" t="str">
            <v>LUC-EZZ-690138-02</v>
          </cell>
          <cell r="F28729" t="str">
            <v>LNBHPH257376</v>
          </cell>
        </row>
        <row r="28730">
          <cell r="E28730" t="str">
            <v>LUC-EZZ-690138-00</v>
          </cell>
          <cell r="F28730" t="str">
            <v>AS150538</v>
          </cell>
        </row>
        <row r="28731">
          <cell r="E28731" t="str">
            <v>LUC-EZZ-690138-01</v>
          </cell>
          <cell r="F28731" t="str">
            <v>AS150538</v>
          </cell>
        </row>
        <row r="28732">
          <cell r="E28732" t="str">
            <v>LUC-EZZ-690138-01</v>
          </cell>
          <cell r="F28732" t="str">
            <v>AS150538</v>
          </cell>
        </row>
        <row r="28733">
          <cell r="E28733" t="str">
            <v>LUC-EZZ-690138-04</v>
          </cell>
          <cell r="F28733" t="str">
            <v>AS150538</v>
          </cell>
        </row>
        <row r="28734">
          <cell r="E28734" t="str">
            <v>LUC-E00-690201-00</v>
          </cell>
          <cell r="F28734">
            <v>4711901523</v>
          </cell>
        </row>
        <row r="28735">
          <cell r="E28735" t="str">
            <v>LUC-E00-690201-00</v>
          </cell>
          <cell r="F28735">
            <v>4711901523</v>
          </cell>
        </row>
        <row r="28736">
          <cell r="E28736" t="str">
            <v>LUC-E00-690201-00</v>
          </cell>
          <cell r="F28736">
            <v>4711901523</v>
          </cell>
        </row>
        <row r="28737">
          <cell r="E28737" t="str">
            <v>AIC-MP-00002155-000</v>
          </cell>
          <cell r="F28737">
            <v>4711901523</v>
          </cell>
        </row>
        <row r="28738">
          <cell r="E28738" t="str">
            <v>AIC-MP-CN007105-S01</v>
          </cell>
          <cell r="F28738">
            <v>887315898750</v>
          </cell>
        </row>
        <row r="28739">
          <cell r="E28739" t="str">
            <v>PUR-16-0044-01</v>
          </cell>
          <cell r="F28739">
            <v>887320382550</v>
          </cell>
        </row>
        <row r="28740">
          <cell r="E28740" t="str">
            <v>PUR-07-0315-00</v>
          </cell>
          <cell r="F28740">
            <v>490725568322</v>
          </cell>
        </row>
        <row r="28741">
          <cell r="E28741" t="str">
            <v>PUR-07-0315-00</v>
          </cell>
          <cell r="F28741">
            <v>490725568322</v>
          </cell>
        </row>
        <row r="28742">
          <cell r="E28742" t="str">
            <v>PUR-07-0315-00</v>
          </cell>
          <cell r="F28742">
            <v>490725568322</v>
          </cell>
        </row>
        <row r="28743">
          <cell r="E28743" t="str">
            <v>PUR-07-0167-00</v>
          </cell>
          <cell r="F28743">
            <v>490725568322</v>
          </cell>
        </row>
        <row r="28744">
          <cell r="E28744" t="str">
            <v>PUR-07-0167-00</v>
          </cell>
          <cell r="F28744">
            <v>490725568322</v>
          </cell>
        </row>
        <row r="28745">
          <cell r="E28745" t="str">
            <v>HLOB-07-0167-00</v>
          </cell>
          <cell r="F28745">
            <v>490725568322</v>
          </cell>
        </row>
        <row r="28746">
          <cell r="E28746" t="str">
            <v>HLOB-07-0167-00</v>
          </cell>
          <cell r="F28746">
            <v>490725568322</v>
          </cell>
        </row>
        <row r="28747">
          <cell r="E28747" t="str">
            <v>PUR-18-0653-00</v>
          </cell>
          <cell r="F28747">
            <v>483570641048</v>
          </cell>
        </row>
        <row r="28748">
          <cell r="E28748" t="str">
            <v>PUR-13-0154-00</v>
          </cell>
          <cell r="F28748">
            <v>483570641048</v>
          </cell>
        </row>
        <row r="28749">
          <cell r="E28749" t="str">
            <v>EF-45166202</v>
          </cell>
          <cell r="F28749">
            <v>483570641048</v>
          </cell>
        </row>
        <row r="28750">
          <cell r="E28750" t="str">
            <v>EF-45241780</v>
          </cell>
          <cell r="F28750">
            <v>483570641048</v>
          </cell>
        </row>
        <row r="28751">
          <cell r="E28751" t="str">
            <v>LUC-E00-400010-035</v>
          </cell>
          <cell r="F28751">
            <v>483570641048</v>
          </cell>
        </row>
        <row r="28752">
          <cell r="E28752" t="str">
            <v>LUC-EZZ-420507-00</v>
          </cell>
          <cell r="F28752">
            <v>483570641048</v>
          </cell>
        </row>
        <row r="28753">
          <cell r="E28753" t="str">
            <v>LUC-E00-420037-00</v>
          </cell>
          <cell r="F28753">
            <v>483570641048</v>
          </cell>
        </row>
        <row r="28754">
          <cell r="E28754" t="str">
            <v>LUC-E00-450029-00</v>
          </cell>
          <cell r="F28754">
            <v>483570641048</v>
          </cell>
        </row>
        <row r="28755">
          <cell r="E28755" t="str">
            <v>PURET-10-0044-00</v>
          </cell>
          <cell r="F28755">
            <v>483570641048</v>
          </cell>
        </row>
        <row r="28756">
          <cell r="E28756" t="str">
            <v>EF-45057603</v>
          </cell>
          <cell r="F28756">
            <v>483570641048</v>
          </cell>
        </row>
        <row r="28757">
          <cell r="E28757" t="str">
            <v>LUC-EZZ-400192-00</v>
          </cell>
          <cell r="F28757">
            <v>5973414300</v>
          </cell>
        </row>
        <row r="28758">
          <cell r="E28758" t="str">
            <v>HLOB-12-0288-00</v>
          </cell>
          <cell r="F28758">
            <v>5973414300</v>
          </cell>
        </row>
        <row r="28759">
          <cell r="E28759" t="str">
            <v>PUR-12-0288-00</v>
          </cell>
          <cell r="F28759">
            <v>5973414300</v>
          </cell>
        </row>
        <row r="28760">
          <cell r="E28760" t="str">
            <v>LUC-EZZ-400213-00</v>
          </cell>
          <cell r="F28760">
            <v>5973414300</v>
          </cell>
        </row>
        <row r="28761">
          <cell r="E28761" t="str">
            <v>EF-45100289</v>
          </cell>
          <cell r="F28761">
            <v>5973414300</v>
          </cell>
        </row>
        <row r="28762">
          <cell r="E28762" t="str">
            <v>LUC-P11-K41D00-01</v>
          </cell>
          <cell r="F28762">
            <v>5973414300</v>
          </cell>
        </row>
        <row r="28763">
          <cell r="E28763" t="str">
            <v>LUC-P11-K41D00-01</v>
          </cell>
          <cell r="F28763">
            <v>5973414300</v>
          </cell>
        </row>
        <row r="28764">
          <cell r="E28764" t="str">
            <v>LUC-P11-K41D00-01</v>
          </cell>
          <cell r="F28764">
            <v>5973414300</v>
          </cell>
        </row>
        <row r="28765">
          <cell r="E28765" t="str">
            <v>EF-45139805</v>
          </cell>
          <cell r="F28765">
            <v>5973414300</v>
          </cell>
        </row>
        <row r="28766">
          <cell r="E28766" t="str">
            <v>LUC-P11-K41D00-01</v>
          </cell>
          <cell r="F28766">
            <v>5973414300</v>
          </cell>
        </row>
        <row r="28767">
          <cell r="E28767" t="str">
            <v>LUC-EZZ-450093-00</v>
          </cell>
          <cell r="F28767">
            <v>5973414300</v>
          </cell>
        </row>
        <row r="28768">
          <cell r="E28768" t="str">
            <v>LUC-EZZ-450093-00</v>
          </cell>
          <cell r="F28768">
            <v>5973414300</v>
          </cell>
        </row>
        <row r="28769">
          <cell r="E28769" t="str">
            <v>LUC-EZZ-450093-00</v>
          </cell>
          <cell r="F28769">
            <v>5973414300</v>
          </cell>
        </row>
        <row r="28770">
          <cell r="E28770" t="str">
            <v>LUC-P11-K41700-00</v>
          </cell>
          <cell r="F28770">
            <v>5973414300</v>
          </cell>
        </row>
        <row r="28771">
          <cell r="E28771" t="str">
            <v>LUC-P11-K41G00-00</v>
          </cell>
          <cell r="F28771">
            <v>5973414300</v>
          </cell>
        </row>
        <row r="28772">
          <cell r="E28772" t="str">
            <v>LUC-P11-K41700-00</v>
          </cell>
          <cell r="F28772">
            <v>5973414300</v>
          </cell>
        </row>
        <row r="28773">
          <cell r="E28773" t="str">
            <v>LUC-P11-K41G00-00</v>
          </cell>
          <cell r="F28773">
            <v>5973414300</v>
          </cell>
        </row>
        <row r="28774">
          <cell r="E28774" t="str">
            <v>LUC-P11-K41G00-00</v>
          </cell>
          <cell r="F28774">
            <v>5973414300</v>
          </cell>
        </row>
        <row r="28775">
          <cell r="E28775" t="str">
            <v>LUC-P11-K18000-00</v>
          </cell>
          <cell r="F28775">
            <v>5973414300</v>
          </cell>
        </row>
        <row r="28776">
          <cell r="E28776" t="str">
            <v>LUC-P11-K18000-00</v>
          </cell>
          <cell r="F28776">
            <v>5973414300</v>
          </cell>
        </row>
        <row r="28777">
          <cell r="E28777" t="str">
            <v>LUC-P11-K18000-00</v>
          </cell>
          <cell r="F28777">
            <v>5973414300</v>
          </cell>
        </row>
        <row r="28778">
          <cell r="E28778" t="str">
            <v>LUC-P11-K41G00-00</v>
          </cell>
          <cell r="F28778">
            <v>5973414300</v>
          </cell>
        </row>
        <row r="28779">
          <cell r="E28779" t="str">
            <v>LUC-EZZ-400264-00</v>
          </cell>
          <cell r="F28779">
            <v>5973414300</v>
          </cell>
        </row>
        <row r="28780">
          <cell r="E28780" t="str">
            <v>LUC-EZZ-400264-00</v>
          </cell>
          <cell r="F28780">
            <v>5973414300</v>
          </cell>
        </row>
        <row r="28781">
          <cell r="E28781" t="str">
            <v>LUC-EZZ-400264-00</v>
          </cell>
          <cell r="F28781">
            <v>5973414300</v>
          </cell>
        </row>
        <row r="28782">
          <cell r="E28782" t="str">
            <v>EF-45116977</v>
          </cell>
          <cell r="F28782">
            <v>5973414300</v>
          </cell>
        </row>
        <row r="28783">
          <cell r="E28783" t="str">
            <v>LUC-E00-400028-002</v>
          </cell>
          <cell r="F28783">
            <v>5973414300</v>
          </cell>
        </row>
        <row r="28784">
          <cell r="E28784" t="str">
            <v>LUC-E00-400028-002</v>
          </cell>
          <cell r="F28784">
            <v>5973414300</v>
          </cell>
        </row>
        <row r="28785">
          <cell r="E28785" t="str">
            <v>LUC-EZZ-400577-00</v>
          </cell>
          <cell r="F28785">
            <v>5973414300</v>
          </cell>
        </row>
        <row r="28786">
          <cell r="E28786" t="str">
            <v>LUC-EZZ-400211-00</v>
          </cell>
          <cell r="F28786">
            <v>5973414300</v>
          </cell>
        </row>
        <row r="28787">
          <cell r="E28787" t="str">
            <v>LUC-E00-400028-004</v>
          </cell>
          <cell r="F28787">
            <v>5973414300</v>
          </cell>
        </row>
        <row r="28788">
          <cell r="E28788" t="str">
            <v>LUC-EZZ-400208-00</v>
          </cell>
          <cell r="F28788">
            <v>5973414300</v>
          </cell>
        </row>
        <row r="28789">
          <cell r="E28789" t="str">
            <v>LUC-EZZ-400208-00</v>
          </cell>
          <cell r="F28789">
            <v>5973414300</v>
          </cell>
        </row>
        <row r="28790">
          <cell r="E28790" t="str">
            <v>HLOB-24-0024-00</v>
          </cell>
          <cell r="F28790">
            <v>5973414300</v>
          </cell>
        </row>
        <row r="28791">
          <cell r="E28791" t="str">
            <v>PUR-09-0444-00</v>
          </cell>
          <cell r="F28791">
            <v>5973414300</v>
          </cell>
        </row>
        <row r="28792">
          <cell r="E28792" t="str">
            <v>PUR-14-0095-00</v>
          </cell>
          <cell r="F28792">
            <v>5973414300</v>
          </cell>
        </row>
        <row r="28793">
          <cell r="E28793" t="str">
            <v>LUC-EZZ-510199-00</v>
          </cell>
          <cell r="F28793">
            <v>5973414300</v>
          </cell>
        </row>
        <row r="28794">
          <cell r="E28794" t="str">
            <v>LUC-EZZ-420151-00</v>
          </cell>
          <cell r="F28794">
            <v>5973414300</v>
          </cell>
        </row>
        <row r="28795">
          <cell r="E28795" t="str">
            <v>LUC-EZZ-510200-00</v>
          </cell>
          <cell r="F28795">
            <v>5973414300</v>
          </cell>
        </row>
        <row r="28796">
          <cell r="E28796" t="str">
            <v>EF-45060553.X.X</v>
          </cell>
          <cell r="F28796">
            <v>5973414300</v>
          </cell>
        </row>
        <row r="28797">
          <cell r="E28797" t="str">
            <v>HLOB-09-0444-00</v>
          </cell>
          <cell r="F28797">
            <v>5973414300</v>
          </cell>
        </row>
        <row r="28798">
          <cell r="E28798" t="str">
            <v>HLOB-13-0125-00</v>
          </cell>
          <cell r="F28798">
            <v>5973414300</v>
          </cell>
        </row>
        <row r="28799">
          <cell r="E28799" t="str">
            <v>LUC-109-001637-R</v>
          </cell>
          <cell r="F28799">
            <v>5973414300</v>
          </cell>
        </row>
        <row r="28800">
          <cell r="E28800" t="str">
            <v>LUC-EZZ-400831-00</v>
          </cell>
          <cell r="F28800">
            <v>5973414300</v>
          </cell>
        </row>
        <row r="28801">
          <cell r="E28801" t="str">
            <v>LUC-E00-400243-00</v>
          </cell>
          <cell r="F28801">
            <v>5973414300</v>
          </cell>
        </row>
        <row r="28802">
          <cell r="E28802" t="str">
            <v>LUC-E00-450044-00</v>
          </cell>
          <cell r="F28802">
            <v>5973414300</v>
          </cell>
        </row>
        <row r="28803">
          <cell r="E28803" t="str">
            <v>AIC-123-001935</v>
          </cell>
          <cell r="F28803">
            <v>5973414300</v>
          </cell>
        </row>
        <row r="28804">
          <cell r="E28804" t="str">
            <v>LUC-EZZ-400801-00</v>
          </cell>
          <cell r="F28804">
            <v>5973414300</v>
          </cell>
        </row>
        <row r="28805">
          <cell r="E28805" t="str">
            <v>LUC-E00-400059-054</v>
          </cell>
          <cell r="F28805">
            <v>5973437654</v>
          </cell>
        </row>
        <row r="28806">
          <cell r="E28806" t="str">
            <v>LUC-E00-400004-01</v>
          </cell>
          <cell r="F28806">
            <v>5973437654</v>
          </cell>
        </row>
        <row r="28807">
          <cell r="E28807" t="str">
            <v>LUC-EZZ-400239-00</v>
          </cell>
          <cell r="F28807">
            <v>5973437654</v>
          </cell>
        </row>
        <row r="28808">
          <cell r="E28808" t="str">
            <v>LUC-EZZ-400239-00</v>
          </cell>
          <cell r="F28808">
            <v>5973437654</v>
          </cell>
        </row>
        <row r="28809">
          <cell r="E28809" t="str">
            <v>LUC-E00-400004-01</v>
          </cell>
          <cell r="F28809">
            <v>5973437654</v>
          </cell>
        </row>
        <row r="28810">
          <cell r="E28810" t="str">
            <v>LUC-E00-400025-09</v>
          </cell>
          <cell r="F28810">
            <v>5973437654</v>
          </cell>
        </row>
        <row r="28811">
          <cell r="E28811" t="str">
            <v>LUC-E00-400025-09</v>
          </cell>
          <cell r="F28811">
            <v>5973437654</v>
          </cell>
        </row>
        <row r="28812">
          <cell r="E28812" t="str">
            <v>PUR-12-0430-00</v>
          </cell>
          <cell r="F28812">
            <v>5973437654</v>
          </cell>
        </row>
        <row r="28813">
          <cell r="E28813" t="str">
            <v>PUR-12-0430-00</v>
          </cell>
          <cell r="F28813">
            <v>5973437654</v>
          </cell>
        </row>
        <row r="28814">
          <cell r="E28814" t="str">
            <v>PUR-12-0430-00</v>
          </cell>
          <cell r="F28814">
            <v>5973437654</v>
          </cell>
        </row>
        <row r="28815">
          <cell r="E28815" t="str">
            <v>PUR-12-0430-00</v>
          </cell>
          <cell r="F28815">
            <v>5973437654</v>
          </cell>
        </row>
        <row r="28816">
          <cell r="E28816" t="str">
            <v>LUC-E00-400004-01</v>
          </cell>
          <cell r="F28816">
            <v>5973437654</v>
          </cell>
        </row>
        <row r="28817">
          <cell r="E28817" t="str">
            <v>EF-45046246.X.X</v>
          </cell>
          <cell r="F28817">
            <v>5973437654</v>
          </cell>
        </row>
        <row r="28818">
          <cell r="E28818" t="str">
            <v>EF-45072100.X.X</v>
          </cell>
          <cell r="F28818">
            <v>5973437654</v>
          </cell>
        </row>
        <row r="28819">
          <cell r="E28819" t="str">
            <v>EF-45072100.X.X</v>
          </cell>
          <cell r="F28819">
            <v>5973437654</v>
          </cell>
        </row>
        <row r="28820">
          <cell r="E28820" t="str">
            <v>PUR-14-0077-00</v>
          </cell>
          <cell r="F28820">
            <v>5973437654</v>
          </cell>
        </row>
        <row r="28821">
          <cell r="E28821" t="str">
            <v>PUR-14-0077-00</v>
          </cell>
          <cell r="F28821">
            <v>5973437654</v>
          </cell>
        </row>
        <row r="28822">
          <cell r="E28822" t="str">
            <v>PUR-14-0077-00</v>
          </cell>
          <cell r="F28822">
            <v>5973437654</v>
          </cell>
        </row>
        <row r="28823">
          <cell r="E28823" t="str">
            <v>PUR-14-0076-00</v>
          </cell>
          <cell r="F28823">
            <v>5973437654</v>
          </cell>
        </row>
        <row r="28824">
          <cell r="E28824" t="str">
            <v>PUR-14-0077-00</v>
          </cell>
          <cell r="F28824">
            <v>5973437654</v>
          </cell>
        </row>
        <row r="28825">
          <cell r="E28825" t="str">
            <v>PUR-14-0076-00</v>
          </cell>
          <cell r="F28825">
            <v>5973437654</v>
          </cell>
        </row>
        <row r="28826">
          <cell r="E28826" t="str">
            <v>PUR-14-0077-00</v>
          </cell>
          <cell r="F28826">
            <v>5973437654</v>
          </cell>
        </row>
        <row r="28827">
          <cell r="E28827" t="str">
            <v>PUR-14-0076-00</v>
          </cell>
          <cell r="F28827">
            <v>5973437654</v>
          </cell>
        </row>
        <row r="28828">
          <cell r="E28828" t="str">
            <v>PUR-14-0077-00</v>
          </cell>
          <cell r="F28828">
            <v>5973437654</v>
          </cell>
        </row>
        <row r="28829">
          <cell r="E28829" t="str">
            <v>HLOB-14-0076-00</v>
          </cell>
          <cell r="F28829">
            <v>5973437654</v>
          </cell>
        </row>
        <row r="28830">
          <cell r="E28830" t="str">
            <v>HLOB-14-0102-00</v>
          </cell>
          <cell r="F28830">
            <v>5973437654</v>
          </cell>
        </row>
        <row r="28831">
          <cell r="E28831" t="str">
            <v>LUC-EZZ-400192-00</v>
          </cell>
          <cell r="F28831">
            <v>5973437654</v>
          </cell>
        </row>
        <row r="28832">
          <cell r="E28832" t="str">
            <v>LUC-EZZ-400192-00</v>
          </cell>
          <cell r="F28832">
            <v>5973437654</v>
          </cell>
        </row>
        <row r="28833">
          <cell r="E28833" t="str">
            <v>LUC-EZZ-400213-00</v>
          </cell>
          <cell r="F28833">
            <v>5973437654</v>
          </cell>
        </row>
        <row r="28834">
          <cell r="E28834" t="str">
            <v>LUC-EZZ-400213-00</v>
          </cell>
          <cell r="F28834">
            <v>5973437654</v>
          </cell>
        </row>
        <row r="28835">
          <cell r="E28835" t="str">
            <v>LUC-E00-400243-00</v>
          </cell>
          <cell r="F28835">
            <v>5973437654</v>
          </cell>
        </row>
        <row r="28836">
          <cell r="E28836" t="str">
            <v>LUC-EZZ-401610-00</v>
          </cell>
          <cell r="F28836">
            <v>5973437654</v>
          </cell>
        </row>
        <row r="28837">
          <cell r="E28837" t="str">
            <v>174-000044.X.X</v>
          </cell>
          <cell r="F28837">
            <v>5973437654</v>
          </cell>
        </row>
        <row r="28838">
          <cell r="E28838" t="str">
            <v>PUR-09-0329-00</v>
          </cell>
          <cell r="F28838">
            <v>5973437654</v>
          </cell>
        </row>
        <row r="28839">
          <cell r="E28839" t="str">
            <v>LUC-EZZ-400208-00</v>
          </cell>
          <cell r="F28839">
            <v>5973437654</v>
          </cell>
        </row>
        <row r="28840">
          <cell r="E28840" t="str">
            <v>HLOB-13-0125-00</v>
          </cell>
          <cell r="F28840">
            <v>5973437654</v>
          </cell>
        </row>
        <row r="28841">
          <cell r="E28841" t="str">
            <v>LUC-E00-450044-00</v>
          </cell>
          <cell r="F28841">
            <v>5973437654</v>
          </cell>
        </row>
        <row r="28842">
          <cell r="E28842" t="str">
            <v>LUC-EZZ-400213-00</v>
          </cell>
          <cell r="F28842">
            <v>5973437654</v>
          </cell>
        </row>
        <row r="28843">
          <cell r="E28843" t="str">
            <v>PUR-14-0076-00</v>
          </cell>
          <cell r="F28843">
            <v>5973437654</v>
          </cell>
        </row>
        <row r="28844">
          <cell r="E28844" t="str">
            <v>PUR-14-0076-00</v>
          </cell>
          <cell r="F28844">
            <v>5973437654</v>
          </cell>
        </row>
        <row r="28845">
          <cell r="E28845" t="str">
            <v>EF-45051532.X.X</v>
          </cell>
          <cell r="F28845">
            <v>5973437654</v>
          </cell>
        </row>
        <row r="28846">
          <cell r="E28846" t="str">
            <v>EF-45044050.X.X</v>
          </cell>
          <cell r="F28846">
            <v>5973437654</v>
          </cell>
        </row>
        <row r="28847">
          <cell r="E28847" t="str">
            <v>LUC-E00-690033-00</v>
          </cell>
          <cell r="F28847" t="str">
            <v>HWHPH2504083</v>
          </cell>
        </row>
        <row r="28848">
          <cell r="E28848" t="str">
            <v>LUC-E00-690033-00</v>
          </cell>
          <cell r="F28848" t="str">
            <v>HWHPH2504083</v>
          </cell>
        </row>
        <row r="28849">
          <cell r="E28849" t="str">
            <v>LUC-E00-690033-01</v>
          </cell>
          <cell r="F28849" t="str">
            <v>HWHPH2504083</v>
          </cell>
        </row>
        <row r="28850">
          <cell r="E28850" t="str">
            <v>LUC-E00-690033-01</v>
          </cell>
          <cell r="F28850" t="str">
            <v>HWHPH2504083</v>
          </cell>
        </row>
        <row r="28851">
          <cell r="E28851" t="str">
            <v>LUC-E00-690033-02</v>
          </cell>
          <cell r="F28851" t="str">
            <v>HWHPH2504083</v>
          </cell>
        </row>
        <row r="28852">
          <cell r="E28852" t="str">
            <v>LUC-E00-690033-02</v>
          </cell>
          <cell r="F28852" t="str">
            <v>HWHPH2504083</v>
          </cell>
        </row>
        <row r="28853">
          <cell r="E28853" t="str">
            <v>LUC-E00-690033-03</v>
          </cell>
          <cell r="F28853" t="str">
            <v>HWHPH2504083</v>
          </cell>
        </row>
        <row r="28854">
          <cell r="E28854" t="str">
            <v>LUC-E00-690033-03</v>
          </cell>
          <cell r="F28854" t="str">
            <v>HWHPH2504083</v>
          </cell>
        </row>
        <row r="28855">
          <cell r="E28855" t="str">
            <v>LUC-E00-690106-00</v>
          </cell>
          <cell r="F28855" t="str">
            <v>HWHPH2504083</v>
          </cell>
        </row>
        <row r="28856">
          <cell r="E28856" t="str">
            <v>LUC-E00-690106-00</v>
          </cell>
          <cell r="F28856" t="str">
            <v>HWHPH2504083</v>
          </cell>
        </row>
        <row r="28857">
          <cell r="E28857" t="str">
            <v>LUC-E00-470161-01</v>
          </cell>
          <cell r="F28857">
            <v>396842054080</v>
          </cell>
        </row>
        <row r="28858">
          <cell r="E28858" t="str">
            <v>LUC-EZZ-470211-00</v>
          </cell>
          <cell r="F28858">
            <v>396842917047</v>
          </cell>
        </row>
        <row r="28859">
          <cell r="E28859" t="str">
            <v>LUC-EZZ-470128-00</v>
          </cell>
          <cell r="F28859">
            <v>397124635079</v>
          </cell>
        </row>
        <row r="28860">
          <cell r="E28860" t="str">
            <v>AGI-450-40087-01</v>
          </cell>
          <cell r="F28860">
            <v>887173376439</v>
          </cell>
        </row>
        <row r="28861">
          <cell r="E28861" t="str">
            <v>LUC-P11-K41300-00</v>
          </cell>
          <cell r="F28861">
            <v>481005963164</v>
          </cell>
        </row>
        <row r="28862">
          <cell r="E28862" t="str">
            <v>LUC-EZZ-420322-00</v>
          </cell>
          <cell r="F28862">
            <v>481005963164</v>
          </cell>
        </row>
        <row r="28863">
          <cell r="E28863" t="str">
            <v>LUC-124-002905-R</v>
          </cell>
          <cell r="F28863">
            <v>481005963164</v>
          </cell>
        </row>
        <row r="28864">
          <cell r="E28864" t="str">
            <v>LUC-109-001639-R</v>
          </cell>
          <cell r="F28864">
            <v>481005963164</v>
          </cell>
        </row>
        <row r="28865">
          <cell r="E28865" t="str">
            <v>LUC-109-001641-R</v>
          </cell>
          <cell r="F28865">
            <v>481005963164</v>
          </cell>
        </row>
        <row r="28866">
          <cell r="E28866" t="str">
            <v>LUC-P11-K41700-00</v>
          </cell>
          <cell r="F28866">
            <v>481005963164</v>
          </cell>
        </row>
        <row r="28867">
          <cell r="E28867" t="str">
            <v>LUC-P11-K41700-00</v>
          </cell>
          <cell r="F28867">
            <v>481005963164</v>
          </cell>
        </row>
        <row r="28868">
          <cell r="E28868" t="str">
            <v>LUC-109-001642-R</v>
          </cell>
          <cell r="F28868">
            <v>481005963164</v>
          </cell>
        </row>
        <row r="28869">
          <cell r="E28869" t="str">
            <v>LUC-124-002914-R</v>
          </cell>
          <cell r="F28869">
            <v>481005963164</v>
          </cell>
        </row>
        <row r="28870">
          <cell r="E28870" t="str">
            <v>EF-45188721</v>
          </cell>
          <cell r="F28870">
            <v>481005963164</v>
          </cell>
        </row>
        <row r="28871">
          <cell r="E28871" t="str">
            <v>LUC-E00-420028-00</v>
          </cell>
          <cell r="F28871">
            <v>481005993822</v>
          </cell>
        </row>
        <row r="28872">
          <cell r="E28872" t="str">
            <v>LUC-109-001644-R</v>
          </cell>
          <cell r="F28872">
            <v>481005993822</v>
          </cell>
        </row>
        <row r="28873">
          <cell r="E28873" t="str">
            <v>LUC-124-002913-R</v>
          </cell>
          <cell r="F28873">
            <v>481005993822</v>
          </cell>
        </row>
        <row r="28874">
          <cell r="E28874" t="str">
            <v>110-000101</v>
          </cell>
          <cell r="F28874">
            <v>481005993822</v>
          </cell>
        </row>
        <row r="28875">
          <cell r="E28875" t="str">
            <v>LUC-124-002916-R</v>
          </cell>
          <cell r="F28875">
            <v>481005993822</v>
          </cell>
        </row>
        <row r="28876">
          <cell r="E28876" t="str">
            <v>LUC-124-002920-R</v>
          </cell>
          <cell r="F28876">
            <v>481005993822</v>
          </cell>
        </row>
        <row r="28877">
          <cell r="E28877" t="str">
            <v>LUC-124-002922-R</v>
          </cell>
          <cell r="F28877">
            <v>481005993822</v>
          </cell>
        </row>
        <row r="28878">
          <cell r="E28878" t="str">
            <v>LUC-124-002910-R</v>
          </cell>
          <cell r="F28878">
            <v>481005993822</v>
          </cell>
        </row>
        <row r="28879">
          <cell r="E28879" t="str">
            <v>LUC-E00-420238-00</v>
          </cell>
          <cell r="F28879">
            <v>481005993822</v>
          </cell>
        </row>
        <row r="28880">
          <cell r="E28880" t="str">
            <v>LUC-E00-470388-00</v>
          </cell>
          <cell r="F28880">
            <v>887256311718</v>
          </cell>
        </row>
        <row r="28881">
          <cell r="E28881" t="str">
            <v>LUC-E00-470045-00</v>
          </cell>
          <cell r="F28881">
            <v>887256311718</v>
          </cell>
        </row>
        <row r="28882">
          <cell r="E28882" t="str">
            <v>LUC-EZZ-400579-00</v>
          </cell>
          <cell r="F28882">
            <v>887256311718</v>
          </cell>
        </row>
        <row r="28883">
          <cell r="E28883" t="str">
            <v>LUC-E00-420011-04</v>
          </cell>
          <cell r="F28883">
            <v>887256311718</v>
          </cell>
        </row>
        <row r="28884">
          <cell r="E28884" t="str">
            <v>LUC-EZZ-510030-00</v>
          </cell>
          <cell r="F28884">
            <v>887256311718</v>
          </cell>
        </row>
        <row r="28885">
          <cell r="E28885" t="str">
            <v>LUC-EZZ-400011-00</v>
          </cell>
          <cell r="F28885">
            <v>887256311718</v>
          </cell>
        </row>
        <row r="28886">
          <cell r="E28886" t="str">
            <v>LUC-EZZ-400011-00</v>
          </cell>
          <cell r="F28886">
            <v>887256311718</v>
          </cell>
        </row>
        <row r="28887">
          <cell r="E28887" t="str">
            <v>121-001536</v>
          </cell>
          <cell r="F28887">
            <v>887256311718</v>
          </cell>
        </row>
        <row r="28888">
          <cell r="E28888" t="str">
            <v>LUC-E00-400011-005</v>
          </cell>
          <cell r="F28888">
            <v>887256311718</v>
          </cell>
        </row>
        <row r="28889">
          <cell r="E28889" t="str">
            <v>LUC-E00-420028-00</v>
          </cell>
          <cell r="F28889">
            <v>887256311718</v>
          </cell>
        </row>
        <row r="28890">
          <cell r="E28890" t="str">
            <v>EF-45174166</v>
          </cell>
          <cell r="F28890">
            <v>887256311718</v>
          </cell>
        </row>
        <row r="28891">
          <cell r="E28891" t="str">
            <v>LUC-E00-510034-00</v>
          </cell>
          <cell r="F28891">
            <v>887256311718</v>
          </cell>
        </row>
        <row r="28892">
          <cell r="E28892" t="str">
            <v>LUC-EZZ-690243-00</v>
          </cell>
          <cell r="F28892">
            <v>396711179052</v>
          </cell>
        </row>
        <row r="28893">
          <cell r="E28893" t="str">
            <v>LUC-EZZ-690244-00</v>
          </cell>
          <cell r="F28893">
            <v>396711179052</v>
          </cell>
        </row>
        <row r="28894">
          <cell r="E28894" t="str">
            <v>LUC-E00-690010-02</v>
          </cell>
          <cell r="F28894">
            <v>7607570106</v>
          </cell>
        </row>
        <row r="28895">
          <cell r="E28895" t="str">
            <v>LUC-E00-690010-01</v>
          </cell>
          <cell r="F28895" t="str">
            <v>S2501508499</v>
          </cell>
        </row>
        <row r="28896">
          <cell r="E28896" t="str">
            <v>LUC-E00-690001-00</v>
          </cell>
          <cell r="F28896">
            <v>4110332346</v>
          </cell>
        </row>
        <row r="28897">
          <cell r="E28897" t="str">
            <v>LUC-E00-690001-00</v>
          </cell>
          <cell r="F28897">
            <v>4110332084</v>
          </cell>
        </row>
        <row r="28898">
          <cell r="E28898" t="str">
            <v>LUC-E00-690001-00</v>
          </cell>
          <cell r="F28898">
            <v>4110332084</v>
          </cell>
        </row>
        <row r="28899">
          <cell r="E28899" t="str">
            <v>LUC-E00-690214-00</v>
          </cell>
          <cell r="F28899">
            <v>4110332130</v>
          </cell>
        </row>
        <row r="28900">
          <cell r="E28900" t="str">
            <v>LUC-E00-690214-00</v>
          </cell>
          <cell r="F28900">
            <v>4110332129</v>
          </cell>
        </row>
        <row r="28901">
          <cell r="E28901" t="str">
            <v>LUC-EZZ-690131-00</v>
          </cell>
          <cell r="F28901">
            <v>4110332129</v>
          </cell>
        </row>
        <row r="28902">
          <cell r="E28902" t="str">
            <v>LUC-E00-690214-00</v>
          </cell>
          <cell r="F28902">
            <v>4110332129</v>
          </cell>
        </row>
        <row r="28903">
          <cell r="E28903" t="str">
            <v>LUC-EZZ-690131-00</v>
          </cell>
          <cell r="F28903">
            <v>4110332290</v>
          </cell>
        </row>
        <row r="28904">
          <cell r="E28904" t="str">
            <v>LUC-EZZ-690131-00</v>
          </cell>
          <cell r="F28904">
            <v>4110332290</v>
          </cell>
        </row>
        <row r="28905">
          <cell r="E28905" t="str">
            <v>LUC-EZZ-690131-00</v>
          </cell>
          <cell r="F28905">
            <v>4110332290</v>
          </cell>
        </row>
        <row r="28906">
          <cell r="E28906" t="str">
            <v>LUC-EZZ-690131-00</v>
          </cell>
          <cell r="F28906">
            <v>4110332290</v>
          </cell>
        </row>
        <row r="28907">
          <cell r="E28907" t="str">
            <v>LUC-EZZ-690131-00</v>
          </cell>
          <cell r="F28907">
            <v>4110332290</v>
          </cell>
        </row>
        <row r="28908">
          <cell r="E28908" t="str">
            <v>LUC-E00-690217-01</v>
          </cell>
          <cell r="F28908">
            <v>4110332342</v>
          </cell>
        </row>
        <row r="28909">
          <cell r="E28909" t="str">
            <v>LUC-E00-690157-01</v>
          </cell>
          <cell r="F28909">
            <v>4110332343</v>
          </cell>
        </row>
        <row r="28910">
          <cell r="E28910" t="str">
            <v>LUC-E00-690030-02</v>
          </cell>
          <cell r="F28910">
            <v>4110332339</v>
          </cell>
        </row>
        <row r="28911">
          <cell r="E28911" t="str">
            <v>LUC-EZZ-691595-00</v>
          </cell>
          <cell r="F28911">
            <v>4110332344</v>
          </cell>
        </row>
        <row r="28912">
          <cell r="E28912" t="str">
            <v>LUC-EZZ-691595-00</v>
          </cell>
          <cell r="F28912">
            <v>4110332341</v>
          </cell>
        </row>
        <row r="28913">
          <cell r="E28913" t="str">
            <v>LUC-EZZ-690145-00</v>
          </cell>
          <cell r="F28913">
            <v>4110332340</v>
          </cell>
        </row>
        <row r="28914">
          <cell r="E28914" t="str">
            <v>LUC-E00-470343-00</v>
          </cell>
          <cell r="F28914">
            <v>3731931851</v>
          </cell>
        </row>
        <row r="28915">
          <cell r="E28915" t="str">
            <v>LUC-E00-470343-00</v>
          </cell>
          <cell r="F28915">
            <v>3731931851</v>
          </cell>
        </row>
        <row r="28916">
          <cell r="E28916" t="str">
            <v>LUC-EZZ-470155-00</v>
          </cell>
          <cell r="F28916">
            <v>3731931851</v>
          </cell>
        </row>
        <row r="28917">
          <cell r="E28917" t="str">
            <v>LUC-EZZ-470155-00</v>
          </cell>
          <cell r="F28917">
            <v>3731931851</v>
          </cell>
        </row>
        <row r="28918">
          <cell r="E28918" t="str">
            <v>LUC-EZZ-470155-00</v>
          </cell>
          <cell r="F28918">
            <v>3731931851</v>
          </cell>
        </row>
        <row r="28919">
          <cell r="E28919" t="str">
            <v>LUC-E00-400010-047</v>
          </cell>
          <cell r="F28919">
            <v>3731931851</v>
          </cell>
        </row>
        <row r="28920">
          <cell r="E28920" t="str">
            <v>LUC-E00-400067-211</v>
          </cell>
          <cell r="F28920">
            <v>3731931851</v>
          </cell>
        </row>
        <row r="28921">
          <cell r="E28921" t="str">
            <v>LUC-EZZ-420172-00</v>
          </cell>
          <cell r="F28921">
            <v>3731931851</v>
          </cell>
        </row>
        <row r="28922">
          <cell r="E28922" t="str">
            <v>LUC-EZZ-400204-00</v>
          </cell>
          <cell r="F28922">
            <v>3731931851</v>
          </cell>
        </row>
        <row r="28923">
          <cell r="E28923" t="str">
            <v>LUC-EZZ-510053-00</v>
          </cell>
          <cell r="F28923">
            <v>3731931851</v>
          </cell>
        </row>
        <row r="28924">
          <cell r="E28924" t="str">
            <v>LUC-EZZ-420172-00</v>
          </cell>
          <cell r="F28924">
            <v>3731931851</v>
          </cell>
        </row>
        <row r="28925">
          <cell r="E28925" t="str">
            <v>LUC-E00-510093-00</v>
          </cell>
          <cell r="F28925">
            <v>3731931851</v>
          </cell>
        </row>
        <row r="28926">
          <cell r="E28926" t="str">
            <v>LUC-EZZ-450237-00</v>
          </cell>
          <cell r="F28926">
            <v>3731931851</v>
          </cell>
        </row>
        <row r="28927">
          <cell r="E28927" t="str">
            <v>LUC-E00-400001-010</v>
          </cell>
          <cell r="F28927">
            <v>3731931851</v>
          </cell>
        </row>
        <row r="28928">
          <cell r="E28928" t="str">
            <v>LUC-EZZ-420125-00</v>
          </cell>
          <cell r="F28928">
            <v>3731931851</v>
          </cell>
        </row>
        <row r="28929">
          <cell r="E28929" t="str">
            <v>LUC-E00-400067-399</v>
          </cell>
          <cell r="F28929">
            <v>3731931851</v>
          </cell>
        </row>
        <row r="28930">
          <cell r="E28930" t="str">
            <v>LUC-EZZ-400223-00</v>
          </cell>
          <cell r="F28930">
            <v>3731931851</v>
          </cell>
        </row>
        <row r="28931">
          <cell r="E28931" t="str">
            <v>LUC-EZZ-450053-00</v>
          </cell>
          <cell r="F28931">
            <v>3731931851</v>
          </cell>
        </row>
        <row r="28932">
          <cell r="E28932" t="str">
            <v>LUC-E00-470077-00</v>
          </cell>
          <cell r="F28932">
            <v>3731931851</v>
          </cell>
        </row>
        <row r="28933">
          <cell r="E28933" t="str">
            <v>LUC-EZZ-420345-00</v>
          </cell>
          <cell r="F28933">
            <v>3731931851</v>
          </cell>
        </row>
        <row r="28934">
          <cell r="E28934" t="str">
            <v>LUC-EZZ-420507-00</v>
          </cell>
          <cell r="F28934">
            <v>3731931851</v>
          </cell>
        </row>
        <row r="28935">
          <cell r="E28935" t="str">
            <v>LUC-EZZ-420507-00</v>
          </cell>
          <cell r="F28935">
            <v>3731931851</v>
          </cell>
        </row>
        <row r="28936">
          <cell r="E28936" t="str">
            <v>LUC-E00-510016-00</v>
          </cell>
          <cell r="F28936">
            <v>3731931851</v>
          </cell>
        </row>
        <row r="28937">
          <cell r="E28937" t="str">
            <v>LUC-E00-420027-03</v>
          </cell>
          <cell r="F28937">
            <v>3731931851</v>
          </cell>
        </row>
        <row r="28938">
          <cell r="E28938" t="str">
            <v>LUC-E00-470077-00</v>
          </cell>
          <cell r="F28938">
            <v>3731931851</v>
          </cell>
        </row>
        <row r="28939">
          <cell r="E28939" t="str">
            <v>LUC-E00-470049-00</v>
          </cell>
          <cell r="F28939">
            <v>3731931851</v>
          </cell>
        </row>
        <row r="28940">
          <cell r="E28940" t="str">
            <v>LUC-E00-470049-00</v>
          </cell>
          <cell r="F28940">
            <v>3731931851</v>
          </cell>
        </row>
        <row r="28941">
          <cell r="E28941" t="str">
            <v>LUC-E00-420171-00</v>
          </cell>
          <cell r="F28941">
            <v>3731931851</v>
          </cell>
        </row>
        <row r="28942">
          <cell r="E28942" t="str">
            <v>LUC-E00-420171-00</v>
          </cell>
          <cell r="F28942">
            <v>3731931851</v>
          </cell>
        </row>
        <row r="28943">
          <cell r="E28943" t="str">
            <v>LUC-EZZ-420507-00</v>
          </cell>
          <cell r="F28943">
            <v>3731931851</v>
          </cell>
        </row>
        <row r="28944">
          <cell r="E28944" t="str">
            <v>LUC-E00-450028-00</v>
          </cell>
          <cell r="F28944">
            <v>3731931851</v>
          </cell>
        </row>
        <row r="28945">
          <cell r="E28945" t="str">
            <v>LUC-EZZ-450179-00</v>
          </cell>
          <cell r="F28945">
            <v>3731931851</v>
          </cell>
        </row>
        <row r="28946">
          <cell r="E28946" t="str">
            <v>LUC-EZZ-470961-00</v>
          </cell>
          <cell r="F28946">
            <v>3731931851</v>
          </cell>
        </row>
        <row r="28947">
          <cell r="E28947" t="str">
            <v>LUC-E00-510017-00</v>
          </cell>
          <cell r="F28947">
            <v>3731931851</v>
          </cell>
        </row>
        <row r="28948">
          <cell r="E28948" t="str">
            <v>LUC-E00-510017-00</v>
          </cell>
          <cell r="F28948">
            <v>3731931851</v>
          </cell>
        </row>
        <row r="28949">
          <cell r="E28949" t="str">
            <v>LUC-EZZ-440166-00</v>
          </cell>
          <cell r="F28949">
            <v>3731931851</v>
          </cell>
        </row>
        <row r="28950">
          <cell r="E28950" t="str">
            <v>LUC-EZZ-440166-00</v>
          </cell>
          <cell r="F28950">
            <v>3731931851</v>
          </cell>
        </row>
        <row r="28951">
          <cell r="E28951" t="str">
            <v>LUC-EZZ-440166-00</v>
          </cell>
          <cell r="F28951">
            <v>3731931851</v>
          </cell>
        </row>
        <row r="28952">
          <cell r="E28952" t="str">
            <v>LUC-EZZ-470152-02</v>
          </cell>
          <cell r="F28952">
            <v>3731931851</v>
          </cell>
        </row>
        <row r="28953">
          <cell r="E28953" t="str">
            <v>LUC-E00-440097-00</v>
          </cell>
          <cell r="F28953">
            <v>3731931851</v>
          </cell>
        </row>
        <row r="28954">
          <cell r="E28954" t="str">
            <v>LUC-E00-470033-00</v>
          </cell>
          <cell r="F28954">
            <v>3731931851</v>
          </cell>
        </row>
        <row r="28955">
          <cell r="E28955" t="str">
            <v>LUC-E00-470033-00</v>
          </cell>
          <cell r="F28955">
            <v>3731931851</v>
          </cell>
        </row>
        <row r="28956">
          <cell r="E28956" t="str">
            <v>LUC-E00-470049-00</v>
          </cell>
          <cell r="F28956">
            <v>3731931851</v>
          </cell>
        </row>
        <row r="28957">
          <cell r="E28957" t="str">
            <v>LUC-109-001636-R</v>
          </cell>
          <cell r="F28957">
            <v>3731931851</v>
          </cell>
        </row>
        <row r="28958">
          <cell r="E28958" t="str">
            <v>LUC-E00-470048-00</v>
          </cell>
          <cell r="F28958">
            <v>3731931851</v>
          </cell>
        </row>
        <row r="28959">
          <cell r="E28959" t="str">
            <v>LUC-E00-450056-00</v>
          </cell>
          <cell r="F28959">
            <v>3731931851</v>
          </cell>
        </row>
        <row r="28960">
          <cell r="E28960" t="str">
            <v>LUC-E00-450056-00</v>
          </cell>
          <cell r="F28960">
            <v>3731931851</v>
          </cell>
        </row>
        <row r="28961">
          <cell r="E28961" t="str">
            <v>LUC-E00-400244-00</v>
          </cell>
          <cell r="F28961">
            <v>3731931851</v>
          </cell>
        </row>
        <row r="28962">
          <cell r="E28962" t="str">
            <v>LUC-E00-510084-00</v>
          </cell>
          <cell r="F28962">
            <v>3731931851</v>
          </cell>
        </row>
        <row r="28963">
          <cell r="E28963" t="str">
            <v>LUC-EZZ-471023-00</v>
          </cell>
          <cell r="F28963">
            <v>3731931851</v>
          </cell>
        </row>
        <row r="28964">
          <cell r="E28964" t="str">
            <v>LUC-E00-460034-00</v>
          </cell>
          <cell r="F28964">
            <v>3731931851</v>
          </cell>
        </row>
        <row r="28965">
          <cell r="E28965" t="str">
            <v>LUC-EZZ-510639-00</v>
          </cell>
          <cell r="F28965">
            <v>3731931851</v>
          </cell>
        </row>
        <row r="28966">
          <cell r="E28966" t="str">
            <v>LUC-E00-400075-00</v>
          </cell>
          <cell r="F28966">
            <v>3731931851</v>
          </cell>
        </row>
        <row r="28967">
          <cell r="E28967" t="str">
            <v>LUC-E00-480014-00</v>
          </cell>
          <cell r="F28967">
            <v>3731931851</v>
          </cell>
        </row>
        <row r="28968">
          <cell r="E28968" t="str">
            <v>LUC-E00-480014-00</v>
          </cell>
          <cell r="F28968">
            <v>3731931851</v>
          </cell>
        </row>
        <row r="28969">
          <cell r="E28969" t="str">
            <v>LUC-E00-480014-00</v>
          </cell>
          <cell r="F28969">
            <v>3731931851</v>
          </cell>
        </row>
        <row r="28970">
          <cell r="E28970" t="str">
            <v>LUC-EZZ-471023-00</v>
          </cell>
          <cell r="F28970">
            <v>3731931851</v>
          </cell>
        </row>
        <row r="28971">
          <cell r="E28971" t="str">
            <v>LUC-E00-470049-00</v>
          </cell>
          <cell r="F28971">
            <v>3731931851</v>
          </cell>
        </row>
        <row r="28972">
          <cell r="E28972" t="str">
            <v>LUC-EZZ-470152-02</v>
          </cell>
          <cell r="F28972">
            <v>3731931851</v>
          </cell>
        </row>
        <row r="28973">
          <cell r="E28973" t="str">
            <v>LUC-EZZ-470152-02</v>
          </cell>
          <cell r="F28973">
            <v>3731931851</v>
          </cell>
        </row>
        <row r="28974">
          <cell r="E28974" t="str">
            <v>LUC-EZZ-470152-02</v>
          </cell>
          <cell r="F28974">
            <v>3731931851</v>
          </cell>
        </row>
        <row r="28975">
          <cell r="E28975" t="str">
            <v>LUC-EZZ-400231-00</v>
          </cell>
          <cell r="F28975">
            <v>3731931851</v>
          </cell>
        </row>
        <row r="28976">
          <cell r="E28976" t="str">
            <v>LUC-E00-440026-00</v>
          </cell>
          <cell r="F28976">
            <v>3731931851</v>
          </cell>
        </row>
        <row r="28977">
          <cell r="E28977" t="str">
            <v>LUC-EZZ-471023-00</v>
          </cell>
          <cell r="F28977">
            <v>3731931851</v>
          </cell>
        </row>
        <row r="28978">
          <cell r="E28978" t="str">
            <v>LUC-EZZ-471023-00</v>
          </cell>
          <cell r="F28978">
            <v>3731931851</v>
          </cell>
        </row>
        <row r="28979">
          <cell r="E28979" t="str">
            <v>LUC-EZZ-471023-00</v>
          </cell>
          <cell r="F28979">
            <v>3731931851</v>
          </cell>
        </row>
        <row r="28980">
          <cell r="E28980" t="str">
            <v>LUC-E00-510041-00</v>
          </cell>
          <cell r="F28980">
            <v>3731931851</v>
          </cell>
        </row>
        <row r="28981">
          <cell r="E28981" t="str">
            <v>LUC-E00-400010-048</v>
          </cell>
          <cell r="F28981">
            <v>3731931851</v>
          </cell>
        </row>
        <row r="28982">
          <cell r="E28982" t="str">
            <v>LUC-E00-510037-00</v>
          </cell>
          <cell r="F28982">
            <v>3731931851</v>
          </cell>
        </row>
        <row r="28983">
          <cell r="E28983" t="str">
            <v>LUC-E00-420241-00</v>
          </cell>
          <cell r="F28983">
            <v>3731931851</v>
          </cell>
        </row>
        <row r="28984">
          <cell r="E28984" t="str">
            <v>LUC-E00-470020-01</v>
          </cell>
          <cell r="F28984">
            <v>3731931851</v>
          </cell>
        </row>
        <row r="28985">
          <cell r="E28985" t="str">
            <v>LUC-E00-420037-10</v>
          </cell>
          <cell r="F28985">
            <v>3731931851</v>
          </cell>
        </row>
        <row r="28986">
          <cell r="E28986" t="str">
            <v>LUC-E00-510041-00</v>
          </cell>
          <cell r="F28986">
            <v>3731931851</v>
          </cell>
        </row>
        <row r="28987">
          <cell r="E28987" t="str">
            <v>LUC-E00-510041-00</v>
          </cell>
          <cell r="F28987">
            <v>3731931851</v>
          </cell>
        </row>
        <row r="28988">
          <cell r="E28988" t="str">
            <v>LUC-E00-400010-007</v>
          </cell>
          <cell r="F28988">
            <v>3731931851</v>
          </cell>
        </row>
        <row r="28989">
          <cell r="E28989" t="str">
            <v>LUC-E00-400010-008</v>
          </cell>
          <cell r="F28989">
            <v>3731931851</v>
          </cell>
        </row>
        <row r="28990">
          <cell r="E28990" t="str">
            <v>LUC-EZZ-450177-00</v>
          </cell>
          <cell r="F28990">
            <v>3731931851</v>
          </cell>
        </row>
        <row r="28991">
          <cell r="E28991" t="str">
            <v>LUC-EZZ-450177-00</v>
          </cell>
          <cell r="F28991">
            <v>3731931851</v>
          </cell>
        </row>
        <row r="28992">
          <cell r="E28992" t="str">
            <v>LUC-EZZ-450177-00</v>
          </cell>
          <cell r="F28992">
            <v>3731931851</v>
          </cell>
        </row>
        <row r="28993">
          <cell r="E28993" t="str">
            <v>LUC-E00-540004-00</v>
          </cell>
          <cell r="F28993">
            <v>3731931851</v>
          </cell>
        </row>
        <row r="28994">
          <cell r="E28994" t="str">
            <v>LUC-EZZ-450087-00</v>
          </cell>
          <cell r="F28994">
            <v>3731931851</v>
          </cell>
        </row>
        <row r="28995">
          <cell r="E28995" t="str">
            <v>LUC-E00-510028-00</v>
          </cell>
          <cell r="F28995">
            <v>3731931851</v>
          </cell>
        </row>
        <row r="28996">
          <cell r="E28996" t="str">
            <v>LUC-EZZ-470136-00</v>
          </cell>
          <cell r="F28996">
            <v>3731931851</v>
          </cell>
        </row>
        <row r="28997">
          <cell r="E28997" t="str">
            <v>LUC-E00-420027-03</v>
          </cell>
          <cell r="F28997">
            <v>3731931851</v>
          </cell>
        </row>
        <row r="28998">
          <cell r="E28998" t="str">
            <v>LUC-E00-510037-00</v>
          </cell>
          <cell r="F28998">
            <v>3731931851</v>
          </cell>
        </row>
        <row r="28999">
          <cell r="E28999" t="str">
            <v>LUC-E00-400003-007</v>
          </cell>
          <cell r="F28999">
            <v>3731931851</v>
          </cell>
        </row>
        <row r="29000">
          <cell r="E29000" t="str">
            <v>LUC-EZZ-400606-00</v>
          </cell>
          <cell r="F29000">
            <v>3731931851</v>
          </cell>
        </row>
        <row r="29001">
          <cell r="E29001" t="str">
            <v>LUC-E00-420025-05</v>
          </cell>
          <cell r="F29001">
            <v>3731931851</v>
          </cell>
        </row>
        <row r="29002">
          <cell r="E29002" t="str">
            <v>LUC-EZZ-420281-00</v>
          </cell>
          <cell r="F29002">
            <v>3731931851</v>
          </cell>
        </row>
        <row r="29003">
          <cell r="E29003" t="str">
            <v>LUC-EZZ-450246-00</v>
          </cell>
          <cell r="F29003">
            <v>3731931851</v>
          </cell>
        </row>
        <row r="29004">
          <cell r="E29004" t="str">
            <v>LUC-EZZ-420507-00</v>
          </cell>
          <cell r="F29004">
            <v>3731931851</v>
          </cell>
        </row>
        <row r="29005">
          <cell r="E29005" t="str">
            <v>LUC-EZZ-420507-00</v>
          </cell>
          <cell r="F29005">
            <v>3731931851</v>
          </cell>
        </row>
        <row r="29006">
          <cell r="E29006" t="str">
            <v>LUC-E00-420027-03</v>
          </cell>
          <cell r="F29006">
            <v>3731931851</v>
          </cell>
        </row>
        <row r="29007">
          <cell r="E29007" t="str">
            <v>LUC-EZZ-420020-00</v>
          </cell>
          <cell r="F29007">
            <v>3731931851</v>
          </cell>
        </row>
        <row r="29008">
          <cell r="E29008" t="str">
            <v>LUC-EZZ-420490-00</v>
          </cell>
          <cell r="F29008">
            <v>3731931851</v>
          </cell>
        </row>
        <row r="29009">
          <cell r="E29009" t="str">
            <v>LUC-E00-400010-053</v>
          </cell>
          <cell r="F29009">
            <v>3731931851</v>
          </cell>
        </row>
        <row r="29010">
          <cell r="E29010" t="str">
            <v>LUC-E00-400044-00</v>
          </cell>
          <cell r="F29010">
            <v>3731931851</v>
          </cell>
        </row>
        <row r="29011">
          <cell r="E29011" t="str">
            <v>LUC-EZZ-480029-00</v>
          </cell>
          <cell r="F29011">
            <v>3731931851</v>
          </cell>
        </row>
        <row r="29012">
          <cell r="E29012" t="str">
            <v>LUC-E00-510066-00</v>
          </cell>
          <cell r="F29012">
            <v>3731931851</v>
          </cell>
        </row>
        <row r="29013">
          <cell r="E29013" t="str">
            <v>LUC-E00-420116-01</v>
          </cell>
          <cell r="F29013">
            <v>3731931851</v>
          </cell>
        </row>
        <row r="29014">
          <cell r="E29014" t="str">
            <v>LUC-E00-450036-00</v>
          </cell>
          <cell r="F29014">
            <v>3731931851</v>
          </cell>
        </row>
        <row r="29015">
          <cell r="E29015" t="str">
            <v>LUC-E00-440057-00</v>
          </cell>
          <cell r="F29015">
            <v>3731931851</v>
          </cell>
        </row>
        <row r="29016">
          <cell r="E29016" t="str">
            <v>LUC-E00-470122-01</v>
          </cell>
          <cell r="F29016">
            <v>3731931851</v>
          </cell>
        </row>
        <row r="29017">
          <cell r="E29017" t="str">
            <v>LUC-EZZ-450835-00</v>
          </cell>
          <cell r="F29017">
            <v>3731931851</v>
          </cell>
        </row>
        <row r="29018">
          <cell r="E29018" t="str">
            <v>LUC-EZZ-460737-00</v>
          </cell>
          <cell r="F29018">
            <v>3731931851</v>
          </cell>
        </row>
        <row r="29019">
          <cell r="E29019" t="str">
            <v>LUC-EZZ-460737-00</v>
          </cell>
          <cell r="F29019">
            <v>3731931851</v>
          </cell>
        </row>
        <row r="29020">
          <cell r="E29020" t="str">
            <v>LUC-EZZ-510080-00</v>
          </cell>
          <cell r="F29020">
            <v>3731931851</v>
          </cell>
        </row>
        <row r="29021">
          <cell r="E29021" t="str">
            <v>LUC-E00-420027-03</v>
          </cell>
          <cell r="F29021">
            <v>3731931851</v>
          </cell>
        </row>
        <row r="29022">
          <cell r="E29022" t="str">
            <v>LUC-E00-470379-00</v>
          </cell>
          <cell r="F29022">
            <v>3731931851</v>
          </cell>
        </row>
        <row r="29023">
          <cell r="E29023" t="str">
            <v>LUC-E00-470379-00</v>
          </cell>
          <cell r="F29023">
            <v>3731931851</v>
          </cell>
        </row>
        <row r="29024">
          <cell r="E29024" t="str">
            <v>LUC-EZZ-510080-00</v>
          </cell>
          <cell r="F29024">
            <v>3731931851</v>
          </cell>
        </row>
        <row r="29025">
          <cell r="E29025" t="str">
            <v>LUC-E00-510016-00</v>
          </cell>
          <cell r="F29025">
            <v>3731931851</v>
          </cell>
        </row>
        <row r="29026">
          <cell r="E29026" t="str">
            <v>LUC-E00-510016-00</v>
          </cell>
          <cell r="F29026">
            <v>3731931851</v>
          </cell>
        </row>
        <row r="29027">
          <cell r="E29027" t="str">
            <v>LUC-E00-510016-00</v>
          </cell>
          <cell r="F29027">
            <v>3731931851</v>
          </cell>
        </row>
        <row r="29028">
          <cell r="E29028" t="str">
            <v>LUC-E00-510016-00</v>
          </cell>
          <cell r="F29028">
            <v>3731931851</v>
          </cell>
        </row>
        <row r="29029">
          <cell r="E29029" t="str">
            <v>LUC-E00-420027-03</v>
          </cell>
          <cell r="F29029">
            <v>3731931851</v>
          </cell>
        </row>
        <row r="29030">
          <cell r="E29030" t="str">
            <v>LUC-E00-420027-03</v>
          </cell>
          <cell r="F29030">
            <v>3731931851</v>
          </cell>
        </row>
        <row r="29031">
          <cell r="E29031" t="str">
            <v>LUC-E00-420173-00</v>
          </cell>
          <cell r="F29031">
            <v>3731931851</v>
          </cell>
        </row>
        <row r="29032">
          <cell r="E29032" t="str">
            <v>LUC-E00-420173-00</v>
          </cell>
          <cell r="F29032">
            <v>3731931851</v>
          </cell>
        </row>
        <row r="29033">
          <cell r="E29033" t="str">
            <v>LUC-E00-470252-00</v>
          </cell>
          <cell r="F29033">
            <v>3731931851</v>
          </cell>
        </row>
        <row r="29034">
          <cell r="E29034" t="str">
            <v>LUC-E00-470252-00</v>
          </cell>
          <cell r="F29034">
            <v>3731931851</v>
          </cell>
        </row>
        <row r="29035">
          <cell r="E29035" t="str">
            <v>LUC-E00-420027-03</v>
          </cell>
          <cell r="F29035">
            <v>3731931851</v>
          </cell>
        </row>
        <row r="29036">
          <cell r="E29036" t="str">
            <v>LUC-E00-460038-00</v>
          </cell>
          <cell r="F29036">
            <v>3731931851</v>
          </cell>
        </row>
        <row r="29037">
          <cell r="E29037" t="str">
            <v>LUC-E00-470080-00</v>
          </cell>
          <cell r="F29037">
            <v>3731931851</v>
          </cell>
        </row>
        <row r="29038">
          <cell r="E29038" t="str">
            <v>LUC-E00-470080-00</v>
          </cell>
          <cell r="F29038">
            <v>3731931851</v>
          </cell>
        </row>
        <row r="29039">
          <cell r="E29039" t="str">
            <v>LUC-E00-460015-01</v>
          </cell>
          <cell r="F29039">
            <v>3731931851</v>
          </cell>
        </row>
        <row r="29040">
          <cell r="E29040" t="str">
            <v>LUC-E00-400244-00</v>
          </cell>
          <cell r="F29040">
            <v>3731931851</v>
          </cell>
        </row>
        <row r="29041">
          <cell r="E29041" t="str">
            <v>LUC-E00-400244-00</v>
          </cell>
          <cell r="F29041">
            <v>3731931851</v>
          </cell>
        </row>
        <row r="29042">
          <cell r="E29042" t="str">
            <v>LUC-E00-400244-00</v>
          </cell>
          <cell r="F29042">
            <v>3731931851</v>
          </cell>
        </row>
        <row r="29043">
          <cell r="E29043" t="str">
            <v>LUC-E00-400244-00</v>
          </cell>
          <cell r="F29043">
            <v>3731931851</v>
          </cell>
        </row>
        <row r="29044">
          <cell r="E29044" t="str">
            <v>LUC-E00-400244-00</v>
          </cell>
          <cell r="F29044">
            <v>3731931851</v>
          </cell>
        </row>
        <row r="29045">
          <cell r="E29045" t="str">
            <v>LUC-EZZ-451368-00</v>
          </cell>
          <cell r="F29045">
            <v>3731931851</v>
          </cell>
        </row>
        <row r="29046">
          <cell r="E29046" t="str">
            <v>LUC-E00-440029-00</v>
          </cell>
          <cell r="F29046">
            <v>3731931851</v>
          </cell>
        </row>
        <row r="29047">
          <cell r="E29047" t="str">
            <v>LUC-E00-440029-00</v>
          </cell>
          <cell r="F29047">
            <v>3731931851</v>
          </cell>
        </row>
        <row r="29048">
          <cell r="E29048" t="str">
            <v>LUC-E00-440029-00</v>
          </cell>
          <cell r="F29048">
            <v>3731931851</v>
          </cell>
        </row>
        <row r="29049">
          <cell r="E29049" t="str">
            <v>LUC-E00-440029-00</v>
          </cell>
          <cell r="F29049">
            <v>3731931851</v>
          </cell>
        </row>
        <row r="29050">
          <cell r="E29050" t="str">
            <v>LUC-E00-470049-00</v>
          </cell>
          <cell r="F29050">
            <v>3731931851</v>
          </cell>
        </row>
        <row r="29051">
          <cell r="E29051" t="str">
            <v>LUC-E00-470049-00</v>
          </cell>
          <cell r="F29051">
            <v>3731931851</v>
          </cell>
        </row>
        <row r="29052">
          <cell r="E29052" t="str">
            <v>LUC-E00-470059-00</v>
          </cell>
          <cell r="F29052">
            <v>3731931851</v>
          </cell>
        </row>
        <row r="29053">
          <cell r="E29053" t="str">
            <v>LUC-EZZ-470192-00</v>
          </cell>
          <cell r="F29053">
            <v>3731931851</v>
          </cell>
        </row>
        <row r="29054">
          <cell r="E29054" t="str">
            <v>LUC-EZZ-470192-00</v>
          </cell>
          <cell r="F29054">
            <v>3731931851</v>
          </cell>
        </row>
        <row r="29055">
          <cell r="E29055" t="str">
            <v>LUC-E00-420171-00</v>
          </cell>
          <cell r="F29055">
            <v>3731931851</v>
          </cell>
        </row>
        <row r="29056">
          <cell r="E29056" t="str">
            <v>LUC-E00-510014-00</v>
          </cell>
          <cell r="F29056">
            <v>3731931851</v>
          </cell>
        </row>
        <row r="29057">
          <cell r="E29057" t="str">
            <v>LUC-E00-510014-00</v>
          </cell>
          <cell r="F29057">
            <v>3731931851</v>
          </cell>
        </row>
        <row r="29058">
          <cell r="E29058" t="str">
            <v>LUC-E00-510045-00</v>
          </cell>
          <cell r="F29058">
            <v>3731931851</v>
          </cell>
        </row>
        <row r="29059">
          <cell r="E29059" t="str">
            <v>LUC-E00-440097-00</v>
          </cell>
          <cell r="F29059">
            <v>3731931851</v>
          </cell>
        </row>
        <row r="29060">
          <cell r="E29060" t="str">
            <v>LUC-EZZ-510639-00</v>
          </cell>
          <cell r="F29060">
            <v>3731931851</v>
          </cell>
        </row>
        <row r="29061">
          <cell r="E29061" t="str">
            <v>PURET-24-0008-00</v>
          </cell>
          <cell r="F29061">
            <v>3731931851</v>
          </cell>
        </row>
        <row r="29062">
          <cell r="E29062" t="str">
            <v>LUC-EZZ-470961-00</v>
          </cell>
          <cell r="F29062">
            <v>3731931851</v>
          </cell>
        </row>
        <row r="29063">
          <cell r="E29063" t="str">
            <v>LUC-E00-400010-034</v>
          </cell>
          <cell r="F29063">
            <v>3731931851</v>
          </cell>
        </row>
        <row r="29064">
          <cell r="E29064" t="str">
            <v>LUC-EZZ-400204-00</v>
          </cell>
          <cell r="F29064">
            <v>3731931851</v>
          </cell>
        </row>
        <row r="29065">
          <cell r="E29065" t="str">
            <v>LUC-EZZ-400110-00</v>
          </cell>
          <cell r="F29065">
            <v>3731931851</v>
          </cell>
        </row>
        <row r="29066">
          <cell r="E29066" t="str">
            <v>LUC-EZZ-400110-00</v>
          </cell>
          <cell r="F29066">
            <v>3731931851</v>
          </cell>
        </row>
        <row r="29067">
          <cell r="E29067" t="str">
            <v>LUC-E00-470062-00</v>
          </cell>
          <cell r="F29067">
            <v>3731931851</v>
          </cell>
        </row>
        <row r="29068">
          <cell r="E29068" t="str">
            <v>LUC-E00-470062-00</v>
          </cell>
          <cell r="F29068">
            <v>3731931851</v>
          </cell>
        </row>
        <row r="29069">
          <cell r="E29069" t="str">
            <v>LUC-EZZ-400110-00</v>
          </cell>
          <cell r="F29069">
            <v>3731931851</v>
          </cell>
        </row>
        <row r="29070">
          <cell r="E29070" t="str">
            <v>LUC-EZZ-400110-00</v>
          </cell>
          <cell r="F29070">
            <v>3731931851</v>
          </cell>
        </row>
        <row r="29071">
          <cell r="E29071" t="str">
            <v>LUC-E00-470095-00</v>
          </cell>
          <cell r="F29071">
            <v>3731931851</v>
          </cell>
        </row>
        <row r="29072">
          <cell r="E29072" t="str">
            <v>LUC-EZZ-400110-00</v>
          </cell>
          <cell r="F29072">
            <v>3731931851</v>
          </cell>
        </row>
        <row r="29073">
          <cell r="E29073" t="str">
            <v>LUC-E00-470077-00</v>
          </cell>
          <cell r="F29073">
            <v>3731931851</v>
          </cell>
        </row>
        <row r="29074">
          <cell r="E29074" t="str">
            <v>LUC-EZZ-470152-02</v>
          </cell>
          <cell r="F29074">
            <v>3731931851</v>
          </cell>
        </row>
        <row r="29075">
          <cell r="E29075" t="str">
            <v>LUC-EZZ-470152-02</v>
          </cell>
          <cell r="F29075">
            <v>3731931851</v>
          </cell>
        </row>
        <row r="29076">
          <cell r="E29076" t="str">
            <v>LUC-E00-470049-00</v>
          </cell>
          <cell r="F29076">
            <v>3731931851</v>
          </cell>
        </row>
        <row r="29077">
          <cell r="E29077" t="str">
            <v>LUC-EZZ-400542-00</v>
          </cell>
          <cell r="F29077">
            <v>3731931851</v>
          </cell>
        </row>
        <row r="29078">
          <cell r="E29078" t="str">
            <v>LUC-E00-450084-00</v>
          </cell>
          <cell r="F29078">
            <v>3731931851</v>
          </cell>
        </row>
        <row r="29079">
          <cell r="E29079" t="str">
            <v>LUC-EZZ-690241-00</v>
          </cell>
          <cell r="F29079">
            <v>4110332375</v>
          </cell>
        </row>
        <row r="29080">
          <cell r="E29080" t="str">
            <v>LUC-E00-690217-01</v>
          </cell>
          <cell r="F29080">
            <v>4110332374</v>
          </cell>
        </row>
        <row r="29081">
          <cell r="E29081" t="str">
            <v>LUC-EZZ-490305-05</v>
          </cell>
          <cell r="F29081">
            <v>1517186</v>
          </cell>
        </row>
        <row r="29082">
          <cell r="E29082" t="str">
            <v>LUC-EZZ-490307-01</v>
          </cell>
          <cell r="F29082">
            <v>1517186</v>
          </cell>
        </row>
        <row r="29083">
          <cell r="E29083" t="str">
            <v>LUC-EZZ-490310-04</v>
          </cell>
          <cell r="F29083">
            <v>1517186</v>
          </cell>
        </row>
        <row r="29084">
          <cell r="E29084" t="str">
            <v>LUC-EZZ-490305-05</v>
          </cell>
          <cell r="F29084">
            <v>1517186</v>
          </cell>
        </row>
        <row r="29085">
          <cell r="E29085" t="str">
            <v>LUC-EZZ-490230-05</v>
          </cell>
          <cell r="F29085">
            <v>1517186</v>
          </cell>
        </row>
        <row r="29086">
          <cell r="E29086" t="str">
            <v>LUC-EZZ-490310-04</v>
          </cell>
          <cell r="F29086">
            <v>1517186</v>
          </cell>
        </row>
        <row r="29087">
          <cell r="E29087" t="str">
            <v>LUC-EZZ-490306-00</v>
          </cell>
          <cell r="F29087">
            <v>1517186</v>
          </cell>
        </row>
        <row r="29088">
          <cell r="E29088" t="str">
            <v>LUC-EZZ-490306-00</v>
          </cell>
          <cell r="F29088">
            <v>1517186</v>
          </cell>
        </row>
        <row r="29089">
          <cell r="E29089" t="str">
            <v>LUC-EZZ-490317-04</v>
          </cell>
          <cell r="F29089" t="str">
            <v>SEBL25120066</v>
          </cell>
        </row>
        <row r="29090">
          <cell r="E29090" t="str">
            <v>LUC-EZZ-490259-00</v>
          </cell>
          <cell r="F29090" t="str">
            <v>SEBL25120066</v>
          </cell>
        </row>
        <row r="29091">
          <cell r="E29091" t="str">
            <v>LUC-EZZ-490317-04</v>
          </cell>
          <cell r="F29091" t="str">
            <v>SEBL25120066</v>
          </cell>
        </row>
        <row r="29092">
          <cell r="E29092" t="str">
            <v>LUC-EZZ-490316-02</v>
          </cell>
          <cell r="F29092" t="str">
            <v>SEBL25120066</v>
          </cell>
        </row>
        <row r="29093">
          <cell r="E29093" t="str">
            <v>LUC-EZZ-490317-04</v>
          </cell>
          <cell r="F29093" t="str">
            <v>SEBL25120066</v>
          </cell>
        </row>
        <row r="29094">
          <cell r="E29094" t="str">
            <v>LUC-EZZ-490201-07</v>
          </cell>
          <cell r="F29094" t="str">
            <v>SEBL25120066</v>
          </cell>
        </row>
        <row r="29095">
          <cell r="E29095" t="str">
            <v>LUC-EZZ-490315-02</v>
          </cell>
          <cell r="F29095" t="str">
            <v>SEBL25120066</v>
          </cell>
        </row>
        <row r="29096">
          <cell r="E29096" t="str">
            <v>AIC-BPM-UPG0000-D01</v>
          </cell>
          <cell r="F29096">
            <v>1517177</v>
          </cell>
        </row>
        <row r="29097">
          <cell r="E29097" t="str">
            <v>LUC-EZZ-490201-07</v>
          </cell>
          <cell r="F29097">
            <v>1517253</v>
          </cell>
        </row>
        <row r="29098">
          <cell r="E29098" t="str">
            <v>LUC-EZZ-490305-05</v>
          </cell>
          <cell r="F29098">
            <v>1517253</v>
          </cell>
        </row>
        <row r="29099">
          <cell r="E29099" t="str">
            <v>LUC-EZZ-490304-04</v>
          </cell>
          <cell r="F29099">
            <v>1517253</v>
          </cell>
        </row>
        <row r="29100">
          <cell r="E29100" t="str">
            <v>LUC-EZZ-490305-05</v>
          </cell>
          <cell r="F29100">
            <v>1517253</v>
          </cell>
        </row>
        <row r="29101">
          <cell r="E29101" t="str">
            <v>LUC-EZZ-490305-05</v>
          </cell>
          <cell r="F29101">
            <v>1517253</v>
          </cell>
        </row>
        <row r="29102">
          <cell r="E29102" t="str">
            <v>AIC-BPM-UPG0002-C01</v>
          </cell>
          <cell r="F29102">
            <v>5651096231</v>
          </cell>
        </row>
        <row r="29103">
          <cell r="E29103" t="str">
            <v>LUC-EZZ-400629-00</v>
          </cell>
          <cell r="F29103">
            <v>8489393813</v>
          </cell>
        </row>
        <row r="29104">
          <cell r="E29104" t="str">
            <v>LUC-EZZ-421298-00</v>
          </cell>
          <cell r="F29104">
            <v>8489393813</v>
          </cell>
        </row>
        <row r="29105">
          <cell r="E29105" t="str">
            <v>LUC-EZZ-441374-00</v>
          </cell>
          <cell r="F29105">
            <v>8489393813</v>
          </cell>
        </row>
        <row r="29106">
          <cell r="E29106" t="str">
            <v>LUC-EZZ-400209-00</v>
          </cell>
          <cell r="F29106">
            <v>8489393813</v>
          </cell>
        </row>
        <row r="29107">
          <cell r="E29107" t="str">
            <v>PUR-27-0028-00</v>
          </cell>
          <cell r="F29107">
            <v>8489393813</v>
          </cell>
        </row>
        <row r="29108">
          <cell r="E29108" t="str">
            <v>HLOB-27-0028-00</v>
          </cell>
          <cell r="F29108">
            <v>8489393813</v>
          </cell>
        </row>
        <row r="29109">
          <cell r="E29109" t="str">
            <v>174-000139</v>
          </cell>
          <cell r="F29109">
            <v>8489393813</v>
          </cell>
        </row>
        <row r="29110">
          <cell r="E29110" t="str">
            <v>174-000055.X.X</v>
          </cell>
          <cell r="F29110">
            <v>8489393813</v>
          </cell>
        </row>
        <row r="29111">
          <cell r="E29111" t="str">
            <v>LUC-P11-K41800-00</v>
          </cell>
          <cell r="F29111">
            <v>8489393813</v>
          </cell>
        </row>
        <row r="29112">
          <cell r="E29112" t="str">
            <v>LUC-E00-400067-036</v>
          </cell>
          <cell r="F29112">
            <v>8489393813</v>
          </cell>
        </row>
        <row r="29113">
          <cell r="E29113" t="str">
            <v>LUC-EZZ-400331-00</v>
          </cell>
          <cell r="F29113">
            <v>8489393813</v>
          </cell>
        </row>
        <row r="29114">
          <cell r="E29114" t="str">
            <v>LUC-EZZ-420392-00</v>
          </cell>
          <cell r="F29114">
            <v>8489393813</v>
          </cell>
        </row>
        <row r="29115">
          <cell r="E29115" t="str">
            <v>EF-45205706</v>
          </cell>
          <cell r="F29115">
            <v>887394351406</v>
          </cell>
        </row>
        <row r="29116">
          <cell r="E29116" t="str">
            <v>LUC-109-001646-R</v>
          </cell>
          <cell r="F29116">
            <v>887394351406</v>
          </cell>
        </row>
        <row r="29117">
          <cell r="E29117" t="str">
            <v>LUC-124-002918-R</v>
          </cell>
          <cell r="F29117">
            <v>887394351406</v>
          </cell>
        </row>
        <row r="29118">
          <cell r="E29118" t="str">
            <v>LUC-E00-420020-08</v>
          </cell>
          <cell r="F29118">
            <v>887394351406</v>
          </cell>
        </row>
        <row r="29119">
          <cell r="E29119" t="str">
            <v>LUC-EZZ-470336-00</v>
          </cell>
          <cell r="F29119">
            <v>887394351406</v>
          </cell>
        </row>
        <row r="29120">
          <cell r="E29120" t="str">
            <v>HLOB-13-0258-00</v>
          </cell>
          <cell r="F29120">
            <v>496268230020</v>
          </cell>
        </row>
        <row r="29121">
          <cell r="E29121" t="str">
            <v>HLOB-13-0258-00</v>
          </cell>
          <cell r="F29121">
            <v>496268229162</v>
          </cell>
        </row>
        <row r="29122">
          <cell r="E29122" t="str">
            <v>LUC-EZZ-400117-00</v>
          </cell>
          <cell r="F29122">
            <v>479730238153</v>
          </cell>
        </row>
        <row r="29123">
          <cell r="E29123" t="str">
            <v>LUC-E00-400010-026</v>
          </cell>
          <cell r="F29123">
            <v>479730233037</v>
          </cell>
        </row>
        <row r="29124">
          <cell r="E29124" t="str">
            <v>LUC-E00-400010-026</v>
          </cell>
          <cell r="F29124">
            <v>479730239767</v>
          </cell>
        </row>
        <row r="29125">
          <cell r="E29125" t="str">
            <v>PUR-09-0279-00</v>
          </cell>
          <cell r="F29125">
            <v>479730238407</v>
          </cell>
        </row>
        <row r="29126">
          <cell r="E29126" t="str">
            <v>LUC-EZZ-470480-00</v>
          </cell>
          <cell r="F29126">
            <v>479730238635</v>
          </cell>
        </row>
        <row r="29127">
          <cell r="E29127" t="str">
            <v>LUC-E00-460007-00</v>
          </cell>
          <cell r="F29127">
            <v>707296259460</v>
          </cell>
        </row>
        <row r="29128">
          <cell r="E29128" t="str">
            <v>LUC-E00-460007-00</v>
          </cell>
          <cell r="F29128">
            <v>707296260338</v>
          </cell>
        </row>
        <row r="29129">
          <cell r="E29129" t="str">
            <v>LUC-EZZ-400226-00</v>
          </cell>
          <cell r="F29129">
            <v>479730238061</v>
          </cell>
        </row>
        <row r="29130">
          <cell r="E29130" t="str">
            <v>EF-45241780</v>
          </cell>
          <cell r="F29130">
            <v>479730244262</v>
          </cell>
        </row>
        <row r="29131">
          <cell r="E29131" t="str">
            <v>EF-45241780</v>
          </cell>
          <cell r="F29131">
            <v>479730243678</v>
          </cell>
        </row>
        <row r="29132">
          <cell r="E29132" t="str">
            <v>LUC-EZZ-400207-00</v>
          </cell>
          <cell r="F29132">
            <v>479730240500</v>
          </cell>
        </row>
        <row r="29133">
          <cell r="E29133" t="str">
            <v>PUR-24-0028-00</v>
          </cell>
          <cell r="F29133">
            <v>479730241116</v>
          </cell>
        </row>
        <row r="29134">
          <cell r="E29134" t="str">
            <v>LUC-E00-400010-002</v>
          </cell>
          <cell r="F29134">
            <v>479730247114</v>
          </cell>
        </row>
        <row r="29135">
          <cell r="E29135" t="str">
            <v>LUC-EZZ-400568-00</v>
          </cell>
          <cell r="F29135">
            <v>479730244126</v>
          </cell>
        </row>
        <row r="29136">
          <cell r="E29136" t="str">
            <v>LUC-E00-400026-00</v>
          </cell>
          <cell r="F29136">
            <v>496268229931</v>
          </cell>
        </row>
        <row r="29137">
          <cell r="E29137" t="str">
            <v>HLOB-13-0258-00</v>
          </cell>
          <cell r="F29137">
            <v>496268229931</v>
          </cell>
        </row>
        <row r="29138">
          <cell r="E29138" t="str">
            <v>HLOB-13-0258-00</v>
          </cell>
          <cell r="F29138">
            <v>496268229931</v>
          </cell>
        </row>
        <row r="29139">
          <cell r="E29139" t="str">
            <v>HLOB-13-0258-00</v>
          </cell>
          <cell r="F29139">
            <v>496268229931</v>
          </cell>
        </row>
        <row r="29140">
          <cell r="E29140" t="str">
            <v>LUC-EZZ-470249-00</v>
          </cell>
          <cell r="F29140">
            <v>479730247651</v>
          </cell>
        </row>
        <row r="29141">
          <cell r="E29141" t="str">
            <v>LUC-EZZ-470249-00</v>
          </cell>
          <cell r="F29141">
            <v>479730247629</v>
          </cell>
        </row>
        <row r="29142">
          <cell r="E29142" t="str">
            <v>LUC-E00-470029-00</v>
          </cell>
          <cell r="F29142">
            <v>479730247630</v>
          </cell>
        </row>
        <row r="29143">
          <cell r="E29143" t="str">
            <v>PUR-330-000056</v>
          </cell>
          <cell r="F29143" t="str">
            <v>01PEN0374483</v>
          </cell>
        </row>
        <row r="29144">
          <cell r="E29144" t="str">
            <v>HLOB-09-0346-00</v>
          </cell>
          <cell r="F29144">
            <v>495828892498</v>
          </cell>
        </row>
        <row r="29145">
          <cell r="E29145" t="str">
            <v>LUC-EZZ-470844-00</v>
          </cell>
          <cell r="F29145">
            <v>495828892498</v>
          </cell>
        </row>
        <row r="29146">
          <cell r="E29146" t="str">
            <v>HLOB-09-0346-00</v>
          </cell>
          <cell r="F29146">
            <v>495828892498</v>
          </cell>
        </row>
        <row r="29147">
          <cell r="E29147" t="str">
            <v>HLOB-09-0346-00</v>
          </cell>
          <cell r="F29147">
            <v>495828892498</v>
          </cell>
        </row>
        <row r="29148">
          <cell r="E29148" t="str">
            <v>HLOB-09-0346-00</v>
          </cell>
          <cell r="F29148">
            <v>495828892498</v>
          </cell>
        </row>
        <row r="29149">
          <cell r="E29149" t="str">
            <v>LUC-EZZ-470336-00</v>
          </cell>
          <cell r="F29149">
            <v>493596720731</v>
          </cell>
        </row>
        <row r="29150">
          <cell r="E29150" t="str">
            <v>LUC-124-002911-R</v>
          </cell>
          <cell r="F29150">
            <v>495828879891</v>
          </cell>
        </row>
        <row r="29151">
          <cell r="E29151" t="str">
            <v>LUC-124-002917-R</v>
          </cell>
          <cell r="F29151">
            <v>412069785988</v>
          </cell>
        </row>
        <row r="29152">
          <cell r="E29152" t="str">
            <v>LUC-109-001634-R</v>
          </cell>
          <cell r="F29152">
            <v>412069786480</v>
          </cell>
        </row>
        <row r="29153">
          <cell r="E29153" t="str">
            <v>AIC-MP-IC007085-S01</v>
          </cell>
          <cell r="F29153">
            <v>887363003120</v>
          </cell>
        </row>
        <row r="29154">
          <cell r="E29154" t="str">
            <v>AIC-MP-00004843-000</v>
          </cell>
          <cell r="F29154">
            <v>887363003120</v>
          </cell>
        </row>
        <row r="29155">
          <cell r="E29155" t="str">
            <v>AIC-MP-00004954-000</v>
          </cell>
          <cell r="F29155">
            <v>887363003120</v>
          </cell>
        </row>
        <row r="29156">
          <cell r="E29156" t="str">
            <v>AIC-MP-IC006838-S01</v>
          </cell>
          <cell r="F29156">
            <v>887363003120</v>
          </cell>
        </row>
        <row r="29157">
          <cell r="E29157" t="str">
            <v>PURET-13-0028-00</v>
          </cell>
          <cell r="F29157">
            <v>4711901272</v>
          </cell>
        </row>
        <row r="29158">
          <cell r="E29158" t="str">
            <v>PURET-13-0028-00</v>
          </cell>
          <cell r="F29158">
            <v>4711901272</v>
          </cell>
        </row>
        <row r="29159">
          <cell r="E29159" t="str">
            <v>HLOB-13-0028-00</v>
          </cell>
          <cell r="F29159">
            <v>4711901272</v>
          </cell>
        </row>
        <row r="29160">
          <cell r="E29160" t="str">
            <v>PURET-13-0028-00</v>
          </cell>
          <cell r="F29160">
            <v>4711901272</v>
          </cell>
        </row>
        <row r="29161">
          <cell r="E29161" t="str">
            <v>PURET-13-0028-00</v>
          </cell>
          <cell r="F29161">
            <v>4711901272</v>
          </cell>
        </row>
        <row r="29162">
          <cell r="E29162" t="str">
            <v>PURET-12-0035-00</v>
          </cell>
          <cell r="F29162">
            <v>4711901272</v>
          </cell>
        </row>
        <row r="29163">
          <cell r="E29163" t="str">
            <v>PURET-13-0028-00</v>
          </cell>
          <cell r="F29163">
            <v>4711901272</v>
          </cell>
        </row>
        <row r="29164">
          <cell r="E29164" t="str">
            <v>HLOB-13-0028-00</v>
          </cell>
          <cell r="F29164">
            <v>4711901272</v>
          </cell>
        </row>
        <row r="29165">
          <cell r="E29165" t="str">
            <v>PURET-13-0028-00</v>
          </cell>
          <cell r="F29165">
            <v>4711901272</v>
          </cell>
        </row>
        <row r="29166">
          <cell r="E29166" t="str">
            <v>PUR-13-0155-00</v>
          </cell>
          <cell r="F29166">
            <v>4711901272</v>
          </cell>
        </row>
        <row r="29167">
          <cell r="E29167" t="str">
            <v>HLOB-13-0028-00</v>
          </cell>
          <cell r="F29167">
            <v>4711901272</v>
          </cell>
        </row>
        <row r="29168">
          <cell r="E29168" t="str">
            <v>HLOB-13-0028-00</v>
          </cell>
          <cell r="F29168">
            <v>4711901272</v>
          </cell>
        </row>
        <row r="29169">
          <cell r="E29169" t="str">
            <v>HLOB-13-0028-00</v>
          </cell>
          <cell r="F29169">
            <v>4711901272</v>
          </cell>
        </row>
        <row r="29170">
          <cell r="E29170" t="str">
            <v>HLOB-13-0028-00</v>
          </cell>
          <cell r="F29170">
            <v>4711901272</v>
          </cell>
        </row>
        <row r="29171">
          <cell r="E29171" t="str">
            <v>HLOB-13-0244-00</v>
          </cell>
          <cell r="F29171">
            <v>4711901272</v>
          </cell>
        </row>
        <row r="29172">
          <cell r="E29172" t="str">
            <v>HLOB-13-0244-00</v>
          </cell>
          <cell r="F29172">
            <v>4711901272</v>
          </cell>
        </row>
        <row r="29173">
          <cell r="E29173" t="str">
            <v>HLOB-13-0244-00</v>
          </cell>
          <cell r="F29173">
            <v>4711901272</v>
          </cell>
        </row>
        <row r="29174">
          <cell r="E29174" t="str">
            <v>PURET-13-0028-00</v>
          </cell>
          <cell r="F29174">
            <v>4711901272</v>
          </cell>
        </row>
        <row r="29175">
          <cell r="E29175" t="str">
            <v>PURET-13-0028-00</v>
          </cell>
          <cell r="F29175">
            <v>4711901272</v>
          </cell>
        </row>
        <row r="29176">
          <cell r="E29176" t="str">
            <v>HLOB-13-0155-00</v>
          </cell>
          <cell r="F29176">
            <v>4711901272</v>
          </cell>
        </row>
        <row r="29177">
          <cell r="E29177" t="str">
            <v>HLOB-13-0028-00</v>
          </cell>
          <cell r="F29177">
            <v>4711901272</v>
          </cell>
        </row>
        <row r="29178">
          <cell r="E29178" t="str">
            <v>HLOB-13-0244-00</v>
          </cell>
          <cell r="F29178">
            <v>4711901272</v>
          </cell>
        </row>
        <row r="29179">
          <cell r="E29179" t="str">
            <v>LUC-EZZ-440037-00</v>
          </cell>
          <cell r="F29179">
            <v>4711901272</v>
          </cell>
        </row>
        <row r="29180">
          <cell r="E29180" t="str">
            <v>LUC-E00-420045-00</v>
          </cell>
          <cell r="F29180">
            <v>4711901272</v>
          </cell>
        </row>
        <row r="29181">
          <cell r="E29181" t="str">
            <v>LUC-E00-420045-00</v>
          </cell>
          <cell r="F29181">
            <v>4711901272</v>
          </cell>
        </row>
        <row r="29182">
          <cell r="E29182" t="str">
            <v>LUC-EZZ-440037-00</v>
          </cell>
          <cell r="F29182">
            <v>4711901272</v>
          </cell>
        </row>
        <row r="29183">
          <cell r="E29183" t="str">
            <v>LUC-EZZ-421242-00</v>
          </cell>
          <cell r="F29183">
            <v>4711901272</v>
          </cell>
        </row>
        <row r="29184">
          <cell r="E29184" t="str">
            <v>HLOB-13-0009-00</v>
          </cell>
          <cell r="F29184">
            <v>4711901272</v>
          </cell>
        </row>
        <row r="29185">
          <cell r="E29185" t="str">
            <v>HLOB-13-0009-00</v>
          </cell>
          <cell r="F29185">
            <v>4711901272</v>
          </cell>
        </row>
        <row r="29186">
          <cell r="E29186" t="str">
            <v>HLOB-13-0009-00</v>
          </cell>
          <cell r="F29186">
            <v>4711901272</v>
          </cell>
        </row>
        <row r="29187">
          <cell r="E29187" t="str">
            <v>HLOB-13-0238-00</v>
          </cell>
          <cell r="F29187">
            <v>4711901272</v>
          </cell>
        </row>
        <row r="29188">
          <cell r="E29188" t="str">
            <v>EF-45057846.X.X</v>
          </cell>
          <cell r="F29188">
            <v>4711901272</v>
          </cell>
        </row>
        <row r="29189">
          <cell r="E29189" t="str">
            <v>EF-45027595</v>
          </cell>
          <cell r="F29189">
            <v>4711901272</v>
          </cell>
        </row>
        <row r="29190">
          <cell r="E29190" t="str">
            <v>HLOB-12-0029-00</v>
          </cell>
          <cell r="F29190">
            <v>4711901272</v>
          </cell>
        </row>
        <row r="29191">
          <cell r="E29191" t="str">
            <v>PURET-12-0029-00</v>
          </cell>
          <cell r="F29191">
            <v>4711901272</v>
          </cell>
        </row>
        <row r="29192">
          <cell r="E29192" t="str">
            <v>PURET-12-0029-00</v>
          </cell>
          <cell r="F29192">
            <v>4711901272</v>
          </cell>
        </row>
        <row r="29193">
          <cell r="E29193" t="str">
            <v>PURET-12-0029-00</v>
          </cell>
          <cell r="F29193">
            <v>4711901272</v>
          </cell>
        </row>
        <row r="29194">
          <cell r="E29194" t="str">
            <v>PURET-12-0029-00</v>
          </cell>
          <cell r="F29194">
            <v>4711901272</v>
          </cell>
        </row>
        <row r="29195">
          <cell r="E29195" t="str">
            <v>HLOB-12-0029-00</v>
          </cell>
          <cell r="F29195">
            <v>4711901272</v>
          </cell>
        </row>
        <row r="29196">
          <cell r="E29196" t="str">
            <v>HLOB-12-0029-00</v>
          </cell>
          <cell r="F29196">
            <v>4711901272</v>
          </cell>
        </row>
        <row r="29197">
          <cell r="E29197" t="str">
            <v>LUC-E00-420037-02</v>
          </cell>
          <cell r="F29197">
            <v>4711901272</v>
          </cell>
        </row>
        <row r="29198">
          <cell r="E29198" t="str">
            <v>EF-45059913</v>
          </cell>
          <cell r="F29198">
            <v>4711901272</v>
          </cell>
        </row>
        <row r="29199">
          <cell r="E29199" t="str">
            <v>130-001590</v>
          </cell>
          <cell r="F29199">
            <v>887249392591</v>
          </cell>
        </row>
        <row r="29200">
          <cell r="E29200" t="str">
            <v>LUC-124-002924-R</v>
          </cell>
          <cell r="F29200">
            <v>481005967398</v>
          </cell>
        </row>
        <row r="29201">
          <cell r="E29201" t="str">
            <v>AGI-720-50001-01</v>
          </cell>
          <cell r="F29201">
            <v>497009226073</v>
          </cell>
        </row>
        <row r="29202">
          <cell r="E29202" t="str">
            <v>LUC-P11-K41G00-00</v>
          </cell>
          <cell r="F29202">
            <v>2151339864</v>
          </cell>
        </row>
        <row r="29203">
          <cell r="E29203" t="str">
            <v>LUC-P11-K41G00-00</v>
          </cell>
          <cell r="F29203">
            <v>2151336703</v>
          </cell>
        </row>
        <row r="29204">
          <cell r="E29204" t="str">
            <v>LUC-P11-K41G00-00</v>
          </cell>
          <cell r="F29204">
            <v>6302189596</v>
          </cell>
        </row>
        <row r="29205">
          <cell r="E29205" t="str">
            <v>LUC-P11-K41300-00</v>
          </cell>
          <cell r="F29205">
            <v>6302189876</v>
          </cell>
        </row>
        <row r="29206">
          <cell r="E29206" t="str">
            <v>LUC-P11-K41300-00</v>
          </cell>
          <cell r="F29206">
            <v>1174458832</v>
          </cell>
        </row>
        <row r="29207">
          <cell r="E29207" t="str">
            <v>PUR-11-0105-04</v>
          </cell>
          <cell r="F29207" t="str">
            <v>PSHPH25C0069</v>
          </cell>
        </row>
        <row r="29208">
          <cell r="E29208" t="str">
            <v>PUR-11-0105-04</v>
          </cell>
          <cell r="F29208" t="str">
            <v>PSHPH25C0069</v>
          </cell>
        </row>
        <row r="29209">
          <cell r="E29209" t="str">
            <v>PUR-11-0106-05</v>
          </cell>
          <cell r="F29209" t="str">
            <v>PSHPH25C0069</v>
          </cell>
        </row>
        <row r="29210">
          <cell r="E29210" t="str">
            <v>PUR-11-0106-05</v>
          </cell>
          <cell r="F29210" t="str">
            <v>PSHPH25C0069</v>
          </cell>
        </row>
        <row r="29211">
          <cell r="E29211" t="str">
            <v>PUR-11-0106-05</v>
          </cell>
          <cell r="F29211" t="str">
            <v>PSHPH25C0069</v>
          </cell>
        </row>
        <row r="29212">
          <cell r="E29212" t="str">
            <v>PUR-11-0106-05</v>
          </cell>
          <cell r="F29212" t="str">
            <v>PSHPH25C0069</v>
          </cell>
        </row>
        <row r="29213">
          <cell r="E29213" t="str">
            <v>PUR-11-0106-05</v>
          </cell>
          <cell r="F29213" t="str">
            <v>PSHPH25C0069</v>
          </cell>
        </row>
        <row r="29214">
          <cell r="E29214" t="str">
            <v>HLOB-11-0104-06</v>
          </cell>
          <cell r="F29214" t="str">
            <v>PSHPH25C0069</v>
          </cell>
        </row>
        <row r="29215">
          <cell r="E29215" t="str">
            <v>HLOB-11-0104-06</v>
          </cell>
          <cell r="F29215" t="str">
            <v>PSHPH25C0069</v>
          </cell>
        </row>
        <row r="29216">
          <cell r="E29216" t="str">
            <v>HLOB-11-0144-05</v>
          </cell>
          <cell r="F29216">
            <v>887164469700</v>
          </cell>
        </row>
        <row r="29217">
          <cell r="E29217" t="str">
            <v>EF-45079903.X.X</v>
          </cell>
          <cell r="F29217">
            <v>493891683133</v>
          </cell>
        </row>
        <row r="29218">
          <cell r="E29218" t="str">
            <v>HLOB-13-0236-00</v>
          </cell>
          <cell r="F29218">
            <v>4915028602</v>
          </cell>
        </row>
        <row r="29219">
          <cell r="E29219" t="str">
            <v>PUR-13-0236-00</v>
          </cell>
          <cell r="F29219">
            <v>4915028602</v>
          </cell>
        </row>
        <row r="29220">
          <cell r="E29220" t="str">
            <v>LUC-E00-400067-035</v>
          </cell>
          <cell r="F29220">
            <v>4711900864</v>
          </cell>
        </row>
        <row r="29221">
          <cell r="E29221" t="str">
            <v>LUC-EZZ-420251-00</v>
          </cell>
          <cell r="F29221">
            <v>4711900864</v>
          </cell>
        </row>
        <row r="29222">
          <cell r="E29222" t="str">
            <v>LUC-E00-420055-06</v>
          </cell>
          <cell r="F29222">
            <v>4711900864</v>
          </cell>
        </row>
        <row r="29223">
          <cell r="E29223" t="str">
            <v>LUC-EZZ-440202-00</v>
          </cell>
          <cell r="F29223">
            <v>4711900864</v>
          </cell>
        </row>
        <row r="29224">
          <cell r="E29224" t="str">
            <v>LUC-EZZ-440077-00</v>
          </cell>
          <cell r="F29224">
            <v>4711900864</v>
          </cell>
        </row>
        <row r="29225">
          <cell r="E29225" t="str">
            <v>LUC-E00-440022-00</v>
          </cell>
          <cell r="F29225">
            <v>4711900864</v>
          </cell>
        </row>
        <row r="29226">
          <cell r="E29226" t="str">
            <v>LUC-EZZ-420195-00</v>
          </cell>
          <cell r="F29226">
            <v>4711900864</v>
          </cell>
        </row>
        <row r="29227">
          <cell r="E29227" t="str">
            <v>LUC-E00-420054-03</v>
          </cell>
          <cell r="F29227">
            <v>4711900864</v>
          </cell>
        </row>
        <row r="29228">
          <cell r="E29228" t="str">
            <v>LUC-E00-420055-08</v>
          </cell>
          <cell r="F29228">
            <v>4711900864</v>
          </cell>
        </row>
        <row r="29229">
          <cell r="E29229" t="str">
            <v>LUC-EZZ-420331-00</v>
          </cell>
          <cell r="F29229">
            <v>4711900864</v>
          </cell>
        </row>
        <row r="29230">
          <cell r="E29230" t="str">
            <v>HLOB-13-0131-00</v>
          </cell>
          <cell r="F29230">
            <v>4711900864</v>
          </cell>
        </row>
        <row r="29231">
          <cell r="E29231" t="str">
            <v>LUC-E00-420055-15</v>
          </cell>
          <cell r="F29231">
            <v>4711900864</v>
          </cell>
        </row>
        <row r="29232">
          <cell r="E29232" t="str">
            <v>PUR-13-0131-00</v>
          </cell>
          <cell r="F29232">
            <v>4711900864</v>
          </cell>
        </row>
        <row r="29233">
          <cell r="E29233" t="str">
            <v>LUC-EZZ-400554-00</v>
          </cell>
          <cell r="F29233">
            <v>4711900864</v>
          </cell>
        </row>
        <row r="29234">
          <cell r="E29234" t="str">
            <v>LUC-E00-420084-00</v>
          </cell>
          <cell r="F29234">
            <v>4711900864</v>
          </cell>
        </row>
        <row r="29235">
          <cell r="E29235" t="str">
            <v>LUC-E00-420055-01</v>
          </cell>
          <cell r="F29235">
            <v>4711900864</v>
          </cell>
        </row>
        <row r="29236">
          <cell r="E29236" t="str">
            <v>LUC-EZZ-420145-00</v>
          </cell>
          <cell r="F29236">
            <v>4711900864</v>
          </cell>
        </row>
        <row r="29237">
          <cell r="E29237" t="str">
            <v>LUC-E00-420051-02</v>
          </cell>
          <cell r="F29237">
            <v>4711900864</v>
          </cell>
        </row>
        <row r="29238">
          <cell r="E29238" t="str">
            <v>HLOB-27-0024-00</v>
          </cell>
          <cell r="F29238">
            <v>4711900864</v>
          </cell>
        </row>
        <row r="29239">
          <cell r="E29239" t="str">
            <v>EF-45127982</v>
          </cell>
          <cell r="F29239">
            <v>4711900864</v>
          </cell>
        </row>
        <row r="29240">
          <cell r="E29240" t="str">
            <v>HLOB-13-0141-00</v>
          </cell>
          <cell r="F29240">
            <v>4711900864</v>
          </cell>
        </row>
        <row r="29241">
          <cell r="E29241" t="str">
            <v>AIC-122-004381</v>
          </cell>
          <cell r="F29241">
            <v>4711900864</v>
          </cell>
        </row>
        <row r="29242">
          <cell r="E29242" t="str">
            <v>HLOB-25-0009-00</v>
          </cell>
          <cell r="F29242">
            <v>4711900864</v>
          </cell>
        </row>
        <row r="29243">
          <cell r="E29243" t="str">
            <v>PURET-13-0119-00</v>
          </cell>
          <cell r="F29243">
            <v>4711900864</v>
          </cell>
        </row>
        <row r="29244">
          <cell r="E29244" t="str">
            <v>LUC-E00-420054-06</v>
          </cell>
          <cell r="F29244">
            <v>4711900864</v>
          </cell>
        </row>
        <row r="29245">
          <cell r="E29245" t="str">
            <v>HLOB-13-0119-00</v>
          </cell>
          <cell r="F29245">
            <v>4711900864</v>
          </cell>
        </row>
        <row r="29246">
          <cell r="E29246" t="str">
            <v>LUC-E00-420073-00</v>
          </cell>
          <cell r="F29246">
            <v>4711900864</v>
          </cell>
        </row>
        <row r="29247">
          <cell r="E29247" t="str">
            <v>LUC-E00-400034-019</v>
          </cell>
          <cell r="F29247">
            <v>4711900864</v>
          </cell>
        </row>
        <row r="29248">
          <cell r="E29248" t="str">
            <v>LUC-EZZ-511304-00</v>
          </cell>
          <cell r="F29248">
            <v>4711900864</v>
          </cell>
        </row>
        <row r="29249">
          <cell r="E29249" t="str">
            <v>LUC-E00-400067-263</v>
          </cell>
          <cell r="F29249">
            <v>4711900864</v>
          </cell>
        </row>
        <row r="29250">
          <cell r="E29250" t="str">
            <v>LUC-E00-400067-487</v>
          </cell>
          <cell r="F29250">
            <v>4711900864</v>
          </cell>
        </row>
        <row r="29251">
          <cell r="E29251" t="str">
            <v>LUC-EZZ-420124-00</v>
          </cell>
          <cell r="F29251">
            <v>4711900864</v>
          </cell>
        </row>
        <row r="29252">
          <cell r="E29252" t="str">
            <v>LUC-E00-440147-00</v>
          </cell>
          <cell r="F29252">
            <v>4711900864</v>
          </cell>
        </row>
        <row r="29253">
          <cell r="E29253" t="str">
            <v>LUC-EZZ-520030-00</v>
          </cell>
          <cell r="F29253">
            <v>4711900864</v>
          </cell>
        </row>
        <row r="29254">
          <cell r="E29254" t="str">
            <v>LUC-E00-400034-118</v>
          </cell>
          <cell r="F29254">
            <v>4711900864</v>
          </cell>
        </row>
        <row r="29255">
          <cell r="E29255" t="str">
            <v>LUC-E00-420043-01</v>
          </cell>
          <cell r="F29255">
            <v>4711900864</v>
          </cell>
        </row>
        <row r="29256">
          <cell r="E29256" t="str">
            <v>LUC-E00-420068-00</v>
          </cell>
          <cell r="F29256">
            <v>4711900864</v>
          </cell>
        </row>
        <row r="29257">
          <cell r="E29257" t="str">
            <v>PUR-15-0207-00</v>
          </cell>
          <cell r="F29257">
            <v>4711900864</v>
          </cell>
        </row>
        <row r="29258">
          <cell r="E29258" t="str">
            <v>LUC-E00-420052-00</v>
          </cell>
          <cell r="F29258">
            <v>4711900864</v>
          </cell>
        </row>
        <row r="29259">
          <cell r="E29259" t="str">
            <v>LUC-EZZ-420396-00</v>
          </cell>
          <cell r="F29259">
            <v>4711900864</v>
          </cell>
        </row>
        <row r="29260">
          <cell r="E29260" t="str">
            <v>LUC-EZZ-420344-00</v>
          </cell>
          <cell r="F29260">
            <v>4711900864</v>
          </cell>
        </row>
        <row r="29261">
          <cell r="E29261" t="str">
            <v>LUC-E00-400025-01</v>
          </cell>
          <cell r="F29261">
            <v>4711900864</v>
          </cell>
        </row>
        <row r="29262">
          <cell r="E29262" t="str">
            <v>LUC-EZZ-400709-00</v>
          </cell>
          <cell r="F29262">
            <v>4711900864</v>
          </cell>
        </row>
        <row r="29263">
          <cell r="E29263" t="str">
            <v>LUC-EZZ-450152-00</v>
          </cell>
          <cell r="F29263">
            <v>4711902726</v>
          </cell>
        </row>
        <row r="29264">
          <cell r="E29264" t="str">
            <v>LUC-E00-420068-00</v>
          </cell>
          <cell r="F29264">
            <v>4711902726</v>
          </cell>
        </row>
        <row r="29265">
          <cell r="E29265" t="str">
            <v>LUC-E00-440022-00</v>
          </cell>
          <cell r="F29265">
            <v>4711902726</v>
          </cell>
        </row>
        <row r="29266">
          <cell r="E29266" t="str">
            <v>LUC-E00-420084-00</v>
          </cell>
          <cell r="F29266">
            <v>4711902726</v>
          </cell>
        </row>
        <row r="29267">
          <cell r="E29267" t="str">
            <v>PUR-27-0024-00</v>
          </cell>
          <cell r="F29267">
            <v>4711902726</v>
          </cell>
        </row>
        <row r="29268">
          <cell r="E29268" t="str">
            <v>LUC-E00-420019-01</v>
          </cell>
          <cell r="F29268">
            <v>4711902726</v>
          </cell>
        </row>
        <row r="29269">
          <cell r="E29269" t="str">
            <v>LUC-E00-420073-00</v>
          </cell>
          <cell r="F29269">
            <v>4711902726</v>
          </cell>
        </row>
        <row r="29270">
          <cell r="E29270" t="str">
            <v>LUC-E00-510018-00</v>
          </cell>
          <cell r="F29270">
            <v>4711902726</v>
          </cell>
        </row>
        <row r="29271">
          <cell r="E29271" t="str">
            <v>LUC-E00-420055-06</v>
          </cell>
          <cell r="F29271">
            <v>4711902726</v>
          </cell>
        </row>
        <row r="29272">
          <cell r="E29272" t="str">
            <v>LUC-EZZ-420256-00</v>
          </cell>
          <cell r="F29272">
            <v>4711902726</v>
          </cell>
        </row>
        <row r="29273">
          <cell r="E29273" t="str">
            <v>LUC-EZZ-420396-00</v>
          </cell>
          <cell r="F29273">
            <v>4711902726</v>
          </cell>
        </row>
        <row r="29274">
          <cell r="E29274" t="str">
            <v>LUC-E00-400067-458</v>
          </cell>
          <cell r="F29274">
            <v>4711902726</v>
          </cell>
        </row>
        <row r="29275">
          <cell r="E29275" t="str">
            <v>LUC-EZZ-440016-00</v>
          </cell>
          <cell r="F29275">
            <v>4711902726</v>
          </cell>
        </row>
        <row r="29276">
          <cell r="E29276" t="str">
            <v>PURET-13-0001-00</v>
          </cell>
          <cell r="F29276">
            <v>4711902726</v>
          </cell>
        </row>
        <row r="29277">
          <cell r="E29277" t="str">
            <v>LUC-E00-510018-00</v>
          </cell>
          <cell r="F29277">
            <v>4711902726</v>
          </cell>
        </row>
        <row r="29278">
          <cell r="E29278" t="str">
            <v>LUC-E00-510018-00</v>
          </cell>
          <cell r="F29278">
            <v>4711902726</v>
          </cell>
        </row>
        <row r="29279">
          <cell r="E29279" t="str">
            <v>PURET-13-0001-00</v>
          </cell>
          <cell r="F29279">
            <v>4711902726</v>
          </cell>
        </row>
        <row r="29280">
          <cell r="E29280" t="str">
            <v>LUC-EZZ-400554-00</v>
          </cell>
          <cell r="F29280">
            <v>4711902726</v>
          </cell>
        </row>
        <row r="29281">
          <cell r="E29281" t="str">
            <v>LUC-E00-450010-00</v>
          </cell>
          <cell r="F29281">
            <v>4711902726</v>
          </cell>
        </row>
        <row r="29282">
          <cell r="E29282" t="str">
            <v>LUC-E00-420043-01</v>
          </cell>
          <cell r="F29282">
            <v>4711902726</v>
          </cell>
        </row>
        <row r="29283">
          <cell r="E29283" t="str">
            <v>LUC-EZZ-510052-00</v>
          </cell>
          <cell r="F29283">
            <v>4711902726</v>
          </cell>
        </row>
        <row r="29284">
          <cell r="E29284" t="str">
            <v>LUC-EZZ-400145-00</v>
          </cell>
          <cell r="F29284">
            <v>4711902726</v>
          </cell>
        </row>
        <row r="29285">
          <cell r="E29285" t="str">
            <v>LUC-EZZ-400812-00</v>
          </cell>
          <cell r="F29285">
            <v>4711902726</v>
          </cell>
        </row>
        <row r="29286">
          <cell r="E29286" t="str">
            <v>LUC-E00-510018-00</v>
          </cell>
          <cell r="F29286">
            <v>4711902726</v>
          </cell>
        </row>
        <row r="29287">
          <cell r="E29287" t="str">
            <v>LUC-E00-420046-00</v>
          </cell>
          <cell r="F29287">
            <v>4711902726</v>
          </cell>
        </row>
        <row r="29288">
          <cell r="E29288" t="str">
            <v>LUC-E00-450154-00</v>
          </cell>
          <cell r="F29288">
            <v>4711902726</v>
          </cell>
        </row>
        <row r="29289">
          <cell r="E29289" t="str">
            <v>LUC-EZZ-441672-00</v>
          </cell>
          <cell r="F29289">
            <v>4711902726</v>
          </cell>
        </row>
        <row r="29290">
          <cell r="E29290" t="str">
            <v>LUC-E00-450154-00</v>
          </cell>
          <cell r="F29290">
            <v>4711902726</v>
          </cell>
        </row>
        <row r="29291">
          <cell r="E29291" t="str">
            <v>LUC-EZZ-420331-00</v>
          </cell>
          <cell r="F29291">
            <v>4711902726</v>
          </cell>
        </row>
        <row r="29292">
          <cell r="E29292" t="str">
            <v>LUC-E00-450154-00</v>
          </cell>
          <cell r="F29292">
            <v>4711902726</v>
          </cell>
        </row>
        <row r="29293">
          <cell r="E29293" t="str">
            <v>LUC-E00-450154-00</v>
          </cell>
          <cell r="F29293">
            <v>4711902726</v>
          </cell>
        </row>
        <row r="29294">
          <cell r="E29294" t="str">
            <v>LUC-EZZ-420482-00</v>
          </cell>
          <cell r="F29294">
            <v>4711902726</v>
          </cell>
        </row>
        <row r="29295">
          <cell r="E29295" t="str">
            <v>LUC-E00-450154-00</v>
          </cell>
          <cell r="F29295">
            <v>4711902726</v>
          </cell>
        </row>
        <row r="29296">
          <cell r="E29296" t="str">
            <v>LUC-E00-450154-00</v>
          </cell>
          <cell r="F29296">
            <v>4711902726</v>
          </cell>
        </row>
        <row r="29297">
          <cell r="E29297" t="str">
            <v>LUC-E00-450154-00</v>
          </cell>
          <cell r="F29297">
            <v>4711902726</v>
          </cell>
        </row>
        <row r="29298">
          <cell r="E29298" t="str">
            <v>LUC-EZZ-511304-00</v>
          </cell>
          <cell r="F29298">
            <v>4711902726</v>
          </cell>
        </row>
        <row r="29299">
          <cell r="E29299" t="str">
            <v>LUC-E00-540005-00</v>
          </cell>
          <cell r="F29299">
            <v>4711902726</v>
          </cell>
        </row>
        <row r="29300">
          <cell r="E29300" t="str">
            <v>PURET-13-0119-00</v>
          </cell>
          <cell r="F29300">
            <v>4711902726</v>
          </cell>
        </row>
        <row r="29301">
          <cell r="E29301" t="str">
            <v>LUC-E00-400025-01</v>
          </cell>
          <cell r="F29301">
            <v>4711902726</v>
          </cell>
        </row>
        <row r="29302">
          <cell r="E29302" t="str">
            <v>LUC-EZZ-440189-00</v>
          </cell>
          <cell r="F29302">
            <v>4711902726</v>
          </cell>
        </row>
        <row r="29303">
          <cell r="E29303" t="str">
            <v>LUC-P11-J80300-00</v>
          </cell>
          <cell r="F29303" t="str">
            <v>LSHHPH25028621</v>
          </cell>
        </row>
        <row r="29304">
          <cell r="E29304" t="str">
            <v>LUC-P11-J81300-01</v>
          </cell>
          <cell r="F29304" t="str">
            <v>LSHHPH25028621</v>
          </cell>
        </row>
        <row r="29305">
          <cell r="E29305" t="str">
            <v>LUC-P11-J81500-01</v>
          </cell>
          <cell r="F29305" t="str">
            <v>LSHHPH25028621</v>
          </cell>
        </row>
        <row r="29306">
          <cell r="E29306" t="str">
            <v>PUR-09-0256-00</v>
          </cell>
          <cell r="F29306">
            <v>119209664078</v>
          </cell>
        </row>
        <row r="29307">
          <cell r="E29307" t="str">
            <v>PUR-09-0256-00</v>
          </cell>
          <cell r="F29307">
            <v>119209664078</v>
          </cell>
        </row>
        <row r="29308">
          <cell r="E29308" t="str">
            <v>LUC-EZZ-450177-00</v>
          </cell>
          <cell r="F29308">
            <v>119209664078</v>
          </cell>
        </row>
        <row r="29309">
          <cell r="E29309" t="str">
            <v>HLOB-24-0028-00</v>
          </cell>
          <cell r="F29309">
            <v>119209664078</v>
          </cell>
        </row>
        <row r="29310">
          <cell r="E29310" t="str">
            <v>AIC-122-004435</v>
          </cell>
          <cell r="F29310">
            <v>119209664078</v>
          </cell>
        </row>
        <row r="29311">
          <cell r="E29311" t="str">
            <v>HLOB-05-0032-00</v>
          </cell>
          <cell r="F29311">
            <v>5973407226</v>
          </cell>
        </row>
        <row r="29312">
          <cell r="E29312" t="str">
            <v>HLOB-05-0031-00</v>
          </cell>
          <cell r="F29312">
            <v>5973407226</v>
          </cell>
        </row>
        <row r="29313">
          <cell r="E29313" t="str">
            <v>HLOB-05-0031-00</v>
          </cell>
          <cell r="F29313">
            <v>5973407226</v>
          </cell>
        </row>
        <row r="29314">
          <cell r="E29314" t="str">
            <v>LUC-EZZ-470055-00</v>
          </cell>
          <cell r="F29314">
            <v>493206114034</v>
          </cell>
        </row>
        <row r="29315">
          <cell r="E29315" t="str">
            <v>LUC-EZZ-440021-00</v>
          </cell>
          <cell r="F29315">
            <v>493206114034</v>
          </cell>
        </row>
        <row r="29316">
          <cell r="E29316" t="str">
            <v>LUC-E00-450149-01</v>
          </cell>
          <cell r="F29316">
            <v>119209665648</v>
          </cell>
        </row>
        <row r="29317">
          <cell r="E29317" t="str">
            <v>LUC-E00-400010-002</v>
          </cell>
          <cell r="F29317">
            <v>119209665648</v>
          </cell>
        </row>
        <row r="29318">
          <cell r="E29318" t="str">
            <v>PUR-09-0213-00</v>
          </cell>
          <cell r="F29318">
            <v>119209665810</v>
          </cell>
        </row>
        <row r="29319">
          <cell r="E29319" t="str">
            <v>PUR-09-0427-00</v>
          </cell>
          <cell r="F29319">
            <v>119209665810</v>
          </cell>
        </row>
        <row r="29320">
          <cell r="E29320" t="str">
            <v>PUR-09-0213-00</v>
          </cell>
          <cell r="F29320">
            <v>119209665810</v>
          </cell>
        </row>
        <row r="29321">
          <cell r="E29321" t="str">
            <v>PUR-09-0213-00</v>
          </cell>
          <cell r="F29321">
            <v>119209665810</v>
          </cell>
        </row>
        <row r="29322">
          <cell r="E29322" t="str">
            <v>PUR-09-0256-00</v>
          </cell>
          <cell r="F29322">
            <v>119209665810</v>
          </cell>
        </row>
        <row r="29323">
          <cell r="E29323" t="str">
            <v>PUR-09-0427-00</v>
          </cell>
          <cell r="F29323">
            <v>119209665810</v>
          </cell>
        </row>
        <row r="29324">
          <cell r="E29324" t="str">
            <v>LUC-E00-470075-00</v>
          </cell>
          <cell r="F29324" t="str">
            <v>TXGHPHK25D05</v>
          </cell>
        </row>
        <row r="29325">
          <cell r="E29325" t="str">
            <v>LUC-E00-450026-00</v>
          </cell>
          <cell r="F29325" t="str">
            <v>TXGHPHK25D05</v>
          </cell>
        </row>
        <row r="29326">
          <cell r="E29326" t="str">
            <v>LUC-EZZ-450176-00</v>
          </cell>
          <cell r="F29326" t="str">
            <v>TXGHPHK25D05</v>
          </cell>
        </row>
        <row r="29327">
          <cell r="E29327" t="str">
            <v>LUC-P00-F116CF-00</v>
          </cell>
          <cell r="F29327" t="str">
            <v>TXGHPHK25D05</v>
          </cell>
        </row>
        <row r="29328">
          <cell r="E29328" t="str">
            <v>LUC-P11-K82200-01</v>
          </cell>
          <cell r="F29328" t="str">
            <v>TXGHPHK25D05</v>
          </cell>
        </row>
        <row r="29329">
          <cell r="E29329" t="str">
            <v>LUC-P11-K34000-03</v>
          </cell>
          <cell r="F29329" t="str">
            <v>TXGHPHK25D05</v>
          </cell>
        </row>
        <row r="29330">
          <cell r="E29330" t="str">
            <v>LUC-P11-K33800-04</v>
          </cell>
          <cell r="F29330" t="str">
            <v>TXGHPHK25D05</v>
          </cell>
        </row>
        <row r="29331">
          <cell r="E29331" t="str">
            <v>LUC-EZZ-420440-00</v>
          </cell>
          <cell r="F29331" t="str">
            <v>TXGHPHK25D05</v>
          </cell>
        </row>
        <row r="29332">
          <cell r="E29332" t="str">
            <v>LUC-EZZ-400210-00</v>
          </cell>
          <cell r="F29332" t="str">
            <v>TXGHPHK25D05</v>
          </cell>
        </row>
        <row r="29333">
          <cell r="E29333" t="str">
            <v>LUC-EZZ-400204-00</v>
          </cell>
          <cell r="F29333" t="str">
            <v>TXGHPHK25D05</v>
          </cell>
        </row>
        <row r="29334">
          <cell r="E29334" t="str">
            <v>LUC-EZZ-400201-00</v>
          </cell>
          <cell r="F29334" t="str">
            <v>TXGHPHK25D05</v>
          </cell>
        </row>
        <row r="29335">
          <cell r="E29335" t="str">
            <v>LUC-EZZ-400260-00</v>
          </cell>
          <cell r="F29335" t="str">
            <v>TXGHPHK25D05</v>
          </cell>
        </row>
        <row r="29336">
          <cell r="E29336" t="str">
            <v>LUC-EZZ-400242-00</v>
          </cell>
          <cell r="F29336" t="str">
            <v>TXGHPHK25D05</v>
          </cell>
        </row>
        <row r="29337">
          <cell r="E29337" t="str">
            <v>LUC-EZZ-400162-00</v>
          </cell>
          <cell r="F29337" t="str">
            <v>TXGHPHK25D05</v>
          </cell>
        </row>
        <row r="29338">
          <cell r="E29338" t="str">
            <v>LUC-EZZ-400621-00</v>
          </cell>
          <cell r="F29338" t="str">
            <v>TXGHPHK25D05</v>
          </cell>
        </row>
        <row r="29339">
          <cell r="E29339" t="str">
            <v>LUC-EZZ-400454-00</v>
          </cell>
          <cell r="F29339" t="str">
            <v>TXGHPHK25D05</v>
          </cell>
        </row>
        <row r="29340">
          <cell r="E29340" t="str">
            <v>LUC-EZZ-440016-00</v>
          </cell>
          <cell r="F29340" t="str">
            <v>TXGHPHK25D05</v>
          </cell>
        </row>
        <row r="29341">
          <cell r="E29341" t="str">
            <v>LUC-EZZ-470236-00</v>
          </cell>
          <cell r="F29341" t="str">
            <v>TXGHPHK25D05</v>
          </cell>
        </row>
        <row r="29342">
          <cell r="E29342" t="str">
            <v>LUC-E00-470032-00</v>
          </cell>
          <cell r="F29342" t="str">
            <v>TXGHPHK25D05</v>
          </cell>
        </row>
        <row r="29343">
          <cell r="E29343" t="str">
            <v>LUC-EZZ-470844-00</v>
          </cell>
          <cell r="F29343" t="str">
            <v>TXGHPHK25D05</v>
          </cell>
        </row>
        <row r="29344">
          <cell r="E29344" t="str">
            <v>LUC-EZZ-470239-00</v>
          </cell>
          <cell r="F29344" t="str">
            <v>TXGHPHK25D05</v>
          </cell>
        </row>
        <row r="29345">
          <cell r="E29345" t="str">
            <v>LUC-EZZ-510031-00</v>
          </cell>
          <cell r="F29345" t="str">
            <v>TXGHPHK25D05</v>
          </cell>
        </row>
        <row r="29346">
          <cell r="E29346" t="str">
            <v>LUC-EZZ-510007-00</v>
          </cell>
          <cell r="F29346" t="str">
            <v>TXGHPHK25D05</v>
          </cell>
        </row>
        <row r="29347">
          <cell r="E29347" t="str">
            <v>LUC-EZZ-510077-00</v>
          </cell>
          <cell r="F29347" t="str">
            <v>TXGHPHK25D05</v>
          </cell>
        </row>
        <row r="29348">
          <cell r="E29348" t="str">
            <v>LUC-EZZ-450214-00</v>
          </cell>
          <cell r="F29348" t="str">
            <v>TXGHPHK25D05</v>
          </cell>
        </row>
        <row r="29349">
          <cell r="E29349" t="str">
            <v>LUC-EZZ-460737-00</v>
          </cell>
          <cell r="F29349" t="str">
            <v>TXGHPHK25D05</v>
          </cell>
        </row>
        <row r="29350">
          <cell r="E29350" t="str">
            <v>LUC-E00-450068-00</v>
          </cell>
          <cell r="F29350" t="str">
            <v>TXGHPHK25D05</v>
          </cell>
        </row>
        <row r="29351">
          <cell r="E29351" t="str">
            <v>LUC-P11-K82300-00</v>
          </cell>
          <cell r="F29351" t="str">
            <v>TXGHPHK25D05</v>
          </cell>
        </row>
        <row r="29352">
          <cell r="E29352" t="str">
            <v>LUC-P11-JA2100-00</v>
          </cell>
          <cell r="F29352" t="str">
            <v>TXGHPHK25D05</v>
          </cell>
        </row>
        <row r="29353">
          <cell r="E29353" t="str">
            <v>LUC-P00-F187DG-00</v>
          </cell>
          <cell r="F29353" t="str">
            <v>TXGHPHK25D05</v>
          </cell>
        </row>
        <row r="29354">
          <cell r="E29354" t="str">
            <v>LUC-E00-470096-00</v>
          </cell>
          <cell r="F29354">
            <v>679865593022</v>
          </cell>
        </row>
        <row r="29355">
          <cell r="E29355" t="str">
            <v>LUC-E00-470111-00</v>
          </cell>
          <cell r="F29355">
            <v>679865592460</v>
          </cell>
        </row>
        <row r="29356">
          <cell r="E29356" t="str">
            <v>LUC-E00-470111-00</v>
          </cell>
          <cell r="F29356">
            <v>679865592460</v>
          </cell>
        </row>
        <row r="29357">
          <cell r="E29357" t="str">
            <v>LUC-E00-470111-00</v>
          </cell>
          <cell r="F29357">
            <v>679865592460</v>
          </cell>
        </row>
        <row r="29358">
          <cell r="E29358" t="str">
            <v>LUC-E00-470111-00</v>
          </cell>
          <cell r="F29358">
            <v>679865592460</v>
          </cell>
        </row>
        <row r="29359">
          <cell r="E29359" t="str">
            <v>LUC-EZZ-470297-00</v>
          </cell>
          <cell r="F29359">
            <v>396684449782</v>
          </cell>
        </row>
        <row r="29360">
          <cell r="E29360" t="str">
            <v>LUC-EZZ-470248-02</v>
          </cell>
          <cell r="F29360">
            <v>396684449782</v>
          </cell>
        </row>
        <row r="29361">
          <cell r="E29361" t="str">
            <v>LUC-E00-470042-00</v>
          </cell>
          <cell r="F29361">
            <v>396684449782</v>
          </cell>
        </row>
        <row r="29362">
          <cell r="E29362" t="str">
            <v>LUC-EZZ-471621-00</v>
          </cell>
          <cell r="F29362">
            <v>396684449782</v>
          </cell>
        </row>
        <row r="29363">
          <cell r="E29363" t="str">
            <v>LUC-EZZ-470241-00</v>
          </cell>
          <cell r="F29363">
            <v>396964462525</v>
          </cell>
        </row>
        <row r="29364">
          <cell r="E29364" t="str">
            <v>LUC-E00-470038-00</v>
          </cell>
          <cell r="F29364">
            <v>396779042840</v>
          </cell>
        </row>
        <row r="29365">
          <cell r="E29365" t="str">
            <v>LUC-EZZ-471621-00</v>
          </cell>
          <cell r="F29365">
            <v>396843833275</v>
          </cell>
        </row>
        <row r="29366">
          <cell r="E29366" t="str">
            <v>LUC-EZZ-470171-00</v>
          </cell>
          <cell r="F29366">
            <v>396843833275</v>
          </cell>
        </row>
        <row r="29367">
          <cell r="E29367" t="str">
            <v>LUC-E00-470042-00</v>
          </cell>
          <cell r="F29367">
            <v>396845856202</v>
          </cell>
        </row>
        <row r="29368">
          <cell r="E29368" t="str">
            <v>LUC-EZZ-470248-02</v>
          </cell>
          <cell r="F29368">
            <v>396845856202</v>
          </cell>
        </row>
        <row r="29369">
          <cell r="E29369" t="str">
            <v>LUC-E00-470073-00</v>
          </cell>
          <cell r="F29369">
            <v>396710041575</v>
          </cell>
        </row>
        <row r="29370">
          <cell r="E29370" t="str">
            <v>LUC-EZZ-471743-00</v>
          </cell>
          <cell r="F29370">
            <v>396710041575</v>
          </cell>
        </row>
        <row r="29371">
          <cell r="E29371" t="str">
            <v>LUC-E00-470073-00</v>
          </cell>
          <cell r="F29371">
            <v>396710041575</v>
          </cell>
        </row>
        <row r="29372">
          <cell r="E29372" t="str">
            <v>LUC-E00-470036-00</v>
          </cell>
          <cell r="F29372">
            <v>396710041575</v>
          </cell>
        </row>
        <row r="29373">
          <cell r="E29373" t="str">
            <v>LUC-E00-470125-00</v>
          </cell>
          <cell r="F29373">
            <v>396949866267</v>
          </cell>
        </row>
        <row r="29374">
          <cell r="E29374" t="str">
            <v>LUC-EZZ-471571-00</v>
          </cell>
          <cell r="F29374">
            <v>396949866267</v>
          </cell>
        </row>
        <row r="29375">
          <cell r="E29375" t="str">
            <v>LUC-EZZ-470248-02</v>
          </cell>
          <cell r="F29375">
            <v>396949866267</v>
          </cell>
        </row>
        <row r="29376">
          <cell r="E29376" t="str">
            <v>LUC-E00-470124-00</v>
          </cell>
          <cell r="F29376">
            <v>396949866267</v>
          </cell>
        </row>
        <row r="29377">
          <cell r="E29377" t="str">
            <v>LUC-EZZ-470248-02</v>
          </cell>
          <cell r="F29377">
            <v>396949866267</v>
          </cell>
        </row>
        <row r="29378">
          <cell r="E29378" t="str">
            <v>LUC-E00-470043-00</v>
          </cell>
          <cell r="F29378">
            <v>396949866267</v>
          </cell>
        </row>
        <row r="29379">
          <cell r="E29379" t="str">
            <v>HLOB-09-0256-00</v>
          </cell>
          <cell r="F29379">
            <v>396901049680</v>
          </cell>
        </row>
        <row r="29380">
          <cell r="E29380" t="str">
            <v>HLOB-09-0477-00</v>
          </cell>
          <cell r="F29380">
            <v>396782153949</v>
          </cell>
        </row>
        <row r="29381">
          <cell r="E29381" t="str">
            <v>LUC-E00-470272-01</v>
          </cell>
          <cell r="F29381">
            <v>396782153949</v>
          </cell>
        </row>
        <row r="29382">
          <cell r="E29382" t="str">
            <v>LUC-EZZ-471743-00</v>
          </cell>
          <cell r="F29382">
            <v>396782153949</v>
          </cell>
        </row>
        <row r="29383">
          <cell r="E29383" t="str">
            <v>LUC-EZZ-470855-00</v>
          </cell>
          <cell r="F29383">
            <v>396782153949</v>
          </cell>
        </row>
        <row r="29384">
          <cell r="E29384" t="str">
            <v>LUC-EZZ-470181-00</v>
          </cell>
          <cell r="F29384">
            <v>815423200907</v>
          </cell>
        </row>
        <row r="29385">
          <cell r="E29385" t="str">
            <v>LUC-EZZ-470181-00</v>
          </cell>
          <cell r="F29385">
            <v>815423200907</v>
          </cell>
        </row>
        <row r="29386">
          <cell r="E29386" t="str">
            <v>LUC-EZZ-471571-00</v>
          </cell>
          <cell r="F29386">
            <v>815423200907</v>
          </cell>
        </row>
        <row r="29387">
          <cell r="E29387" t="str">
            <v>LUC-EZZ-470191-00</v>
          </cell>
          <cell r="F29387">
            <v>396903540315</v>
          </cell>
        </row>
        <row r="29388">
          <cell r="E29388" t="str">
            <v>LUC-EZZ-510049-00</v>
          </cell>
          <cell r="F29388">
            <v>396950544062</v>
          </cell>
        </row>
        <row r="29389">
          <cell r="E29389" t="str">
            <v>EF-45135145</v>
          </cell>
          <cell r="F29389">
            <v>397031114499</v>
          </cell>
        </row>
        <row r="29390">
          <cell r="E29390" t="str">
            <v>LUC-E00-470274-00</v>
          </cell>
          <cell r="F29390">
            <v>397084408040</v>
          </cell>
        </row>
        <row r="29391">
          <cell r="E29391" t="str">
            <v>HLOB-09-0434-00</v>
          </cell>
          <cell r="F29391">
            <v>397091846683</v>
          </cell>
        </row>
        <row r="29392">
          <cell r="E29392" t="str">
            <v>LUC-E00-470079-00</v>
          </cell>
          <cell r="F29392">
            <v>397091846683</v>
          </cell>
        </row>
        <row r="29393">
          <cell r="E29393" t="str">
            <v>LUC-E00-470259-00</v>
          </cell>
          <cell r="F29393">
            <v>494953068010</v>
          </cell>
        </row>
        <row r="29394">
          <cell r="E29394" t="str">
            <v>LUC-E00-470259-00</v>
          </cell>
          <cell r="F29394">
            <v>494953068010</v>
          </cell>
        </row>
        <row r="29395">
          <cell r="E29395" t="str">
            <v>LUC-E00-470259-00</v>
          </cell>
          <cell r="F29395">
            <v>494953068010</v>
          </cell>
        </row>
        <row r="29396">
          <cell r="E29396" t="str">
            <v>LUC-E00-470259-00</v>
          </cell>
          <cell r="F29396">
            <v>494953068010</v>
          </cell>
        </row>
        <row r="29397">
          <cell r="E29397" t="str">
            <v>LUC-EZZ-450246-00</v>
          </cell>
          <cell r="F29397">
            <v>887391241252</v>
          </cell>
        </row>
        <row r="29398">
          <cell r="E29398" t="str">
            <v>AIC-120-012793</v>
          </cell>
          <cell r="F29398">
            <v>887249766117</v>
          </cell>
        </row>
        <row r="29399">
          <cell r="E29399" t="str">
            <v>AIC-120-012791</v>
          </cell>
          <cell r="F29399">
            <v>887249766117</v>
          </cell>
        </row>
        <row r="29400">
          <cell r="E29400" t="str">
            <v>AIC-120-012788</v>
          </cell>
          <cell r="F29400">
            <v>887249766117</v>
          </cell>
        </row>
        <row r="29401">
          <cell r="E29401" t="str">
            <v>AIC-120-012792</v>
          </cell>
          <cell r="F29401">
            <v>887249766117</v>
          </cell>
        </row>
        <row r="29402">
          <cell r="E29402" t="str">
            <v>LUC-EZZ-440129-00</v>
          </cell>
          <cell r="F29402">
            <v>396801807124</v>
          </cell>
        </row>
        <row r="29403">
          <cell r="E29403" t="str">
            <v>EF-45103487</v>
          </cell>
          <cell r="F29403">
            <v>396801807124</v>
          </cell>
        </row>
        <row r="29404">
          <cell r="E29404" t="str">
            <v>LUC-E00-440140-01</v>
          </cell>
          <cell r="F29404">
            <v>396918510212</v>
          </cell>
        </row>
        <row r="29405">
          <cell r="E29405" t="str">
            <v>LUC-P11-K33N00-00</v>
          </cell>
          <cell r="F29405">
            <v>887320406253</v>
          </cell>
        </row>
        <row r="29406">
          <cell r="E29406" t="str">
            <v>LUC-P11-JA2100-00</v>
          </cell>
          <cell r="F29406" t="str">
            <v>HWHPH2504068</v>
          </cell>
        </row>
        <row r="29407">
          <cell r="E29407" t="str">
            <v>EF-45171838</v>
          </cell>
          <cell r="F29407">
            <v>494686536870</v>
          </cell>
        </row>
        <row r="29408">
          <cell r="E29408" t="str">
            <v>PUR-03-0038-00</v>
          </cell>
          <cell r="F29408">
            <v>495590213270</v>
          </cell>
        </row>
        <row r="29409">
          <cell r="E29409" t="str">
            <v>PUR-03-0038-00</v>
          </cell>
          <cell r="F29409">
            <v>495590213270</v>
          </cell>
        </row>
        <row r="29410">
          <cell r="E29410" t="str">
            <v>LUC-P21-K3AB00-00</v>
          </cell>
          <cell r="F29410" t="str">
            <v>LSHHPH25029281</v>
          </cell>
        </row>
        <row r="29411">
          <cell r="E29411" t="str">
            <v>LUC-P21-K3AT00-00</v>
          </cell>
          <cell r="F29411" t="str">
            <v>LSHHPH25029281</v>
          </cell>
        </row>
        <row r="29412">
          <cell r="E29412" t="str">
            <v>PUR-12-0343-00</v>
          </cell>
          <cell r="F29412">
            <v>887319306452</v>
          </cell>
        </row>
        <row r="29413">
          <cell r="E29413" t="str">
            <v>PUR-13-0159-00</v>
          </cell>
          <cell r="F29413">
            <v>887319306452</v>
          </cell>
        </row>
        <row r="29414">
          <cell r="E29414" t="str">
            <v>PUR-12-0337-00</v>
          </cell>
          <cell r="F29414">
            <v>887319306452</v>
          </cell>
        </row>
        <row r="29415">
          <cell r="E29415" t="str">
            <v>PUR-12-0343-00</v>
          </cell>
          <cell r="F29415">
            <v>887319306452</v>
          </cell>
        </row>
        <row r="29416">
          <cell r="E29416" t="str">
            <v>PUR-13-0159-00</v>
          </cell>
          <cell r="F29416">
            <v>887319306452</v>
          </cell>
        </row>
        <row r="29417">
          <cell r="E29417" t="str">
            <v>HLOB-13-0159-00</v>
          </cell>
          <cell r="F29417">
            <v>887319306452</v>
          </cell>
        </row>
        <row r="29418">
          <cell r="E29418" t="str">
            <v>HLOB-12-0337-00</v>
          </cell>
          <cell r="F29418">
            <v>887319306452</v>
          </cell>
        </row>
        <row r="29419">
          <cell r="E29419" t="str">
            <v>HLOB-12-0337-00</v>
          </cell>
          <cell r="F29419">
            <v>887319306452</v>
          </cell>
        </row>
        <row r="29420">
          <cell r="E29420" t="str">
            <v>LUC-E00-440013-01</v>
          </cell>
          <cell r="F29420">
            <v>451257555143</v>
          </cell>
        </row>
        <row r="29421">
          <cell r="E29421" t="str">
            <v>LUC-E00-440023-02</v>
          </cell>
          <cell r="F29421">
            <v>451257555143</v>
          </cell>
        </row>
        <row r="29422">
          <cell r="E29422" t="str">
            <v>LUC-EZZ-440032-00</v>
          </cell>
          <cell r="F29422">
            <v>451257555143</v>
          </cell>
        </row>
        <row r="29423">
          <cell r="E29423" t="str">
            <v>EF-45236387</v>
          </cell>
          <cell r="F29423">
            <v>887169663478</v>
          </cell>
        </row>
        <row r="29424">
          <cell r="E29424" t="str">
            <v>120-000257.X.X</v>
          </cell>
          <cell r="F29424">
            <v>719546664158</v>
          </cell>
        </row>
        <row r="29425">
          <cell r="E29425" t="str">
            <v>LUC-124-002921-R</v>
          </cell>
          <cell r="F29425">
            <v>495217978964</v>
          </cell>
        </row>
        <row r="29426">
          <cell r="E29426" t="str">
            <v>LUC-124-002912-R</v>
          </cell>
          <cell r="F29426">
            <v>495217978964</v>
          </cell>
        </row>
        <row r="29427">
          <cell r="E29427" t="str">
            <v>LUC-P11-K41700-00</v>
          </cell>
          <cell r="F29427">
            <v>495217978964</v>
          </cell>
        </row>
        <row r="29428">
          <cell r="E29428" t="str">
            <v>LUC-109-001638-R</v>
          </cell>
          <cell r="F29428">
            <v>495217978964</v>
          </cell>
        </row>
        <row r="29429">
          <cell r="E29429" t="str">
            <v>LUC-109-001640-R</v>
          </cell>
          <cell r="F29429">
            <v>495217978964</v>
          </cell>
        </row>
        <row r="29430">
          <cell r="E29430" t="str">
            <v>LUC-109-001643-R</v>
          </cell>
          <cell r="F29430">
            <v>495217978964</v>
          </cell>
        </row>
        <row r="29431">
          <cell r="E29431" t="str">
            <v>LUC-EZZ-470336-00</v>
          </cell>
          <cell r="F29431">
            <v>493782649391</v>
          </cell>
        </row>
        <row r="29432">
          <cell r="E29432" t="str">
            <v>LUC-EZZ-470336-00</v>
          </cell>
          <cell r="F29432">
            <v>493782649391</v>
          </cell>
        </row>
        <row r="29433">
          <cell r="E29433" t="str">
            <v>LUC-EZZ-470336-00</v>
          </cell>
          <cell r="F29433">
            <v>493782649391</v>
          </cell>
        </row>
        <row r="29434">
          <cell r="E29434" t="str">
            <v>LUC-E00-470087-00-R</v>
          </cell>
          <cell r="F29434">
            <v>643036787516</v>
          </cell>
        </row>
        <row r="29435">
          <cell r="E29435" t="str">
            <v>LUC-124-002910-R</v>
          </cell>
          <cell r="F29435">
            <v>643036788100</v>
          </cell>
        </row>
        <row r="29436">
          <cell r="E29436" t="str">
            <v>LUC-109-001635-R</v>
          </cell>
          <cell r="F29436">
            <v>643036788100</v>
          </cell>
        </row>
        <row r="29437">
          <cell r="E29437" t="str">
            <v>LUC-111-001561-R</v>
          </cell>
          <cell r="F29437">
            <v>643036788100</v>
          </cell>
        </row>
        <row r="29438">
          <cell r="E29438" t="str">
            <v>PUR-15-0220-00</v>
          </cell>
          <cell r="F29438">
            <v>481663281244</v>
          </cell>
        </row>
        <row r="29439">
          <cell r="E29439" t="str">
            <v>PUR-15-0220-00</v>
          </cell>
          <cell r="F29439">
            <v>481663281244</v>
          </cell>
        </row>
        <row r="29440">
          <cell r="E29440" t="str">
            <v>HLOB-09-0343-00</v>
          </cell>
          <cell r="F29440">
            <v>489800974427</v>
          </cell>
        </row>
        <row r="29441">
          <cell r="E29441" t="str">
            <v>HLOB-09-0343-00</v>
          </cell>
          <cell r="F29441">
            <v>489800974427</v>
          </cell>
        </row>
        <row r="29442">
          <cell r="E29442" t="str">
            <v>HLOB-09-0343-00</v>
          </cell>
          <cell r="F29442">
            <v>489800974427</v>
          </cell>
        </row>
        <row r="29443">
          <cell r="E29443" t="str">
            <v>HLOB-09-0343-00</v>
          </cell>
          <cell r="F29443">
            <v>489800974427</v>
          </cell>
        </row>
        <row r="29444">
          <cell r="E29444" t="str">
            <v>HLOB-09-0343-00</v>
          </cell>
          <cell r="F29444">
            <v>489800974427</v>
          </cell>
        </row>
        <row r="29445">
          <cell r="E29445" t="str">
            <v>HLOB-09-0343-00</v>
          </cell>
          <cell r="F29445">
            <v>489800974427</v>
          </cell>
        </row>
        <row r="29446">
          <cell r="E29446" t="str">
            <v>HLOB-09-0343-00</v>
          </cell>
          <cell r="F29446">
            <v>489800974427</v>
          </cell>
        </row>
        <row r="29447">
          <cell r="E29447" t="str">
            <v>HLOB-09-0343-00</v>
          </cell>
          <cell r="F29447">
            <v>489800974427</v>
          </cell>
        </row>
        <row r="29448">
          <cell r="E29448" t="str">
            <v>HLOB-09-0343-00</v>
          </cell>
          <cell r="F29448">
            <v>489800982712</v>
          </cell>
        </row>
        <row r="29449">
          <cell r="E29449" t="str">
            <v>HLOB-09-0343-00</v>
          </cell>
          <cell r="F29449">
            <v>489800982712</v>
          </cell>
        </row>
        <row r="29450">
          <cell r="E29450" t="str">
            <v>HLOB-09-0343-00</v>
          </cell>
          <cell r="F29450">
            <v>489800982712</v>
          </cell>
        </row>
        <row r="29451">
          <cell r="E29451" t="str">
            <v>PUR-09-0344-00</v>
          </cell>
          <cell r="F29451">
            <v>492501354776</v>
          </cell>
        </row>
        <row r="29452">
          <cell r="E29452" t="str">
            <v>PUR-09-0344-00</v>
          </cell>
          <cell r="F29452">
            <v>492501354776</v>
          </cell>
        </row>
        <row r="29453">
          <cell r="E29453" t="str">
            <v>PUR-09-0344-00</v>
          </cell>
          <cell r="F29453">
            <v>492501354776</v>
          </cell>
        </row>
        <row r="29454">
          <cell r="E29454" t="str">
            <v>PUR-09-0344-00</v>
          </cell>
          <cell r="F29454">
            <v>492501354776</v>
          </cell>
        </row>
        <row r="29455">
          <cell r="E29455" t="str">
            <v>PUR-09-0343-00</v>
          </cell>
          <cell r="F29455">
            <v>489800974482</v>
          </cell>
        </row>
        <row r="29456">
          <cell r="E29456" t="str">
            <v>PUR-09-0343-00</v>
          </cell>
          <cell r="F29456">
            <v>489800974482</v>
          </cell>
        </row>
        <row r="29457">
          <cell r="E29457" t="str">
            <v>PUR-09-0343-00</v>
          </cell>
          <cell r="F29457">
            <v>489800974482</v>
          </cell>
        </row>
        <row r="29458">
          <cell r="E29458" t="str">
            <v>PUR-09-0343-00</v>
          </cell>
          <cell r="F29458">
            <v>489800974482</v>
          </cell>
        </row>
        <row r="29459">
          <cell r="E29459" t="str">
            <v>PUR-09-0343-00</v>
          </cell>
          <cell r="F29459">
            <v>489800974482</v>
          </cell>
        </row>
        <row r="29460">
          <cell r="E29460" t="str">
            <v>PUR-09-0343-00</v>
          </cell>
          <cell r="F29460">
            <v>489800974482</v>
          </cell>
        </row>
        <row r="29461">
          <cell r="E29461" t="str">
            <v>EF-45058084</v>
          </cell>
          <cell r="F29461">
            <v>489800985230</v>
          </cell>
        </row>
        <row r="29462">
          <cell r="E29462" t="str">
            <v>AIC-120-012907</v>
          </cell>
          <cell r="F29462" t="str">
            <v>PSHPH25C0024</v>
          </cell>
        </row>
        <row r="29463">
          <cell r="E29463" t="str">
            <v>AIC-MP-00006991-000</v>
          </cell>
          <cell r="F29463" t="str">
            <v>PSHPH25C0024</v>
          </cell>
        </row>
        <row r="29464">
          <cell r="E29464" t="str">
            <v>AIC-MP-00006992-000</v>
          </cell>
          <cell r="F29464" t="str">
            <v>PSHPH25C0024</v>
          </cell>
        </row>
        <row r="29465">
          <cell r="E29465" t="str">
            <v>AIC-MP-00006993-000</v>
          </cell>
          <cell r="F29465" t="str">
            <v>PSHPH25C0024</v>
          </cell>
        </row>
        <row r="29466">
          <cell r="E29466" t="str">
            <v>AIC-MP-00006993-000</v>
          </cell>
          <cell r="F29466" t="str">
            <v>PSHPH25C0024</v>
          </cell>
        </row>
        <row r="29467">
          <cell r="E29467" t="str">
            <v>AIC-MP-00006995-000</v>
          </cell>
          <cell r="F29467" t="str">
            <v>PSHPH25C0024</v>
          </cell>
        </row>
        <row r="29468">
          <cell r="E29468" t="str">
            <v>AIC-120-012782</v>
          </cell>
          <cell r="F29468" t="str">
            <v>PSHPH25C0024</v>
          </cell>
        </row>
        <row r="29469">
          <cell r="E29469" t="str">
            <v>AIC-120-012782</v>
          </cell>
          <cell r="F29469" t="str">
            <v>PSHPH25C0024</v>
          </cell>
        </row>
        <row r="29470">
          <cell r="E29470" t="str">
            <v>AIC-MP-00006801-000</v>
          </cell>
          <cell r="F29470" t="str">
            <v>PSHPH25C0024</v>
          </cell>
        </row>
        <row r="29471">
          <cell r="E29471" t="str">
            <v>AIC-MP-00007172-000</v>
          </cell>
          <cell r="F29471" t="str">
            <v>PSHPH25C0024</v>
          </cell>
        </row>
        <row r="29472">
          <cell r="E29472" t="str">
            <v>AIC-120-012789</v>
          </cell>
          <cell r="F29472" t="str">
            <v>PSHPH25C0024</v>
          </cell>
        </row>
        <row r="29473">
          <cell r="E29473" t="str">
            <v>LUC-E00-470062-00</v>
          </cell>
          <cell r="F29473">
            <v>397124886454</v>
          </cell>
        </row>
        <row r="29474">
          <cell r="E29474" t="str">
            <v>HLOB-12-0475-00</v>
          </cell>
          <cell r="F29474">
            <v>887356721631</v>
          </cell>
        </row>
        <row r="29475">
          <cell r="E29475" t="str">
            <v>HLOB-12-0474-00</v>
          </cell>
          <cell r="F29475">
            <v>887356721631</v>
          </cell>
        </row>
        <row r="29476">
          <cell r="E29476" t="str">
            <v>PUR-12-0065-00</v>
          </cell>
          <cell r="F29476">
            <v>887356721631</v>
          </cell>
        </row>
        <row r="29477">
          <cell r="E29477" t="str">
            <v>PUR-12-0284-00</v>
          </cell>
          <cell r="F29477">
            <v>887356721631</v>
          </cell>
        </row>
        <row r="29478">
          <cell r="E29478" t="str">
            <v>PUR-12-0284-00</v>
          </cell>
          <cell r="F29478">
            <v>887356721631</v>
          </cell>
        </row>
        <row r="29479">
          <cell r="E29479" t="str">
            <v>PUR-12-0483-00</v>
          </cell>
          <cell r="F29479">
            <v>887356721631</v>
          </cell>
        </row>
        <row r="29480">
          <cell r="E29480" t="str">
            <v>PUR-12-0483-00</v>
          </cell>
          <cell r="F29480">
            <v>887356721631</v>
          </cell>
        </row>
        <row r="29481">
          <cell r="E29481" t="str">
            <v>PUR-12-0475-00</v>
          </cell>
          <cell r="F29481">
            <v>887356721631</v>
          </cell>
        </row>
        <row r="29482">
          <cell r="E29482" t="str">
            <v>PUR-12-0475-00</v>
          </cell>
          <cell r="F29482">
            <v>887356721631</v>
          </cell>
        </row>
        <row r="29483">
          <cell r="E29483" t="str">
            <v>PUR-12-0420-00</v>
          </cell>
          <cell r="F29483">
            <v>887356721631</v>
          </cell>
        </row>
        <row r="29484">
          <cell r="E29484" t="str">
            <v>PUR-12-0475-00</v>
          </cell>
          <cell r="F29484">
            <v>887356721631</v>
          </cell>
        </row>
        <row r="29485">
          <cell r="E29485" t="str">
            <v>PUR-12-0483-00</v>
          </cell>
          <cell r="F29485">
            <v>887356721631</v>
          </cell>
        </row>
        <row r="29486">
          <cell r="E29486" t="str">
            <v>PUR-12-0065-00</v>
          </cell>
          <cell r="F29486">
            <v>887356721631</v>
          </cell>
        </row>
        <row r="29487">
          <cell r="E29487" t="str">
            <v>PURET-12-0056-00</v>
          </cell>
          <cell r="F29487">
            <v>887356721631</v>
          </cell>
        </row>
        <row r="29488">
          <cell r="E29488" t="str">
            <v>PURET-12-0257-00</v>
          </cell>
          <cell r="F29488">
            <v>887356721631</v>
          </cell>
        </row>
        <row r="29489">
          <cell r="E29489" t="str">
            <v>PUR-12-0294-00</v>
          </cell>
          <cell r="F29489">
            <v>887356721631</v>
          </cell>
        </row>
        <row r="29490">
          <cell r="E29490" t="str">
            <v>PUR-12-0294-00</v>
          </cell>
          <cell r="F29490">
            <v>887356721631</v>
          </cell>
        </row>
        <row r="29491">
          <cell r="E29491" t="str">
            <v>PURET-12-0056-00</v>
          </cell>
          <cell r="F29491">
            <v>887356721631</v>
          </cell>
        </row>
        <row r="29492">
          <cell r="E29492" t="str">
            <v>PURET-12-0056-00</v>
          </cell>
          <cell r="F29492">
            <v>887356721631</v>
          </cell>
        </row>
        <row r="29493">
          <cell r="E29493" t="str">
            <v>PURET-12-0170-00</v>
          </cell>
          <cell r="F29493">
            <v>887356721631</v>
          </cell>
        </row>
        <row r="29494">
          <cell r="E29494" t="str">
            <v>LUC-EZZ-450249-00</v>
          </cell>
          <cell r="F29494">
            <v>887356721631</v>
          </cell>
        </row>
        <row r="29495">
          <cell r="E29495" t="str">
            <v>HLOB-12-0284-00</v>
          </cell>
          <cell r="F29495">
            <v>887356721631</v>
          </cell>
        </row>
        <row r="29496">
          <cell r="E29496" t="str">
            <v>HLOB-12-0257-00</v>
          </cell>
          <cell r="F29496">
            <v>887356721631</v>
          </cell>
        </row>
        <row r="29497">
          <cell r="E29497" t="str">
            <v>HLOB-12-0257-00</v>
          </cell>
          <cell r="F29497">
            <v>887356721631</v>
          </cell>
        </row>
        <row r="29498">
          <cell r="E29498" t="str">
            <v>HLOB-12-0257-00</v>
          </cell>
          <cell r="F29498">
            <v>887356721631</v>
          </cell>
        </row>
        <row r="29499">
          <cell r="E29499" t="str">
            <v>HLOB-12-0317-00</v>
          </cell>
          <cell r="F29499">
            <v>887356721631</v>
          </cell>
        </row>
        <row r="29500">
          <cell r="E29500" t="str">
            <v>HLOB-12-0284-00</v>
          </cell>
          <cell r="F29500">
            <v>887356721631</v>
          </cell>
        </row>
        <row r="29501">
          <cell r="E29501" t="str">
            <v>HLOB-12-0284-00</v>
          </cell>
          <cell r="F29501">
            <v>887356721631</v>
          </cell>
        </row>
        <row r="29502">
          <cell r="E29502" t="str">
            <v>HLOB-12-0170-00</v>
          </cell>
          <cell r="F29502">
            <v>887356721631</v>
          </cell>
        </row>
        <row r="29503">
          <cell r="E29503" t="str">
            <v>HLOB-12-0056-00</v>
          </cell>
          <cell r="F29503">
            <v>887356721631</v>
          </cell>
        </row>
        <row r="29504">
          <cell r="E29504" t="str">
            <v>HLOB-12-0512-00</v>
          </cell>
          <cell r="F29504">
            <v>887356721631</v>
          </cell>
        </row>
        <row r="29505">
          <cell r="E29505" t="str">
            <v>HLOB-12-0483-00</v>
          </cell>
          <cell r="F29505">
            <v>887356721631</v>
          </cell>
        </row>
        <row r="29506">
          <cell r="E29506" t="str">
            <v>HLOB-12-0483-00</v>
          </cell>
          <cell r="F29506">
            <v>887356721631</v>
          </cell>
        </row>
        <row r="29507">
          <cell r="E29507" t="str">
            <v>PUR-24-0031-00</v>
          </cell>
          <cell r="F29507">
            <v>887357504445</v>
          </cell>
        </row>
        <row r="29508">
          <cell r="E29508" t="str">
            <v>PUR-24-0031-00</v>
          </cell>
          <cell r="F29508">
            <v>887357504445</v>
          </cell>
        </row>
        <row r="29509">
          <cell r="E29509" t="str">
            <v>PUR-13-0235-00</v>
          </cell>
          <cell r="F29509">
            <v>887357504445</v>
          </cell>
        </row>
        <row r="29510">
          <cell r="E29510" t="str">
            <v>PUR-24-0031-00</v>
          </cell>
          <cell r="F29510">
            <v>887357504445</v>
          </cell>
        </row>
        <row r="29511">
          <cell r="E29511" t="str">
            <v>HLOB-24-0031-00</v>
          </cell>
          <cell r="F29511">
            <v>887357504445</v>
          </cell>
        </row>
        <row r="29512">
          <cell r="E29512" t="str">
            <v>HLOB-24-0031-00</v>
          </cell>
          <cell r="F29512">
            <v>887357504445</v>
          </cell>
        </row>
        <row r="29513">
          <cell r="E29513" t="str">
            <v>HLOB-24-0031-00</v>
          </cell>
          <cell r="F29513">
            <v>887357504445</v>
          </cell>
        </row>
        <row r="29514">
          <cell r="E29514" t="str">
            <v>HLOB-13-0235-00</v>
          </cell>
          <cell r="F29514">
            <v>887357504445</v>
          </cell>
        </row>
        <row r="29515">
          <cell r="E29515" t="str">
            <v>HLOB-13-0235-00</v>
          </cell>
          <cell r="F29515">
            <v>887357504445</v>
          </cell>
        </row>
        <row r="29516">
          <cell r="E29516" t="str">
            <v>HLOB-13-0235-00</v>
          </cell>
          <cell r="F29516">
            <v>887357504445</v>
          </cell>
        </row>
        <row r="29517">
          <cell r="E29517" t="str">
            <v>HLOB-13-0235-00</v>
          </cell>
          <cell r="F29517">
            <v>887357504445</v>
          </cell>
        </row>
        <row r="29518">
          <cell r="E29518" t="str">
            <v>LUC-E00-420235-00</v>
          </cell>
          <cell r="F29518">
            <v>4711902319</v>
          </cell>
        </row>
        <row r="29519">
          <cell r="E29519" t="str">
            <v>LUC-E00-420047-00</v>
          </cell>
          <cell r="F29519">
            <v>4711902319</v>
          </cell>
        </row>
        <row r="29520">
          <cell r="E29520" t="str">
            <v>LUC-EZZ-420099-00</v>
          </cell>
          <cell r="F29520">
            <v>4711902319</v>
          </cell>
        </row>
        <row r="29521">
          <cell r="E29521" t="str">
            <v>LUC-EZZ-690175-00</v>
          </cell>
          <cell r="F29521">
            <v>4711902319</v>
          </cell>
        </row>
        <row r="29522">
          <cell r="E29522" t="str">
            <v>LUC-E00-440024-00</v>
          </cell>
          <cell r="F29522">
            <v>4711902319</v>
          </cell>
        </row>
        <row r="29523">
          <cell r="E29523" t="str">
            <v>LUC-EZZ-450236-00</v>
          </cell>
          <cell r="F29523">
            <v>4711902319</v>
          </cell>
        </row>
        <row r="29524">
          <cell r="E29524" t="str">
            <v>LUC-EZZ-420173-00</v>
          </cell>
          <cell r="F29524">
            <v>4711902319</v>
          </cell>
        </row>
        <row r="29525">
          <cell r="E29525" t="str">
            <v>LUC-E00-400010-004</v>
          </cell>
          <cell r="F29525">
            <v>4711902319</v>
          </cell>
        </row>
        <row r="29526">
          <cell r="E29526" t="str">
            <v>LUC-E00-420002-03</v>
          </cell>
          <cell r="F29526">
            <v>4711902319</v>
          </cell>
        </row>
        <row r="29527">
          <cell r="E29527" t="str">
            <v>LUC-E00-420003-00</v>
          </cell>
          <cell r="F29527">
            <v>4711902319</v>
          </cell>
        </row>
        <row r="29528">
          <cell r="E29528" t="str">
            <v>LUC-E00-420047-00</v>
          </cell>
          <cell r="F29528">
            <v>4711902319</v>
          </cell>
        </row>
        <row r="29529">
          <cell r="E29529" t="str">
            <v>LUC-E00-420055-00</v>
          </cell>
          <cell r="F29529">
            <v>4711902319</v>
          </cell>
        </row>
        <row r="29530">
          <cell r="E29530" t="str">
            <v>LUC-E00-420033-00</v>
          </cell>
          <cell r="F29530">
            <v>4711902319</v>
          </cell>
        </row>
        <row r="29531">
          <cell r="E29531" t="str">
            <v>LUC-E00-420033-00</v>
          </cell>
          <cell r="F29531">
            <v>4711902319</v>
          </cell>
        </row>
        <row r="29532">
          <cell r="E29532" t="str">
            <v>LUC-E00-420055-05</v>
          </cell>
          <cell r="F29532">
            <v>4711902319</v>
          </cell>
        </row>
        <row r="29533">
          <cell r="E29533" t="str">
            <v>LUC-E00-420060-03</v>
          </cell>
          <cell r="F29533">
            <v>4711902319</v>
          </cell>
        </row>
        <row r="29534">
          <cell r="E29534" t="str">
            <v>LUC-E00-400010-004</v>
          </cell>
          <cell r="F29534">
            <v>4711902319</v>
          </cell>
        </row>
        <row r="29535">
          <cell r="E29535" t="str">
            <v>LUC-EZZ-420098-00</v>
          </cell>
          <cell r="F29535">
            <v>4711902319</v>
          </cell>
        </row>
        <row r="29536">
          <cell r="E29536" t="str">
            <v>LUC-E00-420014-03</v>
          </cell>
          <cell r="F29536">
            <v>4711902319</v>
          </cell>
        </row>
        <row r="29537">
          <cell r="E29537" t="str">
            <v>LUC-E00-400267-00</v>
          </cell>
          <cell r="F29537">
            <v>4711902319</v>
          </cell>
        </row>
        <row r="29538">
          <cell r="E29538" t="str">
            <v>LUC-EZZ-420101-00</v>
          </cell>
          <cell r="F29538">
            <v>4711902319</v>
          </cell>
        </row>
        <row r="29539">
          <cell r="E29539" t="str">
            <v>LUC-E00-420049-01</v>
          </cell>
          <cell r="F29539">
            <v>4711902319</v>
          </cell>
        </row>
        <row r="29540">
          <cell r="E29540" t="str">
            <v>LUC-EZZ-420143-00</v>
          </cell>
          <cell r="F29540">
            <v>4711902319</v>
          </cell>
        </row>
        <row r="29541">
          <cell r="E29541" t="str">
            <v>LUC-EZZ-441177-00</v>
          </cell>
          <cell r="F29541">
            <v>4711902319</v>
          </cell>
        </row>
        <row r="29542">
          <cell r="E29542" t="str">
            <v>LUC-EZZ-420085-00</v>
          </cell>
          <cell r="F29542">
            <v>4711902319</v>
          </cell>
        </row>
        <row r="29543">
          <cell r="E29543" t="str">
            <v>LUC-EZZ-420192-00</v>
          </cell>
          <cell r="F29543">
            <v>4711902319</v>
          </cell>
        </row>
        <row r="29544">
          <cell r="E29544" t="str">
            <v>LUC-EZZ-420194-00</v>
          </cell>
          <cell r="F29544">
            <v>4711902319</v>
          </cell>
        </row>
        <row r="29545">
          <cell r="E29545" t="str">
            <v>LUC-EZZ-420357-00</v>
          </cell>
          <cell r="F29545">
            <v>4711902319</v>
          </cell>
        </row>
        <row r="29546">
          <cell r="E29546" t="str">
            <v>LUC-EZZ-420217-00</v>
          </cell>
          <cell r="F29546">
            <v>4711902319</v>
          </cell>
        </row>
        <row r="29547">
          <cell r="E29547" t="str">
            <v>LUC-EZZ-420210-00</v>
          </cell>
          <cell r="F29547">
            <v>4711902319</v>
          </cell>
        </row>
        <row r="29548">
          <cell r="E29548" t="str">
            <v>LUC-EZZ-441256-00</v>
          </cell>
          <cell r="F29548">
            <v>4711902319</v>
          </cell>
        </row>
        <row r="29549">
          <cell r="E29549" t="str">
            <v>LUC-E00-440011-00</v>
          </cell>
          <cell r="F29549">
            <v>4711902319</v>
          </cell>
        </row>
        <row r="29550">
          <cell r="E29550" t="str">
            <v>LUC-E00-440032-01</v>
          </cell>
          <cell r="F29550">
            <v>4711902319</v>
          </cell>
        </row>
        <row r="29551">
          <cell r="E29551" t="str">
            <v>LUC-E00-420011-00</v>
          </cell>
          <cell r="F29551">
            <v>4711902319</v>
          </cell>
        </row>
        <row r="29552">
          <cell r="E29552" t="str">
            <v>LUC-E00-420059-00</v>
          </cell>
          <cell r="F29552">
            <v>4711902319</v>
          </cell>
        </row>
        <row r="29553">
          <cell r="E29553" t="str">
            <v>121-000585.X.X</v>
          </cell>
          <cell r="F29553">
            <v>471783797023</v>
          </cell>
        </row>
        <row r="29554">
          <cell r="E29554" t="str">
            <v>121-000585.X.X</v>
          </cell>
          <cell r="F29554">
            <v>471783797023</v>
          </cell>
        </row>
        <row r="29555">
          <cell r="E29555" t="str">
            <v>HLOB-12-0035-00</v>
          </cell>
          <cell r="F29555">
            <v>471783797023</v>
          </cell>
        </row>
        <row r="29556">
          <cell r="E29556" t="str">
            <v>EF-45043496.X.X</v>
          </cell>
          <cell r="F29556">
            <v>471783797023</v>
          </cell>
        </row>
        <row r="29557">
          <cell r="E29557" t="str">
            <v>EF-45043491.X.X</v>
          </cell>
          <cell r="F29557">
            <v>471783797023</v>
          </cell>
        </row>
        <row r="29558">
          <cell r="E29558" t="str">
            <v>121-000113.X.X</v>
          </cell>
          <cell r="F29558">
            <v>471783797023</v>
          </cell>
        </row>
        <row r="29559">
          <cell r="E29559" t="str">
            <v>121-000113.X.X</v>
          </cell>
          <cell r="F29559">
            <v>471783797023</v>
          </cell>
        </row>
        <row r="29560">
          <cell r="E29560" t="str">
            <v>HLOB-12-0035-00</v>
          </cell>
          <cell r="F29560">
            <v>471783797023</v>
          </cell>
        </row>
        <row r="29561">
          <cell r="E29561" t="str">
            <v>HLOB-12-0035-00</v>
          </cell>
          <cell r="F29561">
            <v>471783797023</v>
          </cell>
        </row>
        <row r="29562">
          <cell r="E29562" t="str">
            <v>HLOB-12-0035-00</v>
          </cell>
          <cell r="F29562">
            <v>471783797023</v>
          </cell>
        </row>
        <row r="29563">
          <cell r="E29563" t="str">
            <v>122-001732</v>
          </cell>
          <cell r="F29563">
            <v>471783797023</v>
          </cell>
        </row>
        <row r="29564">
          <cell r="E29564" t="str">
            <v>LUC-E00-420037-01</v>
          </cell>
          <cell r="F29564">
            <v>471783797023</v>
          </cell>
        </row>
        <row r="29565">
          <cell r="E29565" t="str">
            <v>LUC-E00-420037-01</v>
          </cell>
          <cell r="F29565">
            <v>471783797023</v>
          </cell>
        </row>
        <row r="29566">
          <cell r="E29566" t="str">
            <v>LUC-E00-420025-04</v>
          </cell>
          <cell r="F29566">
            <v>471783797023</v>
          </cell>
        </row>
        <row r="29567">
          <cell r="E29567" t="str">
            <v>LUC-E00-420025-04</v>
          </cell>
          <cell r="F29567">
            <v>471783797023</v>
          </cell>
        </row>
        <row r="29568">
          <cell r="E29568" t="str">
            <v>HLOB-13-0213-00</v>
          </cell>
          <cell r="F29568">
            <v>471783797023</v>
          </cell>
        </row>
        <row r="29569">
          <cell r="E29569" t="str">
            <v>122-001061</v>
          </cell>
          <cell r="F29569">
            <v>471783797023</v>
          </cell>
        </row>
        <row r="29570">
          <cell r="E29570" t="str">
            <v>122-000259.X.X</v>
          </cell>
          <cell r="F29570">
            <v>471783797023</v>
          </cell>
        </row>
        <row r="29571">
          <cell r="E29571" t="str">
            <v>122-000009.X.X</v>
          </cell>
          <cell r="F29571">
            <v>471783797023</v>
          </cell>
        </row>
        <row r="29572">
          <cell r="E29572" t="str">
            <v>122-000369.X.X</v>
          </cell>
          <cell r="F29572">
            <v>471783797023</v>
          </cell>
        </row>
        <row r="29573">
          <cell r="E29573" t="str">
            <v>122-000369.X.X</v>
          </cell>
          <cell r="F29573">
            <v>471783797023</v>
          </cell>
        </row>
        <row r="29574">
          <cell r="E29574" t="str">
            <v>HLOB-13-0249-00</v>
          </cell>
          <cell r="F29574">
            <v>471783797023</v>
          </cell>
        </row>
        <row r="29575">
          <cell r="E29575" t="str">
            <v>HLOB-13-0249-00</v>
          </cell>
          <cell r="F29575">
            <v>471783797023</v>
          </cell>
        </row>
        <row r="29576">
          <cell r="E29576" t="str">
            <v>HLOB-13-0249-00</v>
          </cell>
          <cell r="F29576">
            <v>471783797023</v>
          </cell>
        </row>
        <row r="29577">
          <cell r="E29577" t="str">
            <v>HLOB-13-0249-00</v>
          </cell>
          <cell r="F29577">
            <v>471783797023</v>
          </cell>
        </row>
        <row r="29578">
          <cell r="E29578" t="str">
            <v>LUC-E00-420037-02</v>
          </cell>
          <cell r="F29578">
            <v>471783797023</v>
          </cell>
        </row>
        <row r="29579">
          <cell r="E29579" t="str">
            <v>PUR-14-0086-00</v>
          </cell>
          <cell r="F29579">
            <v>471783797023</v>
          </cell>
        </row>
        <row r="29580">
          <cell r="E29580" t="str">
            <v>PUR-14-0086-00</v>
          </cell>
          <cell r="F29580">
            <v>471783797023</v>
          </cell>
        </row>
        <row r="29581">
          <cell r="E29581" t="str">
            <v>LUC-EZZ-420029-00</v>
          </cell>
          <cell r="F29581">
            <v>471783802655</v>
          </cell>
        </row>
        <row r="29582">
          <cell r="E29582" t="str">
            <v>HLOB-12-0035-00</v>
          </cell>
          <cell r="F29582">
            <v>471783802655</v>
          </cell>
        </row>
        <row r="29583">
          <cell r="E29583" t="str">
            <v>HLOB-12-0414-00</v>
          </cell>
          <cell r="F29583">
            <v>471783802655</v>
          </cell>
        </row>
        <row r="29584">
          <cell r="E29584" t="str">
            <v>HLOB-12-0293-00</v>
          </cell>
          <cell r="F29584">
            <v>471783802655</v>
          </cell>
        </row>
        <row r="29585">
          <cell r="E29585" t="str">
            <v>HLOB-12-0293-00</v>
          </cell>
          <cell r="F29585">
            <v>471783802655</v>
          </cell>
        </row>
        <row r="29586">
          <cell r="E29586" t="str">
            <v>HLOB-12-0460-00</v>
          </cell>
          <cell r="F29586">
            <v>471783802655</v>
          </cell>
        </row>
        <row r="29587">
          <cell r="E29587" t="str">
            <v>EF-45041208.X.X</v>
          </cell>
          <cell r="F29587">
            <v>471783802655</v>
          </cell>
        </row>
        <row r="29588">
          <cell r="E29588" t="str">
            <v>HLOB-12-0487-00</v>
          </cell>
          <cell r="F29588">
            <v>471783802655</v>
          </cell>
        </row>
        <row r="29589">
          <cell r="E29589" t="str">
            <v>EF-45105218.X.X</v>
          </cell>
          <cell r="F29589">
            <v>471783802655</v>
          </cell>
        </row>
        <row r="29590">
          <cell r="E29590" t="str">
            <v>EF-45043446.X.X</v>
          </cell>
          <cell r="F29590">
            <v>471783802655</v>
          </cell>
        </row>
        <row r="29591">
          <cell r="E29591" t="str">
            <v>PUR-12-0495-00</v>
          </cell>
          <cell r="F29591">
            <v>471783802655</v>
          </cell>
        </row>
        <row r="29592">
          <cell r="E29592" t="str">
            <v>HLOB-12-0293-00</v>
          </cell>
          <cell r="F29592">
            <v>471783802655</v>
          </cell>
        </row>
        <row r="29593">
          <cell r="E29593" t="str">
            <v>HLOB-12-0293-00</v>
          </cell>
          <cell r="F29593">
            <v>471783802655</v>
          </cell>
        </row>
        <row r="29594">
          <cell r="E29594" t="str">
            <v>HLOB-13-0042-00</v>
          </cell>
          <cell r="F29594">
            <v>471783802655</v>
          </cell>
        </row>
        <row r="29595">
          <cell r="E29595" t="str">
            <v>PUR-12-0533-00</v>
          </cell>
          <cell r="F29595">
            <v>471783802655</v>
          </cell>
        </row>
        <row r="29596">
          <cell r="E29596" t="str">
            <v>EF-45016922</v>
          </cell>
          <cell r="F29596">
            <v>419341604720</v>
          </cell>
        </row>
        <row r="29597">
          <cell r="E29597" t="str">
            <v>EF-45055154.X.X</v>
          </cell>
          <cell r="F29597">
            <v>419341604720</v>
          </cell>
        </row>
        <row r="29598">
          <cell r="E29598" t="str">
            <v>HLOB-03-0111-00</v>
          </cell>
          <cell r="F29598">
            <v>495590215192</v>
          </cell>
        </row>
        <row r="29599">
          <cell r="E29599" t="str">
            <v>HLOB-33-0027-00</v>
          </cell>
          <cell r="F29599">
            <v>887210849654</v>
          </cell>
        </row>
        <row r="29600">
          <cell r="E29600" t="str">
            <v>PUR-18-0518-00</v>
          </cell>
          <cell r="F29600">
            <v>887210849654</v>
          </cell>
        </row>
        <row r="29601">
          <cell r="E29601" t="str">
            <v>HLOB-18-0640-00</v>
          </cell>
          <cell r="F29601">
            <v>887210849654</v>
          </cell>
        </row>
        <row r="29602">
          <cell r="E29602" t="str">
            <v>PUR-03-0082-02</v>
          </cell>
          <cell r="F29602">
            <v>495828595948</v>
          </cell>
        </row>
        <row r="29603">
          <cell r="E29603" t="str">
            <v>PUR-03-0091-02</v>
          </cell>
          <cell r="F29603">
            <v>495828595948</v>
          </cell>
        </row>
        <row r="29604">
          <cell r="E29604" t="str">
            <v>PUR-03-0091-02</v>
          </cell>
          <cell r="F29604">
            <v>495828633828</v>
          </cell>
        </row>
        <row r="29605">
          <cell r="E29605" t="str">
            <v>PUR-03-0091-02</v>
          </cell>
          <cell r="F29605">
            <v>495828633828</v>
          </cell>
        </row>
        <row r="29606">
          <cell r="E29606" t="str">
            <v>HLOB-03-0111-00</v>
          </cell>
          <cell r="F29606">
            <v>495828592890</v>
          </cell>
        </row>
        <row r="29607">
          <cell r="E29607" t="str">
            <v>LUC-EZZ-470211-00</v>
          </cell>
          <cell r="F29607">
            <v>397210989235</v>
          </cell>
        </row>
        <row r="29608">
          <cell r="E29608" t="str">
            <v>LUC-EZZ-690020-00</v>
          </cell>
          <cell r="F29608">
            <v>4110332468</v>
          </cell>
        </row>
        <row r="29609">
          <cell r="E29609" t="str">
            <v>LUC-EZZ-690131-00</v>
          </cell>
          <cell r="F29609">
            <v>4110332467</v>
          </cell>
        </row>
        <row r="29610">
          <cell r="E29610" t="str">
            <v>LUC-EZZ-690942-00</v>
          </cell>
          <cell r="F29610">
            <v>4110332485</v>
          </cell>
        </row>
        <row r="29611">
          <cell r="E29611" t="str">
            <v>LUC-EZZ-690942-00</v>
          </cell>
          <cell r="F29611">
            <v>4110332484</v>
          </cell>
        </row>
        <row r="29612">
          <cell r="E29612" t="str">
            <v>LUC-EZZ-690241-00</v>
          </cell>
          <cell r="F29612">
            <v>4110332506</v>
          </cell>
        </row>
        <row r="29613">
          <cell r="E29613" t="str">
            <v>LUC-EZZ-690942-00</v>
          </cell>
          <cell r="F29613">
            <v>4110332483</v>
          </cell>
        </row>
        <row r="29614">
          <cell r="E29614" t="str">
            <v>LUC-EZZ-470423-00</v>
          </cell>
          <cell r="F29614">
            <v>477592547579</v>
          </cell>
        </row>
        <row r="29615">
          <cell r="E29615" t="str">
            <v>LUC-EZZ-470423-00</v>
          </cell>
          <cell r="F29615">
            <v>477592547579</v>
          </cell>
        </row>
        <row r="29616">
          <cell r="E29616" t="str">
            <v>LUC-EZZ-490231-05</v>
          </cell>
          <cell r="F29616">
            <v>1517292</v>
          </cell>
        </row>
        <row r="29617">
          <cell r="E29617" t="str">
            <v>LUC-EZZ-490304-04</v>
          </cell>
          <cell r="F29617">
            <v>1517292</v>
          </cell>
        </row>
        <row r="29618">
          <cell r="E29618" t="str">
            <v>LUC-EZZ-490305-05</v>
          </cell>
          <cell r="F29618">
            <v>1517292</v>
          </cell>
        </row>
        <row r="29619">
          <cell r="E29619" t="str">
            <v>LUC-EZZ-490230-05</v>
          </cell>
          <cell r="F29619">
            <v>1517292</v>
          </cell>
        </row>
        <row r="29620">
          <cell r="E29620" t="str">
            <v>PUR-09-0433-00</v>
          </cell>
          <cell r="F29620">
            <v>887437472583</v>
          </cell>
        </row>
        <row r="29621">
          <cell r="E29621" t="str">
            <v>LUC-E00-420028-00</v>
          </cell>
          <cell r="F29621">
            <v>887437472583</v>
          </cell>
        </row>
        <row r="29622">
          <cell r="E29622" t="str">
            <v>LUC-E00-420028-00</v>
          </cell>
          <cell r="F29622">
            <v>887437472583</v>
          </cell>
        </row>
        <row r="29623">
          <cell r="E29623" t="str">
            <v>EF-45114351</v>
          </cell>
          <cell r="F29623">
            <v>887437472583</v>
          </cell>
        </row>
        <row r="29624">
          <cell r="E29624" t="str">
            <v>LUC-EZZ-420211-00</v>
          </cell>
          <cell r="F29624">
            <v>887437472583</v>
          </cell>
        </row>
        <row r="29625">
          <cell r="E29625" t="str">
            <v>LUC-EZZ-420211-00</v>
          </cell>
          <cell r="F29625">
            <v>887437472583</v>
          </cell>
        </row>
        <row r="29626">
          <cell r="E29626" t="str">
            <v>AIC-MP-00005664-000</v>
          </cell>
          <cell r="F29626">
            <v>887437472583</v>
          </cell>
        </row>
        <row r="29627">
          <cell r="E29627" t="str">
            <v>PUR-09-0417-00</v>
          </cell>
          <cell r="F29627">
            <v>479730251687</v>
          </cell>
        </row>
        <row r="29628">
          <cell r="E29628" t="str">
            <v>PUR-09-0417-00</v>
          </cell>
          <cell r="F29628">
            <v>479730251687</v>
          </cell>
        </row>
        <row r="29629">
          <cell r="E29629" t="str">
            <v>LUC-EZZ-400917-00</v>
          </cell>
          <cell r="F29629">
            <v>479730254300</v>
          </cell>
        </row>
        <row r="29630">
          <cell r="E29630" t="str">
            <v>LUC-EZZ-400917-00</v>
          </cell>
          <cell r="F29630">
            <v>479730254300</v>
          </cell>
        </row>
        <row r="29631">
          <cell r="E29631" t="str">
            <v>LUC-EZZ-400917-00</v>
          </cell>
          <cell r="F29631">
            <v>479730250121</v>
          </cell>
        </row>
        <row r="29632">
          <cell r="E29632" t="str">
            <v>PUR-09-0422-00</v>
          </cell>
          <cell r="F29632">
            <v>479730249996</v>
          </cell>
        </row>
        <row r="29633">
          <cell r="E29633" t="str">
            <v>LUC-EZZ-470433-00</v>
          </cell>
          <cell r="F29633">
            <v>479730256667</v>
          </cell>
        </row>
        <row r="29634">
          <cell r="E29634" t="str">
            <v>LUC-E00-400010-014</v>
          </cell>
          <cell r="F29634">
            <v>479730254296</v>
          </cell>
        </row>
        <row r="29635">
          <cell r="E29635" t="str">
            <v>LUC-E00-400026-00</v>
          </cell>
          <cell r="F29635">
            <v>496268230681</v>
          </cell>
        </row>
        <row r="29636">
          <cell r="E29636" t="str">
            <v>LUC-EZZ-400409-00</v>
          </cell>
          <cell r="F29636">
            <v>496268230681</v>
          </cell>
        </row>
        <row r="29637">
          <cell r="E29637" t="str">
            <v>LUC-EZZ-400409-00</v>
          </cell>
          <cell r="F29637">
            <v>496268230681</v>
          </cell>
        </row>
        <row r="29638">
          <cell r="E29638" t="str">
            <v>HLOB-13-0258-00</v>
          </cell>
          <cell r="F29638">
            <v>496268230681</v>
          </cell>
        </row>
        <row r="29639">
          <cell r="E29639" t="str">
            <v>HLOB-13-0258-00</v>
          </cell>
          <cell r="F29639">
            <v>496268230681</v>
          </cell>
        </row>
        <row r="29640">
          <cell r="E29640" t="str">
            <v>122-000646.X.X</v>
          </cell>
          <cell r="F29640">
            <v>495829008518</v>
          </cell>
        </row>
        <row r="29641">
          <cell r="E29641" t="str">
            <v>LUC-E00-400012-18</v>
          </cell>
          <cell r="F29641">
            <v>4711902751</v>
          </cell>
        </row>
        <row r="29642">
          <cell r="E29642" t="str">
            <v>HLOB-13-0009-00</v>
          </cell>
          <cell r="F29642">
            <v>4711902751</v>
          </cell>
        </row>
        <row r="29643">
          <cell r="E29643" t="str">
            <v>LUC-E00-400075-00</v>
          </cell>
          <cell r="F29643">
            <v>4711902751</v>
          </cell>
        </row>
        <row r="29644">
          <cell r="E29644" t="str">
            <v>LUC-EZZ-450050-00</v>
          </cell>
          <cell r="F29644">
            <v>4711902751</v>
          </cell>
        </row>
        <row r="29645">
          <cell r="E29645" t="str">
            <v>PUR-13-0238-00</v>
          </cell>
          <cell r="F29645">
            <v>4711902751</v>
          </cell>
        </row>
        <row r="29646">
          <cell r="E29646" t="str">
            <v>LUC-EZZ-400297-00</v>
          </cell>
          <cell r="F29646">
            <v>4711902751</v>
          </cell>
        </row>
        <row r="29647">
          <cell r="E29647" t="str">
            <v>LUC-EZZ-420049-00</v>
          </cell>
          <cell r="F29647">
            <v>4711902751</v>
          </cell>
        </row>
        <row r="29648">
          <cell r="E29648" t="str">
            <v>LUC-EZZ-401043-00</v>
          </cell>
          <cell r="F29648">
            <v>4711902751</v>
          </cell>
        </row>
        <row r="29649">
          <cell r="E29649" t="str">
            <v>LUC-EZZ-401043-00</v>
          </cell>
          <cell r="F29649">
            <v>4711902751</v>
          </cell>
        </row>
        <row r="29650">
          <cell r="E29650" t="str">
            <v>LUC-EZZ-400071-00</v>
          </cell>
          <cell r="F29650">
            <v>4711902751</v>
          </cell>
        </row>
        <row r="29651">
          <cell r="E29651" t="str">
            <v>LUC-EZZ-400043-00</v>
          </cell>
          <cell r="F29651">
            <v>4711902751</v>
          </cell>
        </row>
        <row r="29652">
          <cell r="E29652" t="str">
            <v>LUC-EZZ-440037-00</v>
          </cell>
          <cell r="F29652">
            <v>4711902751</v>
          </cell>
        </row>
        <row r="29653">
          <cell r="E29653" t="str">
            <v>LUC-EZZ-420488-00</v>
          </cell>
          <cell r="F29653">
            <v>4711902751</v>
          </cell>
        </row>
        <row r="29654">
          <cell r="E29654" t="str">
            <v>122-000846.X.X</v>
          </cell>
          <cell r="F29654">
            <v>4711902751</v>
          </cell>
        </row>
        <row r="29655">
          <cell r="E29655" t="str">
            <v>EF-45057846.X.X</v>
          </cell>
          <cell r="F29655">
            <v>4711902751</v>
          </cell>
        </row>
        <row r="29656">
          <cell r="E29656" t="str">
            <v>LUC-EZZ-400297-00</v>
          </cell>
          <cell r="F29656">
            <v>4711902751</v>
          </cell>
        </row>
        <row r="29657">
          <cell r="E29657" t="str">
            <v>LUC-EZZ-420391-00</v>
          </cell>
          <cell r="F29657">
            <v>4711902751</v>
          </cell>
        </row>
        <row r="29658">
          <cell r="E29658" t="str">
            <v>LUC-E00-400012-001</v>
          </cell>
          <cell r="F29658">
            <v>4711902751</v>
          </cell>
        </row>
        <row r="29659">
          <cell r="E29659" t="str">
            <v>LUC-E00-400012-10</v>
          </cell>
          <cell r="F29659">
            <v>4711902751</v>
          </cell>
        </row>
        <row r="29660">
          <cell r="E29660" t="str">
            <v>LUC-E00-400012-02</v>
          </cell>
          <cell r="F29660">
            <v>4711902751</v>
          </cell>
        </row>
        <row r="29661">
          <cell r="E29661" t="str">
            <v>LUC-EZZ-400071-00</v>
          </cell>
          <cell r="F29661">
            <v>4711902751</v>
          </cell>
        </row>
        <row r="29662">
          <cell r="E29662" t="str">
            <v>LUC-EZZ-401662-00</v>
          </cell>
          <cell r="F29662">
            <v>4711902751</v>
          </cell>
        </row>
        <row r="29663">
          <cell r="E29663" t="str">
            <v>LUC-E00-400012-17</v>
          </cell>
          <cell r="F29663">
            <v>4711902751</v>
          </cell>
        </row>
        <row r="29664">
          <cell r="E29664" t="str">
            <v>LUC-E00-400012-15</v>
          </cell>
          <cell r="F29664">
            <v>4711902751</v>
          </cell>
        </row>
        <row r="29665">
          <cell r="E29665" t="str">
            <v>LUC-EZZ-420021-00</v>
          </cell>
          <cell r="F29665">
            <v>4711902751</v>
          </cell>
        </row>
        <row r="29666">
          <cell r="E29666" t="str">
            <v>LUC-EZZ-470358-00</v>
          </cell>
          <cell r="F29666">
            <v>4711902751</v>
          </cell>
        </row>
        <row r="29667">
          <cell r="E29667" t="str">
            <v>LUC-EZZ-470091-00</v>
          </cell>
          <cell r="F29667">
            <v>4711902751</v>
          </cell>
        </row>
        <row r="29668">
          <cell r="E29668" t="str">
            <v>LUC-EZZ-470091-00</v>
          </cell>
          <cell r="F29668">
            <v>4711902751</v>
          </cell>
        </row>
        <row r="29669">
          <cell r="E29669" t="str">
            <v>LUC-EZZ-420140-00</v>
          </cell>
          <cell r="F29669">
            <v>887466602475</v>
          </cell>
        </row>
        <row r="29670">
          <cell r="E29670" t="str">
            <v>LUC-EZZ-401043-00</v>
          </cell>
          <cell r="F29670">
            <v>887466602475</v>
          </cell>
        </row>
        <row r="29671">
          <cell r="E29671" t="str">
            <v>HLOB-13-0009-00</v>
          </cell>
          <cell r="F29671">
            <v>887466602475</v>
          </cell>
        </row>
        <row r="29672">
          <cell r="E29672" t="str">
            <v>LUC-EZZ-401043-00</v>
          </cell>
          <cell r="F29672">
            <v>887466602475</v>
          </cell>
        </row>
        <row r="29673">
          <cell r="E29673" t="str">
            <v>LUC-E00-420037-02</v>
          </cell>
          <cell r="F29673">
            <v>887466602475</v>
          </cell>
        </row>
        <row r="29674">
          <cell r="E29674" t="str">
            <v>HLOB-12-0029-00</v>
          </cell>
          <cell r="F29674">
            <v>887466602475</v>
          </cell>
        </row>
        <row r="29675">
          <cell r="E29675" t="str">
            <v>PURET-12-0004-00</v>
          </cell>
          <cell r="F29675">
            <v>887466602475</v>
          </cell>
        </row>
        <row r="29676">
          <cell r="E29676" t="str">
            <v>PURET-12-0029-00</v>
          </cell>
          <cell r="F29676">
            <v>887466602475</v>
          </cell>
        </row>
        <row r="29677">
          <cell r="E29677" t="str">
            <v>PUR-13-0153-00</v>
          </cell>
          <cell r="F29677">
            <v>887466602475</v>
          </cell>
        </row>
        <row r="29678">
          <cell r="E29678" t="str">
            <v>PUR-13-0153-00</v>
          </cell>
          <cell r="F29678">
            <v>887466602475</v>
          </cell>
        </row>
        <row r="29679">
          <cell r="E29679" t="str">
            <v>102-001520</v>
          </cell>
          <cell r="F29679">
            <v>887461109121</v>
          </cell>
        </row>
        <row r="29680">
          <cell r="E29680" t="str">
            <v>LUC-E00-690215-00</v>
          </cell>
          <cell r="F29680">
            <v>494500254861</v>
          </cell>
        </row>
        <row r="29681">
          <cell r="E29681" t="str">
            <v>LUC-EZZ-470297-00</v>
          </cell>
          <cell r="F29681">
            <v>397127644782</v>
          </cell>
        </row>
        <row r="29682">
          <cell r="E29682" t="str">
            <v>AIC-MP-00006791-000</v>
          </cell>
          <cell r="F29682">
            <v>397128062932</v>
          </cell>
        </row>
        <row r="29683">
          <cell r="E29683" t="str">
            <v>LUC-E00-470036-00</v>
          </cell>
          <cell r="F29683">
            <v>397089244743</v>
          </cell>
        </row>
        <row r="29684">
          <cell r="E29684" t="str">
            <v>LUC-E00-470472-00</v>
          </cell>
          <cell r="F29684">
            <v>397089244743</v>
          </cell>
        </row>
        <row r="29685">
          <cell r="E29685" t="str">
            <v>LUC-E00-470473-00</v>
          </cell>
          <cell r="F29685">
            <v>397089244743</v>
          </cell>
        </row>
        <row r="29686">
          <cell r="E29686" t="str">
            <v>LUC-E00-690215-00</v>
          </cell>
          <cell r="F29686">
            <v>494500255239</v>
          </cell>
        </row>
        <row r="29687">
          <cell r="E29687" t="str">
            <v>LUC-P11-J36100-03</v>
          </cell>
          <cell r="F29687" t="str">
            <v>HKHPG2512186</v>
          </cell>
        </row>
        <row r="29688">
          <cell r="E29688" t="str">
            <v>LUC-P11-J5R000-05</v>
          </cell>
          <cell r="F29688" t="str">
            <v>HKHPG2512186</v>
          </cell>
        </row>
        <row r="29689">
          <cell r="E29689" t="str">
            <v>LUC-P11-J5R000-05</v>
          </cell>
          <cell r="F29689" t="str">
            <v>HKHPG2512186</v>
          </cell>
        </row>
        <row r="29690">
          <cell r="E29690" t="str">
            <v>LUC-P11-J36100-03</v>
          </cell>
          <cell r="F29690" t="str">
            <v>HKHPG2512186</v>
          </cell>
        </row>
        <row r="29691">
          <cell r="E29691" t="str">
            <v>LUC-P11-K33800-04</v>
          </cell>
          <cell r="F29691" t="str">
            <v>HKHPG2512186</v>
          </cell>
        </row>
        <row r="29692">
          <cell r="E29692" t="str">
            <v>LUC-P11-J5R000-05</v>
          </cell>
          <cell r="F29692" t="str">
            <v>HKHPG2512186</v>
          </cell>
        </row>
        <row r="29693">
          <cell r="E29693" t="str">
            <v>LUC-P11-K35000-02</v>
          </cell>
          <cell r="F29693">
            <v>887415973214</v>
          </cell>
        </row>
        <row r="29694">
          <cell r="E29694" t="str">
            <v>HLOB-33-0027-00</v>
          </cell>
          <cell r="F29694">
            <v>887407327909</v>
          </cell>
        </row>
        <row r="29695">
          <cell r="E29695" t="str">
            <v>HLOB-33-0027-00</v>
          </cell>
          <cell r="F29695">
            <v>887407327909</v>
          </cell>
        </row>
        <row r="29696">
          <cell r="E29696" t="str">
            <v>HLOB-33-0027-00</v>
          </cell>
          <cell r="F29696">
            <v>887407327909</v>
          </cell>
        </row>
        <row r="29697">
          <cell r="E29697" t="str">
            <v>PUR-18-0612-00</v>
          </cell>
          <cell r="F29697">
            <v>887407327909</v>
          </cell>
        </row>
        <row r="29698">
          <cell r="E29698" t="str">
            <v>PUR-18-0548-00</v>
          </cell>
          <cell r="F29698">
            <v>887407327909</v>
          </cell>
        </row>
        <row r="29699">
          <cell r="E29699" t="str">
            <v>HLOB-18-0640-00</v>
          </cell>
          <cell r="F29699">
            <v>887407327909</v>
          </cell>
        </row>
        <row r="29700">
          <cell r="E29700" t="str">
            <v>PUR-18-0483-00</v>
          </cell>
          <cell r="F29700">
            <v>887407327909</v>
          </cell>
        </row>
        <row r="29701">
          <cell r="E29701" t="str">
            <v>HLOB-03-0111-00</v>
          </cell>
          <cell r="F29701">
            <v>495828704353</v>
          </cell>
        </row>
        <row r="29702">
          <cell r="E29702" t="str">
            <v>LUC-P21-K3AB00-00</v>
          </cell>
          <cell r="F29702" t="str">
            <v>LSHHPH2503223</v>
          </cell>
        </row>
        <row r="29703">
          <cell r="E29703" t="str">
            <v>LUC-P21-K3AT00-00</v>
          </cell>
          <cell r="F29703" t="str">
            <v>LSHHPH2503223</v>
          </cell>
        </row>
        <row r="29704">
          <cell r="E29704" t="str">
            <v>141-002805</v>
          </cell>
          <cell r="F29704">
            <v>887412775234</v>
          </cell>
        </row>
        <row r="29705">
          <cell r="E29705" t="str">
            <v>LUC-E00-690214-00</v>
          </cell>
          <cell r="F29705">
            <v>472174965691</v>
          </cell>
        </row>
        <row r="29706">
          <cell r="E29706" t="str">
            <v>LUC-E00-690214-00</v>
          </cell>
          <cell r="F29706">
            <v>472174965691</v>
          </cell>
        </row>
        <row r="29707">
          <cell r="E29707" t="str">
            <v>LUC-E00-690214-00</v>
          </cell>
          <cell r="F29707">
            <v>472174965691</v>
          </cell>
        </row>
        <row r="29708">
          <cell r="E29708" t="str">
            <v>LUC-E00-690214-00</v>
          </cell>
          <cell r="F29708">
            <v>472174965691</v>
          </cell>
        </row>
        <row r="29709">
          <cell r="E29709" t="str">
            <v>LUC-E00-690214-00</v>
          </cell>
          <cell r="F29709">
            <v>472174965691</v>
          </cell>
        </row>
        <row r="29710">
          <cell r="E29710" t="str">
            <v>EF-45127245.X.X</v>
          </cell>
          <cell r="F29710">
            <v>887406729788</v>
          </cell>
        </row>
        <row r="29711">
          <cell r="E29711" t="str">
            <v>LUC-124-002915-R</v>
          </cell>
          <cell r="F29711">
            <v>495218506412</v>
          </cell>
        </row>
        <row r="29712">
          <cell r="E29712" t="str">
            <v>LUC-124-002919-R</v>
          </cell>
          <cell r="F29712">
            <v>495218506412</v>
          </cell>
        </row>
        <row r="29713">
          <cell r="E29713" t="str">
            <v>LUC-124-002923-R</v>
          </cell>
          <cell r="F29713">
            <v>495218506412</v>
          </cell>
        </row>
        <row r="29714">
          <cell r="E29714" t="str">
            <v>LUC-124-002925-R</v>
          </cell>
          <cell r="F29714">
            <v>495218506412</v>
          </cell>
        </row>
        <row r="29715">
          <cell r="E29715" t="str">
            <v>LUC-E00-420071-00</v>
          </cell>
          <cell r="F29715">
            <v>495218506412</v>
          </cell>
        </row>
        <row r="29716">
          <cell r="E29716" t="str">
            <v>LUC-E00-4700104-00</v>
          </cell>
          <cell r="F29716">
            <v>678845973950</v>
          </cell>
        </row>
        <row r="29717">
          <cell r="E29717" t="str">
            <v>HLOB-15-0220-00</v>
          </cell>
          <cell r="F29717">
            <v>481663281370</v>
          </cell>
        </row>
        <row r="29718">
          <cell r="E29718" t="str">
            <v>LUC-EZZ-420099-00</v>
          </cell>
          <cell r="F29718">
            <v>409298902880</v>
          </cell>
        </row>
        <row r="29719">
          <cell r="E29719" t="str">
            <v>LUC-EZZ-690175-00</v>
          </cell>
          <cell r="F29719">
            <v>409298902880</v>
          </cell>
        </row>
        <row r="29720">
          <cell r="E29720" t="str">
            <v>LUC-EZZ-420330-00</v>
          </cell>
          <cell r="F29720">
            <v>409298902880</v>
          </cell>
        </row>
        <row r="29721">
          <cell r="E29721" t="str">
            <v>LUC-E00-400022-000</v>
          </cell>
          <cell r="F29721">
            <v>409298902880</v>
          </cell>
        </row>
        <row r="29722">
          <cell r="E29722" t="str">
            <v>LUC-EZZ-400609-00</v>
          </cell>
          <cell r="F29722">
            <v>409298902880</v>
          </cell>
        </row>
        <row r="29723">
          <cell r="E29723" t="str">
            <v>LUC-EZZ-400454-01</v>
          </cell>
          <cell r="F29723">
            <v>409298902880</v>
          </cell>
        </row>
        <row r="29724">
          <cell r="E29724" t="str">
            <v>LUC-E00-420059-00</v>
          </cell>
          <cell r="F29724">
            <v>409298902880</v>
          </cell>
        </row>
        <row r="29725">
          <cell r="E29725" t="str">
            <v>LUC-EZZ-400246-00</v>
          </cell>
          <cell r="F29725">
            <v>409298902880</v>
          </cell>
        </row>
        <row r="29726">
          <cell r="E29726" t="str">
            <v>LUC-EZZ-420403-00</v>
          </cell>
          <cell r="F29726">
            <v>409298902880</v>
          </cell>
        </row>
        <row r="29727">
          <cell r="E29727" t="str">
            <v>LUC-EZZ-420101-00</v>
          </cell>
          <cell r="F29727">
            <v>409298902880</v>
          </cell>
        </row>
        <row r="29728">
          <cell r="E29728" t="str">
            <v>LUC-E00-400026-00</v>
          </cell>
          <cell r="F29728">
            <v>707296257044</v>
          </cell>
        </row>
        <row r="29729">
          <cell r="E29729" t="str">
            <v>PUR-09-0346-00</v>
          </cell>
          <cell r="F29729">
            <v>479730216940</v>
          </cell>
        </row>
        <row r="29730">
          <cell r="E29730" t="str">
            <v>LUC-EZZ-400248-00</v>
          </cell>
          <cell r="F29730">
            <v>479730218450</v>
          </cell>
        </row>
        <row r="29731">
          <cell r="E29731" t="str">
            <v>PUR-09-0417-00</v>
          </cell>
          <cell r="F29731">
            <v>479730218015</v>
          </cell>
        </row>
        <row r="29732">
          <cell r="E29732" t="str">
            <v>PUR-09-0417-00</v>
          </cell>
          <cell r="F29732">
            <v>479730218276</v>
          </cell>
        </row>
        <row r="29733">
          <cell r="E29733" t="str">
            <v>LUC-E00-400012-001</v>
          </cell>
          <cell r="F29733">
            <v>4711899736</v>
          </cell>
        </row>
        <row r="29734">
          <cell r="E29734" t="str">
            <v>LUC-E00-400012-02</v>
          </cell>
          <cell r="F29734">
            <v>4711899736</v>
          </cell>
        </row>
        <row r="29735">
          <cell r="E29735" t="str">
            <v>LUC-E00-400012-17</v>
          </cell>
          <cell r="F29735">
            <v>4711899736</v>
          </cell>
        </row>
        <row r="29736">
          <cell r="E29736" t="str">
            <v>LUC-E00-420045-00</v>
          </cell>
          <cell r="F29736">
            <v>4711899736</v>
          </cell>
        </row>
        <row r="29737">
          <cell r="E29737" t="str">
            <v>LUC-E00-420045-00</v>
          </cell>
          <cell r="F29737">
            <v>4711899736</v>
          </cell>
        </row>
        <row r="29738">
          <cell r="E29738" t="str">
            <v>LUC-EZZ-400071-00</v>
          </cell>
          <cell r="F29738">
            <v>4711899736</v>
          </cell>
        </row>
        <row r="29739">
          <cell r="E29739" t="str">
            <v>LUC-EZZ-400078-00</v>
          </cell>
          <cell r="F29739">
            <v>4711899736</v>
          </cell>
        </row>
        <row r="29740">
          <cell r="E29740" t="str">
            <v>122-000113.X.X</v>
          </cell>
          <cell r="F29740">
            <v>4711899736</v>
          </cell>
        </row>
        <row r="29741">
          <cell r="E29741" t="str">
            <v>HLOB-13-0244-00</v>
          </cell>
          <cell r="F29741">
            <v>4711899736</v>
          </cell>
        </row>
        <row r="29742">
          <cell r="E29742" t="str">
            <v>122-000113.X.X</v>
          </cell>
          <cell r="F29742">
            <v>4711899736</v>
          </cell>
        </row>
        <row r="29743">
          <cell r="E29743" t="str">
            <v>AGI-510-40087-01</v>
          </cell>
          <cell r="F29743">
            <v>4711899736</v>
          </cell>
        </row>
        <row r="29744">
          <cell r="E29744" t="str">
            <v>LUC-E00-420025-06</v>
          </cell>
          <cell r="F29744">
            <v>495265170301</v>
          </cell>
        </row>
        <row r="29745">
          <cell r="E29745" t="str">
            <v>LUC-E00-420019-04</v>
          </cell>
          <cell r="F29745">
            <v>495265170301</v>
          </cell>
        </row>
        <row r="29746">
          <cell r="E29746" t="str">
            <v>LUC-E00-420016-03</v>
          </cell>
          <cell r="F29746">
            <v>495265170301</v>
          </cell>
        </row>
        <row r="29747">
          <cell r="E29747" t="str">
            <v>LUC-E00-420055-16</v>
          </cell>
          <cell r="F29747">
            <v>495265170301</v>
          </cell>
        </row>
        <row r="29748">
          <cell r="E29748" t="str">
            <v>LUC-E00-450132-01-R</v>
          </cell>
          <cell r="F29748">
            <v>495265170301</v>
          </cell>
        </row>
        <row r="29749">
          <cell r="E29749" t="str">
            <v>AIC-MP-IC004565-S01</v>
          </cell>
          <cell r="F29749">
            <v>886911698255</v>
          </cell>
        </row>
        <row r="29750">
          <cell r="E29750" t="str">
            <v>AIC-MP-00006101-000</v>
          </cell>
          <cell r="F29750">
            <v>886911698255</v>
          </cell>
        </row>
        <row r="29751">
          <cell r="E29751" t="str">
            <v>AIC-MP-00006101-000</v>
          </cell>
          <cell r="F29751">
            <v>886911698255</v>
          </cell>
        </row>
        <row r="29752">
          <cell r="E29752" t="str">
            <v>LUC-E00-470383-00</v>
          </cell>
          <cell r="F29752">
            <v>886955598571</v>
          </cell>
        </row>
        <row r="29753">
          <cell r="E29753" t="str">
            <v>LUC-EZZ-690708-00</v>
          </cell>
          <cell r="F29753">
            <v>4110332428</v>
          </cell>
        </row>
        <row r="29754">
          <cell r="E29754" t="str">
            <v>LUC-EZZ-690708-00</v>
          </cell>
          <cell r="F29754">
            <v>4110332428</v>
          </cell>
        </row>
        <row r="29755">
          <cell r="E29755" t="str">
            <v>LUC-EZZ-471023-00</v>
          </cell>
          <cell r="F29755">
            <v>6883927352</v>
          </cell>
        </row>
        <row r="29756">
          <cell r="E29756" t="str">
            <v>LUC-EZZ-401720-00</v>
          </cell>
          <cell r="F29756">
            <v>6883927352</v>
          </cell>
        </row>
        <row r="29757">
          <cell r="E29757" t="str">
            <v>LUC-EZZ-400414-00</v>
          </cell>
          <cell r="F29757">
            <v>6883927352</v>
          </cell>
        </row>
        <row r="29758">
          <cell r="E29758" t="str">
            <v>LUC-EZZ-400414-00</v>
          </cell>
          <cell r="F29758">
            <v>6883927352</v>
          </cell>
        </row>
        <row r="29759">
          <cell r="E29759" t="str">
            <v>LUC-EZZ-470961-00</v>
          </cell>
          <cell r="F29759">
            <v>6883927352</v>
          </cell>
        </row>
        <row r="29760">
          <cell r="E29760" t="str">
            <v>LUC-E00-470242-00</v>
          </cell>
          <cell r="F29760">
            <v>6883927352</v>
          </cell>
        </row>
        <row r="29761">
          <cell r="E29761" t="str">
            <v>LUC-EZZ-400201-00</v>
          </cell>
          <cell r="F29761">
            <v>6883927352</v>
          </cell>
        </row>
        <row r="29762">
          <cell r="E29762" t="str">
            <v>PUR-13-0262-00</v>
          </cell>
          <cell r="F29762">
            <v>6883927352</v>
          </cell>
        </row>
        <row r="29763">
          <cell r="E29763" t="str">
            <v>LUC-E00-470048-00</v>
          </cell>
          <cell r="F29763">
            <v>6883927352</v>
          </cell>
        </row>
        <row r="29764">
          <cell r="E29764" t="str">
            <v>LUC-E00-470062-00</v>
          </cell>
          <cell r="F29764">
            <v>6883927352</v>
          </cell>
        </row>
        <row r="29765">
          <cell r="E29765" t="str">
            <v>LUC-EZZ-510639-00</v>
          </cell>
          <cell r="F29765">
            <v>6883927352</v>
          </cell>
        </row>
        <row r="29766">
          <cell r="E29766" t="str">
            <v>LUC-EZZ-470153-00</v>
          </cell>
          <cell r="F29766">
            <v>6883927352</v>
          </cell>
        </row>
        <row r="29767">
          <cell r="E29767" t="str">
            <v>LUC-E00-470059-00</v>
          </cell>
          <cell r="F29767">
            <v>6883927352</v>
          </cell>
        </row>
        <row r="29768">
          <cell r="E29768" t="str">
            <v>LUC-E00-470123-00</v>
          </cell>
          <cell r="F29768">
            <v>6883927352</v>
          </cell>
        </row>
        <row r="29769">
          <cell r="E29769" t="str">
            <v>LUC-EZZ-450246-00</v>
          </cell>
          <cell r="F29769">
            <v>6883927352</v>
          </cell>
        </row>
        <row r="29770">
          <cell r="E29770" t="str">
            <v>LUC-E00-470095-00</v>
          </cell>
          <cell r="F29770">
            <v>6883927352</v>
          </cell>
        </row>
        <row r="29771">
          <cell r="E29771" t="str">
            <v>LUC-E00-470095-00</v>
          </cell>
          <cell r="F29771">
            <v>6883927352</v>
          </cell>
        </row>
        <row r="29772">
          <cell r="E29772" t="str">
            <v>LUC-E00-470095-00</v>
          </cell>
          <cell r="F29772">
            <v>6883927352</v>
          </cell>
        </row>
        <row r="29773">
          <cell r="E29773" t="str">
            <v>LUC-E00-510045-00</v>
          </cell>
          <cell r="F29773">
            <v>6883927352</v>
          </cell>
        </row>
        <row r="29774">
          <cell r="E29774" t="str">
            <v>LUC-EZZ-510061-00</v>
          </cell>
          <cell r="F29774">
            <v>6883927352</v>
          </cell>
        </row>
        <row r="29775">
          <cell r="E29775" t="str">
            <v>LUC-E00-470048-00</v>
          </cell>
          <cell r="F29775">
            <v>6883927352</v>
          </cell>
        </row>
        <row r="29776">
          <cell r="E29776" t="str">
            <v>LUC-EZZ-510061-00</v>
          </cell>
          <cell r="F29776">
            <v>6883927352</v>
          </cell>
        </row>
        <row r="29777">
          <cell r="E29777" t="str">
            <v>LUC-EZZ-510061-00</v>
          </cell>
          <cell r="F29777">
            <v>6883927352</v>
          </cell>
        </row>
        <row r="29778">
          <cell r="E29778" t="str">
            <v>LUC-E00-450041-00</v>
          </cell>
          <cell r="F29778">
            <v>6883927352</v>
          </cell>
        </row>
        <row r="29779">
          <cell r="E29779" t="str">
            <v>LUC-EZZ-450246-00</v>
          </cell>
          <cell r="F29779">
            <v>6883927352</v>
          </cell>
        </row>
        <row r="29780">
          <cell r="E29780" t="str">
            <v>LUC-E00-420027-04</v>
          </cell>
          <cell r="F29780">
            <v>6883927352</v>
          </cell>
        </row>
        <row r="29781">
          <cell r="E29781" t="str">
            <v>LUC-E00-400010-055</v>
          </cell>
          <cell r="F29781">
            <v>6883927352</v>
          </cell>
        </row>
        <row r="29782">
          <cell r="E29782" t="str">
            <v>LUC-E00-400010-020</v>
          </cell>
          <cell r="F29782">
            <v>6883927352</v>
          </cell>
        </row>
        <row r="29783">
          <cell r="E29783" t="str">
            <v>LUC-E00-510015-00</v>
          </cell>
          <cell r="F29783">
            <v>6883927352</v>
          </cell>
        </row>
        <row r="29784">
          <cell r="E29784" t="str">
            <v>LUC-EZZ-420121-00</v>
          </cell>
          <cell r="F29784">
            <v>6883927352</v>
          </cell>
        </row>
        <row r="29785">
          <cell r="E29785" t="str">
            <v>LUC-E00-420002-10</v>
          </cell>
          <cell r="F29785">
            <v>6883927352</v>
          </cell>
        </row>
        <row r="29786">
          <cell r="E29786" t="str">
            <v>LUC-EZZ-471023-00</v>
          </cell>
          <cell r="F29786">
            <v>6883927352</v>
          </cell>
        </row>
        <row r="29787">
          <cell r="E29787" t="str">
            <v>LUC-EZZ-471023-00</v>
          </cell>
          <cell r="F29787">
            <v>6883927352</v>
          </cell>
        </row>
        <row r="29788">
          <cell r="E29788" t="str">
            <v>LUC-EZZ-471023-00</v>
          </cell>
          <cell r="F29788">
            <v>6883927352</v>
          </cell>
        </row>
        <row r="29789">
          <cell r="E29789" t="str">
            <v>LUC-EZZ-510061-00</v>
          </cell>
          <cell r="F29789">
            <v>6883927352</v>
          </cell>
        </row>
        <row r="29790">
          <cell r="E29790" t="str">
            <v>LUC-EZZ-510061-00</v>
          </cell>
          <cell r="F29790">
            <v>6883927352</v>
          </cell>
        </row>
        <row r="29791">
          <cell r="E29791" t="str">
            <v>LUC-E00-420027-03</v>
          </cell>
          <cell r="F29791">
            <v>6883927352</v>
          </cell>
        </row>
        <row r="29792">
          <cell r="E29792" t="str">
            <v>LUC-EZZ-400194-00</v>
          </cell>
          <cell r="F29792">
            <v>6883927352</v>
          </cell>
        </row>
        <row r="29793">
          <cell r="E29793" t="str">
            <v>LUC-EZZ-440169-00</v>
          </cell>
          <cell r="F29793">
            <v>6883927352</v>
          </cell>
        </row>
        <row r="29794">
          <cell r="E29794" t="str">
            <v>LUC-EZZ-440169-00</v>
          </cell>
          <cell r="F29794">
            <v>6883927352</v>
          </cell>
        </row>
        <row r="29795">
          <cell r="E29795" t="str">
            <v>LUC-EZZ-471023-00</v>
          </cell>
          <cell r="F29795">
            <v>6883927352</v>
          </cell>
        </row>
        <row r="29796">
          <cell r="E29796" t="str">
            <v>LUC-EZZ-471023-00</v>
          </cell>
          <cell r="F29796">
            <v>6883927352</v>
          </cell>
        </row>
        <row r="29797">
          <cell r="E29797" t="str">
            <v>LUC-E00-470318-00</v>
          </cell>
          <cell r="F29797">
            <v>6883927352</v>
          </cell>
        </row>
        <row r="29798">
          <cell r="E29798" t="str">
            <v>LUC-EZZ-450149-00</v>
          </cell>
          <cell r="F29798">
            <v>6883927352</v>
          </cell>
        </row>
        <row r="29799">
          <cell r="E29799" t="str">
            <v>LUC-E00-450046-00</v>
          </cell>
          <cell r="F29799">
            <v>6883927352</v>
          </cell>
        </row>
        <row r="29800">
          <cell r="E29800" t="str">
            <v>LUC-EZZ-470136-00</v>
          </cell>
          <cell r="F29800">
            <v>6883927352</v>
          </cell>
        </row>
        <row r="29801">
          <cell r="E29801" t="str">
            <v>LUC-E00-480014-00</v>
          </cell>
          <cell r="F29801">
            <v>6883927352</v>
          </cell>
        </row>
        <row r="29802">
          <cell r="E29802" t="str">
            <v>LUC-E00-400046-00</v>
          </cell>
          <cell r="F29802">
            <v>6883927352</v>
          </cell>
        </row>
        <row r="29803">
          <cell r="E29803" t="str">
            <v>LUC-E00-510030-00</v>
          </cell>
          <cell r="F29803">
            <v>6883927352</v>
          </cell>
        </row>
        <row r="29804">
          <cell r="E29804" t="str">
            <v>LUC-E00-450046-00</v>
          </cell>
          <cell r="F29804">
            <v>6883927352</v>
          </cell>
        </row>
        <row r="29805">
          <cell r="E29805" t="str">
            <v>LUC-E00-400010-046</v>
          </cell>
          <cell r="F29805">
            <v>6883927352</v>
          </cell>
        </row>
        <row r="29806">
          <cell r="E29806" t="str">
            <v>LUC-EZZ-400259-00</v>
          </cell>
          <cell r="F29806">
            <v>6883927352</v>
          </cell>
        </row>
        <row r="29807">
          <cell r="E29807" t="str">
            <v>LUC-E00-470330-00</v>
          </cell>
          <cell r="F29807">
            <v>6883927352</v>
          </cell>
        </row>
        <row r="29808">
          <cell r="E29808" t="str">
            <v>LUC-E00-470059-00</v>
          </cell>
          <cell r="F29808">
            <v>6883927352</v>
          </cell>
        </row>
        <row r="29809">
          <cell r="E29809" t="str">
            <v>LUC-E00-470123-00</v>
          </cell>
          <cell r="F29809">
            <v>6883927352</v>
          </cell>
        </row>
        <row r="29810">
          <cell r="E29810" t="str">
            <v>LUC-EZZ-510639-00</v>
          </cell>
          <cell r="F29810">
            <v>6883927352</v>
          </cell>
        </row>
        <row r="29811">
          <cell r="E29811" t="str">
            <v>LUC-EZZ-421706-00</v>
          </cell>
          <cell r="F29811">
            <v>6883927352</v>
          </cell>
        </row>
        <row r="29812">
          <cell r="E29812" t="str">
            <v>LUC-EZZ-450112-00</v>
          </cell>
          <cell r="F29812">
            <v>6883927352</v>
          </cell>
        </row>
        <row r="29813">
          <cell r="E29813" t="str">
            <v>LUC-EZZ-450112-00</v>
          </cell>
          <cell r="F29813">
            <v>6883927352</v>
          </cell>
        </row>
        <row r="29814">
          <cell r="E29814" t="str">
            <v>LUC-EZZ-400210-00</v>
          </cell>
          <cell r="F29814">
            <v>6883927352</v>
          </cell>
        </row>
        <row r="29815">
          <cell r="E29815" t="str">
            <v>LUC-EZZ-470155-00</v>
          </cell>
          <cell r="F29815">
            <v>6883927352</v>
          </cell>
        </row>
        <row r="29816">
          <cell r="E29816" t="str">
            <v>LUC-EZZ-470155-00</v>
          </cell>
          <cell r="F29816">
            <v>6883927352</v>
          </cell>
        </row>
        <row r="29817">
          <cell r="E29817" t="str">
            <v>LUC-EZZ-470155-00</v>
          </cell>
          <cell r="F29817">
            <v>6883927352</v>
          </cell>
        </row>
        <row r="29818">
          <cell r="E29818" t="str">
            <v>LUC-E00-400067-051</v>
          </cell>
          <cell r="F29818">
            <v>6883927352</v>
          </cell>
        </row>
        <row r="29819">
          <cell r="E29819" t="str">
            <v>LUC-EZZ-401720-00</v>
          </cell>
          <cell r="F29819">
            <v>6883927352</v>
          </cell>
        </row>
        <row r="29820">
          <cell r="E29820" t="str">
            <v>LUC-E00-420027-04</v>
          </cell>
          <cell r="F29820">
            <v>6883927352</v>
          </cell>
        </row>
        <row r="29821">
          <cell r="E29821" t="str">
            <v>LUC-E00-420037-08</v>
          </cell>
          <cell r="F29821">
            <v>6883927352</v>
          </cell>
        </row>
        <row r="29822">
          <cell r="E29822" t="str">
            <v>LUC-E00-510037-00</v>
          </cell>
          <cell r="F29822">
            <v>6883927352</v>
          </cell>
        </row>
        <row r="29823">
          <cell r="E29823" t="str">
            <v>LUC-E00-420056-01</v>
          </cell>
          <cell r="F29823">
            <v>6883927352</v>
          </cell>
        </row>
        <row r="29824">
          <cell r="E29824" t="str">
            <v>LUC-EZZ-470245-00</v>
          </cell>
          <cell r="F29824">
            <v>6883927352</v>
          </cell>
        </row>
        <row r="29825">
          <cell r="E29825" t="str">
            <v>LUC-E00-400010-021</v>
          </cell>
          <cell r="F29825">
            <v>6883927352</v>
          </cell>
        </row>
        <row r="29826">
          <cell r="E29826" t="str">
            <v>LUC-E00-440047-00</v>
          </cell>
          <cell r="F29826">
            <v>6883927352</v>
          </cell>
        </row>
        <row r="29827">
          <cell r="E29827" t="str">
            <v>LUC-E00-420186-00</v>
          </cell>
          <cell r="F29827">
            <v>6883927352</v>
          </cell>
        </row>
        <row r="29828">
          <cell r="E29828" t="str">
            <v>LUC-EZZ-400218-00</v>
          </cell>
          <cell r="F29828">
            <v>6883927352</v>
          </cell>
        </row>
        <row r="29829">
          <cell r="E29829" t="str">
            <v>LUC-EZZ-470152-02</v>
          </cell>
          <cell r="F29829">
            <v>6883927352</v>
          </cell>
        </row>
        <row r="29830">
          <cell r="E29830" t="str">
            <v>LUC-EZZ-400245-00</v>
          </cell>
          <cell r="F29830">
            <v>6883927352</v>
          </cell>
        </row>
        <row r="29831">
          <cell r="E29831" t="str">
            <v>LUC-EZZ-470464-00</v>
          </cell>
          <cell r="F29831">
            <v>6883927352</v>
          </cell>
        </row>
        <row r="29832">
          <cell r="E29832" t="str">
            <v>LUC-EZZ-440176-00</v>
          </cell>
          <cell r="F29832">
            <v>6883927352</v>
          </cell>
        </row>
        <row r="29833">
          <cell r="E29833" t="str">
            <v>LUC-EZZ-420110-00</v>
          </cell>
          <cell r="F29833">
            <v>6883927352</v>
          </cell>
        </row>
        <row r="29834">
          <cell r="E29834" t="str">
            <v>LUC-EZZ-400110-00</v>
          </cell>
          <cell r="F29834">
            <v>6883927352</v>
          </cell>
        </row>
        <row r="29835">
          <cell r="E29835" t="str">
            <v>LUC-E00-450075-00</v>
          </cell>
          <cell r="F29835">
            <v>6883927352</v>
          </cell>
        </row>
        <row r="29836">
          <cell r="E29836" t="str">
            <v>LUC-E00-400003-011</v>
          </cell>
          <cell r="F29836">
            <v>6883927352</v>
          </cell>
        </row>
        <row r="29837">
          <cell r="E29837" t="str">
            <v>LUC-E00-420055-12</v>
          </cell>
          <cell r="F29837">
            <v>6883927352</v>
          </cell>
        </row>
        <row r="29838">
          <cell r="E29838" t="str">
            <v>LUC-E00-420055-12</v>
          </cell>
          <cell r="F29838">
            <v>6883927352</v>
          </cell>
        </row>
        <row r="29839">
          <cell r="E29839" t="str">
            <v>LUC-E00-420054-05</v>
          </cell>
          <cell r="F29839">
            <v>6883927352</v>
          </cell>
        </row>
        <row r="29840">
          <cell r="E29840" t="str">
            <v>LUC-EZZ-450087-00</v>
          </cell>
          <cell r="F29840">
            <v>6883927352</v>
          </cell>
        </row>
        <row r="29841">
          <cell r="E29841" t="str">
            <v>LUC-EZZ-420324-00</v>
          </cell>
          <cell r="F29841">
            <v>6883927352</v>
          </cell>
        </row>
        <row r="29842">
          <cell r="E29842" t="str">
            <v>LUC-EZZ-450476-00</v>
          </cell>
          <cell r="F29842">
            <v>6883927352</v>
          </cell>
        </row>
        <row r="29843">
          <cell r="E29843" t="str">
            <v>LUC-E00-400056-01</v>
          </cell>
          <cell r="F29843">
            <v>6883927352</v>
          </cell>
        </row>
        <row r="29844">
          <cell r="E29844" t="str">
            <v>LUC-EZZ-450835-00</v>
          </cell>
          <cell r="F29844">
            <v>6883927352</v>
          </cell>
        </row>
        <row r="29845">
          <cell r="E29845" t="str">
            <v>LUC-EZZ-510080-00</v>
          </cell>
          <cell r="F29845">
            <v>6883927352</v>
          </cell>
        </row>
        <row r="29846">
          <cell r="E29846" t="str">
            <v>LUC-EZZ-510080-00</v>
          </cell>
          <cell r="F29846">
            <v>6883927352</v>
          </cell>
        </row>
        <row r="29847">
          <cell r="E29847" t="str">
            <v>LUC-EZZ-450060-00</v>
          </cell>
          <cell r="F29847">
            <v>6883927352</v>
          </cell>
        </row>
        <row r="29848">
          <cell r="E29848" t="str">
            <v>LUC-EZZ-420320-00</v>
          </cell>
          <cell r="F29848">
            <v>6883927352</v>
          </cell>
        </row>
        <row r="29849">
          <cell r="E29849" t="str">
            <v>LUC-E00-450148-01</v>
          </cell>
          <cell r="F29849">
            <v>6883927352</v>
          </cell>
        </row>
        <row r="29850">
          <cell r="E29850" t="str">
            <v>LUC-E00-450148-01</v>
          </cell>
          <cell r="F29850">
            <v>6883927352</v>
          </cell>
        </row>
        <row r="29851">
          <cell r="E29851" t="str">
            <v>LUC-E00-450148-01</v>
          </cell>
          <cell r="F29851">
            <v>6883927352</v>
          </cell>
        </row>
        <row r="29852">
          <cell r="E29852" t="str">
            <v>LUC-E00-450148-01</v>
          </cell>
          <cell r="F29852">
            <v>6883927352</v>
          </cell>
        </row>
        <row r="29853">
          <cell r="E29853" t="str">
            <v>LUC-EZZ-510077-00</v>
          </cell>
          <cell r="F29853">
            <v>6883927352</v>
          </cell>
        </row>
        <row r="29854">
          <cell r="E29854" t="str">
            <v>LUC-E00-470060-00</v>
          </cell>
          <cell r="F29854">
            <v>6883927352</v>
          </cell>
        </row>
        <row r="29855">
          <cell r="E29855" t="str">
            <v>LUC-E00-470060-00</v>
          </cell>
          <cell r="F29855">
            <v>6883927352</v>
          </cell>
        </row>
        <row r="29856">
          <cell r="E29856" t="str">
            <v>LUC-EZZ-400434-00</v>
          </cell>
          <cell r="F29856">
            <v>6883927352</v>
          </cell>
        </row>
        <row r="29857">
          <cell r="E29857" t="str">
            <v>LUC-EZZ-450177-00</v>
          </cell>
          <cell r="F29857">
            <v>6883927352</v>
          </cell>
        </row>
        <row r="29858">
          <cell r="E29858" t="str">
            <v>LUC-E00-420238-00</v>
          </cell>
          <cell r="F29858">
            <v>6883927352</v>
          </cell>
        </row>
        <row r="29859">
          <cell r="E29859" t="str">
            <v>LUC-E00-400010-000</v>
          </cell>
          <cell r="F29859">
            <v>6883927352</v>
          </cell>
        </row>
        <row r="29860">
          <cell r="E29860" t="str">
            <v>LUC-EZZ-400205-00</v>
          </cell>
          <cell r="F29860">
            <v>6883927352</v>
          </cell>
        </row>
        <row r="29861">
          <cell r="E29861" t="str">
            <v>LUC-E00-400010-000</v>
          </cell>
          <cell r="F29861">
            <v>6883927352</v>
          </cell>
        </row>
        <row r="29862">
          <cell r="E29862" t="str">
            <v>LUC-E00-400010-001</v>
          </cell>
          <cell r="F29862">
            <v>6883927352</v>
          </cell>
        </row>
        <row r="29863">
          <cell r="E29863" t="str">
            <v>LUC-E00-400010-001</v>
          </cell>
          <cell r="F29863">
            <v>6883927352</v>
          </cell>
        </row>
        <row r="29864">
          <cell r="E29864" t="str">
            <v>LUC-EZZ-400201-00</v>
          </cell>
          <cell r="F29864">
            <v>6883927352</v>
          </cell>
        </row>
        <row r="29865">
          <cell r="E29865" t="str">
            <v>LUC-EZZ-400201-00</v>
          </cell>
          <cell r="F29865">
            <v>6883927352</v>
          </cell>
        </row>
        <row r="29866">
          <cell r="E29866" t="str">
            <v>LUC-EZZ-400201-00</v>
          </cell>
          <cell r="F29866">
            <v>6883927352</v>
          </cell>
        </row>
        <row r="29867">
          <cell r="E29867" t="str">
            <v>LUC-E00-470062-00</v>
          </cell>
          <cell r="F29867">
            <v>6883927352</v>
          </cell>
        </row>
        <row r="29868">
          <cell r="E29868" t="str">
            <v>LUC-EZZ-470153-00</v>
          </cell>
          <cell r="F29868">
            <v>6883927352</v>
          </cell>
        </row>
        <row r="29869">
          <cell r="E29869" t="str">
            <v>LUC-EZZ-450246-00</v>
          </cell>
          <cell r="F29869">
            <v>6883927352</v>
          </cell>
        </row>
        <row r="29870">
          <cell r="E29870" t="str">
            <v>LUC-EZZ-450246-00</v>
          </cell>
          <cell r="F29870">
            <v>6883927352</v>
          </cell>
        </row>
        <row r="29871">
          <cell r="E29871" t="str">
            <v>LUC-EZZ-450246-00</v>
          </cell>
          <cell r="F29871">
            <v>6883927352</v>
          </cell>
        </row>
        <row r="29872">
          <cell r="E29872" t="str">
            <v>LUC-E00-420027-03</v>
          </cell>
          <cell r="F29872">
            <v>6883927352</v>
          </cell>
        </row>
        <row r="29873">
          <cell r="E29873" t="str">
            <v>LUC-E00-510016-00</v>
          </cell>
          <cell r="F29873">
            <v>6883927352</v>
          </cell>
        </row>
        <row r="29874">
          <cell r="E29874" t="str">
            <v>LUC-EZZ-510061-00</v>
          </cell>
          <cell r="F29874">
            <v>6883927352</v>
          </cell>
        </row>
        <row r="29875">
          <cell r="E29875" t="str">
            <v>LUC-EZZ-450246-00</v>
          </cell>
          <cell r="F29875">
            <v>6883927352</v>
          </cell>
        </row>
        <row r="29876">
          <cell r="E29876" t="str">
            <v>LUC-EZZ-450246-00</v>
          </cell>
          <cell r="F29876">
            <v>6883927352</v>
          </cell>
        </row>
        <row r="29877">
          <cell r="E29877" t="str">
            <v>LUC-E00-420027-03</v>
          </cell>
          <cell r="F29877">
            <v>6883927352</v>
          </cell>
        </row>
        <row r="29878">
          <cell r="E29878" t="str">
            <v>LUC-EZZ-450246-00</v>
          </cell>
          <cell r="F29878">
            <v>6883927352</v>
          </cell>
        </row>
        <row r="29879">
          <cell r="E29879" t="str">
            <v>LUC-EZZ-400194-00</v>
          </cell>
          <cell r="F29879">
            <v>6883927352</v>
          </cell>
        </row>
        <row r="29880">
          <cell r="E29880" t="str">
            <v>LUC-E00-450046-00</v>
          </cell>
          <cell r="F29880">
            <v>6883927352</v>
          </cell>
        </row>
        <row r="29881">
          <cell r="E29881" t="str">
            <v>LUC-EZZ-450149-00</v>
          </cell>
          <cell r="F29881">
            <v>6883927352</v>
          </cell>
        </row>
        <row r="29882">
          <cell r="E29882" t="str">
            <v>LUC-EZZ-450149-00</v>
          </cell>
          <cell r="F29882">
            <v>6883927352</v>
          </cell>
        </row>
        <row r="29883">
          <cell r="E29883" t="str">
            <v>LUC-EZZ-420136-00</v>
          </cell>
          <cell r="F29883">
            <v>6883927352</v>
          </cell>
        </row>
        <row r="29884">
          <cell r="E29884" t="str">
            <v>HLOB-09-0505-00</v>
          </cell>
          <cell r="F29884">
            <v>6883927352</v>
          </cell>
        </row>
        <row r="29885">
          <cell r="E29885" t="str">
            <v>LUC-EZZ-400542-00</v>
          </cell>
          <cell r="F29885">
            <v>6883927352</v>
          </cell>
        </row>
        <row r="29886">
          <cell r="E29886" t="str">
            <v>LUC-E00-480015-01</v>
          </cell>
          <cell r="F29886">
            <v>6883927352</v>
          </cell>
        </row>
        <row r="29887">
          <cell r="E29887" t="str">
            <v>LUC-E00-400010-000</v>
          </cell>
          <cell r="F29887">
            <v>6883927352</v>
          </cell>
        </row>
        <row r="29888">
          <cell r="E29888" t="str">
            <v>LUC-EZZ-421706-00</v>
          </cell>
          <cell r="F29888">
            <v>6883927352</v>
          </cell>
        </row>
        <row r="29889">
          <cell r="E29889" t="str">
            <v>LUC-EZZ-421706-00</v>
          </cell>
          <cell r="F29889">
            <v>6883927352</v>
          </cell>
        </row>
        <row r="29890">
          <cell r="E29890" t="str">
            <v>LUC-EZZ-421706-00</v>
          </cell>
          <cell r="F29890">
            <v>6883927352</v>
          </cell>
        </row>
        <row r="29891">
          <cell r="E29891" t="str">
            <v>LUC-E00-400010-026</v>
          </cell>
          <cell r="F29891">
            <v>6883927352</v>
          </cell>
        </row>
        <row r="29892">
          <cell r="E29892" t="str">
            <v>LUC-EZZ-421706-00</v>
          </cell>
          <cell r="F29892">
            <v>6883927352</v>
          </cell>
        </row>
        <row r="29893">
          <cell r="E29893" t="str">
            <v>LUC-EZZ-400228-00</v>
          </cell>
          <cell r="F29893">
            <v>6883927352</v>
          </cell>
        </row>
        <row r="29894">
          <cell r="E29894" t="str">
            <v>LUC-E00-400010-021</v>
          </cell>
          <cell r="F29894">
            <v>6883927352</v>
          </cell>
        </row>
        <row r="29895">
          <cell r="E29895" t="str">
            <v>LUC-E00-400010-007</v>
          </cell>
          <cell r="F29895">
            <v>6883927352</v>
          </cell>
        </row>
        <row r="29896">
          <cell r="E29896" t="str">
            <v>LUC-E00-440028-00</v>
          </cell>
          <cell r="F29896">
            <v>6883927352</v>
          </cell>
        </row>
        <row r="29897">
          <cell r="E29897" t="str">
            <v>LUC-EZZ-450110-00</v>
          </cell>
          <cell r="F29897">
            <v>6883927352</v>
          </cell>
        </row>
        <row r="29898">
          <cell r="E29898" t="str">
            <v>LUC-E00-420241-00</v>
          </cell>
          <cell r="F29898">
            <v>6883927352</v>
          </cell>
        </row>
        <row r="29899">
          <cell r="E29899" t="str">
            <v>LUC-E00-400010-020</v>
          </cell>
          <cell r="F29899">
            <v>6883927352</v>
          </cell>
        </row>
        <row r="29900">
          <cell r="E29900" t="str">
            <v>LUC-E00-420045-02</v>
          </cell>
          <cell r="F29900">
            <v>6883927352</v>
          </cell>
        </row>
        <row r="29901">
          <cell r="E29901" t="str">
            <v>LUC-E00-450060-00</v>
          </cell>
          <cell r="F29901">
            <v>6883927352</v>
          </cell>
        </row>
        <row r="29902">
          <cell r="E29902" t="str">
            <v>LUC-E00-400010-034</v>
          </cell>
          <cell r="F29902">
            <v>6883927352</v>
          </cell>
        </row>
        <row r="29903">
          <cell r="E29903" t="str">
            <v>LUC-E00-510084-00</v>
          </cell>
          <cell r="F29903">
            <v>6883927352</v>
          </cell>
        </row>
        <row r="29904">
          <cell r="E29904" t="str">
            <v>LUC-E00-400010-001</v>
          </cell>
          <cell r="F29904">
            <v>6883927352</v>
          </cell>
        </row>
        <row r="29905">
          <cell r="E29905" t="str">
            <v>LUC-E00-420002-10</v>
          </cell>
          <cell r="F29905">
            <v>6883927352</v>
          </cell>
        </row>
        <row r="29906">
          <cell r="E29906" t="str">
            <v>LUC-E00-420019-00</v>
          </cell>
          <cell r="F29906">
            <v>6883927352</v>
          </cell>
        </row>
        <row r="29907">
          <cell r="E29907" t="str">
            <v>LUC-E00-400001-010</v>
          </cell>
          <cell r="F29907">
            <v>6883927352</v>
          </cell>
        </row>
        <row r="29908">
          <cell r="E29908" t="str">
            <v>LUC-EZZ-450476-00</v>
          </cell>
          <cell r="F29908">
            <v>6883927352</v>
          </cell>
        </row>
        <row r="29909">
          <cell r="E29909" t="str">
            <v>LUC-EZZ-420490-00</v>
          </cell>
          <cell r="F29909">
            <v>6883927352</v>
          </cell>
        </row>
        <row r="29910">
          <cell r="E29910" t="str">
            <v>LUC-E00-690030-03</v>
          </cell>
          <cell r="F29910">
            <v>479730249507</v>
          </cell>
        </row>
        <row r="29911">
          <cell r="E29911" t="str">
            <v>AIC-126-002379</v>
          </cell>
          <cell r="F29911">
            <v>678952482187</v>
          </cell>
        </row>
        <row r="29912">
          <cell r="E29912" t="str">
            <v>AIC-MP-IC007004-S01</v>
          </cell>
          <cell r="F29912">
            <v>678952482187</v>
          </cell>
        </row>
        <row r="29913">
          <cell r="E29913" t="str">
            <v>HLOB-31-0103-01</v>
          </cell>
          <cell r="F29913" t="str">
            <v>IPTH251203-UNI</v>
          </cell>
        </row>
        <row r="29914">
          <cell r="E29914" t="str">
            <v>161-000022.X.X</v>
          </cell>
          <cell r="F29914" t="str">
            <v>00001838</v>
          </cell>
        </row>
        <row r="29915">
          <cell r="E29915" t="str">
            <v>HLOB-17-0283-02</v>
          </cell>
          <cell r="F29915" t="str">
            <v>VN20251203003</v>
          </cell>
        </row>
        <row r="29916">
          <cell r="E29916" t="str">
            <v>HLOB-17-0283-02</v>
          </cell>
          <cell r="F29916" t="str">
            <v>VN20251203003</v>
          </cell>
        </row>
        <row r="29917">
          <cell r="E29917" t="str">
            <v>LUC-E00-440140-01</v>
          </cell>
          <cell r="F29917" t="str">
            <v>DMS-2025-RTVML-1129</v>
          </cell>
        </row>
        <row r="29918">
          <cell r="E29918" t="str">
            <v>PUR-16-0085-01</v>
          </cell>
          <cell r="F29918" t="str">
            <v>VN20251212005</v>
          </cell>
        </row>
        <row r="29919">
          <cell r="E29919" t="str">
            <v>PUR-16-0085-01</v>
          </cell>
          <cell r="F29919" t="str">
            <v>VN20251212005</v>
          </cell>
        </row>
        <row r="29920">
          <cell r="E29920" t="str">
            <v>HLOB-16-0086-01</v>
          </cell>
          <cell r="F29920" t="str">
            <v>VN20251212005</v>
          </cell>
        </row>
        <row r="29921">
          <cell r="E29921" t="str">
            <v>HLOB-16-0086-01</v>
          </cell>
          <cell r="F29921" t="str">
            <v>VN20251212005</v>
          </cell>
        </row>
        <row r="29922">
          <cell r="E29922" t="str">
            <v>HLOB-17-0359-01</v>
          </cell>
          <cell r="F29922" t="str">
            <v>VN20251212005</v>
          </cell>
        </row>
        <row r="29923">
          <cell r="E29923" t="str">
            <v>HLOB-31-0103-01</v>
          </cell>
          <cell r="F29923" t="str">
            <v>IPTH251223-UNI</v>
          </cell>
        </row>
        <row r="29924">
          <cell r="E29924" t="str">
            <v>HLOB-31-0103-01</v>
          </cell>
          <cell r="F29924" t="str">
            <v>IPTH251223-UNI</v>
          </cell>
        </row>
        <row r="29925">
          <cell r="E29925" t="str">
            <v>LUC-P11-K2BC00-01</v>
          </cell>
          <cell r="F29925" t="str">
            <v>'001/12/25-UNIGEN</v>
          </cell>
        </row>
        <row r="29926">
          <cell r="E29926" t="str">
            <v>LUC-P11-K2BC00-01</v>
          </cell>
          <cell r="F29926" t="str">
            <v>'001/12/25-UNIGEN</v>
          </cell>
        </row>
        <row r="29927">
          <cell r="E29927" t="str">
            <v>LUC-P11-K2BC00-01</v>
          </cell>
          <cell r="F29927" t="str">
            <v>'001/12/25-UNIGEN</v>
          </cell>
        </row>
        <row r="29928">
          <cell r="E29928" t="str">
            <v>LUC-P11-K2BC00-01</v>
          </cell>
          <cell r="F29928" t="str">
            <v>'001/12/25-UNIGEN</v>
          </cell>
        </row>
        <row r="29929">
          <cell r="E29929" t="str">
            <v>PUR-07-0191-00</v>
          </cell>
          <cell r="F29929" t="str">
            <v>UNG-EVG 12/2025</v>
          </cell>
        </row>
        <row r="29930">
          <cell r="E29930" t="str">
            <v>PUR-07-0212-00</v>
          </cell>
          <cell r="F29930" t="str">
            <v>UNG-EVG 12/2025</v>
          </cell>
        </row>
        <row r="29931">
          <cell r="E29931" t="str">
            <v>161-000291</v>
          </cell>
          <cell r="F29931" t="str">
            <v>Unigen251222</v>
          </cell>
        </row>
        <row r="29932">
          <cell r="E29932" t="str">
            <v>161-000290</v>
          </cell>
          <cell r="F29932" t="str">
            <v>Unigen251222</v>
          </cell>
        </row>
        <row r="29933">
          <cell r="E29933" t="str">
            <v>AGI-871-40004-01</v>
          </cell>
          <cell r="F29933" t="str">
            <v>Unigen251222</v>
          </cell>
        </row>
        <row r="29934">
          <cell r="E29934" t="str">
            <v>EF-161-000310</v>
          </cell>
          <cell r="F29934" t="str">
            <v>Unigen251222</v>
          </cell>
        </row>
        <row r="29935">
          <cell r="E29935" t="str">
            <v>EF-161-000309</v>
          </cell>
          <cell r="F29935" t="str">
            <v>Unigen251222</v>
          </cell>
        </row>
        <row r="29936">
          <cell r="E29936" t="str">
            <v>EF-161-000309</v>
          </cell>
          <cell r="F29936" t="str">
            <v>Unigen251222</v>
          </cell>
        </row>
        <row r="29937">
          <cell r="E29937" t="str">
            <v>184-000025.X.X</v>
          </cell>
          <cell r="F29937" t="str">
            <v>'00001271</v>
          </cell>
        </row>
        <row r="29938">
          <cell r="E29938" t="str">
            <v>161-001523</v>
          </cell>
          <cell r="F29938" t="str">
            <v>PRW251219</v>
          </cell>
        </row>
        <row r="29939">
          <cell r="E29939" t="str">
            <v>161-001523</v>
          </cell>
          <cell r="F29939" t="str">
            <v>PRW251219</v>
          </cell>
        </row>
        <row r="29940">
          <cell r="E29940" t="str">
            <v>161-001520</v>
          </cell>
          <cell r="F29940" t="str">
            <v>TV-UNI-1223</v>
          </cell>
        </row>
        <row r="29941">
          <cell r="E29941" t="str">
            <v>161-001520</v>
          </cell>
          <cell r="F29941" t="str">
            <v>TV-UNI-1223</v>
          </cell>
        </row>
        <row r="29942">
          <cell r="E29942" t="str">
            <v>161-001520</v>
          </cell>
          <cell r="F29942" t="str">
            <v>TV-UNI-1223</v>
          </cell>
        </row>
        <row r="29943">
          <cell r="E29943" t="str">
            <v>161-001521</v>
          </cell>
          <cell r="F29943" t="str">
            <v>TV-UNI-1223</v>
          </cell>
        </row>
        <row r="29944">
          <cell r="E29944" t="str">
            <v>161-001521</v>
          </cell>
          <cell r="F29944" t="str">
            <v>TV-UNI-1223</v>
          </cell>
        </row>
        <row r="29945">
          <cell r="E29945" t="str">
            <v>161-000022.X.X</v>
          </cell>
          <cell r="F29945" t="str">
            <v>'00001998</v>
          </cell>
        </row>
        <row r="29946">
          <cell r="E29946" t="str">
            <v>186-000338.X.X</v>
          </cell>
          <cell r="F29946" t="str">
            <v>'00001998</v>
          </cell>
        </row>
        <row r="29947">
          <cell r="E29947" t="str">
            <v>PUR-33-0012-00</v>
          </cell>
          <cell r="F29947" t="str">
            <v>'00001998</v>
          </cell>
        </row>
        <row r="29948">
          <cell r="E29948" t="str">
            <v>186-000541.X.X</v>
          </cell>
          <cell r="F29948" t="str">
            <v>'00001998</v>
          </cell>
        </row>
        <row r="29949">
          <cell r="E29949" t="str">
            <v>PUR-18-0409-00</v>
          </cell>
          <cell r="F29949" t="str">
            <v>'00001998</v>
          </cell>
        </row>
        <row r="29950">
          <cell r="E29950" t="str">
            <v>PUR-18-0410-00</v>
          </cell>
          <cell r="F29950" t="str">
            <v>'00001998</v>
          </cell>
        </row>
        <row r="29951">
          <cell r="E29951" t="str">
            <v>186-000311.X.X</v>
          </cell>
          <cell r="F29951" t="str">
            <v>'00001998</v>
          </cell>
        </row>
        <row r="29952">
          <cell r="E29952" t="str">
            <v>PURET-18-0079-00</v>
          </cell>
          <cell r="F29952" t="str">
            <v>'00001998</v>
          </cell>
        </row>
        <row r="29953">
          <cell r="E29953" t="str">
            <v>PUR-33-0018-00</v>
          </cell>
          <cell r="F29953" t="str">
            <v>'00001998</v>
          </cell>
        </row>
        <row r="29954">
          <cell r="E29954" t="str">
            <v>LUC-LABEL-50X25</v>
          </cell>
          <cell r="F29954" t="str">
            <v>'00001998</v>
          </cell>
        </row>
        <row r="29955">
          <cell r="E29955" t="str">
            <v>LUC-LABEL-50X25</v>
          </cell>
          <cell r="F29955" t="str">
            <v>'00001998</v>
          </cell>
        </row>
        <row r="29956">
          <cell r="E29956" t="str">
            <v>LUC-LABEL-50X25</v>
          </cell>
          <cell r="F29956" t="str">
            <v>'00001998</v>
          </cell>
        </row>
        <row r="29957">
          <cell r="E29957" t="str">
            <v>LUC-LABEL-50X25</v>
          </cell>
          <cell r="F29957" t="str">
            <v>'00001998</v>
          </cell>
        </row>
        <row r="29958">
          <cell r="E29958" t="str">
            <v>LUC-LABEL-13x13</v>
          </cell>
          <cell r="F29958" t="str">
            <v>'00001998</v>
          </cell>
        </row>
        <row r="29959">
          <cell r="E29959" t="str">
            <v>LUC-LABEL-13x13</v>
          </cell>
          <cell r="F29959" t="str">
            <v>'00001998</v>
          </cell>
        </row>
        <row r="29960">
          <cell r="E29960" t="str">
            <v>LUC-LABEL-13x13</v>
          </cell>
          <cell r="F29960" t="str">
            <v>'00001998</v>
          </cell>
        </row>
        <row r="29961">
          <cell r="E29961" t="str">
            <v>LUC-LABEL-25X25</v>
          </cell>
          <cell r="F29961" t="str">
            <v>'00001998</v>
          </cell>
        </row>
        <row r="29962">
          <cell r="E29962" t="str">
            <v>LUC-LABEL-25X25</v>
          </cell>
          <cell r="F29962" t="str">
            <v>'00001998</v>
          </cell>
        </row>
        <row r="29963">
          <cell r="E29963" t="str">
            <v>LUC-LABEL-50x15</v>
          </cell>
          <cell r="F29963" t="str">
            <v>'00001998</v>
          </cell>
        </row>
        <row r="29964">
          <cell r="E29964" t="str">
            <v>LUC-LABEL-13X6.5</v>
          </cell>
          <cell r="F29964" t="str">
            <v>'00001998</v>
          </cell>
        </row>
        <row r="29965">
          <cell r="E29965" t="str">
            <v>LUC-LABEL-60X40-B</v>
          </cell>
          <cell r="F29965" t="str">
            <v>'00001998</v>
          </cell>
        </row>
        <row r="29966">
          <cell r="E29966" t="str">
            <v>LUC-LABEL-60X40-V</v>
          </cell>
          <cell r="F29966" t="str">
            <v>'00001998</v>
          </cell>
        </row>
        <row r="29967">
          <cell r="E29967" t="str">
            <v>LUC-LABEL-60X40-V</v>
          </cell>
          <cell r="F29967" t="str">
            <v>'00001998</v>
          </cell>
        </row>
        <row r="29968">
          <cell r="E29968" t="str">
            <v>LUC-186-001786</v>
          </cell>
          <cell r="F29968" t="str">
            <v>'00001998</v>
          </cell>
        </row>
        <row r="29969">
          <cell r="E29969" t="str">
            <v>LUC-186-001786</v>
          </cell>
          <cell r="F29969" t="str">
            <v>'00001998</v>
          </cell>
        </row>
        <row r="29970">
          <cell r="E29970" t="str">
            <v>LUC-186-001786</v>
          </cell>
          <cell r="F29970" t="str">
            <v>'00001998</v>
          </cell>
        </row>
        <row r="29971">
          <cell r="E29971" t="str">
            <v>HLOB-33-0018-00</v>
          </cell>
          <cell r="F29971" t="str">
            <v>'00001998</v>
          </cell>
        </row>
        <row r="29972">
          <cell r="E29972" t="str">
            <v>HLOB-33-0018-00</v>
          </cell>
          <cell r="F29972" t="str">
            <v>'00001998</v>
          </cell>
        </row>
        <row r="29973">
          <cell r="E29973" t="str">
            <v>HLOB-33-0018-00</v>
          </cell>
          <cell r="F29973" t="str">
            <v>'00001998</v>
          </cell>
        </row>
        <row r="29974">
          <cell r="E29974" t="str">
            <v>HLOB-33-0018-00</v>
          </cell>
          <cell r="F29974" t="str">
            <v>'00001998</v>
          </cell>
        </row>
        <row r="29975">
          <cell r="E29975" t="str">
            <v>HLOB-18-0079-00</v>
          </cell>
          <cell r="F29975" t="str">
            <v>'00001998</v>
          </cell>
        </row>
        <row r="29976">
          <cell r="E29976" t="str">
            <v>HLOB-18-0079-00</v>
          </cell>
          <cell r="F29976" t="str">
            <v>'00001998</v>
          </cell>
        </row>
        <row r="29977">
          <cell r="E29977" t="str">
            <v>HLOB-33-0004-00</v>
          </cell>
          <cell r="F29977" t="str">
            <v>'00001998</v>
          </cell>
        </row>
        <row r="29978">
          <cell r="E29978" t="str">
            <v>PUR-33-0025-00</v>
          </cell>
          <cell r="F29978" t="str">
            <v>'00001998</v>
          </cell>
        </row>
        <row r="29979">
          <cell r="E29979" t="str">
            <v>PUR-33-0025-00</v>
          </cell>
          <cell r="F29979" t="str">
            <v>'00001998</v>
          </cell>
        </row>
        <row r="29980">
          <cell r="E29980" t="str">
            <v>HLOB-33-0031-00</v>
          </cell>
          <cell r="F29980" t="str">
            <v>'00001998</v>
          </cell>
        </row>
        <row r="29981">
          <cell r="E29981" t="str">
            <v>PUR-33-0031-00</v>
          </cell>
          <cell r="F29981" t="str">
            <v>'00001998</v>
          </cell>
        </row>
        <row r="29982">
          <cell r="E29982" t="str">
            <v>AGI-899-50003-01</v>
          </cell>
          <cell r="F29982" t="str">
            <v>'00001998</v>
          </cell>
        </row>
        <row r="29983">
          <cell r="E29983" t="str">
            <v>PUR-10-0334-00</v>
          </cell>
          <cell r="F29983" t="str">
            <v>YFYJ-PUR 2312 GS</v>
          </cell>
        </row>
        <row r="29984">
          <cell r="E29984" t="str">
            <v>HLOB-10-0188-00</v>
          </cell>
          <cell r="F29984" t="str">
            <v>YFYJ-PUR 251222 JS</v>
          </cell>
        </row>
        <row r="29985">
          <cell r="E29985" t="str">
            <v>PUR-10-0342-00</v>
          </cell>
          <cell r="F29985" t="str">
            <v>YFYJ-PUR 2212 Proway</v>
          </cell>
        </row>
        <row r="29986">
          <cell r="E29986" t="str">
            <v>PUR-10-0312-00</v>
          </cell>
          <cell r="F29986" t="str">
            <v>YFYJ-PUR 2312 TV</v>
          </cell>
        </row>
        <row r="29987">
          <cell r="E29987" t="str">
            <v>PUR-10-0312-00</v>
          </cell>
          <cell r="F29987" t="str">
            <v>YFYJ-PUR 2312 TV</v>
          </cell>
        </row>
        <row r="29988">
          <cell r="E29988" t="str">
            <v>PUR-10-0313-00</v>
          </cell>
          <cell r="F29988" t="str">
            <v>YFYJ-PUR 2312 TV</v>
          </cell>
        </row>
        <row r="29989">
          <cell r="E29989" t="str">
            <v>161-001396</v>
          </cell>
          <cell r="F29989" t="str">
            <v>UVH-11/25</v>
          </cell>
        </row>
        <row r="29990">
          <cell r="E29990" t="str">
            <v>AGI-872-40023-01</v>
          </cell>
          <cell r="F29990" t="str">
            <v>UVH-11/25</v>
          </cell>
        </row>
        <row r="29991">
          <cell r="E29991" t="str">
            <v>AGI-872-40025-01</v>
          </cell>
          <cell r="F29991" t="str">
            <v>UVH-11/25</v>
          </cell>
        </row>
        <row r="29992">
          <cell r="E29992" t="str">
            <v>LUC-161-001414</v>
          </cell>
          <cell r="F29992" t="str">
            <v>UVH-11/25</v>
          </cell>
        </row>
        <row r="29993">
          <cell r="E29993" t="str">
            <v>LUC-161-001415</v>
          </cell>
          <cell r="F29993" t="str">
            <v>UVH-11/25</v>
          </cell>
        </row>
        <row r="29994">
          <cell r="E29994" t="str">
            <v>LUC-161-001416</v>
          </cell>
          <cell r="F29994" t="str">
            <v>UVH-11/25</v>
          </cell>
        </row>
        <row r="29995">
          <cell r="E29995" t="str">
            <v>LUC-161-001417</v>
          </cell>
          <cell r="F29995" t="str">
            <v>UVH-11/25</v>
          </cell>
        </row>
        <row r="29996">
          <cell r="E29996" t="str">
            <v>LUC-161-001420</v>
          </cell>
          <cell r="F29996" t="str">
            <v>UVH-11/25</v>
          </cell>
        </row>
        <row r="29997">
          <cell r="E29997" t="str">
            <v>LUC-161-001421</v>
          </cell>
          <cell r="F29997" t="str">
            <v>UVH-11/25</v>
          </cell>
        </row>
        <row r="29998">
          <cell r="E29998" t="str">
            <v>LUC-161-001422</v>
          </cell>
          <cell r="F29998" t="str">
            <v>UVH-11/25</v>
          </cell>
        </row>
        <row r="29999">
          <cell r="E29999" t="str">
            <v>LUC-161-001425</v>
          </cell>
          <cell r="F29999" t="str">
            <v>UVH-11/25</v>
          </cell>
        </row>
        <row r="30000">
          <cell r="E30000" t="str">
            <v>LUC-161-001426</v>
          </cell>
          <cell r="F30000" t="str">
            <v>UVH-11/25</v>
          </cell>
        </row>
        <row r="30001">
          <cell r="E30001" t="str">
            <v>LUC-161-001427</v>
          </cell>
          <cell r="F30001" t="str">
            <v>UVH-11/25</v>
          </cell>
        </row>
        <row r="30002">
          <cell r="E30002" t="str">
            <v>LUC-161-001428</v>
          </cell>
          <cell r="F30002" t="str">
            <v>UVH-11/25</v>
          </cell>
        </row>
        <row r="30003">
          <cell r="E30003" t="str">
            <v>LUC-161-001429</v>
          </cell>
          <cell r="F30003" t="str">
            <v>UVH-11/25</v>
          </cell>
        </row>
        <row r="30004">
          <cell r="E30004" t="str">
            <v>LUC-161-001430</v>
          </cell>
          <cell r="F30004" t="str">
            <v>UVH-11/25</v>
          </cell>
        </row>
        <row r="30005">
          <cell r="E30005" t="str">
            <v>LUC-161-001431</v>
          </cell>
          <cell r="F30005" t="str">
            <v>UVH-11/25</v>
          </cell>
        </row>
        <row r="30006">
          <cell r="E30006" t="str">
            <v>LUC-161-001432</v>
          </cell>
          <cell r="F30006" t="str">
            <v>UVH-11/25</v>
          </cell>
        </row>
        <row r="30007">
          <cell r="E30007" t="str">
            <v>LUC-161-001433</v>
          </cell>
          <cell r="F30007" t="str">
            <v>UVH-11/25</v>
          </cell>
        </row>
        <row r="30008">
          <cell r="E30008" t="str">
            <v>LUC-161-001434</v>
          </cell>
          <cell r="F30008" t="str">
            <v>UVH-11/25</v>
          </cell>
        </row>
        <row r="30009">
          <cell r="E30009" t="str">
            <v>LUC-161-001435</v>
          </cell>
          <cell r="F30009" t="str">
            <v>UVH-11/25</v>
          </cell>
        </row>
        <row r="30010">
          <cell r="E30010" t="str">
            <v>LUC-161-001436</v>
          </cell>
          <cell r="F30010" t="str">
            <v>UVH-11/25</v>
          </cell>
        </row>
        <row r="30011">
          <cell r="E30011" t="str">
            <v>LUC-161-001437</v>
          </cell>
          <cell r="F30011" t="str">
            <v>UVH-11/25</v>
          </cell>
        </row>
        <row r="30012">
          <cell r="E30012" t="str">
            <v>LUC-161-001438</v>
          </cell>
          <cell r="F30012" t="str">
            <v>UVH-11/25</v>
          </cell>
        </row>
        <row r="30013">
          <cell r="E30013" t="str">
            <v>LUC-161-001439</v>
          </cell>
          <cell r="F30013" t="str">
            <v>UVH-11/25</v>
          </cell>
        </row>
        <row r="30014">
          <cell r="E30014" t="str">
            <v>LUC-161-001440</v>
          </cell>
          <cell r="F30014" t="str">
            <v>UVH-11/25</v>
          </cell>
        </row>
        <row r="30015">
          <cell r="E30015" t="str">
            <v>LUC-161-001441</v>
          </cell>
          <cell r="F30015" t="str">
            <v>UVH-11/25</v>
          </cell>
        </row>
        <row r="30016">
          <cell r="E30016" t="str">
            <v>LUC-161-001474</v>
          </cell>
          <cell r="F30016" t="str">
            <v>UVH-11/25</v>
          </cell>
        </row>
        <row r="30017">
          <cell r="E30017" t="str">
            <v>LUC-161-001475</v>
          </cell>
          <cell r="F30017" t="str">
            <v>UVH-11/25</v>
          </cell>
        </row>
        <row r="30018">
          <cell r="E30018" t="str">
            <v>LUC-161-001485</v>
          </cell>
          <cell r="F30018" t="str">
            <v>UVH-11/25</v>
          </cell>
        </row>
        <row r="30019">
          <cell r="E30019" t="str">
            <v>LUC-161-001486</v>
          </cell>
          <cell r="F30019" t="str">
            <v>UVH-11/25</v>
          </cell>
        </row>
        <row r="30020">
          <cell r="E30020" t="str">
            <v>LUC-161-001487</v>
          </cell>
          <cell r="F30020" t="str">
            <v>UVH-11/25</v>
          </cell>
        </row>
        <row r="30021">
          <cell r="E30021" t="str">
            <v>LUC-161-001488</v>
          </cell>
          <cell r="F30021" t="str">
            <v>UVH-11/25</v>
          </cell>
        </row>
        <row r="30022">
          <cell r="E30022" t="str">
            <v>LUC-161-001489</v>
          </cell>
          <cell r="F30022" t="str">
            <v>UVH-11/25</v>
          </cell>
        </row>
        <row r="30023">
          <cell r="E30023" t="str">
            <v>LUC-161-001490</v>
          </cell>
          <cell r="F30023" t="str">
            <v>UVH-11/25</v>
          </cell>
        </row>
        <row r="30024">
          <cell r="E30024" t="str">
            <v>LUC-161-001491</v>
          </cell>
          <cell r="F30024" t="str">
            <v>UVH-11/25</v>
          </cell>
        </row>
        <row r="30025">
          <cell r="E30025" t="str">
            <v>LUC-161-001492</v>
          </cell>
          <cell r="F30025" t="str">
            <v>UVH-11/25</v>
          </cell>
        </row>
        <row r="30026">
          <cell r="E30026" t="str">
            <v>LUC-161-001493</v>
          </cell>
          <cell r="F30026" t="str">
            <v>UVH-11/25</v>
          </cell>
        </row>
        <row r="30027">
          <cell r="E30027" t="str">
            <v>161-001522</v>
          </cell>
          <cell r="F30027" t="str">
            <v>'00001158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ther"/>
      <sheetName val="Archiive ratio"/>
      <sheetName val="Debit"/>
      <sheetName val="WO management"/>
      <sheetName val="Export shipment"/>
      <sheetName val="Product"/>
      <sheetName val="Need to Re-Im"/>
      <sheetName val="Nợ CN"/>
      <sheetName val="Need to Re-Ex"/>
      <sheetName val="Note"/>
      <sheetName val="Bù trừ EF-45102320"/>
      <sheetName val="Nhập carrier"/>
      <sheetName val="Sheet1"/>
    </sheetNames>
    <sheetDataSet>
      <sheetData sheetId="0"/>
      <sheetData sheetId="1"/>
      <sheetData sheetId="2"/>
      <sheetData sheetId="3"/>
      <sheetData sheetId="4">
        <row r="1">
          <cell r="V1" t="str">
            <v>Form No:</v>
          </cell>
        </row>
        <row r="8">
          <cell r="B8" t="str">
            <v>INV05661</v>
          </cell>
          <cell r="C8"/>
          <cell r="D8"/>
          <cell r="E8">
            <v>2140.4</v>
          </cell>
          <cell r="F8" t="str">
            <v>HN90003177</v>
          </cell>
          <cell r="G8" t="str">
            <v>x</v>
          </cell>
          <cell r="H8" t="str">
            <v>Lucid AZ</v>
          </cell>
          <cell r="I8" t="str">
            <v>ASSY</v>
          </cell>
          <cell r="J8" t="str">
            <v>DSV</v>
          </cell>
        </row>
        <row r="9">
          <cell r="B9" t="str">
            <v>INV05662</v>
          </cell>
          <cell r="C9"/>
          <cell r="D9"/>
          <cell r="E9">
            <v>18.600000000000001</v>
          </cell>
          <cell r="F9" t="str">
            <v>771147146122</v>
          </cell>
          <cell r="G9" t="str">
            <v>ok</v>
          </cell>
          <cell r="H9" t="str">
            <v>HQ1</v>
          </cell>
          <cell r="I9" t="str">
            <v>DDR4, Cupcake</v>
          </cell>
          <cell r="J9" t="str">
            <v>FedEx</v>
          </cell>
        </row>
        <row r="10">
          <cell r="B10" t="str">
            <v>INV05663</v>
          </cell>
          <cell r="C10"/>
          <cell r="D10"/>
          <cell r="E10">
            <v>66.5</v>
          </cell>
          <cell r="F10" t="str">
            <v>2661600664</v>
          </cell>
          <cell r="G10" t="str">
            <v>x</v>
          </cell>
          <cell r="H10" t="str">
            <v>AVNET US</v>
          </cell>
          <cell r="I10" t="str">
            <v>PCBA, DDR4</v>
          </cell>
          <cell r="J10" t="str">
            <v>DHL</v>
          </cell>
        </row>
        <row r="11">
          <cell r="B11" t="str">
            <v>INV05664</v>
          </cell>
          <cell r="C11"/>
          <cell r="D11"/>
          <cell r="E11">
            <v>87</v>
          </cell>
          <cell r="F11" t="str">
            <v>771148158350</v>
          </cell>
          <cell r="G11" t="str">
            <v>ok</v>
          </cell>
          <cell r="H11" t="str">
            <v>EFI IL</v>
          </cell>
          <cell r="I11" t="str">
            <v>ASM</v>
          </cell>
          <cell r="J11" t="str">
            <v>FedEx</v>
          </cell>
        </row>
        <row r="12">
          <cell r="B12" t="str">
            <v>INV05665</v>
          </cell>
          <cell r="C12"/>
          <cell r="D12"/>
          <cell r="E12">
            <v>9.8000000000000007</v>
          </cell>
          <cell r="F12" t="str">
            <v>771148372978</v>
          </cell>
          <cell r="G12" t="str">
            <v>ok</v>
          </cell>
          <cell r="H12" t="str">
            <v>Flex MX</v>
          </cell>
          <cell r="I12" t="str">
            <v>DDR4</v>
          </cell>
          <cell r="J12" t="str">
            <v>FedEx</v>
          </cell>
        </row>
        <row r="13">
          <cell r="B13" t="str">
            <v>INV05666</v>
          </cell>
          <cell r="C13"/>
          <cell r="D13"/>
          <cell r="E13">
            <v>331</v>
          </cell>
          <cell r="F13" t="str">
            <v>HAN-24009315</v>
          </cell>
          <cell r="G13" t="str">
            <v>x</v>
          </cell>
          <cell r="H13" t="str">
            <v>FCZ</v>
          </cell>
          <cell r="I13" t="str">
            <v>Eiger, Hopper, Icer</v>
          </cell>
          <cell r="J13" t="str">
            <v>Schenker</v>
          </cell>
        </row>
        <row r="14">
          <cell r="B14" t="str">
            <v>INV05667</v>
          </cell>
          <cell r="C14"/>
          <cell r="D14"/>
          <cell r="E14">
            <v>982.4</v>
          </cell>
          <cell r="F14" t="str">
            <v>45T0365346</v>
          </cell>
          <cell r="G14" t="str">
            <v>x</v>
          </cell>
          <cell r="H14" t="str">
            <v>FTX</v>
          </cell>
          <cell r="I14" t="str">
            <v>Grover, hopper, fresher, eiger</v>
          </cell>
          <cell r="J14" t="str">
            <v>Expeditors</v>
          </cell>
        </row>
        <row r="15">
          <cell r="B15" t="str">
            <v>INV05668</v>
          </cell>
          <cell r="C15"/>
          <cell r="D15"/>
          <cell r="E15">
            <v>30.5</v>
          </cell>
          <cell r="F15" t="str">
            <v>MIQSGN03627</v>
          </cell>
          <cell r="G15" t="str">
            <v>x</v>
          </cell>
          <cell r="H15" t="str">
            <v>EFI US</v>
          </cell>
          <cell r="I15" t="str">
            <v>ASM</v>
          </cell>
          <cell r="J15" t="str">
            <v>Noatum</v>
          </cell>
        </row>
        <row r="16">
          <cell r="B16" t="str">
            <v>INV05669</v>
          </cell>
          <cell r="C16"/>
          <cell r="D16"/>
          <cell r="E16">
            <v>3</v>
          </cell>
          <cell r="F16" t="str">
            <v>771171102779</v>
          </cell>
          <cell r="G16" t="str">
            <v>ok</v>
          </cell>
          <cell r="H16" t="str">
            <v>Cloud HK</v>
          </cell>
          <cell r="I16" t="str">
            <v>EUSB</v>
          </cell>
          <cell r="J16" t="str">
            <v>FedEx</v>
          </cell>
        </row>
        <row r="17">
          <cell r="B17" t="str">
            <v>E00861</v>
          </cell>
          <cell r="C17"/>
          <cell r="D17"/>
          <cell r="E17">
            <v>66.3</v>
          </cell>
          <cell r="F17" t="str">
            <v>45T0365393</v>
          </cell>
          <cell r="G17" t="str">
            <v>x</v>
          </cell>
          <cell r="H17" t="str">
            <v>ARROW</v>
          </cell>
          <cell r="I17" t="str">
            <v>Connector</v>
          </cell>
          <cell r="J17" t="str">
            <v>Expeditors</v>
          </cell>
        </row>
        <row r="18">
          <cell r="B18" t="str">
            <v>INV05670</v>
          </cell>
          <cell r="C18"/>
          <cell r="D18"/>
          <cell r="E18">
            <v>11.9</v>
          </cell>
          <cell r="F18" t="str">
            <v>771222736105</v>
          </cell>
          <cell r="G18" t="str">
            <v>ok</v>
          </cell>
          <cell r="H18" t="str">
            <v>Ingrasys</v>
          </cell>
          <cell r="I18" t="str">
            <v>DDR4</v>
          </cell>
          <cell r="J18" t="str">
            <v>FedEx</v>
          </cell>
        </row>
        <row r="19">
          <cell r="B19" t="str">
            <v>E00862</v>
          </cell>
          <cell r="C19"/>
          <cell r="D19"/>
          <cell r="E19">
            <v>12.6</v>
          </cell>
          <cell r="F19" t="str">
            <v>771249151701</v>
          </cell>
          <cell r="G19" t="str">
            <v>ok</v>
          </cell>
          <cell r="H19" t="str">
            <v>Fiery</v>
          </cell>
          <cell r="I19" t="str">
            <v>Res, Pcb</v>
          </cell>
          <cell r="J19" t="str">
            <v>FedEx</v>
          </cell>
        </row>
        <row r="20">
          <cell r="B20" t="str">
            <v>INV05671</v>
          </cell>
          <cell r="C20"/>
          <cell r="D20"/>
          <cell r="E20">
            <v>75.2</v>
          </cell>
          <cell r="F20" t="str">
            <v>8607242980</v>
          </cell>
          <cell r="G20" t="str">
            <v>x</v>
          </cell>
          <cell r="H20" t="str">
            <v>AVNET US</v>
          </cell>
          <cell r="I20" t="str">
            <v>PCBA</v>
          </cell>
          <cell r="J20" t="str">
            <v>DHL</v>
          </cell>
        </row>
        <row r="21">
          <cell r="B21" t="str">
            <v>INV05672</v>
          </cell>
          <cell r="C21"/>
          <cell r="D21"/>
          <cell r="E21">
            <v>22.5</v>
          </cell>
          <cell r="F21" t="str">
            <v>771252559401</v>
          </cell>
          <cell r="G21" t="str">
            <v>ok</v>
          </cell>
          <cell r="H21" t="str">
            <v>EFI Italy</v>
          </cell>
          <cell r="I21" t="str">
            <v>PCBA</v>
          </cell>
          <cell r="J21" t="str">
            <v>FedEx</v>
          </cell>
        </row>
        <row r="22">
          <cell r="B22" t="str">
            <v>E00863</v>
          </cell>
          <cell r="C22"/>
          <cell r="D22"/>
          <cell r="E22">
            <v>0.8</v>
          </cell>
          <cell r="F22" t="str">
            <v>771260905021</v>
          </cell>
          <cell r="G22" t="str">
            <v>ok</v>
          </cell>
          <cell r="H22" t="str">
            <v>CTU</v>
          </cell>
          <cell r="I22" t="str">
            <v>IC, PCB</v>
          </cell>
          <cell r="J22" t="str">
            <v>FedEx</v>
          </cell>
        </row>
        <row r="23">
          <cell r="B23" t="str">
            <v>INV05673</v>
          </cell>
          <cell r="C23"/>
          <cell r="D23"/>
          <cell r="E23">
            <v>4.3</v>
          </cell>
          <cell r="F23" t="str">
            <v>771278045375</v>
          </cell>
          <cell r="G23" t="str">
            <v>ok</v>
          </cell>
          <cell r="H23" t="str">
            <v>Keysight</v>
          </cell>
          <cell r="I23" t="str">
            <v>DDR4</v>
          </cell>
          <cell r="J23" t="str">
            <v>FedEx</v>
          </cell>
        </row>
        <row r="24">
          <cell r="B24" t="str">
            <v>E00864</v>
          </cell>
          <cell r="C24"/>
          <cell r="D24"/>
          <cell r="E24">
            <v>0.4</v>
          </cell>
          <cell r="F24" t="str">
            <v>771279757547</v>
          </cell>
          <cell r="G24" t="str">
            <v>ok</v>
          </cell>
          <cell r="H24" t="str">
            <v>Pure Storage</v>
          </cell>
          <cell r="I24" t="str">
            <v>PCB</v>
          </cell>
          <cell r="J24" t="str">
            <v>FedEx</v>
          </cell>
        </row>
        <row r="25">
          <cell r="B25" t="str">
            <v>E00865</v>
          </cell>
          <cell r="C25"/>
          <cell r="D25"/>
          <cell r="E25">
            <v>1</v>
          </cell>
          <cell r="F25" t="str">
            <v>771256329328</v>
          </cell>
          <cell r="G25" t="str">
            <v>ok</v>
          </cell>
          <cell r="H25" t="str">
            <v>Bangtai</v>
          </cell>
          <cell r="I25" t="str">
            <v>IC</v>
          </cell>
          <cell r="J25" t="str">
            <v>FedEx</v>
          </cell>
        </row>
        <row r="26">
          <cell r="B26" t="str">
            <v>INV05674</v>
          </cell>
          <cell r="C26"/>
          <cell r="D26"/>
          <cell r="E26">
            <v>381.7</v>
          </cell>
          <cell r="F26" t="str">
            <v>HAN-25000152</v>
          </cell>
          <cell r="G26" t="str">
            <v>x</v>
          </cell>
          <cell r="H26" t="str">
            <v>FCZ</v>
          </cell>
          <cell r="I26" t="str">
            <v>Hopper</v>
          </cell>
          <cell r="J26" t="str">
            <v>Schenker</v>
          </cell>
        </row>
        <row r="27">
          <cell r="B27" t="str">
            <v>E00866</v>
          </cell>
          <cell r="C27"/>
          <cell r="D27"/>
          <cell r="E27">
            <v>20</v>
          </cell>
          <cell r="F27" t="str">
            <v>771307887568</v>
          </cell>
          <cell r="G27" t="str">
            <v>ok</v>
          </cell>
          <cell r="H27" t="str">
            <v>Transfer to HQ1</v>
          </cell>
          <cell r="I27" t="str">
            <v>Integrated circuit, capacitor, inductor, ferrite bead, carrier, label</v>
          </cell>
          <cell r="J27" t="str">
            <v>FedEx</v>
          </cell>
        </row>
        <row r="28">
          <cell r="B28" t="str">
            <v>E00867</v>
          </cell>
          <cell r="C28"/>
          <cell r="D28"/>
          <cell r="E28">
            <v>2.2999999999999998</v>
          </cell>
          <cell r="F28" t="str">
            <v>771310616810</v>
          </cell>
          <cell r="G28" t="str">
            <v>ok</v>
          </cell>
          <cell r="H28" t="str">
            <v>Bangtai</v>
          </cell>
          <cell r="I28" t="str">
            <v>Screw</v>
          </cell>
          <cell r="J28" t="str">
            <v>FedEx</v>
          </cell>
        </row>
        <row r="29">
          <cell r="B29" t="str">
            <v>INV05675</v>
          </cell>
          <cell r="C29"/>
          <cell r="D29"/>
          <cell r="E29">
            <v>1775</v>
          </cell>
          <cell r="F29" t="str">
            <v>45T0365395</v>
          </cell>
          <cell r="G29" t="str">
            <v>x</v>
          </cell>
          <cell r="H29" t="str">
            <v>FTX</v>
          </cell>
          <cell r="I29" t="str">
            <v>Fresher, Eiger, Grover, Hopper</v>
          </cell>
          <cell r="J29" t="str">
            <v>Expeditors</v>
          </cell>
        </row>
        <row r="30">
          <cell r="B30" t="str">
            <v>INV05676</v>
          </cell>
          <cell r="C30"/>
          <cell r="D30"/>
          <cell r="E30">
            <v>1.4</v>
          </cell>
          <cell r="F30" t="str">
            <v>771379268197</v>
          </cell>
          <cell r="G30" t="str">
            <v>ok</v>
          </cell>
          <cell r="H30" t="str">
            <v>Cham Soul</v>
          </cell>
          <cell r="I30" t="str">
            <v>Powergem</v>
          </cell>
          <cell r="J30" t="str">
            <v>FedEx</v>
          </cell>
        </row>
        <row r="31">
          <cell r="B31" t="str">
            <v>INV05677</v>
          </cell>
          <cell r="C31"/>
          <cell r="D31"/>
          <cell r="E31">
            <v>0.7</v>
          </cell>
          <cell r="F31" t="str">
            <v>771332785129</v>
          </cell>
          <cell r="G31" t="str">
            <v>ok</v>
          </cell>
          <cell r="H31" t="str">
            <v>Arista</v>
          </cell>
          <cell r="I31" t="str">
            <v>DDR4</v>
          </cell>
          <cell r="J31" t="str">
            <v>FedEx</v>
          </cell>
        </row>
        <row r="32">
          <cell r="B32" t="str">
            <v>E00868</v>
          </cell>
          <cell r="C32"/>
          <cell r="D32"/>
          <cell r="E32">
            <v>400</v>
          </cell>
          <cell r="F32" t="str">
            <v>x</v>
          </cell>
          <cell r="G32" t="str">
            <v>x</v>
          </cell>
          <cell r="H32" t="str">
            <v>EPE</v>
          </cell>
          <cell r="I32" t="str">
            <v>Foam</v>
          </cell>
          <cell r="J32" t="str">
            <v>VVMV</v>
          </cell>
        </row>
        <row r="33">
          <cell r="B33" t="str">
            <v>E00869</v>
          </cell>
          <cell r="C33"/>
          <cell r="D33"/>
          <cell r="E33">
            <v>63.6</v>
          </cell>
          <cell r="F33" t="str">
            <v>771407028993</v>
          </cell>
          <cell r="G33" t="str">
            <v>ok</v>
          </cell>
          <cell r="H33" t="str">
            <v>Transfer to HQ1</v>
          </cell>
          <cell r="I33" t="str">
            <v>Tray empty drive</v>
          </cell>
          <cell r="J33" t="str">
            <v>FedEx</v>
          </cell>
        </row>
        <row r="34">
          <cell r="B34" t="str">
            <v>Sample 647</v>
          </cell>
          <cell r="C34"/>
          <cell r="D34"/>
          <cell r="E34">
            <v>0.1</v>
          </cell>
          <cell r="F34" t="str">
            <v>SF3140303656536</v>
          </cell>
          <cell r="G34" t="str">
            <v>x</v>
          </cell>
          <cell r="H34" t="str">
            <v>J&amp;T</v>
          </cell>
          <cell r="I34" t="str">
            <v>Cable</v>
          </cell>
          <cell r="J34" t="str">
            <v>SF Express</v>
          </cell>
        </row>
        <row r="35">
          <cell r="B35" t="str">
            <v>CANCEL</v>
          </cell>
          <cell r="C35"/>
          <cell r="D35"/>
          <cell r="E35" t="str">
            <v>CANCEL</v>
          </cell>
          <cell r="F35" t="str">
            <v>CANCEL</v>
          </cell>
          <cell r="G35" t="str">
            <v>CANCEL</v>
          </cell>
          <cell r="H35" t="str">
            <v>CANCEL</v>
          </cell>
          <cell r="I35" t="str">
            <v>CANCEL</v>
          </cell>
          <cell r="J35" t="str">
            <v>CANCEL</v>
          </cell>
        </row>
        <row r="36">
          <cell r="B36" t="str">
            <v>E00870</v>
          </cell>
          <cell r="C36"/>
          <cell r="D36"/>
          <cell r="E36">
            <v>8010</v>
          </cell>
          <cell r="F36" t="str">
            <v>SNLFHPCL005125</v>
          </cell>
          <cell r="G36" t="str">
            <v>x</v>
          </cell>
          <cell r="H36" t="str">
            <v>DEJUYUAN</v>
          </cell>
          <cell r="I36" t="str">
            <v>Panasonic mounter old machine</v>
          </cell>
          <cell r="J36" t="str">
            <v>SINO</v>
          </cell>
        </row>
        <row r="37">
          <cell r="B37" t="str">
            <v>INV05678</v>
          </cell>
          <cell r="C37"/>
          <cell r="D37"/>
          <cell r="E37">
            <v>21.8</v>
          </cell>
          <cell r="F37" t="str">
            <v>771411217218</v>
          </cell>
          <cell r="G37" t="str">
            <v>ok</v>
          </cell>
          <cell r="H37" t="str">
            <v>Flex US</v>
          </cell>
          <cell r="I37" t="str">
            <v>DDR4</v>
          </cell>
          <cell r="J37" t="str">
            <v>FedEx</v>
          </cell>
        </row>
        <row r="38">
          <cell r="B38" t="str">
            <v>INV05679</v>
          </cell>
          <cell r="C38"/>
          <cell r="D38"/>
          <cell r="E38">
            <v>17.399999999999999</v>
          </cell>
          <cell r="F38" t="str">
            <v>771415272824</v>
          </cell>
          <cell r="G38" t="str">
            <v>ok</v>
          </cell>
          <cell r="H38" t="str">
            <v>Flex MX</v>
          </cell>
          <cell r="I38" t="str">
            <v>DDR4</v>
          </cell>
          <cell r="J38" t="str">
            <v>FedEx</v>
          </cell>
        </row>
        <row r="39">
          <cell r="B39" t="str">
            <v>INV05680</v>
          </cell>
          <cell r="C39"/>
          <cell r="D39"/>
          <cell r="E39">
            <v>141.69999999999999</v>
          </cell>
          <cell r="F39" t="str">
            <v>45T0367320</v>
          </cell>
          <cell r="G39" t="str">
            <v>x</v>
          </cell>
          <cell r="H39" t="str">
            <v>ZT Systems</v>
          </cell>
          <cell r="I39" t="str">
            <v>Powergem</v>
          </cell>
          <cell r="J39" t="str">
            <v>Expeditors</v>
          </cell>
        </row>
        <row r="40">
          <cell r="B40" t="str">
            <v>INV05681</v>
          </cell>
          <cell r="C40"/>
          <cell r="D40"/>
          <cell r="E40">
            <v>778.2</v>
          </cell>
          <cell r="F40" t="str">
            <v>HAN-25000305</v>
          </cell>
          <cell r="G40" t="str">
            <v>x</v>
          </cell>
          <cell r="H40" t="str">
            <v>FCZ</v>
          </cell>
          <cell r="I40" t="str">
            <v>Fresher, Eiger, Grover, Hopper, ICER</v>
          </cell>
          <cell r="J40" t="str">
            <v>Schenker</v>
          </cell>
        </row>
        <row r="41">
          <cell r="B41" t="str">
            <v>INV05682</v>
          </cell>
          <cell r="C41"/>
          <cell r="D41"/>
          <cell r="E41">
            <v>1782.7</v>
          </cell>
          <cell r="F41" t="str">
            <v>45T0366297</v>
          </cell>
          <cell r="G41" t="str">
            <v>x</v>
          </cell>
          <cell r="H41" t="str">
            <v>FTX</v>
          </cell>
          <cell r="I41" t="str">
            <v>Fresher, Eiger, Grover, Hopper</v>
          </cell>
          <cell r="J41" t="str">
            <v>Expeditors</v>
          </cell>
        </row>
        <row r="42">
          <cell r="B42" t="str">
            <v>INV05683</v>
          </cell>
          <cell r="C42"/>
          <cell r="D42"/>
          <cell r="E42">
            <v>181.8</v>
          </cell>
          <cell r="F42" t="str">
            <v xml:space="preserve">SGN2501015 </v>
          </cell>
          <cell r="G42" t="str">
            <v>x</v>
          </cell>
          <cell r="H42" t="str">
            <v>Lucid MX</v>
          </cell>
          <cell r="I42" t="str">
            <v>USB</v>
          </cell>
          <cell r="J42" t="str">
            <v>PRIME</v>
          </cell>
        </row>
        <row r="43">
          <cell r="B43" t="str">
            <v>E00871</v>
          </cell>
          <cell r="C43"/>
          <cell r="D43"/>
          <cell r="E43">
            <v>1.1000000000000001</v>
          </cell>
          <cell r="F43" t="str">
            <v>771560652987</v>
          </cell>
          <cell r="G43" t="str">
            <v>ok</v>
          </cell>
          <cell r="H43" t="str">
            <v>Venkel</v>
          </cell>
          <cell r="I43" t="str">
            <v>Cap cer</v>
          </cell>
          <cell r="J43" t="str">
            <v>FedEx</v>
          </cell>
        </row>
        <row r="44">
          <cell r="B44" t="str">
            <v>Sample 649</v>
          </cell>
          <cell r="C44"/>
          <cell r="D44"/>
          <cell r="E44">
            <v>0.2</v>
          </cell>
          <cell r="F44" t="str">
            <v>1ZC2269J8606881895</v>
          </cell>
          <cell r="G44" t="str">
            <v>x</v>
          </cell>
          <cell r="H44" t="str">
            <v>ISU</v>
          </cell>
          <cell r="I44" t="str">
            <v>PCB</v>
          </cell>
          <cell r="J44" t="str">
            <v>UPS</v>
          </cell>
        </row>
        <row r="45">
          <cell r="B45" t="str">
            <v>INV05684</v>
          </cell>
          <cell r="C45"/>
          <cell r="D45"/>
          <cell r="E45">
            <v>104.7</v>
          </cell>
          <cell r="F45" t="str">
            <v>45T0367404</v>
          </cell>
          <cell r="G45" t="str">
            <v>x</v>
          </cell>
          <cell r="H45" t="str">
            <v>FTX</v>
          </cell>
          <cell r="I45" t="str">
            <v>Eiger</v>
          </cell>
          <cell r="J45" t="str">
            <v>Expeditors</v>
          </cell>
        </row>
        <row r="46">
          <cell r="B46" t="str">
            <v>E00872</v>
          </cell>
          <cell r="C46"/>
          <cell r="D46"/>
          <cell r="E46">
            <v>16.8</v>
          </cell>
          <cell r="F46" t="str">
            <v>771624630509</v>
          </cell>
          <cell r="G46" t="str">
            <v>ok</v>
          </cell>
          <cell r="H46" t="str">
            <v>Transfer to HQ1</v>
          </cell>
          <cell r="I46" t="str">
            <v>Integrated circuit, resistor, capacitor, crystal, connector, inductor, standoff, ferrite bead, EUSB, Jig</v>
          </cell>
          <cell r="J46" t="str">
            <v>FedEx</v>
          </cell>
        </row>
        <row r="47">
          <cell r="B47" t="str">
            <v>INV05685</v>
          </cell>
          <cell r="C47"/>
          <cell r="D47"/>
          <cell r="E47">
            <v>8.6999999999999993</v>
          </cell>
          <cell r="F47" t="str">
            <v>771540328765</v>
          </cell>
          <cell r="G47" t="str">
            <v>ok</v>
          </cell>
          <cell r="H47" t="str">
            <v>Taiwan Express</v>
          </cell>
          <cell r="I47" t="str">
            <v>EUSB</v>
          </cell>
          <cell r="J47" t="str">
            <v>FedEx</v>
          </cell>
        </row>
        <row r="48">
          <cell r="B48" t="str">
            <v>INV05686</v>
          </cell>
          <cell r="C48"/>
          <cell r="D48"/>
          <cell r="E48">
            <v>0.7</v>
          </cell>
          <cell r="F48" t="str">
            <v>7507244776</v>
          </cell>
          <cell r="G48" t="str">
            <v>x</v>
          </cell>
          <cell r="H48" t="str">
            <v>Brocade</v>
          </cell>
          <cell r="I48" t="str">
            <v>DDR4</v>
          </cell>
          <cell r="J48" t="str">
            <v>DHL</v>
          </cell>
        </row>
        <row r="49">
          <cell r="B49" t="str">
            <v>E00873</v>
          </cell>
          <cell r="C49"/>
          <cell r="D49"/>
          <cell r="E49" t="b">
            <v>0</v>
          </cell>
          <cell r="F49" t="str">
            <v>hold k ship</v>
          </cell>
          <cell r="G49" t="str">
            <v>x</v>
          </cell>
          <cell r="H49" t="e">
            <v>#N/A</v>
          </cell>
          <cell r="I49"/>
          <cell r="J49" t="e">
            <v>#N/A</v>
          </cell>
        </row>
        <row r="50">
          <cell r="B50" t="str">
            <v>E00874</v>
          </cell>
          <cell r="C50"/>
          <cell r="D50"/>
          <cell r="E50">
            <v>400</v>
          </cell>
          <cell r="F50" t="str">
            <v>x</v>
          </cell>
          <cell r="G50" t="str">
            <v>x</v>
          </cell>
          <cell r="H50" t="str">
            <v>EPE</v>
          </cell>
          <cell r="I50" t="str">
            <v>Foam</v>
          </cell>
          <cell r="J50" t="str">
            <v>VVMV</v>
          </cell>
        </row>
        <row r="51">
          <cell r="B51" t="str">
            <v>E00875</v>
          </cell>
          <cell r="C51"/>
          <cell r="D51"/>
          <cell r="E51">
            <v>1.2</v>
          </cell>
          <cell r="F51" t="str">
            <v>771559758951</v>
          </cell>
          <cell r="G51" t="str">
            <v>ok</v>
          </cell>
          <cell r="H51" t="str">
            <v>Kingston</v>
          </cell>
          <cell r="I51" t="str">
            <v>Label</v>
          </cell>
          <cell r="J51" t="str">
            <v>FedEx</v>
          </cell>
        </row>
        <row r="52">
          <cell r="B52" t="str">
            <v>INV05687</v>
          </cell>
          <cell r="C52"/>
          <cell r="D52"/>
          <cell r="E52">
            <v>12.6</v>
          </cell>
          <cell r="F52" t="str">
            <v>771566782086</v>
          </cell>
          <cell r="G52" t="str">
            <v>ok</v>
          </cell>
          <cell r="H52" t="str">
            <v>iXsystems</v>
          </cell>
          <cell r="I52" t="str">
            <v>DDR4</v>
          </cell>
          <cell r="J52" t="str">
            <v>FedEx</v>
          </cell>
        </row>
        <row r="53">
          <cell r="B53" t="str">
            <v>INV05688</v>
          </cell>
          <cell r="C53"/>
          <cell r="D53"/>
          <cell r="E53">
            <v>44.5</v>
          </cell>
          <cell r="F53" t="str">
            <v>771563998508</v>
          </cell>
          <cell r="G53" t="str">
            <v>ok</v>
          </cell>
          <cell r="H53" t="str">
            <v>Ingrasys</v>
          </cell>
          <cell r="I53" t="str">
            <v>DDR4</v>
          </cell>
          <cell r="J53" t="str">
            <v>FedEx</v>
          </cell>
        </row>
        <row r="54">
          <cell r="B54" t="str">
            <v>INV05689</v>
          </cell>
          <cell r="C54"/>
          <cell r="D54"/>
          <cell r="E54">
            <v>10.4</v>
          </cell>
          <cell r="F54" t="str">
            <v>5541576515</v>
          </cell>
          <cell r="G54" t="str">
            <v>x</v>
          </cell>
          <cell r="H54" t="str">
            <v>Jabil MY</v>
          </cell>
          <cell r="I54" t="str">
            <v>DDR4</v>
          </cell>
          <cell r="J54" t="str">
            <v>DHL</v>
          </cell>
        </row>
        <row r="55">
          <cell r="B55" t="str">
            <v>INV05690</v>
          </cell>
          <cell r="C55"/>
          <cell r="D55"/>
          <cell r="E55">
            <v>13.4</v>
          </cell>
          <cell r="F55" t="str">
            <v>4768858441</v>
          </cell>
          <cell r="G55" t="str">
            <v>x</v>
          </cell>
          <cell r="H55" t="str">
            <v>Jabil MY</v>
          </cell>
          <cell r="I55" t="str">
            <v>DDR4</v>
          </cell>
          <cell r="J55" t="str">
            <v>DHL</v>
          </cell>
        </row>
        <row r="56">
          <cell r="B56" t="str">
            <v>INV05691</v>
          </cell>
          <cell r="C56"/>
          <cell r="D56"/>
          <cell r="E56">
            <v>45</v>
          </cell>
          <cell r="F56" t="str">
            <v>MIQSGN03676</v>
          </cell>
          <cell r="G56" t="str">
            <v>x</v>
          </cell>
          <cell r="H56" t="str">
            <v>EFI</v>
          </cell>
          <cell r="I56" t="str">
            <v>Ranger</v>
          </cell>
          <cell r="J56" t="str">
            <v>Noatum</v>
          </cell>
        </row>
        <row r="57">
          <cell r="B57" t="str">
            <v>INV05692</v>
          </cell>
          <cell r="C57"/>
          <cell r="D57"/>
          <cell r="E57">
            <v>87</v>
          </cell>
          <cell r="F57" t="str">
            <v>45T0367383</v>
          </cell>
          <cell r="G57" t="str">
            <v>x</v>
          </cell>
          <cell r="H57" t="str">
            <v>UPS SCS</v>
          </cell>
          <cell r="I57" t="str">
            <v>Fru</v>
          </cell>
          <cell r="J57" t="str">
            <v>Expeditors</v>
          </cell>
        </row>
        <row r="58">
          <cell r="B58" t="str">
            <v>INV05693</v>
          </cell>
          <cell r="C58"/>
          <cell r="D58"/>
          <cell r="E58">
            <v>926.2</v>
          </cell>
          <cell r="F58" t="str">
            <v>HN90003253</v>
          </cell>
          <cell r="G58" t="str">
            <v>x</v>
          </cell>
          <cell r="H58" t="str">
            <v>Lucid AZ</v>
          </cell>
          <cell r="I58" t="str">
            <v>ASSY GRAVITY, ASSY CONTROLLER</v>
          </cell>
          <cell r="J58" t="str">
            <v>DSV</v>
          </cell>
        </row>
        <row r="59">
          <cell r="B59" t="str">
            <v>INV05694</v>
          </cell>
          <cell r="C59"/>
          <cell r="D59"/>
          <cell r="E59">
            <v>271.5</v>
          </cell>
          <cell r="F59" t="str">
            <v>HN90003258</v>
          </cell>
          <cell r="G59" t="str">
            <v>x</v>
          </cell>
          <cell r="H59" t="str">
            <v>Lucid US</v>
          </cell>
          <cell r="I59" t="str">
            <v>ASSY, PCBA</v>
          </cell>
          <cell r="J59" t="str">
            <v>DSV</v>
          </cell>
        </row>
        <row r="60">
          <cell r="B60" t="str">
            <v>INV05695</v>
          </cell>
          <cell r="C60"/>
          <cell r="D60"/>
          <cell r="E60">
            <v>3.4</v>
          </cell>
          <cell r="F60" t="str">
            <v>771616720395</v>
          </cell>
          <cell r="G60" t="str">
            <v>ok</v>
          </cell>
          <cell r="H60" t="str">
            <v>iXsystems</v>
          </cell>
          <cell r="I60" t="str">
            <v>Powergem</v>
          </cell>
          <cell r="J60" t="str">
            <v>FedEx</v>
          </cell>
        </row>
        <row r="61">
          <cell r="B61" t="str">
            <v>E00876</v>
          </cell>
          <cell r="C61"/>
          <cell r="D61"/>
          <cell r="E61">
            <v>0.7</v>
          </cell>
          <cell r="F61" t="str">
            <v>1ZA515E28898478726</v>
          </cell>
          <cell r="G61" t="str">
            <v>x</v>
          </cell>
          <cell r="H61" t="str">
            <v>DIGI-KEY</v>
          </cell>
          <cell r="I61" t="str">
            <v>Cap tant</v>
          </cell>
          <cell r="J61" t="str">
            <v>UPS</v>
          </cell>
        </row>
        <row r="62">
          <cell r="B62" t="str">
            <v>E00877</v>
          </cell>
          <cell r="C62"/>
          <cell r="D62"/>
          <cell r="E62">
            <v>26.3</v>
          </cell>
          <cell r="F62" t="str">
            <v>2375495345</v>
          </cell>
          <cell r="G62" t="str">
            <v>x</v>
          </cell>
          <cell r="H62" t="str">
            <v>Amphenol</v>
          </cell>
          <cell r="I62" t="str">
            <v>Connector</v>
          </cell>
          <cell r="J62" t="str">
            <v>DHL</v>
          </cell>
        </row>
        <row r="63">
          <cell r="B63" t="str">
            <v>INV05696</v>
          </cell>
          <cell r="C63"/>
          <cell r="D63"/>
          <cell r="E63">
            <v>37</v>
          </cell>
          <cell r="F63" t="str">
            <v>4866389614</v>
          </cell>
          <cell r="G63" t="str">
            <v>x</v>
          </cell>
          <cell r="H63" t="str">
            <v>JABIL MX</v>
          </cell>
          <cell r="I63" t="str">
            <v>Hopper</v>
          </cell>
          <cell r="J63" t="str">
            <v>DHL</v>
          </cell>
        </row>
        <row r="64">
          <cell r="B64" t="str">
            <v>INV05697</v>
          </cell>
          <cell r="C64"/>
          <cell r="D64"/>
          <cell r="E64">
            <v>46.5</v>
          </cell>
          <cell r="F64" t="str">
            <v>4866448742</v>
          </cell>
          <cell r="G64" t="str">
            <v>x</v>
          </cell>
          <cell r="H64" t="str">
            <v>JABIL MX</v>
          </cell>
          <cell r="I64" t="str">
            <v>Hopper</v>
          </cell>
          <cell r="J64" t="str">
            <v>DHL</v>
          </cell>
        </row>
        <row r="65">
          <cell r="B65" t="str">
            <v>INV05698</v>
          </cell>
          <cell r="C65"/>
          <cell r="D65"/>
          <cell r="E65">
            <v>177.2</v>
          </cell>
          <cell r="F65" t="str">
            <v>MAWB: 695-54771216
HAWB: 5278319167</v>
          </cell>
          <cell r="G65" t="str">
            <v>x</v>
          </cell>
          <cell r="H65" t="str">
            <v>JABIL San Jose</v>
          </cell>
          <cell r="I65" t="str">
            <v>Hopper</v>
          </cell>
          <cell r="J65" t="str">
            <v>UPS</v>
          </cell>
        </row>
        <row r="66">
          <cell r="B66" t="str">
            <v>INV05699</v>
          </cell>
          <cell r="C66"/>
          <cell r="D66"/>
          <cell r="E66">
            <v>45</v>
          </cell>
          <cell r="F66" t="str">
            <v>771623900861</v>
          </cell>
          <cell r="G66" t="str">
            <v>ok</v>
          </cell>
          <cell r="H66" t="str">
            <v>Pure Storage</v>
          </cell>
          <cell r="I66" t="str">
            <v>Hopper</v>
          </cell>
          <cell r="J66" t="str">
            <v>FedEx</v>
          </cell>
        </row>
        <row r="67">
          <cell r="B67" t="str">
            <v>INV05700</v>
          </cell>
          <cell r="C67"/>
          <cell r="D67"/>
          <cell r="E67">
            <v>0.6</v>
          </cell>
          <cell r="F67" t="str">
            <v>1923864202</v>
          </cell>
          <cell r="G67" t="str">
            <v>x</v>
          </cell>
          <cell r="H67" t="str">
            <v>AVAGO</v>
          </cell>
          <cell r="I67" t="str">
            <v>EUSB</v>
          </cell>
          <cell r="J67" t="str">
            <v>DHL</v>
          </cell>
        </row>
        <row r="68">
          <cell r="B68" t="str">
            <v>INV05701</v>
          </cell>
          <cell r="C68"/>
          <cell r="D68"/>
          <cell r="E68">
            <v>0.6</v>
          </cell>
          <cell r="F68" t="str">
            <v>8220426476</v>
          </cell>
          <cell r="G68" t="str">
            <v>x</v>
          </cell>
          <cell r="H68" t="str">
            <v>BROADCOM</v>
          </cell>
          <cell r="I68" t="str">
            <v>EUSB</v>
          </cell>
          <cell r="J68" t="str">
            <v>DHL</v>
          </cell>
        </row>
        <row r="69">
          <cell r="B69" t="str">
            <v>INV05702</v>
          </cell>
          <cell r="C69"/>
          <cell r="D69"/>
          <cell r="E69">
            <v>505.6</v>
          </cell>
          <cell r="F69" t="str">
            <v>HAN-25000555</v>
          </cell>
          <cell r="G69" t="str">
            <v>x</v>
          </cell>
          <cell r="H69" t="str">
            <v>FCZ</v>
          </cell>
          <cell r="I69" t="str">
            <v>Fresher, Eiger, Grover, Hopper</v>
          </cell>
          <cell r="J69" t="str">
            <v>Schenker</v>
          </cell>
        </row>
        <row r="70">
          <cell r="B70" t="str">
            <v>INV05703</v>
          </cell>
          <cell r="C70"/>
          <cell r="D70"/>
          <cell r="E70">
            <v>937</v>
          </cell>
          <cell r="F70" t="str">
            <v>45T0368925</v>
          </cell>
          <cell r="G70" t="str">
            <v>x</v>
          </cell>
          <cell r="H70" t="str">
            <v>FTX</v>
          </cell>
          <cell r="I70" t="str">
            <v>Fresher, Eiger, Grover, Hopper</v>
          </cell>
          <cell r="J70" t="str">
            <v>Expeditors</v>
          </cell>
        </row>
        <row r="71">
          <cell r="B71" t="str">
            <v>INV05704</v>
          </cell>
          <cell r="C71"/>
          <cell r="D71"/>
          <cell r="E71">
            <v>1</v>
          </cell>
          <cell r="F71" t="str">
            <v>771616416214</v>
          </cell>
          <cell r="G71" t="str">
            <v>ok</v>
          </cell>
          <cell r="H71" t="str">
            <v>CTU</v>
          </cell>
          <cell r="I71" t="str">
            <v>EUSB</v>
          </cell>
          <cell r="J71" t="str">
            <v>FedEx</v>
          </cell>
        </row>
        <row r="72">
          <cell r="B72" t="str">
            <v>INV05705</v>
          </cell>
          <cell r="C72"/>
          <cell r="D72"/>
          <cell r="E72">
            <v>100.4</v>
          </cell>
          <cell r="F72" t="str">
            <v>8220517620</v>
          </cell>
          <cell r="G72" t="str">
            <v>x</v>
          </cell>
          <cell r="H72" t="str">
            <v>AVNET US</v>
          </cell>
          <cell r="I72" t="str">
            <v>PCBA, DDR4</v>
          </cell>
          <cell r="J72" t="str">
            <v>DHL</v>
          </cell>
        </row>
        <row r="73">
          <cell r="B73" t="str">
            <v>INV05706</v>
          </cell>
          <cell r="C73"/>
          <cell r="D73"/>
          <cell r="E73">
            <v>10</v>
          </cell>
          <cell r="F73">
            <v>1059459483</v>
          </cell>
          <cell r="G73" t="str">
            <v>x</v>
          </cell>
          <cell r="H73" t="str">
            <v>JABIL TW</v>
          </cell>
          <cell r="I73" t="str">
            <v>Hopper, Grover</v>
          </cell>
          <cell r="J73" t="str">
            <v>DHL</v>
          </cell>
        </row>
        <row r="74">
          <cell r="B74" t="str">
            <v>INV05707</v>
          </cell>
          <cell r="C74"/>
          <cell r="D74"/>
          <cell r="E74">
            <v>152.4</v>
          </cell>
          <cell r="F74" t="str">
            <v>HN90003271</v>
          </cell>
          <cell r="G74" t="str">
            <v>x</v>
          </cell>
          <cell r="H74" t="str">
            <v>Lucid AZ</v>
          </cell>
          <cell r="I74" t="str">
            <v>ASSY Door control module</v>
          </cell>
          <cell r="J74" t="str">
            <v>DSV</v>
          </cell>
        </row>
        <row r="75">
          <cell r="B75" t="str">
            <v>INV05708</v>
          </cell>
          <cell r="C75"/>
          <cell r="D75"/>
          <cell r="E75">
            <v>6.7</v>
          </cell>
          <cell r="F75" t="str">
            <v>771832878811</v>
          </cell>
          <cell r="G75" t="str">
            <v>ok</v>
          </cell>
          <cell r="H75" t="str">
            <v>Flextronics</v>
          </cell>
          <cell r="I75" t="str">
            <v>DDR4</v>
          </cell>
          <cell r="J75" t="str">
            <v>FedEx</v>
          </cell>
        </row>
        <row r="76">
          <cell r="B76" t="str">
            <v>INV05709</v>
          </cell>
          <cell r="C76"/>
          <cell r="D76"/>
          <cell r="E76">
            <v>10</v>
          </cell>
          <cell r="F76" t="str">
            <v>771851056361</v>
          </cell>
          <cell r="G76" t="str">
            <v>ok</v>
          </cell>
          <cell r="H76" t="str">
            <v>Pure Storage</v>
          </cell>
          <cell r="I76" t="str">
            <v>Grover</v>
          </cell>
          <cell r="J76" t="str">
            <v>FedEx</v>
          </cell>
        </row>
        <row r="77">
          <cell r="B77" t="str">
            <v>INV05710</v>
          </cell>
          <cell r="C77"/>
          <cell r="D77"/>
          <cell r="E77">
            <v>10</v>
          </cell>
          <cell r="F77" t="str">
            <v>771853326521</v>
          </cell>
          <cell r="G77" t="str">
            <v>ok</v>
          </cell>
          <cell r="H77" t="str">
            <v>Cyxtera</v>
          </cell>
          <cell r="I77" t="str">
            <v>Grover</v>
          </cell>
          <cell r="J77" t="str">
            <v>FedEx</v>
          </cell>
        </row>
        <row r="78">
          <cell r="B78" t="str">
            <v>Sample 650</v>
          </cell>
          <cell r="C78"/>
          <cell r="D78"/>
          <cell r="E78">
            <v>0.8</v>
          </cell>
          <cell r="F78" t="str">
            <v>771880277372</v>
          </cell>
          <cell r="G78" t="str">
            <v>ok</v>
          </cell>
          <cell r="H78" t="str">
            <v>Min Aik</v>
          </cell>
          <cell r="I78" t="str">
            <v>carrier</v>
          </cell>
          <cell r="J78" t="str">
            <v>FedEx</v>
          </cell>
        </row>
        <row r="79">
          <cell r="B79" t="str">
            <v>INV05711</v>
          </cell>
          <cell r="C79"/>
          <cell r="D79"/>
          <cell r="E79">
            <v>1.7</v>
          </cell>
          <cell r="F79" t="str">
            <v>771879945074</v>
          </cell>
          <cell r="G79" t="str">
            <v>ok</v>
          </cell>
          <cell r="H79" t="str">
            <v>Taiwan Express</v>
          </cell>
          <cell r="I79" t="str">
            <v>DDR4</v>
          </cell>
          <cell r="J79" t="str">
            <v>FedEx</v>
          </cell>
        </row>
        <row r="80">
          <cell r="B80" t="str">
            <v>INV05712</v>
          </cell>
          <cell r="C80"/>
          <cell r="D80"/>
          <cell r="E80">
            <v>185.8</v>
          </cell>
          <cell r="F80" t="str">
            <v>HN90003283</v>
          </cell>
          <cell r="G80" t="str">
            <v>x</v>
          </cell>
          <cell r="H80" t="str">
            <v>LUCID AZ</v>
          </cell>
          <cell r="I80" t="str">
            <v>Controller</v>
          </cell>
          <cell r="J80" t="str">
            <v>DSV</v>
          </cell>
        </row>
        <row r="81">
          <cell r="B81" t="str">
            <v>E00878</v>
          </cell>
          <cell r="C81"/>
          <cell r="D81"/>
          <cell r="E81">
            <v>20</v>
          </cell>
          <cell r="F81" t="str">
            <v>771911724548</v>
          </cell>
          <cell r="G81" t="str">
            <v>ok</v>
          </cell>
          <cell r="H81" t="str">
            <v>NI Malaysia</v>
          </cell>
          <cell r="I81" t="str">
            <v>Power supply</v>
          </cell>
          <cell r="J81" t="str">
            <v>FedEx</v>
          </cell>
        </row>
        <row r="82">
          <cell r="B82" t="str">
            <v>INV05713</v>
          </cell>
          <cell r="C82"/>
          <cell r="D82"/>
          <cell r="E82">
            <v>806.4</v>
          </cell>
          <cell r="F82" t="str">
            <v>6424549810</v>
          </cell>
          <cell r="G82" t="str">
            <v>x</v>
          </cell>
          <cell r="H82" t="str">
            <v>AVNET US</v>
          </cell>
          <cell r="I82" t="str">
            <v>PCBA, Display module</v>
          </cell>
          <cell r="J82" t="str">
            <v>DHL</v>
          </cell>
        </row>
        <row r="83">
          <cell r="B83" t="str">
            <v>INV05714</v>
          </cell>
          <cell r="C83"/>
          <cell r="D83"/>
          <cell r="E83">
            <v>24</v>
          </cell>
          <cell r="F83" t="str">
            <v>8582194983</v>
          </cell>
          <cell r="G83" t="str">
            <v>x</v>
          </cell>
          <cell r="H83" t="str">
            <v>Jabil San Jose</v>
          </cell>
          <cell r="I83" t="str">
            <v>Hopper</v>
          </cell>
          <cell r="J83" t="str">
            <v>DHL</v>
          </cell>
        </row>
        <row r="84">
          <cell r="B84" t="str">
            <v>INV05715</v>
          </cell>
          <cell r="C84"/>
          <cell r="D84"/>
          <cell r="E84">
            <v>750.2</v>
          </cell>
          <cell r="F84" t="str">
            <v>45T0369476</v>
          </cell>
          <cell r="G84" t="str">
            <v>x</v>
          </cell>
          <cell r="H84" t="str">
            <v>FTX</v>
          </cell>
          <cell r="I84" t="str">
            <v>Fresher, Eiger, Grover, Hopper, ICER</v>
          </cell>
          <cell r="J84" t="str">
            <v>Expeditors</v>
          </cell>
        </row>
        <row r="85">
          <cell r="B85" t="str">
            <v>INV05716</v>
          </cell>
          <cell r="C85"/>
          <cell r="D85"/>
          <cell r="E85">
            <v>178.4</v>
          </cell>
          <cell r="F85" t="str">
            <v>HAN-25000786</v>
          </cell>
          <cell r="G85" t="str">
            <v>x</v>
          </cell>
          <cell r="H85" t="str">
            <v>FCZ</v>
          </cell>
          <cell r="I85" t="str">
            <v>Fresher, Eiger</v>
          </cell>
          <cell r="J85" t="str">
            <v>Schenker</v>
          </cell>
        </row>
        <row r="86">
          <cell r="B86" t="str">
            <v>E00879</v>
          </cell>
          <cell r="C86"/>
          <cell r="D86"/>
          <cell r="E86">
            <v>12.1</v>
          </cell>
          <cell r="F86" t="str">
            <v>771965617430</v>
          </cell>
          <cell r="G86" t="str">
            <v>ok</v>
          </cell>
          <cell r="H86" t="str">
            <v>HQ1</v>
          </cell>
          <cell r="I86" t="str">
            <v>Integrated circuit, resistor, capacitor, inductor, Light Emitting diode, connector, standoff, label, PCBA</v>
          </cell>
          <cell r="J86" t="str">
            <v>FedEx</v>
          </cell>
        </row>
        <row r="87">
          <cell r="B87" t="str">
            <v>INV05717</v>
          </cell>
          <cell r="C87"/>
          <cell r="D87"/>
          <cell r="E87">
            <v>3.5</v>
          </cell>
          <cell r="F87" t="str">
            <v>771932643549</v>
          </cell>
          <cell r="G87" t="str">
            <v>ok</v>
          </cell>
          <cell r="H87" t="str">
            <v>LUCID France</v>
          </cell>
          <cell r="I87" t="str">
            <v>Controller</v>
          </cell>
          <cell r="J87" t="str">
            <v>FedEx</v>
          </cell>
        </row>
        <row r="88">
          <cell r="B88" t="str">
            <v>INV05718</v>
          </cell>
          <cell r="C88"/>
          <cell r="D88"/>
          <cell r="E88">
            <v>7.1</v>
          </cell>
          <cell r="F88" t="str">
            <v>HN90003291</v>
          </cell>
          <cell r="G88" t="str">
            <v>x</v>
          </cell>
          <cell r="H88" t="str">
            <v>Lucid US</v>
          </cell>
          <cell r="I88" t="str">
            <v>Controller</v>
          </cell>
          <cell r="J88" t="str">
            <v>DSV</v>
          </cell>
        </row>
        <row r="89">
          <cell r="B89" t="str">
            <v>E00880</v>
          </cell>
          <cell r="C89"/>
          <cell r="D89"/>
          <cell r="E89">
            <v>0.7</v>
          </cell>
          <cell r="F89" t="str">
            <v>772023615546</v>
          </cell>
          <cell r="G89" t="str">
            <v>ok</v>
          </cell>
          <cell r="H89" t="str">
            <v>Kingston</v>
          </cell>
          <cell r="I89" t="str">
            <v>IC</v>
          </cell>
          <cell r="J89" t="str">
            <v>FedEx</v>
          </cell>
        </row>
        <row r="90">
          <cell r="B90" t="str">
            <v>E00881</v>
          </cell>
          <cell r="C90"/>
          <cell r="D90"/>
          <cell r="E90">
            <v>5</v>
          </cell>
          <cell r="F90" t="str">
            <v>771976686610</v>
          </cell>
          <cell r="G90" t="str">
            <v>ok</v>
          </cell>
          <cell r="H90" t="str">
            <v>NI Malaysia</v>
          </cell>
          <cell r="I90" t="str">
            <v>Electronic load</v>
          </cell>
          <cell r="J90" t="str">
            <v>FedEx</v>
          </cell>
        </row>
        <row r="91">
          <cell r="B91" t="str">
            <v>INV05719</v>
          </cell>
          <cell r="C91"/>
          <cell r="D91"/>
          <cell r="E91">
            <v>13.4</v>
          </cell>
          <cell r="F91" t="str">
            <v>771999695844</v>
          </cell>
          <cell r="G91" t="str">
            <v>ok</v>
          </cell>
          <cell r="H91" t="str">
            <v>Flextronics MX</v>
          </cell>
          <cell r="I91" t="str">
            <v>DDR4</v>
          </cell>
          <cell r="J91" t="str">
            <v>FedEx</v>
          </cell>
        </row>
        <row r="92">
          <cell r="B92" t="str">
            <v>INV05720</v>
          </cell>
          <cell r="C92"/>
          <cell r="D92"/>
          <cell r="E92">
            <v>2</v>
          </cell>
          <cell r="F92" t="str">
            <v>771999947440</v>
          </cell>
          <cell r="G92" t="str">
            <v>ok</v>
          </cell>
          <cell r="H92" t="str">
            <v>Cloud HK</v>
          </cell>
          <cell r="I92" t="str">
            <v>DDR3</v>
          </cell>
          <cell r="J92" t="str">
            <v>FedEx</v>
          </cell>
        </row>
        <row r="93">
          <cell r="B93" t="str">
            <v>E00882</v>
          </cell>
          <cell r="C93"/>
          <cell r="D93"/>
          <cell r="E93">
            <v>472</v>
          </cell>
          <cell r="F93" t="str">
            <v>HAS000008183</v>
          </cell>
          <cell r="G93" t="str">
            <v>ok</v>
          </cell>
          <cell r="H93" t="str">
            <v>HQ1</v>
          </cell>
          <cell r="I93" t="str">
            <v>Box, tray, cover, bag, bag desiccant</v>
          </cell>
          <cell r="J93" t="str">
            <v>FedEx</v>
          </cell>
        </row>
        <row r="94">
          <cell r="B94" t="str">
            <v>INV05721</v>
          </cell>
          <cell r="C94"/>
          <cell r="D94"/>
          <cell r="E94">
            <v>147.30000000000001</v>
          </cell>
          <cell r="F94" t="str">
            <v>HAN-25000808</v>
          </cell>
          <cell r="G94" t="str">
            <v>x</v>
          </cell>
          <cell r="H94" t="str">
            <v>FCZ</v>
          </cell>
          <cell r="I94" t="str">
            <v>Fresher, Hopper, ICER</v>
          </cell>
          <cell r="J94" t="str">
            <v>Schenker</v>
          </cell>
        </row>
        <row r="95">
          <cell r="B95" t="str">
            <v>INV05722</v>
          </cell>
          <cell r="C95"/>
          <cell r="D95"/>
          <cell r="E95">
            <v>644.9</v>
          </cell>
          <cell r="F95" t="str">
            <v>45T0370018</v>
          </cell>
          <cell r="G95" t="str">
            <v>x</v>
          </cell>
          <cell r="H95" t="str">
            <v>FTX</v>
          </cell>
          <cell r="I95" t="str">
            <v>Eiger, Hopper, Icer</v>
          </cell>
          <cell r="J95" t="str">
            <v>Expeditors</v>
          </cell>
        </row>
        <row r="96">
          <cell r="B96" t="str">
            <v>INV05723</v>
          </cell>
          <cell r="C96"/>
          <cell r="D96"/>
          <cell r="E96">
            <v>6.6</v>
          </cell>
          <cell r="F96" t="str">
            <v>45T0370190</v>
          </cell>
          <cell r="G96" t="str">
            <v>x</v>
          </cell>
          <cell r="H96" t="str">
            <v>ZT Systems</v>
          </cell>
          <cell r="I96" t="str">
            <v>Powergem</v>
          </cell>
          <cell r="J96" t="str">
            <v>Expeditors</v>
          </cell>
        </row>
        <row r="97">
          <cell r="B97" t="str">
            <v>INV05724</v>
          </cell>
          <cell r="C97"/>
          <cell r="D97"/>
          <cell r="E97">
            <v>6.6</v>
          </cell>
          <cell r="F97" t="str">
            <v>2396088892</v>
          </cell>
          <cell r="G97" t="str">
            <v>x</v>
          </cell>
          <cell r="H97" t="str">
            <v>Jabil MY</v>
          </cell>
          <cell r="I97" t="str">
            <v>DDR4</v>
          </cell>
          <cell r="J97" t="str">
            <v>DHL</v>
          </cell>
        </row>
        <row r="98">
          <cell r="B98" t="str">
            <v>E00883</v>
          </cell>
          <cell r="C98"/>
          <cell r="D98"/>
          <cell r="E98">
            <v>0.5</v>
          </cell>
          <cell r="F98" t="str">
            <v>772031564171</v>
          </cell>
          <cell r="G98" t="str">
            <v>ok</v>
          </cell>
          <cell r="H98" t="str">
            <v>Micron SG</v>
          </cell>
          <cell r="I98" t="str">
            <v>IC</v>
          </cell>
          <cell r="J98" t="str">
            <v>FedEx</v>
          </cell>
        </row>
        <row r="99">
          <cell r="B99" t="str">
            <v>INV05725</v>
          </cell>
          <cell r="C99"/>
          <cell r="D99"/>
          <cell r="E99">
            <v>7</v>
          </cell>
          <cell r="F99" t="str">
            <v>772078214740</v>
          </cell>
          <cell r="G99" t="str">
            <v>ok</v>
          </cell>
          <cell r="H99" t="str">
            <v>AIC</v>
          </cell>
          <cell r="I99" t="str">
            <v>PCBA</v>
          </cell>
          <cell r="J99" t="str">
            <v>FedEx</v>
          </cell>
        </row>
        <row r="100">
          <cell r="B100" t="str">
            <v>INV05726</v>
          </cell>
          <cell r="C100"/>
          <cell r="D100"/>
          <cell r="E100">
            <v>1375</v>
          </cell>
          <cell r="F100" t="str">
            <v>6885763006</v>
          </cell>
          <cell r="G100" t="str">
            <v>x</v>
          </cell>
          <cell r="H100" t="str">
            <v>AVNET US</v>
          </cell>
          <cell r="I100" t="str">
            <v>Display module</v>
          </cell>
          <cell r="J100" t="str">
            <v>DHL</v>
          </cell>
        </row>
        <row r="101">
          <cell r="B101" t="str">
            <v>INV05727</v>
          </cell>
          <cell r="C101"/>
          <cell r="D101"/>
          <cell r="E101">
            <v>1136.7</v>
          </cell>
          <cell r="F101" t="str">
            <v>HN90003318</v>
          </cell>
          <cell r="G101" t="str">
            <v>x</v>
          </cell>
          <cell r="H101" t="str">
            <v>Lucid AZ</v>
          </cell>
          <cell r="I101" t="str">
            <v>Controller</v>
          </cell>
          <cell r="J101" t="str">
            <v>DSV</v>
          </cell>
        </row>
        <row r="102">
          <cell r="B102" t="str">
            <v>INV05728</v>
          </cell>
          <cell r="C102"/>
          <cell r="D102"/>
          <cell r="E102">
            <v>211.6</v>
          </cell>
          <cell r="F102" t="str">
            <v>45T0370869</v>
          </cell>
          <cell r="G102" t="str">
            <v>x</v>
          </cell>
          <cell r="H102" t="str">
            <v>FTX</v>
          </cell>
          <cell r="I102" t="str">
            <v>Hopper, Eiger, Icer</v>
          </cell>
          <cell r="J102" t="str">
            <v>Expeditors</v>
          </cell>
        </row>
        <row r="103">
          <cell r="B103" t="str">
            <v>INV05729</v>
          </cell>
          <cell r="C103"/>
          <cell r="D103"/>
          <cell r="E103">
            <v>48</v>
          </cell>
          <cell r="F103" t="str">
            <v>HAN-25001006</v>
          </cell>
          <cell r="G103" t="str">
            <v>x</v>
          </cell>
          <cell r="H103" t="str">
            <v>FCZ</v>
          </cell>
          <cell r="I103" t="str">
            <v>Eiger</v>
          </cell>
          <cell r="J103" t="str">
            <v>Schenker</v>
          </cell>
        </row>
        <row r="104">
          <cell r="B104" t="str">
            <v>INV05730</v>
          </cell>
          <cell r="C104"/>
          <cell r="D104"/>
          <cell r="E104">
            <v>9</v>
          </cell>
          <cell r="F104" t="str">
            <v>772076106530</v>
          </cell>
          <cell r="G104" t="str">
            <v>ok</v>
          </cell>
          <cell r="H104" t="str">
            <v>Pure Storage India</v>
          </cell>
          <cell r="I104" t="str">
            <v>Icer</v>
          </cell>
          <cell r="J104" t="str">
            <v>FedEx</v>
          </cell>
        </row>
        <row r="105">
          <cell r="B105" t="str">
            <v>INV05731</v>
          </cell>
          <cell r="C105"/>
          <cell r="D105"/>
          <cell r="E105">
            <v>25.2</v>
          </cell>
          <cell r="F105" t="str">
            <v>772078630071</v>
          </cell>
          <cell r="G105" t="str">
            <v>ok</v>
          </cell>
          <cell r="H105" t="str">
            <v>AIC</v>
          </cell>
          <cell r="I105" t="str">
            <v>PCBA</v>
          </cell>
          <cell r="J105" t="str">
            <v>FedEx</v>
          </cell>
        </row>
        <row r="106">
          <cell r="B106" t="str">
            <v>INV05732</v>
          </cell>
          <cell r="C106"/>
          <cell r="D106"/>
          <cell r="E106">
            <v>929.9</v>
          </cell>
          <cell r="F106" t="str">
            <v>HN90003331</v>
          </cell>
          <cell r="G106" t="str">
            <v>x</v>
          </cell>
          <cell r="H106" t="str">
            <v>LUCID AZ</v>
          </cell>
          <cell r="I106" t="str">
            <v>ASSY</v>
          </cell>
          <cell r="J106" t="str">
            <v>DSV</v>
          </cell>
        </row>
        <row r="107">
          <cell r="B107" t="str">
            <v>INV05733</v>
          </cell>
          <cell r="C107"/>
          <cell r="D107"/>
          <cell r="E107">
            <v>34.799999999999997</v>
          </cell>
          <cell r="F107" t="str">
            <v>772113309522</v>
          </cell>
          <cell r="G107" t="str">
            <v>ok</v>
          </cell>
          <cell r="H107" t="str">
            <v>iXsystems</v>
          </cell>
          <cell r="I107" t="str">
            <v>Powergem</v>
          </cell>
          <cell r="J107" t="str">
            <v>FedEx</v>
          </cell>
        </row>
        <row r="108">
          <cell r="B108" t="str">
            <v>INV05734</v>
          </cell>
          <cell r="C108"/>
          <cell r="D108"/>
          <cell r="E108">
            <v>310.89999999999998</v>
          </cell>
          <cell r="F108" t="str">
            <v>SGN2502010</v>
          </cell>
          <cell r="G108" t="str">
            <v>x</v>
          </cell>
          <cell r="H108" t="str">
            <v>DRX</v>
          </cell>
          <cell r="I108" t="str">
            <v>USB</v>
          </cell>
          <cell r="J108" t="str">
            <v>PRIME</v>
          </cell>
        </row>
        <row r="109">
          <cell r="B109" t="str">
            <v>INV05735</v>
          </cell>
          <cell r="C109"/>
          <cell r="D109"/>
          <cell r="E109">
            <v>38.1</v>
          </cell>
          <cell r="F109" t="str">
            <v>2606383264</v>
          </cell>
          <cell r="G109" t="str">
            <v>x</v>
          </cell>
          <cell r="H109" t="str">
            <v>AVNET US</v>
          </cell>
          <cell r="I109" t="str">
            <v>DDR4</v>
          </cell>
          <cell r="J109" t="str">
            <v>DHL</v>
          </cell>
        </row>
        <row r="110">
          <cell r="B110" t="str">
            <v>INV05736</v>
          </cell>
          <cell r="C110"/>
          <cell r="D110"/>
          <cell r="E110">
            <v>746.49999999999989</v>
          </cell>
          <cell r="F110" t="str">
            <v>HAN0380069</v>
          </cell>
          <cell r="G110" t="str">
            <v>x</v>
          </cell>
          <cell r="H110" t="str">
            <v>HELLA</v>
          </cell>
          <cell r="I110" t="str">
            <v>HCU</v>
          </cell>
          <cell r="J110" t="str">
            <v>DSV</v>
          </cell>
        </row>
        <row r="111">
          <cell r="B111" t="str">
            <v>INV05737</v>
          </cell>
          <cell r="C111"/>
          <cell r="D111"/>
          <cell r="E111">
            <v>9</v>
          </cell>
          <cell r="F111" t="str">
            <v>772167527870</v>
          </cell>
          <cell r="G111" t="str">
            <v>ok</v>
          </cell>
          <cell r="H111" t="str">
            <v>Cloud HK</v>
          </cell>
          <cell r="I111" t="str">
            <v>DDR4, EUSB</v>
          </cell>
          <cell r="J111" t="str">
            <v>FedEx</v>
          </cell>
        </row>
        <row r="112">
          <cell r="B112" t="str">
            <v>E00884</v>
          </cell>
          <cell r="C112"/>
          <cell r="D112"/>
          <cell r="E112">
            <v>403</v>
          </cell>
          <cell r="F112" t="str">
            <v>x</v>
          </cell>
          <cell r="G112" t="str">
            <v>x</v>
          </cell>
          <cell r="H112" t="str">
            <v>EPE</v>
          </cell>
          <cell r="I112" t="str">
            <v>Foam</v>
          </cell>
          <cell r="J112" t="str">
            <v>VVMV</v>
          </cell>
        </row>
        <row r="113">
          <cell r="B113" t="str">
            <v>INV05738</v>
          </cell>
          <cell r="C113"/>
          <cell r="D113"/>
          <cell r="E113">
            <v>40.6</v>
          </cell>
          <cell r="F113" t="str">
            <v>772218140057</v>
          </cell>
          <cell r="G113" t="str">
            <v>ok</v>
          </cell>
          <cell r="H113" t="str">
            <v>Ingrasys</v>
          </cell>
          <cell r="I113" t="str">
            <v>DDR4</v>
          </cell>
          <cell r="J113" t="str">
            <v>FedEx</v>
          </cell>
        </row>
        <row r="114">
          <cell r="B114" t="str">
            <v>INV05739</v>
          </cell>
          <cell r="C114"/>
          <cell r="D114"/>
          <cell r="E114">
            <v>1.4</v>
          </cell>
          <cell r="F114" t="str">
            <v>772199989830</v>
          </cell>
          <cell r="G114" t="str">
            <v>ok</v>
          </cell>
          <cell r="H114" t="str">
            <v>Ingrasys RMA</v>
          </cell>
          <cell r="I114" t="str">
            <v>DDR4</v>
          </cell>
          <cell r="J114" t="str">
            <v>FedEx</v>
          </cell>
        </row>
        <row r="115">
          <cell r="B115" t="str">
            <v>E00885</v>
          </cell>
          <cell r="C115"/>
          <cell r="D115"/>
          <cell r="E115">
            <v>0.1</v>
          </cell>
          <cell r="F115" t="str">
            <v>772219917171</v>
          </cell>
          <cell r="G115" t="str">
            <v>ok</v>
          </cell>
          <cell r="H115" t="str">
            <v>Microchip</v>
          </cell>
          <cell r="I115" t="str">
            <v>IC</v>
          </cell>
          <cell r="J115" t="str">
            <v>FedEx</v>
          </cell>
        </row>
        <row r="116">
          <cell r="B116" t="str">
            <v>INV05740</v>
          </cell>
          <cell r="C116"/>
          <cell r="D116"/>
          <cell r="E116">
            <v>402.5</v>
          </cell>
          <cell r="F116" t="str">
            <v>HAN-25001229</v>
          </cell>
          <cell r="G116" t="str">
            <v>x</v>
          </cell>
          <cell r="H116" t="str">
            <v>FCZ</v>
          </cell>
          <cell r="I116" t="str">
            <v>Hopper, Grover, Eiger</v>
          </cell>
          <cell r="J116" t="str">
            <v>Schenker</v>
          </cell>
        </row>
        <row r="117">
          <cell r="B117" t="str">
            <v>INV05741</v>
          </cell>
          <cell r="C117"/>
          <cell r="D117"/>
          <cell r="E117">
            <v>626.9</v>
          </cell>
          <cell r="F117" t="str">
            <v>45T0371872</v>
          </cell>
          <cell r="G117" t="str">
            <v>x</v>
          </cell>
          <cell r="H117" t="str">
            <v>FTX</v>
          </cell>
          <cell r="I117" t="str">
            <v>Hopper, Grover, Eiger</v>
          </cell>
          <cell r="J117" t="str">
            <v>Expeditors</v>
          </cell>
        </row>
        <row r="118">
          <cell r="B118" t="str">
            <v>E00886</v>
          </cell>
          <cell r="C118"/>
          <cell r="D118"/>
          <cell r="E118">
            <v>19.600000000000001</v>
          </cell>
          <cell r="F118" t="str">
            <v>HANAAD05226</v>
          </cell>
          <cell r="G118" t="str">
            <v>x</v>
          </cell>
          <cell r="H118" t="str">
            <v>Vitrox</v>
          </cell>
          <cell r="I118" t="str">
            <v>Camera module</v>
          </cell>
          <cell r="J118" t="str">
            <v>Morrison</v>
          </cell>
        </row>
        <row r="119">
          <cell r="B119" t="str">
            <v>E00887</v>
          </cell>
          <cell r="C119"/>
          <cell r="D119"/>
          <cell r="E119">
            <v>10.4</v>
          </cell>
          <cell r="F119" t="str">
            <v>772265881143</v>
          </cell>
          <cell r="G119" t="str">
            <v>ok</v>
          </cell>
          <cell r="H119" t="str">
            <v>NI Malaysia</v>
          </cell>
          <cell r="I119" t="str">
            <v>Power distribution unit</v>
          </cell>
          <cell r="J119" t="str">
            <v>FedEx</v>
          </cell>
        </row>
        <row r="120">
          <cell r="B120" t="str">
            <v>INV05742</v>
          </cell>
          <cell r="C120"/>
          <cell r="D120"/>
          <cell r="E120">
            <v>945.6</v>
          </cell>
          <cell r="F120" t="str">
            <v>HN90003356</v>
          </cell>
          <cell r="G120" t="str">
            <v>x</v>
          </cell>
          <cell r="H120" t="str">
            <v>Lucid AZ</v>
          </cell>
          <cell r="I120" t="str">
            <v>ASSY</v>
          </cell>
          <cell r="J120" t="str">
            <v>DSV</v>
          </cell>
        </row>
        <row r="121">
          <cell r="B121" t="str">
            <v>INV05743</v>
          </cell>
          <cell r="C121"/>
          <cell r="D121"/>
          <cell r="E121">
            <v>28.3</v>
          </cell>
          <cell r="F121" t="str">
            <v>772289551610</v>
          </cell>
          <cell r="G121" t="str">
            <v>ok</v>
          </cell>
          <cell r="H121" t="str">
            <v>DRX</v>
          </cell>
          <cell r="I121" t="str">
            <v>USB</v>
          </cell>
          <cell r="J121" t="str">
            <v>FedEx</v>
          </cell>
        </row>
        <row r="122">
          <cell r="B122" t="str">
            <v>INV05744</v>
          </cell>
          <cell r="C122"/>
          <cell r="D122"/>
          <cell r="E122">
            <v>26.3</v>
          </cell>
          <cell r="F122" t="str">
            <v>6587395566</v>
          </cell>
          <cell r="G122" t="str">
            <v>x</v>
          </cell>
          <cell r="H122" t="str">
            <v>Jabil MY</v>
          </cell>
          <cell r="I122" t="str">
            <v>DDR</v>
          </cell>
          <cell r="J122" t="str">
            <v>DHL</v>
          </cell>
        </row>
        <row r="123">
          <cell r="B123" t="str">
            <v>INV05745</v>
          </cell>
          <cell r="C123"/>
          <cell r="D123"/>
          <cell r="E123">
            <v>87.5</v>
          </cell>
          <cell r="F123" t="str">
            <v>772323986291</v>
          </cell>
          <cell r="G123" t="str">
            <v>ok</v>
          </cell>
          <cell r="H123" t="str">
            <v>AIC volans</v>
          </cell>
          <cell r="I123" t="str">
            <v>PCBA</v>
          </cell>
          <cell r="J123" t="str">
            <v>FedEx</v>
          </cell>
        </row>
        <row r="124">
          <cell r="B124" t="str">
            <v>INV05746</v>
          </cell>
          <cell r="C124"/>
          <cell r="D124"/>
          <cell r="E124">
            <v>240</v>
          </cell>
          <cell r="F124" t="str">
            <v>HAN-25001479</v>
          </cell>
          <cell r="G124" t="str">
            <v>x</v>
          </cell>
          <cell r="H124" t="str">
            <v>FCZ</v>
          </cell>
          <cell r="I124" t="str">
            <v>Hopper</v>
          </cell>
          <cell r="J124" t="str">
            <v>Schenker</v>
          </cell>
        </row>
        <row r="125">
          <cell r="B125" t="str">
            <v>INV05747</v>
          </cell>
          <cell r="C125"/>
          <cell r="D125"/>
          <cell r="E125">
            <v>307.7</v>
          </cell>
          <cell r="F125" t="str">
            <v>45T0373206</v>
          </cell>
          <cell r="G125" t="str">
            <v>x</v>
          </cell>
          <cell r="H125" t="str">
            <v>FTX</v>
          </cell>
          <cell r="I125" t="str">
            <v>Fresher, Eiger</v>
          </cell>
          <cell r="J125" t="str">
            <v>Expeditors</v>
          </cell>
        </row>
        <row r="126">
          <cell r="B126" t="str">
            <v>INV05748</v>
          </cell>
          <cell r="C126"/>
          <cell r="D126"/>
          <cell r="E126">
            <v>30.5</v>
          </cell>
          <cell r="F126" t="str">
            <v>MIQSGN03772</v>
          </cell>
          <cell r="G126" t="str">
            <v>x</v>
          </cell>
          <cell r="H126" t="str">
            <v>EFI US</v>
          </cell>
          <cell r="I126" t="str">
            <v>PCBA</v>
          </cell>
          <cell r="J126" t="str">
            <v>Noatum</v>
          </cell>
        </row>
        <row r="127">
          <cell r="B127" t="str">
            <v>INV05749</v>
          </cell>
          <cell r="C127"/>
          <cell r="D127"/>
          <cell r="E127">
            <v>80</v>
          </cell>
          <cell r="F127" t="str">
            <v>772353471151</v>
          </cell>
          <cell r="G127" t="str">
            <v>ok</v>
          </cell>
          <cell r="H127" t="str">
            <v>EFI IL</v>
          </cell>
          <cell r="I127" t="str">
            <v>PCBA</v>
          </cell>
          <cell r="J127" t="str">
            <v>FedEx</v>
          </cell>
        </row>
        <row r="128">
          <cell r="B128" t="str">
            <v>INV05750</v>
          </cell>
          <cell r="C128"/>
          <cell r="D128"/>
          <cell r="E128">
            <v>34.9</v>
          </cell>
          <cell r="F128" t="str">
            <v>5452552066</v>
          </cell>
          <cell r="G128" t="str">
            <v>x</v>
          </cell>
          <cell r="H128" t="str">
            <v>AVNET US</v>
          </cell>
          <cell r="I128" t="str">
            <v>PCBA</v>
          </cell>
          <cell r="J128" t="str">
            <v>DHL</v>
          </cell>
        </row>
        <row r="129">
          <cell r="B129" t="str">
            <v>INV05751</v>
          </cell>
          <cell r="C129"/>
          <cell r="D129"/>
          <cell r="E129">
            <v>1064.7</v>
          </cell>
          <cell r="F129" t="str">
            <v>HN90003370</v>
          </cell>
          <cell r="G129" t="str">
            <v>x</v>
          </cell>
          <cell r="H129" t="str">
            <v>LUCID AZ</v>
          </cell>
          <cell r="I129" t="str">
            <v>ASSY</v>
          </cell>
          <cell r="J129" t="str">
            <v>DSV</v>
          </cell>
        </row>
        <row r="130">
          <cell r="B130" t="str">
            <v>E00888</v>
          </cell>
          <cell r="C130"/>
          <cell r="D130"/>
          <cell r="E130">
            <v>18.8</v>
          </cell>
          <cell r="F130" t="str">
            <v>772378057161</v>
          </cell>
          <cell r="G130" t="str">
            <v>ok</v>
          </cell>
          <cell r="H130" t="str">
            <v>HQ1</v>
          </cell>
          <cell r="I130" t="str">
            <v>Integrated circuit, carrier, screw, standoff, label, EUSB, DDR</v>
          </cell>
          <cell r="J130" t="str">
            <v>FedEx</v>
          </cell>
        </row>
        <row r="131">
          <cell r="B131" t="str">
            <v>E00889</v>
          </cell>
          <cell r="C131"/>
          <cell r="D131"/>
          <cell r="E131">
            <v>1.5</v>
          </cell>
          <cell r="F131" t="str">
            <v>772377574610</v>
          </cell>
          <cell r="G131" t="str">
            <v>ok</v>
          </cell>
          <cell r="H131" t="str">
            <v>Bangtai</v>
          </cell>
          <cell r="I131" t="str">
            <v>IC</v>
          </cell>
          <cell r="J131" t="str">
            <v>FedEx</v>
          </cell>
        </row>
        <row r="132">
          <cell r="B132" t="str">
            <v>INV05752</v>
          </cell>
          <cell r="C132"/>
          <cell r="D132"/>
          <cell r="E132">
            <v>519.29999999999995</v>
          </cell>
          <cell r="F132" t="str">
            <v>HAN-25001411</v>
          </cell>
          <cell r="G132" t="str">
            <v>x</v>
          </cell>
          <cell r="H132" t="str">
            <v>FCZ</v>
          </cell>
          <cell r="I132" t="str">
            <v>Hopper, Grover</v>
          </cell>
          <cell r="J132" t="str">
            <v>Schenker</v>
          </cell>
        </row>
        <row r="133">
          <cell r="B133" t="str">
            <v>INV05753</v>
          </cell>
          <cell r="C133"/>
          <cell r="D133"/>
          <cell r="E133">
            <v>1259.9000000000001</v>
          </cell>
          <cell r="F133" t="str">
            <v>45T0373154</v>
          </cell>
          <cell r="G133" t="str">
            <v>x</v>
          </cell>
          <cell r="H133" t="str">
            <v>FTX</v>
          </cell>
          <cell r="I133" t="str">
            <v>Fresher, Eiger</v>
          </cell>
          <cell r="J133" t="str">
            <v>Expeditors</v>
          </cell>
        </row>
        <row r="134">
          <cell r="B134" t="str">
            <v>INV05754</v>
          </cell>
          <cell r="C134"/>
          <cell r="D134"/>
          <cell r="E134" t="str">
            <v>CANCEL</v>
          </cell>
          <cell r="F134" t="str">
            <v>CANCEL</v>
          </cell>
          <cell r="G134" t="str">
            <v>x</v>
          </cell>
          <cell r="H134" t="str">
            <v>CTU</v>
          </cell>
          <cell r="I134" t="str">
            <v>CANCEL</v>
          </cell>
          <cell r="J134" t="str">
            <v>FedEx</v>
          </cell>
        </row>
        <row r="135">
          <cell r="B135" t="str">
            <v>INV05755</v>
          </cell>
          <cell r="C135"/>
          <cell r="D135"/>
          <cell r="E135">
            <v>48</v>
          </cell>
          <cell r="F135" t="str">
            <v>1491988665</v>
          </cell>
          <cell r="G135" t="str">
            <v>x</v>
          </cell>
          <cell r="H135" t="str">
            <v>JABIL MX</v>
          </cell>
          <cell r="I135" t="str">
            <v>Hopper</v>
          </cell>
          <cell r="J135" t="str">
            <v>DHL</v>
          </cell>
        </row>
        <row r="136">
          <cell r="B136" t="str">
            <v>INV05756</v>
          </cell>
          <cell r="C136"/>
          <cell r="D136"/>
          <cell r="E136">
            <v>64.3</v>
          </cell>
          <cell r="F136" t="str">
            <v>4162400642</v>
          </cell>
          <cell r="G136" t="str">
            <v>x</v>
          </cell>
          <cell r="H136" t="str">
            <v>Jabil MX</v>
          </cell>
          <cell r="I136" t="str">
            <v>Hopper</v>
          </cell>
          <cell r="J136" t="str">
            <v>DHL</v>
          </cell>
        </row>
        <row r="137">
          <cell r="B137" t="str">
            <v>INV05757</v>
          </cell>
          <cell r="C137"/>
          <cell r="D137"/>
          <cell r="E137">
            <v>64.3</v>
          </cell>
          <cell r="F137" t="str">
            <v>3091270243</v>
          </cell>
          <cell r="G137" t="str">
            <v>x</v>
          </cell>
          <cell r="H137" t="str">
            <v>Jabil MX</v>
          </cell>
          <cell r="I137" t="str">
            <v>Hopper</v>
          </cell>
          <cell r="J137" t="str">
            <v>DHL</v>
          </cell>
        </row>
        <row r="138">
          <cell r="B138" t="str">
            <v>INV05758</v>
          </cell>
          <cell r="C138"/>
          <cell r="D138"/>
          <cell r="E138">
            <v>64.3</v>
          </cell>
          <cell r="F138" t="str">
            <v>4162414410</v>
          </cell>
          <cell r="G138" t="str">
            <v>x</v>
          </cell>
          <cell r="H138" t="str">
            <v>Jabil MX</v>
          </cell>
          <cell r="I138" t="str">
            <v>Hopper</v>
          </cell>
          <cell r="J138" t="str">
            <v>DHL</v>
          </cell>
        </row>
        <row r="139">
          <cell r="B139" t="str">
            <v>INV05759</v>
          </cell>
          <cell r="C139"/>
          <cell r="D139"/>
          <cell r="E139">
            <v>15.100000000000001</v>
          </cell>
          <cell r="F139" t="str">
            <v>772426615487</v>
          </cell>
          <cell r="G139" t="str">
            <v>ok</v>
          </cell>
          <cell r="H139" t="str">
            <v>EFI Italy</v>
          </cell>
          <cell r="I139" t="str">
            <v>PCBA</v>
          </cell>
          <cell r="J139" t="str">
            <v>FedEx</v>
          </cell>
        </row>
        <row r="140">
          <cell r="B140" t="str">
            <v>INV05760</v>
          </cell>
          <cell r="C140"/>
          <cell r="D140"/>
          <cell r="E140">
            <v>65</v>
          </cell>
          <cell r="F140" t="str">
            <v>5982429736</v>
          </cell>
          <cell r="G140" t="str">
            <v>x</v>
          </cell>
          <cell r="H140" t="str">
            <v>Jabil MX</v>
          </cell>
          <cell r="I140" t="str">
            <v>Hopper</v>
          </cell>
          <cell r="J140" t="str">
            <v>DHL</v>
          </cell>
        </row>
        <row r="141">
          <cell r="B141" t="str">
            <v>INV05761</v>
          </cell>
          <cell r="C141"/>
          <cell r="D141"/>
          <cell r="E141">
            <v>58.3</v>
          </cell>
          <cell r="F141" t="str">
            <v>5008656391</v>
          </cell>
          <cell r="G141" t="str">
            <v>x</v>
          </cell>
          <cell r="H141" t="str">
            <v>Jabil MX</v>
          </cell>
          <cell r="I141" t="str">
            <v>Hopper</v>
          </cell>
          <cell r="J141" t="str">
            <v>DHL</v>
          </cell>
        </row>
        <row r="142">
          <cell r="B142" t="str">
            <v>INV05762</v>
          </cell>
          <cell r="C142"/>
          <cell r="D142"/>
          <cell r="E142">
            <v>65</v>
          </cell>
          <cell r="F142" t="str">
            <v>5008648256</v>
          </cell>
          <cell r="G142" t="str">
            <v>x</v>
          </cell>
          <cell r="H142" t="str">
            <v>Jabil MX</v>
          </cell>
          <cell r="I142" t="str">
            <v>Hopper</v>
          </cell>
          <cell r="J142" t="str">
            <v>DHL</v>
          </cell>
        </row>
        <row r="143">
          <cell r="B143" t="str">
            <v>INV05763</v>
          </cell>
          <cell r="C143"/>
          <cell r="D143"/>
          <cell r="E143">
            <v>0.7</v>
          </cell>
          <cell r="F143" t="str">
            <v>772459362659</v>
          </cell>
          <cell r="G143" t="str">
            <v>ok</v>
          </cell>
          <cell r="H143" t="str">
            <v>NetApp</v>
          </cell>
          <cell r="I143" t="str">
            <v>DDR4</v>
          </cell>
          <cell r="J143" t="str">
            <v>FedEx</v>
          </cell>
        </row>
        <row r="144">
          <cell r="B144" t="str">
            <v>SAMPLE 651</v>
          </cell>
          <cell r="C144"/>
          <cell r="D144"/>
          <cell r="E144">
            <v>0.3</v>
          </cell>
          <cell r="F144" t="str">
            <v>772488554582</v>
          </cell>
          <cell r="G144" t="str">
            <v>ok</v>
          </cell>
          <cell r="H144" t="str">
            <v>Compeq</v>
          </cell>
          <cell r="I144" t="str">
            <v>PCB</v>
          </cell>
          <cell r="J144" t="str">
            <v>FedEx</v>
          </cell>
        </row>
        <row r="145">
          <cell r="B145" t="str">
            <v>INV05764</v>
          </cell>
          <cell r="C145"/>
          <cell r="D145"/>
          <cell r="E145">
            <v>5</v>
          </cell>
          <cell r="F145" t="str">
            <v>772488366731</v>
          </cell>
          <cell r="G145" t="str">
            <v>ok</v>
          </cell>
          <cell r="H145" t="str">
            <v>Taiwan Express</v>
          </cell>
          <cell r="I145" t="str">
            <v>DDR3</v>
          </cell>
          <cell r="J145" t="str">
            <v>FedEx</v>
          </cell>
        </row>
        <row r="146">
          <cell r="B146" t="str">
            <v>INV05765</v>
          </cell>
          <cell r="C146"/>
          <cell r="D146"/>
          <cell r="E146">
            <v>65</v>
          </cell>
          <cell r="F146" t="str">
            <v>8300769805</v>
          </cell>
          <cell r="G146" t="str">
            <v>x</v>
          </cell>
          <cell r="H146" t="str">
            <v>Jabil MX</v>
          </cell>
          <cell r="I146" t="str">
            <v>Hopper</v>
          </cell>
          <cell r="J146" t="str">
            <v>DHL</v>
          </cell>
        </row>
        <row r="147">
          <cell r="B147" t="str">
            <v>E00890</v>
          </cell>
          <cell r="C147"/>
          <cell r="D147"/>
          <cell r="E147">
            <v>30</v>
          </cell>
          <cell r="F147" t="str">
            <v>772593974109</v>
          </cell>
          <cell r="G147" t="str">
            <v>ok</v>
          </cell>
          <cell r="H147" t="str">
            <v>HQ1</v>
          </cell>
          <cell r="I147" t="str">
            <v>Fixture</v>
          </cell>
          <cell r="J147" t="str">
            <v>FedEx</v>
          </cell>
        </row>
        <row r="148">
          <cell r="B148" t="str">
            <v>E00891</v>
          </cell>
          <cell r="C148"/>
          <cell r="D148"/>
          <cell r="E148">
            <v>0.5</v>
          </cell>
          <cell r="F148" t="str">
            <v>772542912599</v>
          </cell>
          <cell r="G148" t="str">
            <v>ok</v>
          </cell>
          <cell r="H148" t="str">
            <v>Fiery</v>
          </cell>
          <cell r="I148" t="str">
            <v>Heat sink</v>
          </cell>
          <cell r="J148" t="str">
            <v>FedEx</v>
          </cell>
        </row>
        <row r="149">
          <cell r="B149" t="str">
            <v>E00892</v>
          </cell>
          <cell r="C149"/>
          <cell r="D149"/>
          <cell r="E149">
            <v>10.5</v>
          </cell>
          <cell r="F149" t="str">
            <v>772520941774</v>
          </cell>
          <cell r="G149" t="str">
            <v>ok</v>
          </cell>
          <cell r="H149" t="str">
            <v>FJZ</v>
          </cell>
          <cell r="I149" t="str">
            <v>IC</v>
          </cell>
          <cell r="J149" t="str">
            <v>FedEx</v>
          </cell>
        </row>
        <row r="150">
          <cell r="B150" t="str">
            <v>E00893</v>
          </cell>
          <cell r="C150"/>
          <cell r="D150"/>
          <cell r="E150">
            <v>17.5</v>
          </cell>
          <cell r="F150" t="str">
            <v>772596611984</v>
          </cell>
          <cell r="G150" t="str">
            <v>ok</v>
          </cell>
          <cell r="H150" t="str">
            <v>Amphenol</v>
          </cell>
          <cell r="I150" t="str">
            <v>Connector</v>
          </cell>
          <cell r="J150" t="str">
            <v>FedEx</v>
          </cell>
        </row>
        <row r="151">
          <cell r="B151" t="str">
            <v>INV05766</v>
          </cell>
          <cell r="C151"/>
          <cell r="D151"/>
          <cell r="E151">
            <v>0.6</v>
          </cell>
          <cell r="F151" t="str">
            <v>772544057787</v>
          </cell>
          <cell r="G151" t="str">
            <v>ok</v>
          </cell>
          <cell r="H151" t="str">
            <v>CTU</v>
          </cell>
          <cell r="I151" t="str">
            <v>SSD</v>
          </cell>
          <cell r="J151" t="str">
            <v>FedEx</v>
          </cell>
        </row>
        <row r="152">
          <cell r="B152" t="str">
            <v>INV05767</v>
          </cell>
          <cell r="C152"/>
          <cell r="D152"/>
          <cell r="E152">
            <v>65</v>
          </cell>
          <cell r="F152" t="str">
            <v>3111141331</v>
          </cell>
          <cell r="G152" t="str">
            <v>x</v>
          </cell>
          <cell r="H152" t="str">
            <v>Jabil MX</v>
          </cell>
          <cell r="I152" t="str">
            <v>Hopper</v>
          </cell>
          <cell r="J152" t="str">
            <v>DHL</v>
          </cell>
        </row>
        <row r="153">
          <cell r="B153" t="str">
            <v>INV05768</v>
          </cell>
          <cell r="C153"/>
          <cell r="D153"/>
          <cell r="E153">
            <v>65</v>
          </cell>
          <cell r="F153" t="str">
            <v>1838503866</v>
          </cell>
          <cell r="G153" t="str">
            <v>x</v>
          </cell>
          <cell r="H153" t="str">
            <v>Jabil MX</v>
          </cell>
          <cell r="I153" t="str">
            <v>Hopper</v>
          </cell>
          <cell r="J153" t="str">
            <v>DHL</v>
          </cell>
        </row>
        <row r="154">
          <cell r="B154" t="str">
            <v>INV05769</v>
          </cell>
          <cell r="C154"/>
          <cell r="D154"/>
          <cell r="E154">
            <v>65</v>
          </cell>
          <cell r="F154" t="str">
            <v>1838506316</v>
          </cell>
          <cell r="G154" t="str">
            <v>x</v>
          </cell>
          <cell r="H154" t="str">
            <v>Jabil MX</v>
          </cell>
          <cell r="I154" t="str">
            <v>Hopper</v>
          </cell>
          <cell r="J154" t="str">
            <v>DHL</v>
          </cell>
        </row>
        <row r="155">
          <cell r="B155" t="str">
            <v>INV05770</v>
          </cell>
          <cell r="C155"/>
          <cell r="D155"/>
          <cell r="E155">
            <v>678.6</v>
          </cell>
          <cell r="F155" t="str">
            <v>HAN-25001648</v>
          </cell>
          <cell r="G155" t="str">
            <v>x</v>
          </cell>
          <cell r="H155" t="str">
            <v>FCZ</v>
          </cell>
          <cell r="I155" t="str">
            <v>Eiger, Grover, Hopper</v>
          </cell>
          <cell r="J155" t="str">
            <v>Schenker</v>
          </cell>
        </row>
        <row r="156">
          <cell r="B156" t="str">
            <v>INV05771</v>
          </cell>
          <cell r="C156"/>
          <cell r="D156"/>
          <cell r="E156">
            <v>1203.9000000000001</v>
          </cell>
          <cell r="F156" t="str">
            <v>45T0374773</v>
          </cell>
          <cell r="G156" t="str">
            <v>x</v>
          </cell>
          <cell r="H156" t="str">
            <v>FTX</v>
          </cell>
          <cell r="I156" t="str">
            <v>Eiger, Grover, Hopper, ICER</v>
          </cell>
          <cell r="J156" t="str">
            <v>Expeditors</v>
          </cell>
        </row>
        <row r="157">
          <cell r="B157" t="str">
            <v>INV05772</v>
          </cell>
          <cell r="C157"/>
          <cell r="D157"/>
          <cell r="E157">
            <v>16.3</v>
          </cell>
          <cell r="F157" t="str">
            <v>772590062741</v>
          </cell>
          <cell r="G157" t="str">
            <v>ok</v>
          </cell>
          <cell r="H157" t="str">
            <v>AVNET US</v>
          </cell>
          <cell r="I157" t="str">
            <v>PCBA</v>
          </cell>
          <cell r="J157" t="str">
            <v>FedEx</v>
          </cell>
        </row>
        <row r="158">
          <cell r="B158" t="str">
            <v>INV05773</v>
          </cell>
          <cell r="C158"/>
          <cell r="D158"/>
          <cell r="E158">
            <v>65</v>
          </cell>
          <cell r="F158" t="str">
            <v>7890407582</v>
          </cell>
          <cell r="G158" t="str">
            <v>x</v>
          </cell>
          <cell r="H158" t="str">
            <v>JABIL MX</v>
          </cell>
          <cell r="I158" t="str">
            <v>Hopper</v>
          </cell>
          <cell r="J158" t="str">
            <v>DHL</v>
          </cell>
        </row>
        <row r="159">
          <cell r="B159" t="str">
            <v>INV05774</v>
          </cell>
          <cell r="C159"/>
          <cell r="D159"/>
          <cell r="E159">
            <v>65</v>
          </cell>
          <cell r="F159" t="str">
            <v>6882826160</v>
          </cell>
          <cell r="G159" t="str">
            <v>x</v>
          </cell>
          <cell r="H159" t="str">
            <v>JABIL MX</v>
          </cell>
          <cell r="I159" t="str">
            <v>Hopper</v>
          </cell>
          <cell r="J159" t="str">
            <v>DHL</v>
          </cell>
        </row>
        <row r="160">
          <cell r="B160" t="str">
            <v>INV05775</v>
          </cell>
          <cell r="C160"/>
          <cell r="D160"/>
          <cell r="E160">
            <v>65</v>
          </cell>
          <cell r="F160" t="str">
            <v>6882859760</v>
          </cell>
          <cell r="G160" t="str">
            <v>x</v>
          </cell>
          <cell r="H160" t="str">
            <v>JABIL MX</v>
          </cell>
          <cell r="I160" t="str">
            <v>Hopper</v>
          </cell>
          <cell r="J160" t="str">
            <v>DHL</v>
          </cell>
        </row>
        <row r="161">
          <cell r="B161" t="str">
            <v>INV05776</v>
          </cell>
          <cell r="C161"/>
          <cell r="D161"/>
          <cell r="E161">
            <v>65</v>
          </cell>
          <cell r="F161" t="str">
            <v>7890451984</v>
          </cell>
          <cell r="G161" t="str">
            <v>x</v>
          </cell>
          <cell r="H161" t="str">
            <v>JABIL MX</v>
          </cell>
          <cell r="I161" t="str">
            <v>Hopper</v>
          </cell>
          <cell r="J161" t="str">
            <v>DHL</v>
          </cell>
        </row>
        <row r="162">
          <cell r="B162" t="str">
            <v>INV05777</v>
          </cell>
          <cell r="C162"/>
          <cell r="D162"/>
          <cell r="E162">
            <v>65</v>
          </cell>
          <cell r="F162" t="str">
            <v>7890584656</v>
          </cell>
          <cell r="G162" t="str">
            <v>x</v>
          </cell>
          <cell r="H162" t="str">
            <v>JABIL MX</v>
          </cell>
          <cell r="I162" t="str">
            <v>Hopper</v>
          </cell>
          <cell r="J162" t="str">
            <v>DHL</v>
          </cell>
        </row>
        <row r="163">
          <cell r="B163" t="str">
            <v>INV05778</v>
          </cell>
          <cell r="C163"/>
          <cell r="D163"/>
          <cell r="E163">
            <v>65</v>
          </cell>
          <cell r="F163" t="str">
            <v>7890588193</v>
          </cell>
          <cell r="G163" t="str">
            <v>x</v>
          </cell>
          <cell r="H163" t="str">
            <v>JABIL MX</v>
          </cell>
          <cell r="I163" t="str">
            <v>Hopper</v>
          </cell>
          <cell r="J163" t="str">
            <v>DHL</v>
          </cell>
        </row>
        <row r="164">
          <cell r="B164" t="str">
            <v>INV05779</v>
          </cell>
          <cell r="C164"/>
          <cell r="D164"/>
          <cell r="E164">
            <v>65</v>
          </cell>
          <cell r="F164" t="str">
            <v>6883083141</v>
          </cell>
          <cell r="G164" t="str">
            <v>x</v>
          </cell>
          <cell r="H164" t="str">
            <v>JABIL MX</v>
          </cell>
          <cell r="I164" t="str">
            <v>Hopper</v>
          </cell>
          <cell r="J164" t="str">
            <v>DHL</v>
          </cell>
        </row>
        <row r="165">
          <cell r="B165" t="str">
            <v>INV05780</v>
          </cell>
          <cell r="C165"/>
          <cell r="D165"/>
          <cell r="E165">
            <v>53</v>
          </cell>
          <cell r="F165" t="str">
            <v>4631275972</v>
          </cell>
          <cell r="G165" t="str">
            <v>x</v>
          </cell>
          <cell r="H165" t="str">
            <v>JABIL MX</v>
          </cell>
          <cell r="I165" t="str">
            <v>Hopper</v>
          </cell>
          <cell r="J165" t="str">
            <v>DHL</v>
          </cell>
        </row>
        <row r="166">
          <cell r="B166" t="str">
            <v>INV05781</v>
          </cell>
          <cell r="C166"/>
          <cell r="D166"/>
          <cell r="E166">
            <v>6.4</v>
          </cell>
          <cell r="F166" t="str">
            <v>772592722761</v>
          </cell>
          <cell r="G166" t="str">
            <v>ok</v>
          </cell>
          <cell r="H166" t="str">
            <v>Cloud HK</v>
          </cell>
          <cell r="I166" t="str">
            <v>DDR4, EUSB</v>
          </cell>
          <cell r="J166" t="str">
            <v>FedEx</v>
          </cell>
        </row>
        <row r="167">
          <cell r="B167" t="str">
            <v>INV05782</v>
          </cell>
          <cell r="C167"/>
          <cell r="D167"/>
          <cell r="E167">
            <v>2.6</v>
          </cell>
          <cell r="F167" t="str">
            <v>772621089659</v>
          </cell>
          <cell r="G167" t="str">
            <v>ok</v>
          </cell>
          <cell r="H167" t="str">
            <v>AVNET US</v>
          </cell>
          <cell r="I167" t="str">
            <v>PCBA</v>
          </cell>
          <cell r="J167" t="str">
            <v>FedEx</v>
          </cell>
        </row>
        <row r="168">
          <cell r="B168" t="str">
            <v>E00894</v>
          </cell>
          <cell r="C168"/>
          <cell r="D168"/>
          <cell r="E168">
            <v>0.2</v>
          </cell>
          <cell r="F168" t="str">
            <v>772655234792</v>
          </cell>
          <cell r="G168" t="str">
            <v>ok</v>
          </cell>
          <cell r="H168" t="str">
            <v>FTX</v>
          </cell>
          <cell r="I168" t="str">
            <v>Label</v>
          </cell>
          <cell r="J168" t="str">
            <v>FedEx</v>
          </cell>
        </row>
        <row r="169">
          <cell r="B169" t="str">
            <v>INV05783</v>
          </cell>
          <cell r="C169"/>
          <cell r="D169"/>
          <cell r="E169">
            <v>13.3</v>
          </cell>
          <cell r="F169" t="str">
            <v>772623464681</v>
          </cell>
          <cell r="G169" t="str">
            <v>ok</v>
          </cell>
          <cell r="H169" t="str">
            <v>Flextronics MX</v>
          </cell>
          <cell r="I169" t="str">
            <v>DDR4</v>
          </cell>
          <cell r="J169" t="str">
            <v>FedEx</v>
          </cell>
        </row>
        <row r="170">
          <cell r="B170" t="str">
            <v>INV05784</v>
          </cell>
          <cell r="C170"/>
          <cell r="D170"/>
          <cell r="E170">
            <v>65</v>
          </cell>
          <cell r="F170" t="str">
            <v>6456729252</v>
          </cell>
          <cell r="G170" t="str">
            <v>x</v>
          </cell>
          <cell r="H170" t="str">
            <v>Jabil MX</v>
          </cell>
          <cell r="I170" t="str">
            <v>Hopper</v>
          </cell>
          <cell r="J170" t="str">
            <v>DHL</v>
          </cell>
        </row>
        <row r="171">
          <cell r="B171" t="str">
            <v>INV05785</v>
          </cell>
          <cell r="C171"/>
          <cell r="D171"/>
          <cell r="E171">
            <v>65</v>
          </cell>
          <cell r="F171" t="str">
            <v>6280309361</v>
          </cell>
          <cell r="G171" t="str">
            <v>x</v>
          </cell>
          <cell r="H171" t="str">
            <v>Jabil MX</v>
          </cell>
          <cell r="I171" t="str">
            <v>Hopper</v>
          </cell>
          <cell r="J171" t="str">
            <v>DHL</v>
          </cell>
        </row>
        <row r="172">
          <cell r="B172" t="str">
            <v>INV05786</v>
          </cell>
          <cell r="C172"/>
          <cell r="D172"/>
          <cell r="E172">
            <v>65</v>
          </cell>
          <cell r="F172" t="str">
            <v>6456806215</v>
          </cell>
          <cell r="G172" t="str">
            <v>x</v>
          </cell>
          <cell r="H172" t="str">
            <v>Jabil MX</v>
          </cell>
          <cell r="I172" t="str">
            <v>Hopper</v>
          </cell>
          <cell r="J172" t="str">
            <v>DHL</v>
          </cell>
        </row>
        <row r="173">
          <cell r="B173" t="str">
            <v>INV05787</v>
          </cell>
          <cell r="C173"/>
          <cell r="D173"/>
          <cell r="E173">
            <v>65</v>
          </cell>
          <cell r="F173" t="str">
            <v>6280289702</v>
          </cell>
          <cell r="G173" t="str">
            <v>x</v>
          </cell>
          <cell r="H173" t="str">
            <v>Jabil MX</v>
          </cell>
          <cell r="I173" t="str">
            <v>Hopper</v>
          </cell>
          <cell r="J173" t="str">
            <v>DHL</v>
          </cell>
        </row>
        <row r="174">
          <cell r="B174" t="str">
            <v>INV05788</v>
          </cell>
          <cell r="C174"/>
          <cell r="D174"/>
          <cell r="E174">
            <v>65</v>
          </cell>
          <cell r="F174" t="str">
            <v>9148000002</v>
          </cell>
          <cell r="G174" t="str">
            <v>x</v>
          </cell>
          <cell r="H174" t="str">
            <v>Jabil MX</v>
          </cell>
          <cell r="I174" t="str">
            <v>Hopper</v>
          </cell>
          <cell r="J174" t="str">
            <v>DHL</v>
          </cell>
        </row>
        <row r="175">
          <cell r="B175" t="str">
            <v>INV05789</v>
          </cell>
          <cell r="C175"/>
          <cell r="D175"/>
          <cell r="E175">
            <v>65</v>
          </cell>
          <cell r="F175" t="str">
            <v>6456736053</v>
          </cell>
          <cell r="G175" t="str">
            <v>x</v>
          </cell>
          <cell r="H175" t="str">
            <v>Jabil MX</v>
          </cell>
          <cell r="I175" t="str">
            <v>Hopper</v>
          </cell>
          <cell r="J175" t="str">
            <v>DHL</v>
          </cell>
        </row>
        <row r="176">
          <cell r="B176" t="str">
            <v>INV05790</v>
          </cell>
          <cell r="C176"/>
          <cell r="D176"/>
          <cell r="E176">
            <v>65</v>
          </cell>
          <cell r="F176" t="str">
            <v>9148011832</v>
          </cell>
          <cell r="G176" t="str">
            <v>x</v>
          </cell>
          <cell r="H176" t="str">
            <v>Jabil MX</v>
          </cell>
          <cell r="I176" t="str">
            <v>Hopper</v>
          </cell>
          <cell r="J176" t="str">
            <v>DHL</v>
          </cell>
        </row>
        <row r="177">
          <cell r="B177" t="str">
            <v>INV05791</v>
          </cell>
          <cell r="C177"/>
          <cell r="D177"/>
          <cell r="E177">
            <v>65</v>
          </cell>
          <cell r="F177" t="str">
            <v>9148020066</v>
          </cell>
          <cell r="G177" t="str">
            <v>x</v>
          </cell>
          <cell r="H177" t="str">
            <v>Jabil MX</v>
          </cell>
          <cell r="I177" t="str">
            <v>Hopper</v>
          </cell>
          <cell r="J177" t="str">
            <v>DHL</v>
          </cell>
        </row>
        <row r="178">
          <cell r="B178" t="str">
            <v>INV05792</v>
          </cell>
          <cell r="C178"/>
          <cell r="D178"/>
          <cell r="E178">
            <v>65</v>
          </cell>
          <cell r="F178" t="str">
            <v>9148024675</v>
          </cell>
          <cell r="G178" t="str">
            <v>x</v>
          </cell>
          <cell r="H178" t="str">
            <v>Jabil MX</v>
          </cell>
          <cell r="I178" t="str">
            <v>Hopper</v>
          </cell>
          <cell r="J178" t="str">
            <v>DHL</v>
          </cell>
        </row>
        <row r="179">
          <cell r="B179" t="str">
            <v>INV05793</v>
          </cell>
          <cell r="C179"/>
          <cell r="D179"/>
          <cell r="E179">
            <v>65</v>
          </cell>
          <cell r="F179" t="str">
            <v>9148034685</v>
          </cell>
          <cell r="G179" t="str">
            <v>x</v>
          </cell>
          <cell r="H179" t="str">
            <v>Jabil MX</v>
          </cell>
          <cell r="I179" t="str">
            <v>Hopper</v>
          </cell>
          <cell r="J179" t="str">
            <v>DHL</v>
          </cell>
        </row>
        <row r="180">
          <cell r="B180" t="str">
            <v>INV05794</v>
          </cell>
          <cell r="C180"/>
          <cell r="D180"/>
          <cell r="E180">
            <v>2258.1999999999998</v>
          </cell>
          <cell r="F180" t="str">
            <v>HN90003398</v>
          </cell>
          <cell r="G180" t="str">
            <v>x</v>
          </cell>
          <cell r="H180" t="str">
            <v>Lucid AZ</v>
          </cell>
          <cell r="I180" t="str">
            <v>ASSY</v>
          </cell>
          <cell r="J180" t="str">
            <v>DSV</v>
          </cell>
        </row>
        <row r="181">
          <cell r="B181" t="str">
            <v>E00895</v>
          </cell>
          <cell r="C181"/>
          <cell r="D181"/>
          <cell r="E181">
            <v>6.3</v>
          </cell>
          <cell r="F181" t="str">
            <v>772624912401</v>
          </cell>
          <cell r="G181" t="str">
            <v>ok</v>
          </cell>
          <cell r="H181" t="str">
            <v>Bangtai</v>
          </cell>
          <cell r="I181" t="str">
            <v>IC</v>
          </cell>
          <cell r="J181" t="str">
            <v>FedEx</v>
          </cell>
        </row>
        <row r="182">
          <cell r="B182" t="str">
            <v>INV05795</v>
          </cell>
          <cell r="C182"/>
          <cell r="D182"/>
          <cell r="E182">
            <v>65</v>
          </cell>
          <cell r="F182" t="str">
            <v>8273788843</v>
          </cell>
          <cell r="G182" t="str">
            <v>x</v>
          </cell>
          <cell r="H182" t="str">
            <v>Jabil MX</v>
          </cell>
          <cell r="I182" t="str">
            <v>Hopper</v>
          </cell>
          <cell r="J182" t="str">
            <v>DHL</v>
          </cell>
        </row>
        <row r="183">
          <cell r="B183" t="str">
            <v>INV05796</v>
          </cell>
          <cell r="C183"/>
          <cell r="D183"/>
          <cell r="E183">
            <v>65</v>
          </cell>
          <cell r="F183" t="str">
            <v>4342918436</v>
          </cell>
          <cell r="G183" t="str">
            <v>x</v>
          </cell>
          <cell r="H183" t="str">
            <v>Jabil MX</v>
          </cell>
          <cell r="I183" t="str">
            <v>Hopper</v>
          </cell>
          <cell r="J183" t="str">
            <v>DHL</v>
          </cell>
        </row>
        <row r="184">
          <cell r="B184" t="str">
            <v>INV05797</v>
          </cell>
          <cell r="C184"/>
          <cell r="D184"/>
          <cell r="E184">
            <v>65</v>
          </cell>
          <cell r="F184" t="str">
            <v>4342922441</v>
          </cell>
          <cell r="G184" t="str">
            <v>x</v>
          </cell>
          <cell r="H184" t="str">
            <v>Jabil MX</v>
          </cell>
          <cell r="I184" t="str">
            <v>Hopper</v>
          </cell>
          <cell r="J184" t="str">
            <v>DHL</v>
          </cell>
        </row>
        <row r="185">
          <cell r="B185" t="str">
            <v>INV05798</v>
          </cell>
          <cell r="C185"/>
          <cell r="D185"/>
          <cell r="E185">
            <v>65</v>
          </cell>
          <cell r="F185" t="str">
            <v>8273795806</v>
          </cell>
          <cell r="G185" t="str">
            <v>x</v>
          </cell>
          <cell r="H185" t="str">
            <v>Jabil MX</v>
          </cell>
          <cell r="I185" t="str">
            <v>Hopper</v>
          </cell>
          <cell r="J185" t="str">
            <v>DHL</v>
          </cell>
        </row>
        <row r="186">
          <cell r="B186" t="str">
            <v>INV05799</v>
          </cell>
          <cell r="C186"/>
          <cell r="D186"/>
          <cell r="E186">
            <v>65</v>
          </cell>
          <cell r="F186" t="str">
            <v>8273798256</v>
          </cell>
          <cell r="G186" t="str">
            <v>x</v>
          </cell>
          <cell r="H186" t="str">
            <v>Jabil MX</v>
          </cell>
          <cell r="I186" t="str">
            <v>Hopper</v>
          </cell>
          <cell r="J186" t="str">
            <v>DHL</v>
          </cell>
        </row>
        <row r="187">
          <cell r="B187" t="str">
            <v>INV05800</v>
          </cell>
          <cell r="C187"/>
          <cell r="D187"/>
          <cell r="E187">
            <v>38</v>
          </cell>
          <cell r="F187" t="str">
            <v>3235236944</v>
          </cell>
          <cell r="G187" t="str">
            <v>x</v>
          </cell>
          <cell r="H187" t="str">
            <v>Jabil MX</v>
          </cell>
          <cell r="I187" t="str">
            <v>Hopper</v>
          </cell>
          <cell r="J187" t="str">
            <v>DHL</v>
          </cell>
        </row>
        <row r="188">
          <cell r="B188" t="str">
            <v>INV05801</v>
          </cell>
          <cell r="C188"/>
          <cell r="D188"/>
          <cell r="E188">
            <v>43.3</v>
          </cell>
          <cell r="F188" t="str">
            <v>HN90003404</v>
          </cell>
          <cell r="G188" t="str">
            <v>x</v>
          </cell>
          <cell r="H188" t="str">
            <v>Lucid US</v>
          </cell>
          <cell r="I188" t="str">
            <v>ASSY</v>
          </cell>
          <cell r="J188" t="str">
            <v>DSV</v>
          </cell>
        </row>
        <row r="189">
          <cell r="B189" t="str">
            <v>INV05802</v>
          </cell>
          <cell r="C189"/>
          <cell r="D189"/>
          <cell r="E189">
            <v>3.4</v>
          </cell>
          <cell r="F189" t="str">
            <v>8273801981</v>
          </cell>
          <cell r="G189" t="str">
            <v>x</v>
          </cell>
          <cell r="H189" t="str">
            <v>Jabil MY 14300</v>
          </cell>
          <cell r="I189" t="str">
            <v>DDR4</v>
          </cell>
          <cell r="J189" t="str">
            <v>DHL</v>
          </cell>
        </row>
        <row r="190">
          <cell r="B190" t="str">
            <v>INV05803</v>
          </cell>
          <cell r="C190"/>
          <cell r="D190"/>
          <cell r="E190">
            <v>23.2</v>
          </cell>
          <cell r="F190" t="str">
            <v>4342941562</v>
          </cell>
          <cell r="G190" t="str">
            <v>x</v>
          </cell>
          <cell r="H190" t="str">
            <v>JABIL MY 11900</v>
          </cell>
          <cell r="I190" t="str">
            <v>DDR4</v>
          </cell>
          <cell r="J190" t="str">
            <v>DHL</v>
          </cell>
        </row>
        <row r="191">
          <cell r="B191" t="str">
            <v>INV05804</v>
          </cell>
          <cell r="C191"/>
          <cell r="D191"/>
          <cell r="E191">
            <v>0.6</v>
          </cell>
          <cell r="F191" t="str">
            <v>772652584307</v>
          </cell>
          <cell r="G191" t="str">
            <v>ok</v>
          </cell>
          <cell r="H191" t="str">
            <v>HQ1</v>
          </cell>
          <cell r="I191" t="str">
            <v>SSD</v>
          </cell>
          <cell r="J191" t="str">
            <v>FedEx</v>
          </cell>
        </row>
        <row r="192">
          <cell r="B192" t="str">
            <v>INV05805</v>
          </cell>
          <cell r="C192"/>
          <cell r="D192"/>
          <cell r="E192">
            <v>9.1999999999999993</v>
          </cell>
          <cell r="F192" t="str">
            <v>45T0376429</v>
          </cell>
          <cell r="G192" t="str">
            <v>x</v>
          </cell>
          <cell r="H192" t="str">
            <v>Pure India</v>
          </cell>
          <cell r="I192" t="str">
            <v>Hopper</v>
          </cell>
          <cell r="J192" t="str">
            <v>Expeditors</v>
          </cell>
        </row>
        <row r="193">
          <cell r="B193" t="str">
            <v>INV05806</v>
          </cell>
          <cell r="C193"/>
          <cell r="D193"/>
          <cell r="E193">
            <v>1168.2</v>
          </cell>
          <cell r="F193" t="str">
            <v>45T0376185</v>
          </cell>
          <cell r="G193" t="str">
            <v>x</v>
          </cell>
          <cell r="H193" t="str">
            <v>AVNET US</v>
          </cell>
          <cell r="I193" t="str">
            <v>Display module, PCBA</v>
          </cell>
          <cell r="J193" t="str">
            <v>Expeditors</v>
          </cell>
        </row>
        <row r="194">
          <cell r="B194" t="str">
            <v>E00896</v>
          </cell>
          <cell r="C194"/>
          <cell r="D194"/>
          <cell r="E194">
            <v>2.1</v>
          </cell>
          <cell r="F194" t="str">
            <v>772684932707</v>
          </cell>
          <cell r="G194" t="str">
            <v>ok</v>
          </cell>
          <cell r="H194" t="str">
            <v>HQ1</v>
          </cell>
          <cell r="I194"/>
          <cell r="J194" t="str">
            <v>FedEx</v>
          </cell>
        </row>
        <row r="195">
          <cell r="B195" t="str">
            <v>INV05807</v>
          </cell>
          <cell r="C195"/>
          <cell r="D195"/>
          <cell r="E195">
            <v>275.2</v>
          </cell>
          <cell r="F195" t="str">
            <v>HAN-25001887</v>
          </cell>
          <cell r="G195" t="str">
            <v>x</v>
          </cell>
          <cell r="H195" t="str">
            <v>FCZ</v>
          </cell>
          <cell r="I195" t="str">
            <v>Grover, Hopper, Eiger</v>
          </cell>
          <cell r="J195" t="str">
            <v>Schenker</v>
          </cell>
        </row>
        <row r="196">
          <cell r="B196" t="str">
            <v>INV05808</v>
          </cell>
          <cell r="C196"/>
          <cell r="D196"/>
          <cell r="E196">
            <v>1318.3</v>
          </cell>
          <cell r="F196" t="str">
            <v>45T0376186</v>
          </cell>
          <cell r="G196" t="str">
            <v>x</v>
          </cell>
          <cell r="H196" t="str">
            <v>FTX</v>
          </cell>
          <cell r="I196" t="str">
            <v>Eiger, Hopper, Grover, ICER</v>
          </cell>
          <cell r="J196" t="str">
            <v>Expeditors</v>
          </cell>
        </row>
        <row r="197">
          <cell r="B197" t="str">
            <v>INV05809</v>
          </cell>
          <cell r="C197"/>
          <cell r="D197"/>
          <cell r="E197">
            <v>23.8</v>
          </cell>
          <cell r="F197" t="str">
            <v>772712471050</v>
          </cell>
          <cell r="G197" t="str">
            <v>ok</v>
          </cell>
          <cell r="H197" t="str">
            <v>Pure storage</v>
          </cell>
          <cell r="I197" t="str">
            <v>Hopper</v>
          </cell>
          <cell r="J197" t="str">
            <v>FedEx</v>
          </cell>
        </row>
        <row r="198">
          <cell r="B198" t="str">
            <v>INV05810</v>
          </cell>
          <cell r="C198"/>
          <cell r="D198"/>
          <cell r="E198">
            <v>23.2</v>
          </cell>
          <cell r="F198" t="str">
            <v>7516796140</v>
          </cell>
          <cell r="G198" t="str">
            <v>x</v>
          </cell>
          <cell r="H198" t="str">
            <v>Jabil MY</v>
          </cell>
          <cell r="I198" t="str">
            <v>DDR4</v>
          </cell>
          <cell r="J198" t="str">
            <v>DHL</v>
          </cell>
        </row>
        <row r="199">
          <cell r="B199" t="str">
            <v>INV05811</v>
          </cell>
          <cell r="C199"/>
          <cell r="D199"/>
          <cell r="E199">
            <v>645.90000000000009</v>
          </cell>
          <cell r="F199" t="str">
            <v>HN90003418</v>
          </cell>
          <cell r="G199" t="str">
            <v>x</v>
          </cell>
          <cell r="H199" t="str">
            <v>Lucid AZ</v>
          </cell>
          <cell r="I199" t="str">
            <v>Rear, UCC</v>
          </cell>
          <cell r="J199" t="str">
            <v>DSV</v>
          </cell>
        </row>
        <row r="200">
          <cell r="B200" t="str">
            <v>E00897</v>
          </cell>
          <cell r="C200"/>
          <cell r="D200"/>
          <cell r="E200">
            <v>132</v>
          </cell>
          <cell r="F200" t="str">
            <v>DIM111008374</v>
          </cell>
          <cell r="G200" t="str">
            <v>x</v>
          </cell>
          <cell r="H200" t="str">
            <v>Kingston</v>
          </cell>
          <cell r="I200" t="str">
            <v>Ind, Res, Conn, PCB, IC</v>
          </cell>
          <cell r="J200" t="str">
            <v>Dimerco</v>
          </cell>
        </row>
        <row r="201">
          <cell r="B201" t="str">
            <v>INV05812</v>
          </cell>
          <cell r="C201"/>
          <cell r="D201"/>
          <cell r="E201">
            <v>9</v>
          </cell>
          <cell r="F201" t="str">
            <v>772820700630</v>
          </cell>
          <cell r="G201" t="str">
            <v>ok</v>
          </cell>
          <cell r="H201" t="str">
            <v>Pure</v>
          </cell>
          <cell r="I201" t="str">
            <v>Hopper</v>
          </cell>
          <cell r="J201" t="str">
            <v>FedEx</v>
          </cell>
        </row>
        <row r="202">
          <cell r="B202" t="str">
            <v>INV05813</v>
          </cell>
          <cell r="C202"/>
          <cell r="D202"/>
          <cell r="E202">
            <v>922.5</v>
          </cell>
          <cell r="F202" t="str">
            <v>HN90003440</v>
          </cell>
          <cell r="G202" t="str">
            <v>x</v>
          </cell>
          <cell r="H202" t="str">
            <v>Lucid AZ</v>
          </cell>
          <cell r="I202" t="str">
            <v>Rear, cabin, UCC</v>
          </cell>
          <cell r="J202" t="str">
            <v>DSV</v>
          </cell>
        </row>
        <row r="203">
          <cell r="B203" t="str">
            <v>INV05814</v>
          </cell>
          <cell r="C203"/>
          <cell r="D203"/>
          <cell r="E203">
            <v>1.5</v>
          </cell>
          <cell r="F203" t="str">
            <v>772826592303</v>
          </cell>
          <cell r="G203" t="str">
            <v>ok</v>
          </cell>
          <cell r="H203" t="str">
            <v>iXsystems</v>
          </cell>
          <cell r="I203" t="str">
            <v>Powergem</v>
          </cell>
          <cell r="J203" t="str">
            <v>FedEx</v>
          </cell>
        </row>
        <row r="204">
          <cell r="B204" t="str">
            <v>INV05815</v>
          </cell>
          <cell r="C204"/>
          <cell r="D204"/>
          <cell r="E204">
            <v>26.3</v>
          </cell>
          <cell r="F204">
            <v>5818355756</v>
          </cell>
          <cell r="G204" t="str">
            <v>x</v>
          </cell>
          <cell r="H204" t="str">
            <v>JABIL MY</v>
          </cell>
          <cell r="I204" t="str">
            <v>DDR4</v>
          </cell>
          <cell r="J204" t="str">
            <v>DHL</v>
          </cell>
        </row>
        <row r="205">
          <cell r="B205" t="str">
            <v>INV05816</v>
          </cell>
          <cell r="C205"/>
          <cell r="D205"/>
          <cell r="E205">
            <v>265.60000000000002</v>
          </cell>
          <cell r="F205" t="str">
            <v>HAN-25002286</v>
          </cell>
          <cell r="G205" t="str">
            <v>x</v>
          </cell>
          <cell r="H205" t="str">
            <v>FCZ</v>
          </cell>
          <cell r="I205" t="str">
            <v>E/M ASSY DFMD 9.10TB BICS5</v>
          </cell>
          <cell r="J205" t="str">
            <v>Schenker</v>
          </cell>
        </row>
        <row r="206">
          <cell r="B206" t="str">
            <v>INV05817</v>
          </cell>
          <cell r="C206"/>
          <cell r="D206"/>
          <cell r="E206">
            <v>660.4</v>
          </cell>
          <cell r="F206" t="str">
            <v>45T0377182</v>
          </cell>
          <cell r="G206" t="str">
            <v>x</v>
          </cell>
          <cell r="H206" t="str">
            <v>FTX</v>
          </cell>
          <cell r="I206" t="str">
            <v>Eiger, Grover, Hopper</v>
          </cell>
          <cell r="J206" t="str">
            <v>Expeditors</v>
          </cell>
        </row>
        <row r="207">
          <cell r="B207" t="str">
            <v>INV05818</v>
          </cell>
          <cell r="C207"/>
          <cell r="D207"/>
          <cell r="E207">
            <v>413.5</v>
          </cell>
          <cell r="F207" t="str">
            <v>45T0377207</v>
          </cell>
          <cell r="G207" t="str">
            <v>x</v>
          </cell>
          <cell r="H207" t="str">
            <v>AVNET US</v>
          </cell>
          <cell r="I207" t="str">
            <v>Display module, PCBA</v>
          </cell>
          <cell r="J207" t="str">
            <v>Expeditors</v>
          </cell>
        </row>
        <row r="208">
          <cell r="B208" t="str">
            <v>INV05819</v>
          </cell>
          <cell r="C208"/>
          <cell r="D208"/>
          <cell r="E208">
            <v>1.5</v>
          </cell>
          <cell r="F208" t="str">
            <v>772875641108</v>
          </cell>
          <cell r="G208" t="str">
            <v>ok</v>
          </cell>
          <cell r="H208" t="str">
            <v>HQ1</v>
          </cell>
          <cell r="I208" t="str">
            <v>SSD</v>
          </cell>
          <cell r="J208" t="str">
            <v>FedEx</v>
          </cell>
        </row>
        <row r="209">
          <cell r="B209" t="str">
            <v>INV05820</v>
          </cell>
          <cell r="C209"/>
          <cell r="D209"/>
          <cell r="E209">
            <v>18</v>
          </cell>
          <cell r="F209" t="str">
            <v>4534196855</v>
          </cell>
          <cell r="G209" t="str">
            <v>x</v>
          </cell>
          <cell r="H209" t="str">
            <v>JABIL MX</v>
          </cell>
          <cell r="I209" t="str">
            <v>Hopper</v>
          </cell>
          <cell r="J209" t="str">
            <v>DHL</v>
          </cell>
        </row>
        <row r="210">
          <cell r="B210" t="str">
            <v>Sample 652</v>
          </cell>
          <cell r="C210"/>
          <cell r="D210"/>
          <cell r="E210">
            <v>0.3</v>
          </cell>
          <cell r="F210">
            <v>772899443227</v>
          </cell>
          <cell r="G210" t="str">
            <v>ok</v>
          </cell>
          <cell r="H210" t="str">
            <v>COMPEQ MANUFACTURING CO., LTD</v>
          </cell>
          <cell r="I210" t="str">
            <v>PCB</v>
          </cell>
          <cell r="J210" t="str">
            <v>FedEx</v>
          </cell>
        </row>
        <row r="211">
          <cell r="B211" t="str">
            <v>INV05821</v>
          </cell>
          <cell r="C211"/>
          <cell r="D211"/>
          <cell r="E211">
            <v>640.20000000000005</v>
          </cell>
          <cell r="F211" t="str">
            <v>HN90003432</v>
          </cell>
          <cell r="G211" t="str">
            <v>x</v>
          </cell>
          <cell r="H211" t="str">
            <v>Lucid US</v>
          </cell>
          <cell r="I211" t="str">
            <v>UCC, front, cabin, rear</v>
          </cell>
          <cell r="J211" t="str">
            <v>DSV</v>
          </cell>
        </row>
        <row r="212">
          <cell r="B212" t="str">
            <v>Sample 653</v>
          </cell>
          <cell r="C212"/>
          <cell r="D212"/>
          <cell r="E212">
            <v>0.3</v>
          </cell>
          <cell r="F212" t="str">
            <v>8644786345</v>
          </cell>
          <cell r="G212" t="str">
            <v>x</v>
          </cell>
          <cell r="H212" t="str">
            <v>SUZHOU PINSHINE TECHNOLOGY CO., LTD</v>
          </cell>
          <cell r="I212" t="str">
            <v>Connector</v>
          </cell>
          <cell r="J212" t="str">
            <v>DHL</v>
          </cell>
        </row>
        <row r="213">
          <cell r="B213" t="str">
            <v>INV05822</v>
          </cell>
          <cell r="C213"/>
          <cell r="D213"/>
          <cell r="E213">
            <v>26.3</v>
          </cell>
          <cell r="F213">
            <v>8222415003</v>
          </cell>
          <cell r="G213" t="str">
            <v>x</v>
          </cell>
          <cell r="H213" t="str">
            <v>Jabil Circuit Sdn Bhd</v>
          </cell>
          <cell r="I213" t="str">
            <v>DDR4</v>
          </cell>
          <cell r="J213" t="str">
            <v>DHL</v>
          </cell>
        </row>
        <row r="214">
          <cell r="B214" t="str">
            <v>INV05823</v>
          </cell>
          <cell r="C214"/>
          <cell r="D214"/>
          <cell r="E214">
            <v>425.1</v>
          </cell>
          <cell r="F214" t="str">
            <v>45T0377770</v>
          </cell>
          <cell r="G214" t="str">
            <v>x</v>
          </cell>
          <cell r="H214" t="str">
            <v>AVNET US</v>
          </cell>
          <cell r="I214" t="str">
            <v>Display module, PCBA</v>
          </cell>
          <cell r="J214" t="str">
            <v>Expeditors</v>
          </cell>
        </row>
        <row r="215">
          <cell r="B215" t="str">
            <v>INV05824</v>
          </cell>
          <cell r="C215"/>
          <cell r="D215"/>
          <cell r="E215">
            <v>125.6</v>
          </cell>
          <cell r="F215" t="str">
            <v>172-9107 0954</v>
          </cell>
          <cell r="G215" t="str">
            <v>x</v>
          </cell>
          <cell r="H215" t="str">
            <v>DAA</v>
          </cell>
          <cell r="I215" t="str">
            <v>USB</v>
          </cell>
          <cell r="J215" t="str">
            <v>PRIME</v>
          </cell>
        </row>
        <row r="216">
          <cell r="B216" t="str">
            <v>INV05825</v>
          </cell>
          <cell r="C216"/>
          <cell r="D216"/>
          <cell r="E216">
            <v>167.6</v>
          </cell>
          <cell r="F216" t="str">
            <v>45T0377632</v>
          </cell>
          <cell r="G216" t="str">
            <v>x</v>
          </cell>
          <cell r="H216" t="str">
            <v>FTX</v>
          </cell>
          <cell r="I216" t="str">
            <v>Eiger, Grover</v>
          </cell>
          <cell r="J216" t="str">
            <v>Expeditors</v>
          </cell>
        </row>
        <row r="217">
          <cell r="B217" t="str">
            <v>INV05826</v>
          </cell>
          <cell r="C217"/>
          <cell r="D217"/>
          <cell r="E217">
            <v>121.8</v>
          </cell>
          <cell r="F217" t="str">
            <v>HAN-25002429</v>
          </cell>
          <cell r="G217" t="str">
            <v>x</v>
          </cell>
          <cell r="H217" t="str">
            <v>FCZ</v>
          </cell>
          <cell r="I217" t="str">
            <v>Eiger, Hopper, Grover</v>
          </cell>
          <cell r="J217" t="str">
            <v>Schenker</v>
          </cell>
        </row>
        <row r="218">
          <cell r="B218" t="str">
            <v>INV05827</v>
          </cell>
          <cell r="C218"/>
          <cell r="D218"/>
          <cell r="E218">
            <v>15.5</v>
          </cell>
          <cell r="F218" t="str">
            <v>880104750321</v>
          </cell>
          <cell r="G218" t="str">
            <v>ok</v>
          </cell>
          <cell r="H218" t="str">
            <v>Cloud HK</v>
          </cell>
          <cell r="I218" t="str">
            <v>DDR3, EUSB</v>
          </cell>
          <cell r="J218" t="str">
            <v>FedEx</v>
          </cell>
        </row>
        <row r="219">
          <cell r="B219" t="str">
            <v>INV05828</v>
          </cell>
          <cell r="C219"/>
          <cell r="D219"/>
          <cell r="E219">
            <v>26.4</v>
          </cell>
          <cell r="F219" t="str">
            <v>1868603240</v>
          </cell>
          <cell r="G219" t="str">
            <v>x</v>
          </cell>
          <cell r="H219" t="str">
            <v>Jabil MY</v>
          </cell>
          <cell r="I219" t="str">
            <v>DDR4</v>
          </cell>
          <cell r="J219" t="str">
            <v>DHL</v>
          </cell>
        </row>
        <row r="220">
          <cell r="B220" t="str">
            <v>E00898</v>
          </cell>
          <cell r="C220"/>
          <cell r="D220"/>
          <cell r="E220">
            <v>2.1</v>
          </cell>
          <cell r="F220" t="str">
            <v>880130394018</v>
          </cell>
          <cell r="G220" t="str">
            <v>ok</v>
          </cell>
          <cell r="H220" t="str">
            <v>HQ1</v>
          </cell>
          <cell r="I220" t="str">
            <v>Cage, IC, Res, Fresher</v>
          </cell>
          <cell r="J220" t="str">
            <v>FedEx</v>
          </cell>
        </row>
        <row r="221">
          <cell r="B221" t="str">
            <v>E00899</v>
          </cell>
          <cell r="C221"/>
          <cell r="D221"/>
          <cell r="E221">
            <v>0.3</v>
          </cell>
          <cell r="F221" t="str">
            <v>880105150104</v>
          </cell>
          <cell r="G221" t="str">
            <v>ok</v>
          </cell>
          <cell r="H221" t="str">
            <v>Keymate</v>
          </cell>
          <cell r="I221" t="str">
            <v>Screw, washer</v>
          </cell>
          <cell r="J221" t="str">
            <v>FedEx</v>
          </cell>
        </row>
        <row r="222">
          <cell r="B222" t="str">
            <v>E00900</v>
          </cell>
          <cell r="C222"/>
          <cell r="D222"/>
          <cell r="E222">
            <v>12.2</v>
          </cell>
          <cell r="F222" t="str">
            <v>5374749214</v>
          </cell>
          <cell r="G222" t="str">
            <v>x</v>
          </cell>
          <cell r="H222" t="str">
            <v xml:space="preserve">Universal </v>
          </cell>
          <cell r="I222" t="str">
            <v>PCB, IC</v>
          </cell>
          <cell r="J222" t="str">
            <v>DHL</v>
          </cell>
        </row>
        <row r="223">
          <cell r="B223" t="str">
            <v>E00901</v>
          </cell>
          <cell r="C223"/>
          <cell r="D223"/>
          <cell r="E223">
            <v>2.4</v>
          </cell>
          <cell r="F223" t="str">
            <v>880110417455</v>
          </cell>
          <cell r="G223" t="str">
            <v>ok</v>
          </cell>
          <cell r="H223" t="str">
            <v>Bangtai</v>
          </cell>
          <cell r="I223" t="str">
            <v>IC</v>
          </cell>
          <cell r="J223" t="str">
            <v>FedEx</v>
          </cell>
        </row>
        <row r="224">
          <cell r="B224" t="str">
            <v>INV05829</v>
          </cell>
          <cell r="C224"/>
          <cell r="D224"/>
          <cell r="E224">
            <v>1419.8</v>
          </cell>
          <cell r="F224" t="str">
            <v>45T0377924</v>
          </cell>
          <cell r="G224" t="str">
            <v>x</v>
          </cell>
          <cell r="H224" t="str">
            <v>FTX</v>
          </cell>
          <cell r="I224" t="str">
            <v>Grover, Hopper, ICER</v>
          </cell>
          <cell r="J224" t="str">
            <v>Expeditors</v>
          </cell>
        </row>
        <row r="225">
          <cell r="B225" t="str">
            <v>INV05830</v>
          </cell>
          <cell r="C225"/>
          <cell r="D225"/>
          <cell r="E225">
            <v>16.3</v>
          </cell>
          <cell r="F225" t="str">
            <v>MIQSGN03879</v>
          </cell>
          <cell r="G225" t="str">
            <v>x</v>
          </cell>
          <cell r="H225" t="str">
            <v>EFI</v>
          </cell>
          <cell r="I225" t="str">
            <v>PCBA</v>
          </cell>
          <cell r="J225" t="str">
            <v>Noatum</v>
          </cell>
        </row>
        <row r="226">
          <cell r="B226" t="str">
            <v>INV05831</v>
          </cell>
          <cell r="C226"/>
          <cell r="D226"/>
          <cell r="E226">
            <v>1571.1999999999998</v>
          </cell>
          <cell r="F226" t="str">
            <v>HN90003460</v>
          </cell>
          <cell r="G226" t="str">
            <v>x</v>
          </cell>
          <cell r="H226" t="str">
            <v>LUCID AZ</v>
          </cell>
          <cell r="I226" t="str">
            <v>VCU, BCM, DCM</v>
          </cell>
          <cell r="J226" t="str">
            <v>DSV</v>
          </cell>
        </row>
        <row r="227">
          <cell r="B227" t="str">
            <v>SAMPLE 654</v>
          </cell>
          <cell r="C227"/>
          <cell r="D227"/>
          <cell r="E227">
            <v>0.3</v>
          </cell>
          <cell r="F227" t="str">
            <v>880135119306</v>
          </cell>
          <cell r="G227" t="str">
            <v>ok</v>
          </cell>
          <cell r="H227" t="str">
            <v>Coraza</v>
          </cell>
          <cell r="I227" t="str">
            <v>Tray empty drive</v>
          </cell>
          <cell r="J227" t="str">
            <v>FedEx</v>
          </cell>
        </row>
        <row r="228">
          <cell r="B228" t="str">
            <v>INV05832</v>
          </cell>
          <cell r="C228"/>
          <cell r="D228"/>
          <cell r="E228">
            <v>976.3</v>
          </cell>
          <cell r="F228" t="str">
            <v>45T0378486</v>
          </cell>
          <cell r="G228" t="str">
            <v>x</v>
          </cell>
          <cell r="H228" t="str">
            <v>AVNET US</v>
          </cell>
          <cell r="I228" t="str">
            <v>Display module, PCBA</v>
          </cell>
          <cell r="J228" t="str">
            <v>Expeditors</v>
          </cell>
        </row>
        <row r="229">
          <cell r="B229" t="str">
            <v>INV05833</v>
          </cell>
          <cell r="C229"/>
          <cell r="D229"/>
          <cell r="E229">
            <v>0.7</v>
          </cell>
          <cell r="F229" t="str">
            <v>880180574910</v>
          </cell>
          <cell r="G229" t="str">
            <v>ok</v>
          </cell>
          <cell r="H229" t="str">
            <v>NetApp</v>
          </cell>
          <cell r="I229" t="str">
            <v>DDR4</v>
          </cell>
          <cell r="J229" t="str">
            <v>FedEx</v>
          </cell>
        </row>
        <row r="230">
          <cell r="B230" t="str">
            <v>SAMPLE 655</v>
          </cell>
          <cell r="C230"/>
          <cell r="D230"/>
          <cell r="E230">
            <v>2</v>
          </cell>
          <cell r="F230" t="str">
            <v>880215164836</v>
          </cell>
          <cell r="G230" t="str">
            <v>ok</v>
          </cell>
          <cell r="H230" t="str">
            <v>Ningbo xusheng</v>
          </cell>
          <cell r="I230" t="str">
            <v>Top housing, top cover</v>
          </cell>
          <cell r="J230" t="str">
            <v>FedEx</v>
          </cell>
        </row>
        <row r="231">
          <cell r="B231" t="str">
            <v>INV05834</v>
          </cell>
          <cell r="C231"/>
          <cell r="D231"/>
          <cell r="E231">
            <v>16.2</v>
          </cell>
          <cell r="F231" t="str">
            <v>880241880140</v>
          </cell>
          <cell r="G231" t="str">
            <v>ok</v>
          </cell>
          <cell r="H231" t="str">
            <v>FCZ</v>
          </cell>
          <cell r="I231" t="str">
            <v>Fresher, Eiger, Hopper, Grover</v>
          </cell>
          <cell r="J231" t="str">
            <v>FedEx</v>
          </cell>
        </row>
        <row r="232">
          <cell r="B232" t="str">
            <v>INV05835</v>
          </cell>
          <cell r="C232"/>
          <cell r="D232"/>
          <cell r="E232">
            <v>0.9</v>
          </cell>
          <cell r="F232" t="str">
            <v>880218973110</v>
          </cell>
          <cell r="G232" t="str">
            <v>ok</v>
          </cell>
          <cell r="H232" t="str">
            <v>Super Micro</v>
          </cell>
          <cell r="I232" t="str">
            <v>DDR4</v>
          </cell>
          <cell r="J232" t="str">
            <v>FedEx</v>
          </cell>
        </row>
        <row r="233">
          <cell r="B233" t="str">
            <v>INV05836</v>
          </cell>
          <cell r="C233"/>
          <cell r="D233"/>
          <cell r="E233">
            <v>20.7</v>
          </cell>
          <cell r="F233" t="str">
            <v>1615864585</v>
          </cell>
          <cell r="G233" t="str">
            <v>x</v>
          </cell>
          <cell r="H233" t="str">
            <v>AVNET US</v>
          </cell>
          <cell r="I233" t="str">
            <v>DDR4</v>
          </cell>
          <cell r="J233" t="str">
            <v>DHL</v>
          </cell>
        </row>
        <row r="234">
          <cell r="B234" t="str">
            <v>INV05837</v>
          </cell>
          <cell r="C234"/>
          <cell r="D234"/>
          <cell r="E234">
            <v>29.4</v>
          </cell>
          <cell r="F234" t="str">
            <v>1615883835</v>
          </cell>
          <cell r="G234" t="str">
            <v>x</v>
          </cell>
          <cell r="H234" t="str">
            <v>Jabil MY</v>
          </cell>
          <cell r="I234" t="str">
            <v>DDR4</v>
          </cell>
          <cell r="J234" t="str">
            <v>DHL</v>
          </cell>
        </row>
        <row r="235">
          <cell r="B235" t="str">
            <v>E00902</v>
          </cell>
          <cell r="C235"/>
          <cell r="D235"/>
          <cell r="E235">
            <v>0.7</v>
          </cell>
          <cell r="F235" t="str">
            <v>880218485062</v>
          </cell>
          <cell r="G235" t="str">
            <v>ok</v>
          </cell>
          <cell r="H235" t="str">
            <v>FJZ</v>
          </cell>
          <cell r="I235" t="str">
            <v>IC</v>
          </cell>
          <cell r="J235" t="str">
            <v>FedEx</v>
          </cell>
        </row>
        <row r="236">
          <cell r="B236" t="str">
            <v>INV05838</v>
          </cell>
          <cell r="C236"/>
          <cell r="D236"/>
          <cell r="E236">
            <v>20</v>
          </cell>
          <cell r="F236" t="str">
            <v>45T0378165</v>
          </cell>
          <cell r="G236" t="str">
            <v>x</v>
          </cell>
          <cell r="H236" t="str">
            <v>UPS SCS</v>
          </cell>
          <cell r="I236" t="str">
            <v>Grover, Icer</v>
          </cell>
          <cell r="J236" t="str">
            <v>Expeditors</v>
          </cell>
        </row>
        <row r="237">
          <cell r="B237" t="str">
            <v>E00903</v>
          </cell>
          <cell r="C237"/>
          <cell r="D237"/>
          <cell r="E237">
            <v>0.1</v>
          </cell>
          <cell r="F237" t="str">
            <v>1142741854</v>
          </cell>
          <cell r="G237" t="str">
            <v>x</v>
          </cell>
          <cell r="H237" t="str">
            <v>Arrow</v>
          </cell>
          <cell r="I237" t="str">
            <v>IC</v>
          </cell>
          <cell r="J237" t="str">
            <v>DHL</v>
          </cell>
        </row>
        <row r="238">
          <cell r="B238" t="str">
            <v>INV05839</v>
          </cell>
          <cell r="C238"/>
          <cell r="D238"/>
          <cell r="E238">
            <v>627.29999999999995</v>
          </cell>
          <cell r="F238" t="str">
            <v>45T0379471</v>
          </cell>
          <cell r="G238" t="str">
            <v>x</v>
          </cell>
          <cell r="H238" t="str">
            <v>AVNET US</v>
          </cell>
          <cell r="I238" t="str">
            <v>Display module, PCBA</v>
          </cell>
          <cell r="J238" t="str">
            <v>Expeditors</v>
          </cell>
        </row>
        <row r="239">
          <cell r="B239" t="str">
            <v>INV05840</v>
          </cell>
          <cell r="C239"/>
          <cell r="D239"/>
          <cell r="E239">
            <v>3.4</v>
          </cell>
          <cell r="F239" t="str">
            <v>880380701364</v>
          </cell>
          <cell r="G239" t="str">
            <v>ok</v>
          </cell>
          <cell r="H239" t="str">
            <v>Cloud HK</v>
          </cell>
          <cell r="I239" t="str">
            <v>DDR3</v>
          </cell>
          <cell r="J239" t="str">
            <v>FedEx</v>
          </cell>
        </row>
        <row r="240">
          <cell r="B240" t="str">
            <v>INV05841</v>
          </cell>
          <cell r="C240"/>
          <cell r="D240"/>
          <cell r="E240">
            <v>26.7</v>
          </cell>
          <cell r="F240" t="str">
            <v>8059785016</v>
          </cell>
          <cell r="G240" t="str">
            <v>x</v>
          </cell>
          <cell r="H240" t="str">
            <v>JABIL MY</v>
          </cell>
          <cell r="I240" t="str">
            <v>DDR4</v>
          </cell>
          <cell r="J240" t="str">
            <v>DHL</v>
          </cell>
        </row>
        <row r="241">
          <cell r="B241" t="str">
            <v>INV05842</v>
          </cell>
          <cell r="C241"/>
          <cell r="D241"/>
          <cell r="E241">
            <v>0.7</v>
          </cell>
          <cell r="F241" t="str">
            <v>9500280300</v>
          </cell>
          <cell r="G241" t="str">
            <v>x</v>
          </cell>
          <cell r="H241" t="str">
            <v>Brocade</v>
          </cell>
          <cell r="I241" t="str">
            <v>DDR4</v>
          </cell>
          <cell r="J241" t="str">
            <v>DHL</v>
          </cell>
        </row>
        <row r="242">
          <cell r="B242" t="str">
            <v>INV05843</v>
          </cell>
          <cell r="C242"/>
          <cell r="D242"/>
          <cell r="E242">
            <v>76.7</v>
          </cell>
          <cell r="F242" t="str">
            <v>HN90003495</v>
          </cell>
          <cell r="G242" t="str">
            <v>x</v>
          </cell>
          <cell r="H242" t="str">
            <v>LUCID US</v>
          </cell>
          <cell r="I242" t="str">
            <v>CCCV2, UCC, Cabin LVJB</v>
          </cell>
          <cell r="J242" t="str">
            <v>DSV</v>
          </cell>
        </row>
        <row r="243">
          <cell r="B243" t="str">
            <v>INV05844</v>
          </cell>
          <cell r="C243"/>
          <cell r="D243"/>
          <cell r="E243">
            <v>23.2</v>
          </cell>
          <cell r="F243" t="str">
            <v>9290716864</v>
          </cell>
          <cell r="G243" t="str">
            <v>x</v>
          </cell>
          <cell r="H243" t="str">
            <v>JABIL MY</v>
          </cell>
          <cell r="I243" t="str">
            <v>DDR4</v>
          </cell>
          <cell r="J243" t="str">
            <v>DHL</v>
          </cell>
        </row>
        <row r="244">
          <cell r="B244" t="str">
            <v>INV05845</v>
          </cell>
          <cell r="C244"/>
          <cell r="D244"/>
          <cell r="E244">
            <v>27.6</v>
          </cell>
          <cell r="F244" t="str">
            <v>1Z2A597E0491798322</v>
          </cell>
          <cell r="G244" t="str">
            <v>x</v>
          </cell>
          <cell r="H244" t="str">
            <v>Pi3G</v>
          </cell>
          <cell r="I244" t="str">
            <v>Cupcake</v>
          </cell>
          <cell r="J244" t="str">
            <v>UPS</v>
          </cell>
        </row>
        <row r="245">
          <cell r="B245" t="str">
            <v>INV05846</v>
          </cell>
          <cell r="C245"/>
          <cell r="D245"/>
          <cell r="E245">
            <v>180</v>
          </cell>
          <cell r="F245" t="str">
            <v>HAN-25002966</v>
          </cell>
          <cell r="G245" t="str">
            <v>x</v>
          </cell>
          <cell r="H245" t="str">
            <v>FCZ</v>
          </cell>
          <cell r="I245" t="str">
            <v>Hopper, Grover, ICER</v>
          </cell>
          <cell r="J245" t="str">
            <v>Schenker</v>
          </cell>
        </row>
        <row r="246">
          <cell r="B246" t="str">
            <v>INV05847</v>
          </cell>
          <cell r="C246"/>
          <cell r="D246"/>
          <cell r="E246">
            <v>19.600000000000001</v>
          </cell>
          <cell r="F246" t="str">
            <v>5242120376</v>
          </cell>
          <cell r="G246" t="str">
            <v>x</v>
          </cell>
          <cell r="H246" t="str">
            <v>Jabil MY</v>
          </cell>
          <cell r="I246" t="str">
            <v>DDR4</v>
          </cell>
          <cell r="J246" t="str">
            <v>DHL</v>
          </cell>
        </row>
        <row r="247">
          <cell r="B247" t="str">
            <v>Sample 656</v>
          </cell>
          <cell r="C247"/>
          <cell r="D247"/>
          <cell r="E247">
            <v>1.4</v>
          </cell>
          <cell r="F247" t="str">
            <v>880474758544</v>
          </cell>
          <cell r="G247" t="str">
            <v>ok</v>
          </cell>
          <cell r="H247" t="str">
            <v>HQ1</v>
          </cell>
          <cell r="I247" t="str">
            <v>Standoff, Label</v>
          </cell>
          <cell r="J247" t="str">
            <v>FedEx</v>
          </cell>
        </row>
        <row r="248">
          <cell r="B248" t="str">
            <v>INV05848</v>
          </cell>
          <cell r="C248"/>
          <cell r="D248"/>
          <cell r="E248">
            <v>143.19999999999999</v>
          </cell>
          <cell r="F248" t="str">
            <v>SGN2504010</v>
          </cell>
          <cell r="G248" t="str">
            <v>x</v>
          </cell>
          <cell r="H248" t="str">
            <v>DAA</v>
          </cell>
          <cell r="I248" t="str">
            <v>UCC</v>
          </cell>
          <cell r="J248" t="str">
            <v>PRIME</v>
          </cell>
        </row>
        <row r="249">
          <cell r="B249" t="str">
            <v>E00904</v>
          </cell>
          <cell r="C249"/>
          <cell r="D249"/>
          <cell r="E249">
            <v>0.7</v>
          </cell>
          <cell r="F249" t="str">
            <v>8208059230</v>
          </cell>
          <cell r="G249" t="str">
            <v>x</v>
          </cell>
          <cell r="H249" t="str">
            <v>Chip One Stop (Ship sample)</v>
          </cell>
          <cell r="I249" t="str">
            <v>IC</v>
          </cell>
          <cell r="J249" t="str">
            <v>DHL</v>
          </cell>
        </row>
        <row r="250">
          <cell r="B250" t="str">
            <v>E00905</v>
          </cell>
          <cell r="C250"/>
          <cell r="D250"/>
          <cell r="E250">
            <v>779</v>
          </cell>
          <cell r="F250" t="str">
            <v>45T0382094</v>
          </cell>
          <cell r="G250" t="str">
            <v>x</v>
          </cell>
          <cell r="H250" t="str">
            <v>Gold Circuit</v>
          </cell>
          <cell r="I250" t="str">
            <v>PCB</v>
          </cell>
          <cell r="J250" t="str">
            <v>Expeditors</v>
          </cell>
        </row>
        <row r="251">
          <cell r="B251" t="str">
            <v>INV05849</v>
          </cell>
          <cell r="C251"/>
          <cell r="D251"/>
          <cell r="E251">
            <v>254.9</v>
          </cell>
          <cell r="F251" t="str">
            <v>HN90003518</v>
          </cell>
          <cell r="G251" t="str">
            <v>x</v>
          </cell>
          <cell r="H251" t="str">
            <v>LUCID US</v>
          </cell>
          <cell r="I251" t="str">
            <v>VCU, Rear, UCC…</v>
          </cell>
          <cell r="J251" t="str">
            <v>DSV</v>
          </cell>
        </row>
        <row r="252">
          <cell r="B252" t="str">
            <v>INV05850</v>
          </cell>
          <cell r="C252"/>
          <cell r="D252"/>
          <cell r="E252">
            <v>69.5</v>
          </cell>
          <cell r="F252" t="str">
            <v>880553674737</v>
          </cell>
          <cell r="G252" t="str">
            <v>ok</v>
          </cell>
          <cell r="H252" t="str">
            <v>EFI IL</v>
          </cell>
          <cell r="I252" t="str">
            <v>Ranger</v>
          </cell>
          <cell r="J252" t="str">
            <v>FedEx</v>
          </cell>
        </row>
        <row r="253">
          <cell r="B253" t="str">
            <v>INV05851</v>
          </cell>
          <cell r="C253"/>
          <cell r="D253"/>
          <cell r="E253">
            <v>495.6</v>
          </cell>
          <cell r="F253" t="str">
            <v>HAN-25002997</v>
          </cell>
          <cell r="G253" t="str">
            <v>x</v>
          </cell>
          <cell r="H253" t="str">
            <v>FCZ</v>
          </cell>
          <cell r="I253" t="str">
            <v>Grover, Hopper</v>
          </cell>
          <cell r="J253" t="str">
            <v>Schenker</v>
          </cell>
        </row>
        <row r="254">
          <cell r="B254" t="str">
            <v>E00906</v>
          </cell>
          <cell r="C254"/>
          <cell r="D254"/>
          <cell r="E254">
            <v>0.2</v>
          </cell>
          <cell r="F254" t="str">
            <v>880612653915</v>
          </cell>
          <cell r="G254" t="str">
            <v>ok</v>
          </cell>
          <cell r="H254" t="str">
            <v>Texas</v>
          </cell>
          <cell r="I254" t="str">
            <v>IC</v>
          </cell>
          <cell r="J254" t="str">
            <v>FedEx</v>
          </cell>
        </row>
        <row r="255">
          <cell r="B255" t="str">
            <v>INV05852</v>
          </cell>
          <cell r="C255"/>
          <cell r="D255"/>
          <cell r="E255">
            <v>2649.5</v>
          </cell>
          <cell r="F255" t="str">
            <v>HN90003511</v>
          </cell>
          <cell r="G255" t="str">
            <v>x</v>
          </cell>
          <cell r="H255" t="str">
            <v>LUCID AZ</v>
          </cell>
          <cell r="I255" t="str">
            <v>VCU, Rear, UCC…</v>
          </cell>
          <cell r="J255" t="str">
            <v>DSV</v>
          </cell>
        </row>
        <row r="256">
          <cell r="B256" t="str">
            <v>E00907</v>
          </cell>
          <cell r="C256"/>
          <cell r="D256"/>
          <cell r="E256">
            <v>0.2</v>
          </cell>
          <cell r="F256" t="str">
            <v>880555695727</v>
          </cell>
          <cell r="G256" t="str">
            <v>ok</v>
          </cell>
          <cell r="H256" t="str">
            <v>Infineon(ship sample)</v>
          </cell>
          <cell r="I256" t="str">
            <v>IC</v>
          </cell>
          <cell r="J256" t="str">
            <v>FedEx</v>
          </cell>
        </row>
        <row r="257">
          <cell r="B257" t="str">
            <v>INV05853</v>
          </cell>
          <cell r="C257"/>
          <cell r="D257"/>
          <cell r="E257">
            <v>1279.3</v>
          </cell>
          <cell r="F257" t="str">
            <v>45T0381900</v>
          </cell>
          <cell r="G257" t="str">
            <v>x</v>
          </cell>
          <cell r="H257" t="str">
            <v>FTX</v>
          </cell>
          <cell r="I257" t="str">
            <v>Eiger, Fresher, Grover, Hopper, ICER</v>
          </cell>
          <cell r="J257" t="str">
            <v>Expeditors</v>
          </cell>
        </row>
        <row r="258">
          <cell r="B258" t="str">
            <v>INV05854</v>
          </cell>
          <cell r="C258"/>
          <cell r="D258"/>
          <cell r="E258">
            <v>22</v>
          </cell>
          <cell r="F258" t="str">
            <v>880584176838</v>
          </cell>
          <cell r="G258" t="str">
            <v>ok</v>
          </cell>
          <cell r="H258" t="str">
            <v>SLC5</v>
          </cell>
          <cell r="I258" t="str">
            <v>HLOB</v>
          </cell>
          <cell r="J258" t="str">
            <v>FedEx</v>
          </cell>
        </row>
        <row r="259">
          <cell r="B259" t="str">
            <v>INV05855</v>
          </cell>
          <cell r="C259"/>
          <cell r="D259"/>
          <cell r="E259">
            <v>22</v>
          </cell>
          <cell r="F259" t="str">
            <v>880584794855</v>
          </cell>
          <cell r="G259" t="str">
            <v>ok</v>
          </cell>
          <cell r="H259" t="str">
            <v>PURE</v>
          </cell>
          <cell r="I259" t="str">
            <v>HLOB</v>
          </cell>
          <cell r="J259" t="str">
            <v>FedEx</v>
          </cell>
        </row>
        <row r="260">
          <cell r="B260" t="str">
            <v>SAMPLE 657</v>
          </cell>
          <cell r="C260"/>
          <cell r="D260"/>
          <cell r="E260">
            <v>0.2</v>
          </cell>
          <cell r="F260" t="str">
            <v>880586220267</v>
          </cell>
          <cell r="G260" t="str">
            <v>ok</v>
          </cell>
          <cell r="H260" t="str">
            <v>HQ1</v>
          </cell>
          <cell r="I260" t="str">
            <v>Switch</v>
          </cell>
          <cell r="J260" t="str">
            <v>FedEx</v>
          </cell>
        </row>
        <row r="261">
          <cell r="B261" t="str">
            <v>INV05856</v>
          </cell>
          <cell r="C261"/>
          <cell r="D261"/>
          <cell r="E261">
            <v>34</v>
          </cell>
          <cell r="F261" t="str">
            <v>880615590272</v>
          </cell>
          <cell r="G261" t="str">
            <v>ok</v>
          </cell>
          <cell r="H261" t="str">
            <v>PURE</v>
          </cell>
          <cell r="I261" t="str">
            <v>HLOB</v>
          </cell>
          <cell r="J261" t="str">
            <v>FedEx</v>
          </cell>
        </row>
        <row r="262">
          <cell r="B262" t="str">
            <v>INV05857</v>
          </cell>
          <cell r="C262"/>
          <cell r="D262"/>
          <cell r="E262">
            <v>177.6</v>
          </cell>
          <cell r="F262" t="str">
            <v>45T0382074</v>
          </cell>
          <cell r="G262" t="str">
            <v>x</v>
          </cell>
          <cell r="H262" t="str">
            <v>FTX</v>
          </cell>
          <cell r="I262" t="str">
            <v>Eiger, Grover</v>
          </cell>
          <cell r="J262" t="str">
            <v>Expeditors</v>
          </cell>
        </row>
        <row r="263">
          <cell r="B263" t="str">
            <v>INV05858</v>
          </cell>
          <cell r="C263"/>
          <cell r="D263"/>
          <cell r="E263">
            <v>124.8</v>
          </cell>
          <cell r="F263" t="str">
            <v>65T0073607</v>
          </cell>
          <cell r="G263" t="str">
            <v>x</v>
          </cell>
          <cell r="H263" t="str">
            <v>AVNET US</v>
          </cell>
          <cell r="I263" t="str">
            <v>Display module</v>
          </cell>
          <cell r="J263" t="str">
            <v>Expeditors</v>
          </cell>
        </row>
        <row r="264">
          <cell r="B264" t="str">
            <v>E00908</v>
          </cell>
          <cell r="C264"/>
          <cell r="D264"/>
          <cell r="E264">
            <v>7.6</v>
          </cell>
          <cell r="F264" t="str">
            <v>880801155040</v>
          </cell>
          <cell r="G264" t="str">
            <v>ok</v>
          </cell>
          <cell r="H264" t="str">
            <v>HQ1</v>
          </cell>
          <cell r="I264" t="str">
            <v>Integrated circuit, resistor, connector, capacitor, diode</v>
          </cell>
          <cell r="J264" t="str">
            <v>FedEx</v>
          </cell>
        </row>
        <row r="265">
          <cell r="B265" t="str">
            <v>INV05859</v>
          </cell>
          <cell r="C265"/>
          <cell r="D265"/>
          <cell r="E265">
            <v>108</v>
          </cell>
          <cell r="F265" t="str">
            <v>880681487491</v>
          </cell>
          <cell r="G265" t="str">
            <v>ok</v>
          </cell>
          <cell r="H265" t="str">
            <v>JABIL MX</v>
          </cell>
          <cell r="I265" t="str">
            <v>HLOB</v>
          </cell>
          <cell r="J265" t="str">
            <v>FedEx</v>
          </cell>
        </row>
        <row r="266">
          <cell r="B266" t="str">
            <v>SAMPLE 658</v>
          </cell>
          <cell r="C266"/>
          <cell r="D266"/>
          <cell r="E266">
            <v>4.4999999999999998E-2</v>
          </cell>
          <cell r="F266" t="str">
            <v>9555317063</v>
          </cell>
          <cell r="G266" t="str">
            <v>x</v>
          </cell>
          <cell r="H266" t="str">
            <v>Samsung</v>
          </cell>
          <cell r="I266" t="str">
            <v>DDR4</v>
          </cell>
          <cell r="J266" t="str">
            <v>DHL</v>
          </cell>
        </row>
        <row r="267">
          <cell r="B267" t="str">
            <v>INV05860</v>
          </cell>
          <cell r="C267"/>
          <cell r="D267"/>
          <cell r="E267">
            <v>3.1</v>
          </cell>
          <cell r="F267" t="str">
            <v>880739359178</v>
          </cell>
          <cell r="G267" t="str">
            <v>ok</v>
          </cell>
          <cell r="H267" t="str">
            <v>MITAC</v>
          </cell>
          <cell r="I267" t="str">
            <v>DDR4</v>
          </cell>
          <cell r="J267" t="str">
            <v>FedEx</v>
          </cell>
        </row>
        <row r="268">
          <cell r="B268" t="str">
            <v>INV05861</v>
          </cell>
          <cell r="C268"/>
          <cell r="D268"/>
          <cell r="E268">
            <v>12.9</v>
          </cell>
          <cell r="F268">
            <v>880744611159</v>
          </cell>
          <cell r="G268" t="str">
            <v>ok</v>
          </cell>
          <cell r="H268" t="str">
            <v>Cloud HK</v>
          </cell>
          <cell r="I268" t="str">
            <v>DDR4, EUSB</v>
          </cell>
          <cell r="J268" t="str">
            <v>FedEx</v>
          </cell>
        </row>
        <row r="269">
          <cell r="B269" t="str">
            <v>INV05862</v>
          </cell>
          <cell r="C269"/>
          <cell r="D269"/>
          <cell r="E269">
            <v>3.7</v>
          </cell>
          <cell r="F269">
            <v>2807752220</v>
          </cell>
          <cell r="G269" t="str">
            <v>x</v>
          </cell>
          <cell r="H269" t="str">
            <v>Avnet</v>
          </cell>
          <cell r="I269" t="str">
            <v>DDR4</v>
          </cell>
          <cell r="J269" t="str">
            <v>DHL</v>
          </cell>
        </row>
        <row r="270">
          <cell r="B270" t="str">
            <v>INV05863</v>
          </cell>
          <cell r="C270"/>
          <cell r="D270"/>
          <cell r="E270">
            <v>0.4</v>
          </cell>
          <cell r="F270" t="str">
            <v>880844171977</v>
          </cell>
          <cell r="G270" t="str">
            <v>ok</v>
          </cell>
          <cell r="H270" t="str">
            <v>LUCID France</v>
          </cell>
          <cell r="I270" t="str">
            <v>UCC</v>
          </cell>
          <cell r="J270" t="str">
            <v>FedEx</v>
          </cell>
        </row>
        <row r="271">
          <cell r="B271" t="str">
            <v>INV05864</v>
          </cell>
          <cell r="C271"/>
          <cell r="D271"/>
          <cell r="E271">
            <v>9.1</v>
          </cell>
          <cell r="F271" t="str">
            <v>880796892979</v>
          </cell>
          <cell r="G271" t="str">
            <v>ok</v>
          </cell>
          <cell r="H271" t="str">
            <v>Cham Soul</v>
          </cell>
          <cell r="I271" t="str">
            <v>Powergem</v>
          </cell>
          <cell r="J271" t="str">
            <v>FedEx</v>
          </cell>
        </row>
        <row r="272">
          <cell r="B272" t="str">
            <v>INV05865</v>
          </cell>
          <cell r="C272"/>
          <cell r="D272"/>
          <cell r="E272">
            <v>36.200000000000003</v>
          </cell>
          <cell r="F272" t="str">
            <v>HAN-25003355</v>
          </cell>
          <cell r="G272" t="str">
            <v>x</v>
          </cell>
          <cell r="H272" t="str">
            <v>FCZ</v>
          </cell>
          <cell r="I272" t="str">
            <v>Eiger</v>
          </cell>
          <cell r="J272" t="str">
            <v>Schenker</v>
          </cell>
        </row>
        <row r="273">
          <cell r="B273" t="str">
            <v>INV05866</v>
          </cell>
          <cell r="C273"/>
          <cell r="D273"/>
          <cell r="E273">
            <v>326.2</v>
          </cell>
          <cell r="F273" t="str">
            <v>HAN-25003359</v>
          </cell>
          <cell r="G273" t="str">
            <v>x</v>
          </cell>
          <cell r="H273" t="str">
            <v>FCZ</v>
          </cell>
          <cell r="I273" t="str">
            <v>Hopper, Grover</v>
          </cell>
          <cell r="J273" t="str">
            <v>Schenker</v>
          </cell>
        </row>
        <row r="274">
          <cell r="B274" t="str">
            <v>INV05867</v>
          </cell>
          <cell r="C274"/>
          <cell r="D274"/>
          <cell r="E274">
            <v>237.4</v>
          </cell>
          <cell r="F274" t="str">
            <v>45T0383582</v>
          </cell>
          <cell r="G274" t="str">
            <v>x</v>
          </cell>
          <cell r="H274" t="str">
            <v>FTX</v>
          </cell>
          <cell r="I274" t="str">
            <v>Eiger</v>
          </cell>
          <cell r="J274" t="str">
            <v>Expeditors</v>
          </cell>
        </row>
        <row r="275">
          <cell r="B275" t="str">
            <v>INV05868</v>
          </cell>
          <cell r="C275"/>
          <cell r="D275"/>
          <cell r="E275">
            <v>531.20000000000005</v>
          </cell>
          <cell r="F275" t="str">
            <v>45T0383647</v>
          </cell>
          <cell r="G275" t="str">
            <v>x</v>
          </cell>
          <cell r="H275" t="str">
            <v>FTX</v>
          </cell>
          <cell r="I275" t="str">
            <v>Grover, Hopper, Icer</v>
          </cell>
          <cell r="J275" t="str">
            <v>Expeditors</v>
          </cell>
        </row>
        <row r="276">
          <cell r="B276" t="str">
            <v>E00909</v>
          </cell>
          <cell r="C276"/>
          <cell r="D276"/>
          <cell r="E276">
            <v>0.5</v>
          </cell>
          <cell r="F276" t="str">
            <v>880802018668</v>
          </cell>
          <cell r="G276" t="str">
            <v>ok</v>
          </cell>
          <cell r="H276" t="str">
            <v>AVNET US</v>
          </cell>
          <cell r="I276" t="str">
            <v>Ferrite Bead</v>
          </cell>
          <cell r="J276" t="str">
            <v>FedEx</v>
          </cell>
        </row>
        <row r="277">
          <cell r="B277" t="str">
            <v>INV05869</v>
          </cell>
          <cell r="C277"/>
          <cell r="D277"/>
          <cell r="E277">
            <v>1278.4000000000001</v>
          </cell>
          <cell r="F277" t="str">
            <v>HN90003546</v>
          </cell>
          <cell r="G277" t="str">
            <v>x</v>
          </cell>
          <cell r="H277" t="str">
            <v>Lucid Arizona</v>
          </cell>
          <cell r="I277" t="str">
            <v>LVJB</v>
          </cell>
          <cell r="J277" t="str">
            <v>DSV</v>
          </cell>
        </row>
        <row r="278">
          <cell r="B278" t="str">
            <v>INV05870</v>
          </cell>
          <cell r="C278"/>
          <cell r="D278"/>
          <cell r="E278">
            <v>547.5</v>
          </cell>
          <cell r="F278" t="str">
            <v>HAN0394305</v>
          </cell>
          <cell r="G278" t="str">
            <v>x</v>
          </cell>
          <cell r="H278" t="str">
            <v>HELLA</v>
          </cell>
          <cell r="I278"/>
          <cell r="J278" t="str">
            <v>DSV</v>
          </cell>
        </row>
        <row r="279">
          <cell r="B279" t="str">
            <v>INV05871</v>
          </cell>
          <cell r="C279"/>
          <cell r="D279"/>
          <cell r="E279">
            <v>3.3</v>
          </cell>
          <cell r="F279" t="str">
            <v>9760324372</v>
          </cell>
          <cell r="G279" t="str">
            <v>x</v>
          </cell>
          <cell r="H279" t="str">
            <v>AVNET US</v>
          </cell>
          <cell r="I279" t="str">
            <v>DDR4</v>
          </cell>
          <cell r="J279" t="str">
            <v>DHL</v>
          </cell>
        </row>
        <row r="280">
          <cell r="B280" t="str">
            <v>INV05872</v>
          </cell>
          <cell r="C280"/>
          <cell r="D280"/>
          <cell r="E280">
            <v>102.3</v>
          </cell>
          <cell r="F280" t="str">
            <v>45T0384170</v>
          </cell>
          <cell r="G280" t="str">
            <v>x</v>
          </cell>
          <cell r="H280" t="str">
            <v>FTX</v>
          </cell>
          <cell r="I280" t="str">
            <v>Eiger</v>
          </cell>
          <cell r="J280" t="str">
            <v>Expeditors</v>
          </cell>
        </row>
        <row r="281">
          <cell r="B281" t="str">
            <v>INV05873</v>
          </cell>
          <cell r="C281"/>
          <cell r="D281"/>
          <cell r="E281">
            <v>811.8</v>
          </cell>
          <cell r="F281" t="str">
            <v>45T0384620</v>
          </cell>
          <cell r="G281" t="str">
            <v>x</v>
          </cell>
          <cell r="H281" t="str">
            <v>FTX</v>
          </cell>
          <cell r="I281" t="str">
            <v>Hopper, Grover, Fresher, Eiger</v>
          </cell>
          <cell r="J281" t="str">
            <v>Expeditors</v>
          </cell>
        </row>
        <row r="282">
          <cell r="B282" t="str">
            <v>INV05874</v>
          </cell>
          <cell r="C282"/>
          <cell r="D282"/>
          <cell r="E282">
            <v>543</v>
          </cell>
          <cell r="F282" t="str">
            <v>HAN-25003436</v>
          </cell>
          <cell r="G282" t="str">
            <v>x</v>
          </cell>
          <cell r="H282" t="str">
            <v>FCZ</v>
          </cell>
          <cell r="I282" t="str">
            <v>Hopper, Grover, Fresher</v>
          </cell>
          <cell r="J282" t="str">
            <v>Schenker</v>
          </cell>
        </row>
        <row r="283">
          <cell r="B283" t="str">
            <v>Sample 659</v>
          </cell>
          <cell r="C283"/>
          <cell r="D283"/>
          <cell r="E283">
            <v>0.3</v>
          </cell>
          <cell r="F283" t="str">
            <v>880880567907</v>
          </cell>
          <cell r="G283" t="str">
            <v>ok</v>
          </cell>
          <cell r="H283" t="str">
            <v>Gold Circuit</v>
          </cell>
          <cell r="I283" t="str">
            <v>PCB</v>
          </cell>
          <cell r="J283" t="str">
            <v>FedEx</v>
          </cell>
        </row>
        <row r="284">
          <cell r="B284" t="str">
            <v>INV05875</v>
          </cell>
          <cell r="C284"/>
          <cell r="D284"/>
          <cell r="E284">
            <v>8</v>
          </cell>
          <cell r="F284" t="str">
            <v>880881388034</v>
          </cell>
          <cell r="G284" t="str">
            <v>ok</v>
          </cell>
          <cell r="H284" t="str">
            <v>LUCID US</v>
          </cell>
          <cell r="I284" t="str">
            <v>HCU</v>
          </cell>
          <cell r="J284" t="str">
            <v>FedEx</v>
          </cell>
        </row>
        <row r="285">
          <cell r="B285" t="str">
            <v>E00910</v>
          </cell>
          <cell r="C285"/>
          <cell r="D285"/>
          <cell r="E285">
            <v>0.2</v>
          </cell>
          <cell r="F285" t="str">
            <v>881008530378</v>
          </cell>
          <cell r="G285" t="str">
            <v>ok</v>
          </cell>
          <cell r="H285" t="str">
            <v>Texas TW (ship sample )</v>
          </cell>
          <cell r="I285" t="str">
            <v>IC</v>
          </cell>
          <cell r="J285" t="str">
            <v>FedEx</v>
          </cell>
        </row>
        <row r="286">
          <cell r="B286" t="str">
            <v>INV05876</v>
          </cell>
          <cell r="C286"/>
          <cell r="D286"/>
          <cell r="E286">
            <v>712.6</v>
          </cell>
          <cell r="F286" t="str">
            <v>HAN0395297</v>
          </cell>
          <cell r="G286" t="str">
            <v>x</v>
          </cell>
          <cell r="H286" t="str">
            <v>HELLA</v>
          </cell>
          <cell r="I286" t="str">
            <v>HCU</v>
          </cell>
          <cell r="J286" t="str">
            <v>DSV</v>
          </cell>
        </row>
        <row r="287">
          <cell r="B287" t="str">
            <v>INV05877</v>
          </cell>
          <cell r="C287"/>
          <cell r="D287"/>
          <cell r="E287">
            <v>14</v>
          </cell>
          <cell r="F287" t="str">
            <v>PTV2503630</v>
          </cell>
          <cell r="G287" t="str">
            <v>x</v>
          </cell>
          <cell r="H287" t="str">
            <v>Baynex</v>
          </cell>
          <cell r="I287" t="str">
            <v>Hopper</v>
          </cell>
          <cell r="J287" t="str">
            <v>CTI</v>
          </cell>
        </row>
        <row r="288">
          <cell r="B288" t="str">
            <v>INV05878</v>
          </cell>
          <cell r="C288"/>
          <cell r="D288"/>
          <cell r="E288">
            <v>367.5</v>
          </cell>
          <cell r="F288" t="str">
            <v>881073890994</v>
          </cell>
          <cell r="G288" t="str">
            <v>ok</v>
          </cell>
          <cell r="H288" t="str">
            <v>DAA</v>
          </cell>
          <cell r="I288" t="str">
            <v>USB</v>
          </cell>
          <cell r="J288" t="str">
            <v>FedEx</v>
          </cell>
        </row>
        <row r="289">
          <cell r="B289" t="str">
            <v>E00911</v>
          </cell>
          <cell r="C289"/>
          <cell r="D289"/>
          <cell r="E289">
            <v>3.3</v>
          </cell>
          <cell r="F289" t="str">
            <v>881068952070</v>
          </cell>
          <cell r="G289" t="str">
            <v>ok</v>
          </cell>
          <cell r="H289" t="str">
            <v>FJZ</v>
          </cell>
          <cell r="I289" t="str">
            <v>IC</v>
          </cell>
          <cell r="J289" t="str">
            <v>FedEx</v>
          </cell>
        </row>
        <row r="290">
          <cell r="B290" t="str">
            <v>INV05879</v>
          </cell>
          <cell r="C290"/>
          <cell r="D290"/>
          <cell r="E290">
            <v>0.9</v>
          </cell>
          <cell r="F290" t="str">
            <v>881068836494</v>
          </cell>
          <cell r="G290" t="str">
            <v>ok</v>
          </cell>
          <cell r="H290" t="str">
            <v>Ingrasys</v>
          </cell>
          <cell r="I290" t="str">
            <v>DDR4</v>
          </cell>
          <cell r="J290" t="str">
            <v>FedEx</v>
          </cell>
        </row>
        <row r="291">
          <cell r="B291" t="str">
            <v>E00912</v>
          </cell>
          <cell r="C291"/>
          <cell r="D291"/>
          <cell r="E291">
            <v>11.4</v>
          </cell>
          <cell r="F291" t="str">
            <v>881278370724</v>
          </cell>
          <cell r="G291" t="str">
            <v>ok</v>
          </cell>
          <cell r="H291" t="str">
            <v>NI USA</v>
          </cell>
          <cell r="I291" t="str">
            <v>Adapter board, Power distribution</v>
          </cell>
          <cell r="J291" t="str">
            <v>FedEx</v>
          </cell>
        </row>
        <row r="292">
          <cell r="B292" t="str">
            <v>INV05880</v>
          </cell>
          <cell r="C292"/>
          <cell r="D292"/>
          <cell r="E292">
            <v>31.5</v>
          </cell>
          <cell r="F292" t="str">
            <v>45T0385354</v>
          </cell>
          <cell r="G292" t="str">
            <v>x</v>
          </cell>
          <cell r="H292" t="str">
            <v>UPS SCS</v>
          </cell>
          <cell r="I292" t="str">
            <v>Eiger, Hopper, Grover</v>
          </cell>
          <cell r="J292" t="str">
            <v>Expeditors</v>
          </cell>
        </row>
        <row r="293">
          <cell r="B293" t="str">
            <v>INV05881</v>
          </cell>
          <cell r="C293"/>
          <cell r="D293"/>
          <cell r="E293">
            <v>20.399999999999999</v>
          </cell>
          <cell r="F293" t="str">
            <v>5394317036</v>
          </cell>
          <cell r="G293" t="str">
            <v>x</v>
          </cell>
          <cell r="H293" t="str">
            <v>AVNET US</v>
          </cell>
          <cell r="I293" t="str">
            <v>PCBA</v>
          </cell>
          <cell r="J293" t="str">
            <v>DHL</v>
          </cell>
        </row>
        <row r="294">
          <cell r="B294" t="str">
            <v>E00913</v>
          </cell>
          <cell r="C294"/>
          <cell r="D294"/>
          <cell r="E294">
            <v>1.8</v>
          </cell>
          <cell r="F294" t="str">
            <v>881128447169</v>
          </cell>
          <cell r="G294" t="str">
            <v>ok</v>
          </cell>
          <cell r="H294" t="str">
            <v>HQ1</v>
          </cell>
          <cell r="I294" t="str">
            <v>IC, heatsink, label</v>
          </cell>
          <cell r="J294" t="str">
            <v>FedEx</v>
          </cell>
        </row>
        <row r="295">
          <cell r="B295" t="str">
            <v>INV05882</v>
          </cell>
          <cell r="C295"/>
          <cell r="D295"/>
          <cell r="E295">
            <v>0.9</v>
          </cell>
          <cell r="F295" t="str">
            <v>881129895411</v>
          </cell>
          <cell r="G295" t="str">
            <v>ok</v>
          </cell>
          <cell r="H295" t="str">
            <v>Cloud HK</v>
          </cell>
          <cell r="I295" t="str">
            <v>EUSB</v>
          </cell>
          <cell r="J295" t="str">
            <v>FedEx</v>
          </cell>
        </row>
        <row r="296">
          <cell r="B296" t="str">
            <v>INV05883</v>
          </cell>
          <cell r="C296"/>
          <cell r="D296"/>
          <cell r="E296">
            <v>215.4</v>
          </cell>
          <cell r="F296" t="str">
            <v>45T0385288</v>
          </cell>
          <cell r="G296" t="str">
            <v>x</v>
          </cell>
          <cell r="H296" t="str">
            <v>FTX Express</v>
          </cell>
          <cell r="I296" t="str">
            <v>Eiger</v>
          </cell>
          <cell r="J296" t="str">
            <v>Expeditors</v>
          </cell>
        </row>
        <row r="297">
          <cell r="B297" t="str">
            <v>INV05884</v>
          </cell>
          <cell r="C297"/>
          <cell r="D297"/>
          <cell r="E297">
            <v>26</v>
          </cell>
          <cell r="F297" t="str">
            <v>HAN-25003681</v>
          </cell>
          <cell r="G297" t="str">
            <v>x</v>
          </cell>
          <cell r="H297" t="str">
            <v>FCZ Express</v>
          </cell>
          <cell r="I297" t="str">
            <v>Eiger</v>
          </cell>
          <cell r="J297" t="str">
            <v>Schenker</v>
          </cell>
        </row>
        <row r="298">
          <cell r="B298" t="str">
            <v>INV05885</v>
          </cell>
          <cell r="C298"/>
          <cell r="D298"/>
          <cell r="E298">
            <v>465.3</v>
          </cell>
          <cell r="F298" t="str">
            <v>45T0385402</v>
          </cell>
          <cell r="G298" t="str">
            <v>x</v>
          </cell>
          <cell r="H298" t="str">
            <v>FTX Standard</v>
          </cell>
          <cell r="I298" t="str">
            <v>Fresher, Grover, Hopper</v>
          </cell>
          <cell r="J298" t="str">
            <v>Expeditors</v>
          </cell>
        </row>
        <row r="299">
          <cell r="B299" t="str">
            <v>INV05886</v>
          </cell>
          <cell r="C299"/>
          <cell r="D299"/>
          <cell r="E299">
            <v>202.1</v>
          </cell>
          <cell r="F299" t="str">
            <v>HAN-25003697</v>
          </cell>
          <cell r="G299" t="str">
            <v>x</v>
          </cell>
          <cell r="H299" t="str">
            <v>FCZ Standard</v>
          </cell>
          <cell r="I299" t="str">
            <v>Fresher, Grover, Hopper, ICER</v>
          </cell>
          <cell r="J299" t="str">
            <v>Schenker</v>
          </cell>
        </row>
        <row r="300">
          <cell r="B300" t="str">
            <v>INV05887</v>
          </cell>
          <cell r="C300"/>
          <cell r="D300"/>
          <cell r="E300">
            <v>87.4</v>
          </cell>
          <cell r="F300" t="str">
            <v>HN90003588</v>
          </cell>
          <cell r="G300" t="str">
            <v>x</v>
          </cell>
          <cell r="H300" t="str">
            <v>LUCID AZ</v>
          </cell>
          <cell r="I300" t="str">
            <v>LVJB</v>
          </cell>
          <cell r="J300" t="str">
            <v>DSV</v>
          </cell>
        </row>
        <row r="301">
          <cell r="B301" t="str">
            <v>INV05888</v>
          </cell>
          <cell r="C301"/>
          <cell r="D301"/>
          <cell r="E301">
            <v>74.5</v>
          </cell>
          <cell r="F301" t="str">
            <v>HN90003589</v>
          </cell>
          <cell r="G301" t="str">
            <v>x</v>
          </cell>
          <cell r="H301" t="str">
            <v>LUCID US</v>
          </cell>
          <cell r="I301" t="str">
            <v>LVJB</v>
          </cell>
          <cell r="J301" t="str">
            <v>DSV</v>
          </cell>
        </row>
        <row r="302">
          <cell r="B302" t="str">
            <v>SAMPLE 660</v>
          </cell>
          <cell r="C302"/>
          <cell r="D302"/>
          <cell r="E302">
            <v>0.2</v>
          </cell>
          <cell r="F302" t="str">
            <v>881157352323</v>
          </cell>
          <cell r="G302" t="str">
            <v>ok</v>
          </cell>
          <cell r="H302" t="str">
            <v>Amphenol</v>
          </cell>
          <cell r="I302" t="str">
            <v>Connector</v>
          </cell>
          <cell r="J302" t="str">
            <v>Fedex</v>
          </cell>
        </row>
        <row r="303">
          <cell r="B303" t="str">
            <v>INV05889</v>
          </cell>
          <cell r="C303"/>
          <cell r="D303"/>
          <cell r="E303">
            <v>13.5</v>
          </cell>
          <cell r="F303" t="str">
            <v>3658907571</v>
          </cell>
          <cell r="G303" t="str">
            <v>x</v>
          </cell>
          <cell r="H303" t="str">
            <v>Sanmina</v>
          </cell>
          <cell r="I303" t="str">
            <v>DDR4</v>
          </cell>
          <cell r="J303" t="str">
            <v>DHL</v>
          </cell>
        </row>
        <row r="304">
          <cell r="B304" t="str">
            <v>SAMPLE 661</v>
          </cell>
          <cell r="C304"/>
          <cell r="D304"/>
          <cell r="E304">
            <v>0.2</v>
          </cell>
          <cell r="F304" t="str">
            <v>881241606451</v>
          </cell>
          <cell r="G304" t="str">
            <v>ok</v>
          </cell>
          <cell r="H304" t="str">
            <v>Min Aik</v>
          </cell>
          <cell r="I304" t="str">
            <v>Plastic cover</v>
          </cell>
          <cell r="J304" t="str">
            <v>FedEx</v>
          </cell>
        </row>
        <row r="305">
          <cell r="B305" t="str">
            <v>INV05890</v>
          </cell>
          <cell r="C305"/>
          <cell r="D305"/>
          <cell r="E305">
            <v>547.69999999999993</v>
          </cell>
          <cell r="F305" t="str">
            <v>881241300834</v>
          </cell>
          <cell r="G305" t="str">
            <v>ok</v>
          </cell>
          <cell r="H305" t="str">
            <v>DAA</v>
          </cell>
          <cell r="I305" t="str">
            <v>USB</v>
          </cell>
          <cell r="J305" t="str">
            <v>FedEx</v>
          </cell>
        </row>
        <row r="306">
          <cell r="B306" t="str">
            <v>INV05891</v>
          </cell>
          <cell r="C306"/>
          <cell r="D306"/>
          <cell r="E306">
            <v>4.1000000000000005</v>
          </cell>
          <cell r="F306" t="str">
            <v>881241192060</v>
          </cell>
          <cell r="G306" t="str">
            <v>ok</v>
          </cell>
          <cell r="H306" t="str">
            <v>Cloud HK</v>
          </cell>
          <cell r="I306" t="str">
            <v>EUSB</v>
          </cell>
          <cell r="J306" t="str">
            <v>FedEx</v>
          </cell>
        </row>
        <row r="307">
          <cell r="B307" t="str">
            <v>INV05892</v>
          </cell>
          <cell r="C307"/>
          <cell r="D307"/>
          <cell r="E307">
            <v>28.6</v>
          </cell>
          <cell r="F307" t="str">
            <v>1484264014</v>
          </cell>
          <cell r="G307" t="str">
            <v>x</v>
          </cell>
          <cell r="H307" t="str">
            <v>Jabil MY</v>
          </cell>
          <cell r="I307" t="str">
            <v>DDR4</v>
          </cell>
          <cell r="J307" t="str">
            <v>DHL</v>
          </cell>
        </row>
        <row r="308">
          <cell r="B308" t="str">
            <v>INV05893</v>
          </cell>
          <cell r="C308"/>
          <cell r="D308"/>
          <cell r="E308">
            <v>21.4</v>
          </cell>
          <cell r="F308" t="str">
            <v>1269015344</v>
          </cell>
          <cell r="G308" t="str">
            <v>x</v>
          </cell>
          <cell r="H308" t="str">
            <v>AVNET US</v>
          </cell>
          <cell r="I308" t="str">
            <v>DDR4</v>
          </cell>
          <cell r="J308" t="str">
            <v>DHL</v>
          </cell>
        </row>
        <row r="309">
          <cell r="B309" t="str">
            <v>Sample 662</v>
          </cell>
          <cell r="C309"/>
          <cell r="D309"/>
          <cell r="E309">
            <v>0.2</v>
          </cell>
          <cell r="F309" t="str">
            <v>881273616035</v>
          </cell>
          <cell r="G309" t="str">
            <v>ok</v>
          </cell>
          <cell r="H309" t="str">
            <v>Chengfwa</v>
          </cell>
          <cell r="I309" t="str">
            <v>Screw</v>
          </cell>
          <cell r="J309" t="str">
            <v>FedEx</v>
          </cell>
        </row>
        <row r="310">
          <cell r="B310" t="str">
            <v>INV05894</v>
          </cell>
          <cell r="C310"/>
          <cell r="D310"/>
          <cell r="E310">
            <v>26</v>
          </cell>
          <cell r="F310" t="str">
            <v>HAN-25003842</v>
          </cell>
          <cell r="G310" t="str">
            <v>x</v>
          </cell>
          <cell r="H310" t="str">
            <v>FCZ Express</v>
          </cell>
          <cell r="I310" t="str">
            <v>Eiger</v>
          </cell>
          <cell r="J310" t="str">
            <v>Schenker</v>
          </cell>
        </row>
        <row r="311">
          <cell r="B311" t="str">
            <v>INV05895</v>
          </cell>
          <cell r="C311"/>
          <cell r="D311"/>
          <cell r="E311">
            <v>413.1</v>
          </cell>
          <cell r="F311" t="str">
            <v>HAN-25003843</v>
          </cell>
          <cell r="G311" t="str">
            <v>x</v>
          </cell>
          <cell r="H311" t="str">
            <v>FCZ Standard</v>
          </cell>
          <cell r="I311" t="str">
            <v>Fresher, Hopper, ICER, Grover</v>
          </cell>
          <cell r="J311" t="str">
            <v>Schenker</v>
          </cell>
        </row>
        <row r="312">
          <cell r="B312" t="str">
            <v>INV05896</v>
          </cell>
          <cell r="C312"/>
          <cell r="D312"/>
          <cell r="E312">
            <v>122.1</v>
          </cell>
          <cell r="F312" t="str">
            <v>45T0387412</v>
          </cell>
          <cell r="G312" t="str">
            <v>x</v>
          </cell>
          <cell r="H312" t="str">
            <v>FTX Express</v>
          </cell>
          <cell r="I312" t="str">
            <v>Eiger, Grover</v>
          </cell>
          <cell r="J312" t="str">
            <v>Expeditors</v>
          </cell>
        </row>
        <row r="313">
          <cell r="B313" t="str">
            <v>INV05897</v>
          </cell>
          <cell r="C313"/>
          <cell r="D313"/>
          <cell r="E313">
            <v>985.8</v>
          </cell>
          <cell r="F313" t="str">
            <v>45T0387413</v>
          </cell>
          <cell r="G313" t="str">
            <v>x</v>
          </cell>
          <cell r="H313" t="str">
            <v>FTX Standard</v>
          </cell>
          <cell r="I313" t="str">
            <v>Grover, Hopper</v>
          </cell>
          <cell r="J313" t="str">
            <v>Expeditors</v>
          </cell>
        </row>
        <row r="314">
          <cell r="B314" t="str">
            <v>SAMPLE 663</v>
          </cell>
          <cell r="C314"/>
          <cell r="D314"/>
          <cell r="E314">
            <v>0.7</v>
          </cell>
          <cell r="F314" t="str">
            <v>881303810819</v>
          </cell>
          <cell r="G314" t="str">
            <v>ok</v>
          </cell>
          <cell r="H314" t="str">
            <v>HQ1</v>
          </cell>
          <cell r="I314" t="str">
            <v>Label</v>
          </cell>
          <cell r="J314" t="str">
            <v>FedEx</v>
          </cell>
        </row>
        <row r="315">
          <cell r="B315" t="str">
            <v>E00914</v>
          </cell>
          <cell r="C315"/>
          <cell r="D315"/>
          <cell r="E315">
            <v>483</v>
          </cell>
          <cell r="F315" t="str">
            <v>TRUCK</v>
          </cell>
          <cell r="G315" t="str">
            <v>x</v>
          </cell>
          <cell r="H315" t="str">
            <v>Eson</v>
          </cell>
          <cell r="I315" t="str">
            <v>Cover</v>
          </cell>
          <cell r="J315" t="str">
            <v>Truck</v>
          </cell>
        </row>
        <row r="316">
          <cell r="B316" t="str">
            <v>E00915</v>
          </cell>
          <cell r="C316"/>
          <cell r="D316"/>
          <cell r="E316">
            <v>17</v>
          </cell>
          <cell r="F316" t="str">
            <v>1ZA515E28893790610</v>
          </cell>
          <cell r="G316" t="str">
            <v>x</v>
          </cell>
          <cell r="H316" t="str">
            <v>Digikey</v>
          </cell>
          <cell r="I316" t="str">
            <v>Connector</v>
          </cell>
          <cell r="J316" t="str">
            <v>UPS</v>
          </cell>
        </row>
        <row r="317">
          <cell r="B317" t="str">
            <v>INV05898</v>
          </cell>
          <cell r="C317"/>
          <cell r="D317"/>
          <cell r="E317">
            <v>59</v>
          </cell>
          <cell r="F317" t="str">
            <v>MIQSGN04044</v>
          </cell>
          <cell r="G317" t="str">
            <v>x</v>
          </cell>
          <cell r="H317" t="str">
            <v>EFI</v>
          </cell>
          <cell r="I317" t="str">
            <v>PCBA</v>
          </cell>
          <cell r="J317" t="str">
            <v>Noatum</v>
          </cell>
        </row>
        <row r="318">
          <cell r="B318" t="str">
            <v>INV05899</v>
          </cell>
          <cell r="C318"/>
          <cell r="D318"/>
          <cell r="E318">
            <v>14.6</v>
          </cell>
          <cell r="F318" t="str">
            <v>881382690774</v>
          </cell>
          <cell r="G318" t="str">
            <v>ok</v>
          </cell>
          <cell r="H318" t="str">
            <v>Cloud HK</v>
          </cell>
          <cell r="I318" t="str">
            <v>EUSB</v>
          </cell>
          <cell r="J318" t="str">
            <v>FedEx</v>
          </cell>
        </row>
        <row r="319">
          <cell r="B319" t="str">
            <v>E00916</v>
          </cell>
          <cell r="C319"/>
          <cell r="D319"/>
          <cell r="E319">
            <v>15</v>
          </cell>
          <cell r="F319" t="str">
            <v>1143813300</v>
          </cell>
          <cell r="G319" t="str">
            <v>x</v>
          </cell>
          <cell r="H319" t="str">
            <v>AGIGA</v>
          </cell>
          <cell r="I319" t="str">
            <v>Xuất bán thanh lý (Thiết bị kiểm tra tính năng cho sản phẩm FADU SSD, hãng sản xuất: Utran Technologies Inc, model:PCI-ENC8G-024U)</v>
          </cell>
          <cell r="J319" t="str">
            <v>DHL</v>
          </cell>
        </row>
        <row r="320">
          <cell r="B320" t="str">
            <v>INV05900</v>
          </cell>
          <cell r="C320"/>
          <cell r="D320"/>
          <cell r="E320">
            <v>2.2999999999999998</v>
          </cell>
          <cell r="F320" t="str">
            <v>881416212060</v>
          </cell>
          <cell r="G320" t="str">
            <v>ok</v>
          </cell>
          <cell r="H320" t="str">
            <v>EFI US</v>
          </cell>
          <cell r="I320" t="str">
            <v>PCBA</v>
          </cell>
          <cell r="J320" t="str">
            <v>FedEx</v>
          </cell>
        </row>
        <row r="321">
          <cell r="B321" t="str">
            <v>INV05901</v>
          </cell>
          <cell r="C321"/>
          <cell r="D321"/>
          <cell r="E321">
            <v>0.8</v>
          </cell>
          <cell r="F321" t="str">
            <v>881413529032</v>
          </cell>
          <cell r="G321" t="str">
            <v>ok</v>
          </cell>
          <cell r="H321" t="str">
            <v>HQ1</v>
          </cell>
          <cell r="I321" t="str">
            <v>DDR5</v>
          </cell>
          <cell r="J321" t="str">
            <v>FedEx</v>
          </cell>
        </row>
        <row r="322">
          <cell r="B322" t="str">
            <v>INV05902</v>
          </cell>
          <cell r="C322"/>
          <cell r="D322"/>
          <cell r="E322">
            <v>31.5</v>
          </cell>
          <cell r="F322" t="str">
            <v>881414705390</v>
          </cell>
          <cell r="G322" t="str">
            <v>ok</v>
          </cell>
          <cell r="H322" t="str">
            <v>EFI IL</v>
          </cell>
          <cell r="I322" t="str">
            <v>ASM</v>
          </cell>
          <cell r="J322" t="str">
            <v>FedEx</v>
          </cell>
        </row>
        <row r="323">
          <cell r="B323" t="str">
            <v>INV05903</v>
          </cell>
          <cell r="C323"/>
          <cell r="D323"/>
          <cell r="E323">
            <v>31.1</v>
          </cell>
          <cell r="F323" t="str">
            <v>3164013425</v>
          </cell>
          <cell r="G323" t="str">
            <v>x</v>
          </cell>
          <cell r="H323" t="str">
            <v>JABIL MY</v>
          </cell>
          <cell r="I323" t="str">
            <v>DDR4</v>
          </cell>
          <cell r="J323" t="str">
            <v>DHL</v>
          </cell>
        </row>
        <row r="324">
          <cell r="B324" t="str">
            <v>INV05904</v>
          </cell>
          <cell r="C324"/>
          <cell r="D324"/>
          <cell r="E324">
            <v>585.6</v>
          </cell>
          <cell r="F324" t="str">
            <v>HN90003637</v>
          </cell>
          <cell r="G324" t="str">
            <v>x</v>
          </cell>
          <cell r="H324" t="str">
            <v>LUCID AZ</v>
          </cell>
          <cell r="I324" t="str">
            <v>NACS</v>
          </cell>
          <cell r="J324" t="str">
            <v>DSV</v>
          </cell>
        </row>
        <row r="325">
          <cell r="B325" t="str">
            <v>E00917</v>
          </cell>
          <cell r="C325"/>
          <cell r="D325"/>
          <cell r="E325">
            <v>17.5</v>
          </cell>
          <cell r="F325" t="str">
            <v>881474360013</v>
          </cell>
          <cell r="G325" t="str">
            <v>ok</v>
          </cell>
          <cell r="H325" t="str">
            <v>HQ1</v>
          </cell>
          <cell r="I325" t="str">
            <v>Integrated circuit, resistor, capacitor, connector, screw, ferrite bead, adapter, DDR4</v>
          </cell>
          <cell r="J325" t="str">
            <v>FedEx</v>
          </cell>
        </row>
        <row r="326">
          <cell r="B326" t="str">
            <v>INV05905</v>
          </cell>
          <cell r="C326"/>
          <cell r="D326"/>
          <cell r="E326">
            <v>366.8</v>
          </cell>
          <cell r="F326" t="str">
            <v>HN90003647</v>
          </cell>
          <cell r="G326" t="str">
            <v>x</v>
          </cell>
          <cell r="H326" t="str">
            <v>LUCID AZ</v>
          </cell>
          <cell r="I326" t="str">
            <v>UCC</v>
          </cell>
          <cell r="J326" t="str">
            <v>DSV</v>
          </cell>
        </row>
        <row r="327">
          <cell r="B327" t="str">
            <v>E00918</v>
          </cell>
          <cell r="C327"/>
          <cell r="D327"/>
          <cell r="E327">
            <v>3.2</v>
          </cell>
          <cell r="F327" t="str">
            <v>881474553554</v>
          </cell>
          <cell r="G327" t="str">
            <v>ok</v>
          </cell>
          <cell r="H327" t="str">
            <v>Bang tai</v>
          </cell>
          <cell r="I327" t="str">
            <v>IC</v>
          </cell>
          <cell r="J327" t="str">
            <v>FedEx</v>
          </cell>
        </row>
        <row r="328">
          <cell r="B328" t="str">
            <v>E00919</v>
          </cell>
          <cell r="C328"/>
          <cell r="D328"/>
          <cell r="E328">
            <v>3.6</v>
          </cell>
          <cell r="F328" t="str">
            <v>881519917832</v>
          </cell>
          <cell r="G328" t="str">
            <v>ok</v>
          </cell>
          <cell r="H328" t="str">
            <v>FJZ(US)</v>
          </cell>
          <cell r="I328" t="str">
            <v>IC</v>
          </cell>
          <cell r="J328" t="str">
            <v>FedEx</v>
          </cell>
        </row>
        <row r="329">
          <cell r="B329" t="str">
            <v>INV05906</v>
          </cell>
          <cell r="C329"/>
          <cell r="D329"/>
          <cell r="E329">
            <v>214.4</v>
          </cell>
          <cell r="F329" t="str">
            <v>45T0388353</v>
          </cell>
          <cell r="G329" t="str">
            <v>x</v>
          </cell>
          <cell r="H329" t="str">
            <v>FTX Express</v>
          </cell>
          <cell r="I329" t="str">
            <v>Eiger, Grover</v>
          </cell>
          <cell r="J329" t="str">
            <v>Expeditors</v>
          </cell>
        </row>
        <row r="330">
          <cell r="B330" t="str">
            <v>INV05907</v>
          </cell>
          <cell r="C330"/>
          <cell r="D330"/>
          <cell r="E330">
            <v>71</v>
          </cell>
          <cell r="F330" t="str">
            <v>HAN-25004118</v>
          </cell>
          <cell r="G330" t="str">
            <v>x</v>
          </cell>
          <cell r="H330" t="str">
            <v>FCZ Express</v>
          </cell>
          <cell r="I330" t="str">
            <v>Eiger</v>
          </cell>
          <cell r="J330" t="str">
            <v>Schenker</v>
          </cell>
        </row>
        <row r="331">
          <cell r="B331" t="str">
            <v>INV05908</v>
          </cell>
          <cell r="C331"/>
          <cell r="D331"/>
          <cell r="E331">
            <v>0.4</v>
          </cell>
          <cell r="F331" t="str">
            <v>3146482824</v>
          </cell>
          <cell r="G331" t="str">
            <v>x</v>
          </cell>
          <cell r="H331" t="str">
            <v>Brocade</v>
          </cell>
          <cell r="I331" t="str">
            <v>EUSB</v>
          </cell>
          <cell r="J331" t="str">
            <v>DHL</v>
          </cell>
        </row>
        <row r="332">
          <cell r="B332" t="str">
            <v>INV05909</v>
          </cell>
          <cell r="C332"/>
          <cell r="D332"/>
          <cell r="E332">
            <v>0.4</v>
          </cell>
          <cell r="F332" t="str">
            <v>9617628764</v>
          </cell>
          <cell r="G332" t="str">
            <v>x</v>
          </cell>
          <cell r="H332" t="str">
            <v>BROADCOM</v>
          </cell>
          <cell r="I332" t="str">
            <v>EUSB</v>
          </cell>
          <cell r="J332" t="str">
            <v>DHL</v>
          </cell>
        </row>
        <row r="333">
          <cell r="B333" t="str">
            <v>INV05910</v>
          </cell>
          <cell r="C333"/>
          <cell r="D333"/>
          <cell r="E333">
            <v>71.8</v>
          </cell>
          <cell r="F333" t="str">
            <v>3146522702</v>
          </cell>
          <cell r="G333" t="str">
            <v>x</v>
          </cell>
          <cell r="H333" t="str">
            <v>AVNET US</v>
          </cell>
          <cell r="I333" t="str">
            <v>PCBA, DDR4</v>
          </cell>
          <cell r="J333" t="str">
            <v>DHL</v>
          </cell>
        </row>
        <row r="334">
          <cell r="B334" t="str">
            <v>INV05911</v>
          </cell>
          <cell r="C334"/>
          <cell r="D334"/>
          <cell r="E334">
            <v>31</v>
          </cell>
          <cell r="F334" t="str">
            <v>881479162089</v>
          </cell>
          <cell r="G334" t="str">
            <v>ok</v>
          </cell>
          <cell r="H334" t="str">
            <v>Pure Storage</v>
          </cell>
          <cell r="I334" t="str">
            <v>Hopper HLOB</v>
          </cell>
          <cell r="J334" t="str">
            <v>FedEx</v>
          </cell>
        </row>
        <row r="335">
          <cell r="B335" t="str">
            <v>INV05912</v>
          </cell>
          <cell r="C335"/>
          <cell r="D335"/>
          <cell r="E335">
            <v>1018.5</v>
          </cell>
          <cell r="F335" t="str">
            <v>45T0389713</v>
          </cell>
          <cell r="G335" t="str">
            <v>x</v>
          </cell>
          <cell r="H335" t="str">
            <v>FTX Standard</v>
          </cell>
          <cell r="I335" t="str">
            <v>Grover, Hopper, Icer</v>
          </cell>
          <cell r="J335" t="str">
            <v>Expeditors</v>
          </cell>
        </row>
        <row r="336">
          <cell r="B336" t="str">
            <v>INV05913</v>
          </cell>
          <cell r="C336"/>
          <cell r="D336"/>
          <cell r="E336">
            <v>335.1</v>
          </cell>
          <cell r="F336" t="str">
            <v>HAN-25004080</v>
          </cell>
          <cell r="G336" t="str">
            <v>x</v>
          </cell>
          <cell r="H336" t="str">
            <v>FCZ Standard</v>
          </cell>
          <cell r="I336" t="str">
            <v>Fresher, Grover, Hopper</v>
          </cell>
          <cell r="J336" t="str">
            <v>Schenker</v>
          </cell>
        </row>
        <row r="337">
          <cell r="B337" t="str">
            <v>E00920</v>
          </cell>
          <cell r="C337"/>
          <cell r="D337"/>
          <cell r="E337">
            <v>3.6</v>
          </cell>
          <cell r="F337" t="str">
            <v>881522744399</v>
          </cell>
          <cell r="G337" t="str">
            <v>ok</v>
          </cell>
          <cell r="H337" t="str">
            <v>Bang tai</v>
          </cell>
          <cell r="I337" t="str">
            <v>IC</v>
          </cell>
          <cell r="J337" t="str">
            <v>Fedex</v>
          </cell>
        </row>
        <row r="338">
          <cell r="B338" t="str">
            <v>INV05914</v>
          </cell>
          <cell r="C338"/>
          <cell r="D338"/>
          <cell r="E338">
            <v>8.3000000000000007</v>
          </cell>
          <cell r="F338" t="str">
            <v>881543637500</v>
          </cell>
          <cell r="G338" t="str">
            <v>ok</v>
          </cell>
          <cell r="H338" t="str">
            <v>Cloud HK</v>
          </cell>
          <cell r="I338" t="str">
            <v>DDR4, EUSB</v>
          </cell>
          <cell r="J338" t="str">
            <v>FedEx</v>
          </cell>
        </row>
        <row r="339">
          <cell r="B339" t="str">
            <v>INV05915</v>
          </cell>
          <cell r="C339"/>
          <cell r="D339"/>
          <cell r="E339">
            <v>1233.7</v>
          </cell>
          <cell r="F339" t="str">
            <v>HAN0400143</v>
          </cell>
          <cell r="G339" t="str">
            <v>x</v>
          </cell>
          <cell r="H339" t="str">
            <v>HELLA</v>
          </cell>
          <cell r="I339" t="str">
            <v>HCU</v>
          </cell>
          <cell r="J339" t="str">
            <v>DSV</v>
          </cell>
        </row>
        <row r="340">
          <cell r="B340" t="str">
            <v>INV05916</v>
          </cell>
          <cell r="C340"/>
          <cell r="D340"/>
          <cell r="E340">
            <v>17</v>
          </cell>
          <cell r="F340" t="str">
            <v>881580412620</v>
          </cell>
          <cell r="G340" t="str">
            <v>x</v>
          </cell>
          <cell r="H340" t="str">
            <v>Pure Storage</v>
          </cell>
          <cell r="I340" t="str">
            <v>Hopper, Grover, Icer, PCBA</v>
          </cell>
          <cell r="J340" t="str">
            <v>FedEx</v>
          </cell>
        </row>
        <row r="341">
          <cell r="B341" t="str">
            <v>Sample 664</v>
          </cell>
          <cell r="C341"/>
          <cell r="D341"/>
          <cell r="E341">
            <v>0.1</v>
          </cell>
          <cell r="F341" t="str">
            <v>881580194210</v>
          </cell>
          <cell r="G341" t="str">
            <v>ok</v>
          </cell>
          <cell r="H341" t="str">
            <v>Texas</v>
          </cell>
          <cell r="I341" t="str">
            <v>IC</v>
          </cell>
          <cell r="J341" t="str">
            <v>FedEx</v>
          </cell>
        </row>
        <row r="342">
          <cell r="B342" t="str">
            <v>INV05917</v>
          </cell>
          <cell r="C342"/>
          <cell r="D342"/>
          <cell r="E342">
            <v>31.4</v>
          </cell>
          <cell r="F342" t="str">
            <v>45T0390717</v>
          </cell>
          <cell r="G342" t="str">
            <v>x</v>
          </cell>
          <cell r="H342" t="str">
            <v>UPS SCS</v>
          </cell>
          <cell r="I342" t="str">
            <v>Hopper</v>
          </cell>
          <cell r="J342" t="str">
            <v>Expeditors</v>
          </cell>
        </row>
        <row r="343">
          <cell r="B343" t="str">
            <v>INV05918</v>
          </cell>
          <cell r="C343"/>
          <cell r="D343"/>
          <cell r="E343">
            <v>104.8</v>
          </cell>
          <cell r="F343" t="str">
            <v>881612607062</v>
          </cell>
          <cell r="G343" t="str">
            <v>ok</v>
          </cell>
          <cell r="H343" t="str">
            <v>EFI IL</v>
          </cell>
          <cell r="I343" t="str">
            <v>ASM</v>
          </cell>
          <cell r="J343" t="str">
            <v>FedEx</v>
          </cell>
        </row>
        <row r="344">
          <cell r="B344" t="str">
            <v>INV05919</v>
          </cell>
          <cell r="C344"/>
          <cell r="D344"/>
          <cell r="E344">
            <v>38</v>
          </cell>
          <cell r="F344" t="str">
            <v>HAN25004287</v>
          </cell>
          <cell r="G344" t="str">
            <v>x</v>
          </cell>
          <cell r="H344" t="str">
            <v>FCZ Express</v>
          </cell>
          <cell r="I344" t="str">
            <v>Eiger</v>
          </cell>
          <cell r="J344" t="str">
            <v>Schenker</v>
          </cell>
        </row>
        <row r="345">
          <cell r="B345" t="str">
            <v>INV05920</v>
          </cell>
          <cell r="C345"/>
          <cell r="D345"/>
          <cell r="E345">
            <v>820.6</v>
          </cell>
          <cell r="F345" t="str">
            <v>HAN25004286</v>
          </cell>
          <cell r="G345" t="str">
            <v>x</v>
          </cell>
          <cell r="H345" t="str">
            <v>FCZ Standard</v>
          </cell>
          <cell r="I345" t="str">
            <v>Fresher, Grover, Hopper, ICER</v>
          </cell>
          <cell r="J345" t="str">
            <v>Schenker</v>
          </cell>
        </row>
        <row r="346">
          <cell r="B346" t="str">
            <v>INV05921</v>
          </cell>
          <cell r="C346"/>
          <cell r="D346"/>
          <cell r="E346">
            <v>680.4</v>
          </cell>
          <cell r="F346" t="str">
            <v>45T0390592</v>
          </cell>
          <cell r="G346" t="str">
            <v>x</v>
          </cell>
          <cell r="H346" t="str">
            <v>FTX Standard</v>
          </cell>
          <cell r="I346" t="str">
            <v>Eiger, Grover, Hopper, ICER</v>
          </cell>
          <cell r="J346" t="str">
            <v>Expeditors</v>
          </cell>
        </row>
        <row r="347">
          <cell r="B347" t="str">
            <v>INV05922</v>
          </cell>
          <cell r="C347"/>
          <cell r="D347"/>
          <cell r="E347">
            <v>1.2</v>
          </cell>
          <cell r="F347" t="str">
            <v>881644957163</v>
          </cell>
          <cell r="G347" t="str">
            <v>ok</v>
          </cell>
          <cell r="H347" t="str">
            <v>Cloud HK</v>
          </cell>
          <cell r="I347" t="str">
            <v>EUSB</v>
          </cell>
          <cell r="J347" t="str">
            <v>FedEx</v>
          </cell>
        </row>
        <row r="348">
          <cell r="B348" t="str">
            <v>INV05923</v>
          </cell>
          <cell r="C348"/>
          <cell r="D348"/>
          <cell r="E348">
            <v>94.3</v>
          </cell>
          <cell r="F348" t="str">
            <v>881645054442</v>
          </cell>
          <cell r="G348" t="str">
            <v>ok</v>
          </cell>
          <cell r="H348" t="str">
            <v>EFI Italy</v>
          </cell>
          <cell r="I348" t="str">
            <v>PCBA</v>
          </cell>
          <cell r="J348" t="str">
            <v>FedEx</v>
          </cell>
        </row>
        <row r="349">
          <cell r="B349" t="str">
            <v>INV05924</v>
          </cell>
          <cell r="C349"/>
          <cell r="D349"/>
          <cell r="E349">
            <v>1</v>
          </cell>
          <cell r="F349" t="str">
            <v>881645264107</v>
          </cell>
          <cell r="G349" t="str">
            <v>ok</v>
          </cell>
          <cell r="H349" t="str">
            <v>Ingrasys</v>
          </cell>
          <cell r="I349" t="str">
            <v>DDR4</v>
          </cell>
          <cell r="J349" t="str">
            <v>FedEx</v>
          </cell>
        </row>
        <row r="350">
          <cell r="B350" t="str">
            <v>INV05925</v>
          </cell>
          <cell r="C350"/>
          <cell r="D350"/>
          <cell r="E350">
            <v>256</v>
          </cell>
          <cell r="F350" t="str">
            <v>HAN25004391</v>
          </cell>
          <cell r="G350" t="str">
            <v>x</v>
          </cell>
          <cell r="H350" t="str">
            <v>FCZ</v>
          </cell>
          <cell r="I350" t="str">
            <v>Fresher, Hopper</v>
          </cell>
          <cell r="J350" t="str">
            <v>Schenker</v>
          </cell>
        </row>
        <row r="351">
          <cell r="B351" t="str">
            <v>E00921</v>
          </cell>
          <cell r="C351"/>
          <cell r="D351"/>
          <cell r="E351">
            <v>26.6</v>
          </cell>
          <cell r="F351" t="str">
            <v>881724873617</v>
          </cell>
          <cell r="G351" t="str">
            <v>ok</v>
          </cell>
          <cell r="H351" t="str">
            <v>Amphenol</v>
          </cell>
          <cell r="I351" t="str">
            <v>Connector</v>
          </cell>
          <cell r="J351" t="str">
            <v>Fedex</v>
          </cell>
        </row>
        <row r="352">
          <cell r="B352" t="str">
            <v>E00922</v>
          </cell>
          <cell r="C352"/>
          <cell r="D352"/>
          <cell r="E352">
            <v>5.3</v>
          </cell>
          <cell r="F352" t="str">
            <v>6007410986</v>
          </cell>
          <cell r="G352" t="str">
            <v>x</v>
          </cell>
          <cell r="H352" t="str">
            <v>Avnet Inc</v>
          </cell>
          <cell r="I352" t="str">
            <v>Connector</v>
          </cell>
          <cell r="J352" t="str">
            <v>DHL</v>
          </cell>
        </row>
        <row r="353">
          <cell r="B353" t="str">
            <v>E00923</v>
          </cell>
          <cell r="C353"/>
          <cell r="D353"/>
          <cell r="E353">
            <v>5.3</v>
          </cell>
          <cell r="F353" t="str">
            <v>881827063513</v>
          </cell>
          <cell r="G353" t="str">
            <v>ok</v>
          </cell>
          <cell r="H353" t="str">
            <v>Mouser</v>
          </cell>
          <cell r="I353" t="str">
            <v>Fuse</v>
          </cell>
          <cell r="J353" t="str">
            <v>fedex</v>
          </cell>
        </row>
        <row r="354">
          <cell r="B354" t="str">
            <v>E00924</v>
          </cell>
          <cell r="C354"/>
          <cell r="D354"/>
          <cell r="E354">
            <v>6.5</v>
          </cell>
          <cell r="F354" t="str">
            <v>881757538630</v>
          </cell>
          <cell r="G354" t="str">
            <v>ok</v>
          </cell>
          <cell r="H354" t="str">
            <v>HQ1</v>
          </cell>
          <cell r="I354" t="str">
            <v>Unigen corp</v>
          </cell>
          <cell r="J354" t="str">
            <v>Fedex</v>
          </cell>
        </row>
        <row r="355">
          <cell r="B355" t="str">
            <v>INV05926</v>
          </cell>
          <cell r="C355"/>
          <cell r="D355"/>
          <cell r="E355">
            <v>74</v>
          </cell>
          <cell r="F355" t="str">
            <v>881760719188</v>
          </cell>
          <cell r="G355" t="str">
            <v>ok</v>
          </cell>
          <cell r="H355" t="str">
            <v>JABIL MX</v>
          </cell>
          <cell r="I355" t="str">
            <v>HLOB</v>
          </cell>
          <cell r="J355" t="str">
            <v>FedEx</v>
          </cell>
        </row>
        <row r="356">
          <cell r="B356" t="str">
            <v>INV05927</v>
          </cell>
          <cell r="C356"/>
          <cell r="D356"/>
          <cell r="E356">
            <v>130.4</v>
          </cell>
          <cell r="F356" t="str">
            <v>5582480934</v>
          </cell>
          <cell r="G356" t="str">
            <v>x</v>
          </cell>
          <cell r="H356" t="str">
            <v>AVNET US</v>
          </cell>
          <cell r="I356" t="str">
            <v>PCBA, DDR4</v>
          </cell>
          <cell r="J356" t="str">
            <v>DHL</v>
          </cell>
        </row>
        <row r="357">
          <cell r="B357" t="str">
            <v>INV05928</v>
          </cell>
          <cell r="C357"/>
          <cell r="D357"/>
          <cell r="E357">
            <v>4.0999999999999996</v>
          </cell>
          <cell r="F357" t="str">
            <v>881761544180</v>
          </cell>
          <cell r="G357" t="str">
            <v>ok</v>
          </cell>
          <cell r="H357" t="str">
            <v>Cloud HK</v>
          </cell>
          <cell r="I357" t="str">
            <v>EUSB</v>
          </cell>
          <cell r="J357" t="str">
            <v>FedEx</v>
          </cell>
        </row>
        <row r="358">
          <cell r="B358" t="str">
            <v>INV05929</v>
          </cell>
          <cell r="C358"/>
          <cell r="D358"/>
          <cell r="E358">
            <v>415.2</v>
          </cell>
          <cell r="F358" t="str">
            <v>HAN0403227</v>
          </cell>
          <cell r="G358" t="str">
            <v>x</v>
          </cell>
          <cell r="H358" t="str">
            <v>DAA</v>
          </cell>
          <cell r="I358" t="str">
            <v>USB</v>
          </cell>
          <cell r="J358" t="str">
            <v>DSV</v>
          </cell>
        </row>
        <row r="359">
          <cell r="B359" t="str">
            <v>INV05930</v>
          </cell>
          <cell r="C359"/>
          <cell r="D359"/>
          <cell r="E359">
            <v>1391.7</v>
          </cell>
          <cell r="F359" t="str">
            <v>HN90003685</v>
          </cell>
          <cell r="G359" t="str">
            <v>x</v>
          </cell>
          <cell r="H359" t="str">
            <v>Lucid AZ</v>
          </cell>
          <cell r="I359" t="str">
            <v>Rear, cabin, UCC</v>
          </cell>
          <cell r="J359" t="str">
            <v>DSV</v>
          </cell>
        </row>
        <row r="360">
          <cell r="B360" t="str">
            <v>INV05931</v>
          </cell>
          <cell r="C360"/>
          <cell r="D360"/>
          <cell r="E360">
            <v>67.599999999999994</v>
          </cell>
          <cell r="F360" t="str">
            <v>HN90003684</v>
          </cell>
          <cell r="G360" t="str">
            <v>x</v>
          </cell>
          <cell r="H360" t="str">
            <v>Lucid US</v>
          </cell>
          <cell r="I360" t="str">
            <v>UCC, LVJB</v>
          </cell>
          <cell r="J360" t="str">
            <v>DSV</v>
          </cell>
        </row>
        <row r="361">
          <cell r="B361" t="str">
            <v>INV05932</v>
          </cell>
          <cell r="C361"/>
          <cell r="D361"/>
          <cell r="E361">
            <v>644.59999999999991</v>
          </cell>
          <cell r="F361" t="str">
            <v>HAN0403264</v>
          </cell>
          <cell r="G361" t="str">
            <v>x</v>
          </cell>
          <cell r="H361" t="str">
            <v>HELLA</v>
          </cell>
          <cell r="I361" t="str">
            <v>HCU</v>
          </cell>
          <cell r="J361" t="str">
            <v>DSV</v>
          </cell>
        </row>
        <row r="362">
          <cell r="B362" t="str">
            <v>INV05933</v>
          </cell>
          <cell r="C362"/>
          <cell r="D362"/>
          <cell r="E362">
            <v>562.6</v>
          </cell>
          <cell r="F362" t="str">
            <v>HAN0405458</v>
          </cell>
          <cell r="G362" t="str">
            <v>x</v>
          </cell>
          <cell r="H362" t="str">
            <v>DAA</v>
          </cell>
          <cell r="I362" t="str">
            <v>USB</v>
          </cell>
          <cell r="J362" t="str">
            <v>DSV</v>
          </cell>
        </row>
        <row r="363">
          <cell r="B363" t="str">
            <v>INV05934</v>
          </cell>
          <cell r="C363"/>
          <cell r="D363"/>
          <cell r="E363">
            <v>17.600000000000001</v>
          </cell>
          <cell r="F363" t="str">
            <v>881790594570</v>
          </cell>
          <cell r="G363" t="str">
            <v>ok</v>
          </cell>
          <cell r="H363" t="str">
            <v>PURE</v>
          </cell>
          <cell r="I363" t="str">
            <v>HLOB</v>
          </cell>
          <cell r="J363" t="str">
            <v>FedEx</v>
          </cell>
        </row>
        <row r="364">
          <cell r="B364" t="str">
            <v>E00925</v>
          </cell>
          <cell r="C364"/>
          <cell r="D364"/>
          <cell r="E364">
            <v>90</v>
          </cell>
          <cell r="F364" t="str">
            <v>x</v>
          </cell>
          <cell r="G364" t="str">
            <v>x</v>
          </cell>
          <cell r="H364" t="str">
            <v>Lê Bảo Minh</v>
          </cell>
          <cell r="I364" t="str">
            <v>Máy photocopy</v>
          </cell>
          <cell r="J364" t="str">
            <v>LBM</v>
          </cell>
        </row>
        <row r="365">
          <cell r="B365" t="str">
            <v>INV05935</v>
          </cell>
          <cell r="C365"/>
          <cell r="D365"/>
          <cell r="E365">
            <v>18.399999999999999</v>
          </cell>
          <cell r="F365" t="str">
            <v>HAN25004472</v>
          </cell>
          <cell r="G365" t="str">
            <v>x</v>
          </cell>
          <cell r="H365" t="str">
            <v>FCZ Express</v>
          </cell>
          <cell r="I365" t="str">
            <v>Eiger</v>
          </cell>
          <cell r="J365" t="str">
            <v>Schenker</v>
          </cell>
        </row>
        <row r="366">
          <cell r="B366" t="str">
            <v>INV05936</v>
          </cell>
          <cell r="C366"/>
          <cell r="D366"/>
          <cell r="E366">
            <v>72.099999999999994</v>
          </cell>
          <cell r="F366" t="str">
            <v>45T0391688</v>
          </cell>
          <cell r="G366" t="str">
            <v>x</v>
          </cell>
          <cell r="H366" t="str">
            <v>FTX Express</v>
          </cell>
          <cell r="I366" t="str">
            <v>Eiger</v>
          </cell>
          <cell r="J366" t="str">
            <v>Expeditors</v>
          </cell>
        </row>
        <row r="367">
          <cell r="B367" t="str">
            <v>INV05937</v>
          </cell>
          <cell r="C367"/>
          <cell r="D367"/>
          <cell r="E367">
            <v>232</v>
          </cell>
          <cell r="F367" t="str">
            <v>HAN25004490</v>
          </cell>
          <cell r="G367" t="str">
            <v>x</v>
          </cell>
          <cell r="H367" t="str">
            <v>FCZ Standard</v>
          </cell>
          <cell r="I367" t="str">
            <v>Grover, Hopper</v>
          </cell>
          <cell r="J367" t="str">
            <v>Schenker</v>
          </cell>
        </row>
        <row r="368">
          <cell r="B368" t="str">
            <v>INV05938</v>
          </cell>
          <cell r="C368"/>
          <cell r="D368"/>
          <cell r="E368">
            <v>968.5</v>
          </cell>
          <cell r="F368" t="str">
            <v>45T0391712</v>
          </cell>
          <cell r="G368" t="str">
            <v>x</v>
          </cell>
          <cell r="H368" t="str">
            <v>FTX Standard</v>
          </cell>
          <cell r="I368" t="str">
            <v>Grover, Hopper</v>
          </cell>
          <cell r="J368" t="str">
            <v>Expeditors</v>
          </cell>
        </row>
        <row r="369">
          <cell r="B369" t="str">
            <v>INV05939</v>
          </cell>
          <cell r="C369"/>
          <cell r="D369"/>
          <cell r="E369">
            <v>0.5</v>
          </cell>
          <cell r="F369" t="str">
            <v>881820511640</v>
          </cell>
          <cell r="G369" t="str">
            <v>ok</v>
          </cell>
          <cell r="H369" t="str">
            <v>HQ1</v>
          </cell>
          <cell r="I369" t="str">
            <v>SSD</v>
          </cell>
          <cell r="J369" t="str">
            <v>FedEx</v>
          </cell>
        </row>
        <row r="370">
          <cell r="B370" t="str">
            <v>INV05940</v>
          </cell>
          <cell r="C370"/>
          <cell r="D370"/>
          <cell r="E370">
            <v>30.099999999999998</v>
          </cell>
          <cell r="F370" t="str">
            <v>7030923152</v>
          </cell>
          <cell r="G370" t="str">
            <v>x</v>
          </cell>
          <cell r="H370" t="str">
            <v>Jabil MY</v>
          </cell>
          <cell r="I370" t="str">
            <v>DDR4</v>
          </cell>
          <cell r="J370" t="str">
            <v>DHL</v>
          </cell>
        </row>
        <row r="371">
          <cell r="B371" t="str">
            <v>SAMPLE 665</v>
          </cell>
          <cell r="C371"/>
          <cell r="D371"/>
          <cell r="E371">
            <v>0.82</v>
          </cell>
          <cell r="F371" t="str">
            <v>1ZA515E28693656537</v>
          </cell>
          <cell r="G371" t="str">
            <v>x</v>
          </cell>
          <cell r="H371" t="str">
            <v>DIGI- KEY</v>
          </cell>
          <cell r="I371" t="str">
            <v>Connector</v>
          </cell>
          <cell r="J371" t="str">
            <v>UPS</v>
          </cell>
        </row>
        <row r="372">
          <cell r="B372" t="str">
            <v>INV05941</v>
          </cell>
          <cell r="C372"/>
          <cell r="D372"/>
          <cell r="E372">
            <v>90.5</v>
          </cell>
          <cell r="F372" t="str">
            <v>7965522924</v>
          </cell>
          <cell r="G372" t="str">
            <v>x</v>
          </cell>
          <cell r="H372" t="str">
            <v>AVNET US</v>
          </cell>
          <cell r="I372" t="str">
            <v>PCBA</v>
          </cell>
          <cell r="J372" t="str">
            <v>DHL</v>
          </cell>
        </row>
        <row r="373">
          <cell r="B373" t="str">
            <v>INV05942</v>
          </cell>
          <cell r="C373"/>
          <cell r="D373"/>
          <cell r="E373">
            <v>7.5</v>
          </cell>
          <cell r="F373" t="str">
            <v>882170336993</v>
          </cell>
          <cell r="G373" t="str">
            <v>ok</v>
          </cell>
          <cell r="H373" t="str">
            <v>Kingston</v>
          </cell>
          <cell r="I373" t="str">
            <v>Hopper</v>
          </cell>
          <cell r="J373" t="str">
            <v>FedEx</v>
          </cell>
        </row>
        <row r="374">
          <cell r="B374" t="str">
            <v>INV05943</v>
          </cell>
          <cell r="C374"/>
          <cell r="D374"/>
          <cell r="E374">
            <v>1544.6</v>
          </cell>
          <cell r="F374" t="str">
            <v>HN90003716</v>
          </cell>
          <cell r="G374" t="str">
            <v>x</v>
          </cell>
          <cell r="H374" t="str">
            <v>LUCID AZ</v>
          </cell>
          <cell r="I374" t="str">
            <v>VCU, UCC, BCM, Cabin LVJB</v>
          </cell>
          <cell r="J374" t="str">
            <v>DSV</v>
          </cell>
        </row>
        <row r="375">
          <cell r="B375" t="str">
            <v>E00926</v>
          </cell>
          <cell r="C375"/>
          <cell r="D375"/>
          <cell r="E375">
            <v>5.2</v>
          </cell>
          <cell r="F375" t="str">
            <v>881933504435</v>
          </cell>
          <cell r="G375" t="str">
            <v>ok</v>
          </cell>
          <cell r="H375" t="str">
            <v>FJZ US</v>
          </cell>
          <cell r="I375" t="str">
            <v>IC</v>
          </cell>
          <cell r="J375" t="str">
            <v>Fedex</v>
          </cell>
        </row>
        <row r="376">
          <cell r="B376" t="str">
            <v>INV05944</v>
          </cell>
          <cell r="C376"/>
          <cell r="D376"/>
          <cell r="E376">
            <v>35</v>
          </cell>
          <cell r="F376" t="str">
            <v>3856893250</v>
          </cell>
          <cell r="G376" t="str">
            <v>x</v>
          </cell>
          <cell r="H376" t="str">
            <v>Jabil MY</v>
          </cell>
          <cell r="I376" t="str">
            <v>DDR4</v>
          </cell>
          <cell r="J376" t="str">
            <v>DHL</v>
          </cell>
        </row>
        <row r="377">
          <cell r="B377" t="str">
            <v>INV05945</v>
          </cell>
          <cell r="C377"/>
          <cell r="D377"/>
          <cell r="E377">
            <v>22.8</v>
          </cell>
          <cell r="F377" t="str">
            <v>881937952606</v>
          </cell>
          <cell r="G377" t="str">
            <v>ok</v>
          </cell>
          <cell r="H377" t="str">
            <v>Jabil MX</v>
          </cell>
          <cell r="I377" t="str">
            <v>HLOB</v>
          </cell>
          <cell r="J377" t="str">
            <v>FedEx</v>
          </cell>
        </row>
        <row r="378">
          <cell r="B378" t="str">
            <v>INV05946</v>
          </cell>
          <cell r="C378"/>
          <cell r="D378"/>
          <cell r="E378">
            <v>278</v>
          </cell>
          <cell r="F378" t="str">
            <v>45T0392202</v>
          </cell>
          <cell r="G378" t="str">
            <v>x</v>
          </cell>
          <cell r="H378" t="str">
            <v>ZT Systems</v>
          </cell>
          <cell r="I378" t="str">
            <v>Powergem</v>
          </cell>
          <cell r="J378" t="str">
            <v>Expeditors</v>
          </cell>
        </row>
        <row r="379">
          <cell r="B379" t="str">
            <v>SAMPLE 666</v>
          </cell>
          <cell r="C379"/>
          <cell r="D379"/>
          <cell r="E379">
            <v>0.2</v>
          </cell>
          <cell r="F379" t="str">
            <v>881967359239</v>
          </cell>
          <cell r="G379" t="str">
            <v>ok</v>
          </cell>
          <cell r="H379" t="str">
            <v>Infineon(ship sample)</v>
          </cell>
          <cell r="I379" t="str">
            <v>IC</v>
          </cell>
          <cell r="J379" t="str">
            <v>Fedex</v>
          </cell>
        </row>
        <row r="380">
          <cell r="B380" t="str">
            <v>INV05947</v>
          </cell>
          <cell r="C380"/>
          <cell r="D380"/>
          <cell r="E380">
            <v>52.5</v>
          </cell>
          <cell r="F380" t="str">
            <v>45T0393185</v>
          </cell>
          <cell r="G380" t="str">
            <v>x</v>
          </cell>
          <cell r="H380" t="str">
            <v>FTX Express</v>
          </cell>
          <cell r="I380" t="str">
            <v>Eiger</v>
          </cell>
          <cell r="J380" t="str">
            <v>Expeditors</v>
          </cell>
        </row>
        <row r="381">
          <cell r="B381" t="str">
            <v>INV05948</v>
          </cell>
          <cell r="C381"/>
          <cell r="D381"/>
          <cell r="E381">
            <v>6.7</v>
          </cell>
          <cell r="F381" t="str">
            <v>881969888139</v>
          </cell>
          <cell r="G381" t="str">
            <v>ok</v>
          </cell>
          <cell r="H381" t="str">
            <v>Cloud HK</v>
          </cell>
          <cell r="I381" t="str">
            <v>EUSB</v>
          </cell>
          <cell r="J381" t="str">
            <v>FedEx</v>
          </cell>
        </row>
        <row r="382">
          <cell r="B382" t="str">
            <v>INV05949</v>
          </cell>
          <cell r="C382"/>
          <cell r="D382"/>
          <cell r="E382">
            <v>520.29999999999995</v>
          </cell>
          <cell r="F382" t="str">
            <v>45T0393205</v>
          </cell>
          <cell r="G382" t="str">
            <v>x</v>
          </cell>
          <cell r="H382" t="str">
            <v>AVNET US</v>
          </cell>
          <cell r="I382" t="str">
            <v>ASM, PCBA, DDR4</v>
          </cell>
          <cell r="J382" t="str">
            <v>Expeditors</v>
          </cell>
        </row>
        <row r="383">
          <cell r="B383" t="str">
            <v>INV05950</v>
          </cell>
          <cell r="C383"/>
          <cell r="D383"/>
          <cell r="E383">
            <v>398.6</v>
          </cell>
          <cell r="F383" t="str">
            <v>HAN25004683</v>
          </cell>
          <cell r="G383" t="str">
            <v>x</v>
          </cell>
          <cell r="H383" t="str">
            <v>FCZ</v>
          </cell>
          <cell r="I383" t="str">
            <v>Fresher, grover, Hopper</v>
          </cell>
          <cell r="J383" t="str">
            <v>Schenker</v>
          </cell>
        </row>
        <row r="384">
          <cell r="B384" t="str">
            <v>INV05951</v>
          </cell>
          <cell r="C384"/>
          <cell r="D384"/>
          <cell r="E384">
            <v>1130.7</v>
          </cell>
          <cell r="F384" t="str">
            <v>45T0393187</v>
          </cell>
          <cell r="G384" t="str">
            <v>x</v>
          </cell>
          <cell r="H384" t="str">
            <v>FTX</v>
          </cell>
          <cell r="I384" t="str">
            <v>Fresher, Grover, Hopper, ICER</v>
          </cell>
          <cell r="J384" t="str">
            <v>Expeditors</v>
          </cell>
        </row>
        <row r="385">
          <cell r="B385" t="str">
            <v>E00927</v>
          </cell>
          <cell r="C385"/>
          <cell r="D385"/>
          <cell r="E385">
            <v>2681.5</v>
          </cell>
          <cell r="F385" t="str">
            <v>Truck nội địa</v>
          </cell>
          <cell r="G385" t="str">
            <v>x</v>
          </cell>
          <cell r="H385" t="str">
            <v>Kunshan Eson</v>
          </cell>
          <cell r="I385" t="str">
            <v>Bottom cover</v>
          </cell>
          <cell r="J385" t="str">
            <v>Truck</v>
          </cell>
        </row>
        <row r="386">
          <cell r="B386" t="str">
            <v>E00928</v>
          </cell>
          <cell r="C386"/>
          <cell r="D386"/>
          <cell r="E386">
            <v>5.5</v>
          </cell>
          <cell r="F386" t="str">
            <v>882045234181</v>
          </cell>
          <cell r="G386" t="str">
            <v>ok</v>
          </cell>
          <cell r="H386" t="str">
            <v>HQ1</v>
          </cell>
          <cell r="I386" t="str">
            <v>Trans,label, Conn, IC, Res, PCB</v>
          </cell>
          <cell r="J386" t="str">
            <v>Fedex</v>
          </cell>
        </row>
        <row r="387">
          <cell r="B387" t="str">
            <v>INV05952</v>
          </cell>
          <cell r="C387"/>
          <cell r="D387"/>
          <cell r="E387">
            <v>593.79999999999995</v>
          </cell>
          <cell r="F387" t="str">
            <v>HAN25004727</v>
          </cell>
          <cell r="G387" t="str">
            <v>x</v>
          </cell>
          <cell r="H387" t="str">
            <v>FCZ</v>
          </cell>
          <cell r="I387" t="str">
            <v>Grover, Hopper</v>
          </cell>
          <cell r="J387" t="str">
            <v>Schenker</v>
          </cell>
        </row>
        <row r="388">
          <cell r="B388" t="str">
            <v>Testingsample001</v>
          </cell>
          <cell r="C388"/>
          <cell r="D388"/>
          <cell r="E388">
            <v>52.1</v>
          </cell>
          <cell r="F388" t="str">
            <v>x</v>
          </cell>
          <cell r="G388" t="str">
            <v>x</v>
          </cell>
          <cell r="H388" t="str">
            <v>SGS</v>
          </cell>
          <cell r="I388" t="str">
            <v>Testing Lucid box</v>
          </cell>
          <cell r="J388" t="str">
            <v>VVMV</v>
          </cell>
        </row>
        <row r="389">
          <cell r="B389" t="str">
            <v>INV05953</v>
          </cell>
          <cell r="C389"/>
          <cell r="D389"/>
          <cell r="E389">
            <v>10.4</v>
          </cell>
          <cell r="F389" t="str">
            <v>2260650862</v>
          </cell>
          <cell r="G389" t="str">
            <v>x</v>
          </cell>
          <cell r="H389" t="str">
            <v>Sanmina</v>
          </cell>
          <cell r="I389" t="str">
            <v>DDR4</v>
          </cell>
          <cell r="J389" t="str">
            <v>DHL</v>
          </cell>
        </row>
        <row r="390">
          <cell r="B390" t="str">
            <v>INV05954</v>
          </cell>
          <cell r="C390"/>
          <cell r="D390"/>
          <cell r="E390">
            <v>358</v>
          </cell>
          <cell r="F390" t="str">
            <v>45T0393882</v>
          </cell>
          <cell r="G390" t="str">
            <v>x</v>
          </cell>
          <cell r="H390" t="str">
            <v>ZT Systems</v>
          </cell>
          <cell r="I390" t="str">
            <v>Powergem</v>
          </cell>
          <cell r="J390" t="str">
            <v>Expeditors</v>
          </cell>
        </row>
        <row r="391">
          <cell r="B391" t="str">
            <v>INV05955</v>
          </cell>
          <cell r="C391"/>
          <cell r="D391"/>
          <cell r="E391">
            <v>11.7</v>
          </cell>
          <cell r="F391" t="str">
            <v>4854122534</v>
          </cell>
          <cell r="G391" t="str">
            <v>x</v>
          </cell>
          <cell r="H391" t="str">
            <v>JABIL MY</v>
          </cell>
          <cell r="I391" t="str">
            <v>DDR4</v>
          </cell>
          <cell r="J391" t="str">
            <v>DHL</v>
          </cell>
        </row>
        <row r="392">
          <cell r="B392" t="str">
            <v>INV05956</v>
          </cell>
          <cell r="C392"/>
          <cell r="D392"/>
          <cell r="E392">
            <v>1463.7</v>
          </cell>
          <cell r="F392" t="str">
            <v>45T0394439</v>
          </cell>
          <cell r="G392" t="str">
            <v>x</v>
          </cell>
          <cell r="H392" t="str">
            <v>AVNET US</v>
          </cell>
          <cell r="I392" t="str">
            <v>ASM, PCBA</v>
          </cell>
          <cell r="J392" t="str">
            <v>Expeditors</v>
          </cell>
        </row>
        <row r="393">
          <cell r="B393" t="str">
            <v>E00929</v>
          </cell>
          <cell r="C393"/>
          <cell r="D393"/>
          <cell r="E393">
            <v>0.6</v>
          </cell>
          <cell r="F393" t="str">
            <v>882113772139</v>
          </cell>
          <cell r="G393" t="str">
            <v>ok</v>
          </cell>
          <cell r="H393" t="str">
            <v>HQ1</v>
          </cell>
          <cell r="I393" t="str">
            <v>PCB</v>
          </cell>
          <cell r="J393" t="str">
            <v>FedEx</v>
          </cell>
        </row>
        <row r="394">
          <cell r="B394" t="str">
            <v>E00930</v>
          </cell>
          <cell r="C394"/>
          <cell r="D394"/>
          <cell r="E394">
            <v>3.5</v>
          </cell>
          <cell r="F394" t="str">
            <v>1Z9083VF8677229746</v>
          </cell>
          <cell r="G394" t="str">
            <v>x</v>
          </cell>
          <cell r="H394" t="str">
            <v>Element SG</v>
          </cell>
          <cell r="I394" t="str">
            <v>res, keo</v>
          </cell>
          <cell r="J394" t="str">
            <v>UPS</v>
          </cell>
        </row>
        <row r="395">
          <cell r="B395" t="str">
            <v>INV05957</v>
          </cell>
          <cell r="C395"/>
          <cell r="D395"/>
          <cell r="E395">
            <v>4967.6000000000013</v>
          </cell>
          <cell r="F395" t="str">
            <v>45T0395303</v>
          </cell>
          <cell r="G395" t="str">
            <v>x</v>
          </cell>
          <cell r="H395" t="str">
            <v>FTX</v>
          </cell>
          <cell r="I395" t="str">
            <v>Grover, Hopper, Icer</v>
          </cell>
          <cell r="J395" t="str">
            <v>Expeditors</v>
          </cell>
        </row>
        <row r="396">
          <cell r="B396" t="str">
            <v>E00931</v>
          </cell>
          <cell r="C396"/>
          <cell r="D396"/>
          <cell r="E396">
            <v>5.7</v>
          </cell>
          <cell r="F396" t="str">
            <v>882148996364</v>
          </cell>
          <cell r="G396" t="str">
            <v>ok</v>
          </cell>
          <cell r="H396" t="str">
            <v>Bang tai</v>
          </cell>
          <cell r="I396" t="str">
            <v>IC</v>
          </cell>
          <cell r="J396" t="str">
            <v>FedEx</v>
          </cell>
        </row>
        <row r="397">
          <cell r="B397" t="str">
            <v>E00932</v>
          </cell>
          <cell r="C397"/>
          <cell r="D397"/>
          <cell r="E397">
            <v>4.7</v>
          </cell>
          <cell r="F397" t="str">
            <v>882149354037</v>
          </cell>
          <cell r="G397" t="str">
            <v>ok</v>
          </cell>
          <cell r="H397" t="str">
            <v>FJZ</v>
          </cell>
          <cell r="I397" t="str">
            <v>IC</v>
          </cell>
          <cell r="J397" t="str">
            <v>FedEx</v>
          </cell>
        </row>
        <row r="398">
          <cell r="B398" t="str">
            <v>INV05958</v>
          </cell>
          <cell r="C398"/>
          <cell r="D398"/>
          <cell r="E398">
            <v>50.4</v>
          </cell>
          <cell r="F398" t="str">
            <v>882170240170</v>
          </cell>
          <cell r="G398" t="str">
            <v>ok</v>
          </cell>
          <cell r="H398" t="str">
            <v>Flextronics MX</v>
          </cell>
          <cell r="I398" t="str">
            <v>DDR4</v>
          </cell>
          <cell r="J398" t="str">
            <v>FedEx</v>
          </cell>
        </row>
        <row r="399">
          <cell r="B399" t="str">
            <v>INV05959</v>
          </cell>
          <cell r="C399"/>
          <cell r="D399"/>
          <cell r="E399">
            <v>31.3</v>
          </cell>
          <cell r="F399" t="str">
            <v>882145919345</v>
          </cell>
          <cell r="G399" t="str">
            <v>ok</v>
          </cell>
          <cell r="H399" t="str">
            <v>Ingrasys</v>
          </cell>
          <cell r="I399" t="str">
            <v>DDR4</v>
          </cell>
          <cell r="J399" t="str">
            <v>FedEx</v>
          </cell>
        </row>
        <row r="400">
          <cell r="B400" t="str">
            <v>INV05960</v>
          </cell>
          <cell r="C400"/>
          <cell r="D400"/>
          <cell r="E400">
            <v>12.6</v>
          </cell>
          <cell r="F400" t="str">
            <v>882146525791</v>
          </cell>
          <cell r="G400" t="str">
            <v>ok</v>
          </cell>
          <cell r="H400" t="str">
            <v>iXsystems</v>
          </cell>
          <cell r="I400" t="str">
            <v>DDR4</v>
          </cell>
          <cell r="J400" t="str">
            <v>FedEx</v>
          </cell>
        </row>
        <row r="401">
          <cell r="B401" t="str">
            <v>E00933</v>
          </cell>
          <cell r="C401"/>
          <cell r="D401"/>
          <cell r="E401">
            <v>3.3</v>
          </cell>
          <cell r="F401" t="str">
            <v>4482776804</v>
          </cell>
          <cell r="G401" t="str">
            <v>x</v>
          </cell>
          <cell r="H401" t="str">
            <v>Avnet US</v>
          </cell>
          <cell r="I401" t="str">
            <v>Connector</v>
          </cell>
          <cell r="J401" t="str">
            <v>DHL</v>
          </cell>
        </row>
        <row r="402">
          <cell r="B402" t="str">
            <v>INV05961</v>
          </cell>
          <cell r="C402"/>
          <cell r="D402"/>
          <cell r="E402">
            <v>348</v>
          </cell>
          <cell r="F402" t="str">
            <v>45T0394480</v>
          </cell>
          <cell r="G402" t="str">
            <v>x</v>
          </cell>
          <cell r="H402" t="str">
            <v>FTX Express</v>
          </cell>
          <cell r="I402" t="str">
            <v>Eiger</v>
          </cell>
          <cell r="J402" t="str">
            <v>Expeditors</v>
          </cell>
        </row>
        <row r="403">
          <cell r="B403" t="str">
            <v>INV05962</v>
          </cell>
          <cell r="C403"/>
          <cell r="D403"/>
          <cell r="E403">
            <v>341.7</v>
          </cell>
          <cell r="F403" t="str">
            <v>45T0394609</v>
          </cell>
          <cell r="G403" t="str">
            <v>x</v>
          </cell>
          <cell r="H403" t="str">
            <v>FTX Standard</v>
          </cell>
          <cell r="I403" t="str">
            <v>Grover, Fresher</v>
          </cell>
          <cell r="J403" t="str">
            <v>Expeditors</v>
          </cell>
        </row>
        <row r="404">
          <cell r="B404" t="str">
            <v>INV05963</v>
          </cell>
          <cell r="C404"/>
          <cell r="D404"/>
          <cell r="E404">
            <v>2155.1999999999998</v>
          </cell>
          <cell r="F404" t="str">
            <v>HN90003810</v>
          </cell>
          <cell r="G404" t="str">
            <v>x</v>
          </cell>
          <cell r="H404" t="str">
            <v>Lucid AZ</v>
          </cell>
          <cell r="I404" t="str">
            <v>LVJB, DCM</v>
          </cell>
          <cell r="J404" t="str">
            <v>DSV</v>
          </cell>
        </row>
        <row r="405">
          <cell r="B405" t="str">
            <v>E00934</v>
          </cell>
          <cell r="C405"/>
          <cell r="D405"/>
          <cell r="E405">
            <v>408</v>
          </cell>
          <cell r="F405" t="str">
            <v>Truck nội địạ-Quảng Ninh</v>
          </cell>
          <cell r="G405" t="str">
            <v>x</v>
          </cell>
          <cell r="H405" t="str">
            <v>Kunshan Eson</v>
          </cell>
          <cell r="I405" t="str">
            <v>Bottom cover</v>
          </cell>
          <cell r="J405" t="str">
            <v>Truck</v>
          </cell>
        </row>
        <row r="406">
          <cell r="B406" t="str">
            <v>INV05964</v>
          </cell>
          <cell r="C406"/>
          <cell r="D406"/>
          <cell r="E406">
            <v>4.5999999999999996</v>
          </cell>
          <cell r="F406" t="str">
            <v>882218210083</v>
          </cell>
          <cell r="G406" t="str">
            <v>ok</v>
          </cell>
          <cell r="H406" t="str">
            <v>RAHI US</v>
          </cell>
          <cell r="I406" t="str">
            <v>DDR4</v>
          </cell>
          <cell r="J406" t="str">
            <v>FedEx</v>
          </cell>
        </row>
        <row r="407">
          <cell r="B407" t="str">
            <v>INV05965</v>
          </cell>
          <cell r="C407"/>
          <cell r="D407"/>
          <cell r="E407">
            <v>100.1</v>
          </cell>
          <cell r="F407" t="str">
            <v>8413852613</v>
          </cell>
          <cell r="G407" t="str">
            <v>x</v>
          </cell>
          <cell r="H407" t="str">
            <v>AVNET US</v>
          </cell>
          <cell r="I407" t="str">
            <v>Display module, PCBA</v>
          </cell>
          <cell r="J407" t="str">
            <v>DHL</v>
          </cell>
        </row>
        <row r="408">
          <cell r="B408" t="str">
            <v>INV05966</v>
          </cell>
          <cell r="C408"/>
          <cell r="D408"/>
          <cell r="E408">
            <v>8.4</v>
          </cell>
          <cell r="F408" t="str">
            <v>882251854147</v>
          </cell>
          <cell r="G408" t="str">
            <v>ok</v>
          </cell>
          <cell r="H408" t="str">
            <v>Cloud HK</v>
          </cell>
          <cell r="I408" t="str">
            <v>EUSB</v>
          </cell>
          <cell r="J408" t="str">
            <v>FedEx</v>
          </cell>
        </row>
        <row r="409">
          <cell r="B409" t="str">
            <v>INV05967</v>
          </cell>
          <cell r="C409"/>
          <cell r="D409"/>
          <cell r="E409">
            <v>23.9</v>
          </cell>
          <cell r="F409" t="str">
            <v>2724140134</v>
          </cell>
          <cell r="G409" t="str">
            <v>x</v>
          </cell>
          <cell r="H409" t="str">
            <v>AVNET US</v>
          </cell>
          <cell r="I409" t="str">
            <v>DDR4</v>
          </cell>
          <cell r="J409" t="str">
            <v>DHL</v>
          </cell>
        </row>
        <row r="410">
          <cell r="B410" t="str">
            <v>INV05968</v>
          </cell>
          <cell r="C410"/>
          <cell r="D410"/>
          <cell r="E410">
            <v>214.8</v>
          </cell>
          <cell r="F410" t="str">
            <v>45T0395302</v>
          </cell>
          <cell r="G410" t="str">
            <v>x</v>
          </cell>
          <cell r="H410" t="str">
            <v>FTX Express</v>
          </cell>
          <cell r="I410" t="str">
            <v>Eiger</v>
          </cell>
          <cell r="J410" t="str">
            <v>Expeditors</v>
          </cell>
        </row>
        <row r="411">
          <cell r="B411" t="str">
            <v>E00935</v>
          </cell>
          <cell r="C411"/>
          <cell r="D411"/>
          <cell r="E411">
            <v>33</v>
          </cell>
          <cell r="F411" t="str">
            <v>882312658679</v>
          </cell>
          <cell r="G411" t="str">
            <v>ok</v>
          </cell>
          <cell r="H411" t="str">
            <v>HQ1</v>
          </cell>
          <cell r="I411" t="str">
            <v>Integrated circuit, resistor, capacitor, diode, crystal, transistor, standoff, inductor, connector, label, Eiger, DDR5</v>
          </cell>
          <cell r="J411" t="str">
            <v>FedEx</v>
          </cell>
        </row>
        <row r="412">
          <cell r="B412" t="str">
            <v>INV05969</v>
          </cell>
          <cell r="C412"/>
          <cell r="D412"/>
          <cell r="E412">
            <v>376.29999999999995</v>
          </cell>
          <cell r="F412" t="str">
            <v>HN90003828</v>
          </cell>
          <cell r="G412" t="str">
            <v>x</v>
          </cell>
          <cell r="H412" t="str">
            <v>Lucid AZ</v>
          </cell>
          <cell r="I412" t="str">
            <v>LVJB, DCM</v>
          </cell>
          <cell r="J412" t="str">
            <v>DSV</v>
          </cell>
        </row>
        <row r="413">
          <cell r="B413" t="str">
            <v>INV05970</v>
          </cell>
          <cell r="C413"/>
          <cell r="D413"/>
          <cell r="E413">
            <v>633.59999999999991</v>
          </cell>
          <cell r="F413" t="str">
            <v>HAN0406447</v>
          </cell>
          <cell r="G413" t="str">
            <v>x</v>
          </cell>
          <cell r="H413" t="str">
            <v>HELLA</v>
          </cell>
          <cell r="I413" t="str">
            <v>HCU</v>
          </cell>
          <cell r="J413" t="str">
            <v>DSV</v>
          </cell>
        </row>
        <row r="414">
          <cell r="B414" t="str">
            <v>INV05971</v>
          </cell>
          <cell r="C414"/>
          <cell r="D414"/>
          <cell r="E414">
            <v>187.7</v>
          </cell>
          <cell r="F414" t="str">
            <v>45T0396747</v>
          </cell>
          <cell r="G414" t="str">
            <v>x</v>
          </cell>
          <cell r="H414" t="str">
            <v>AVNET RMA</v>
          </cell>
          <cell r="I414" t="str">
            <v>Display module</v>
          </cell>
          <cell r="J414" t="str">
            <v>Expeditors</v>
          </cell>
        </row>
        <row r="415">
          <cell r="B415" t="str">
            <v>INV05972</v>
          </cell>
          <cell r="C415"/>
          <cell r="D415"/>
          <cell r="E415">
            <v>3266.2</v>
          </cell>
          <cell r="F415" t="str">
            <v>45T0395304</v>
          </cell>
          <cell r="G415" t="str">
            <v>x</v>
          </cell>
          <cell r="H415" t="str">
            <v>FTX</v>
          </cell>
          <cell r="I415" t="str">
            <v>Eiger, Grover, Hopper</v>
          </cell>
          <cell r="J415" t="str">
            <v>Expeditors</v>
          </cell>
        </row>
        <row r="416">
          <cell r="B416" t="str">
            <v>INV05973</v>
          </cell>
          <cell r="C416"/>
          <cell r="D416"/>
          <cell r="E416">
            <v>1392</v>
          </cell>
          <cell r="F416" t="str">
            <v>45T0396632</v>
          </cell>
          <cell r="G416" t="str">
            <v>x</v>
          </cell>
          <cell r="H416" t="str">
            <v>FTX</v>
          </cell>
          <cell r="I416" t="str">
            <v>Eiger, Grover, Hopper</v>
          </cell>
          <cell r="J416" t="str">
            <v>Expeditors</v>
          </cell>
        </row>
        <row r="417">
          <cell r="B417" t="str">
            <v>INV05974</v>
          </cell>
          <cell r="C417"/>
          <cell r="D417"/>
          <cell r="E417">
            <v>859.6</v>
          </cell>
          <cell r="F417" t="str">
            <v>45T0396633</v>
          </cell>
          <cell r="G417" t="str">
            <v>x</v>
          </cell>
          <cell r="H417" t="str">
            <v>FTX</v>
          </cell>
          <cell r="I417" t="str">
            <v>Fresher, Grover, Hopper</v>
          </cell>
          <cell r="J417" t="str">
            <v>Expeditors</v>
          </cell>
        </row>
        <row r="418">
          <cell r="B418" t="str">
            <v>Sample 667</v>
          </cell>
          <cell r="C418"/>
          <cell r="D418"/>
          <cell r="E418">
            <v>0.1</v>
          </cell>
          <cell r="F418" t="str">
            <v>882345479721</v>
          </cell>
          <cell r="G418" t="str">
            <v>ok</v>
          </cell>
          <cell r="H418" t="str">
            <v>Micron SG</v>
          </cell>
          <cell r="I418" t="str">
            <v>IC</v>
          </cell>
          <cell r="J418" t="str">
            <v>FedEx</v>
          </cell>
        </row>
        <row r="419">
          <cell r="B419" t="str">
            <v>INV05975</v>
          </cell>
          <cell r="C419"/>
          <cell r="D419"/>
          <cell r="E419">
            <v>1603.4999999999998</v>
          </cell>
          <cell r="F419" t="str">
            <v>45T0395305</v>
          </cell>
          <cell r="G419" t="str">
            <v>x</v>
          </cell>
          <cell r="H419" t="str">
            <v>FTX</v>
          </cell>
          <cell r="I419" t="str">
            <v>Eiger, Fresher, Grover, Hopper, ICER</v>
          </cell>
          <cell r="J419" t="str">
            <v>Expeditors</v>
          </cell>
        </row>
        <row r="420">
          <cell r="B420" t="str">
            <v>INV05976</v>
          </cell>
          <cell r="C420"/>
          <cell r="D420"/>
          <cell r="E420">
            <v>216.3</v>
          </cell>
          <cell r="F420" t="str">
            <v>HAN25004963</v>
          </cell>
          <cell r="G420" t="str">
            <v>x</v>
          </cell>
          <cell r="H420" t="str">
            <v>FCZ</v>
          </cell>
          <cell r="I420" t="str">
            <v>Eiger, Grover, Hopper</v>
          </cell>
          <cell r="J420" t="str">
            <v>Schenker</v>
          </cell>
        </row>
        <row r="421">
          <cell r="B421" t="str">
            <v>SAMPLE 668</v>
          </cell>
          <cell r="C421"/>
          <cell r="D421"/>
          <cell r="E421">
            <v>0.5</v>
          </cell>
          <cell r="F421" t="str">
            <v>882345328030</v>
          </cell>
          <cell r="G421" t="str">
            <v>ok</v>
          </cell>
          <cell r="H421" t="str">
            <v>Gold Circuit</v>
          </cell>
          <cell r="I421" t="str">
            <v>PCB</v>
          </cell>
          <cell r="J421" t="str">
            <v>FedEx</v>
          </cell>
        </row>
        <row r="422">
          <cell r="B422" t="str">
            <v>INV05977</v>
          </cell>
          <cell r="C422"/>
          <cell r="D422"/>
          <cell r="E422">
            <v>1207</v>
          </cell>
          <cell r="F422" t="str">
            <v>45T0395306</v>
          </cell>
          <cell r="G422" t="str">
            <v>x</v>
          </cell>
          <cell r="H422" t="str">
            <v>FTX</v>
          </cell>
          <cell r="I422" t="str">
            <v>Grover, Hopper, Icer</v>
          </cell>
          <cell r="J422" t="str">
            <v>Expeditors</v>
          </cell>
        </row>
        <row r="423">
          <cell r="B423" t="str">
            <v>E00936</v>
          </cell>
          <cell r="C423"/>
          <cell r="D423"/>
          <cell r="E423">
            <v>0.5</v>
          </cell>
          <cell r="F423" t="str">
            <v>882392450853</v>
          </cell>
          <cell r="G423" t="str">
            <v>ok</v>
          </cell>
          <cell r="H423" t="str">
            <v>Transfer to HQ1</v>
          </cell>
          <cell r="I423" t="str">
            <v>IC</v>
          </cell>
          <cell r="J423" t="str">
            <v>FedEx</v>
          </cell>
        </row>
        <row r="424">
          <cell r="B424" t="str">
            <v>INV05978</v>
          </cell>
          <cell r="C424"/>
          <cell r="D424"/>
          <cell r="E424">
            <v>13.5</v>
          </cell>
          <cell r="F424" t="str">
            <v>2510892753</v>
          </cell>
          <cell r="G424" t="str">
            <v>x</v>
          </cell>
          <cell r="H424" t="str">
            <v>Sanmina</v>
          </cell>
          <cell r="I424" t="str">
            <v>DDR4</v>
          </cell>
          <cell r="J424" t="str">
            <v>DHL</v>
          </cell>
        </row>
        <row r="425">
          <cell r="B425" t="str">
            <v>SAMPLE 669</v>
          </cell>
          <cell r="C425"/>
          <cell r="D425"/>
          <cell r="E425">
            <v>0.4</v>
          </cell>
          <cell r="F425" t="str">
            <v>6853234662</v>
          </cell>
          <cell r="G425" t="str">
            <v>x</v>
          </cell>
          <cell r="H425" t="str">
            <v>Shennan</v>
          </cell>
          <cell r="I425" t="str">
            <v>document</v>
          </cell>
          <cell r="J425" t="str">
            <v>DHL</v>
          </cell>
        </row>
        <row r="426">
          <cell r="B426" t="str">
            <v>SAMPLE 670</v>
          </cell>
          <cell r="C426"/>
          <cell r="D426"/>
          <cell r="E426">
            <v>0.1</v>
          </cell>
          <cell r="F426" t="str">
            <v>882428060906</v>
          </cell>
          <cell r="G426" t="str">
            <v>ok</v>
          </cell>
          <cell r="H426" t="str">
            <v>Amphenol</v>
          </cell>
          <cell r="I426" t="str">
            <v>Connector</v>
          </cell>
          <cell r="J426" t="str">
            <v>FedEx</v>
          </cell>
        </row>
        <row r="427">
          <cell r="B427" t="str">
            <v>Testingsample002</v>
          </cell>
          <cell r="C427"/>
          <cell r="D427"/>
          <cell r="E427">
            <v>17.8</v>
          </cell>
          <cell r="F427" t="str">
            <v>x</v>
          </cell>
          <cell r="G427" t="str">
            <v>x</v>
          </cell>
          <cell r="H427" t="str">
            <v>SGS</v>
          </cell>
          <cell r="I427" t="str">
            <v>Testing Lucid box</v>
          </cell>
          <cell r="J427" t="str">
            <v>VVMV</v>
          </cell>
        </row>
        <row r="428">
          <cell r="B428" t="str">
            <v>INV05979</v>
          </cell>
          <cell r="C428"/>
          <cell r="D428"/>
          <cell r="E428">
            <v>10.8</v>
          </cell>
          <cell r="F428" t="str">
            <v>1138277615</v>
          </cell>
          <cell r="G428" t="str">
            <v>x</v>
          </cell>
          <cell r="H428" t="str">
            <v>AVNET US</v>
          </cell>
          <cell r="I428" t="str">
            <v>PCBA</v>
          </cell>
          <cell r="J428" t="str">
            <v>DHL</v>
          </cell>
        </row>
        <row r="429">
          <cell r="B429" t="str">
            <v>INV05980</v>
          </cell>
          <cell r="C429"/>
          <cell r="D429"/>
          <cell r="E429">
            <v>1.6</v>
          </cell>
          <cell r="F429" t="str">
            <v>882459536569</v>
          </cell>
          <cell r="G429" t="str">
            <v>ok</v>
          </cell>
          <cell r="H429" t="str">
            <v>Cloud HK</v>
          </cell>
          <cell r="I429" t="str">
            <v>EUSB</v>
          </cell>
          <cell r="J429" t="str">
            <v>Fedex</v>
          </cell>
        </row>
        <row r="430">
          <cell r="B430" t="str">
            <v>E00937</v>
          </cell>
          <cell r="C430"/>
          <cell r="D430"/>
          <cell r="E430">
            <v>316.7</v>
          </cell>
          <cell r="F430" t="str">
            <v>HPHNGB250703676</v>
          </cell>
          <cell r="G430" t="str">
            <v>x</v>
          </cell>
          <cell r="H430" t="str">
            <v>Ningbo xusheng</v>
          </cell>
          <cell r="I430" t="str">
            <v>USB</v>
          </cell>
          <cell r="J430" t="str">
            <v>M&amp;R Forwarding</v>
          </cell>
        </row>
        <row r="431">
          <cell r="B431" t="str">
            <v>INV05981</v>
          </cell>
          <cell r="C431"/>
          <cell r="D431"/>
          <cell r="E431">
            <v>685.2</v>
          </cell>
          <cell r="F431" t="str">
            <v>HN90003864</v>
          </cell>
          <cell r="G431" t="str">
            <v>x</v>
          </cell>
          <cell r="H431" t="str">
            <v>Lucid Arizona</v>
          </cell>
          <cell r="I431" t="str">
            <v>LVJB</v>
          </cell>
          <cell r="J431" t="str">
            <v>DSV</v>
          </cell>
        </row>
        <row r="432">
          <cell r="B432" t="str">
            <v>INV05982</v>
          </cell>
          <cell r="C432"/>
          <cell r="D432"/>
          <cell r="E432">
            <v>13.5</v>
          </cell>
          <cell r="F432" t="str">
            <v>882517766004</v>
          </cell>
          <cell r="G432" t="str">
            <v>ok</v>
          </cell>
          <cell r="H432" t="str">
            <v>Lucid US</v>
          </cell>
          <cell r="I432" t="str">
            <v>LVJB, USB</v>
          </cell>
          <cell r="J432" t="str">
            <v>Fedex</v>
          </cell>
        </row>
        <row r="433">
          <cell r="B433" t="str">
            <v>INV05983</v>
          </cell>
          <cell r="C433"/>
          <cell r="D433"/>
          <cell r="E433">
            <v>512.70000000000005</v>
          </cell>
          <cell r="F433" t="str">
            <v>HAN0408725</v>
          </cell>
          <cell r="G433" t="str">
            <v>x</v>
          </cell>
          <cell r="H433" t="str">
            <v>DAA</v>
          </cell>
          <cell r="I433" t="str">
            <v>USB</v>
          </cell>
          <cell r="J433" t="str">
            <v>DSV</v>
          </cell>
        </row>
        <row r="434">
          <cell r="B434" t="str">
            <v>INV05984</v>
          </cell>
          <cell r="C434"/>
          <cell r="D434"/>
          <cell r="E434">
            <v>1234.1999999999998</v>
          </cell>
          <cell r="F434" t="str">
            <v>HAN0408724</v>
          </cell>
          <cell r="G434" t="str">
            <v>x</v>
          </cell>
          <cell r="H434" t="str">
            <v>HELLA</v>
          </cell>
          <cell r="I434" t="str">
            <v>HCU</v>
          </cell>
          <cell r="J434" t="str">
            <v>DSV</v>
          </cell>
        </row>
        <row r="435">
          <cell r="B435" t="str">
            <v>E00938</v>
          </cell>
          <cell r="C435"/>
          <cell r="D435"/>
          <cell r="E435">
            <v>3.5</v>
          </cell>
          <cell r="F435" t="str">
            <v>882464259994</v>
          </cell>
          <cell r="G435" t="str">
            <v>ok</v>
          </cell>
          <cell r="H435" t="str">
            <v>FJZ US</v>
          </cell>
          <cell r="I435" t="str">
            <v>IC</v>
          </cell>
          <cell r="J435" t="str">
            <v>Fedex</v>
          </cell>
        </row>
        <row r="436">
          <cell r="B436" t="str">
            <v>INV05985</v>
          </cell>
          <cell r="C436"/>
          <cell r="D436"/>
          <cell r="E436">
            <v>77</v>
          </cell>
          <cell r="F436" t="str">
            <v>MIQSGN04239</v>
          </cell>
          <cell r="G436" t="str">
            <v>x</v>
          </cell>
          <cell r="H436" t="str">
            <v>EFI</v>
          </cell>
          <cell r="I436" t="str">
            <v>PCBA</v>
          </cell>
          <cell r="J436" t="str">
            <v>Noatum</v>
          </cell>
        </row>
        <row r="437">
          <cell r="B437" t="str">
            <v>INV05986</v>
          </cell>
          <cell r="C437"/>
          <cell r="D437"/>
          <cell r="E437">
            <v>25</v>
          </cell>
          <cell r="F437" t="str">
            <v>HAN25005264</v>
          </cell>
          <cell r="G437" t="str">
            <v>x</v>
          </cell>
          <cell r="H437" t="str">
            <v>FCZ Express</v>
          </cell>
          <cell r="I437" t="str">
            <v>Eiger</v>
          </cell>
          <cell r="J437" t="str">
            <v>Schenker</v>
          </cell>
        </row>
        <row r="438">
          <cell r="B438" t="str">
            <v>INV05987</v>
          </cell>
          <cell r="C438"/>
          <cell r="D438"/>
          <cell r="E438">
            <v>50.1</v>
          </cell>
          <cell r="F438" t="str">
            <v xml:space="preserve">HAN25005263 </v>
          </cell>
          <cell r="G438" t="str">
            <v>x</v>
          </cell>
          <cell r="H438" t="str">
            <v>FCZ Standard</v>
          </cell>
          <cell r="I438" t="str">
            <v>Eiger, Fresher, Grover, Hopper</v>
          </cell>
          <cell r="J438" t="str">
            <v>Schenker</v>
          </cell>
        </row>
        <row r="439">
          <cell r="B439" t="str">
            <v>INV05988</v>
          </cell>
          <cell r="C439"/>
          <cell r="D439"/>
          <cell r="E439">
            <v>0.7</v>
          </cell>
          <cell r="F439" t="str">
            <v>882519102250</v>
          </cell>
          <cell r="G439" t="str">
            <v>ok</v>
          </cell>
          <cell r="H439" t="str">
            <v>HQ1</v>
          </cell>
          <cell r="I439" t="str">
            <v>DDR5</v>
          </cell>
          <cell r="J439" t="str">
            <v>FedEx</v>
          </cell>
        </row>
        <row r="440">
          <cell r="B440" t="str">
            <v>E00939</v>
          </cell>
          <cell r="C440"/>
          <cell r="D440"/>
          <cell r="E440">
            <v>0.4</v>
          </cell>
          <cell r="F440" t="str">
            <v>882519745204</v>
          </cell>
          <cell r="G440" t="str">
            <v>ok</v>
          </cell>
          <cell r="H440" t="str">
            <v>SUZHOU PINSHINE TECHNOLOGY CO., LTD</v>
          </cell>
          <cell r="I440" t="str">
            <v>Screw, pad</v>
          </cell>
          <cell r="J440" t="str">
            <v>FedEx</v>
          </cell>
        </row>
        <row r="441">
          <cell r="B441" t="str">
            <v>SAMPLE 671</v>
          </cell>
          <cell r="C441"/>
          <cell r="D441"/>
          <cell r="E441">
            <v>0.3</v>
          </cell>
          <cell r="F441" t="str">
            <v>882552346529</v>
          </cell>
          <cell r="G441" t="str">
            <v>ok</v>
          </cell>
          <cell r="H441" t="str">
            <v>COMPEQ MANUFACTURING CO., LTD</v>
          </cell>
          <cell r="I441" t="str">
            <v>PCB</v>
          </cell>
          <cell r="J441" t="str">
            <v>FedEx</v>
          </cell>
        </row>
        <row r="442">
          <cell r="B442" t="str">
            <v>E00940</v>
          </cell>
          <cell r="C442"/>
          <cell r="D442"/>
          <cell r="E442">
            <v>4.4000000000000004</v>
          </cell>
          <cell r="F442" t="str">
            <v>882620327792</v>
          </cell>
          <cell r="G442" t="str">
            <v>ok</v>
          </cell>
          <cell r="H442" t="str">
            <v>FJZ</v>
          </cell>
          <cell r="I442" t="str">
            <v>IC</v>
          </cell>
          <cell r="J442" t="str">
            <v>FedEx</v>
          </cell>
        </row>
        <row r="443">
          <cell r="B443" t="str">
            <v>SAMPLE 672</v>
          </cell>
          <cell r="C443"/>
          <cell r="D443"/>
          <cell r="E443">
            <v>0.3</v>
          </cell>
          <cell r="F443" t="str">
            <v>882587947022</v>
          </cell>
          <cell r="G443" t="str">
            <v>ok</v>
          </cell>
          <cell r="H443" t="str">
            <v>Ningbo xusheng</v>
          </cell>
          <cell r="I443" t="str">
            <v>Housing part</v>
          </cell>
          <cell r="J443" t="str">
            <v>FedEx</v>
          </cell>
        </row>
        <row r="444">
          <cell r="B444" t="str">
            <v>INV05989</v>
          </cell>
          <cell r="C444"/>
          <cell r="D444"/>
          <cell r="E444">
            <v>2955.1000000000004</v>
          </cell>
          <cell r="F444" t="str">
            <v>HN90003878</v>
          </cell>
          <cell r="G444" t="str">
            <v>x</v>
          </cell>
          <cell r="H444" t="str">
            <v>Lucid Arizona</v>
          </cell>
          <cell r="I444" t="str">
            <v>Rear, Cabin, UCC, BCM</v>
          </cell>
          <cell r="J444" t="str">
            <v>DSV</v>
          </cell>
        </row>
        <row r="445">
          <cell r="B445" t="str">
            <v>INV05990</v>
          </cell>
          <cell r="C445"/>
          <cell r="D445"/>
          <cell r="E445">
            <v>50.4</v>
          </cell>
          <cell r="F445" t="str">
            <v>DIM111009059</v>
          </cell>
          <cell r="G445" t="str">
            <v>x</v>
          </cell>
          <cell r="H445" t="str">
            <v>Kingston</v>
          </cell>
          <cell r="I445" t="str">
            <v>PCBA</v>
          </cell>
          <cell r="J445" t="str">
            <v>Dimerco</v>
          </cell>
        </row>
        <row r="446">
          <cell r="B446" t="str">
            <v>INV05991</v>
          </cell>
          <cell r="C446"/>
          <cell r="D446"/>
          <cell r="E446">
            <v>39.700000000000003</v>
          </cell>
          <cell r="F446" t="str">
            <v>45T0399638</v>
          </cell>
          <cell r="G446" t="str">
            <v>x</v>
          </cell>
          <cell r="H446" t="str">
            <v>FTX</v>
          </cell>
          <cell r="I446" t="str">
            <v>Eiger, Grover, Hopper, ICER</v>
          </cell>
          <cell r="J446" t="str">
            <v>Expeditors</v>
          </cell>
        </row>
        <row r="447">
          <cell r="B447" t="str">
            <v>INV05992</v>
          </cell>
          <cell r="C447"/>
          <cell r="D447"/>
          <cell r="E447">
            <v>3254.2000000000003</v>
          </cell>
          <cell r="F447" t="str">
            <v>HN90003912</v>
          </cell>
          <cell r="G447" t="str">
            <v>x</v>
          </cell>
          <cell r="H447" t="str">
            <v>Lucid Arizona</v>
          </cell>
          <cell r="I447" t="str">
            <v>VCU, UCC, BCM, LVJB, DCM</v>
          </cell>
          <cell r="J447" t="str">
            <v>DSV</v>
          </cell>
        </row>
        <row r="448">
          <cell r="B448" t="str">
            <v>INV05993</v>
          </cell>
          <cell r="C448"/>
          <cell r="D448"/>
          <cell r="E448">
            <v>435.2</v>
          </cell>
          <cell r="F448" t="str">
            <v>HAN0414658</v>
          </cell>
          <cell r="G448" t="str">
            <v>x</v>
          </cell>
          <cell r="H448" t="str">
            <v>DAA</v>
          </cell>
          <cell r="I448" t="str">
            <v>USB</v>
          </cell>
          <cell r="J448" t="str">
            <v>DSV</v>
          </cell>
        </row>
        <row r="449">
          <cell r="B449" t="str">
            <v>INV05994</v>
          </cell>
          <cell r="C449"/>
          <cell r="D449"/>
          <cell r="E449">
            <v>0.8</v>
          </cell>
          <cell r="F449" t="str">
            <v>882747996489</v>
          </cell>
          <cell r="G449" t="str">
            <v>ok</v>
          </cell>
          <cell r="H449" t="str">
            <v>HQ1</v>
          </cell>
          <cell r="I449" t="str">
            <v>DDR5</v>
          </cell>
          <cell r="J449" t="str">
            <v>FedEx</v>
          </cell>
        </row>
        <row r="450">
          <cell r="B450" t="str">
            <v>E00941</v>
          </cell>
          <cell r="C450"/>
          <cell r="D450"/>
          <cell r="E450">
            <v>1.6</v>
          </cell>
          <cell r="F450" t="str">
            <v>DIM111009077</v>
          </cell>
          <cell r="G450" t="str">
            <v>x</v>
          </cell>
          <cell r="H450" t="str">
            <v>Kingston</v>
          </cell>
          <cell r="I450" t="str">
            <v>Connector</v>
          </cell>
          <cell r="J450" t="str">
            <v>Dimerco</v>
          </cell>
        </row>
        <row r="451">
          <cell r="B451" t="str">
            <v>INV05995</v>
          </cell>
          <cell r="C451"/>
          <cell r="D451"/>
          <cell r="E451">
            <v>21.5</v>
          </cell>
          <cell r="F451" t="str">
            <v>882783146918</v>
          </cell>
          <cell r="G451" t="str">
            <v>ok</v>
          </cell>
          <cell r="H451" t="str">
            <v>EFI Italy</v>
          </cell>
          <cell r="I451" t="str">
            <v>PCBA</v>
          </cell>
          <cell r="J451" t="str">
            <v>FedEx</v>
          </cell>
        </row>
        <row r="452">
          <cell r="B452" t="str">
            <v>INV05996</v>
          </cell>
          <cell r="C452"/>
          <cell r="D452"/>
          <cell r="E452">
            <v>200.3</v>
          </cell>
          <cell r="F452" t="str">
            <v>883053164635</v>
          </cell>
          <cell r="G452" t="str">
            <v>ok</v>
          </cell>
          <cell r="H452" t="str">
            <v>EFI IL</v>
          </cell>
          <cell r="I452" t="str">
            <v>Display module</v>
          </cell>
          <cell r="J452" t="str">
            <v>FedEx</v>
          </cell>
        </row>
        <row r="453">
          <cell r="B453" t="str">
            <v>E00942</v>
          </cell>
          <cell r="C453"/>
          <cell r="D453"/>
          <cell r="E453">
            <v>3.6</v>
          </cell>
          <cell r="F453" t="str">
            <v>882788057579</v>
          </cell>
          <cell r="G453" t="str">
            <v>ok</v>
          </cell>
          <cell r="H453" t="str">
            <v>FJZ US</v>
          </cell>
          <cell r="I453" t="str">
            <v>IC</v>
          </cell>
          <cell r="J453" t="str">
            <v>FedEx</v>
          </cell>
        </row>
        <row r="454">
          <cell r="B454" t="str">
            <v>E00943</v>
          </cell>
          <cell r="C454"/>
          <cell r="D454"/>
          <cell r="E454">
            <v>4.5</v>
          </cell>
          <cell r="F454" t="str">
            <v>882788788588</v>
          </cell>
          <cell r="G454" t="str">
            <v>ok</v>
          </cell>
          <cell r="H454" t="str">
            <v>Bangtai</v>
          </cell>
          <cell r="I454" t="str">
            <v>IC</v>
          </cell>
          <cell r="J454" t="str">
            <v>FedEx</v>
          </cell>
        </row>
        <row r="455">
          <cell r="B455" t="str">
            <v>INV05997</v>
          </cell>
          <cell r="C455"/>
          <cell r="D455"/>
          <cell r="E455">
            <v>623.20000000000005</v>
          </cell>
          <cell r="F455" t="str">
            <v>45T0401079</v>
          </cell>
          <cell r="G455" t="str">
            <v>x</v>
          </cell>
          <cell r="H455" t="str">
            <v>AVNET US</v>
          </cell>
          <cell r="I455" t="str">
            <v>Display module</v>
          </cell>
          <cell r="J455" t="str">
            <v>Expeditors</v>
          </cell>
        </row>
        <row r="456">
          <cell r="B456" t="str">
            <v>E00944</v>
          </cell>
          <cell r="C456"/>
          <cell r="D456"/>
          <cell r="E456">
            <v>117</v>
          </cell>
          <cell r="F456" t="str">
            <v>45T0402231</v>
          </cell>
          <cell r="G456" t="str">
            <v>x</v>
          </cell>
          <cell r="H456" t="str">
            <v>HQ1</v>
          </cell>
          <cell r="I456" t="str">
            <v>Conn, Processor, Screw, IC, Cap, Tray, Carrier, Ind, Diode, Cover, PCb, Res, IC, DDR4</v>
          </cell>
          <cell r="J456" t="str">
            <v>Expeditors</v>
          </cell>
        </row>
        <row r="457">
          <cell r="B457" t="str">
            <v>SAMPLE 673</v>
          </cell>
          <cell r="C457"/>
          <cell r="D457"/>
          <cell r="E457">
            <v>1</v>
          </cell>
          <cell r="F457" t="str">
            <v>883023180146</v>
          </cell>
          <cell r="G457" t="str">
            <v>ok</v>
          </cell>
          <cell r="H457" t="str">
            <v>Marvell</v>
          </cell>
          <cell r="I457" t="str">
            <v>IC</v>
          </cell>
          <cell r="J457" t="str">
            <v>Fedex</v>
          </cell>
        </row>
        <row r="458">
          <cell r="B458" t="str">
            <v>INV05998</v>
          </cell>
          <cell r="C458"/>
          <cell r="D458"/>
          <cell r="E458">
            <v>212.4</v>
          </cell>
          <cell r="F458" t="str">
            <v>882876693594</v>
          </cell>
          <cell r="G458" t="str">
            <v>ok</v>
          </cell>
          <cell r="H458" t="str">
            <v>Jabil MX</v>
          </cell>
          <cell r="I458" t="str">
            <v>HLOB</v>
          </cell>
          <cell r="J458" t="str">
            <v>FedEx</v>
          </cell>
        </row>
        <row r="459">
          <cell r="B459" t="str">
            <v>INV05999</v>
          </cell>
          <cell r="C459"/>
          <cell r="D459"/>
          <cell r="E459">
            <v>212.4</v>
          </cell>
          <cell r="F459" t="str">
            <v>882876699950</v>
          </cell>
          <cell r="G459" t="str">
            <v>ok</v>
          </cell>
          <cell r="H459" t="str">
            <v>Jabil MX</v>
          </cell>
          <cell r="I459" t="str">
            <v>HLOB</v>
          </cell>
          <cell r="J459" t="str">
            <v>FedEx</v>
          </cell>
        </row>
        <row r="460">
          <cell r="B460" t="str">
            <v>INV06000</v>
          </cell>
          <cell r="C460"/>
          <cell r="D460"/>
          <cell r="E460">
            <v>212.4</v>
          </cell>
          <cell r="F460" t="str">
            <v>882876777682</v>
          </cell>
          <cell r="G460" t="str">
            <v>ok</v>
          </cell>
          <cell r="H460" t="str">
            <v>Jabil MX</v>
          </cell>
          <cell r="I460" t="str">
            <v>HLOB</v>
          </cell>
          <cell r="J460" t="str">
            <v>FedEx</v>
          </cell>
        </row>
        <row r="461">
          <cell r="B461" t="str">
            <v>INV06001</v>
          </cell>
          <cell r="C461"/>
          <cell r="D461"/>
          <cell r="E461">
            <v>212.4</v>
          </cell>
          <cell r="F461" t="str">
            <v>882876872374</v>
          </cell>
          <cell r="G461" t="str">
            <v>ok</v>
          </cell>
          <cell r="H461" t="str">
            <v>Jabil MX</v>
          </cell>
          <cell r="I461" t="str">
            <v>HLOB</v>
          </cell>
          <cell r="J461" t="str">
            <v>FedEx</v>
          </cell>
        </row>
        <row r="462">
          <cell r="B462" t="str">
            <v>INV06002</v>
          </cell>
          <cell r="C462"/>
          <cell r="D462"/>
          <cell r="E462">
            <v>212.4</v>
          </cell>
          <cell r="F462" t="str">
            <v>882876974266</v>
          </cell>
          <cell r="G462" t="str">
            <v>ok</v>
          </cell>
          <cell r="H462" t="str">
            <v>Jabil MX</v>
          </cell>
          <cell r="I462" t="str">
            <v>HLOB</v>
          </cell>
          <cell r="J462" t="str">
            <v>FedEx</v>
          </cell>
        </row>
        <row r="463">
          <cell r="B463" t="str">
            <v>INV06003</v>
          </cell>
          <cell r="C463"/>
          <cell r="D463"/>
          <cell r="E463">
            <v>93.6</v>
          </cell>
          <cell r="F463" t="str">
            <v>DIM111009145</v>
          </cell>
          <cell r="G463" t="str">
            <v>x</v>
          </cell>
          <cell r="H463" t="str">
            <v>Kingston</v>
          </cell>
          <cell r="I463" t="str">
            <v>Mezz</v>
          </cell>
          <cell r="J463" t="str">
            <v>Dimerco</v>
          </cell>
        </row>
        <row r="464">
          <cell r="B464" t="str">
            <v>INV06004</v>
          </cell>
          <cell r="C464"/>
          <cell r="D464"/>
          <cell r="E464">
            <v>234.9</v>
          </cell>
          <cell r="F464" t="str">
            <v>HAN25005514</v>
          </cell>
          <cell r="G464" t="str">
            <v>x</v>
          </cell>
          <cell r="H464" t="str">
            <v>FCZ</v>
          </cell>
          <cell r="I464" t="str">
            <v>Eiger, Grover, Hopper</v>
          </cell>
          <cell r="J464" t="str">
            <v>Schenker</v>
          </cell>
        </row>
        <row r="465">
          <cell r="B465" t="str">
            <v>INV06005</v>
          </cell>
          <cell r="C465"/>
          <cell r="D465"/>
          <cell r="E465">
            <v>217.8</v>
          </cell>
          <cell r="F465" t="str">
            <v>45T0400611</v>
          </cell>
          <cell r="G465" t="str">
            <v>x</v>
          </cell>
          <cell r="H465" t="str">
            <v>FTX</v>
          </cell>
          <cell r="I465" t="str">
            <v>Eiger, Grover, Hopper</v>
          </cell>
          <cell r="J465" t="str">
            <v>Expeditors</v>
          </cell>
        </row>
        <row r="466">
          <cell r="B466" t="str">
            <v>E00945</v>
          </cell>
          <cell r="C466"/>
          <cell r="D466"/>
          <cell r="E466">
            <v>15.6</v>
          </cell>
          <cell r="F466" t="str">
            <v>882922322140</v>
          </cell>
          <cell r="G466" t="str">
            <v>ok</v>
          </cell>
          <cell r="H466" t="str">
            <v>Kingston</v>
          </cell>
          <cell r="I466" t="str">
            <v>Mem</v>
          </cell>
          <cell r="J466" t="str">
            <v>Fedex</v>
          </cell>
        </row>
        <row r="467">
          <cell r="B467" t="str">
            <v>E00946</v>
          </cell>
          <cell r="C467"/>
          <cell r="D467"/>
          <cell r="E467" t="str">
            <v>CANCEL CDS</v>
          </cell>
          <cell r="F467" t="str">
            <v>CANCEL CDS</v>
          </cell>
          <cell r="G467" t="str">
            <v>x</v>
          </cell>
          <cell r="H467" t="str">
            <v>CANCEL CDS</v>
          </cell>
          <cell r="I467" t="str">
            <v>CANCEL CDS</v>
          </cell>
          <cell r="J467" t="str">
            <v>CANCEL CDS</v>
          </cell>
        </row>
        <row r="468">
          <cell r="B468" t="str">
            <v>INV06006</v>
          </cell>
          <cell r="C468"/>
          <cell r="D468"/>
          <cell r="E468">
            <v>10.56</v>
          </cell>
          <cell r="F468" t="str">
            <v>882960419891</v>
          </cell>
          <cell r="G468" t="str">
            <v>ok</v>
          </cell>
          <cell r="H468" t="str">
            <v>Cloud HK</v>
          </cell>
          <cell r="I468" t="str">
            <v>EUSB</v>
          </cell>
          <cell r="J468" t="str">
            <v>FedEx</v>
          </cell>
        </row>
        <row r="469">
          <cell r="B469" t="str">
            <v>E00947</v>
          </cell>
          <cell r="C469"/>
          <cell r="D469"/>
          <cell r="E469">
            <v>0.6</v>
          </cell>
          <cell r="F469" t="str">
            <v>3326967722</v>
          </cell>
          <cell r="G469" t="str">
            <v>x</v>
          </cell>
          <cell r="H469" t="str">
            <v>Shennan</v>
          </cell>
          <cell r="I469" t="str">
            <v>PCB</v>
          </cell>
          <cell r="J469" t="str">
            <v>DHL</v>
          </cell>
        </row>
        <row r="470">
          <cell r="B470" t="str">
            <v>INV06007</v>
          </cell>
          <cell r="C470"/>
          <cell r="D470"/>
          <cell r="E470">
            <v>71.7</v>
          </cell>
          <cell r="F470" t="str">
            <v>HN90003931</v>
          </cell>
          <cell r="G470" t="str">
            <v>x</v>
          </cell>
          <cell r="H470" t="str">
            <v>Lucid US</v>
          </cell>
          <cell r="I470" t="str">
            <v>UCC, Rear</v>
          </cell>
          <cell r="J470" t="str">
            <v>DSV</v>
          </cell>
        </row>
        <row r="471">
          <cell r="B471" t="str">
            <v>INV06008</v>
          </cell>
          <cell r="C471"/>
          <cell r="D471"/>
          <cell r="E471">
            <v>2446.4</v>
          </cell>
          <cell r="F471" t="str">
            <v>HN90003938</v>
          </cell>
          <cell r="G471" t="str">
            <v>x</v>
          </cell>
          <cell r="H471" t="str">
            <v>Lucid AZ</v>
          </cell>
          <cell r="I471" t="str">
            <v>VCU, BCM, LVJB, DCM</v>
          </cell>
          <cell r="J471" t="str">
            <v>DSV</v>
          </cell>
        </row>
        <row r="472">
          <cell r="B472" t="str">
            <v>INV06009</v>
          </cell>
          <cell r="C472"/>
          <cell r="D472"/>
          <cell r="E472">
            <v>439</v>
          </cell>
          <cell r="F472" t="str">
            <v>HAN0414659</v>
          </cell>
          <cell r="G472" t="str">
            <v>x</v>
          </cell>
          <cell r="H472" t="str">
            <v>DAA</v>
          </cell>
          <cell r="I472" t="str">
            <v>USB</v>
          </cell>
          <cell r="J472" t="str">
            <v>DSV</v>
          </cell>
        </row>
        <row r="473">
          <cell r="B473" t="str">
            <v>INV06010</v>
          </cell>
          <cell r="C473"/>
          <cell r="D473"/>
          <cell r="E473">
            <v>860.19999999999993</v>
          </cell>
          <cell r="F473" t="str">
            <v>HAN0417635</v>
          </cell>
          <cell r="G473" t="str">
            <v>x</v>
          </cell>
          <cell r="H473" t="str">
            <v>HELLA</v>
          </cell>
          <cell r="I473" t="str">
            <v>HCU</v>
          </cell>
          <cell r="J473" t="str">
            <v>DSV</v>
          </cell>
        </row>
        <row r="474">
          <cell r="B474" t="str">
            <v>INV06011</v>
          </cell>
          <cell r="C474"/>
          <cell r="D474"/>
          <cell r="E474">
            <v>1503.7</v>
          </cell>
          <cell r="F474" t="str">
            <v>45T0401947</v>
          </cell>
          <cell r="G474" t="str">
            <v>x</v>
          </cell>
          <cell r="H474" t="str">
            <v>AVNET US</v>
          </cell>
          <cell r="I474" t="str">
            <v>Display module</v>
          </cell>
          <cell r="J474" t="str">
            <v>Expeditors</v>
          </cell>
        </row>
        <row r="475">
          <cell r="B475" t="str">
            <v>SAMPLE 674</v>
          </cell>
          <cell r="C475"/>
          <cell r="D475"/>
          <cell r="E475">
            <v>0.2</v>
          </cell>
          <cell r="F475" t="str">
            <v>883022010552</v>
          </cell>
          <cell r="G475" t="str">
            <v>ok</v>
          </cell>
          <cell r="H475" t="str">
            <v>Min Aik</v>
          </cell>
          <cell r="I475" t="str">
            <v>label</v>
          </cell>
          <cell r="J475" t="str">
            <v>Fedex</v>
          </cell>
        </row>
        <row r="476">
          <cell r="B476" t="str">
            <v>E00949</v>
          </cell>
          <cell r="C476"/>
          <cell r="D476"/>
          <cell r="E476">
            <v>22.3</v>
          </cell>
          <cell r="F476" t="str">
            <v>883026141413</v>
          </cell>
          <cell r="G476" t="str">
            <v>ok</v>
          </cell>
          <cell r="H476" t="str">
            <v>Pure</v>
          </cell>
          <cell r="I476" t="str">
            <v>Carrier</v>
          </cell>
          <cell r="J476" t="str">
            <v>Fedex</v>
          </cell>
        </row>
        <row r="477">
          <cell r="B477" t="str">
            <v>E00950</v>
          </cell>
          <cell r="C477"/>
          <cell r="D477"/>
          <cell r="E477">
            <v>1.1000000000000001</v>
          </cell>
          <cell r="F477" t="str">
            <v>883027458480</v>
          </cell>
          <cell r="G477" t="str">
            <v>ok</v>
          </cell>
          <cell r="H477" t="str">
            <v>Microchip US</v>
          </cell>
          <cell r="I477" t="str">
            <v>IC</v>
          </cell>
          <cell r="J477" t="str">
            <v>Fedex</v>
          </cell>
        </row>
        <row r="478">
          <cell r="B478" t="str">
            <v>INV06012</v>
          </cell>
          <cell r="C478"/>
          <cell r="D478"/>
          <cell r="E478">
            <v>397.5</v>
          </cell>
          <cell r="F478" t="str">
            <v>HAN25005713</v>
          </cell>
          <cell r="G478" t="str">
            <v>x</v>
          </cell>
          <cell r="H478" t="str">
            <v>FCZ</v>
          </cell>
          <cell r="I478" t="str">
            <v>Grover, Hopper</v>
          </cell>
          <cell r="J478" t="str">
            <v>Schenker</v>
          </cell>
        </row>
        <row r="479">
          <cell r="B479" t="str">
            <v>INV06013</v>
          </cell>
          <cell r="C479"/>
          <cell r="D479"/>
          <cell r="E479">
            <v>493.59999999999997</v>
          </cell>
          <cell r="F479" t="str">
            <v>45T0402344</v>
          </cell>
          <cell r="G479" t="str">
            <v>x</v>
          </cell>
          <cell r="H479" t="str">
            <v>FTX</v>
          </cell>
          <cell r="I479" t="str">
            <v>Eiger, Grover, Hopper</v>
          </cell>
          <cell r="J479" t="str">
            <v>Expeditors</v>
          </cell>
        </row>
        <row r="480">
          <cell r="B480" t="str">
            <v>INV06014</v>
          </cell>
          <cell r="C480"/>
          <cell r="D480"/>
          <cell r="E480">
            <v>212.4</v>
          </cell>
          <cell r="F480" t="str">
            <v>883052148735</v>
          </cell>
          <cell r="G480" t="str">
            <v>ok</v>
          </cell>
          <cell r="H480" t="str">
            <v>Jabil MX</v>
          </cell>
          <cell r="I480" t="str">
            <v>HLOB</v>
          </cell>
          <cell r="J480" t="str">
            <v>FedEx</v>
          </cell>
        </row>
        <row r="481">
          <cell r="B481" t="str">
            <v>INV06015</v>
          </cell>
          <cell r="C481"/>
          <cell r="D481"/>
          <cell r="E481">
            <v>212.4</v>
          </cell>
          <cell r="F481" t="str">
            <v>883052200148</v>
          </cell>
          <cell r="G481" t="str">
            <v>ok</v>
          </cell>
          <cell r="H481" t="str">
            <v>Jabil MX</v>
          </cell>
          <cell r="I481" t="str">
            <v>HLOB</v>
          </cell>
          <cell r="J481" t="str">
            <v>FedEx</v>
          </cell>
        </row>
        <row r="482">
          <cell r="B482" t="str">
            <v>INV06016</v>
          </cell>
          <cell r="C482"/>
          <cell r="D482"/>
          <cell r="E482">
            <v>212.4</v>
          </cell>
          <cell r="F482" t="str">
            <v>883052227800</v>
          </cell>
          <cell r="G482" t="str">
            <v>ok</v>
          </cell>
          <cell r="H482" t="str">
            <v>Jabil MX</v>
          </cell>
          <cell r="I482" t="str">
            <v>HLOB</v>
          </cell>
          <cell r="J482" t="str">
            <v>FedEx</v>
          </cell>
        </row>
        <row r="483">
          <cell r="B483" t="str">
            <v>INV06017</v>
          </cell>
          <cell r="C483"/>
          <cell r="D483"/>
          <cell r="E483">
            <v>212.4</v>
          </cell>
          <cell r="F483" t="str">
            <v>883052254365</v>
          </cell>
          <cell r="G483" t="str">
            <v>ok</v>
          </cell>
          <cell r="H483" t="str">
            <v>Jabil MX</v>
          </cell>
          <cell r="I483" t="str">
            <v>HLOB</v>
          </cell>
          <cell r="J483" t="str">
            <v>FedEx</v>
          </cell>
        </row>
        <row r="484">
          <cell r="B484" t="str">
            <v>INV06018</v>
          </cell>
          <cell r="C484"/>
          <cell r="D484"/>
          <cell r="E484">
            <v>212.4</v>
          </cell>
          <cell r="F484" t="str">
            <v>883052284699</v>
          </cell>
          <cell r="G484" t="str">
            <v>ok</v>
          </cell>
          <cell r="H484" t="str">
            <v>Jabil MX</v>
          </cell>
          <cell r="I484" t="str">
            <v>HLOB</v>
          </cell>
          <cell r="J484" t="str">
            <v>FedEx</v>
          </cell>
        </row>
        <row r="485">
          <cell r="B485" t="str">
            <v>INV06019</v>
          </cell>
          <cell r="C485"/>
          <cell r="D485"/>
          <cell r="E485">
            <v>2066.6</v>
          </cell>
          <cell r="F485" t="str">
            <v>HN90003961</v>
          </cell>
          <cell r="G485" t="str">
            <v>x</v>
          </cell>
          <cell r="H485" t="str">
            <v>Lucid AZ</v>
          </cell>
          <cell r="I485" t="str">
            <v>LVJB</v>
          </cell>
          <cell r="J485" t="str">
            <v>DSV</v>
          </cell>
        </row>
        <row r="486">
          <cell r="B486" t="str">
            <v>INV06020</v>
          </cell>
          <cell r="C486"/>
          <cell r="D486"/>
          <cell r="E486">
            <v>336.3</v>
          </cell>
          <cell r="F486" t="str">
            <v>HN90003959</v>
          </cell>
          <cell r="G486" t="str">
            <v>x</v>
          </cell>
          <cell r="H486" t="str">
            <v>Lucid US</v>
          </cell>
          <cell r="I486" t="str">
            <v>TLA, CCC, Ecall, Cabin, Rear, Front</v>
          </cell>
          <cell r="J486" t="str">
            <v>DSV</v>
          </cell>
        </row>
        <row r="487">
          <cell r="B487" t="str">
            <v>INV06021</v>
          </cell>
          <cell r="C487"/>
          <cell r="D487"/>
          <cell r="E487">
            <v>4.3999999999999995</v>
          </cell>
          <cell r="F487" t="str">
            <v>883134680334</v>
          </cell>
          <cell r="G487" t="str">
            <v>ok</v>
          </cell>
          <cell r="H487" t="str">
            <v>Cloud HK</v>
          </cell>
          <cell r="I487" t="str">
            <v>EUSB</v>
          </cell>
          <cell r="J487" t="str">
            <v>FedEx</v>
          </cell>
        </row>
        <row r="488">
          <cell r="B488" t="str">
            <v>INV06022</v>
          </cell>
          <cell r="C488"/>
          <cell r="D488"/>
          <cell r="E488">
            <v>27.5</v>
          </cell>
          <cell r="F488" t="str">
            <v>45T0403133</v>
          </cell>
          <cell r="G488" t="str">
            <v>x</v>
          </cell>
          <cell r="H488" t="str">
            <v>UPS SCS</v>
          </cell>
          <cell r="I488" t="str">
            <v>Fru</v>
          </cell>
          <cell r="J488" t="str">
            <v>Expeditors</v>
          </cell>
        </row>
        <row r="489">
          <cell r="B489" t="str">
            <v>E00951</v>
          </cell>
          <cell r="C489"/>
          <cell r="D489"/>
          <cell r="E489">
            <v>1.5</v>
          </cell>
          <cell r="F489" t="str">
            <v>883137312169</v>
          </cell>
          <cell r="G489" t="str">
            <v>ok</v>
          </cell>
          <cell r="H489" t="str">
            <v>HQ1</v>
          </cell>
          <cell r="I489" t="str">
            <v>IC, PCB</v>
          </cell>
          <cell r="J489" t="str">
            <v>FedEx</v>
          </cell>
        </row>
        <row r="490">
          <cell r="B490" t="str">
            <v>E00952</v>
          </cell>
          <cell r="C490"/>
          <cell r="D490"/>
          <cell r="E490">
            <v>6</v>
          </cell>
          <cell r="F490" t="str">
            <v>883164278233</v>
          </cell>
          <cell r="G490" t="str">
            <v>ok</v>
          </cell>
          <cell r="H490" t="str">
            <v>Kingston</v>
          </cell>
          <cell r="I490" t="str">
            <v>ic</v>
          </cell>
          <cell r="J490" t="str">
            <v>Fedex</v>
          </cell>
        </row>
        <row r="491">
          <cell r="B491" t="str">
            <v>Sample 675</v>
          </cell>
          <cell r="C491"/>
          <cell r="D491"/>
          <cell r="E491">
            <v>0.2</v>
          </cell>
          <cell r="F491" t="str">
            <v>2663345790</v>
          </cell>
          <cell r="G491" t="str">
            <v>x</v>
          </cell>
          <cell r="H491" t="str">
            <v>KIOXIA</v>
          </cell>
          <cell r="I491" t="str">
            <v>IC</v>
          </cell>
          <cell r="J491" t="str">
            <v>DHL</v>
          </cell>
        </row>
        <row r="492">
          <cell r="B492" t="str">
            <v>INV06023</v>
          </cell>
          <cell r="C492"/>
          <cell r="D492"/>
          <cell r="E492">
            <v>438</v>
          </cell>
          <cell r="F492" t="str">
            <v>45T0403226</v>
          </cell>
          <cell r="G492" t="str">
            <v>x</v>
          </cell>
          <cell r="H492" t="str">
            <v>AVNET US</v>
          </cell>
          <cell r="I492" t="str">
            <v>Display module, PCBA, DDR4</v>
          </cell>
          <cell r="J492" t="str">
            <v>Expeditors</v>
          </cell>
        </row>
        <row r="493">
          <cell r="B493" t="str">
            <v>INV06024</v>
          </cell>
          <cell r="C493"/>
          <cell r="D493"/>
          <cell r="E493">
            <v>62.8</v>
          </cell>
          <cell r="F493" t="str">
            <v>DIM111009219</v>
          </cell>
          <cell r="G493" t="str">
            <v>x</v>
          </cell>
          <cell r="H493" t="str">
            <v>Kingston</v>
          </cell>
          <cell r="I493" t="str">
            <v>PCBA</v>
          </cell>
          <cell r="J493" t="str">
            <v>Dimerco</v>
          </cell>
        </row>
        <row r="494">
          <cell r="B494" t="str">
            <v>INV06025</v>
          </cell>
          <cell r="C494"/>
          <cell r="D494"/>
          <cell r="E494">
            <v>7</v>
          </cell>
          <cell r="F494" t="str">
            <v>883230933816</v>
          </cell>
          <cell r="G494" t="str">
            <v>ok</v>
          </cell>
          <cell r="H494" t="str">
            <v>HQ1</v>
          </cell>
          <cell r="I494" t="str">
            <v>Piper</v>
          </cell>
          <cell r="J494" t="str">
            <v>FedEx</v>
          </cell>
        </row>
        <row r="495">
          <cell r="B495" t="str">
            <v>INV06026</v>
          </cell>
          <cell r="C495"/>
          <cell r="D495"/>
          <cell r="E495">
            <v>278</v>
          </cell>
          <cell r="F495" t="str">
            <v xml:space="preserve">HAN25005895 </v>
          </cell>
          <cell r="G495" t="str">
            <v>x</v>
          </cell>
          <cell r="H495" t="str">
            <v>FCZ</v>
          </cell>
          <cell r="I495" t="str">
            <v>Eiger, Grover, Hopper</v>
          </cell>
          <cell r="J495" t="str">
            <v>Schenker</v>
          </cell>
        </row>
        <row r="496">
          <cell r="B496" t="str">
            <v>INV06027</v>
          </cell>
          <cell r="C496"/>
          <cell r="D496"/>
          <cell r="E496">
            <v>189.3</v>
          </cell>
          <cell r="F496" t="str">
            <v>45T0404571</v>
          </cell>
          <cell r="G496" t="str">
            <v>x</v>
          </cell>
          <cell r="H496" t="str">
            <v>FTX</v>
          </cell>
          <cell r="I496" t="str">
            <v>Eiger, Grover</v>
          </cell>
          <cell r="J496" t="str">
            <v>Expeditors</v>
          </cell>
        </row>
        <row r="497">
          <cell r="B497" t="str">
            <v>INV06028</v>
          </cell>
          <cell r="C497"/>
          <cell r="D497"/>
          <cell r="E497">
            <v>17</v>
          </cell>
          <cell r="F497" t="str">
            <v>883198609596</v>
          </cell>
          <cell r="G497" t="str">
            <v>ok</v>
          </cell>
          <cell r="H497" t="str">
            <v>EFI Italy</v>
          </cell>
          <cell r="I497" t="str">
            <v>PCBA</v>
          </cell>
          <cell r="J497" t="str">
            <v>FedEx</v>
          </cell>
        </row>
        <row r="498">
          <cell r="B498" t="str">
            <v>INV06029</v>
          </cell>
          <cell r="C498"/>
          <cell r="D498"/>
          <cell r="E498">
            <v>2268</v>
          </cell>
          <cell r="F498" t="str">
            <v>HN90003962</v>
          </cell>
          <cell r="G498" t="str">
            <v>x</v>
          </cell>
          <cell r="H498" t="str">
            <v>Lucid AZ</v>
          </cell>
          <cell r="I498" t="str">
            <v>VCU, Rear, UCC, BCM</v>
          </cell>
          <cell r="J498" t="str">
            <v>DSV</v>
          </cell>
        </row>
        <row r="499">
          <cell r="B499" t="str">
            <v>INV06030</v>
          </cell>
          <cell r="C499"/>
          <cell r="D499"/>
          <cell r="E499">
            <v>2189.29</v>
          </cell>
          <cell r="F499" t="str">
            <v>HN90003960</v>
          </cell>
          <cell r="G499" t="str">
            <v>x</v>
          </cell>
          <cell r="H499" t="str">
            <v>Lucid AZ</v>
          </cell>
          <cell r="I499" t="str">
            <v>VCU, Rear, UCC, BCM</v>
          </cell>
          <cell r="J499" t="str">
            <v>DSV</v>
          </cell>
        </row>
        <row r="500">
          <cell r="B500" t="str">
            <v>INV06031</v>
          </cell>
          <cell r="C500"/>
          <cell r="D500"/>
          <cell r="E500">
            <v>50.2</v>
          </cell>
          <cell r="F500" t="str">
            <v>45T0404882</v>
          </cell>
          <cell r="G500" t="str">
            <v>x</v>
          </cell>
          <cell r="H500" t="str">
            <v>AVNET US</v>
          </cell>
          <cell r="I500" t="str">
            <v>Display module</v>
          </cell>
          <cell r="J500" t="str">
            <v>Expeditors</v>
          </cell>
        </row>
        <row r="501">
          <cell r="B501" t="str">
            <v>INV06032</v>
          </cell>
          <cell r="C501"/>
          <cell r="D501"/>
          <cell r="E501">
            <v>0.9</v>
          </cell>
          <cell r="F501" t="str">
            <v>883315210278</v>
          </cell>
          <cell r="G501" t="str">
            <v>ok</v>
          </cell>
          <cell r="H501" t="str">
            <v>Arista</v>
          </cell>
          <cell r="I501" t="str">
            <v>DDR4</v>
          </cell>
          <cell r="J501" t="str">
            <v>FedEx</v>
          </cell>
        </row>
        <row r="502">
          <cell r="B502" t="str">
            <v>INV06033</v>
          </cell>
          <cell r="C502"/>
          <cell r="D502"/>
          <cell r="E502">
            <v>40</v>
          </cell>
          <cell r="F502" t="str">
            <v>883315749352</v>
          </cell>
          <cell r="G502" t="str">
            <v>ok</v>
          </cell>
          <cell r="H502" t="str">
            <v>Cloud HK</v>
          </cell>
          <cell r="I502" t="str">
            <v>DDR4</v>
          </cell>
          <cell r="J502" t="str">
            <v>FedEx</v>
          </cell>
        </row>
        <row r="503">
          <cell r="B503" t="str">
            <v>INV06034</v>
          </cell>
          <cell r="C503"/>
          <cell r="D503"/>
          <cell r="E503">
            <v>618.99999999999989</v>
          </cell>
          <cell r="F503" t="str">
            <v>HAN0421435</v>
          </cell>
          <cell r="G503" t="str">
            <v>x</v>
          </cell>
          <cell r="H503" t="str">
            <v>HELLA</v>
          </cell>
          <cell r="I503" t="str">
            <v>HCU</v>
          </cell>
          <cell r="J503" t="str">
            <v>DSV</v>
          </cell>
        </row>
        <row r="504">
          <cell r="B504" t="str">
            <v>E00953</v>
          </cell>
          <cell r="C504"/>
          <cell r="D504"/>
          <cell r="E504">
            <v>3.6</v>
          </cell>
          <cell r="F504" t="str">
            <v>883343879038</v>
          </cell>
          <cell r="G504" t="str">
            <v>ok</v>
          </cell>
          <cell r="H504" t="str">
            <v>FJZ US</v>
          </cell>
          <cell r="I504" t="str">
            <v>IC</v>
          </cell>
          <cell r="J504" t="str">
            <v>FedEx</v>
          </cell>
        </row>
        <row r="505">
          <cell r="B505" t="str">
            <v>INV06035</v>
          </cell>
          <cell r="C505"/>
          <cell r="D505"/>
          <cell r="E505">
            <v>2.1</v>
          </cell>
          <cell r="F505" t="str">
            <v>883345940629</v>
          </cell>
          <cell r="G505" t="str">
            <v>ok</v>
          </cell>
          <cell r="H505" t="str">
            <v>Ingrasys</v>
          </cell>
          <cell r="I505" t="str">
            <v>Tintri</v>
          </cell>
          <cell r="J505" t="str">
            <v>FedEx</v>
          </cell>
        </row>
        <row r="506">
          <cell r="B506" t="str">
            <v>INV06036</v>
          </cell>
          <cell r="C506"/>
          <cell r="D506"/>
          <cell r="E506">
            <v>38.4</v>
          </cell>
          <cell r="F506" t="str">
            <v>883348822453</v>
          </cell>
          <cell r="G506" t="str">
            <v>ok</v>
          </cell>
          <cell r="H506" t="str">
            <v>Cloud HK</v>
          </cell>
          <cell r="I506" t="str">
            <v>DDR4</v>
          </cell>
          <cell r="J506" t="str">
            <v>FedEx</v>
          </cell>
        </row>
        <row r="507">
          <cell r="B507" t="str">
            <v>INV06037</v>
          </cell>
          <cell r="C507"/>
          <cell r="D507"/>
          <cell r="E507">
            <v>3407.3</v>
          </cell>
          <cell r="F507" t="str">
            <v>HN90004011</v>
          </cell>
          <cell r="G507" t="str">
            <v>x</v>
          </cell>
          <cell r="H507" t="str">
            <v>Lucid Arizona</v>
          </cell>
          <cell r="I507" t="str">
            <v>Rear, UCC, Front, Cabin, DCM</v>
          </cell>
          <cell r="J507" t="str">
            <v>DSV</v>
          </cell>
        </row>
        <row r="508">
          <cell r="B508" t="str">
            <v>E00954</v>
          </cell>
          <cell r="C508"/>
          <cell r="D508"/>
          <cell r="E508">
            <v>6.6</v>
          </cell>
          <cell r="F508" t="str">
            <v>883384388142</v>
          </cell>
          <cell r="G508" t="str">
            <v>ok</v>
          </cell>
          <cell r="H508" t="str">
            <v>HQ1</v>
          </cell>
          <cell r="I508" t="str">
            <v>resistor, capacitor, diode, crystal, screw, label, DDR</v>
          </cell>
          <cell r="J508" t="str">
            <v>FedEx</v>
          </cell>
        </row>
        <row r="509">
          <cell r="B509" t="str">
            <v>INV06038</v>
          </cell>
          <cell r="C509"/>
          <cell r="D509"/>
          <cell r="E509">
            <v>33.799999999999997</v>
          </cell>
          <cell r="F509" t="str">
            <v>HAN25006013</v>
          </cell>
          <cell r="G509" t="str">
            <v>x</v>
          </cell>
          <cell r="H509" t="str">
            <v>FCZ</v>
          </cell>
          <cell r="I509" t="str">
            <v>Eiger</v>
          </cell>
          <cell r="J509" t="str">
            <v>Schenker</v>
          </cell>
        </row>
        <row r="510">
          <cell r="B510" t="str">
            <v>INV06039</v>
          </cell>
          <cell r="C510"/>
          <cell r="D510"/>
          <cell r="E510">
            <v>398.1</v>
          </cell>
          <cell r="F510" t="str">
            <v>HAN25006014</v>
          </cell>
          <cell r="G510" t="str">
            <v>x</v>
          </cell>
          <cell r="H510" t="str">
            <v>FCZ</v>
          </cell>
          <cell r="I510" t="str">
            <v>Grover, Hopper</v>
          </cell>
          <cell r="J510" t="str">
            <v>Schenker</v>
          </cell>
        </row>
        <row r="511">
          <cell r="B511" t="str">
            <v>INV06040</v>
          </cell>
          <cell r="C511"/>
          <cell r="D511"/>
          <cell r="E511">
            <v>8.8000000000000007</v>
          </cell>
          <cell r="F511" t="str">
            <v>3246368915</v>
          </cell>
          <cell r="G511" t="str">
            <v>x</v>
          </cell>
          <cell r="H511" t="str">
            <v>Sanmina</v>
          </cell>
          <cell r="I511" t="str">
            <v>DDR4</v>
          </cell>
          <cell r="J511" t="str">
            <v>DHL</v>
          </cell>
        </row>
        <row r="512">
          <cell r="B512" t="str">
            <v>INV06041</v>
          </cell>
          <cell r="C512"/>
          <cell r="D512"/>
          <cell r="E512">
            <v>438.8</v>
          </cell>
          <cell r="F512" t="str">
            <v>883410569647</v>
          </cell>
          <cell r="G512" t="str">
            <v>ok</v>
          </cell>
          <cell r="H512" t="str">
            <v>Jabil MX</v>
          </cell>
          <cell r="I512" t="str">
            <v>HLOB</v>
          </cell>
          <cell r="J512" t="str">
            <v>FedEx</v>
          </cell>
        </row>
        <row r="513">
          <cell r="B513" t="str">
            <v>INV06042</v>
          </cell>
          <cell r="C513"/>
          <cell r="D513"/>
          <cell r="E513">
            <v>438.8</v>
          </cell>
          <cell r="F513" t="str">
            <v>883410550443</v>
          </cell>
          <cell r="G513" t="str">
            <v>ok</v>
          </cell>
          <cell r="H513" t="str">
            <v>Jabil MX</v>
          </cell>
          <cell r="I513" t="str">
            <v>HLOB</v>
          </cell>
          <cell r="J513" t="str">
            <v>FedEx</v>
          </cell>
        </row>
        <row r="514">
          <cell r="B514" t="str">
            <v>INV06043</v>
          </cell>
          <cell r="C514"/>
          <cell r="D514"/>
          <cell r="E514">
            <v>438.8</v>
          </cell>
          <cell r="F514" t="str">
            <v>883410989514</v>
          </cell>
          <cell r="G514" t="str">
            <v>ok</v>
          </cell>
          <cell r="H514" t="str">
            <v>Jabil MX</v>
          </cell>
          <cell r="I514" t="str">
            <v>HLOB</v>
          </cell>
          <cell r="J514" t="str">
            <v>FedEx</v>
          </cell>
        </row>
        <row r="515">
          <cell r="B515" t="str">
            <v>INV06044</v>
          </cell>
          <cell r="C515"/>
          <cell r="D515"/>
          <cell r="E515">
            <v>98.4</v>
          </cell>
          <cell r="F515" t="str">
            <v>883411346030</v>
          </cell>
          <cell r="G515" t="str">
            <v>ok</v>
          </cell>
          <cell r="H515" t="str">
            <v>Jabil MX</v>
          </cell>
          <cell r="I515" t="str">
            <v>HLOB</v>
          </cell>
          <cell r="J515" t="str">
            <v>FedEx</v>
          </cell>
        </row>
        <row r="516">
          <cell r="B516" t="str">
            <v>INV06045</v>
          </cell>
          <cell r="C516"/>
          <cell r="D516"/>
          <cell r="E516">
            <v>14.6</v>
          </cell>
          <cell r="F516" t="str">
            <v>883411765106</v>
          </cell>
          <cell r="G516" t="str">
            <v>ok</v>
          </cell>
          <cell r="H516" t="str">
            <v>Pure</v>
          </cell>
          <cell r="I516" t="str">
            <v>Napper</v>
          </cell>
          <cell r="J516" t="str">
            <v>FedEx</v>
          </cell>
        </row>
        <row r="517">
          <cell r="B517" t="str">
            <v>INV06046</v>
          </cell>
          <cell r="C517"/>
          <cell r="D517"/>
          <cell r="E517">
            <v>25</v>
          </cell>
          <cell r="F517" t="str">
            <v>883456572851</v>
          </cell>
          <cell r="G517" t="str">
            <v>ok</v>
          </cell>
          <cell r="H517" t="str">
            <v>AIC</v>
          </cell>
          <cell r="I517" t="str">
            <v>PCBA Volans</v>
          </cell>
          <cell r="J517" t="str">
            <v>FedEx</v>
          </cell>
        </row>
        <row r="518">
          <cell r="B518" t="str">
            <v>INV06047</v>
          </cell>
          <cell r="C518"/>
          <cell r="D518"/>
          <cell r="E518">
            <v>40</v>
          </cell>
          <cell r="F518" t="str">
            <v>883457158360</v>
          </cell>
          <cell r="G518" t="str">
            <v>ok</v>
          </cell>
          <cell r="H518" t="str">
            <v>Cloud HK</v>
          </cell>
          <cell r="I518" t="str">
            <v>DDR4</v>
          </cell>
          <cell r="J518" t="str">
            <v>FedEx</v>
          </cell>
        </row>
        <row r="519">
          <cell r="B519" t="str">
            <v>INV06048</v>
          </cell>
          <cell r="C519"/>
          <cell r="D519"/>
          <cell r="E519">
            <v>29.799999999999997</v>
          </cell>
          <cell r="F519" t="str">
            <v>4397199936</v>
          </cell>
          <cell r="G519" t="str">
            <v>x</v>
          </cell>
          <cell r="H519" t="str">
            <v>AVNET US</v>
          </cell>
          <cell r="I519" t="str">
            <v>DDR4</v>
          </cell>
          <cell r="J519" t="str">
            <v>DHL</v>
          </cell>
        </row>
        <row r="520">
          <cell r="B520" t="str">
            <v>Document</v>
          </cell>
          <cell r="C520"/>
          <cell r="D520"/>
          <cell r="E520">
            <v>0.1</v>
          </cell>
          <cell r="F520" t="str">
            <v>883456877391</v>
          </cell>
          <cell r="G520" t="str">
            <v>ok</v>
          </cell>
          <cell r="H520" t="str">
            <v>Thales</v>
          </cell>
          <cell r="I520" t="str">
            <v>Contract</v>
          </cell>
          <cell r="J520" t="str">
            <v>FedEx</v>
          </cell>
        </row>
        <row r="521">
          <cell r="B521" t="str">
            <v>INV06049</v>
          </cell>
          <cell r="C521"/>
          <cell r="D521"/>
          <cell r="E521">
            <v>39.299999999999997</v>
          </cell>
          <cell r="F521" t="str">
            <v>883495514179</v>
          </cell>
          <cell r="G521" t="str">
            <v>ok</v>
          </cell>
          <cell r="H521" t="str">
            <v>Cloud HK</v>
          </cell>
          <cell r="I521" t="str">
            <v>DDR4</v>
          </cell>
          <cell r="J521" t="str">
            <v>FedEx</v>
          </cell>
        </row>
        <row r="522">
          <cell r="B522" t="str">
            <v>E00955</v>
          </cell>
          <cell r="C522"/>
          <cell r="D522"/>
          <cell r="E522">
            <v>4.4000000000000004</v>
          </cell>
          <cell r="F522" t="str">
            <v>883532018385</v>
          </cell>
          <cell r="G522" t="str">
            <v>ok</v>
          </cell>
          <cell r="H522" t="str">
            <v>FJZ US</v>
          </cell>
          <cell r="I522" t="str">
            <v>IC</v>
          </cell>
          <cell r="J522" t="str">
            <v>Fedex</v>
          </cell>
        </row>
        <row r="523">
          <cell r="B523" t="str">
            <v>INV06050</v>
          </cell>
          <cell r="C523"/>
          <cell r="D523"/>
          <cell r="E523">
            <v>41.5</v>
          </cell>
          <cell r="F523" t="str">
            <v>883529386840</v>
          </cell>
          <cell r="G523" t="str">
            <v>ok</v>
          </cell>
          <cell r="H523" t="str">
            <v>Cloud HK</v>
          </cell>
          <cell r="I523" t="str">
            <v>DDR4</v>
          </cell>
          <cell r="J523" t="str">
            <v>FedEx</v>
          </cell>
        </row>
        <row r="524">
          <cell r="B524" t="str">
            <v>SAMPLE 676</v>
          </cell>
          <cell r="C524"/>
          <cell r="D524"/>
          <cell r="E524">
            <v>0.1</v>
          </cell>
          <cell r="F524" t="str">
            <v>883526420770</v>
          </cell>
          <cell r="G524" t="str">
            <v>x</v>
          </cell>
          <cell r="H524" t="str">
            <v>Ningbo xusheng</v>
          </cell>
          <cell r="I524" t="str">
            <v>document</v>
          </cell>
          <cell r="J524" t="str">
            <v>Fedex</v>
          </cell>
        </row>
        <row r="525">
          <cell r="B525" t="str">
            <v>INV06051</v>
          </cell>
          <cell r="C525"/>
          <cell r="D525"/>
          <cell r="E525">
            <v>4.3000000000000007</v>
          </cell>
          <cell r="F525" t="str">
            <v>883560283694</v>
          </cell>
          <cell r="G525" t="str">
            <v>ok</v>
          </cell>
          <cell r="H525" t="str">
            <v>Cloud HK</v>
          </cell>
          <cell r="I525" t="str">
            <v>EUSB</v>
          </cell>
          <cell r="J525" t="str">
            <v>FedEx</v>
          </cell>
        </row>
        <row r="526">
          <cell r="B526" t="str">
            <v>INV06052</v>
          </cell>
          <cell r="C526"/>
          <cell r="D526"/>
          <cell r="E526">
            <v>263.5</v>
          </cell>
          <cell r="F526" t="str">
            <v>3542685672</v>
          </cell>
          <cell r="G526" t="str">
            <v>x</v>
          </cell>
          <cell r="H526" t="str">
            <v>AVNET US</v>
          </cell>
          <cell r="I526" t="str">
            <v>Display module, DDR4</v>
          </cell>
          <cell r="J526" t="str">
            <v>DHL</v>
          </cell>
        </row>
        <row r="527">
          <cell r="B527" t="str">
            <v>INV06053</v>
          </cell>
          <cell r="C527"/>
          <cell r="D527"/>
          <cell r="E527">
            <v>13</v>
          </cell>
          <cell r="F527" t="str">
            <v>883561581078</v>
          </cell>
          <cell r="G527" t="str">
            <v>ok</v>
          </cell>
          <cell r="H527" t="str">
            <v>Pure Storage</v>
          </cell>
          <cell r="I527" t="str">
            <v>HLOB</v>
          </cell>
          <cell r="J527" t="str">
            <v>FedEx</v>
          </cell>
        </row>
        <row r="528">
          <cell r="B528" t="str">
            <v>E00956</v>
          </cell>
          <cell r="C528"/>
          <cell r="D528"/>
          <cell r="E528">
            <v>6.4</v>
          </cell>
          <cell r="F528" t="str">
            <v>883532559941</v>
          </cell>
          <cell r="G528" t="str">
            <v>ok</v>
          </cell>
          <cell r="H528" t="str">
            <v xml:space="preserve">Smith &amp; Associates </v>
          </cell>
          <cell r="I528" t="str">
            <v>Mem</v>
          </cell>
          <cell r="J528" t="str">
            <v>FedEx</v>
          </cell>
        </row>
        <row r="529">
          <cell r="B529" t="str">
            <v>INV06054</v>
          </cell>
          <cell r="C529"/>
          <cell r="D529"/>
          <cell r="E529">
            <v>0.7</v>
          </cell>
          <cell r="F529" t="str">
            <v>883555092238</v>
          </cell>
          <cell r="G529" t="str">
            <v>ok</v>
          </cell>
          <cell r="H529" t="str">
            <v>iXsystems</v>
          </cell>
          <cell r="I529" t="str">
            <v>Powergem</v>
          </cell>
          <cell r="J529" t="str">
            <v>FedEx</v>
          </cell>
        </row>
        <row r="530">
          <cell r="B530" t="str">
            <v>INV06055</v>
          </cell>
          <cell r="C530"/>
          <cell r="D530"/>
          <cell r="E530">
            <v>5.7</v>
          </cell>
          <cell r="F530" t="str">
            <v>883593365174</v>
          </cell>
          <cell r="G530" t="str">
            <v>ok</v>
          </cell>
          <cell r="H530" t="str">
            <v>AIC</v>
          </cell>
          <cell r="I530" t="str">
            <v>PCBA</v>
          </cell>
          <cell r="J530" t="str">
            <v>FedEx</v>
          </cell>
        </row>
        <row r="531">
          <cell r="B531" t="str">
            <v>SAMPLE 677</v>
          </cell>
          <cell r="C531"/>
          <cell r="D531"/>
          <cell r="E531">
            <v>0.9</v>
          </cell>
          <cell r="F531" t="str">
            <v>883709949169</v>
          </cell>
          <cell r="G531" t="str">
            <v>ok</v>
          </cell>
          <cell r="H531" t="str">
            <v>Montage Semiconductor, Inc.</v>
          </cell>
          <cell r="I531" t="str">
            <v>IC</v>
          </cell>
          <cell r="J531" t="str">
            <v>FedEx</v>
          </cell>
        </row>
        <row r="532">
          <cell r="B532" t="str">
            <v>SAMPLE 678</v>
          </cell>
          <cell r="C532"/>
          <cell r="D532"/>
          <cell r="E532">
            <v>0.2</v>
          </cell>
          <cell r="F532" t="str">
            <v>883559056989</v>
          </cell>
          <cell r="G532" t="str">
            <v>ok</v>
          </cell>
          <cell r="H532" t="str">
            <v>high advance</v>
          </cell>
          <cell r="I532" t="str">
            <v>IC</v>
          </cell>
          <cell r="J532" t="str">
            <v>FedEx</v>
          </cell>
        </row>
        <row r="533">
          <cell r="B533" t="str">
            <v>INV06056</v>
          </cell>
          <cell r="C533"/>
          <cell r="D533"/>
          <cell r="E533">
            <v>256</v>
          </cell>
          <cell r="F533" t="str">
            <v>HN90004072</v>
          </cell>
          <cell r="G533" t="str">
            <v>x</v>
          </cell>
          <cell r="H533" t="str">
            <v>Lucid Arizona</v>
          </cell>
          <cell r="I533" t="str">
            <v>TLA, CCC</v>
          </cell>
          <cell r="J533" t="str">
            <v>DSV</v>
          </cell>
        </row>
        <row r="534">
          <cell r="B534" t="str">
            <v>SAMPLE 679</v>
          </cell>
          <cell r="C534"/>
          <cell r="D534"/>
          <cell r="E534">
            <v>0.2</v>
          </cell>
          <cell r="F534" t="str">
            <v>883558885833</v>
          </cell>
          <cell r="G534" t="str">
            <v>ok</v>
          </cell>
          <cell r="H534" t="str">
            <v>Min Aik</v>
          </cell>
          <cell r="I534" t="str">
            <v>Tray</v>
          </cell>
          <cell r="J534" t="str">
            <v>FedEx</v>
          </cell>
        </row>
        <row r="535">
          <cell r="B535" t="str">
            <v>INV06057</v>
          </cell>
          <cell r="C535"/>
          <cell r="D535"/>
          <cell r="E535">
            <v>436.8</v>
          </cell>
          <cell r="F535" t="str">
            <v>883563679772</v>
          </cell>
          <cell r="G535" t="str">
            <v>ok</v>
          </cell>
          <cell r="H535" t="str">
            <v>Jabil MX</v>
          </cell>
          <cell r="I535" t="str">
            <v>HLOB</v>
          </cell>
          <cell r="J535" t="str">
            <v>FedEx</v>
          </cell>
        </row>
        <row r="536">
          <cell r="B536" t="str">
            <v>INV06058</v>
          </cell>
          <cell r="C536"/>
          <cell r="D536"/>
          <cell r="E536">
            <v>355.4</v>
          </cell>
          <cell r="F536" t="str">
            <v>883573514876</v>
          </cell>
          <cell r="G536" t="str">
            <v>ok</v>
          </cell>
          <cell r="H536" t="str">
            <v>Jabil MX</v>
          </cell>
          <cell r="I536" t="str">
            <v>HLOB</v>
          </cell>
          <cell r="J536" t="str">
            <v>FedEx</v>
          </cell>
        </row>
        <row r="537">
          <cell r="B537" t="str">
            <v>INV06059</v>
          </cell>
          <cell r="C537"/>
          <cell r="D537"/>
          <cell r="E537">
            <v>436.8</v>
          </cell>
          <cell r="F537" t="str">
            <v>883573879518</v>
          </cell>
          <cell r="G537" t="str">
            <v>ok</v>
          </cell>
          <cell r="H537" t="str">
            <v>Jabil MX</v>
          </cell>
          <cell r="I537" t="str">
            <v>HLOB</v>
          </cell>
          <cell r="J537" t="str">
            <v>FedEx</v>
          </cell>
        </row>
        <row r="538">
          <cell r="B538" t="str">
            <v>INV06060</v>
          </cell>
          <cell r="C538"/>
          <cell r="D538"/>
          <cell r="E538">
            <v>4</v>
          </cell>
          <cell r="F538" t="str">
            <v>883590595221</v>
          </cell>
          <cell r="G538" t="str">
            <v>ok</v>
          </cell>
          <cell r="H538" t="str">
            <v>HQ1</v>
          </cell>
          <cell r="I538" t="str">
            <v>DDR4, DDR5</v>
          </cell>
          <cell r="J538" t="str">
            <v>FedEx</v>
          </cell>
        </row>
        <row r="539">
          <cell r="B539" t="str">
            <v>INV06061</v>
          </cell>
          <cell r="C539"/>
          <cell r="D539"/>
          <cell r="E539">
            <v>0.8</v>
          </cell>
          <cell r="F539" t="str">
            <v>883590914321</v>
          </cell>
          <cell r="G539" t="str">
            <v>ok</v>
          </cell>
          <cell r="H539" t="str">
            <v>Arista</v>
          </cell>
          <cell r="I539" t="str">
            <v>DDR4</v>
          </cell>
          <cell r="J539" t="str">
            <v>FedEx</v>
          </cell>
        </row>
        <row r="540">
          <cell r="B540" t="str">
            <v>INV06062</v>
          </cell>
          <cell r="C540"/>
          <cell r="D540"/>
          <cell r="E540">
            <v>394</v>
          </cell>
          <cell r="F540" t="str">
            <v>HAN25006119</v>
          </cell>
          <cell r="G540" t="str">
            <v>x</v>
          </cell>
          <cell r="H540" t="str">
            <v>FCZ</v>
          </cell>
          <cell r="I540" t="str">
            <v>Eiger, Grover, Hopper</v>
          </cell>
          <cell r="J540" t="str">
            <v>Schenker</v>
          </cell>
        </row>
        <row r="541">
          <cell r="B541" t="str">
            <v>INV06063</v>
          </cell>
          <cell r="C541"/>
          <cell r="D541"/>
          <cell r="E541">
            <v>544.29999999999995</v>
          </cell>
          <cell r="F541" t="str">
            <v>45T0407106</v>
          </cell>
          <cell r="G541" t="str">
            <v>x</v>
          </cell>
          <cell r="H541" t="str">
            <v>FTX</v>
          </cell>
          <cell r="I541" t="str">
            <v>Eiger, Grover, Hopper</v>
          </cell>
          <cell r="J541" t="str">
            <v>Expeditors</v>
          </cell>
        </row>
        <row r="542">
          <cell r="B542" t="str">
            <v>INV06064</v>
          </cell>
          <cell r="C542"/>
          <cell r="D542"/>
          <cell r="E542">
            <v>58</v>
          </cell>
          <cell r="F542" t="str">
            <v>45T0407266</v>
          </cell>
          <cell r="G542" t="str">
            <v>x</v>
          </cell>
          <cell r="H542" t="str">
            <v>UPS SCS</v>
          </cell>
          <cell r="I542" t="str">
            <v>Fru</v>
          </cell>
          <cell r="J542" t="str">
            <v>Expeditors</v>
          </cell>
        </row>
        <row r="543">
          <cell r="B543" t="str">
            <v>INV06065</v>
          </cell>
          <cell r="C543"/>
          <cell r="D543"/>
          <cell r="E543">
            <v>190.3</v>
          </cell>
          <cell r="F543" t="str">
            <v>45T0407416</v>
          </cell>
          <cell r="G543" t="str">
            <v>x</v>
          </cell>
          <cell r="H543" t="str">
            <v>Pure Storage</v>
          </cell>
          <cell r="I543" t="str">
            <v>Napper, Otter, Piper</v>
          </cell>
          <cell r="J543" t="str">
            <v>Expeditors</v>
          </cell>
        </row>
        <row r="544">
          <cell r="B544" t="str">
            <v>INV06066</v>
          </cell>
          <cell r="C544"/>
          <cell r="D544"/>
          <cell r="E544">
            <v>40</v>
          </cell>
          <cell r="F544" t="str">
            <v>883591100043</v>
          </cell>
          <cell r="G544" t="str">
            <v>ok</v>
          </cell>
          <cell r="H544" t="str">
            <v>Cloud HK</v>
          </cell>
          <cell r="I544" t="str">
            <v>DDR4</v>
          </cell>
          <cell r="J544" t="str">
            <v>FedEx</v>
          </cell>
        </row>
        <row r="545">
          <cell r="B545" t="str">
            <v>E00957</v>
          </cell>
          <cell r="C545"/>
          <cell r="D545"/>
          <cell r="E545">
            <v>22.4</v>
          </cell>
          <cell r="F545" t="str">
            <v xml:space="preserve"> 738-03523634</v>
          </cell>
          <cell r="G545" t="str">
            <v>x</v>
          </cell>
          <cell r="H545" t="str">
            <v>J &amp; T Flex</v>
          </cell>
          <cell r="I545" t="str">
            <v>Cable</v>
          </cell>
          <cell r="J545" t="str">
            <v>Tico</v>
          </cell>
        </row>
        <row r="546">
          <cell r="B546" t="str">
            <v>E00958</v>
          </cell>
          <cell r="C546"/>
          <cell r="D546"/>
          <cell r="E546">
            <v>980</v>
          </cell>
          <cell r="F546" t="str">
            <v>45T0407118</v>
          </cell>
          <cell r="G546" t="str">
            <v>x</v>
          </cell>
          <cell r="H546" t="str">
            <v>FCZ</v>
          </cell>
          <cell r="I546" t="str">
            <v>PSU, Chassis, Railkit</v>
          </cell>
          <cell r="J546" t="str">
            <v>Expeditors</v>
          </cell>
        </row>
        <row r="547">
          <cell r="B547" t="str">
            <v>SAMPLE 680</v>
          </cell>
          <cell r="C547"/>
          <cell r="D547"/>
          <cell r="E547">
            <v>0.4</v>
          </cell>
          <cell r="F547" t="str">
            <v>883589369052</v>
          </cell>
          <cell r="G547" t="str">
            <v>ok</v>
          </cell>
          <cell r="H547" t="str">
            <v xml:space="preserve">Gold Circuit Electronics Co., Ltd </v>
          </cell>
          <cell r="I547" t="str">
            <v>PCB</v>
          </cell>
          <cell r="J547" t="str">
            <v>FedEx</v>
          </cell>
        </row>
        <row r="548">
          <cell r="B548" t="str">
            <v>E00959</v>
          </cell>
          <cell r="C548"/>
          <cell r="D548"/>
          <cell r="E548">
            <v>14.3</v>
          </cell>
          <cell r="F548" t="str">
            <v>DIM111009433</v>
          </cell>
          <cell r="G548" t="str">
            <v>x</v>
          </cell>
          <cell r="H548" t="str">
            <v>Kingston</v>
          </cell>
          <cell r="I548" t="str">
            <v>HLOB</v>
          </cell>
          <cell r="J548" t="str">
            <v>Dimerco</v>
          </cell>
        </row>
        <row r="549">
          <cell r="B549" t="str">
            <v>INV06067</v>
          </cell>
          <cell r="C549"/>
          <cell r="D549"/>
          <cell r="E549">
            <v>419.2</v>
          </cell>
          <cell r="F549" t="str">
            <v>HAN0419394</v>
          </cell>
          <cell r="G549" t="str">
            <v>x</v>
          </cell>
          <cell r="H549" t="str">
            <v>DAA</v>
          </cell>
          <cell r="I549" t="str">
            <v>USB</v>
          </cell>
          <cell r="J549" t="str">
            <v>DSV</v>
          </cell>
        </row>
        <row r="550">
          <cell r="B550" t="str">
            <v>INV06068</v>
          </cell>
          <cell r="C550"/>
          <cell r="D550"/>
          <cell r="E550">
            <v>419.2</v>
          </cell>
          <cell r="F550" t="str">
            <v>HBL2508024</v>
          </cell>
          <cell r="G550" t="str">
            <v>x</v>
          </cell>
          <cell r="H550" t="str">
            <v>DAA</v>
          </cell>
          <cell r="I550" t="str">
            <v>USB</v>
          </cell>
          <cell r="J550" t="str">
            <v>PRIME</v>
          </cell>
        </row>
        <row r="551">
          <cell r="B551" t="str">
            <v>INV06069</v>
          </cell>
          <cell r="C551"/>
          <cell r="D551"/>
          <cell r="E551">
            <v>1124.7999999999997</v>
          </cell>
          <cell r="F551" t="str">
            <v>HAN0419309</v>
          </cell>
          <cell r="G551" t="str">
            <v>x</v>
          </cell>
          <cell r="H551" t="str">
            <v>HELLA</v>
          </cell>
          <cell r="I551" t="str">
            <v>HCU</v>
          </cell>
          <cell r="J551" t="str">
            <v>DSV</v>
          </cell>
        </row>
        <row r="552">
          <cell r="B552" t="str">
            <v>SAMPLE 681</v>
          </cell>
          <cell r="C552"/>
          <cell r="D552"/>
          <cell r="E552">
            <v>0.24</v>
          </cell>
          <cell r="F552" t="str">
            <v>2904327436</v>
          </cell>
          <cell r="G552" t="str">
            <v>x</v>
          </cell>
          <cell r="H552" t="str">
            <v>Cymmetrik</v>
          </cell>
          <cell r="I552" t="str">
            <v>LABEL, RIBBON</v>
          </cell>
          <cell r="J552" t="str">
            <v>DHL</v>
          </cell>
        </row>
        <row r="553">
          <cell r="B553" t="str">
            <v>INV06070</v>
          </cell>
          <cell r="C553"/>
          <cell r="D553"/>
          <cell r="E553">
            <v>0.8</v>
          </cell>
          <cell r="F553" t="str">
            <v>883640416259</v>
          </cell>
          <cell r="G553" t="str">
            <v>ok</v>
          </cell>
          <cell r="H553" t="str">
            <v>Arista</v>
          </cell>
          <cell r="I553" t="str">
            <v>DDR4</v>
          </cell>
          <cell r="J553" t="str">
            <v>FedEx</v>
          </cell>
        </row>
        <row r="554">
          <cell r="B554" t="str">
            <v>E00960</v>
          </cell>
          <cell r="C554"/>
          <cell r="D554"/>
          <cell r="E554">
            <v>104</v>
          </cell>
          <cell r="F554" t="str">
            <v>883674704240</v>
          </cell>
          <cell r="G554"/>
          <cell r="H554" t="str">
            <v>Transfer to HQ1</v>
          </cell>
          <cell r="I554" t="str">
            <v>Tray, capacitor, connector, IC, Crystal, LED, cover, resistor</v>
          </cell>
          <cell r="J554" t="str">
            <v>FedEx</v>
          </cell>
        </row>
        <row r="555">
          <cell r="B555" t="str">
            <v>INV06071</v>
          </cell>
          <cell r="C555"/>
          <cell r="D555"/>
          <cell r="E555">
            <v>34</v>
          </cell>
          <cell r="F555" t="str">
            <v>883676278540</v>
          </cell>
          <cell r="G555" t="str">
            <v>ok</v>
          </cell>
          <cell r="H555" t="str">
            <v>Cloud HK</v>
          </cell>
          <cell r="I555" t="str">
            <v>DDR4</v>
          </cell>
          <cell r="J555" t="str">
            <v>FedEx</v>
          </cell>
        </row>
        <row r="556">
          <cell r="B556" t="str">
            <v>INV06072</v>
          </cell>
          <cell r="C556"/>
          <cell r="D556"/>
          <cell r="E556">
            <v>36.9</v>
          </cell>
          <cell r="F556" t="str">
            <v>883676857261</v>
          </cell>
          <cell r="G556" t="str">
            <v>ok</v>
          </cell>
          <cell r="H556" t="str">
            <v>Cloud HK</v>
          </cell>
          <cell r="I556" t="str">
            <v>DDR4</v>
          </cell>
          <cell r="J556" t="str">
            <v>FedEx</v>
          </cell>
        </row>
        <row r="557">
          <cell r="B557" t="str">
            <v>INV06073</v>
          </cell>
          <cell r="C557"/>
          <cell r="D557"/>
          <cell r="E557">
            <v>34.299999999999997</v>
          </cell>
          <cell r="F557" t="str">
            <v>883677280650</v>
          </cell>
          <cell r="G557" t="str">
            <v>ok</v>
          </cell>
          <cell r="H557" t="str">
            <v>Cloud HK</v>
          </cell>
          <cell r="I557" t="str">
            <v>DDR4</v>
          </cell>
          <cell r="J557" t="str">
            <v>FedEx</v>
          </cell>
        </row>
        <row r="558">
          <cell r="B558" t="str">
            <v>E00961</v>
          </cell>
          <cell r="C558"/>
          <cell r="D558"/>
          <cell r="E558">
            <v>1.3</v>
          </cell>
          <cell r="F558" t="str">
            <v>883736899142</v>
          </cell>
          <cell r="G558" t="str">
            <v>ok</v>
          </cell>
          <cell r="H558" t="str">
            <v>Pure</v>
          </cell>
          <cell r="I558" t="str">
            <v>Heatsink, bracket</v>
          </cell>
          <cell r="J558" t="str">
            <v>FedEx</v>
          </cell>
        </row>
        <row r="559">
          <cell r="B559" t="str">
            <v>INV06074</v>
          </cell>
          <cell r="C559"/>
          <cell r="D559"/>
          <cell r="E559">
            <v>920</v>
          </cell>
          <cell r="F559" t="str">
            <v>HN90004070</v>
          </cell>
          <cell r="G559" t="str">
            <v>x</v>
          </cell>
          <cell r="H559" t="str">
            <v>Lucid Arizona</v>
          </cell>
          <cell r="I559" t="str">
            <v>LVJB</v>
          </cell>
          <cell r="J559" t="str">
            <v>DSV</v>
          </cell>
        </row>
        <row r="560">
          <cell r="B560" t="str">
            <v>INV06075</v>
          </cell>
          <cell r="C560"/>
          <cell r="D560"/>
          <cell r="E560">
            <v>11.2</v>
          </cell>
          <cell r="F560" t="str">
            <v>883772275478</v>
          </cell>
          <cell r="G560" t="str">
            <v>x</v>
          </cell>
          <cell r="H560" t="str">
            <v>AIC</v>
          </cell>
          <cell r="I560" t="str">
            <v>PCBA</v>
          </cell>
          <cell r="J560" t="str">
            <v>FedEx</v>
          </cell>
        </row>
        <row r="561">
          <cell r="B561" t="str">
            <v>E00962</v>
          </cell>
          <cell r="C561"/>
          <cell r="D561"/>
          <cell r="E561">
            <v>0.5</v>
          </cell>
          <cell r="F561" t="str">
            <v>883708786334</v>
          </cell>
          <cell r="G561" t="str">
            <v>ok</v>
          </cell>
          <cell r="H561" t="str">
            <v>AIC</v>
          </cell>
          <cell r="I561" t="str">
            <v>RENESA</v>
          </cell>
          <cell r="J561" t="str">
            <v>FedEx</v>
          </cell>
        </row>
        <row r="562">
          <cell r="B562" t="str">
            <v>INV06076</v>
          </cell>
          <cell r="C562"/>
          <cell r="D562"/>
          <cell r="E562">
            <v>9.3000000000000007</v>
          </cell>
          <cell r="F562" t="str">
            <v>883709093160</v>
          </cell>
          <cell r="G562" t="str">
            <v>ok</v>
          </cell>
          <cell r="H562" t="str">
            <v>Pure</v>
          </cell>
          <cell r="I562" t="str">
            <v>HLOB</v>
          </cell>
          <cell r="J562" t="str">
            <v>FedEx</v>
          </cell>
        </row>
        <row r="563">
          <cell r="B563" t="str">
            <v>INV06077</v>
          </cell>
          <cell r="C563"/>
          <cell r="D563"/>
          <cell r="E563">
            <v>10.9</v>
          </cell>
          <cell r="F563" t="str">
            <v>883884470732</v>
          </cell>
          <cell r="G563" t="str">
            <v>x</v>
          </cell>
          <cell r="H563" t="str">
            <v>Lucid US</v>
          </cell>
          <cell r="I563" t="str">
            <v>USB</v>
          </cell>
          <cell r="J563" t="str">
            <v>FedEx</v>
          </cell>
        </row>
        <row r="564">
          <cell r="B564" t="str">
            <v>INV06078</v>
          </cell>
          <cell r="C564"/>
          <cell r="D564"/>
          <cell r="E564">
            <v>1038.7</v>
          </cell>
          <cell r="F564" t="str">
            <v>45T0407627</v>
          </cell>
          <cell r="G564" t="str">
            <v>x</v>
          </cell>
          <cell r="H564" t="str">
            <v>AVNET US</v>
          </cell>
          <cell r="I564" t="str">
            <v>Display module, PCBA</v>
          </cell>
          <cell r="J564" t="str">
            <v>Expeditors</v>
          </cell>
        </row>
        <row r="565">
          <cell r="B565" t="str">
            <v>INV06079</v>
          </cell>
          <cell r="C565"/>
          <cell r="D565"/>
          <cell r="E565">
            <v>931.2</v>
          </cell>
          <cell r="F565" t="str">
            <v>HN90004071</v>
          </cell>
          <cell r="G565" t="str">
            <v>x</v>
          </cell>
          <cell r="H565" t="str">
            <v>Lucid Arizona</v>
          </cell>
          <cell r="I565" t="str">
            <v>CCCV2, Ecall, Cabin, Rear</v>
          </cell>
          <cell r="J565" t="str">
            <v>DSV</v>
          </cell>
        </row>
        <row r="566">
          <cell r="B566" t="str">
            <v>SAMPLE 682</v>
          </cell>
          <cell r="C566"/>
          <cell r="D566"/>
          <cell r="E566">
            <v>0.4</v>
          </cell>
          <cell r="F566" t="str">
            <v>883739555843</v>
          </cell>
          <cell r="G566"/>
          <cell r="H566" t="str">
            <v>ISU</v>
          </cell>
          <cell r="I566" t="str">
            <v>PCB</v>
          </cell>
          <cell r="J566" t="str">
            <v>FedEx</v>
          </cell>
        </row>
        <row r="567">
          <cell r="B567" t="str">
            <v>INV06080</v>
          </cell>
          <cell r="C567"/>
          <cell r="D567"/>
          <cell r="E567">
            <v>5.6</v>
          </cell>
          <cell r="F567" t="str">
            <v>883771984306</v>
          </cell>
          <cell r="G567"/>
          <cell r="H567" t="str">
            <v>Transfer to HQ1</v>
          </cell>
          <cell r="I567" t="str">
            <v>DDR4</v>
          </cell>
          <cell r="J567" t="str">
            <v>FedEx</v>
          </cell>
        </row>
        <row r="568">
          <cell r="B568" t="str">
            <v>INV06081</v>
          </cell>
          <cell r="C568"/>
          <cell r="D568"/>
          <cell r="E568">
            <v>36.9</v>
          </cell>
          <cell r="F568" t="str">
            <v>883754247170</v>
          </cell>
          <cell r="G568" t="str">
            <v>x</v>
          </cell>
          <cell r="H568" t="str">
            <v>Cloud HK</v>
          </cell>
          <cell r="I568" t="str">
            <v>DDR4</v>
          </cell>
          <cell r="J568" t="str">
            <v>FedEx</v>
          </cell>
        </row>
        <row r="569">
          <cell r="B569" t="str">
            <v>INV06082</v>
          </cell>
          <cell r="C569"/>
          <cell r="D569"/>
          <cell r="E569">
            <v>36.9</v>
          </cell>
          <cell r="F569" t="str">
            <v>883773239215</v>
          </cell>
          <cell r="G569" t="str">
            <v>x</v>
          </cell>
          <cell r="H569" t="str">
            <v>Cloud HK</v>
          </cell>
          <cell r="I569" t="str">
            <v>DDR4</v>
          </cell>
          <cell r="J569" t="str">
            <v>FedEx</v>
          </cell>
        </row>
        <row r="570">
          <cell r="B570" t="str">
            <v>INV06083</v>
          </cell>
          <cell r="C570"/>
          <cell r="D570"/>
          <cell r="E570">
            <v>1.5</v>
          </cell>
          <cell r="F570" t="str">
            <v>883771081563</v>
          </cell>
          <cell r="G570" t="str">
            <v>x</v>
          </cell>
          <cell r="H570" t="str">
            <v>Cloud HK</v>
          </cell>
          <cell r="I570" t="str">
            <v>DDR4</v>
          </cell>
          <cell r="J570" t="str">
            <v>FedEx</v>
          </cell>
        </row>
        <row r="571">
          <cell r="B571" t="str">
            <v>INV06084</v>
          </cell>
          <cell r="C571"/>
          <cell r="D571"/>
          <cell r="E571">
            <v>25.6</v>
          </cell>
          <cell r="F571" t="str">
            <v>SGNA00263062</v>
          </cell>
          <cell r="G571" t="str">
            <v>x</v>
          </cell>
          <cell r="H571" t="str">
            <v>FJZ US</v>
          </cell>
          <cell r="I571" t="str">
            <v>Grover</v>
          </cell>
          <cell r="J571" t="str">
            <v>Emotrans</v>
          </cell>
        </row>
        <row r="572">
          <cell r="B572" t="str">
            <v>INV06085</v>
          </cell>
          <cell r="C572"/>
          <cell r="D572"/>
          <cell r="E572">
            <v>57.2</v>
          </cell>
          <cell r="F572" t="str">
            <v>45T0408386</v>
          </cell>
          <cell r="G572" t="str">
            <v>x</v>
          </cell>
          <cell r="H572" t="str">
            <v>FTX Express</v>
          </cell>
          <cell r="I572" t="str">
            <v>Eiger</v>
          </cell>
          <cell r="J572" t="str">
            <v>Expeditors</v>
          </cell>
        </row>
        <row r="573">
          <cell r="B573" t="str">
            <v>INV06086</v>
          </cell>
          <cell r="C573"/>
          <cell r="D573"/>
          <cell r="E573">
            <v>627.4</v>
          </cell>
          <cell r="F573" t="str">
            <v>45T0408360</v>
          </cell>
          <cell r="G573" t="str">
            <v>x</v>
          </cell>
          <cell r="H573" t="str">
            <v>FTX Standard</v>
          </cell>
          <cell r="I573" t="str">
            <v>Eiger, Grover, Hopper</v>
          </cell>
          <cell r="J573" t="str">
            <v>Expeditors</v>
          </cell>
        </row>
        <row r="574">
          <cell r="B574" t="str">
            <v>INV06087</v>
          </cell>
          <cell r="C574"/>
          <cell r="D574"/>
          <cell r="E574">
            <v>672.6</v>
          </cell>
          <cell r="F574" t="str">
            <v>HAN25006262</v>
          </cell>
          <cell r="G574" t="str">
            <v>x</v>
          </cell>
          <cell r="H574" t="str">
            <v>FCZ</v>
          </cell>
          <cell r="I574" t="str">
            <v>Eiger, Grover, Hopper</v>
          </cell>
          <cell r="J574" t="str">
            <v>Schenker</v>
          </cell>
        </row>
        <row r="575">
          <cell r="B575" t="str">
            <v>INV06088</v>
          </cell>
          <cell r="C575"/>
          <cell r="D575"/>
          <cell r="E575">
            <v>436.8</v>
          </cell>
          <cell r="F575" t="str">
            <v>883796190050</v>
          </cell>
          <cell r="G575" t="str">
            <v>x</v>
          </cell>
          <cell r="H575" t="str">
            <v>Jabil MX</v>
          </cell>
          <cell r="I575" t="str">
            <v>HLOB</v>
          </cell>
          <cell r="J575" t="str">
            <v>FedEx</v>
          </cell>
        </row>
        <row r="576">
          <cell r="B576" t="str">
            <v>INV06089</v>
          </cell>
          <cell r="C576"/>
          <cell r="D576"/>
          <cell r="E576">
            <v>436.8</v>
          </cell>
          <cell r="F576" t="str">
            <v>883796242690</v>
          </cell>
          <cell r="G576" t="str">
            <v>x</v>
          </cell>
          <cell r="H576" t="str">
            <v>Jabil MX</v>
          </cell>
          <cell r="I576" t="str">
            <v>HLOB</v>
          </cell>
          <cell r="J576" t="str">
            <v>FedEx</v>
          </cell>
        </row>
        <row r="577">
          <cell r="B577" t="str">
            <v>INV06090</v>
          </cell>
          <cell r="C577"/>
          <cell r="D577"/>
          <cell r="E577">
            <v>436.8</v>
          </cell>
          <cell r="F577" t="str">
            <v>883796271116</v>
          </cell>
          <cell r="G577" t="str">
            <v>x</v>
          </cell>
          <cell r="H577" t="str">
            <v>Jabil MX</v>
          </cell>
          <cell r="I577" t="str">
            <v>HLOB</v>
          </cell>
          <cell r="J577" t="str">
            <v>FedEx</v>
          </cell>
        </row>
        <row r="578">
          <cell r="B578" t="str">
            <v>SAMPLE 683</v>
          </cell>
          <cell r="C578"/>
          <cell r="D578"/>
          <cell r="E578">
            <v>0.2</v>
          </cell>
          <cell r="F578" t="str">
            <v>883822660625</v>
          </cell>
          <cell r="G578" t="str">
            <v>x</v>
          </cell>
          <cell r="H578" t="str">
            <v>Amphenol</v>
          </cell>
          <cell r="I578" t="str">
            <v>Connector</v>
          </cell>
          <cell r="J578" t="str">
            <v>FedEx</v>
          </cell>
        </row>
        <row r="579">
          <cell r="B579" t="str">
            <v>E00963</v>
          </cell>
          <cell r="C579"/>
          <cell r="D579"/>
          <cell r="E579">
            <v>1.3</v>
          </cell>
          <cell r="F579" t="str">
            <v>883852283672</v>
          </cell>
          <cell r="G579"/>
          <cell r="H579" t="str">
            <v>Bangtai</v>
          </cell>
          <cell r="I579" t="str">
            <v>IC</v>
          </cell>
          <cell r="J579" t="str">
            <v>FedEx</v>
          </cell>
        </row>
        <row r="580">
          <cell r="B580" t="str">
            <v>INV06091</v>
          </cell>
          <cell r="C580"/>
          <cell r="D580"/>
          <cell r="E580">
            <v>31.8</v>
          </cell>
          <cell r="F580" t="str">
            <v>Hand Carry</v>
          </cell>
          <cell r="G580" t="str">
            <v>x</v>
          </cell>
          <cell r="H580" t="str">
            <v>Lucid Arizona</v>
          </cell>
          <cell r="I580" t="str">
            <v>BCM</v>
          </cell>
          <cell r="J580" t="str">
            <v>Leschaco</v>
          </cell>
        </row>
        <row r="581">
          <cell r="B581" t="str">
            <v>INV06092</v>
          </cell>
          <cell r="C581"/>
          <cell r="D581"/>
          <cell r="E581">
            <v>4.7000000000000011</v>
          </cell>
          <cell r="F581" t="str">
            <v>883858199070</v>
          </cell>
          <cell r="G581" t="str">
            <v>x</v>
          </cell>
          <cell r="H581" t="str">
            <v>Cloud HK</v>
          </cell>
          <cell r="I581" t="str">
            <v>EUSB</v>
          </cell>
          <cell r="J581" t="str">
            <v>FedEx</v>
          </cell>
        </row>
        <row r="582">
          <cell r="B582" t="str">
            <v>SAMPLE 684</v>
          </cell>
          <cell r="C582"/>
          <cell r="D582"/>
          <cell r="E582">
            <v>1.9</v>
          </cell>
          <cell r="F582" t="str">
            <v>883860731909</v>
          </cell>
          <cell r="G582" t="str">
            <v>x</v>
          </cell>
          <cell r="H582" t="str">
            <v>Shenzhen Zhizhan</v>
          </cell>
          <cell r="I582" t="str">
            <v>PCB, Connector</v>
          </cell>
          <cell r="J582" t="str">
            <v>FedEx</v>
          </cell>
        </row>
        <row r="583">
          <cell r="B583" t="str">
            <v>INV06093</v>
          </cell>
          <cell r="C583"/>
          <cell r="D583"/>
          <cell r="E583">
            <v>83.3</v>
          </cell>
          <cell r="F583" t="str">
            <v>Hand Carry</v>
          </cell>
          <cell r="G583" t="str">
            <v>x</v>
          </cell>
          <cell r="H583" t="str">
            <v>Lucid Arizona</v>
          </cell>
          <cell r="I583" t="str">
            <v>VCU, BCM</v>
          </cell>
          <cell r="J583" t="str">
            <v>Leschaco</v>
          </cell>
        </row>
        <row r="584">
          <cell r="B584" t="str">
            <v>INV06094</v>
          </cell>
          <cell r="C584"/>
          <cell r="D584"/>
          <cell r="E584">
            <v>61.2</v>
          </cell>
          <cell r="F584" t="str">
            <v>883919370782</v>
          </cell>
          <cell r="G584" t="str">
            <v>x</v>
          </cell>
          <cell r="H584" t="str">
            <v>AIC</v>
          </cell>
          <cell r="I584" t="str">
            <v>PCBA</v>
          </cell>
          <cell r="J584" t="str">
            <v>FedEx</v>
          </cell>
        </row>
        <row r="585">
          <cell r="B585" t="str">
            <v>E00964</v>
          </cell>
          <cell r="C585"/>
          <cell r="D585"/>
          <cell r="E585">
            <v>0.6</v>
          </cell>
          <cell r="F585" t="str">
            <v>883885631038</v>
          </cell>
          <cell r="G585" t="str">
            <v>x</v>
          </cell>
          <cell r="H585" t="str">
            <v>Transfer to HQ1</v>
          </cell>
          <cell r="I585" t="str">
            <v>MEMORY NAND</v>
          </cell>
          <cell r="J585" t="str">
            <v>FedEx</v>
          </cell>
        </row>
        <row r="586">
          <cell r="B586" t="str">
            <v>E00965</v>
          </cell>
          <cell r="C586"/>
          <cell r="D586"/>
          <cell r="E586">
            <v>8.1999999999999993</v>
          </cell>
          <cell r="F586" t="str">
            <v>883894775880</v>
          </cell>
          <cell r="G586"/>
          <cell r="H586" t="str">
            <v>FJZ US</v>
          </cell>
          <cell r="I586" t="str">
            <v>NTEGRATED CIRCUIT</v>
          </cell>
          <cell r="J586" t="str">
            <v>FedEx</v>
          </cell>
        </row>
        <row r="587">
          <cell r="B587" t="str">
            <v>INV06095</v>
          </cell>
          <cell r="C587"/>
          <cell r="D587"/>
          <cell r="E587">
            <v>124.19999999999999</v>
          </cell>
          <cell r="F587" t="str">
            <v>Hand Carry</v>
          </cell>
          <cell r="G587" t="str">
            <v>x</v>
          </cell>
          <cell r="H587" t="str">
            <v>Lucid Arizona</v>
          </cell>
          <cell r="I587" t="str">
            <v>VCU, BCM</v>
          </cell>
          <cell r="J587" t="str">
            <v>Leschaco</v>
          </cell>
        </row>
        <row r="588">
          <cell r="B588" t="str">
            <v>INV06096</v>
          </cell>
          <cell r="C588"/>
          <cell r="D588"/>
          <cell r="E588">
            <v>124.19999999999999</v>
          </cell>
          <cell r="F588" t="str">
            <v>Hand Carry</v>
          </cell>
          <cell r="G588" t="str">
            <v>x</v>
          </cell>
          <cell r="H588" t="str">
            <v>Lucid Arizona</v>
          </cell>
          <cell r="I588" t="str">
            <v>VCU, BCM</v>
          </cell>
          <cell r="J588" t="str">
            <v>Leschaco</v>
          </cell>
        </row>
        <row r="589">
          <cell r="B589" t="str">
            <v>SAMPLE 685</v>
          </cell>
          <cell r="C589"/>
          <cell r="D589"/>
          <cell r="E589">
            <v>0.2</v>
          </cell>
          <cell r="F589" t="str">
            <v>883890346318</v>
          </cell>
          <cell r="G589" t="str">
            <v>x</v>
          </cell>
          <cell r="H589" t="str">
            <v xml:space="preserve">Gold Circuit Electronics Co., Ltd </v>
          </cell>
          <cell r="I589" t="str">
            <v>PCBA</v>
          </cell>
          <cell r="J589" t="str">
            <v>FedEx</v>
          </cell>
        </row>
        <row r="590">
          <cell r="B590" t="str">
            <v>INV06097</v>
          </cell>
          <cell r="C590"/>
          <cell r="D590"/>
          <cell r="E590">
            <v>389.2</v>
          </cell>
          <cell r="F590" t="str">
            <v>HAN25006392</v>
          </cell>
          <cell r="G590" t="str">
            <v>x</v>
          </cell>
          <cell r="H590" t="str">
            <v>FCZ</v>
          </cell>
          <cell r="I590" t="str">
            <v>Eiger, Hopper, Grover</v>
          </cell>
          <cell r="J590" t="str">
            <v>Schenker</v>
          </cell>
        </row>
        <row r="591">
          <cell r="B591" t="str">
            <v>INV06098</v>
          </cell>
          <cell r="C591"/>
          <cell r="D591"/>
          <cell r="E591">
            <v>38.4</v>
          </cell>
          <cell r="F591" t="str">
            <v>883919801786</v>
          </cell>
          <cell r="G591" t="str">
            <v>x</v>
          </cell>
          <cell r="H591" t="str">
            <v>Cloud HK</v>
          </cell>
          <cell r="I591" t="str">
            <v>DDR4</v>
          </cell>
          <cell r="J591" t="str">
            <v>FedEx</v>
          </cell>
        </row>
        <row r="592">
          <cell r="B592" t="str">
            <v>INV06099</v>
          </cell>
          <cell r="C592"/>
          <cell r="D592"/>
          <cell r="E592">
            <v>36.9</v>
          </cell>
          <cell r="F592" t="str">
            <v>883920287046</v>
          </cell>
          <cell r="G592" t="str">
            <v>x</v>
          </cell>
          <cell r="H592" t="str">
            <v>Cloud HK</v>
          </cell>
          <cell r="I592" t="str">
            <v>DDR4</v>
          </cell>
          <cell r="J592" t="str">
            <v>FedEx</v>
          </cell>
        </row>
        <row r="593">
          <cell r="B593" t="str">
            <v>INV06100</v>
          </cell>
          <cell r="C593"/>
          <cell r="D593"/>
          <cell r="E593">
            <v>6.8</v>
          </cell>
          <cell r="F593" t="str">
            <v>1084546470</v>
          </cell>
          <cell r="G593" t="str">
            <v>x</v>
          </cell>
          <cell r="H593" t="str">
            <v>Jabil MY</v>
          </cell>
          <cell r="I593" t="str">
            <v>DDR4</v>
          </cell>
          <cell r="J593" t="str">
            <v>DHL</v>
          </cell>
        </row>
        <row r="594">
          <cell r="B594" t="str">
            <v>INV06101</v>
          </cell>
          <cell r="C594"/>
          <cell r="D594"/>
          <cell r="E594">
            <v>1.8</v>
          </cell>
          <cell r="F594" t="str">
            <v>883931844518</v>
          </cell>
          <cell r="G594" t="str">
            <v>x</v>
          </cell>
          <cell r="H594" t="str">
            <v>AIC RMA</v>
          </cell>
          <cell r="I594" t="str">
            <v>PCBA</v>
          </cell>
          <cell r="J594" t="str">
            <v>FedEx</v>
          </cell>
        </row>
        <row r="595">
          <cell r="B595" t="str">
            <v>INV06102</v>
          </cell>
          <cell r="C595"/>
          <cell r="D595"/>
          <cell r="E595">
            <v>938.40000000000009</v>
          </cell>
          <cell r="F595" t="str">
            <v>HN90004104</v>
          </cell>
          <cell r="G595" t="str">
            <v>x</v>
          </cell>
          <cell r="H595" t="str">
            <v>Lucid Arizona</v>
          </cell>
          <cell r="I595" t="str">
            <v>Front</v>
          </cell>
          <cell r="J595" t="str">
            <v>DSV</v>
          </cell>
        </row>
        <row r="596">
          <cell r="B596" t="str">
            <v>INV06103</v>
          </cell>
          <cell r="C596"/>
          <cell r="D596"/>
          <cell r="E596">
            <v>902</v>
          </cell>
          <cell r="F596" t="str">
            <v>HN90004105</v>
          </cell>
          <cell r="G596" t="str">
            <v>x</v>
          </cell>
          <cell r="H596" t="str">
            <v>Lucid Arizona</v>
          </cell>
          <cell r="I596" t="str">
            <v>Cabin</v>
          </cell>
          <cell r="J596" t="str">
            <v>DSV</v>
          </cell>
        </row>
        <row r="597">
          <cell r="B597" t="str">
            <v>INV06104</v>
          </cell>
          <cell r="C597"/>
          <cell r="D597"/>
          <cell r="E597">
            <v>902</v>
          </cell>
          <cell r="F597" t="str">
            <v>HN90004106</v>
          </cell>
          <cell r="G597" t="str">
            <v>x</v>
          </cell>
          <cell r="H597" t="str">
            <v>Lucid Arizona</v>
          </cell>
          <cell r="I597" t="str">
            <v>Rear</v>
          </cell>
          <cell r="J597" t="str">
            <v>DSV</v>
          </cell>
        </row>
        <row r="598">
          <cell r="B598" t="str">
            <v>INV06105</v>
          </cell>
          <cell r="C598"/>
          <cell r="D598"/>
          <cell r="E598">
            <v>620</v>
          </cell>
          <cell r="F598" t="str">
            <v>HN90004107</v>
          </cell>
          <cell r="G598" t="str">
            <v>x</v>
          </cell>
          <cell r="H598" t="str">
            <v>Lucid Arizona</v>
          </cell>
          <cell r="I598" t="str">
            <v>UCC, Front, DCM</v>
          </cell>
          <cell r="J598" t="str">
            <v>DSV</v>
          </cell>
        </row>
        <row r="599">
          <cell r="B599" t="str">
            <v>INV06106</v>
          </cell>
          <cell r="C599"/>
          <cell r="D599"/>
          <cell r="E599">
            <v>782.8</v>
          </cell>
          <cell r="F599" t="str">
            <v>HN90004102</v>
          </cell>
          <cell r="G599" t="str">
            <v>x</v>
          </cell>
          <cell r="H599" t="str">
            <v>Lucid Arizona</v>
          </cell>
          <cell r="I599" t="str">
            <v>ICC, CCCV2, Front</v>
          </cell>
          <cell r="J599" t="str">
            <v>DSV</v>
          </cell>
        </row>
        <row r="600">
          <cell r="B600" t="str">
            <v>INV06107</v>
          </cell>
          <cell r="C600"/>
          <cell r="D600"/>
          <cell r="E600">
            <v>124.19999999999999</v>
          </cell>
          <cell r="F600" t="str">
            <v>Hand Carry</v>
          </cell>
          <cell r="G600" t="str">
            <v>x</v>
          </cell>
          <cell r="H600" t="str">
            <v>Lucid Arizona</v>
          </cell>
          <cell r="I600" t="str">
            <v>VCU, BCM</v>
          </cell>
          <cell r="J600" t="str">
            <v>Leschaco</v>
          </cell>
        </row>
        <row r="601">
          <cell r="B601" t="str">
            <v>INV06108</v>
          </cell>
          <cell r="C601"/>
          <cell r="D601"/>
          <cell r="E601">
            <v>124.19999999999999</v>
          </cell>
          <cell r="F601" t="str">
            <v>Hand Carry</v>
          </cell>
          <cell r="G601" t="str">
            <v>x</v>
          </cell>
          <cell r="H601" t="str">
            <v>Lucid Arizona</v>
          </cell>
          <cell r="I601" t="str">
            <v>VCU, BCM</v>
          </cell>
          <cell r="J601" t="str">
            <v>Leschaco</v>
          </cell>
        </row>
        <row r="602">
          <cell r="B602" t="str">
            <v>INV06109</v>
          </cell>
          <cell r="C602"/>
          <cell r="D602"/>
          <cell r="E602">
            <v>709.5</v>
          </cell>
          <cell r="F602" t="str">
            <v>HN90004103</v>
          </cell>
          <cell r="G602" t="str">
            <v>x</v>
          </cell>
          <cell r="H602" t="str">
            <v>Lucid Arizona</v>
          </cell>
          <cell r="I602" t="str">
            <v>ICC, CCCV2, Front, Cabin, Rear</v>
          </cell>
          <cell r="J602" t="str">
            <v>DSV</v>
          </cell>
        </row>
        <row r="603">
          <cell r="B603" t="str">
            <v>INV06110</v>
          </cell>
          <cell r="C603"/>
          <cell r="D603"/>
          <cell r="E603">
            <v>124.19999999999999</v>
          </cell>
          <cell r="F603" t="str">
            <v>Hand Carry</v>
          </cell>
          <cell r="G603" t="str">
            <v>x</v>
          </cell>
          <cell r="H603" t="str">
            <v>Lucid Arizona</v>
          </cell>
          <cell r="I603" t="str">
            <v>VCU, BCM</v>
          </cell>
          <cell r="J603" t="str">
            <v>Leschaco</v>
          </cell>
        </row>
        <row r="604">
          <cell r="B604" t="str">
            <v>INV06111</v>
          </cell>
          <cell r="C604"/>
          <cell r="D604"/>
          <cell r="E604">
            <v>124.19999999999999</v>
          </cell>
          <cell r="F604" t="str">
            <v>Hand Carry</v>
          </cell>
          <cell r="G604" t="str">
            <v>x</v>
          </cell>
          <cell r="H604" t="str">
            <v>Lucid Arizona</v>
          </cell>
          <cell r="I604" t="str">
            <v>VCU, BCM</v>
          </cell>
          <cell r="J604" t="str">
            <v>Leschaco</v>
          </cell>
        </row>
        <row r="605">
          <cell r="B605" t="str">
            <v>INV06112</v>
          </cell>
          <cell r="C605"/>
          <cell r="D605"/>
          <cell r="E605">
            <v>443.8</v>
          </cell>
          <cell r="F605" t="str">
            <v>883952239039</v>
          </cell>
          <cell r="G605" t="str">
            <v>x</v>
          </cell>
          <cell r="H605" t="str">
            <v>Jabil MX</v>
          </cell>
          <cell r="I605" t="str">
            <v>HLOB</v>
          </cell>
          <cell r="J605" t="str">
            <v>FedEx</v>
          </cell>
        </row>
        <row r="606">
          <cell r="B606" t="str">
            <v>INV06113</v>
          </cell>
          <cell r="C606"/>
          <cell r="D606"/>
          <cell r="E606">
            <v>443.8</v>
          </cell>
          <cell r="F606" t="str">
            <v>883952749765</v>
          </cell>
          <cell r="G606" t="str">
            <v>x</v>
          </cell>
          <cell r="H606" t="str">
            <v>Jabil MX</v>
          </cell>
          <cell r="I606" t="str">
            <v>HLOB</v>
          </cell>
          <cell r="J606" t="str">
            <v>FedEx</v>
          </cell>
        </row>
        <row r="607">
          <cell r="B607" t="str">
            <v>INV06114</v>
          </cell>
          <cell r="C607"/>
          <cell r="D607"/>
          <cell r="E607">
            <v>682.8</v>
          </cell>
          <cell r="F607" t="str">
            <v>45T0409292</v>
          </cell>
          <cell r="G607" t="str">
            <v>x</v>
          </cell>
          <cell r="H607" t="str">
            <v>FTX</v>
          </cell>
          <cell r="I607" t="str">
            <v>Grover, hopper</v>
          </cell>
          <cell r="J607" t="str">
            <v>Expeditors</v>
          </cell>
        </row>
        <row r="608">
          <cell r="B608" t="str">
            <v>INV06115</v>
          </cell>
          <cell r="C608"/>
          <cell r="D608"/>
          <cell r="E608">
            <v>124.19999999999999</v>
          </cell>
          <cell r="F608" t="str">
            <v>Hand Carry</v>
          </cell>
          <cell r="G608" t="str">
            <v>x</v>
          </cell>
          <cell r="H608" t="str">
            <v>Lucid Arizona</v>
          </cell>
          <cell r="I608" t="str">
            <v>VCU, BCM</v>
          </cell>
          <cell r="J608" t="str">
            <v>Leschaco</v>
          </cell>
        </row>
        <row r="609">
          <cell r="B609" t="str">
            <v>INV06116</v>
          </cell>
          <cell r="C609"/>
          <cell r="D609"/>
          <cell r="E609">
            <v>82.8</v>
          </cell>
          <cell r="F609" t="str">
            <v>Hand Carry</v>
          </cell>
          <cell r="G609" t="str">
            <v>x</v>
          </cell>
          <cell r="H609" t="str">
            <v>Lucid Arizona</v>
          </cell>
          <cell r="I609" t="str">
            <v>VCU, BCM</v>
          </cell>
          <cell r="J609" t="str">
            <v>Leschaco</v>
          </cell>
        </row>
        <row r="610">
          <cell r="B610" t="str">
            <v>SAMPLE 686</v>
          </cell>
          <cell r="C610"/>
          <cell r="D610"/>
          <cell r="E610">
            <v>0.1</v>
          </cell>
          <cell r="F610" t="str">
            <v>883953145760</v>
          </cell>
          <cell r="G610" t="str">
            <v>x</v>
          </cell>
          <cell r="H610" t="str">
            <v>Winbond</v>
          </cell>
          <cell r="I610" t="str">
            <v>IC FLASH</v>
          </cell>
          <cell r="J610" t="str">
            <v>FedEx</v>
          </cell>
        </row>
        <row r="611">
          <cell r="B611" t="str">
            <v>INV06117</v>
          </cell>
          <cell r="C611"/>
          <cell r="D611"/>
          <cell r="E611">
            <v>124.19999999999999</v>
          </cell>
          <cell r="F611" t="str">
            <v>Hand Carry</v>
          </cell>
          <cell r="G611" t="str">
            <v>x</v>
          </cell>
          <cell r="H611" t="str">
            <v>Lucid Arizona</v>
          </cell>
          <cell r="I611" t="str">
            <v>VCU, BCM</v>
          </cell>
          <cell r="J611" t="str">
            <v>Leschaco</v>
          </cell>
        </row>
        <row r="612">
          <cell r="B612" t="str">
            <v>INV06118</v>
          </cell>
          <cell r="C612"/>
          <cell r="D612"/>
          <cell r="E612">
            <v>124.19999999999999</v>
          </cell>
          <cell r="F612" t="str">
            <v>Hand Carry</v>
          </cell>
          <cell r="G612" t="str">
            <v>x</v>
          </cell>
          <cell r="H612" t="str">
            <v>Lucid Arizona</v>
          </cell>
          <cell r="I612" t="str">
            <v>VCU, BCM</v>
          </cell>
          <cell r="J612" t="str">
            <v>Leschaco</v>
          </cell>
        </row>
        <row r="613">
          <cell r="B613" t="str">
            <v>INV06119</v>
          </cell>
          <cell r="C613"/>
          <cell r="D613"/>
          <cell r="E613">
            <v>3.6</v>
          </cell>
          <cell r="F613" t="str">
            <v>883959025627</v>
          </cell>
          <cell r="G613" t="str">
            <v>x</v>
          </cell>
          <cell r="H613" t="str">
            <v>AIC</v>
          </cell>
          <cell r="I613" t="str">
            <v>PCBA</v>
          </cell>
          <cell r="J613" t="str">
            <v>FedEx</v>
          </cell>
        </row>
        <row r="614">
          <cell r="B614" t="str">
            <v>INV06120</v>
          </cell>
          <cell r="C614"/>
          <cell r="D614"/>
          <cell r="E614">
            <v>6.8</v>
          </cell>
          <cell r="F614" t="str">
            <v>883981419212</v>
          </cell>
          <cell r="G614" t="str">
            <v>x</v>
          </cell>
          <cell r="H614" t="str">
            <v>HQ1</v>
          </cell>
          <cell r="I614" t="str">
            <v>HLOB</v>
          </cell>
          <cell r="J614" t="str">
            <v>FedEx</v>
          </cell>
        </row>
        <row r="615">
          <cell r="B615" t="str">
            <v>INV06121</v>
          </cell>
          <cell r="C615"/>
          <cell r="D615"/>
          <cell r="E615">
            <v>1217.6400000000001</v>
          </cell>
          <cell r="F615" t="str">
            <v>HN90004124</v>
          </cell>
          <cell r="G615" t="str">
            <v>x</v>
          </cell>
          <cell r="H615" t="str">
            <v>Lucid Arizona</v>
          </cell>
          <cell r="I615" t="str">
            <v>VCU, Rear, BCM</v>
          </cell>
          <cell r="J615" t="str">
            <v>DSV</v>
          </cell>
        </row>
        <row r="616">
          <cell r="B616" t="str">
            <v>INV06122</v>
          </cell>
          <cell r="C616"/>
          <cell r="D616"/>
          <cell r="E616">
            <v>718.8</v>
          </cell>
          <cell r="F616" t="str">
            <v>HAN0425171</v>
          </cell>
          <cell r="G616" t="str">
            <v>x</v>
          </cell>
          <cell r="H616" t="str">
            <v>HELLA</v>
          </cell>
          <cell r="I616" t="str">
            <v>HCU</v>
          </cell>
          <cell r="J616" t="str">
            <v>DSV</v>
          </cell>
        </row>
        <row r="617">
          <cell r="B617" t="str">
            <v>INV06123</v>
          </cell>
          <cell r="C617"/>
          <cell r="D617"/>
          <cell r="E617">
            <v>1550.5</v>
          </cell>
          <cell r="F617" t="str">
            <v>HN90004125</v>
          </cell>
          <cell r="G617" t="str">
            <v>x</v>
          </cell>
          <cell r="H617" t="str">
            <v>Lucid Arizona</v>
          </cell>
          <cell r="I617" t="str">
            <v>ICC, CCCV2, Front, Rear</v>
          </cell>
          <cell r="J617" t="str">
            <v>DSV</v>
          </cell>
        </row>
        <row r="618">
          <cell r="B618" t="str">
            <v>INV06124</v>
          </cell>
          <cell r="C618"/>
          <cell r="D618"/>
          <cell r="E618">
            <v>36.9</v>
          </cell>
          <cell r="F618" t="str">
            <v>884058138886</v>
          </cell>
          <cell r="G618" t="str">
            <v>x</v>
          </cell>
          <cell r="H618" t="str">
            <v>Cloud HK</v>
          </cell>
          <cell r="I618" t="str">
            <v>DDR4</v>
          </cell>
          <cell r="J618" t="str">
            <v>FedEx</v>
          </cell>
        </row>
        <row r="619">
          <cell r="B619" t="str">
            <v>INV06125</v>
          </cell>
          <cell r="C619"/>
          <cell r="D619"/>
          <cell r="E619">
            <v>36.9</v>
          </cell>
          <cell r="F619" t="str">
            <v>884058241017</v>
          </cell>
          <cell r="G619" t="str">
            <v>x</v>
          </cell>
          <cell r="H619" t="str">
            <v>Cloud HK</v>
          </cell>
          <cell r="I619" t="str">
            <v>DDR4</v>
          </cell>
          <cell r="J619" t="str">
            <v>FedEx</v>
          </cell>
        </row>
        <row r="620">
          <cell r="B620" t="str">
            <v>INV06126</v>
          </cell>
          <cell r="C620"/>
          <cell r="D620"/>
          <cell r="E620">
            <v>91.5</v>
          </cell>
          <cell r="F620" t="str">
            <v>1447699330</v>
          </cell>
          <cell r="G620" t="str">
            <v>x</v>
          </cell>
          <cell r="H620" t="str">
            <v>AVNET US</v>
          </cell>
          <cell r="I620" t="str">
            <v>Display module,PCBA, DDR4</v>
          </cell>
          <cell r="J620" t="str">
            <v>DHL</v>
          </cell>
        </row>
        <row r="621">
          <cell r="B621" t="str">
            <v>E00966</v>
          </cell>
          <cell r="C621"/>
          <cell r="D621"/>
          <cell r="E621">
            <v>12.7</v>
          </cell>
          <cell r="F621" t="str">
            <v>884090916680</v>
          </cell>
          <cell r="G621" t="str">
            <v>x</v>
          </cell>
          <cell r="H621" t="str">
            <v>Pencom</v>
          </cell>
          <cell r="I621" t="str">
            <v>Hlob material</v>
          </cell>
          <cell r="J621" t="str">
            <v>FedEx</v>
          </cell>
        </row>
        <row r="622">
          <cell r="B622" t="str">
            <v>INV06127</v>
          </cell>
          <cell r="C622"/>
          <cell r="D622"/>
          <cell r="E622">
            <v>126</v>
          </cell>
          <cell r="F622" t="str">
            <v>HN90004136</v>
          </cell>
          <cell r="G622" t="str">
            <v>x</v>
          </cell>
          <cell r="H622" t="str">
            <v>Lucid US</v>
          </cell>
          <cell r="I622" t="str">
            <v>UCC, USB</v>
          </cell>
          <cell r="J622" t="str">
            <v>DSV</v>
          </cell>
        </row>
        <row r="623">
          <cell r="B623" t="str">
            <v>INV06128</v>
          </cell>
          <cell r="C623"/>
          <cell r="D623"/>
          <cell r="E623">
            <v>449.8</v>
          </cell>
          <cell r="F623" t="str">
            <v>884098808327</v>
          </cell>
          <cell r="G623" t="str">
            <v>x</v>
          </cell>
          <cell r="H623" t="str">
            <v>Jabil MX</v>
          </cell>
          <cell r="I623" t="str">
            <v>HLOB</v>
          </cell>
          <cell r="J623" t="str">
            <v>FedEx</v>
          </cell>
        </row>
        <row r="624">
          <cell r="B624" t="str">
            <v>INV06129</v>
          </cell>
          <cell r="C624"/>
          <cell r="D624"/>
          <cell r="E624">
            <v>449.8</v>
          </cell>
          <cell r="F624" t="str">
            <v>884099008869</v>
          </cell>
          <cell r="G624" t="str">
            <v>x</v>
          </cell>
          <cell r="H624" t="str">
            <v>Jabil MX</v>
          </cell>
          <cell r="I624" t="str">
            <v>HLOB</v>
          </cell>
          <cell r="J624" t="str">
            <v>FedEx</v>
          </cell>
        </row>
        <row r="625">
          <cell r="B625" t="str">
            <v>INV06130</v>
          </cell>
          <cell r="C625"/>
          <cell r="D625"/>
          <cell r="E625">
            <v>449.8</v>
          </cell>
          <cell r="F625" t="str">
            <v>884099033068</v>
          </cell>
          <cell r="G625" t="str">
            <v>x</v>
          </cell>
          <cell r="H625" t="str">
            <v>Jabil MX</v>
          </cell>
          <cell r="I625" t="str">
            <v>HLOB</v>
          </cell>
          <cell r="J625" t="str">
            <v>FedEx</v>
          </cell>
        </row>
        <row r="626">
          <cell r="B626" t="str">
            <v>INV06131</v>
          </cell>
          <cell r="C626"/>
          <cell r="D626"/>
          <cell r="E626">
            <v>449.8</v>
          </cell>
          <cell r="F626" t="str">
            <v>884099052306</v>
          </cell>
          <cell r="G626" t="str">
            <v>x</v>
          </cell>
          <cell r="H626" t="str">
            <v>Jabil MX</v>
          </cell>
          <cell r="I626" t="str">
            <v>HLOB</v>
          </cell>
          <cell r="J626" t="str">
            <v>FedEx</v>
          </cell>
        </row>
        <row r="627">
          <cell r="B627" t="str">
            <v>INV06132</v>
          </cell>
          <cell r="C627"/>
          <cell r="D627"/>
          <cell r="E627">
            <v>449.8</v>
          </cell>
          <cell r="F627" t="str">
            <v>884099078188</v>
          </cell>
          <cell r="G627" t="str">
            <v>x</v>
          </cell>
          <cell r="H627" t="str">
            <v>Jabil MX</v>
          </cell>
          <cell r="I627" t="str">
            <v>HLOB</v>
          </cell>
          <cell r="J627" t="str">
            <v>FedEx</v>
          </cell>
        </row>
        <row r="628">
          <cell r="B628" t="str">
            <v>INV06133</v>
          </cell>
          <cell r="C628"/>
          <cell r="D628"/>
          <cell r="E628">
            <v>449.8</v>
          </cell>
          <cell r="F628" t="str">
            <v>884126030011</v>
          </cell>
          <cell r="G628" t="str">
            <v>x</v>
          </cell>
          <cell r="H628" t="str">
            <v>Jabil MX</v>
          </cell>
          <cell r="I628" t="str">
            <v>HLOB</v>
          </cell>
          <cell r="J628" t="str">
            <v>FedEx</v>
          </cell>
        </row>
        <row r="629">
          <cell r="B629" t="str">
            <v>E00967</v>
          </cell>
          <cell r="C629"/>
          <cell r="D629"/>
          <cell r="E629">
            <v>0.9</v>
          </cell>
          <cell r="F629" t="str">
            <v>884125929792</v>
          </cell>
          <cell r="G629"/>
          <cell r="H629" t="str">
            <v>FJZ US</v>
          </cell>
          <cell r="I629" t="str">
            <v>IC</v>
          </cell>
          <cell r="J629" t="str">
            <v>FedEx</v>
          </cell>
        </row>
        <row r="630">
          <cell r="B630" t="str">
            <v>E00968</v>
          </cell>
          <cell r="C630"/>
          <cell r="D630"/>
          <cell r="E630">
            <v>0.2</v>
          </cell>
          <cell r="F630" t="str">
            <v>6160079026</v>
          </cell>
          <cell r="G630" t="str">
            <v>x</v>
          </cell>
          <cell r="H630" t="str">
            <v>Kioxia</v>
          </cell>
          <cell r="I630" t="str">
            <v>IC</v>
          </cell>
          <cell r="J630" t="str">
            <v>DHL</v>
          </cell>
        </row>
        <row r="631">
          <cell r="B631" t="str">
            <v>INV06134</v>
          </cell>
          <cell r="C631"/>
          <cell r="D631"/>
          <cell r="E631">
            <v>717.1</v>
          </cell>
          <cell r="F631" t="str">
            <v>HN90004139</v>
          </cell>
          <cell r="G631" t="str">
            <v>x</v>
          </cell>
          <cell r="H631" t="str">
            <v>Lucid Arizona</v>
          </cell>
          <cell r="I631" t="str">
            <v>VCU, Rear, BCM</v>
          </cell>
          <cell r="J631" t="str">
            <v>DSV</v>
          </cell>
        </row>
        <row r="632">
          <cell r="B632" t="str">
            <v>INV06135</v>
          </cell>
          <cell r="C632"/>
          <cell r="D632"/>
          <cell r="E632">
            <v>757</v>
          </cell>
          <cell r="F632" t="str">
            <v>HN90004140</v>
          </cell>
          <cell r="G632" t="str">
            <v>x</v>
          </cell>
          <cell r="H632" t="str">
            <v>Lucid Arizona</v>
          </cell>
          <cell r="I632" t="str">
            <v>Front</v>
          </cell>
          <cell r="J632" t="str">
            <v>DSV</v>
          </cell>
        </row>
        <row r="633">
          <cell r="B633" t="str">
            <v>INV06136</v>
          </cell>
          <cell r="C633"/>
          <cell r="D633"/>
          <cell r="E633">
            <v>768.7</v>
          </cell>
          <cell r="F633" t="str">
            <v>HN90004141</v>
          </cell>
          <cell r="G633" t="str">
            <v>x</v>
          </cell>
          <cell r="H633" t="str">
            <v>Lucid Arizona</v>
          </cell>
          <cell r="I633" t="str">
            <v>UCC, Front, DCM</v>
          </cell>
          <cell r="J633" t="str">
            <v>DSV</v>
          </cell>
        </row>
        <row r="634">
          <cell r="B634" t="str">
            <v>INV06137</v>
          </cell>
          <cell r="C634"/>
          <cell r="D634"/>
          <cell r="E634">
            <v>343.4</v>
          </cell>
          <cell r="F634" t="str">
            <v>HN90004142</v>
          </cell>
          <cell r="G634" t="str">
            <v>x</v>
          </cell>
          <cell r="H634" t="str">
            <v>Lucid Arizona</v>
          </cell>
          <cell r="I634" t="str">
            <v>Rear, UCC, Cabin</v>
          </cell>
          <cell r="J634" t="str">
            <v>DSV</v>
          </cell>
        </row>
        <row r="635">
          <cell r="B635" t="str">
            <v>INV06138</v>
          </cell>
          <cell r="C635"/>
          <cell r="D635"/>
          <cell r="E635">
            <v>50.4</v>
          </cell>
          <cell r="F635" t="str">
            <v>45T0410045</v>
          </cell>
          <cell r="G635" t="str">
            <v>x</v>
          </cell>
          <cell r="H635" t="str">
            <v>FTX Express</v>
          </cell>
          <cell r="I635" t="str">
            <v>Eiger</v>
          </cell>
          <cell r="J635" t="str">
            <v>Expeditors</v>
          </cell>
        </row>
        <row r="636">
          <cell r="B636" t="str">
            <v>INV06139</v>
          </cell>
          <cell r="C636"/>
          <cell r="D636"/>
          <cell r="E636">
            <v>308.7</v>
          </cell>
          <cell r="F636" t="str">
            <v>45T0410044</v>
          </cell>
          <cell r="G636" t="str">
            <v>x</v>
          </cell>
          <cell r="H636" t="str">
            <v>FTX Standard</v>
          </cell>
          <cell r="I636" t="str">
            <v>Grover, Hopper</v>
          </cell>
          <cell r="J636" t="str">
            <v>Expeditors</v>
          </cell>
        </row>
        <row r="637">
          <cell r="B637" t="str">
            <v>INV06140</v>
          </cell>
          <cell r="C637"/>
          <cell r="D637"/>
          <cell r="E637">
            <v>200.9</v>
          </cell>
          <cell r="F637" t="str">
            <v>HAN25006491</v>
          </cell>
          <cell r="G637" t="str">
            <v>x</v>
          </cell>
          <cell r="H637" t="str">
            <v>FCZ</v>
          </cell>
          <cell r="I637" t="str">
            <v>Eiger, Hopper, Grover</v>
          </cell>
          <cell r="J637" t="str">
            <v>Schenker</v>
          </cell>
        </row>
        <row r="638">
          <cell r="B638" t="str">
            <v>INV06141</v>
          </cell>
          <cell r="C638"/>
          <cell r="D638"/>
          <cell r="E638">
            <v>80.72999999999999</v>
          </cell>
          <cell r="F638" t="str">
            <v>884126828127</v>
          </cell>
          <cell r="G638" t="str">
            <v>x</v>
          </cell>
          <cell r="H638" t="str">
            <v>AIC</v>
          </cell>
          <cell r="I638" t="str">
            <v>PCBA</v>
          </cell>
          <cell r="J638" t="str">
            <v>FedEx</v>
          </cell>
        </row>
        <row r="639">
          <cell r="B639" t="str">
            <v>INV06142</v>
          </cell>
          <cell r="C639"/>
          <cell r="D639"/>
          <cell r="E639">
            <v>35</v>
          </cell>
          <cell r="F639" t="str">
            <v>884177835597</v>
          </cell>
          <cell r="G639" t="str">
            <v>x</v>
          </cell>
          <cell r="H639" t="str">
            <v>Cloud HK</v>
          </cell>
          <cell r="I639" t="str">
            <v>DDR4</v>
          </cell>
          <cell r="J639" t="str">
            <v>FedEx</v>
          </cell>
        </row>
        <row r="640">
          <cell r="B640" t="str">
            <v>INV06143</v>
          </cell>
          <cell r="C640"/>
          <cell r="D640"/>
          <cell r="E640">
            <v>36</v>
          </cell>
          <cell r="F640" t="str">
            <v>884177873153</v>
          </cell>
          <cell r="G640" t="str">
            <v>x</v>
          </cell>
          <cell r="H640" t="str">
            <v>Cloud HK</v>
          </cell>
          <cell r="I640" t="str">
            <v>DDR4</v>
          </cell>
          <cell r="J640" t="str">
            <v>FedEx</v>
          </cell>
        </row>
        <row r="641">
          <cell r="B641" t="str">
            <v>INV06144</v>
          </cell>
          <cell r="C641"/>
          <cell r="D641"/>
          <cell r="E641">
            <v>36</v>
          </cell>
          <cell r="F641" t="str">
            <v>884177920965</v>
          </cell>
          <cell r="G641" t="str">
            <v>x</v>
          </cell>
          <cell r="H641" t="str">
            <v>Cloud HK</v>
          </cell>
          <cell r="I641" t="str">
            <v>DDR4</v>
          </cell>
          <cell r="J641" t="str">
            <v>FedEx</v>
          </cell>
        </row>
        <row r="642">
          <cell r="B642" t="str">
            <v>E00969</v>
          </cell>
          <cell r="C642"/>
          <cell r="D642"/>
          <cell r="E642">
            <v>82.5</v>
          </cell>
          <cell r="F642" t="str">
            <v>884290652182</v>
          </cell>
          <cell r="G642" t="str">
            <v>x</v>
          </cell>
          <cell r="H642" t="str">
            <v>AIC</v>
          </cell>
          <cell r="I642" t="str">
            <v>material</v>
          </cell>
          <cell r="J642" t="str">
            <v>FedEx</v>
          </cell>
        </row>
        <row r="643">
          <cell r="B643" t="str">
            <v>E00970</v>
          </cell>
          <cell r="C643"/>
          <cell r="D643"/>
          <cell r="E643">
            <v>105</v>
          </cell>
          <cell r="F643" t="str">
            <v>884295012747</v>
          </cell>
          <cell r="G643"/>
          <cell r="H643" t="str">
            <v>Transfer to HQ1</v>
          </cell>
          <cell r="I643" t="str">
            <v>material</v>
          </cell>
          <cell r="J643" t="str">
            <v>FedEx</v>
          </cell>
        </row>
        <row r="644">
          <cell r="B644" t="str">
            <v>INV06145</v>
          </cell>
          <cell r="C644"/>
          <cell r="D644"/>
          <cell r="E644">
            <v>67.400000000000006</v>
          </cell>
          <cell r="F644" t="str">
            <v>45T0410476</v>
          </cell>
          <cell r="G644" t="str">
            <v>x</v>
          </cell>
          <cell r="H644" t="str">
            <v>FTX</v>
          </cell>
          <cell r="I644" t="str">
            <v>Eiger</v>
          </cell>
          <cell r="J644" t="str">
            <v>Expeditors</v>
          </cell>
        </row>
        <row r="645">
          <cell r="B645" t="str">
            <v>INV06146</v>
          </cell>
          <cell r="C645"/>
          <cell r="D645"/>
          <cell r="E645">
            <v>25.7</v>
          </cell>
          <cell r="F645" t="str">
            <v>884252671831</v>
          </cell>
          <cell r="G645" t="str">
            <v>x</v>
          </cell>
          <cell r="H645" t="str">
            <v>Cloud HK</v>
          </cell>
          <cell r="I645" t="str">
            <v>DDR4</v>
          </cell>
          <cell r="J645" t="str">
            <v>FedEx</v>
          </cell>
        </row>
        <row r="646">
          <cell r="B646" t="str">
            <v>E00971</v>
          </cell>
          <cell r="C646"/>
          <cell r="D646"/>
          <cell r="E646">
            <v>22.5</v>
          </cell>
          <cell r="F646" t="str">
            <v>884549440600</v>
          </cell>
          <cell r="G646" t="str">
            <v>x</v>
          </cell>
          <cell r="H646" t="str">
            <v>Pure</v>
          </cell>
          <cell r="I646" t="str">
            <v>Baffle, heatsink</v>
          </cell>
          <cell r="J646" t="str">
            <v>FedEx</v>
          </cell>
        </row>
        <row r="647">
          <cell r="B647" t="str">
            <v>SAMPLE 687</v>
          </cell>
          <cell r="C647"/>
          <cell r="D647"/>
          <cell r="E647"/>
          <cell r="F647" t="str">
            <v>884251989710</v>
          </cell>
          <cell r="G647" t="str">
            <v>x</v>
          </cell>
          <cell r="H647" t="str">
            <v>GCE</v>
          </cell>
          <cell r="I647" t="str">
            <v>PCB</v>
          </cell>
          <cell r="J647" t="str">
            <v>FedEx</v>
          </cell>
        </row>
        <row r="648">
          <cell r="B648" t="str">
            <v>INV06147</v>
          </cell>
          <cell r="C648"/>
          <cell r="D648"/>
          <cell r="E648">
            <v>400.9</v>
          </cell>
          <cell r="F648" t="str">
            <v>45T0410883</v>
          </cell>
          <cell r="G648" t="str">
            <v>x</v>
          </cell>
          <cell r="H648" t="str">
            <v>FTX</v>
          </cell>
          <cell r="I648" t="str">
            <v>Hopper, Grover, Icer</v>
          </cell>
          <cell r="J648" t="str">
            <v>Expeditors</v>
          </cell>
        </row>
        <row r="649">
          <cell r="B649" t="str">
            <v>INV06148</v>
          </cell>
          <cell r="C649"/>
          <cell r="D649"/>
          <cell r="E649">
            <v>388.1</v>
          </cell>
          <cell r="F649" t="str">
            <v xml:space="preserve">HAN25006595 </v>
          </cell>
          <cell r="G649" t="str">
            <v>x</v>
          </cell>
          <cell r="H649" t="str">
            <v>FCZ</v>
          </cell>
          <cell r="I649" t="str">
            <v>Eiger, Hopper, Grover</v>
          </cell>
          <cell r="J649" t="str">
            <v>Schenker</v>
          </cell>
        </row>
        <row r="650">
          <cell r="B650" t="str">
            <v>INV06149</v>
          </cell>
          <cell r="C650"/>
          <cell r="D650"/>
          <cell r="E650">
            <v>3.2</v>
          </cell>
          <cell r="F650" t="str">
            <v>884284488790</v>
          </cell>
          <cell r="G650" t="str">
            <v>x</v>
          </cell>
          <cell r="H650" t="str">
            <v>Jabil MY</v>
          </cell>
          <cell r="I650" t="str">
            <v>EUSB</v>
          </cell>
          <cell r="J650" t="str">
            <v>FedEx</v>
          </cell>
        </row>
        <row r="651">
          <cell r="B651" t="str">
            <v>INV06150</v>
          </cell>
          <cell r="C651"/>
          <cell r="D651"/>
          <cell r="E651">
            <v>9.5</v>
          </cell>
          <cell r="F651" t="str">
            <v>884284673689</v>
          </cell>
          <cell r="G651" t="str">
            <v>x</v>
          </cell>
          <cell r="H651" t="str">
            <v>Pure</v>
          </cell>
          <cell r="I651" t="str">
            <v>HLOB</v>
          </cell>
          <cell r="J651" t="str">
            <v>FedEx</v>
          </cell>
        </row>
        <row r="652">
          <cell r="B652" t="str">
            <v>INV06151</v>
          </cell>
          <cell r="C652"/>
          <cell r="D652"/>
          <cell r="E652">
            <v>24</v>
          </cell>
          <cell r="F652" t="str">
            <v>884285153680</v>
          </cell>
          <cell r="G652" t="str">
            <v>x</v>
          </cell>
          <cell r="H652" t="str">
            <v>AIC</v>
          </cell>
          <cell r="I652" t="str">
            <v>PCBA</v>
          </cell>
          <cell r="J652" t="str">
            <v>FedEx</v>
          </cell>
        </row>
        <row r="653">
          <cell r="B653" t="str">
            <v>INV06152</v>
          </cell>
          <cell r="C653"/>
          <cell r="D653"/>
          <cell r="E653">
            <v>1606.8</v>
          </cell>
          <cell r="F653" t="str">
            <v>HN90004288</v>
          </cell>
          <cell r="G653" t="str">
            <v>x</v>
          </cell>
          <cell r="H653" t="str">
            <v>Lucid AZ</v>
          </cell>
          <cell r="I653" t="str">
            <v>UCC, front, cabin</v>
          </cell>
          <cell r="J653" t="str">
            <v>DSV</v>
          </cell>
        </row>
        <row r="654">
          <cell r="B654" t="str">
            <v>INV06153</v>
          </cell>
          <cell r="C654"/>
          <cell r="D654"/>
          <cell r="E654">
            <v>1657.3</v>
          </cell>
          <cell r="F654" t="str">
            <v>HN90004290</v>
          </cell>
          <cell r="G654" t="str">
            <v>x</v>
          </cell>
          <cell r="H654" t="str">
            <v>Lucid AZ</v>
          </cell>
          <cell r="I654" t="str">
            <v>VCU, rear, BCM</v>
          </cell>
          <cell r="J654" t="str">
            <v>DSV</v>
          </cell>
        </row>
        <row r="655">
          <cell r="B655" t="str">
            <v>INV06154</v>
          </cell>
          <cell r="C655"/>
          <cell r="D655"/>
          <cell r="E655">
            <v>476.4</v>
          </cell>
          <cell r="F655" t="str">
            <v>HN90004289</v>
          </cell>
          <cell r="G655" t="str">
            <v>x</v>
          </cell>
          <cell r="H655" t="str">
            <v>Lucid AZ</v>
          </cell>
          <cell r="I655" t="str">
            <v>rear</v>
          </cell>
          <cell r="J655" t="str">
            <v>DSV</v>
          </cell>
        </row>
        <row r="656">
          <cell r="B656" t="str">
            <v>INV06155</v>
          </cell>
          <cell r="C656"/>
          <cell r="D656"/>
          <cell r="E656">
            <v>2364.5</v>
          </cell>
          <cell r="F656" t="str">
            <v>HN90004291</v>
          </cell>
          <cell r="G656" t="str">
            <v>x</v>
          </cell>
          <cell r="H656" t="str">
            <v>Lucid AZ</v>
          </cell>
          <cell r="I656" t="str">
            <v>CCCV2, Ecall, Cabin, Rear</v>
          </cell>
          <cell r="J656" t="str">
            <v>DSV</v>
          </cell>
        </row>
        <row r="657">
          <cell r="B657" t="str">
            <v>INV06156</v>
          </cell>
          <cell r="C657"/>
          <cell r="D657"/>
          <cell r="E657">
            <v>716.8</v>
          </cell>
          <cell r="F657" t="str">
            <v>HAN0426970</v>
          </cell>
          <cell r="G657" t="str">
            <v>x</v>
          </cell>
          <cell r="H657" t="str">
            <v>HELLA</v>
          </cell>
          <cell r="I657" t="str">
            <v>HCU</v>
          </cell>
          <cell r="J657" t="str">
            <v>DSV</v>
          </cell>
        </row>
        <row r="658">
          <cell r="B658" t="str">
            <v>E00972</v>
          </cell>
          <cell r="C658"/>
          <cell r="D658"/>
          <cell r="E658">
            <v>20</v>
          </cell>
          <cell r="F658" t="str">
            <v>884315265270</v>
          </cell>
          <cell r="G658" t="str">
            <v>x</v>
          </cell>
          <cell r="H658" t="str">
            <v>UMG</v>
          </cell>
          <cell r="I658" t="str">
            <v>PCB</v>
          </cell>
          <cell r="J658" t="str">
            <v>FedEx</v>
          </cell>
        </row>
        <row r="659">
          <cell r="B659" t="str">
            <v>INV06157</v>
          </cell>
          <cell r="C659"/>
          <cell r="D659"/>
          <cell r="E659">
            <v>75</v>
          </cell>
          <cell r="F659" t="str">
            <v>884317999590</v>
          </cell>
          <cell r="G659" t="str">
            <v>x</v>
          </cell>
          <cell r="H659" t="str">
            <v>HQ1</v>
          </cell>
          <cell r="I659" t="str">
            <v>Piper</v>
          </cell>
          <cell r="J659" t="str">
            <v>FedEx</v>
          </cell>
        </row>
        <row r="660">
          <cell r="B660" t="str">
            <v>INV06158</v>
          </cell>
          <cell r="C660"/>
          <cell r="D660"/>
          <cell r="E660">
            <v>0.9</v>
          </cell>
          <cell r="F660" t="str">
            <v>884317463839</v>
          </cell>
          <cell r="G660"/>
          <cell r="H660" t="str">
            <v>Arista</v>
          </cell>
          <cell r="I660" t="str">
            <v>DDR4</v>
          </cell>
          <cell r="J660" t="str">
            <v>FedEx</v>
          </cell>
        </row>
        <row r="661">
          <cell r="B661" t="str">
            <v>INV06159</v>
          </cell>
          <cell r="C661"/>
          <cell r="D661"/>
          <cell r="E661">
            <v>446.8</v>
          </cell>
          <cell r="F661" t="str">
            <v>884314066827</v>
          </cell>
          <cell r="G661" t="str">
            <v>x</v>
          </cell>
          <cell r="H661" t="str">
            <v>Jabil MX</v>
          </cell>
          <cell r="I661" t="str">
            <v>HLOB</v>
          </cell>
          <cell r="J661" t="str">
            <v>FedEx</v>
          </cell>
        </row>
        <row r="662">
          <cell r="B662" t="str">
            <v>INV06160</v>
          </cell>
          <cell r="C662"/>
          <cell r="D662"/>
          <cell r="E662">
            <v>446.8</v>
          </cell>
          <cell r="F662" t="str">
            <v>884314180374</v>
          </cell>
          <cell r="G662" t="str">
            <v>x</v>
          </cell>
          <cell r="H662" t="str">
            <v>Jabil MX</v>
          </cell>
          <cell r="I662" t="str">
            <v>HLOB</v>
          </cell>
          <cell r="J662" t="str">
            <v>FedEx</v>
          </cell>
        </row>
        <row r="663">
          <cell r="B663" t="str">
            <v>INV06161</v>
          </cell>
          <cell r="C663"/>
          <cell r="D663"/>
          <cell r="E663">
            <v>446.8</v>
          </cell>
          <cell r="F663" t="str">
            <v>884314251705</v>
          </cell>
          <cell r="G663" t="str">
            <v>x</v>
          </cell>
          <cell r="H663" t="str">
            <v>Jabil MX</v>
          </cell>
          <cell r="I663" t="str">
            <v>HLOB</v>
          </cell>
          <cell r="J663" t="str">
            <v>FedEx</v>
          </cell>
        </row>
        <row r="664">
          <cell r="B664" t="str">
            <v>INV06162</v>
          </cell>
          <cell r="C664"/>
          <cell r="D664"/>
          <cell r="E664">
            <v>446.8</v>
          </cell>
          <cell r="F664" t="str">
            <v>884314295987</v>
          </cell>
          <cell r="G664" t="str">
            <v>x</v>
          </cell>
          <cell r="H664" t="str">
            <v>Jabil MX</v>
          </cell>
          <cell r="I664" t="str">
            <v>HLOB</v>
          </cell>
          <cell r="J664" t="str">
            <v>FedEx</v>
          </cell>
        </row>
        <row r="665">
          <cell r="B665" t="str">
            <v>INV06163</v>
          </cell>
          <cell r="C665"/>
          <cell r="D665"/>
          <cell r="E665">
            <v>446.8</v>
          </cell>
          <cell r="F665" t="str">
            <v>884315291212</v>
          </cell>
          <cell r="G665" t="str">
            <v>x</v>
          </cell>
          <cell r="H665" t="str">
            <v>Jabil MX</v>
          </cell>
          <cell r="I665" t="str">
            <v>HLOB</v>
          </cell>
          <cell r="J665" t="str">
            <v>FedEx</v>
          </cell>
        </row>
        <row r="666">
          <cell r="B666" t="str">
            <v>INV06164</v>
          </cell>
          <cell r="C666"/>
          <cell r="D666"/>
          <cell r="E666">
            <v>446.8</v>
          </cell>
          <cell r="F666" t="str">
            <v>884315328680</v>
          </cell>
          <cell r="G666" t="str">
            <v>x</v>
          </cell>
          <cell r="H666" t="str">
            <v>Jabil MX</v>
          </cell>
          <cell r="I666" t="str">
            <v>HLOB</v>
          </cell>
          <cell r="J666" t="str">
            <v>FedEx</v>
          </cell>
        </row>
        <row r="667">
          <cell r="B667" t="str">
            <v>SAMPLE 688</v>
          </cell>
          <cell r="C667"/>
          <cell r="D667"/>
          <cell r="E667">
            <v>0.7</v>
          </cell>
          <cell r="F667" t="str">
            <v>884364983818</v>
          </cell>
          <cell r="G667" t="str">
            <v>x</v>
          </cell>
          <cell r="H667" t="str">
            <v>AIC Inc</v>
          </cell>
          <cell r="I667" t="str">
            <v>DDR5</v>
          </cell>
          <cell r="J667" t="str">
            <v>FedEx</v>
          </cell>
        </row>
        <row r="668">
          <cell r="B668" t="str">
            <v>E00973</v>
          </cell>
          <cell r="C668"/>
          <cell r="D668"/>
          <cell r="E668">
            <v>1.8</v>
          </cell>
          <cell r="F668" t="str">
            <v>884360551551</v>
          </cell>
          <cell r="G668" t="str">
            <v>x</v>
          </cell>
          <cell r="H668" t="str">
            <v>Kingston</v>
          </cell>
          <cell r="I668" t="str">
            <v>IC</v>
          </cell>
          <cell r="J668" t="str">
            <v>FedEx</v>
          </cell>
        </row>
        <row r="669">
          <cell r="B669" t="str">
            <v>INV06165</v>
          </cell>
          <cell r="C669"/>
          <cell r="D669"/>
          <cell r="E669">
            <v>224.5</v>
          </cell>
          <cell r="F669" t="str">
            <v>HN90004318</v>
          </cell>
          <cell r="G669" t="str">
            <v>x</v>
          </cell>
          <cell r="H669" t="str">
            <v>Lucid US</v>
          </cell>
          <cell r="I669" t="str">
            <v>VCU, Rear, BCM, Front, Cabin, DCM, HCU</v>
          </cell>
          <cell r="J669" t="str">
            <v>DSV</v>
          </cell>
        </row>
        <row r="670">
          <cell r="B670" t="str">
            <v>INV06166</v>
          </cell>
          <cell r="C670"/>
          <cell r="D670"/>
          <cell r="E670">
            <v>263.10000000000002</v>
          </cell>
          <cell r="F670" t="str">
            <v>HN90004319</v>
          </cell>
          <cell r="G670" t="str">
            <v>x</v>
          </cell>
          <cell r="H670" t="str">
            <v>Lucid Tracy</v>
          </cell>
          <cell r="I670" t="str">
            <v>Front</v>
          </cell>
          <cell r="J670" t="str">
            <v>DSV</v>
          </cell>
        </row>
        <row r="671">
          <cell r="B671" t="str">
            <v>INV06167</v>
          </cell>
          <cell r="C671"/>
          <cell r="D671"/>
          <cell r="E671">
            <v>35</v>
          </cell>
          <cell r="F671" t="str">
            <v>884368248385</v>
          </cell>
          <cell r="G671" t="str">
            <v>x</v>
          </cell>
          <cell r="H671" t="str">
            <v>Cloud HK</v>
          </cell>
          <cell r="I671" t="str">
            <v>DDR4</v>
          </cell>
          <cell r="J671" t="str">
            <v>FedEx</v>
          </cell>
        </row>
        <row r="672">
          <cell r="B672" t="str">
            <v>INV06168</v>
          </cell>
          <cell r="C672"/>
          <cell r="D672"/>
          <cell r="E672">
            <v>36</v>
          </cell>
          <cell r="F672" t="str">
            <v>884368642182</v>
          </cell>
          <cell r="G672" t="str">
            <v>x</v>
          </cell>
          <cell r="H672" t="str">
            <v>Cloud HK</v>
          </cell>
          <cell r="I672" t="str">
            <v>DDR4</v>
          </cell>
          <cell r="J672" t="str">
            <v>FedEx</v>
          </cell>
        </row>
        <row r="673">
          <cell r="B673" t="str">
            <v>INV06169</v>
          </cell>
          <cell r="C673"/>
          <cell r="D673"/>
          <cell r="E673">
            <v>36</v>
          </cell>
          <cell r="F673" t="str">
            <v>884368738962</v>
          </cell>
          <cell r="G673" t="str">
            <v>x</v>
          </cell>
          <cell r="H673" t="str">
            <v>Cloud HK</v>
          </cell>
          <cell r="I673" t="str">
            <v>DDR4</v>
          </cell>
          <cell r="J673" t="str">
            <v>FedEx</v>
          </cell>
        </row>
        <row r="674">
          <cell r="B674" t="str">
            <v>SAMPLE 689</v>
          </cell>
          <cell r="C674"/>
          <cell r="D674"/>
          <cell r="E674" t="e">
            <v>#N/A</v>
          </cell>
          <cell r="F674" t="str">
            <v>884364895326</v>
          </cell>
          <cell r="G674" t="str">
            <v>x</v>
          </cell>
          <cell r="H674" t="str">
            <v>NINGBO</v>
          </cell>
          <cell r="I674" t="str">
            <v>HOUSING</v>
          </cell>
          <cell r="J674" t="str">
            <v>FedEx</v>
          </cell>
        </row>
        <row r="675">
          <cell r="B675" t="str">
            <v>INV06170</v>
          </cell>
          <cell r="C675"/>
          <cell r="D675"/>
          <cell r="E675">
            <v>0.6</v>
          </cell>
          <cell r="F675" t="str">
            <v>3032424275</v>
          </cell>
          <cell r="G675" t="str">
            <v>x</v>
          </cell>
          <cell r="H675" t="str">
            <v>BROADCOM</v>
          </cell>
          <cell r="I675" t="str">
            <v>DDR4</v>
          </cell>
          <cell r="J675" t="str">
            <v>DHL</v>
          </cell>
        </row>
        <row r="676">
          <cell r="B676" t="str">
            <v>INV06171</v>
          </cell>
          <cell r="C676"/>
          <cell r="D676"/>
          <cell r="E676">
            <v>0.7</v>
          </cell>
          <cell r="F676" t="str">
            <v>3875725350</v>
          </cell>
          <cell r="G676" t="str">
            <v>x</v>
          </cell>
          <cell r="H676" t="str">
            <v>Avago</v>
          </cell>
          <cell r="I676" t="str">
            <v>DDR4</v>
          </cell>
          <cell r="J676" t="str">
            <v>DHL</v>
          </cell>
        </row>
        <row r="677">
          <cell r="B677" t="str">
            <v>INV06172</v>
          </cell>
          <cell r="C677"/>
          <cell r="D677"/>
          <cell r="E677">
            <v>1.5</v>
          </cell>
          <cell r="F677" t="str">
            <v>884404397881</v>
          </cell>
          <cell r="G677"/>
          <cell r="H677" t="str">
            <v>HQ1</v>
          </cell>
          <cell r="I677" t="str">
            <v>DDR5</v>
          </cell>
          <cell r="J677" t="str">
            <v>FedEx</v>
          </cell>
        </row>
        <row r="678">
          <cell r="B678" t="str">
            <v>INV06173</v>
          </cell>
          <cell r="C678"/>
          <cell r="D678"/>
          <cell r="E678">
            <v>133</v>
          </cell>
          <cell r="F678" t="str">
            <v>Hand Carry</v>
          </cell>
          <cell r="G678" t="str">
            <v>x</v>
          </cell>
          <cell r="H678" t="str">
            <v>Lucid Arizona</v>
          </cell>
          <cell r="I678" t="str">
            <v>DCM</v>
          </cell>
          <cell r="J678" t="str">
            <v>Leschaco</v>
          </cell>
        </row>
        <row r="679">
          <cell r="B679" t="str">
            <v>INV06174</v>
          </cell>
          <cell r="C679"/>
          <cell r="D679"/>
          <cell r="E679">
            <v>356</v>
          </cell>
          <cell r="F679" t="str">
            <v>45T0392202
45T0413491 (correct)</v>
          </cell>
          <cell r="G679" t="str">
            <v>x</v>
          </cell>
          <cell r="H679" t="str">
            <v>ZT Systems</v>
          </cell>
          <cell r="I679" t="str">
            <v>POWER GEM</v>
          </cell>
          <cell r="J679" t="str">
            <v>Expeditors</v>
          </cell>
        </row>
        <row r="680">
          <cell r="B680" t="str">
            <v>INV06175</v>
          </cell>
          <cell r="C680"/>
          <cell r="D680"/>
          <cell r="E680">
            <v>860.8</v>
          </cell>
          <cell r="F680" t="str">
            <v>HBL2509011</v>
          </cell>
          <cell r="G680" t="str">
            <v>x</v>
          </cell>
          <cell r="H680" t="str">
            <v>DAA</v>
          </cell>
          <cell r="I680" t="str">
            <v>USB</v>
          </cell>
          <cell r="J680" t="str">
            <v>PRIME</v>
          </cell>
        </row>
        <row r="681">
          <cell r="B681" t="str">
            <v>INV06176</v>
          </cell>
          <cell r="C681"/>
          <cell r="D681"/>
          <cell r="E681">
            <v>67</v>
          </cell>
          <cell r="F681" t="str">
            <v>45T0413015</v>
          </cell>
          <cell r="G681" t="str">
            <v>x</v>
          </cell>
          <cell r="H681" t="str">
            <v>FTX Express</v>
          </cell>
          <cell r="I681" t="str">
            <v>Eiger</v>
          </cell>
          <cell r="J681" t="str">
            <v>Expeditors</v>
          </cell>
        </row>
        <row r="682">
          <cell r="B682" t="str">
            <v>INV06177</v>
          </cell>
          <cell r="C682"/>
          <cell r="D682"/>
          <cell r="E682">
            <v>17.600000000000001</v>
          </cell>
          <cell r="F682" t="str">
            <v>PAE-250968</v>
          </cell>
          <cell r="G682" t="str">
            <v>x</v>
          </cell>
          <cell r="H682" t="str">
            <v>RAHI</v>
          </cell>
          <cell r="I682" t="str">
            <v>DDR4</v>
          </cell>
          <cell r="J682" t="str">
            <v>Panda</v>
          </cell>
        </row>
        <row r="683">
          <cell r="B683" t="str">
            <v>INV06178</v>
          </cell>
          <cell r="C683"/>
          <cell r="D683"/>
          <cell r="E683">
            <v>48.5</v>
          </cell>
          <cell r="F683" t="str">
            <v>016-2977196547 - Hand carry</v>
          </cell>
          <cell r="G683" t="str">
            <v>x</v>
          </cell>
          <cell r="H683" t="str">
            <v>Lucid Arizona</v>
          </cell>
          <cell r="I683" t="str">
            <v>DCM</v>
          </cell>
          <cell r="J683" t="str">
            <v>Leschaco</v>
          </cell>
        </row>
        <row r="684">
          <cell r="B684" t="str">
            <v>INV06179</v>
          </cell>
          <cell r="C684"/>
          <cell r="D684"/>
          <cell r="E684">
            <v>1628.4</v>
          </cell>
          <cell r="F684" t="str">
            <v>HN90004373</v>
          </cell>
          <cell r="G684" t="str">
            <v>x</v>
          </cell>
          <cell r="H684" t="str">
            <v>Lucid Arizona</v>
          </cell>
          <cell r="I684" t="str">
            <v>CCCV2, FRONT, CABIN, REAR</v>
          </cell>
          <cell r="J684" t="str">
            <v>DSV</v>
          </cell>
        </row>
        <row r="685">
          <cell r="B685" t="str">
            <v>INV06180</v>
          </cell>
          <cell r="C685"/>
          <cell r="D685"/>
          <cell r="E685">
            <v>1536</v>
          </cell>
          <cell r="F685" t="str">
            <v>HN90004374</v>
          </cell>
          <cell r="G685" t="str">
            <v>x</v>
          </cell>
          <cell r="H685" t="str">
            <v>Lucid Arizona</v>
          </cell>
          <cell r="I685" t="str">
            <v>FRONT</v>
          </cell>
          <cell r="J685" t="str">
            <v>DSV</v>
          </cell>
        </row>
        <row r="686">
          <cell r="B686" t="str">
            <v>INV06181</v>
          </cell>
          <cell r="C686"/>
          <cell r="D686"/>
          <cell r="E686">
            <v>1712.3999999999999</v>
          </cell>
          <cell r="F686" t="str">
            <v>HN90004376</v>
          </cell>
          <cell r="G686" t="str">
            <v>x</v>
          </cell>
          <cell r="H686" t="str">
            <v>Lucid Arizona</v>
          </cell>
          <cell r="I686" t="str">
            <v>FRONT, CABIN</v>
          </cell>
          <cell r="J686" t="str">
            <v>DSV</v>
          </cell>
        </row>
        <row r="687">
          <cell r="B687" t="str">
            <v>INV06182</v>
          </cell>
          <cell r="C687"/>
          <cell r="D687"/>
          <cell r="E687">
            <v>1468.8</v>
          </cell>
          <cell r="F687" t="str">
            <v>HN90004377</v>
          </cell>
          <cell r="G687" t="str">
            <v>x</v>
          </cell>
          <cell r="H687" t="str">
            <v>Lucid Arizona</v>
          </cell>
          <cell r="I687" t="str">
            <v>VCU, BCM, REAR</v>
          </cell>
          <cell r="J687" t="str">
            <v>DSV</v>
          </cell>
        </row>
        <row r="688">
          <cell r="B688" t="str">
            <v>INV06183</v>
          </cell>
          <cell r="C688"/>
          <cell r="D688"/>
          <cell r="E688">
            <v>1554.0000000000002</v>
          </cell>
          <cell r="F688" t="str">
            <v>HN90004378</v>
          </cell>
          <cell r="G688" t="str">
            <v>x</v>
          </cell>
          <cell r="H688" t="str">
            <v>Lucid Arizona</v>
          </cell>
          <cell r="I688" t="str">
            <v>REAR, UCC</v>
          </cell>
          <cell r="J688" t="str">
            <v>DSV</v>
          </cell>
        </row>
        <row r="689">
          <cell r="B689" t="str">
            <v>INV06184</v>
          </cell>
          <cell r="C689"/>
          <cell r="D689"/>
          <cell r="E689">
            <v>262</v>
          </cell>
          <cell r="F689" t="str">
            <v>45T0413281</v>
          </cell>
          <cell r="G689" t="str">
            <v>x</v>
          </cell>
          <cell r="H689" t="str">
            <v>FTX</v>
          </cell>
          <cell r="I689" t="str">
            <v>Hopper, Grover, HLOB</v>
          </cell>
          <cell r="J689" t="str">
            <v>Expeditors</v>
          </cell>
        </row>
        <row r="690">
          <cell r="B690" t="str">
            <v>INV06185</v>
          </cell>
          <cell r="C690"/>
          <cell r="D690"/>
          <cell r="E690">
            <v>440.7</v>
          </cell>
          <cell r="F690" t="str">
            <v>HAN25006761</v>
          </cell>
          <cell r="G690" t="str">
            <v>x</v>
          </cell>
          <cell r="H690" t="str">
            <v>FCZ</v>
          </cell>
          <cell r="I690" t="str">
            <v>Hopper, Grover, HLOB</v>
          </cell>
          <cell r="J690" t="str">
            <v>Schenker</v>
          </cell>
        </row>
        <row r="691">
          <cell r="B691" t="str">
            <v>INV06186</v>
          </cell>
          <cell r="C691"/>
          <cell r="D691"/>
          <cell r="E691">
            <v>451.8</v>
          </cell>
          <cell r="F691" t="str">
            <v>884474186819</v>
          </cell>
          <cell r="G691" t="str">
            <v>x</v>
          </cell>
          <cell r="H691" t="str">
            <v>Jabil MX</v>
          </cell>
          <cell r="I691" t="str">
            <v>HLOB</v>
          </cell>
          <cell r="J691" t="str">
            <v>FedEx</v>
          </cell>
        </row>
        <row r="692">
          <cell r="B692" t="str">
            <v>INV06187</v>
          </cell>
          <cell r="C692"/>
          <cell r="D692"/>
          <cell r="E692">
            <v>451.8</v>
          </cell>
          <cell r="F692" t="str">
            <v>884476322220</v>
          </cell>
          <cell r="G692" t="str">
            <v>x</v>
          </cell>
          <cell r="H692" t="str">
            <v>Jabil MX</v>
          </cell>
          <cell r="I692" t="str">
            <v>HLOB</v>
          </cell>
          <cell r="J692" t="str">
            <v>FedEx</v>
          </cell>
        </row>
        <row r="693">
          <cell r="B693" t="str">
            <v>INV06188</v>
          </cell>
          <cell r="C693"/>
          <cell r="D693"/>
          <cell r="E693">
            <v>451.8</v>
          </cell>
          <cell r="F693" t="str">
            <v>884476512317</v>
          </cell>
          <cell r="G693" t="str">
            <v>x</v>
          </cell>
          <cell r="H693" t="str">
            <v>Jabil MX</v>
          </cell>
          <cell r="I693" t="str">
            <v>HLOB</v>
          </cell>
          <cell r="J693" t="str">
            <v>FedEx</v>
          </cell>
        </row>
        <row r="694">
          <cell r="B694" t="str">
            <v>INV06189</v>
          </cell>
          <cell r="C694"/>
          <cell r="D694"/>
          <cell r="E694">
            <v>451.8</v>
          </cell>
          <cell r="F694" t="str">
            <v>884476565023</v>
          </cell>
          <cell r="G694" t="str">
            <v>x</v>
          </cell>
          <cell r="H694" t="str">
            <v>Jabil MX</v>
          </cell>
          <cell r="I694" t="str">
            <v>HLOB</v>
          </cell>
          <cell r="J694" t="str">
            <v>FedEx</v>
          </cell>
        </row>
        <row r="695">
          <cell r="B695" t="str">
            <v>INV06190</v>
          </cell>
          <cell r="C695"/>
          <cell r="D695"/>
          <cell r="E695">
            <v>451.8</v>
          </cell>
          <cell r="F695" t="str">
            <v>884476608615</v>
          </cell>
          <cell r="G695" t="str">
            <v>x</v>
          </cell>
          <cell r="H695" t="str">
            <v>Jabil MX</v>
          </cell>
          <cell r="I695" t="str">
            <v>HLOB</v>
          </cell>
          <cell r="J695" t="str">
            <v>FedEx</v>
          </cell>
        </row>
        <row r="696">
          <cell r="B696" t="str">
            <v>INV06191</v>
          </cell>
          <cell r="C696"/>
          <cell r="D696"/>
          <cell r="E696">
            <v>451.8</v>
          </cell>
          <cell r="F696" t="str">
            <v>884476712025</v>
          </cell>
          <cell r="G696" t="str">
            <v>x</v>
          </cell>
          <cell r="H696" t="str">
            <v>Jabil MX</v>
          </cell>
          <cell r="I696" t="str">
            <v>HLOB</v>
          </cell>
          <cell r="J696" t="str">
            <v>FedEx</v>
          </cell>
        </row>
        <row r="697">
          <cell r="B697" t="str">
            <v>INV06192</v>
          </cell>
          <cell r="C697"/>
          <cell r="D697"/>
          <cell r="E697">
            <v>451.8</v>
          </cell>
          <cell r="F697" t="str">
            <v>884476726411</v>
          </cell>
          <cell r="G697" t="str">
            <v>x</v>
          </cell>
          <cell r="H697" t="str">
            <v>Jabil MX</v>
          </cell>
          <cell r="I697" t="str">
            <v>HLOB</v>
          </cell>
          <cell r="J697" t="str">
            <v>FedEx</v>
          </cell>
        </row>
        <row r="698">
          <cell r="B698" t="str">
            <v>INV06193</v>
          </cell>
          <cell r="C698"/>
          <cell r="D698"/>
          <cell r="E698">
            <v>451.8</v>
          </cell>
          <cell r="F698" t="str">
            <v>884476738919</v>
          </cell>
          <cell r="G698" t="str">
            <v>x</v>
          </cell>
          <cell r="H698" t="str">
            <v>Jabil MX</v>
          </cell>
          <cell r="I698" t="str">
            <v>HLOB</v>
          </cell>
          <cell r="J698" t="str">
            <v>FedEx</v>
          </cell>
        </row>
        <row r="699">
          <cell r="B699" t="str">
            <v>E00974</v>
          </cell>
          <cell r="C699"/>
          <cell r="D699"/>
          <cell r="E699">
            <v>1</v>
          </cell>
          <cell r="F699" t="str">
            <v>884498686474</v>
          </cell>
          <cell r="G699" t="str">
            <v>x</v>
          </cell>
          <cell r="H699" t="str">
            <v>Bangtai</v>
          </cell>
          <cell r="I699" t="str">
            <v>IC</v>
          </cell>
          <cell r="J699" t="str">
            <v>FedEx</v>
          </cell>
        </row>
        <row r="700">
          <cell r="B700" t="str">
            <v>Document</v>
          </cell>
          <cell r="C700"/>
          <cell r="D700"/>
          <cell r="E700">
            <v>0.1</v>
          </cell>
          <cell r="F700" t="str">
            <v>2085516473</v>
          </cell>
          <cell r="G700" t="str">
            <v>x</v>
          </cell>
          <cell r="H700" t="str">
            <v>Shennan</v>
          </cell>
          <cell r="I700" t="str">
            <v>Document</v>
          </cell>
          <cell r="J700" t="str">
            <v>DHL</v>
          </cell>
        </row>
        <row r="701">
          <cell r="B701" t="str">
            <v>INV06194</v>
          </cell>
          <cell r="C701"/>
          <cell r="D701"/>
          <cell r="E701">
            <v>97</v>
          </cell>
          <cell r="F701" t="str">
            <v>Hand Carry</v>
          </cell>
          <cell r="G701" t="str">
            <v>x</v>
          </cell>
          <cell r="H701" t="str">
            <v>Lucid Arizona</v>
          </cell>
          <cell r="I701" t="str">
            <v>DCM</v>
          </cell>
          <cell r="J701" t="str">
            <v>Leschaco</v>
          </cell>
        </row>
        <row r="702">
          <cell r="B702" t="str">
            <v>INV06195</v>
          </cell>
          <cell r="C702"/>
          <cell r="D702"/>
          <cell r="E702">
            <v>97</v>
          </cell>
          <cell r="F702" t="str">
            <v>Hand Carry</v>
          </cell>
          <cell r="G702" t="str">
            <v>x</v>
          </cell>
          <cell r="H702" t="str">
            <v>Lucid Arizona</v>
          </cell>
          <cell r="I702" t="str">
            <v>DCM</v>
          </cell>
          <cell r="J702" t="str">
            <v>Leschaco</v>
          </cell>
        </row>
        <row r="703">
          <cell r="B703" t="str">
            <v>INV06196</v>
          </cell>
          <cell r="C703"/>
          <cell r="D703"/>
          <cell r="E703">
            <v>896</v>
          </cell>
          <cell r="F703" t="str">
            <v>HAN0428507</v>
          </cell>
          <cell r="G703" t="str">
            <v>x</v>
          </cell>
          <cell r="H703" t="str">
            <v>HELLA</v>
          </cell>
          <cell r="I703" t="str">
            <v>HCU</v>
          </cell>
          <cell r="J703" t="str">
            <v>DSV</v>
          </cell>
        </row>
        <row r="704">
          <cell r="B704" t="str">
            <v>INV06197</v>
          </cell>
          <cell r="C704"/>
          <cell r="D704"/>
          <cell r="E704">
            <v>92.7</v>
          </cell>
          <cell r="F704" t="str">
            <v>884621597164</v>
          </cell>
          <cell r="G704" t="str">
            <v>x</v>
          </cell>
          <cell r="H704" t="str">
            <v>AIC</v>
          </cell>
          <cell r="I704" t="str">
            <v>PCBA</v>
          </cell>
          <cell r="J704" t="str">
            <v>FedEx</v>
          </cell>
        </row>
        <row r="705">
          <cell r="B705" t="str">
            <v>INV06198</v>
          </cell>
          <cell r="C705"/>
          <cell r="D705"/>
          <cell r="E705">
            <v>3</v>
          </cell>
          <cell r="F705" t="str">
            <v>884569208707</v>
          </cell>
          <cell r="G705"/>
          <cell r="H705" t="str">
            <v>AIC</v>
          </cell>
          <cell r="I705" t="str">
            <v>PCBA</v>
          </cell>
          <cell r="J705" t="str">
            <v>FedEx</v>
          </cell>
        </row>
        <row r="706">
          <cell r="B706" t="str">
            <v>INV06199</v>
          </cell>
          <cell r="C706"/>
          <cell r="D706"/>
          <cell r="E706">
            <v>116.4</v>
          </cell>
          <cell r="F706" t="str">
            <v>016-2977331179</v>
          </cell>
          <cell r="G706" t="str">
            <v>x</v>
          </cell>
          <cell r="H706" t="str">
            <v>Lucid Arizona</v>
          </cell>
          <cell r="I706" t="str">
            <v>DCM</v>
          </cell>
          <cell r="J706" t="str">
            <v>Leschaco</v>
          </cell>
        </row>
        <row r="707">
          <cell r="B707" t="str">
            <v>INV06200</v>
          </cell>
          <cell r="C707"/>
          <cell r="D707"/>
          <cell r="E707">
            <v>54.1</v>
          </cell>
          <cell r="F707" t="str">
            <v>45T0414707</v>
          </cell>
          <cell r="G707" t="str">
            <v>x</v>
          </cell>
          <cell r="H707" t="str">
            <v>FTX Express</v>
          </cell>
          <cell r="I707" t="str">
            <v>FROVER</v>
          </cell>
          <cell r="J707" t="str">
            <v>Expeditors</v>
          </cell>
        </row>
        <row r="708">
          <cell r="B708" t="str">
            <v>SAMPLE 690</v>
          </cell>
          <cell r="C708"/>
          <cell r="D708"/>
          <cell r="E708">
            <v>0.1</v>
          </cell>
          <cell r="F708" t="str">
            <v>884590475680</v>
          </cell>
          <cell r="G708"/>
          <cell r="H708" t="str">
            <v>Texas</v>
          </cell>
          <cell r="I708" t="str">
            <v>IC</v>
          </cell>
          <cell r="J708" t="str">
            <v>FedEx</v>
          </cell>
        </row>
        <row r="709">
          <cell r="B709" t="str">
            <v>INV06201</v>
          </cell>
          <cell r="C709"/>
          <cell r="D709"/>
          <cell r="E709">
            <v>65.099999999999994</v>
          </cell>
          <cell r="F709" t="str">
            <v>HHA.25-08809</v>
          </cell>
          <cell r="G709" t="str">
            <v>x</v>
          </cell>
          <cell r="H709" t="str">
            <v>RAHI</v>
          </cell>
          <cell r="I709" t="str">
            <v>DDR4</v>
          </cell>
          <cell r="J709" t="str">
            <v>Hoang Ha</v>
          </cell>
        </row>
        <row r="710">
          <cell r="B710" t="str">
            <v>E00975</v>
          </cell>
          <cell r="C710"/>
          <cell r="D710"/>
          <cell r="E710">
            <v>56</v>
          </cell>
          <cell r="F710" t="str">
            <v>884779078520</v>
          </cell>
          <cell r="G710"/>
          <cell r="H710" t="str">
            <v>Unigen MY</v>
          </cell>
          <cell r="I710" t="str">
            <v>Thiết bị kiểm tra</v>
          </cell>
          <cell r="J710" t="str">
            <v>FedEx</v>
          </cell>
        </row>
        <row r="711">
          <cell r="B711" t="str">
            <v>INV06202</v>
          </cell>
          <cell r="C711"/>
          <cell r="D711"/>
          <cell r="E711">
            <v>28.5</v>
          </cell>
          <cell r="F711" t="str">
            <v>9183692173</v>
          </cell>
          <cell r="G711" t="str">
            <v>x</v>
          </cell>
          <cell r="H711" t="str">
            <v>AVNET US</v>
          </cell>
          <cell r="I711" t="str">
            <v>DDR4</v>
          </cell>
          <cell r="J711" t="str">
            <v>DHL</v>
          </cell>
        </row>
        <row r="712">
          <cell r="B712" t="str">
            <v>INV06203</v>
          </cell>
          <cell r="C712"/>
          <cell r="D712"/>
          <cell r="E712">
            <v>2.2000000000000002</v>
          </cell>
          <cell r="F712" t="str">
            <v>884590400339</v>
          </cell>
          <cell r="G712" t="str">
            <v>x</v>
          </cell>
          <cell r="H712" t="str">
            <v>Taiwan Express</v>
          </cell>
          <cell r="I712" t="str">
            <v>EUSB</v>
          </cell>
          <cell r="J712" t="str">
            <v>FedEx</v>
          </cell>
        </row>
        <row r="713">
          <cell r="B713" t="str">
            <v>INV06204</v>
          </cell>
          <cell r="C713"/>
          <cell r="D713"/>
          <cell r="E713">
            <v>36</v>
          </cell>
          <cell r="F713" t="str">
            <v>884590137349</v>
          </cell>
          <cell r="G713" t="str">
            <v>x</v>
          </cell>
          <cell r="H713" t="str">
            <v>Cloud HK</v>
          </cell>
          <cell r="I713" t="str">
            <v>DDR4</v>
          </cell>
          <cell r="J713" t="str">
            <v>FedEx</v>
          </cell>
        </row>
        <row r="714">
          <cell r="B714" t="str">
            <v>INV06205</v>
          </cell>
          <cell r="C714"/>
          <cell r="D714"/>
          <cell r="E714">
            <v>25.7</v>
          </cell>
          <cell r="F714" t="str">
            <v>884592243784</v>
          </cell>
          <cell r="G714" t="str">
            <v>x</v>
          </cell>
          <cell r="H714" t="str">
            <v>Cloud HK</v>
          </cell>
          <cell r="I714" t="str">
            <v>DDR4</v>
          </cell>
          <cell r="J714" t="str">
            <v>FedEx</v>
          </cell>
        </row>
        <row r="715">
          <cell r="B715" t="str">
            <v>INV06206</v>
          </cell>
          <cell r="C715"/>
          <cell r="D715"/>
          <cell r="E715">
            <v>35.4</v>
          </cell>
          <cell r="F715" t="str">
            <v>HAN25006847</v>
          </cell>
          <cell r="G715" t="str">
            <v>x</v>
          </cell>
          <cell r="H715" t="str">
            <v>FCZ</v>
          </cell>
          <cell r="I715" t="str">
            <v>Eiger</v>
          </cell>
          <cell r="J715" t="str">
            <v>Schenker</v>
          </cell>
        </row>
        <row r="716">
          <cell r="B716" t="str">
            <v>INV06207</v>
          </cell>
          <cell r="C716"/>
          <cell r="D716"/>
          <cell r="E716">
            <v>116.39999999999999</v>
          </cell>
          <cell r="F716" t="str">
            <v>Hand Carry</v>
          </cell>
          <cell r="G716" t="str">
            <v>x</v>
          </cell>
          <cell r="H716" t="str">
            <v>Lucid Arizona</v>
          </cell>
          <cell r="I716" t="str">
            <v>DCM</v>
          </cell>
          <cell r="J716" t="str">
            <v>Leschaco</v>
          </cell>
        </row>
        <row r="717">
          <cell r="B717" t="str">
            <v>INV06208</v>
          </cell>
          <cell r="C717"/>
          <cell r="D717"/>
          <cell r="E717">
            <v>252</v>
          </cell>
          <cell r="F717" t="str">
            <v>HN90004448</v>
          </cell>
          <cell r="G717" t="str">
            <v>x</v>
          </cell>
          <cell r="H717" t="str">
            <v>Lucid Arizona</v>
          </cell>
          <cell r="I717" t="str">
            <v>DCM</v>
          </cell>
          <cell r="J717" t="str">
            <v>DSV</v>
          </cell>
        </row>
        <row r="718">
          <cell r="B718" t="str">
            <v>INV06209</v>
          </cell>
          <cell r="C718"/>
          <cell r="D718"/>
          <cell r="E718">
            <v>366</v>
          </cell>
          <cell r="F718" t="str">
            <v>45T0415020</v>
          </cell>
          <cell r="G718" t="str">
            <v>x</v>
          </cell>
          <cell r="H718" t="str">
            <v>ZT Systems</v>
          </cell>
          <cell r="I718" t="str">
            <v>POWER GEM</v>
          </cell>
          <cell r="J718" t="str">
            <v>Expeditors</v>
          </cell>
        </row>
        <row r="719">
          <cell r="B719" t="str">
            <v>INV06210</v>
          </cell>
          <cell r="C719"/>
          <cell r="D719"/>
          <cell r="E719">
            <v>558.5</v>
          </cell>
          <cell r="F719" t="str">
            <v>HAN25006929</v>
          </cell>
          <cell r="G719" t="str">
            <v>x</v>
          </cell>
          <cell r="H719" t="str">
            <v>FCZ</v>
          </cell>
          <cell r="I719" t="str">
            <v>HOPPER, HOLB, GROVER</v>
          </cell>
          <cell r="J719" t="str">
            <v>Schenker</v>
          </cell>
        </row>
        <row r="720">
          <cell r="B720" t="str">
            <v>INV06211</v>
          </cell>
          <cell r="C720"/>
          <cell r="D720"/>
          <cell r="E720">
            <v>811.2</v>
          </cell>
          <cell r="F720" t="str">
            <v>45T0415065</v>
          </cell>
          <cell r="G720" t="str">
            <v>x</v>
          </cell>
          <cell r="H720" t="str">
            <v>FTX</v>
          </cell>
          <cell r="I720" t="str">
            <v>HOPPER, HOLB, GROVER, EIGER</v>
          </cell>
          <cell r="J720" t="str">
            <v>Expeditors</v>
          </cell>
        </row>
        <row r="721">
          <cell r="B721" t="str">
            <v>INV06212</v>
          </cell>
          <cell r="C721"/>
          <cell r="D721"/>
          <cell r="E721">
            <v>13.6</v>
          </cell>
          <cell r="F721" t="str">
            <v>884661903154</v>
          </cell>
          <cell r="G721" t="str">
            <v>x</v>
          </cell>
          <cell r="H721" t="str">
            <v>Jabil MY</v>
          </cell>
          <cell r="I721" t="str">
            <v>DDR4</v>
          </cell>
          <cell r="J721" t="str">
            <v>FedEx</v>
          </cell>
        </row>
        <row r="722">
          <cell r="B722" t="str">
            <v>E00976</v>
          </cell>
          <cell r="C722"/>
          <cell r="D722"/>
          <cell r="E722">
            <v>5.3</v>
          </cell>
          <cell r="F722" t="str">
            <v>884683884079</v>
          </cell>
          <cell r="G722"/>
          <cell r="H722" t="str">
            <v>HQ1</v>
          </cell>
          <cell r="I722" t="str">
            <v>DDR4, CAP, IND, IC, COVER, RES</v>
          </cell>
          <cell r="J722" t="str">
            <v>FedEx</v>
          </cell>
        </row>
        <row r="723">
          <cell r="B723" t="str">
            <v>INV06213</v>
          </cell>
          <cell r="C723"/>
          <cell r="D723"/>
          <cell r="E723">
            <v>936.1</v>
          </cell>
          <cell r="F723" t="str">
            <v>HN90004463</v>
          </cell>
          <cell r="G723" t="str">
            <v>x</v>
          </cell>
          <cell r="H723" t="str">
            <v>Lucid Arizona</v>
          </cell>
          <cell r="I723" t="str">
            <v>CCCV2, CABIN, REAR</v>
          </cell>
          <cell r="J723" t="str">
            <v>DSV</v>
          </cell>
        </row>
        <row r="724">
          <cell r="B724" t="str">
            <v>INV06214</v>
          </cell>
          <cell r="C724"/>
          <cell r="D724"/>
          <cell r="E724">
            <v>745.6</v>
          </cell>
          <cell r="F724" t="str">
            <v>HN90004464</v>
          </cell>
          <cell r="G724" t="str">
            <v>x</v>
          </cell>
          <cell r="H724" t="str">
            <v>Lucid Arizona</v>
          </cell>
          <cell r="I724" t="str">
            <v>FRONT</v>
          </cell>
          <cell r="J724" t="str">
            <v>DSV</v>
          </cell>
        </row>
        <row r="725">
          <cell r="B725" t="str">
            <v>INV06215</v>
          </cell>
          <cell r="C725"/>
          <cell r="D725"/>
          <cell r="E725">
            <v>745.6</v>
          </cell>
          <cell r="F725" t="str">
            <v>HN90004465</v>
          </cell>
          <cell r="G725" t="str">
            <v>x</v>
          </cell>
          <cell r="H725" t="str">
            <v>Lucid Arizona</v>
          </cell>
          <cell r="I725" t="str">
            <v>FRONT</v>
          </cell>
          <cell r="J725" t="str">
            <v>DSV</v>
          </cell>
        </row>
        <row r="726">
          <cell r="B726" t="str">
            <v>INV06216</v>
          </cell>
          <cell r="C726"/>
          <cell r="D726"/>
          <cell r="E726">
            <v>677.69999999999993</v>
          </cell>
          <cell r="F726" t="str">
            <v>HN90004466</v>
          </cell>
          <cell r="G726" t="str">
            <v>x</v>
          </cell>
          <cell r="H726" t="str">
            <v>Lucid Arizona</v>
          </cell>
          <cell r="I726" t="str">
            <v>ICC, FRONT, CCCV2</v>
          </cell>
          <cell r="J726" t="str">
            <v>DSV</v>
          </cell>
        </row>
        <row r="727">
          <cell r="B727" t="str">
            <v>INV06217</v>
          </cell>
          <cell r="C727"/>
          <cell r="D727"/>
          <cell r="E727">
            <v>6.2</v>
          </cell>
          <cell r="F727" t="str">
            <v>884684395138</v>
          </cell>
          <cell r="G727" t="str">
            <v>x</v>
          </cell>
          <cell r="H727" t="str">
            <v>Lucid US</v>
          </cell>
          <cell r="I727" t="str">
            <v>ICC</v>
          </cell>
          <cell r="J727" t="str">
            <v>FedEx</v>
          </cell>
        </row>
        <row r="728">
          <cell r="B728" t="str">
            <v>INV06218</v>
          </cell>
          <cell r="C728"/>
          <cell r="D728"/>
          <cell r="E728">
            <v>449.8</v>
          </cell>
          <cell r="F728" t="str">
            <v>884684620745</v>
          </cell>
          <cell r="G728" t="str">
            <v>x</v>
          </cell>
          <cell r="H728" t="str">
            <v>Jabil MX</v>
          </cell>
          <cell r="I728" t="str">
            <v>HLOB</v>
          </cell>
          <cell r="J728" t="str">
            <v>FedEx</v>
          </cell>
        </row>
        <row r="729">
          <cell r="B729" t="str">
            <v>INV06219</v>
          </cell>
          <cell r="C729"/>
          <cell r="D729"/>
          <cell r="E729">
            <v>449.8</v>
          </cell>
          <cell r="F729" t="str">
            <v>884685489418</v>
          </cell>
          <cell r="G729" t="str">
            <v>x</v>
          </cell>
          <cell r="H729" t="str">
            <v>Jabil MX</v>
          </cell>
          <cell r="I729" t="str">
            <v>HLOB</v>
          </cell>
          <cell r="J729" t="str">
            <v>FedEx</v>
          </cell>
        </row>
        <row r="730">
          <cell r="B730" t="str">
            <v>INV06220</v>
          </cell>
          <cell r="C730"/>
          <cell r="D730"/>
          <cell r="E730">
            <v>449.8</v>
          </cell>
          <cell r="F730" t="str">
            <v>884685823253</v>
          </cell>
          <cell r="G730" t="str">
            <v>x</v>
          </cell>
          <cell r="H730" t="str">
            <v>Jabil MX</v>
          </cell>
          <cell r="I730" t="str">
            <v>HLOB</v>
          </cell>
          <cell r="J730" t="str">
            <v>FedEx</v>
          </cell>
        </row>
        <row r="731">
          <cell r="B731" t="str">
            <v>INV06221</v>
          </cell>
          <cell r="C731"/>
          <cell r="D731"/>
          <cell r="E731">
            <v>439.8</v>
          </cell>
          <cell r="F731" t="str">
            <v>884687664684 </v>
          </cell>
          <cell r="G731" t="str">
            <v>x</v>
          </cell>
          <cell r="H731" t="str">
            <v>Jabil MX</v>
          </cell>
          <cell r="I731" t="str">
            <v>HLOB</v>
          </cell>
          <cell r="J731" t="str">
            <v>FedEx</v>
          </cell>
        </row>
        <row r="732">
          <cell r="B732" t="str">
            <v>INV06222</v>
          </cell>
          <cell r="C732"/>
          <cell r="D732"/>
          <cell r="E732">
            <v>290.8</v>
          </cell>
          <cell r="F732" t="str">
            <v>HN90004475</v>
          </cell>
          <cell r="G732" t="str">
            <v>x</v>
          </cell>
          <cell r="H732" t="str">
            <v>Lucid Arizona</v>
          </cell>
          <cell r="I732" t="str">
            <v>DCM</v>
          </cell>
          <cell r="J732" t="str">
            <v>DSV</v>
          </cell>
        </row>
        <row r="733">
          <cell r="B733" t="str">
            <v>INV06223</v>
          </cell>
          <cell r="C733"/>
          <cell r="D733"/>
          <cell r="E733">
            <v>107.6</v>
          </cell>
          <cell r="F733" t="str">
            <v>45T0415001</v>
          </cell>
          <cell r="G733" t="str">
            <v>x</v>
          </cell>
          <cell r="H733" t="str">
            <v>UPS SCS</v>
          </cell>
          <cell r="I733" t="str">
            <v>Grover</v>
          </cell>
          <cell r="J733" t="str">
            <v>Expeditors</v>
          </cell>
        </row>
        <row r="734">
          <cell r="B734" t="str">
            <v>INV06224</v>
          </cell>
          <cell r="C734"/>
          <cell r="D734"/>
          <cell r="E734">
            <v>73.099999999999994</v>
          </cell>
          <cell r="F734" t="str">
            <v>PAE-250997</v>
          </cell>
          <cell r="G734" t="str">
            <v>x</v>
          </cell>
          <cell r="H734" t="str">
            <v>RAHI</v>
          </cell>
          <cell r="I734" t="str">
            <v>DDR4</v>
          </cell>
          <cell r="J734" t="str">
            <v>Panda</v>
          </cell>
        </row>
        <row r="735">
          <cell r="B735" t="str">
            <v>INV06225</v>
          </cell>
          <cell r="C735"/>
          <cell r="D735"/>
          <cell r="E735">
            <v>777</v>
          </cell>
          <cell r="F735" t="str">
            <v>HN90004470</v>
          </cell>
          <cell r="G735" t="str">
            <v>x</v>
          </cell>
          <cell r="H735" t="str">
            <v>Lucid Arizona</v>
          </cell>
          <cell r="I735" t="str">
            <v>FRONT</v>
          </cell>
          <cell r="J735" t="str">
            <v>DSV</v>
          </cell>
        </row>
        <row r="736">
          <cell r="B736" t="str">
            <v>INV06226</v>
          </cell>
          <cell r="C736"/>
          <cell r="D736"/>
          <cell r="E736">
            <v>893.39999999999986</v>
          </cell>
          <cell r="F736" t="str">
            <v>HN90004471</v>
          </cell>
          <cell r="G736" t="str">
            <v>x</v>
          </cell>
          <cell r="H736" t="str">
            <v>Lucid Arizona</v>
          </cell>
          <cell r="I736" t="str">
            <v>CABIN, REAR</v>
          </cell>
          <cell r="J736" t="str">
            <v>DSV</v>
          </cell>
        </row>
        <row r="737">
          <cell r="B737" t="str">
            <v>INV06227</v>
          </cell>
          <cell r="C737"/>
          <cell r="D737"/>
          <cell r="E737">
            <v>717.90000000000009</v>
          </cell>
          <cell r="F737" t="str">
            <v>HN90004472</v>
          </cell>
          <cell r="G737" t="str">
            <v>x</v>
          </cell>
          <cell r="H737" t="str">
            <v>Lucid Arizona</v>
          </cell>
          <cell r="I737" t="str">
            <v>VCU, REAR, FRONT</v>
          </cell>
          <cell r="J737" t="str">
            <v>DSV</v>
          </cell>
        </row>
        <row r="738">
          <cell r="B738" t="str">
            <v>INV06228</v>
          </cell>
          <cell r="C738"/>
          <cell r="D738"/>
          <cell r="E738">
            <v>761.09999999999991</v>
          </cell>
          <cell r="F738" t="str">
            <v>HN90004473</v>
          </cell>
          <cell r="G738" t="str">
            <v>x</v>
          </cell>
          <cell r="H738" t="str">
            <v>Lucid Arizona</v>
          </cell>
          <cell r="I738" t="str">
            <v>REAR, UCC, BCM</v>
          </cell>
          <cell r="J738" t="str">
            <v>DSV</v>
          </cell>
        </row>
        <row r="739">
          <cell r="B739" t="str">
            <v>INV06229</v>
          </cell>
          <cell r="C739"/>
          <cell r="D739"/>
          <cell r="E739">
            <v>893.6</v>
          </cell>
          <cell r="F739" t="str">
            <v>HN90004474</v>
          </cell>
          <cell r="G739" t="str">
            <v>x</v>
          </cell>
          <cell r="H739" t="str">
            <v>Lucid Arizona</v>
          </cell>
          <cell r="I739" t="str">
            <v>UCC, DCM</v>
          </cell>
          <cell r="J739" t="str">
            <v>DSV</v>
          </cell>
        </row>
        <row r="740">
          <cell r="B740" t="str">
            <v>E00977</v>
          </cell>
          <cell r="C740"/>
          <cell r="D740"/>
          <cell r="E740">
            <v>7.2</v>
          </cell>
          <cell r="F740" t="str">
            <v>884688555710</v>
          </cell>
          <cell r="G740"/>
          <cell r="H740" t="str">
            <v>Unigen MY</v>
          </cell>
          <cell r="I740" t="str">
            <v>PCB, CONN, TRAY, RES, CAP</v>
          </cell>
          <cell r="J740" t="str">
            <v>FedEx</v>
          </cell>
        </row>
        <row r="741">
          <cell r="B741" t="str">
            <v>INV06230</v>
          </cell>
          <cell r="C741"/>
          <cell r="D741"/>
          <cell r="E741">
            <v>24.2</v>
          </cell>
          <cell r="F741" t="str">
            <v>884741210890</v>
          </cell>
          <cell r="G741" t="str">
            <v>x</v>
          </cell>
          <cell r="H741" t="str">
            <v>Cloud HK (Bangtai)</v>
          </cell>
          <cell r="I741" t="str">
            <v>DDR4</v>
          </cell>
          <cell r="J741" t="str">
            <v>FedEx</v>
          </cell>
        </row>
        <row r="742">
          <cell r="B742" t="str">
            <v>INV06231</v>
          </cell>
          <cell r="C742"/>
          <cell r="D742"/>
          <cell r="E742">
            <v>183</v>
          </cell>
          <cell r="F742" t="str">
            <v>45T0416085</v>
          </cell>
          <cell r="G742" t="str">
            <v>x</v>
          </cell>
          <cell r="H742" t="str">
            <v>ZT Systems</v>
          </cell>
          <cell r="I742" t="str">
            <v>POWER GEM</v>
          </cell>
          <cell r="J742" t="str">
            <v>Expeditors</v>
          </cell>
        </row>
        <row r="743">
          <cell r="B743" t="str">
            <v>INV06232</v>
          </cell>
          <cell r="C743"/>
          <cell r="D743"/>
          <cell r="E743">
            <v>382.8</v>
          </cell>
          <cell r="F743" t="str">
            <v>45T0415549</v>
          </cell>
          <cell r="G743" t="str">
            <v>x</v>
          </cell>
          <cell r="H743" t="str">
            <v>FTX</v>
          </cell>
          <cell r="I743" t="str">
            <v>Grover</v>
          </cell>
          <cell r="J743" t="str">
            <v>Expeditors</v>
          </cell>
        </row>
        <row r="744">
          <cell r="B744" t="str">
            <v>INV06233</v>
          </cell>
          <cell r="C744"/>
          <cell r="D744"/>
          <cell r="E744">
            <v>2</v>
          </cell>
          <cell r="F744" t="str">
            <v>884778415873</v>
          </cell>
          <cell r="G744" t="str">
            <v>x</v>
          </cell>
          <cell r="H744" t="str">
            <v>Jabil MY</v>
          </cell>
          <cell r="I744" t="str">
            <v>EUSB</v>
          </cell>
          <cell r="J744" t="str">
            <v>FedEx</v>
          </cell>
        </row>
        <row r="745">
          <cell r="B745" t="str">
            <v>INV06234</v>
          </cell>
          <cell r="C745"/>
          <cell r="D745"/>
          <cell r="E745">
            <v>274.8</v>
          </cell>
          <cell r="F745" t="str">
            <v>HN90004498</v>
          </cell>
          <cell r="G745" t="str">
            <v>x</v>
          </cell>
          <cell r="H745" t="str">
            <v>Lucid Arizona</v>
          </cell>
          <cell r="I745" t="str">
            <v>DCM</v>
          </cell>
          <cell r="J745" t="str">
            <v>DSV</v>
          </cell>
        </row>
        <row r="746">
          <cell r="B746" t="str">
            <v>INV06235</v>
          </cell>
          <cell r="C746"/>
          <cell r="D746"/>
          <cell r="E746">
            <v>1544</v>
          </cell>
          <cell r="F746" t="str">
            <v>HN90004499</v>
          </cell>
          <cell r="G746" t="str">
            <v>x</v>
          </cell>
          <cell r="H746" t="str">
            <v>Lucid Arizona</v>
          </cell>
          <cell r="I746" t="str">
            <v>FRONT</v>
          </cell>
          <cell r="J746" t="str">
            <v>DSV</v>
          </cell>
        </row>
        <row r="747">
          <cell r="B747" t="str">
            <v>INV06236</v>
          </cell>
          <cell r="C747"/>
          <cell r="D747"/>
          <cell r="E747">
            <v>1711.9999999999998</v>
          </cell>
          <cell r="F747" t="str">
            <v>HN90004500</v>
          </cell>
          <cell r="G747" t="str">
            <v>x</v>
          </cell>
          <cell r="H747" t="str">
            <v>Lucid Arizona</v>
          </cell>
          <cell r="I747" t="str">
            <v>CABIN, FRONT, REAR, CCCV2, ICC</v>
          </cell>
          <cell r="J747" t="str">
            <v>DSV</v>
          </cell>
        </row>
        <row r="748">
          <cell r="B748" t="str">
            <v>INV06237</v>
          </cell>
          <cell r="C748"/>
          <cell r="D748"/>
          <cell r="E748">
            <v>1688.2000000000003</v>
          </cell>
          <cell r="F748" t="str">
            <v>HN90004502</v>
          </cell>
          <cell r="G748" t="str">
            <v>x</v>
          </cell>
          <cell r="H748" t="str">
            <v>Lucid Arizona</v>
          </cell>
          <cell r="I748" t="str">
            <v>REAR, DCM</v>
          </cell>
          <cell r="J748" t="str">
            <v>DSV</v>
          </cell>
        </row>
        <row r="749">
          <cell r="B749" t="str">
            <v>INV06238</v>
          </cell>
          <cell r="C749"/>
          <cell r="D749"/>
          <cell r="E749">
            <v>1437.6</v>
          </cell>
          <cell r="F749" t="str">
            <v>HN90004507</v>
          </cell>
          <cell r="G749" t="str">
            <v>x</v>
          </cell>
          <cell r="H749" t="str">
            <v>Lucid Arizona</v>
          </cell>
          <cell r="I749" t="str">
            <v>FRONT, VCU, BCM</v>
          </cell>
          <cell r="J749" t="str">
            <v>DSV</v>
          </cell>
        </row>
        <row r="750">
          <cell r="B750" t="str">
            <v>INV06239</v>
          </cell>
          <cell r="C750"/>
          <cell r="D750"/>
          <cell r="E750">
            <v>1816.9</v>
          </cell>
          <cell r="F750" t="str">
            <v>HN90004501</v>
          </cell>
          <cell r="G750" t="str">
            <v>x</v>
          </cell>
          <cell r="H750" t="str">
            <v>Lucid Arizona</v>
          </cell>
          <cell r="I750" t="str">
            <v>FRONT, CABIN, UCC</v>
          </cell>
          <cell r="J750" t="str">
            <v>DSV</v>
          </cell>
        </row>
        <row r="751">
          <cell r="B751" t="str">
            <v>E00978</v>
          </cell>
          <cell r="C751"/>
          <cell r="D751"/>
          <cell r="E751">
            <v>9.3000000000000007</v>
          </cell>
          <cell r="F751" t="str">
            <v>884843221724</v>
          </cell>
          <cell r="G751"/>
          <cell r="H751" t="str">
            <v>NI MY</v>
          </cell>
          <cell r="I751" t="str">
            <v>module, psu</v>
          </cell>
          <cell r="J751" t="str">
            <v>FedEx</v>
          </cell>
        </row>
        <row r="752">
          <cell r="B752" t="str">
            <v>Sample 691</v>
          </cell>
          <cell r="C752"/>
          <cell r="D752"/>
          <cell r="E752">
            <v>1</v>
          </cell>
          <cell r="F752" t="str">
            <v>1335924822</v>
          </cell>
          <cell r="G752" t="str">
            <v>x</v>
          </cell>
          <cell r="H752" t="str">
            <v>Shennan</v>
          </cell>
          <cell r="I752" t="str">
            <v>PCB</v>
          </cell>
          <cell r="J752" t="str">
            <v>DHL</v>
          </cell>
        </row>
        <row r="753">
          <cell r="B753" t="str">
            <v>INV06240</v>
          </cell>
          <cell r="C753"/>
          <cell r="D753"/>
          <cell r="E753">
            <v>11.5</v>
          </cell>
          <cell r="F753" t="str">
            <v>884824815763</v>
          </cell>
          <cell r="G753"/>
          <cell r="H753" t="str">
            <v>FCZ</v>
          </cell>
          <cell r="I753" t="str">
            <v>FRESHER, GROVER</v>
          </cell>
          <cell r="J753" t="str">
            <v>FedEx</v>
          </cell>
        </row>
        <row r="754">
          <cell r="B754" t="str">
            <v>INV06241</v>
          </cell>
          <cell r="C754"/>
          <cell r="D754"/>
          <cell r="E754">
            <v>152.80000000000001</v>
          </cell>
          <cell r="F754" t="str">
            <v>HAN25007059</v>
          </cell>
          <cell r="G754" t="str">
            <v>x</v>
          </cell>
          <cell r="H754" t="str">
            <v>FCZ</v>
          </cell>
          <cell r="I754" t="str">
            <v>GROVER, HOPPER</v>
          </cell>
          <cell r="J754" t="str">
            <v>Schenker</v>
          </cell>
        </row>
        <row r="755">
          <cell r="B755" t="str">
            <v>INV06242</v>
          </cell>
          <cell r="C755"/>
          <cell r="D755"/>
          <cell r="E755">
            <v>350.9</v>
          </cell>
          <cell r="F755" t="str">
            <v>45T0416310</v>
          </cell>
          <cell r="G755" t="str">
            <v>x</v>
          </cell>
          <cell r="H755" t="str">
            <v>FTX</v>
          </cell>
          <cell r="I755" t="str">
            <v>GROVER, HOPPER</v>
          </cell>
          <cell r="J755" t="str">
            <v>Expeditors</v>
          </cell>
        </row>
        <row r="756">
          <cell r="B756" t="str">
            <v>INV06243</v>
          </cell>
          <cell r="C756"/>
          <cell r="D756"/>
          <cell r="E756">
            <v>1.6</v>
          </cell>
          <cell r="F756" t="str">
            <v>884846016821</v>
          </cell>
          <cell r="G756" t="str">
            <v>x</v>
          </cell>
          <cell r="H756" t="str">
            <v>Fiery</v>
          </cell>
          <cell r="I756" t="str">
            <v>DDR4</v>
          </cell>
          <cell r="J756" t="str">
            <v>FedEx</v>
          </cell>
        </row>
        <row r="757">
          <cell r="B757" t="str">
            <v>INV06244</v>
          </cell>
          <cell r="C757"/>
          <cell r="D757"/>
          <cell r="E757">
            <v>36</v>
          </cell>
          <cell r="F757" t="str">
            <v>884844313449</v>
          </cell>
          <cell r="G757" t="str">
            <v>x</v>
          </cell>
          <cell r="H757" t="str">
            <v>Cloud HK</v>
          </cell>
          <cell r="I757" t="str">
            <v>DDR4</v>
          </cell>
          <cell r="J757" t="str">
            <v>FedEx</v>
          </cell>
        </row>
        <row r="758">
          <cell r="B758" t="str">
            <v>INV06245</v>
          </cell>
          <cell r="C758"/>
          <cell r="D758"/>
          <cell r="E758">
            <v>15.200000000000001</v>
          </cell>
          <cell r="F758" t="str">
            <v>884846055510</v>
          </cell>
          <cell r="G758" t="str">
            <v>x</v>
          </cell>
          <cell r="H758" t="str">
            <v>Cloud HK</v>
          </cell>
          <cell r="I758" t="str">
            <v>DDR4</v>
          </cell>
          <cell r="J758" t="str">
            <v>FedEx</v>
          </cell>
        </row>
        <row r="759">
          <cell r="B759" t="str">
            <v>INV06246</v>
          </cell>
          <cell r="C759"/>
          <cell r="D759"/>
          <cell r="E759">
            <v>622.79999999999995</v>
          </cell>
          <cell r="F759" t="str">
            <v>HBL2510002</v>
          </cell>
          <cell r="G759" t="str">
            <v>x</v>
          </cell>
          <cell r="H759" t="str">
            <v>DAA</v>
          </cell>
          <cell r="I759" t="str">
            <v>USB</v>
          </cell>
          <cell r="J759" t="str">
            <v>PRIME</v>
          </cell>
        </row>
        <row r="760">
          <cell r="B760" t="str">
            <v>E00979</v>
          </cell>
          <cell r="C760"/>
          <cell r="D760"/>
          <cell r="E760">
            <v>3.5</v>
          </cell>
          <cell r="F760" t="str">
            <v>884874796173</v>
          </cell>
          <cell r="G760"/>
          <cell r="H760" t="str">
            <v>HQ1</v>
          </cell>
          <cell r="I760" t="str">
            <v>IC, carrier, Screw</v>
          </cell>
          <cell r="J760" t="str">
            <v>FedEx</v>
          </cell>
        </row>
        <row r="761">
          <cell r="B761" t="str">
            <v>E00980</v>
          </cell>
          <cell r="C761"/>
          <cell r="D761"/>
          <cell r="E761">
            <v>0.5</v>
          </cell>
          <cell r="F761" t="str">
            <v>885221088610</v>
          </cell>
          <cell r="G761" t="str">
            <v>x</v>
          </cell>
          <cell r="H761" t="str">
            <v>Master US</v>
          </cell>
          <cell r="I761" t="str">
            <v>Res</v>
          </cell>
          <cell r="J761" t="str">
            <v>FedEx</v>
          </cell>
        </row>
        <row r="762">
          <cell r="B762" t="str">
            <v>INV06247</v>
          </cell>
          <cell r="C762"/>
          <cell r="D762"/>
          <cell r="E762">
            <v>1081.2</v>
          </cell>
          <cell r="F762" t="str">
            <v>HAN0432732</v>
          </cell>
          <cell r="G762" t="str">
            <v>x</v>
          </cell>
          <cell r="H762" t="str">
            <v>HELLA</v>
          </cell>
          <cell r="I762" t="str">
            <v>HCU</v>
          </cell>
          <cell r="J762" t="str">
            <v>DSV</v>
          </cell>
        </row>
        <row r="763">
          <cell r="B763" t="str">
            <v>INV06248</v>
          </cell>
          <cell r="C763"/>
          <cell r="D763"/>
          <cell r="E763">
            <v>217.8</v>
          </cell>
          <cell r="F763" t="str">
            <v>45T0416309</v>
          </cell>
          <cell r="G763" t="str">
            <v>x</v>
          </cell>
          <cell r="H763" t="str">
            <v>FTX Express</v>
          </cell>
          <cell r="I763" t="str">
            <v>EIGER</v>
          </cell>
          <cell r="J763" t="str">
            <v>Expeditors</v>
          </cell>
        </row>
        <row r="764">
          <cell r="B764" t="str">
            <v>INV06249</v>
          </cell>
          <cell r="C764"/>
          <cell r="D764"/>
          <cell r="E764">
            <v>2.4000000000000004</v>
          </cell>
          <cell r="F764" t="str">
            <v>884956561795</v>
          </cell>
          <cell r="G764"/>
          <cell r="H764" t="str">
            <v>Arista</v>
          </cell>
          <cell r="I764" t="str">
            <v>DDR4</v>
          </cell>
          <cell r="J764" t="str">
            <v>FedEx</v>
          </cell>
        </row>
        <row r="765">
          <cell r="B765" t="str">
            <v>INV06250</v>
          </cell>
          <cell r="C765"/>
          <cell r="D765"/>
          <cell r="E765">
            <v>731.40000000000009</v>
          </cell>
          <cell r="F765" t="str">
            <v>45T0417100</v>
          </cell>
          <cell r="G765" t="str">
            <v>x</v>
          </cell>
          <cell r="H765" t="str">
            <v>FTX</v>
          </cell>
          <cell r="I765" t="str">
            <v>Eiger, Grover, Hopper</v>
          </cell>
          <cell r="J765" t="str">
            <v>Expeditors</v>
          </cell>
        </row>
        <row r="766">
          <cell r="B766" t="str">
            <v>INV06251</v>
          </cell>
          <cell r="C766"/>
          <cell r="D766"/>
          <cell r="E766">
            <v>2166.9</v>
          </cell>
          <cell r="F766" t="str">
            <v>HN90004536</v>
          </cell>
          <cell r="G766" t="str">
            <v>x</v>
          </cell>
          <cell r="H766" t="str">
            <v>Lucid Arizona</v>
          </cell>
          <cell r="I766" t="str">
            <v>CCCV2, Front, Cabin</v>
          </cell>
          <cell r="J766" t="str">
            <v>DSV</v>
          </cell>
        </row>
        <row r="767">
          <cell r="B767" t="str">
            <v>INV06252</v>
          </cell>
          <cell r="C767"/>
          <cell r="D767"/>
          <cell r="E767">
            <v>1439.1000000000001</v>
          </cell>
          <cell r="F767" t="str">
            <v>HN90004537</v>
          </cell>
          <cell r="G767" t="str">
            <v>x</v>
          </cell>
          <cell r="H767" t="str">
            <v>Lucid Arizona</v>
          </cell>
          <cell r="I767" t="str">
            <v>Front</v>
          </cell>
          <cell r="J767" t="str">
            <v>DSV</v>
          </cell>
        </row>
        <row r="768">
          <cell r="B768" t="str">
            <v>INV06253</v>
          </cell>
          <cell r="C768"/>
          <cell r="D768"/>
          <cell r="E768">
            <v>1347.1</v>
          </cell>
          <cell r="F768" t="str">
            <v>HN90004540</v>
          </cell>
          <cell r="G768" t="str">
            <v>x</v>
          </cell>
          <cell r="H768" t="str">
            <v>Lucid Arizona</v>
          </cell>
          <cell r="I768" t="str">
            <v>Front, DCM</v>
          </cell>
          <cell r="J768" t="str">
            <v>DSV</v>
          </cell>
        </row>
        <row r="769">
          <cell r="B769" t="str">
            <v>INV06254</v>
          </cell>
          <cell r="C769"/>
          <cell r="D769"/>
          <cell r="E769">
            <v>1548.9</v>
          </cell>
          <cell r="F769" t="str">
            <v>HN90004539</v>
          </cell>
          <cell r="G769" t="str">
            <v>x</v>
          </cell>
          <cell r="H769" t="str">
            <v>Lucid Arizona</v>
          </cell>
          <cell r="I769" t="str">
            <v>VCU, Cabin, Rear</v>
          </cell>
          <cell r="J769" t="str">
            <v>DSV</v>
          </cell>
        </row>
        <row r="770">
          <cell r="B770" t="str">
            <v>INV06255</v>
          </cell>
          <cell r="C770"/>
          <cell r="D770"/>
          <cell r="E770">
            <v>1402.2</v>
          </cell>
          <cell r="F770" t="str">
            <v>HN90004538</v>
          </cell>
          <cell r="G770" t="str">
            <v>x</v>
          </cell>
          <cell r="H770" t="str">
            <v>Lucid Arizona</v>
          </cell>
          <cell r="I770" t="str">
            <v>VCU, Cabin, Rear, BCM</v>
          </cell>
          <cell r="J770" t="str">
            <v>DSV</v>
          </cell>
        </row>
        <row r="771">
          <cell r="B771" t="str">
            <v>INV06256</v>
          </cell>
          <cell r="C771"/>
          <cell r="D771"/>
          <cell r="E771">
            <v>1920</v>
          </cell>
          <cell r="F771" t="str">
            <v>HN90004541</v>
          </cell>
          <cell r="G771" t="str">
            <v>x</v>
          </cell>
          <cell r="H771" t="str">
            <v>Lucid Arizona</v>
          </cell>
          <cell r="I771" t="str">
            <v>Front</v>
          </cell>
          <cell r="J771" t="str">
            <v>DSV</v>
          </cell>
        </row>
        <row r="772">
          <cell r="B772" t="str">
            <v>INV06257</v>
          </cell>
          <cell r="C772"/>
          <cell r="D772"/>
          <cell r="E772">
            <v>1200.7</v>
          </cell>
          <cell r="F772" t="str">
            <v>HN90004542</v>
          </cell>
          <cell r="G772" t="str">
            <v>x</v>
          </cell>
          <cell r="H772" t="str">
            <v>Lucid Arizona</v>
          </cell>
          <cell r="I772" t="str">
            <v>UCC, Rear, DCM</v>
          </cell>
          <cell r="J772" t="str">
            <v>DSV</v>
          </cell>
        </row>
        <row r="773">
          <cell r="B773" t="str">
            <v>INV06258</v>
          </cell>
          <cell r="C773"/>
          <cell r="D773"/>
          <cell r="E773">
            <v>130.9</v>
          </cell>
          <cell r="F773" t="str">
            <v>PAE-251004</v>
          </cell>
          <cell r="G773" t="str">
            <v>x</v>
          </cell>
          <cell r="H773" t="str">
            <v>RAHI</v>
          </cell>
          <cell r="I773" t="str">
            <v>DDR4</v>
          </cell>
          <cell r="J773" t="str">
            <v>Panda</v>
          </cell>
        </row>
        <row r="774">
          <cell r="B774" t="str">
            <v>SAMPLE 692</v>
          </cell>
          <cell r="C774"/>
          <cell r="D774"/>
          <cell r="E774">
            <v>0.2</v>
          </cell>
          <cell r="F774" t="str">
            <v>884955535714</v>
          </cell>
          <cell r="G774" t="str">
            <v>x</v>
          </cell>
          <cell r="H774" t="str">
            <v>Min Aik</v>
          </cell>
          <cell r="I774" t="str">
            <v>Tray, Hook</v>
          </cell>
          <cell r="J774" t="str">
            <v>FedEx</v>
          </cell>
        </row>
        <row r="775">
          <cell r="B775" t="str">
            <v>E00981</v>
          </cell>
          <cell r="C775"/>
          <cell r="D775"/>
          <cell r="E775">
            <v>92</v>
          </cell>
          <cell r="F775" t="str">
            <v>3379515160</v>
          </cell>
          <cell r="G775" t="str">
            <v>x</v>
          </cell>
          <cell r="H775" t="str">
            <v>Rosenberger</v>
          </cell>
          <cell r="I775" t="str">
            <v>Connector</v>
          </cell>
          <cell r="J775" t="str">
            <v>DHL</v>
          </cell>
        </row>
        <row r="776">
          <cell r="B776" t="str">
            <v>INV06259</v>
          </cell>
          <cell r="C776"/>
          <cell r="D776"/>
          <cell r="E776">
            <v>2.8</v>
          </cell>
          <cell r="F776" t="str">
            <v>884990552513</v>
          </cell>
          <cell r="G776" t="str">
            <v>x</v>
          </cell>
          <cell r="H776" t="str">
            <v>Fiery</v>
          </cell>
          <cell r="I776" t="str">
            <v>DDR4</v>
          </cell>
          <cell r="J776" t="str">
            <v>FedEx</v>
          </cell>
        </row>
        <row r="777">
          <cell r="B777" t="str">
            <v>INV06260</v>
          </cell>
          <cell r="C777"/>
          <cell r="D777"/>
          <cell r="E777">
            <v>169.7</v>
          </cell>
          <cell r="F777" t="str">
            <v>3659938995</v>
          </cell>
          <cell r="G777" t="str">
            <v>x</v>
          </cell>
          <cell r="H777" t="str">
            <v>AVNET US</v>
          </cell>
          <cell r="I777" t="str">
            <v>PCBA, DDR4</v>
          </cell>
          <cell r="J777" t="str">
            <v>DHL</v>
          </cell>
        </row>
        <row r="778">
          <cell r="B778" t="str">
            <v>INV06261</v>
          </cell>
          <cell r="C778"/>
          <cell r="D778"/>
          <cell r="E778">
            <v>4.2</v>
          </cell>
          <cell r="F778" t="str">
            <v>885030726952</v>
          </cell>
          <cell r="G778" t="str">
            <v>x</v>
          </cell>
          <cell r="H778" t="str">
            <v>Jabil MY</v>
          </cell>
          <cell r="I778" t="str">
            <v>EUSB</v>
          </cell>
          <cell r="J778" t="str">
            <v>FedEx</v>
          </cell>
        </row>
        <row r="779">
          <cell r="B779" t="str">
            <v>INV06262</v>
          </cell>
          <cell r="C779"/>
          <cell r="D779"/>
          <cell r="E779">
            <v>2.2000000000000002</v>
          </cell>
          <cell r="F779" t="str">
            <v>885030639581</v>
          </cell>
          <cell r="G779" t="str">
            <v>x</v>
          </cell>
          <cell r="H779" t="str">
            <v>Jabil MY</v>
          </cell>
          <cell r="I779" t="str">
            <v>EUSB</v>
          </cell>
          <cell r="J779" t="str">
            <v>FedEx</v>
          </cell>
        </row>
        <row r="780">
          <cell r="B780" t="str">
            <v>INV06263</v>
          </cell>
          <cell r="C780"/>
          <cell r="D780"/>
          <cell r="E780">
            <v>263.5</v>
          </cell>
          <cell r="F780" t="str">
            <v xml:space="preserve">HAN25007120 </v>
          </cell>
          <cell r="G780" t="str">
            <v>x</v>
          </cell>
          <cell r="H780" t="str">
            <v>FCZ</v>
          </cell>
          <cell r="I780" t="str">
            <v>Hopper, Grover</v>
          </cell>
          <cell r="J780" t="str">
            <v>Schenker</v>
          </cell>
        </row>
        <row r="781">
          <cell r="B781" t="str">
            <v>INV06264</v>
          </cell>
          <cell r="C781"/>
          <cell r="D781"/>
          <cell r="E781">
            <v>0.7</v>
          </cell>
          <cell r="F781" t="str">
            <v>885023751480</v>
          </cell>
          <cell r="G781" t="str">
            <v>x</v>
          </cell>
          <cell r="H781" t="str">
            <v>Flextronics</v>
          </cell>
          <cell r="I781" t="str">
            <v>DDR4</v>
          </cell>
          <cell r="J781" t="str">
            <v>FedEx</v>
          </cell>
        </row>
        <row r="782">
          <cell r="B782" t="str">
            <v>INV06265</v>
          </cell>
          <cell r="C782"/>
          <cell r="D782"/>
          <cell r="E782">
            <v>445.8</v>
          </cell>
          <cell r="F782" t="str">
            <v>885063384500</v>
          </cell>
          <cell r="G782" t="str">
            <v>x</v>
          </cell>
          <cell r="H782" t="str">
            <v>Jabil MX</v>
          </cell>
          <cell r="I782" t="str">
            <v>HLOB</v>
          </cell>
          <cell r="J782" t="str">
            <v>FedEx</v>
          </cell>
        </row>
        <row r="783">
          <cell r="B783" t="str">
            <v>INV06266</v>
          </cell>
          <cell r="C783"/>
          <cell r="D783"/>
          <cell r="E783">
            <v>445.8</v>
          </cell>
          <cell r="F783" t="str">
            <v>885063427297</v>
          </cell>
          <cell r="G783" t="str">
            <v>x</v>
          </cell>
          <cell r="H783" t="str">
            <v>Jabil MX</v>
          </cell>
          <cell r="I783" t="str">
            <v>HLOB</v>
          </cell>
          <cell r="J783" t="str">
            <v>FedEx</v>
          </cell>
        </row>
        <row r="784">
          <cell r="B784" t="str">
            <v>INV06267</v>
          </cell>
          <cell r="C784"/>
          <cell r="D784"/>
          <cell r="E784">
            <v>445.8</v>
          </cell>
          <cell r="F784" t="str">
            <v>885063460002</v>
          </cell>
          <cell r="G784" t="str">
            <v>x</v>
          </cell>
          <cell r="H784" t="str">
            <v>Jabil MX</v>
          </cell>
          <cell r="I784" t="str">
            <v>HLOB</v>
          </cell>
          <cell r="J784" t="str">
            <v>FedEx</v>
          </cell>
        </row>
        <row r="785">
          <cell r="B785" t="str">
            <v>INV06268</v>
          </cell>
          <cell r="C785"/>
          <cell r="D785"/>
          <cell r="E785">
            <v>445.8</v>
          </cell>
          <cell r="F785" t="str">
            <v>885063562497</v>
          </cell>
          <cell r="G785" t="str">
            <v>x</v>
          </cell>
          <cell r="H785" t="str">
            <v>Jabil MX</v>
          </cell>
          <cell r="I785" t="str">
            <v>HLOB</v>
          </cell>
          <cell r="J785" t="str">
            <v>FedEx</v>
          </cell>
        </row>
        <row r="786">
          <cell r="B786" t="str">
            <v>INV06269</v>
          </cell>
          <cell r="C786"/>
          <cell r="D786"/>
          <cell r="E786">
            <v>888</v>
          </cell>
          <cell r="F786" t="str">
            <v>HBL2510010</v>
          </cell>
          <cell r="G786"/>
          <cell r="H786" t="str">
            <v>DAA</v>
          </cell>
          <cell r="I786" t="str">
            <v>USB</v>
          </cell>
          <cell r="J786" t="str">
            <v>PRIME</v>
          </cell>
        </row>
        <row r="787">
          <cell r="B787" t="str">
            <v>INV06270</v>
          </cell>
          <cell r="C787"/>
          <cell r="D787"/>
          <cell r="E787">
            <v>317.89999999999998</v>
          </cell>
          <cell r="F787" t="str">
            <v>HN90004786</v>
          </cell>
          <cell r="G787"/>
          <cell r="H787" t="str">
            <v>Lucid US</v>
          </cell>
          <cell r="I787" t="str">
            <v>CCCV2, UCC</v>
          </cell>
          <cell r="J787" t="str">
            <v>DSV</v>
          </cell>
        </row>
        <row r="788">
          <cell r="B788" t="str">
            <v>SAMPLE 693</v>
          </cell>
          <cell r="C788"/>
          <cell r="D788"/>
          <cell r="E788">
            <v>0.2</v>
          </cell>
          <cell r="F788" t="str">
            <v>885062551015</v>
          </cell>
          <cell r="G788"/>
          <cell r="H788" t="str">
            <v>Future</v>
          </cell>
          <cell r="I788" t="str">
            <v>IC</v>
          </cell>
          <cell r="J788" t="str">
            <v>FedEx</v>
          </cell>
        </row>
        <row r="789">
          <cell r="B789" t="str">
            <v>SAMPLE 694</v>
          </cell>
          <cell r="C789"/>
          <cell r="D789"/>
          <cell r="E789">
            <v>0.2</v>
          </cell>
          <cell r="F789" t="str">
            <v>885062246511</v>
          </cell>
          <cell r="G789"/>
          <cell r="H789" t="str">
            <v>Texas</v>
          </cell>
          <cell r="I789" t="str">
            <v>IC</v>
          </cell>
          <cell r="J789" t="str">
            <v>FedEx</v>
          </cell>
        </row>
        <row r="790">
          <cell r="B790" t="str">
            <v>INV06271</v>
          </cell>
          <cell r="C790"/>
          <cell r="D790"/>
          <cell r="E790">
            <v>13.6</v>
          </cell>
          <cell r="F790" t="str">
            <v>885114506653</v>
          </cell>
          <cell r="G790"/>
          <cell r="H790" t="str">
            <v>Jabil MX</v>
          </cell>
          <cell r="I790" t="str">
            <v>HLOB</v>
          </cell>
          <cell r="J790" t="str">
            <v>FedEx</v>
          </cell>
        </row>
        <row r="791">
          <cell r="B791" t="str">
            <v>INV06272</v>
          </cell>
          <cell r="C791"/>
          <cell r="D791"/>
          <cell r="E791">
            <v>15.9</v>
          </cell>
          <cell r="F791" t="str">
            <v>EFS25071</v>
          </cell>
          <cell r="G791"/>
          <cell r="H791" t="str">
            <v>Baynex</v>
          </cell>
          <cell r="I791" t="str">
            <v>HOPPER</v>
          </cell>
          <cell r="J791" t="str">
            <v>Embassy</v>
          </cell>
        </row>
        <row r="792">
          <cell r="B792" t="str">
            <v>INV06273</v>
          </cell>
          <cell r="C792"/>
          <cell r="D792"/>
          <cell r="E792">
            <v>3.5</v>
          </cell>
          <cell r="F792" t="str">
            <v>885114696437</v>
          </cell>
          <cell r="G792"/>
          <cell r="H792" t="str">
            <v>Cloud Bangtai</v>
          </cell>
          <cell r="I792" t="str">
            <v>DDR4</v>
          </cell>
          <cell r="J792" t="str">
            <v>FedEx</v>
          </cell>
        </row>
        <row r="793">
          <cell r="B793" t="str">
            <v>INV06274</v>
          </cell>
          <cell r="C793"/>
          <cell r="D793"/>
          <cell r="E793">
            <v>985.2</v>
          </cell>
          <cell r="F793" t="str">
            <v>HAN0434830</v>
          </cell>
          <cell r="G793"/>
          <cell r="H793" t="str">
            <v>Lucid Arizona</v>
          </cell>
          <cell r="I793" t="str">
            <v>CCCV2, Front</v>
          </cell>
          <cell r="J793" t="str">
            <v>DSV</v>
          </cell>
        </row>
        <row r="794">
          <cell r="B794" t="str">
            <v>INV06275</v>
          </cell>
          <cell r="C794"/>
          <cell r="D794"/>
          <cell r="E794">
            <v>1434.8</v>
          </cell>
          <cell r="F794" t="str">
            <v>HN90004785</v>
          </cell>
          <cell r="G794"/>
          <cell r="H794" t="str">
            <v>Lucid Arizona</v>
          </cell>
          <cell r="I794" t="str">
            <v>Front</v>
          </cell>
          <cell r="J794" t="str">
            <v>DSV</v>
          </cell>
        </row>
        <row r="795">
          <cell r="B795" t="str">
            <v>INV06276</v>
          </cell>
          <cell r="C795"/>
          <cell r="D795"/>
          <cell r="E795">
            <v>1469.3999999999999</v>
          </cell>
          <cell r="F795" t="str">
            <v>HN90004784</v>
          </cell>
          <cell r="G795"/>
          <cell r="H795" t="str">
            <v>Lucid Arizona</v>
          </cell>
          <cell r="I795" t="str">
            <v>Cabin, Rear, DCM</v>
          </cell>
          <cell r="J795" t="str">
            <v>DSV</v>
          </cell>
        </row>
        <row r="796">
          <cell r="B796" t="str">
            <v>INV06277</v>
          </cell>
          <cell r="C796"/>
          <cell r="D796"/>
          <cell r="E796">
            <v>1109.5</v>
          </cell>
          <cell r="F796" t="str">
            <v>45T0419145</v>
          </cell>
          <cell r="G796"/>
          <cell r="H796" t="str">
            <v>AVNET US</v>
          </cell>
          <cell r="I796" t="str">
            <v>Display module</v>
          </cell>
          <cell r="J796" t="str">
            <v>Expeditors</v>
          </cell>
        </row>
        <row r="797">
          <cell r="B797" t="str">
            <v>INV06278</v>
          </cell>
          <cell r="C797"/>
          <cell r="D797"/>
          <cell r="E797">
            <v>1708.8000000000004</v>
          </cell>
          <cell r="F797" t="str">
            <v>HN90004806</v>
          </cell>
          <cell r="G797"/>
          <cell r="H797" t="str">
            <v>Lucid Arizona</v>
          </cell>
          <cell r="I797" t="str">
            <v>UCC, Front</v>
          </cell>
          <cell r="J797" t="str">
            <v>DSV</v>
          </cell>
        </row>
        <row r="798">
          <cell r="B798" t="str">
            <v>INV06279</v>
          </cell>
          <cell r="C798"/>
          <cell r="D798"/>
          <cell r="E798">
            <v>1490.4000000000003</v>
          </cell>
          <cell r="F798" t="str">
            <v>HN90004805</v>
          </cell>
          <cell r="G798"/>
          <cell r="H798" t="str">
            <v>Lucid Arizona</v>
          </cell>
          <cell r="I798" t="str">
            <v>Cabin, Rear, DCM</v>
          </cell>
          <cell r="J798" t="str">
            <v>DSV</v>
          </cell>
        </row>
        <row r="799">
          <cell r="B799" t="str">
            <v>INV06280</v>
          </cell>
          <cell r="C799"/>
          <cell r="D799"/>
          <cell r="E799">
            <v>724.8</v>
          </cell>
          <cell r="F799" t="str">
            <v>HAN0436701</v>
          </cell>
          <cell r="G799"/>
          <cell r="H799" t="str">
            <v>HELLA</v>
          </cell>
          <cell r="I799" t="str">
            <v>HCU</v>
          </cell>
          <cell r="J799" t="str">
            <v>DSV</v>
          </cell>
        </row>
        <row r="800">
          <cell r="B800" t="str">
            <v>Sample 695</v>
          </cell>
          <cell r="C800"/>
          <cell r="D800"/>
          <cell r="E800">
            <v>0.12</v>
          </cell>
          <cell r="F800" t="str">
            <v>885114656352</v>
          </cell>
          <cell r="G800"/>
          <cell r="H800" t="str">
            <v>Unigen MY</v>
          </cell>
          <cell r="I800" t="str">
            <v>SSD</v>
          </cell>
          <cell r="J800" t="str">
            <v>FedEx</v>
          </cell>
        </row>
        <row r="801">
          <cell r="B801" t="str">
            <v>INV06281</v>
          </cell>
          <cell r="C801"/>
          <cell r="D801"/>
          <cell r="E801">
            <v>6.8</v>
          </cell>
          <cell r="F801" t="str">
            <v>885150229735</v>
          </cell>
          <cell r="G801"/>
          <cell r="H801" t="str">
            <v>Jabil MY</v>
          </cell>
          <cell r="I801" t="str">
            <v>DDR4</v>
          </cell>
          <cell r="J801" t="str">
            <v>FedEx</v>
          </cell>
        </row>
        <row r="802">
          <cell r="B802" t="str">
            <v>INV06282</v>
          </cell>
          <cell r="C802"/>
          <cell r="D802"/>
          <cell r="E802">
            <v>66.400000000000006</v>
          </cell>
          <cell r="F802" t="str">
            <v>885220779961</v>
          </cell>
          <cell r="G802"/>
          <cell r="H802" t="str">
            <v>AIC RMA</v>
          </cell>
          <cell r="I802" t="str">
            <v>PCBA</v>
          </cell>
          <cell r="J802" t="str">
            <v>FedEx</v>
          </cell>
        </row>
        <row r="803">
          <cell r="B803" t="str">
            <v>E00982</v>
          </cell>
          <cell r="C803"/>
          <cell r="D803"/>
          <cell r="E803">
            <v>2.2000000000000002</v>
          </cell>
          <cell r="F803" t="str">
            <v>885148291947</v>
          </cell>
          <cell r="G803"/>
          <cell r="H803" t="str">
            <v>FJZ</v>
          </cell>
          <cell r="I803" t="str">
            <v>IC</v>
          </cell>
          <cell r="J803" t="str">
            <v>FedEx</v>
          </cell>
        </row>
        <row r="804">
          <cell r="B804" t="str">
            <v>INV06283</v>
          </cell>
          <cell r="C804"/>
          <cell r="D804"/>
          <cell r="E804">
            <v>1800</v>
          </cell>
          <cell r="F804" t="str">
            <v>HN90004815</v>
          </cell>
          <cell r="G804"/>
          <cell r="H804" t="str">
            <v>Lucid Arizona</v>
          </cell>
          <cell r="I804" t="str">
            <v>Front, Rear</v>
          </cell>
          <cell r="J804" t="str">
            <v>DSV</v>
          </cell>
        </row>
        <row r="805">
          <cell r="B805" t="str">
            <v>INV06284</v>
          </cell>
          <cell r="C805"/>
          <cell r="D805"/>
          <cell r="E805">
            <v>1948.8</v>
          </cell>
          <cell r="F805" t="str">
            <v>HN90004814</v>
          </cell>
          <cell r="G805"/>
          <cell r="H805" t="str">
            <v>Lucid Arizona</v>
          </cell>
          <cell r="I805" t="str">
            <v>ICC, FRONT, CCCV2</v>
          </cell>
          <cell r="J805" t="str">
            <v>DSV</v>
          </cell>
        </row>
        <row r="806">
          <cell r="B806" t="str">
            <v>INV06285</v>
          </cell>
          <cell r="C806"/>
          <cell r="D806"/>
          <cell r="E806">
            <v>153.30000000000001</v>
          </cell>
          <cell r="F806" t="str">
            <v>45T0418761</v>
          </cell>
          <cell r="G806"/>
          <cell r="H806" t="str">
            <v>ZT Systems</v>
          </cell>
          <cell r="I806" t="str">
            <v>Powergem</v>
          </cell>
          <cell r="J806" t="str">
            <v>Expeditors</v>
          </cell>
        </row>
        <row r="807">
          <cell r="B807" t="str">
            <v>INV06286</v>
          </cell>
          <cell r="C807"/>
          <cell r="D807"/>
          <cell r="E807">
            <v>126.4</v>
          </cell>
          <cell r="F807" t="str">
            <v>45T0417999</v>
          </cell>
          <cell r="G807"/>
          <cell r="H807" t="str">
            <v>UPS SCS</v>
          </cell>
          <cell r="I807" t="str">
            <v>Fru</v>
          </cell>
          <cell r="J807" t="str">
            <v>Expeditors</v>
          </cell>
        </row>
        <row r="808">
          <cell r="B808" t="str">
            <v>INV06287</v>
          </cell>
          <cell r="C808"/>
          <cell r="D808"/>
          <cell r="E808">
            <v>3.8</v>
          </cell>
          <cell r="F808" t="str">
            <v>885254476837</v>
          </cell>
          <cell r="G808"/>
          <cell r="H808" t="str">
            <v>Unigen MY</v>
          </cell>
          <cell r="I808" t="str">
            <v>EUSB, DDR4</v>
          </cell>
          <cell r="J808" t="str">
            <v>FedEx</v>
          </cell>
        </row>
        <row r="809">
          <cell r="B809" t="str">
            <v>INV06288</v>
          </cell>
          <cell r="C809"/>
          <cell r="D809"/>
          <cell r="E809">
            <v>439.8</v>
          </cell>
          <cell r="F809" t="str">
            <v>885228023695</v>
          </cell>
          <cell r="G809"/>
          <cell r="H809" t="str">
            <v>Jabil MX</v>
          </cell>
          <cell r="I809" t="str">
            <v>HLOB</v>
          </cell>
          <cell r="J809" t="str">
            <v>FedEx</v>
          </cell>
        </row>
        <row r="810">
          <cell r="B810" t="str">
            <v>INV06289</v>
          </cell>
          <cell r="C810"/>
          <cell r="D810"/>
          <cell r="E810">
            <v>439.8</v>
          </cell>
          <cell r="F810" t="str">
            <v>885228851892</v>
          </cell>
          <cell r="G810"/>
          <cell r="H810" t="str">
            <v>Jabil MX</v>
          </cell>
          <cell r="I810" t="str">
            <v>HLOB</v>
          </cell>
          <cell r="J810" t="str">
            <v>FedEx</v>
          </cell>
        </row>
        <row r="811">
          <cell r="B811" t="str">
            <v>INV06290</v>
          </cell>
          <cell r="C811"/>
          <cell r="D811"/>
          <cell r="E811">
            <v>439.8</v>
          </cell>
          <cell r="F811" t="str">
            <v>885228212281</v>
          </cell>
          <cell r="G811"/>
          <cell r="H811" t="str">
            <v>Jabil MX</v>
          </cell>
          <cell r="I811" t="str">
            <v>HLOB</v>
          </cell>
          <cell r="J811" t="str">
            <v>FedEx</v>
          </cell>
        </row>
        <row r="812">
          <cell r="B812" t="str">
            <v>INV06291</v>
          </cell>
          <cell r="C812"/>
          <cell r="D812"/>
          <cell r="E812">
            <v>111.7</v>
          </cell>
          <cell r="F812" t="str">
            <v>885229709230</v>
          </cell>
          <cell r="G812"/>
          <cell r="H812" t="str">
            <v>Jabil MX</v>
          </cell>
          <cell r="I812" t="str">
            <v>HLOB</v>
          </cell>
          <cell r="J812" t="str">
            <v>FedEx</v>
          </cell>
        </row>
        <row r="813">
          <cell r="B813" t="str">
            <v>INV06292</v>
          </cell>
          <cell r="C813"/>
          <cell r="D813"/>
          <cell r="E813">
            <v>439.8</v>
          </cell>
          <cell r="F813" t="str">
            <v>885229472223</v>
          </cell>
          <cell r="G813"/>
          <cell r="H813" t="str">
            <v>Jabil MX</v>
          </cell>
          <cell r="I813" t="str">
            <v>HLOB</v>
          </cell>
          <cell r="J813" t="str">
            <v>FedEx</v>
          </cell>
        </row>
        <row r="814">
          <cell r="B814" t="str">
            <v>INV06293</v>
          </cell>
          <cell r="C814"/>
          <cell r="D814"/>
          <cell r="E814">
            <v>0.7</v>
          </cell>
          <cell r="F814" t="str">
            <v>885219124288</v>
          </cell>
          <cell r="G814"/>
          <cell r="H814" t="str">
            <v>NET APP</v>
          </cell>
          <cell r="I814" t="str">
            <v>DDR4</v>
          </cell>
          <cell r="J814" t="str">
            <v>FedEx</v>
          </cell>
        </row>
        <row r="815">
          <cell r="B815" t="str">
            <v>INV06294</v>
          </cell>
          <cell r="C815"/>
          <cell r="D815"/>
          <cell r="E815">
            <v>0.6</v>
          </cell>
          <cell r="F815" t="str">
            <v>885219321505</v>
          </cell>
          <cell r="G815"/>
          <cell r="H815" t="str">
            <v>Ingrasys</v>
          </cell>
          <cell r="I815" t="str">
            <v>DDR4</v>
          </cell>
          <cell r="J815" t="str">
            <v>FedEx</v>
          </cell>
        </row>
        <row r="816">
          <cell r="B816" t="str">
            <v>INV06295</v>
          </cell>
          <cell r="C816"/>
          <cell r="D816"/>
          <cell r="E816">
            <v>0.7</v>
          </cell>
          <cell r="F816" t="str">
            <v>885220039178</v>
          </cell>
          <cell r="G816"/>
          <cell r="H816" t="str">
            <v>Arista</v>
          </cell>
          <cell r="I816" t="str">
            <v>DDR4</v>
          </cell>
          <cell r="J816" t="str">
            <v>FedEx</v>
          </cell>
        </row>
        <row r="817">
          <cell r="B817" t="str">
            <v>INV06296</v>
          </cell>
          <cell r="C817"/>
          <cell r="D817"/>
          <cell r="E817">
            <v>213.6</v>
          </cell>
          <cell r="F817" t="str">
            <v>HAN25007209</v>
          </cell>
          <cell r="G817"/>
          <cell r="H817" t="str">
            <v>FCZ</v>
          </cell>
          <cell r="I817" t="str">
            <v>GROVER, HOPPER</v>
          </cell>
          <cell r="J817" t="str">
            <v>Schenker</v>
          </cell>
        </row>
        <row r="818">
          <cell r="B818" t="str">
            <v>INV06297</v>
          </cell>
          <cell r="C818"/>
          <cell r="D818"/>
          <cell r="E818">
            <v>68.599999999999994</v>
          </cell>
          <cell r="F818" t="str">
            <v>45T0419386</v>
          </cell>
          <cell r="G818"/>
          <cell r="H818" t="str">
            <v>FTX Express</v>
          </cell>
          <cell r="I818" t="str">
            <v>Grover</v>
          </cell>
          <cell r="J818" t="str">
            <v>Expeditors</v>
          </cell>
        </row>
        <row r="819">
          <cell r="B819" t="str">
            <v>INV06298</v>
          </cell>
          <cell r="C819"/>
          <cell r="D819"/>
          <cell r="E819">
            <v>303.8</v>
          </cell>
          <cell r="F819" t="str">
            <v>45T0418770</v>
          </cell>
          <cell r="G819"/>
          <cell r="H819" t="str">
            <v>FTX Standard</v>
          </cell>
          <cell r="I819" t="str">
            <v>Eiger, Grover, Hopper</v>
          </cell>
          <cell r="J819" t="str">
            <v>Expeditors</v>
          </cell>
        </row>
        <row r="820">
          <cell r="B820" t="str">
            <v>E00983</v>
          </cell>
          <cell r="C820"/>
          <cell r="D820"/>
          <cell r="E820">
            <v>12.3</v>
          </cell>
          <cell r="F820" t="str">
            <v>885295016083</v>
          </cell>
          <cell r="G820"/>
          <cell r="H820" t="str">
            <v>HQ1</v>
          </cell>
          <cell r="I820" t="str">
            <v xml:space="preserve">Trans, Ind, Cap, IC, Res, Conn, Label, Thermal pad, Screw, </v>
          </cell>
          <cell r="J820" t="str">
            <v>FedEx</v>
          </cell>
        </row>
        <row r="821">
          <cell r="B821" t="str">
            <v>INV06299</v>
          </cell>
          <cell r="C821"/>
          <cell r="D821"/>
          <cell r="E821">
            <v>678</v>
          </cell>
          <cell r="F821" t="str">
            <v>HN90004813</v>
          </cell>
          <cell r="G821"/>
          <cell r="H821" t="str">
            <v>Lucid Arizona</v>
          </cell>
          <cell r="I821" t="str">
            <v>UCC, Cabin, DCM</v>
          </cell>
          <cell r="J821" t="str">
            <v>DSV</v>
          </cell>
        </row>
        <row r="822">
          <cell r="B822" t="str">
            <v>INV06300</v>
          </cell>
          <cell r="C822"/>
          <cell r="D822"/>
          <cell r="E822">
            <v>724.8</v>
          </cell>
          <cell r="F822" t="str">
            <v>HAN0439315</v>
          </cell>
          <cell r="G822"/>
          <cell r="H822" t="str">
            <v>HELLA</v>
          </cell>
          <cell r="I822" t="str">
            <v>HCU</v>
          </cell>
          <cell r="J822" t="str">
            <v>DSV</v>
          </cell>
        </row>
        <row r="823">
          <cell r="B823" t="str">
            <v>E00984</v>
          </cell>
          <cell r="C823"/>
          <cell r="D823"/>
          <cell r="E823">
            <v>0.7</v>
          </cell>
          <cell r="F823" t="str">
            <v>By truck</v>
          </cell>
          <cell r="G823"/>
          <cell r="H823" t="str">
            <v>Fushan</v>
          </cell>
          <cell r="I823" t="str">
            <v>Ind</v>
          </cell>
          <cell r="J823" t="str">
            <v>Truck</v>
          </cell>
        </row>
        <row r="824">
          <cell r="B824" t="str">
            <v>E00985</v>
          </cell>
          <cell r="C824"/>
          <cell r="D824"/>
          <cell r="E824">
            <v>0.7</v>
          </cell>
          <cell r="F824" t="str">
            <v>885301360400</v>
          </cell>
          <cell r="G824"/>
          <cell r="H824" t="str">
            <v>AIC</v>
          </cell>
          <cell r="I824" t="str">
            <v>IC</v>
          </cell>
          <cell r="J824" t="str">
            <v>FedEx</v>
          </cell>
        </row>
        <row r="825">
          <cell r="B825" t="str">
            <v>E00986</v>
          </cell>
          <cell r="C825"/>
          <cell r="D825"/>
          <cell r="E825">
            <v>5</v>
          </cell>
          <cell r="F825" t="str">
            <v>885339809362</v>
          </cell>
          <cell r="G825"/>
          <cell r="H825" t="str">
            <v>Kingston TW</v>
          </cell>
          <cell r="I825" t="str">
            <v>IC</v>
          </cell>
          <cell r="J825" t="str">
            <v>FedEx</v>
          </cell>
        </row>
        <row r="826">
          <cell r="B826" t="str">
            <v>INV06301</v>
          </cell>
          <cell r="C826"/>
          <cell r="D826"/>
          <cell r="E826">
            <v>0.7</v>
          </cell>
          <cell r="F826" t="str">
            <v>885306190292</v>
          </cell>
          <cell r="G826"/>
          <cell r="H826" t="str">
            <v>Ingrasys</v>
          </cell>
          <cell r="I826" t="str">
            <v>DDR4</v>
          </cell>
          <cell r="J826" t="str">
            <v>FedEx</v>
          </cell>
        </row>
        <row r="827">
          <cell r="B827" t="str">
            <v>INV06302</v>
          </cell>
          <cell r="C827"/>
          <cell r="D827"/>
          <cell r="E827">
            <v>0.7</v>
          </cell>
          <cell r="F827" t="str">
            <v>885306506948</v>
          </cell>
          <cell r="G827"/>
          <cell r="H827" t="str">
            <v>NET APP</v>
          </cell>
          <cell r="I827" t="str">
            <v>DDR4</v>
          </cell>
          <cell r="J827" t="str">
            <v>FedEx</v>
          </cell>
        </row>
        <row r="828">
          <cell r="B828" t="str">
            <v>INV06303</v>
          </cell>
          <cell r="C828"/>
          <cell r="D828"/>
          <cell r="E828">
            <v>0.7</v>
          </cell>
          <cell r="F828" t="str">
            <v>885306868109</v>
          </cell>
          <cell r="G828"/>
          <cell r="H828" t="str">
            <v>NET APP</v>
          </cell>
          <cell r="I828" t="str">
            <v>DDR4</v>
          </cell>
          <cell r="J828" t="str">
            <v>FedEx</v>
          </cell>
        </row>
        <row r="829">
          <cell r="B829" t="str">
            <v>INV06304</v>
          </cell>
          <cell r="C829"/>
          <cell r="D829"/>
          <cell r="E829">
            <v>0.5</v>
          </cell>
          <cell r="F829" t="str">
            <v>885377363805</v>
          </cell>
          <cell r="G829"/>
          <cell r="H829" t="str">
            <v>CTU</v>
          </cell>
          <cell r="I829" t="str">
            <v>DDR4</v>
          </cell>
          <cell r="J829" t="str">
            <v>FedEx</v>
          </cell>
        </row>
        <row r="830">
          <cell r="B830" t="str">
            <v>Sample 696</v>
          </cell>
          <cell r="C830"/>
          <cell r="D830"/>
          <cell r="E830">
            <v>0.1</v>
          </cell>
          <cell r="F830" t="str">
            <v>885305398454</v>
          </cell>
          <cell r="G830"/>
          <cell r="H830" t="str">
            <v>Infineon</v>
          </cell>
          <cell r="I830" t="str">
            <v>IC</v>
          </cell>
          <cell r="J830" t="str">
            <v>FedEx</v>
          </cell>
        </row>
        <row r="831">
          <cell r="B831" t="str">
            <v>INV06305</v>
          </cell>
          <cell r="C831"/>
          <cell r="D831"/>
          <cell r="E831">
            <v>844.5</v>
          </cell>
          <cell r="F831" t="str">
            <v>HN90004834</v>
          </cell>
          <cell r="G831"/>
          <cell r="H831" t="str">
            <v>Lucid Arizona</v>
          </cell>
          <cell r="I831" t="str">
            <v>CCCV2, Cabin, Rear</v>
          </cell>
          <cell r="J831" t="str">
            <v>DSV</v>
          </cell>
        </row>
        <row r="832">
          <cell r="B832" t="str">
            <v>INV06306</v>
          </cell>
          <cell r="C832"/>
          <cell r="D832"/>
          <cell r="E832">
            <v>1034.4000000000001</v>
          </cell>
          <cell r="F832" t="str">
            <v>HN90004828</v>
          </cell>
          <cell r="G832"/>
          <cell r="H832" t="str">
            <v>Lucid Arizona</v>
          </cell>
          <cell r="I832" t="str">
            <v>FRONT, CABIN</v>
          </cell>
          <cell r="J832" t="str">
            <v>DSV</v>
          </cell>
        </row>
        <row r="833">
          <cell r="B833" t="str">
            <v>INV06307</v>
          </cell>
          <cell r="C833"/>
          <cell r="D833"/>
          <cell r="E833">
            <v>493.20000000000005</v>
          </cell>
          <cell r="F833" t="str">
            <v>HN90004832</v>
          </cell>
          <cell r="G833"/>
          <cell r="H833" t="str">
            <v>Lucid Arizona</v>
          </cell>
          <cell r="I833" t="str">
            <v>Front</v>
          </cell>
          <cell r="J833" t="str">
            <v>DSV</v>
          </cell>
        </row>
        <row r="834">
          <cell r="B834" t="str">
            <v>INV06308</v>
          </cell>
          <cell r="C834"/>
          <cell r="D834"/>
          <cell r="E834">
            <v>878.4</v>
          </cell>
          <cell r="F834" t="str">
            <v>HN90004827</v>
          </cell>
          <cell r="G834"/>
          <cell r="H834" t="str">
            <v>Lucid Arizona</v>
          </cell>
          <cell r="I834" t="str">
            <v>DCM</v>
          </cell>
          <cell r="J834" t="str">
            <v>DSV</v>
          </cell>
        </row>
        <row r="835">
          <cell r="B835" t="str">
            <v>INV06309</v>
          </cell>
          <cell r="C835"/>
          <cell r="D835"/>
          <cell r="E835">
            <v>974.4</v>
          </cell>
          <cell r="F835" t="str">
            <v>HN90004838</v>
          </cell>
          <cell r="G835"/>
          <cell r="H835" t="str">
            <v>Lucid Arizona</v>
          </cell>
          <cell r="I835" t="str">
            <v>Front, Rear, DCM</v>
          </cell>
          <cell r="J835" t="str">
            <v>DSV</v>
          </cell>
        </row>
        <row r="836">
          <cell r="B836" t="str">
            <v>INV06310</v>
          </cell>
          <cell r="C836"/>
          <cell r="D836"/>
          <cell r="E836">
            <v>376.8</v>
          </cell>
          <cell r="F836" t="str">
            <v>HN90004841</v>
          </cell>
          <cell r="G836"/>
          <cell r="H836" t="str">
            <v>Lucid Arizona</v>
          </cell>
          <cell r="I836" t="str">
            <v>Rear, DCM</v>
          </cell>
          <cell r="J836" t="str">
            <v>DSV</v>
          </cell>
        </row>
        <row r="837">
          <cell r="B837" t="str">
            <v>INV06311</v>
          </cell>
          <cell r="C837"/>
          <cell r="D837"/>
          <cell r="E837">
            <v>17.3</v>
          </cell>
          <cell r="F837" t="str">
            <v>1397212014</v>
          </cell>
          <cell r="G837"/>
          <cell r="H837" t="str">
            <v>WPG</v>
          </cell>
          <cell r="I837" t="str">
            <v>DDR4</v>
          </cell>
          <cell r="J837" t="str">
            <v>DHL</v>
          </cell>
        </row>
        <row r="838">
          <cell r="B838" t="str">
            <v>INV06312</v>
          </cell>
          <cell r="C838"/>
          <cell r="D838"/>
          <cell r="E838">
            <v>7</v>
          </cell>
          <cell r="F838" t="str">
            <v>885345294151</v>
          </cell>
          <cell r="G838"/>
          <cell r="H838" t="str">
            <v>Jabil MY</v>
          </cell>
          <cell r="I838" t="str">
            <v>DDR4</v>
          </cell>
          <cell r="J838" t="str">
            <v>FedEx</v>
          </cell>
        </row>
        <row r="839">
          <cell r="B839" t="str">
            <v>E00988</v>
          </cell>
          <cell r="C839"/>
          <cell r="D839"/>
          <cell r="E839">
            <v>1</v>
          </cell>
          <cell r="F839" t="str">
            <v>885340899309</v>
          </cell>
          <cell r="G839"/>
          <cell r="H839" t="str">
            <v>Kingston US</v>
          </cell>
          <cell r="I839" t="str">
            <v>IC</v>
          </cell>
          <cell r="J839" t="str">
            <v>FedEx</v>
          </cell>
        </row>
        <row r="840">
          <cell r="B840" t="str">
            <v>E00987</v>
          </cell>
          <cell r="C840"/>
          <cell r="D840"/>
          <cell r="E840">
            <v>2749</v>
          </cell>
          <cell r="F840" t="str">
            <v>mở chuyển đổi MĐSD</v>
          </cell>
          <cell r="G840"/>
          <cell r="H840" t="str">
            <v>UHAN</v>
          </cell>
          <cell r="I840"/>
          <cell r="J840" t="str">
            <v>x</v>
          </cell>
        </row>
        <row r="841">
          <cell r="B841" t="str">
            <v>INV06313</v>
          </cell>
          <cell r="C841"/>
          <cell r="D841"/>
          <cell r="E841">
            <v>351.2</v>
          </cell>
          <cell r="F841" t="str">
            <v>SHANA0042079</v>
          </cell>
          <cell r="G841"/>
          <cell r="H841" t="str">
            <v>Lucid Group</v>
          </cell>
          <cell r="I841" t="str">
            <v>CCCV2</v>
          </cell>
          <cell r="J841" t="str">
            <v>FedEx Log</v>
          </cell>
        </row>
        <row r="842">
          <cell r="B842" t="str">
            <v>INV06314</v>
          </cell>
          <cell r="C842"/>
          <cell r="D842"/>
          <cell r="E842">
            <v>866.40000000000009</v>
          </cell>
          <cell r="F842" t="str">
            <v>HN90004839</v>
          </cell>
          <cell r="G842"/>
          <cell r="H842" t="str">
            <v>Lucid Arizona</v>
          </cell>
          <cell r="I842" t="str">
            <v>ICC, cabin, rear</v>
          </cell>
          <cell r="J842" t="str">
            <v>DSV</v>
          </cell>
        </row>
        <row r="843">
          <cell r="B843" t="str">
            <v>INV06315</v>
          </cell>
          <cell r="C843"/>
          <cell r="D843"/>
          <cell r="E843">
            <v>657.6</v>
          </cell>
          <cell r="F843" t="str">
            <v>HN90004842</v>
          </cell>
          <cell r="G843"/>
          <cell r="H843" t="str">
            <v>Lucid Arizona</v>
          </cell>
          <cell r="I843" t="str">
            <v>Front</v>
          </cell>
          <cell r="J843" t="str">
            <v>DSV</v>
          </cell>
        </row>
        <row r="844">
          <cell r="B844" t="str">
            <v>INV06316</v>
          </cell>
          <cell r="C844"/>
          <cell r="D844"/>
          <cell r="E844">
            <v>33.5</v>
          </cell>
          <cell r="F844" t="str">
            <v>3283021151</v>
          </cell>
          <cell r="G844"/>
          <cell r="H844" t="str">
            <v>AVNET US</v>
          </cell>
          <cell r="I844" t="str">
            <v>DDR4, MODULE, PCBA</v>
          </cell>
          <cell r="J844" t="str">
            <v>DHL</v>
          </cell>
        </row>
        <row r="845">
          <cell r="B845" t="str">
            <v>INV06317</v>
          </cell>
          <cell r="C845"/>
          <cell r="D845"/>
          <cell r="E845">
            <v>445.2</v>
          </cell>
          <cell r="F845" t="str">
            <v>45T0421841</v>
          </cell>
          <cell r="G845"/>
          <cell r="H845" t="str">
            <v>ZT Systems</v>
          </cell>
          <cell r="I845" t="str">
            <v>POWER GEM</v>
          </cell>
          <cell r="J845" t="str">
            <v>Expeditors</v>
          </cell>
        </row>
        <row r="846">
          <cell r="B846" t="str">
            <v>INV06318</v>
          </cell>
          <cell r="C846"/>
          <cell r="D846"/>
          <cell r="E846">
            <v>96.4</v>
          </cell>
          <cell r="F846" t="str">
            <v>45T0421846</v>
          </cell>
          <cell r="G846"/>
          <cell r="H846" t="str">
            <v>ZT Systems</v>
          </cell>
          <cell r="I846" t="str">
            <v>POWER GEM</v>
          </cell>
          <cell r="J846" t="str">
            <v>Expeditors</v>
          </cell>
        </row>
        <row r="847">
          <cell r="B847" t="str">
            <v>INV06319</v>
          </cell>
          <cell r="C847"/>
          <cell r="D847"/>
          <cell r="E847">
            <v>40</v>
          </cell>
          <cell r="F847" t="str">
            <v>885411128060</v>
          </cell>
          <cell r="G847"/>
          <cell r="H847" t="str">
            <v>Cloud HK</v>
          </cell>
          <cell r="I847" t="str">
            <v>DDR4</v>
          </cell>
          <cell r="J847" t="str">
            <v>FedEx</v>
          </cell>
        </row>
        <row r="848">
          <cell r="B848" t="str">
            <v>SAMPLE 697</v>
          </cell>
          <cell r="C848"/>
          <cell r="D848"/>
          <cell r="E848">
            <v>0.5</v>
          </cell>
          <cell r="F848" t="str">
            <v>885378027529</v>
          </cell>
          <cell r="G848"/>
          <cell r="H848" t="str">
            <v>Infineon</v>
          </cell>
          <cell r="I848" t="str">
            <v>IC</v>
          </cell>
          <cell r="J848" t="str">
            <v>FedEx</v>
          </cell>
        </row>
        <row r="849">
          <cell r="B849" t="str">
            <v>INV06320</v>
          </cell>
          <cell r="C849"/>
          <cell r="D849"/>
          <cell r="E849">
            <v>31</v>
          </cell>
          <cell r="F849" t="str">
            <v>HAN25007210</v>
          </cell>
          <cell r="G849"/>
          <cell r="H849" t="str">
            <v>FCZ</v>
          </cell>
          <cell r="I849" t="str">
            <v>Eiger, Grover</v>
          </cell>
          <cell r="J849" t="str">
            <v>Schenker</v>
          </cell>
        </row>
        <row r="850">
          <cell r="B850" t="str">
            <v>INV06321</v>
          </cell>
          <cell r="C850"/>
          <cell r="D850"/>
          <cell r="E850">
            <v>0.9</v>
          </cell>
          <cell r="F850" t="str">
            <v>1Z03Y77H0400001617</v>
          </cell>
          <cell r="G850"/>
          <cell r="H850" t="str">
            <v>Seagate</v>
          </cell>
          <cell r="I850" t="str">
            <v>SSD</v>
          </cell>
          <cell r="J850" t="str">
            <v>UPS</v>
          </cell>
        </row>
        <row r="851">
          <cell r="B851" t="str">
            <v>SAMPLE 698</v>
          </cell>
          <cell r="C851"/>
          <cell r="D851"/>
          <cell r="E851">
            <v>0.2</v>
          </cell>
          <cell r="F851" t="str">
            <v>885413202490</v>
          </cell>
          <cell r="G851"/>
          <cell r="H851" t="str">
            <v>Kinji</v>
          </cell>
          <cell r="I851" t="str">
            <v>PCB</v>
          </cell>
          <cell r="J851" t="str">
            <v>FedEx</v>
          </cell>
        </row>
        <row r="852">
          <cell r="B852" t="str">
            <v>INV06322</v>
          </cell>
          <cell r="C852"/>
          <cell r="D852"/>
          <cell r="E852">
            <v>1.3</v>
          </cell>
          <cell r="F852" t="str">
            <v>885416213496</v>
          </cell>
          <cell r="G852"/>
          <cell r="H852" t="str">
            <v>Ingrasys</v>
          </cell>
          <cell r="I852" t="str">
            <v>DDR4</v>
          </cell>
          <cell r="J852" t="str">
            <v>FedEx</v>
          </cell>
        </row>
        <row r="853">
          <cell r="B853" t="str">
            <v>INV06323</v>
          </cell>
          <cell r="C853"/>
          <cell r="D853"/>
          <cell r="E853">
            <v>867.9</v>
          </cell>
          <cell r="F853" t="str">
            <v>45T0422023</v>
          </cell>
          <cell r="G853"/>
          <cell r="H853" t="str">
            <v>FTX</v>
          </cell>
          <cell r="I853" t="str">
            <v>Eiger, Grover, Hopper</v>
          </cell>
          <cell r="J853" t="str">
            <v>Expeditors</v>
          </cell>
        </row>
        <row r="854">
          <cell r="B854" t="str">
            <v>INV06324</v>
          </cell>
          <cell r="C854"/>
          <cell r="D854"/>
          <cell r="E854">
            <v>90.2</v>
          </cell>
          <cell r="F854" t="str">
            <v>45T0422100</v>
          </cell>
          <cell r="G854"/>
          <cell r="H854" t="str">
            <v>Pure</v>
          </cell>
          <cell r="I854" t="str">
            <v>Napper, Otter</v>
          </cell>
          <cell r="J854" t="str">
            <v>Expeditors</v>
          </cell>
        </row>
        <row r="855">
          <cell r="B855" t="str">
            <v>INV06325</v>
          </cell>
          <cell r="C855"/>
          <cell r="D855"/>
          <cell r="E855">
            <v>445.8</v>
          </cell>
          <cell r="F855" t="str">
            <v>885443848001</v>
          </cell>
          <cell r="G855"/>
          <cell r="H855" t="str">
            <v>Jabil MX</v>
          </cell>
          <cell r="I855" t="str">
            <v>HLOB</v>
          </cell>
          <cell r="J855" t="str">
            <v>FedEx</v>
          </cell>
        </row>
        <row r="856">
          <cell r="B856" t="str">
            <v>INV06326</v>
          </cell>
          <cell r="C856"/>
          <cell r="D856"/>
          <cell r="E856">
            <v>445.8</v>
          </cell>
          <cell r="F856" t="str">
            <v>885443906291</v>
          </cell>
          <cell r="G856"/>
          <cell r="H856" t="str">
            <v>Jabil MX</v>
          </cell>
          <cell r="I856" t="str">
            <v>HLOB</v>
          </cell>
          <cell r="J856" t="str">
            <v>FedEx</v>
          </cell>
        </row>
        <row r="857">
          <cell r="B857" t="str">
            <v>INV06327</v>
          </cell>
          <cell r="C857"/>
          <cell r="D857"/>
          <cell r="E857">
            <v>445.8</v>
          </cell>
          <cell r="F857" t="str">
            <v>885443993670</v>
          </cell>
          <cell r="G857"/>
          <cell r="H857" t="str">
            <v>Jabil MX</v>
          </cell>
          <cell r="I857" t="str">
            <v>HLOB</v>
          </cell>
          <cell r="J857" t="str">
            <v>FedEx</v>
          </cell>
        </row>
        <row r="858">
          <cell r="B858" t="str">
            <v>INV06328</v>
          </cell>
          <cell r="C858"/>
          <cell r="D858"/>
          <cell r="E858">
            <v>445.8</v>
          </cell>
          <cell r="F858" t="str">
            <v>885444030416</v>
          </cell>
          <cell r="G858"/>
          <cell r="H858" t="str">
            <v>Jabil MX</v>
          </cell>
          <cell r="I858" t="str">
            <v>HLOB</v>
          </cell>
          <cell r="J858" t="str">
            <v>FedEx</v>
          </cell>
        </row>
        <row r="859">
          <cell r="B859" t="str">
            <v>INV06329</v>
          </cell>
          <cell r="C859"/>
          <cell r="D859"/>
          <cell r="E859">
            <v>445.8</v>
          </cell>
          <cell r="F859" t="str">
            <v>885444073658</v>
          </cell>
          <cell r="G859"/>
          <cell r="H859" t="str">
            <v>Jabil MX</v>
          </cell>
          <cell r="I859" t="str">
            <v>HLOB</v>
          </cell>
          <cell r="J859" t="str">
            <v>FedEx</v>
          </cell>
        </row>
        <row r="860">
          <cell r="B860" t="str">
            <v>E00989</v>
          </cell>
          <cell r="C860"/>
          <cell r="D860"/>
          <cell r="E860">
            <v>39</v>
          </cell>
          <cell r="F860" t="str">
            <v>885449812888</v>
          </cell>
          <cell r="G860"/>
          <cell r="H860" t="str">
            <v>Unigen MY</v>
          </cell>
          <cell r="I860" t="str">
            <v>material</v>
          </cell>
          <cell r="J860" t="str">
            <v>FedEx</v>
          </cell>
        </row>
        <row r="861">
          <cell r="B861" t="str">
            <v>SAMPLE 699</v>
          </cell>
          <cell r="C861"/>
          <cell r="D861"/>
          <cell r="E861">
            <v>0.2</v>
          </cell>
          <cell r="F861" t="str">
            <v>885444169614</v>
          </cell>
          <cell r="G861"/>
          <cell r="H861" t="str">
            <v>Texas</v>
          </cell>
          <cell r="I861" t="str">
            <v>IC</v>
          </cell>
          <cell r="J861" t="str">
            <v>FedEx</v>
          </cell>
        </row>
        <row r="862">
          <cell r="B862" t="str">
            <v>INV06330</v>
          </cell>
          <cell r="C862"/>
          <cell r="D862"/>
          <cell r="E862">
            <v>106</v>
          </cell>
          <cell r="F862" t="str">
            <v>NH 205-2978410825</v>
          </cell>
          <cell r="G862"/>
          <cell r="H862" t="str">
            <v>Lucid Arizona</v>
          </cell>
          <cell r="I862" t="str">
            <v>BCM</v>
          </cell>
          <cell r="J862" t="str">
            <v>Leschaco</v>
          </cell>
        </row>
        <row r="863">
          <cell r="B863" t="str">
            <v>INV06331</v>
          </cell>
          <cell r="C863"/>
          <cell r="D863"/>
          <cell r="E863">
            <v>106</v>
          </cell>
          <cell r="F863" t="str">
            <v>CX 160-2978410824</v>
          </cell>
          <cell r="G863"/>
          <cell r="H863" t="str">
            <v>Lucid Arizona</v>
          </cell>
          <cell r="I863" t="str">
            <v>BCM</v>
          </cell>
          <cell r="J863" t="str">
            <v>Leschaco</v>
          </cell>
        </row>
        <row r="864">
          <cell r="B864" t="str">
            <v>INV06332</v>
          </cell>
          <cell r="C864"/>
          <cell r="D864"/>
          <cell r="E864">
            <v>879.59999999999991</v>
          </cell>
          <cell r="F864" t="str">
            <v>HN90004850</v>
          </cell>
          <cell r="G864"/>
          <cell r="H864" t="str">
            <v>Lucid Arizona</v>
          </cell>
          <cell r="I864" t="str">
            <v>CCCV2</v>
          </cell>
          <cell r="J864" t="str">
            <v>DSV</v>
          </cell>
        </row>
        <row r="865">
          <cell r="B865" t="str">
            <v>INV06333</v>
          </cell>
          <cell r="C865"/>
          <cell r="D865"/>
          <cell r="E865">
            <v>997.8</v>
          </cell>
          <cell r="F865" t="str">
            <v>HAN0439292</v>
          </cell>
          <cell r="G865"/>
          <cell r="H865" t="str">
            <v>Lucid Arizona</v>
          </cell>
          <cell r="I865" t="str">
            <v>Front</v>
          </cell>
          <cell r="J865" t="str">
            <v>DSV</v>
          </cell>
        </row>
        <row r="866">
          <cell r="B866" t="str">
            <v>INV06334</v>
          </cell>
          <cell r="C866"/>
          <cell r="D866"/>
          <cell r="E866">
            <v>1078</v>
          </cell>
          <cell r="F866" t="str">
            <v>HN90004860</v>
          </cell>
          <cell r="G866"/>
          <cell r="H866" t="str">
            <v>Lucid Arizona</v>
          </cell>
          <cell r="I866" t="str">
            <v>UCC, Cabin, Rear, DCM</v>
          </cell>
          <cell r="J866" t="str">
            <v>DSV</v>
          </cell>
        </row>
        <row r="867">
          <cell r="B867" t="str">
            <v>INV06335</v>
          </cell>
          <cell r="C867"/>
          <cell r="D867"/>
          <cell r="E867">
            <v>19.7</v>
          </cell>
          <cell r="F867" t="str">
            <v>885533584312</v>
          </cell>
          <cell r="G867"/>
          <cell r="H867" t="str">
            <v>Sanmina</v>
          </cell>
          <cell r="I867" t="str">
            <v>DDR4</v>
          </cell>
          <cell r="J867" t="str">
            <v>FedEx</v>
          </cell>
        </row>
        <row r="868">
          <cell r="B868" t="str">
            <v>SAMPLE 700</v>
          </cell>
          <cell r="C868"/>
          <cell r="D868"/>
          <cell r="E868">
            <v>0.2</v>
          </cell>
          <cell r="F868" t="str">
            <v>885499295860</v>
          </cell>
          <cell r="G868"/>
          <cell r="H868" t="str">
            <v>Pure</v>
          </cell>
          <cell r="I868" t="str">
            <v>Label</v>
          </cell>
          <cell r="J868" t="str">
            <v>FedEx</v>
          </cell>
        </row>
        <row r="869">
          <cell r="B869" t="str">
            <v>INV06336</v>
          </cell>
          <cell r="C869"/>
          <cell r="D869"/>
          <cell r="E869">
            <v>102.4</v>
          </cell>
          <cell r="F869" t="str">
            <v>6989652703</v>
          </cell>
          <cell r="G869"/>
          <cell r="H869" t="str">
            <v>AVNET US</v>
          </cell>
          <cell r="I869" t="str">
            <v>PCBA</v>
          </cell>
          <cell r="J869" t="str">
            <v>DHL</v>
          </cell>
        </row>
        <row r="870">
          <cell r="B870" t="str">
            <v>INV06337</v>
          </cell>
          <cell r="C870"/>
          <cell r="D870"/>
          <cell r="E870">
            <v>1527.6000000000001</v>
          </cell>
          <cell r="F870" t="str">
            <v>HN90004866</v>
          </cell>
          <cell r="G870"/>
          <cell r="H870" t="str">
            <v>Lucid Arizona</v>
          </cell>
          <cell r="I870" t="str">
            <v xml:space="preserve">Front, cabin, rear </v>
          </cell>
          <cell r="J870" t="str">
            <v>DSV</v>
          </cell>
        </row>
        <row r="871">
          <cell r="B871" t="str">
            <v>INV06338</v>
          </cell>
          <cell r="C871"/>
          <cell r="D871"/>
          <cell r="E871">
            <v>1369.2</v>
          </cell>
          <cell r="F871" t="str">
            <v>HAN0439406</v>
          </cell>
          <cell r="G871"/>
          <cell r="H871" t="str">
            <v>Lucid Arizona</v>
          </cell>
          <cell r="I871" t="str">
            <v>Front, CCCV2</v>
          </cell>
          <cell r="J871" t="str">
            <v>DSV</v>
          </cell>
        </row>
        <row r="872">
          <cell r="B872" t="str">
            <v>INV06339</v>
          </cell>
          <cell r="C872"/>
          <cell r="D872"/>
          <cell r="E872">
            <v>1268.4000000000001</v>
          </cell>
          <cell r="F872" t="str">
            <v>HAN0440732</v>
          </cell>
          <cell r="G872"/>
          <cell r="H872" t="str">
            <v>HELLA</v>
          </cell>
          <cell r="I872" t="str">
            <v>HCU</v>
          </cell>
          <cell r="J872" t="str">
            <v>DSV</v>
          </cell>
        </row>
        <row r="873">
          <cell r="B873" t="str">
            <v>INV06340</v>
          </cell>
          <cell r="C873"/>
          <cell r="D873"/>
          <cell r="E873">
            <v>1075.2</v>
          </cell>
          <cell r="F873" t="str">
            <v>HN90004869</v>
          </cell>
          <cell r="G873"/>
          <cell r="H873" t="str">
            <v>Lucid Arizona</v>
          </cell>
          <cell r="I873" t="str">
            <v>UCC, Rear, Cabin</v>
          </cell>
          <cell r="J873" t="str">
            <v>DSV</v>
          </cell>
        </row>
        <row r="874">
          <cell r="B874" t="str">
            <v>INV06341</v>
          </cell>
          <cell r="C874"/>
          <cell r="D874"/>
          <cell r="E874">
            <v>805.8</v>
          </cell>
          <cell r="F874" t="str">
            <v>HAN0439650</v>
          </cell>
          <cell r="G874"/>
          <cell r="H874" t="str">
            <v>Lucid Arizona</v>
          </cell>
          <cell r="I874" t="str">
            <v>Front, Rear</v>
          </cell>
          <cell r="J874" t="str">
            <v>DSV</v>
          </cell>
        </row>
        <row r="875">
          <cell r="B875" t="str">
            <v>INV06342</v>
          </cell>
          <cell r="C875"/>
          <cell r="D875"/>
          <cell r="E875">
            <v>451.8</v>
          </cell>
          <cell r="F875" t="str">
            <v>885503208526</v>
          </cell>
          <cell r="G875"/>
          <cell r="H875" t="str">
            <v>Jabil MX</v>
          </cell>
          <cell r="I875" t="str">
            <v>HLOB</v>
          </cell>
          <cell r="J875" t="str">
            <v>FedEx</v>
          </cell>
        </row>
        <row r="876">
          <cell r="B876" t="str">
            <v>INV06343</v>
          </cell>
          <cell r="C876"/>
          <cell r="D876"/>
          <cell r="E876">
            <v>451.8</v>
          </cell>
          <cell r="F876" t="str">
            <v>885503290306</v>
          </cell>
          <cell r="G876"/>
          <cell r="H876" t="str">
            <v>Jabil MX</v>
          </cell>
          <cell r="I876" t="str">
            <v>HLOB</v>
          </cell>
          <cell r="J876" t="str">
            <v>FedEx</v>
          </cell>
        </row>
        <row r="877">
          <cell r="B877" t="str">
            <v>INV06344</v>
          </cell>
          <cell r="C877"/>
          <cell r="D877"/>
          <cell r="E877">
            <v>451.8</v>
          </cell>
          <cell r="F877" t="str">
            <v>885503317497</v>
          </cell>
          <cell r="G877"/>
          <cell r="H877" t="str">
            <v>Jabil MX</v>
          </cell>
          <cell r="I877" t="str">
            <v>HLOB</v>
          </cell>
          <cell r="J877" t="str">
            <v>FedEx</v>
          </cell>
        </row>
        <row r="878">
          <cell r="B878" t="str">
            <v>Sample 701</v>
          </cell>
          <cell r="C878"/>
          <cell r="D878"/>
          <cell r="E878">
            <v>0.3</v>
          </cell>
          <cell r="F878" t="str">
            <v>hand carry</v>
          </cell>
          <cell r="G878"/>
          <cell r="H878" t="str">
            <v>Lucid</v>
          </cell>
          <cell r="I878" t="str">
            <v>IC</v>
          </cell>
          <cell r="J878" t="str">
            <v>Handcarry</v>
          </cell>
        </row>
        <row r="879">
          <cell r="B879" t="str">
            <v>Sample 702</v>
          </cell>
          <cell r="C879"/>
          <cell r="D879"/>
          <cell r="E879">
            <v>0.3</v>
          </cell>
          <cell r="F879" t="str">
            <v>885538527877</v>
          </cell>
          <cell r="G879"/>
          <cell r="H879" t="str">
            <v>Compeq</v>
          </cell>
          <cell r="I879" t="str">
            <v>PCB</v>
          </cell>
          <cell r="J879" t="str">
            <v>FedEx</v>
          </cell>
        </row>
        <row r="880">
          <cell r="B880" t="str">
            <v>Sample 703</v>
          </cell>
          <cell r="C880"/>
          <cell r="D880"/>
          <cell r="E880">
            <v>0.3</v>
          </cell>
          <cell r="F880" t="str">
            <v>885538723145</v>
          </cell>
          <cell r="G880"/>
          <cell r="H880" t="str">
            <v>GCE</v>
          </cell>
          <cell r="I880" t="str">
            <v>PCB</v>
          </cell>
          <cell r="J880" t="str">
            <v>FedEx</v>
          </cell>
        </row>
        <row r="881">
          <cell r="B881" t="str">
            <v>Sample 704</v>
          </cell>
          <cell r="C881"/>
          <cell r="D881"/>
          <cell r="E881">
            <v>0.3</v>
          </cell>
          <cell r="F881" t="str">
            <v>1ZC2269J8600679553</v>
          </cell>
          <cell r="G881"/>
          <cell r="H881" t="str">
            <v>ISU</v>
          </cell>
          <cell r="I881" t="str">
            <v>PCB</v>
          </cell>
          <cell r="J881" t="str">
            <v>UPS</v>
          </cell>
        </row>
        <row r="882">
          <cell r="B882" t="str">
            <v>INV06345</v>
          </cell>
          <cell r="C882"/>
          <cell r="D882"/>
          <cell r="E882">
            <v>13.6</v>
          </cell>
          <cell r="F882" t="str">
            <v>885572983781</v>
          </cell>
          <cell r="G882"/>
          <cell r="H882" t="str">
            <v>Jabil MY</v>
          </cell>
          <cell r="I882" t="str">
            <v>DDR4</v>
          </cell>
          <cell r="J882" t="str">
            <v>FedEx</v>
          </cell>
        </row>
        <row r="883">
          <cell r="B883" t="str">
            <v>INV06346</v>
          </cell>
          <cell r="C883"/>
          <cell r="D883"/>
          <cell r="E883">
            <v>73</v>
          </cell>
          <cell r="F883" t="str">
            <v>45T0422724</v>
          </cell>
          <cell r="G883"/>
          <cell r="H883" t="str">
            <v>FTX</v>
          </cell>
          <cell r="I883" t="str">
            <v>EIGER, DFMD</v>
          </cell>
          <cell r="J883" t="str">
            <v>Expeditors</v>
          </cell>
        </row>
        <row r="884">
          <cell r="B884" t="str">
            <v>INV06347</v>
          </cell>
          <cell r="C884"/>
          <cell r="D884"/>
          <cell r="E884">
            <v>75</v>
          </cell>
          <cell r="F884" t="str">
            <v>4095605345</v>
          </cell>
          <cell r="G884"/>
          <cell r="H884" t="str">
            <v>WPG</v>
          </cell>
          <cell r="I884" t="str">
            <v>DDR4</v>
          </cell>
          <cell r="J884" t="str">
            <v>DHL</v>
          </cell>
        </row>
        <row r="885">
          <cell r="B885" t="str">
            <v>INV06348</v>
          </cell>
          <cell r="C885"/>
          <cell r="D885"/>
          <cell r="E885">
            <v>879.59999999999991</v>
          </cell>
          <cell r="F885" t="str">
            <v>45T0423314</v>
          </cell>
          <cell r="G885"/>
          <cell r="H885" t="str">
            <v>ZT Systems</v>
          </cell>
          <cell r="I885" t="str">
            <v>POWER GEM</v>
          </cell>
          <cell r="J885" t="str">
            <v>Expeditors</v>
          </cell>
        </row>
        <row r="886">
          <cell r="B886" t="str">
            <v>INV06349</v>
          </cell>
          <cell r="C886"/>
          <cell r="D886"/>
          <cell r="E886">
            <v>588.6</v>
          </cell>
          <cell r="F886" t="str">
            <v>HAN25007404</v>
          </cell>
          <cell r="G886"/>
          <cell r="H886" t="str">
            <v>FCZ</v>
          </cell>
          <cell r="I886" t="str">
            <v>GROVER, HOPPER</v>
          </cell>
          <cell r="J886" t="str">
            <v>Schenker</v>
          </cell>
        </row>
        <row r="887">
          <cell r="B887" t="str">
            <v>INV06350</v>
          </cell>
          <cell r="C887"/>
          <cell r="D887"/>
          <cell r="E887">
            <v>126</v>
          </cell>
          <cell r="F887" t="str">
            <v>45T0424319</v>
          </cell>
          <cell r="G887"/>
          <cell r="H887" t="str">
            <v>FTX</v>
          </cell>
          <cell r="I887" t="str">
            <v>Hopper</v>
          </cell>
          <cell r="J887" t="str">
            <v>Expeditors</v>
          </cell>
        </row>
        <row r="888">
          <cell r="B888" t="str">
            <v>INV06351</v>
          </cell>
          <cell r="C888"/>
          <cell r="D888"/>
          <cell r="E888">
            <v>612.1</v>
          </cell>
          <cell r="F888" t="str">
            <v>45T0423467</v>
          </cell>
          <cell r="G888"/>
          <cell r="H888" t="str">
            <v>FTX</v>
          </cell>
          <cell r="I888" t="str">
            <v>Eiger, Grover, Hopper</v>
          </cell>
          <cell r="J888" t="str">
            <v>Expeditors</v>
          </cell>
        </row>
        <row r="889">
          <cell r="B889" t="str">
            <v>INV06352</v>
          </cell>
          <cell r="C889"/>
          <cell r="D889"/>
          <cell r="E889">
            <v>234</v>
          </cell>
          <cell r="F889" t="str">
            <v>45T0423400</v>
          </cell>
          <cell r="G889"/>
          <cell r="H889" t="str">
            <v>UPS SCS</v>
          </cell>
          <cell r="I889" t="str">
            <v>Fru</v>
          </cell>
          <cell r="J889" t="str">
            <v>Expeditors</v>
          </cell>
        </row>
        <row r="890">
          <cell r="B890" t="str">
            <v>INV06353</v>
          </cell>
          <cell r="C890"/>
          <cell r="D890"/>
          <cell r="E890">
            <v>1363.2000000000003</v>
          </cell>
          <cell r="F890" t="str">
            <v>HN90004878</v>
          </cell>
          <cell r="G890"/>
          <cell r="H890" t="str">
            <v>Lucid Arizona</v>
          </cell>
          <cell r="I890" t="str">
            <v>FRONT, REAR</v>
          </cell>
          <cell r="J890" t="str">
            <v>DSV</v>
          </cell>
        </row>
        <row r="891">
          <cell r="B891" t="str">
            <v>INV06354</v>
          </cell>
          <cell r="C891"/>
          <cell r="D891"/>
          <cell r="E891">
            <v>1248.1000000000001</v>
          </cell>
          <cell r="F891" t="str">
            <v>HN90004877</v>
          </cell>
          <cell r="G891"/>
          <cell r="H891" t="str">
            <v>Lucid Arizona</v>
          </cell>
          <cell r="I891" t="str">
            <v>UCC, CABIN, DCM</v>
          </cell>
          <cell r="J891" t="str">
            <v>DSV</v>
          </cell>
        </row>
        <row r="892">
          <cell r="B892" t="str">
            <v>INV06355</v>
          </cell>
          <cell r="C892"/>
          <cell r="D892"/>
          <cell r="E892">
            <v>450.6</v>
          </cell>
          <cell r="F892" t="str">
            <v>HAN0441996</v>
          </cell>
          <cell r="G892"/>
          <cell r="H892" t="str">
            <v>Lucid Arizona</v>
          </cell>
          <cell r="I892" t="str">
            <v>ICC, REAR</v>
          </cell>
          <cell r="J892" t="str">
            <v>DSV</v>
          </cell>
        </row>
        <row r="893">
          <cell r="B893" t="str">
            <v>INV06356</v>
          </cell>
          <cell r="C893"/>
          <cell r="D893"/>
          <cell r="E893">
            <v>851.4</v>
          </cell>
          <cell r="F893" t="str">
            <v>HN90004890</v>
          </cell>
          <cell r="G893"/>
          <cell r="H893" t="str">
            <v>Lucid Arizona</v>
          </cell>
          <cell r="I893" t="str">
            <v>CABIN, ICC</v>
          </cell>
          <cell r="J893" t="str">
            <v>DSV</v>
          </cell>
        </row>
        <row r="894">
          <cell r="B894" t="str">
            <v>INV06357</v>
          </cell>
          <cell r="C894"/>
          <cell r="D894"/>
          <cell r="E894">
            <v>472.2</v>
          </cell>
          <cell r="F894" t="str">
            <v>HAN0442342</v>
          </cell>
          <cell r="G894"/>
          <cell r="H894" t="str">
            <v>Lucid Arizona</v>
          </cell>
          <cell r="I894" t="str">
            <v>CABIN, ICC</v>
          </cell>
          <cell r="J894" t="str">
            <v>DSV</v>
          </cell>
        </row>
        <row r="895">
          <cell r="B895" t="str">
            <v>INV06358</v>
          </cell>
          <cell r="C895"/>
          <cell r="D895"/>
          <cell r="E895">
            <v>1276.7999999999997</v>
          </cell>
          <cell r="F895" t="str">
            <v>HN90004891</v>
          </cell>
          <cell r="G895"/>
          <cell r="H895" t="str">
            <v>Lucid Arizona</v>
          </cell>
          <cell r="I895" t="str">
            <v>UCC,, FRONT, REAR</v>
          </cell>
          <cell r="J895" t="str">
            <v>DSV</v>
          </cell>
        </row>
        <row r="896">
          <cell r="B896" t="str">
            <v>INV06359</v>
          </cell>
          <cell r="C896"/>
          <cell r="D896"/>
          <cell r="E896">
            <v>472.2</v>
          </cell>
          <cell r="F896" t="str">
            <v>HAN0442334</v>
          </cell>
          <cell r="G896"/>
          <cell r="H896" t="str">
            <v>Lucid Arizona</v>
          </cell>
          <cell r="I896" t="str">
            <v>ICC, CABIN</v>
          </cell>
          <cell r="J896" t="str">
            <v>DSV</v>
          </cell>
        </row>
        <row r="897">
          <cell r="B897" t="str">
            <v>Sample 705</v>
          </cell>
          <cell r="C897"/>
          <cell r="D897"/>
          <cell r="E897">
            <v>0.3</v>
          </cell>
          <cell r="F897" t="str">
            <v>Dương ME xách tay</v>
          </cell>
          <cell r="G897"/>
          <cell r="H897" t="str">
            <v>Unigen MY</v>
          </cell>
          <cell r="I897" t="str">
            <v>Res, Cap sample</v>
          </cell>
          <cell r="J897" t="str">
            <v>x</v>
          </cell>
        </row>
        <row r="898">
          <cell r="B898" t="str">
            <v>INV06360</v>
          </cell>
          <cell r="C898"/>
          <cell r="D898"/>
          <cell r="E898">
            <v>434.4</v>
          </cell>
          <cell r="F898" t="str">
            <v>SHANA0043318</v>
          </cell>
          <cell r="G898"/>
          <cell r="H898" t="str">
            <v>Lucid Group</v>
          </cell>
          <cell r="I898" t="str">
            <v>CCCV2</v>
          </cell>
          <cell r="J898" t="str">
            <v>FedEx Log</v>
          </cell>
        </row>
        <row r="899">
          <cell r="B899" t="str">
            <v>INV06361</v>
          </cell>
          <cell r="C899"/>
          <cell r="D899"/>
          <cell r="E899">
            <v>53</v>
          </cell>
          <cell r="F899" t="str">
            <v>1607344960323</v>
          </cell>
          <cell r="G899"/>
          <cell r="H899" t="str">
            <v>Lucid Arizona</v>
          </cell>
          <cell r="I899" t="str">
            <v>BCM</v>
          </cell>
          <cell r="J899" t="str">
            <v>Leschaco</v>
          </cell>
        </row>
        <row r="900">
          <cell r="B900" t="str">
            <v>INV06362</v>
          </cell>
          <cell r="C900"/>
          <cell r="D900"/>
          <cell r="E900">
            <v>159</v>
          </cell>
          <cell r="F900" t="str">
            <v>1602978647761</v>
          </cell>
          <cell r="G900"/>
          <cell r="H900" t="str">
            <v>Lucid Arizona</v>
          </cell>
          <cell r="I900" t="str">
            <v>BCM</v>
          </cell>
          <cell r="J900" t="str">
            <v>Leschaco</v>
          </cell>
        </row>
        <row r="901">
          <cell r="B901" t="str">
            <v>INV06363</v>
          </cell>
          <cell r="C901"/>
          <cell r="D901"/>
          <cell r="E901">
            <v>732.5</v>
          </cell>
          <cell r="F901" t="str">
            <v>45T0423544</v>
          </cell>
          <cell r="G901"/>
          <cell r="H901" t="str">
            <v>AVNET US</v>
          </cell>
          <cell r="I901" t="str">
            <v>PCBA,DDR4, DISPLAY MODULE</v>
          </cell>
          <cell r="J901" t="str">
            <v>Expeditors</v>
          </cell>
        </row>
        <row r="902">
          <cell r="B902" t="str">
            <v>INV06364</v>
          </cell>
          <cell r="C902"/>
          <cell r="D902"/>
          <cell r="E902">
            <v>3.4</v>
          </cell>
          <cell r="F902" t="str">
            <v>885731194900</v>
          </cell>
          <cell r="G902"/>
          <cell r="H902" t="str">
            <v>Jabil MY</v>
          </cell>
          <cell r="I902" t="str">
            <v>DDR4</v>
          </cell>
          <cell r="J902" t="str">
            <v>FedEx</v>
          </cell>
        </row>
        <row r="903">
          <cell r="B903" t="str">
            <v>INV06365</v>
          </cell>
          <cell r="C903"/>
          <cell r="D903"/>
          <cell r="E903">
            <v>43.7</v>
          </cell>
          <cell r="F903" t="str">
            <v>885731823930</v>
          </cell>
          <cell r="G903"/>
          <cell r="H903" t="str">
            <v>Sanmina</v>
          </cell>
          <cell r="I903" t="str">
            <v>DDR4</v>
          </cell>
          <cell r="J903" t="str">
            <v>FedEx</v>
          </cell>
        </row>
        <row r="904">
          <cell r="B904" t="str">
            <v>INV06366</v>
          </cell>
          <cell r="C904"/>
          <cell r="D904"/>
          <cell r="E904">
            <v>1.5</v>
          </cell>
          <cell r="F904" t="str">
            <v>885726049696</v>
          </cell>
          <cell r="G904"/>
          <cell r="H904" t="str">
            <v>IXSystems</v>
          </cell>
          <cell r="I904" t="str">
            <v>POWER GEM</v>
          </cell>
          <cell r="J904" t="str">
            <v>FedEx</v>
          </cell>
        </row>
        <row r="905">
          <cell r="B905" t="str">
            <v>INV06367</v>
          </cell>
          <cell r="C905"/>
          <cell r="D905"/>
          <cell r="E905">
            <v>127.2</v>
          </cell>
          <cell r="F905" t="str">
            <v>1607345365156</v>
          </cell>
          <cell r="G905"/>
          <cell r="H905" t="str">
            <v>Lucid Arizona</v>
          </cell>
          <cell r="I905" t="str">
            <v>BCM</v>
          </cell>
          <cell r="J905" t="str">
            <v>Leschaco</v>
          </cell>
        </row>
        <row r="906">
          <cell r="B906" t="str">
            <v>INV06368</v>
          </cell>
          <cell r="C906"/>
          <cell r="D906"/>
          <cell r="E906">
            <v>124.8</v>
          </cell>
          <cell r="F906" t="str">
            <v>9887345365225</v>
          </cell>
          <cell r="G906"/>
          <cell r="H906" t="str">
            <v>Lucid Arizona</v>
          </cell>
          <cell r="I906" t="str">
            <v>BCM</v>
          </cell>
          <cell r="J906" t="str">
            <v>Leschaco</v>
          </cell>
        </row>
        <row r="907">
          <cell r="B907" t="str">
            <v>INV06369</v>
          </cell>
          <cell r="C907"/>
          <cell r="D907"/>
          <cell r="E907">
            <v>846</v>
          </cell>
          <cell r="F907" t="str">
            <v>HAN0444383</v>
          </cell>
          <cell r="G907"/>
          <cell r="H907" t="str">
            <v>HELLA</v>
          </cell>
          <cell r="I907" t="str">
            <v>HCU</v>
          </cell>
          <cell r="J907" t="str">
            <v>DSV</v>
          </cell>
        </row>
        <row r="908">
          <cell r="B908" t="str">
            <v>INV06370</v>
          </cell>
          <cell r="C908"/>
          <cell r="D908"/>
          <cell r="E908">
            <v>507.2</v>
          </cell>
          <cell r="F908" t="str">
            <v>45T0424698</v>
          </cell>
          <cell r="G908"/>
          <cell r="H908" t="str">
            <v>ZT Systems</v>
          </cell>
          <cell r="I908" t="str">
            <v>POWER GEM</v>
          </cell>
          <cell r="J908" t="str">
            <v>Expeditors</v>
          </cell>
        </row>
        <row r="909">
          <cell r="B909" t="str">
            <v>E00990</v>
          </cell>
          <cell r="C909"/>
          <cell r="D909"/>
          <cell r="E909">
            <v>0.7</v>
          </cell>
          <cell r="F909" t="str">
            <v>885762123399</v>
          </cell>
          <cell r="G909"/>
          <cell r="H909" t="str">
            <v>Kingston</v>
          </cell>
          <cell r="I909" t="str">
            <v>PCB</v>
          </cell>
          <cell r="J909" t="str">
            <v>FedEx</v>
          </cell>
        </row>
        <row r="910">
          <cell r="B910" t="str">
            <v>INV06371</v>
          </cell>
          <cell r="C910"/>
          <cell r="D910"/>
          <cell r="E910">
            <v>127.19999999999999</v>
          </cell>
          <cell r="F910" t="str">
            <v>UA 016-2978734061</v>
          </cell>
          <cell r="G910"/>
          <cell r="H910" t="str">
            <v>Lucid Arizona</v>
          </cell>
          <cell r="I910" t="str">
            <v>BCM</v>
          </cell>
          <cell r="J910" t="str">
            <v>Leschaco</v>
          </cell>
        </row>
        <row r="911">
          <cell r="B911" t="str">
            <v>INV06372</v>
          </cell>
          <cell r="C911"/>
          <cell r="D911"/>
          <cell r="E911">
            <v>124.80000000000001</v>
          </cell>
          <cell r="F911" t="str">
            <v>0017345672672</v>
          </cell>
          <cell r="G911"/>
          <cell r="H911" t="str">
            <v>Lucid Arizona</v>
          </cell>
          <cell r="I911" t="str">
            <v>VCU</v>
          </cell>
          <cell r="J911" t="str">
            <v>Leschaco</v>
          </cell>
        </row>
        <row r="912">
          <cell r="B912" t="str">
            <v>INV06373</v>
          </cell>
          <cell r="C912"/>
          <cell r="D912"/>
          <cell r="E912">
            <v>135.6</v>
          </cell>
          <cell r="F912" t="str">
            <v>OZ 988-2978734069</v>
          </cell>
          <cell r="G912"/>
          <cell r="H912" t="str">
            <v>Lucid Arizona</v>
          </cell>
          <cell r="I912" t="str">
            <v>NACS</v>
          </cell>
          <cell r="J912" t="str">
            <v>Leschaco</v>
          </cell>
        </row>
        <row r="913">
          <cell r="B913" t="str">
            <v>INV06374</v>
          </cell>
          <cell r="C913"/>
          <cell r="D913"/>
          <cell r="E913">
            <v>31</v>
          </cell>
          <cell r="F913" t="str">
            <v>9068500512</v>
          </cell>
          <cell r="G913"/>
          <cell r="H913" t="str">
            <v>AVNET US</v>
          </cell>
          <cell r="I913" t="str">
            <v>PCBA</v>
          </cell>
          <cell r="J913" t="str">
            <v>DHL</v>
          </cell>
        </row>
        <row r="914">
          <cell r="B914" t="str">
            <v>INV06375</v>
          </cell>
          <cell r="C914"/>
          <cell r="D914"/>
          <cell r="E914">
            <v>99.6</v>
          </cell>
          <cell r="F914" t="str">
            <v>MIQSGN04770</v>
          </cell>
          <cell r="G914"/>
          <cell r="H914" t="str">
            <v>EFI</v>
          </cell>
          <cell r="I914" t="str">
            <v>PCBA</v>
          </cell>
          <cell r="J914" t="str">
            <v>Noatum</v>
          </cell>
        </row>
        <row r="915">
          <cell r="B915" t="str">
            <v>SAMPLE 706</v>
          </cell>
          <cell r="C915"/>
          <cell r="D915"/>
          <cell r="E915">
            <v>1</v>
          </cell>
          <cell r="F915" t="str">
            <v>x</v>
          </cell>
          <cell r="G915"/>
          <cell r="H915" t="str">
            <v>Lucid US</v>
          </cell>
          <cell r="I915" t="str">
            <v>Top, bottom</v>
          </cell>
          <cell r="J915" t="str">
            <v>Handcarry</v>
          </cell>
        </row>
        <row r="916">
          <cell r="B916" t="str">
            <v>INV06376</v>
          </cell>
          <cell r="C916"/>
          <cell r="D916"/>
          <cell r="E916">
            <v>191.8</v>
          </cell>
          <cell r="F916" t="str">
            <v>HAN25007494</v>
          </cell>
          <cell r="G916"/>
          <cell r="H916" t="str">
            <v>FCZ</v>
          </cell>
          <cell r="I916" t="str">
            <v>Grover</v>
          </cell>
          <cell r="J916" t="str">
            <v>Schenker</v>
          </cell>
        </row>
        <row r="917">
          <cell r="B917" t="str">
            <v>INV06377</v>
          </cell>
          <cell r="C917"/>
          <cell r="D917"/>
          <cell r="E917">
            <v>12</v>
          </cell>
          <cell r="F917" t="str">
            <v>885801974543</v>
          </cell>
          <cell r="G917"/>
          <cell r="H917" t="str">
            <v>Pure</v>
          </cell>
          <cell r="I917" t="str">
            <v>Pipet, Natter, Otter</v>
          </cell>
          <cell r="J917" t="str">
            <v>FedEx</v>
          </cell>
        </row>
        <row r="918">
          <cell r="B918" t="str">
            <v>E00991</v>
          </cell>
          <cell r="C918"/>
          <cell r="D918"/>
          <cell r="E918">
            <v>39.700000000000003</v>
          </cell>
          <cell r="F918" t="str">
            <v>885799910538</v>
          </cell>
          <cell r="G918"/>
          <cell r="H918" t="str">
            <v>HQ1</v>
          </cell>
          <cell r="I918" t="str">
            <v>material</v>
          </cell>
          <cell r="J918" t="str">
            <v>FedEx</v>
          </cell>
        </row>
        <row r="919">
          <cell r="B919" t="str">
            <v>INV06378</v>
          </cell>
          <cell r="C919"/>
          <cell r="D919"/>
          <cell r="E919">
            <v>168.79999999999998</v>
          </cell>
          <cell r="F919" t="str">
            <v>1317345968139</v>
          </cell>
          <cell r="G919"/>
          <cell r="H919" t="str">
            <v>Lucid Arizona</v>
          </cell>
          <cell r="I919" t="str">
            <v>BCM</v>
          </cell>
          <cell r="J919" t="str">
            <v>Leschaco</v>
          </cell>
        </row>
        <row r="920">
          <cell r="B920" t="str">
            <v>INV06379</v>
          </cell>
          <cell r="C920"/>
          <cell r="D920"/>
          <cell r="E920">
            <v>165.6</v>
          </cell>
          <cell r="F920" t="str">
            <v>UA 016-2978770122</v>
          </cell>
          <cell r="G920"/>
          <cell r="H920" t="str">
            <v>Lucid Arizona</v>
          </cell>
          <cell r="I920" t="str">
            <v>VCU</v>
          </cell>
          <cell r="J920" t="str">
            <v>Leschaco</v>
          </cell>
        </row>
        <row r="921">
          <cell r="B921" t="str">
            <v>INV06380</v>
          </cell>
          <cell r="C921"/>
          <cell r="D921"/>
          <cell r="E921">
            <v>97</v>
          </cell>
          <cell r="F921" t="str">
            <v>UA 016-2978770120</v>
          </cell>
          <cell r="G921"/>
          <cell r="H921" t="str">
            <v>Lucid Arizona</v>
          </cell>
          <cell r="I921" t="str">
            <v>NACS</v>
          </cell>
          <cell r="J921" t="str">
            <v>Leschaco</v>
          </cell>
        </row>
        <row r="922">
          <cell r="B922" t="str">
            <v>INV06381</v>
          </cell>
          <cell r="C922"/>
          <cell r="D922"/>
          <cell r="E922">
            <v>499.6</v>
          </cell>
          <cell r="F922" t="str">
            <v>45T0424946</v>
          </cell>
          <cell r="G922"/>
          <cell r="H922" t="str">
            <v>FTX</v>
          </cell>
          <cell r="I922" t="str">
            <v>GROVER, HOPPER</v>
          </cell>
          <cell r="J922" t="str">
            <v>Expeditors</v>
          </cell>
        </row>
        <row r="923">
          <cell r="B923" t="str">
            <v>INV06382</v>
          </cell>
          <cell r="C923"/>
          <cell r="D923"/>
          <cell r="E923">
            <v>440.8</v>
          </cell>
          <cell r="F923" t="str">
            <v>885831051941</v>
          </cell>
          <cell r="G923"/>
          <cell r="H923" t="str">
            <v>Jabil MX</v>
          </cell>
          <cell r="I923" t="str">
            <v>HLOB</v>
          </cell>
          <cell r="J923" t="str">
            <v>FedEx</v>
          </cell>
        </row>
        <row r="924">
          <cell r="B924" t="str">
            <v>INV06383</v>
          </cell>
          <cell r="C924"/>
          <cell r="D924"/>
          <cell r="E924">
            <v>440.8</v>
          </cell>
          <cell r="F924" t="str">
            <v>885831087130</v>
          </cell>
          <cell r="G924"/>
          <cell r="H924" t="str">
            <v>Jabil MX</v>
          </cell>
          <cell r="I924" t="str">
            <v>HLOB</v>
          </cell>
          <cell r="J924" t="str">
            <v>FedEx</v>
          </cell>
        </row>
        <row r="925">
          <cell r="B925" t="str">
            <v>INV06384</v>
          </cell>
          <cell r="C925"/>
          <cell r="D925"/>
          <cell r="E925">
            <v>440.8</v>
          </cell>
          <cell r="F925" t="str">
            <v>885831113531</v>
          </cell>
          <cell r="G925"/>
          <cell r="H925" t="str">
            <v>Jabil MX</v>
          </cell>
          <cell r="I925" t="str">
            <v>HLOB</v>
          </cell>
          <cell r="J925" t="str">
            <v>FedEx</v>
          </cell>
        </row>
        <row r="926">
          <cell r="B926" t="str">
            <v>INV06385</v>
          </cell>
          <cell r="C926"/>
          <cell r="D926"/>
          <cell r="E926">
            <v>1722.6</v>
          </cell>
          <cell r="F926" t="str">
            <v>HAN0443064</v>
          </cell>
          <cell r="G926"/>
          <cell r="H926" t="str">
            <v>Lucid Arizona</v>
          </cell>
          <cell r="I926" t="str">
            <v>ICC, CABIN, FRONT</v>
          </cell>
          <cell r="J926" t="str">
            <v>DSV</v>
          </cell>
        </row>
        <row r="927">
          <cell r="B927" t="str">
            <v>INV06386</v>
          </cell>
          <cell r="C927"/>
          <cell r="D927"/>
          <cell r="E927">
            <v>1191.5999999999999</v>
          </cell>
          <cell r="F927" t="str">
            <v>HN90004908</v>
          </cell>
          <cell r="G927"/>
          <cell r="H927" t="str">
            <v>Lucid Arizona</v>
          </cell>
          <cell r="I927" t="str">
            <v>FRONT, REAR, UCC</v>
          </cell>
          <cell r="J927" t="str">
            <v>DSV</v>
          </cell>
        </row>
        <row r="928">
          <cell r="B928" t="str">
            <v>INV06387</v>
          </cell>
          <cell r="C928"/>
          <cell r="D928"/>
          <cell r="E928">
            <v>1.6</v>
          </cell>
          <cell r="F928" t="str">
            <v>885886248568</v>
          </cell>
          <cell r="G928"/>
          <cell r="H928" t="str">
            <v>Jabil MY</v>
          </cell>
          <cell r="I928" t="str">
            <v>EUSB</v>
          </cell>
          <cell r="J928" t="str">
            <v>FedEx</v>
          </cell>
        </row>
        <row r="929">
          <cell r="B929" t="str">
            <v>INV06388</v>
          </cell>
          <cell r="C929"/>
          <cell r="D929"/>
          <cell r="E929">
            <v>212</v>
          </cell>
          <cell r="F929" t="str">
            <v>OZ 988-2978871991</v>
          </cell>
          <cell r="G929"/>
          <cell r="H929" t="str">
            <v>Lucid Arizona</v>
          </cell>
          <cell r="I929" t="str">
            <v>BCM</v>
          </cell>
          <cell r="J929" t="str">
            <v>TGI</v>
          </cell>
        </row>
        <row r="930">
          <cell r="B930" t="str">
            <v>INV06389</v>
          </cell>
          <cell r="C930"/>
          <cell r="D930"/>
          <cell r="E930">
            <v>208</v>
          </cell>
          <cell r="F930" t="str">
            <v>PR 079-2978871988</v>
          </cell>
          <cell r="G930"/>
          <cell r="H930" t="str">
            <v>Lucid Arizona</v>
          </cell>
          <cell r="I930" t="str">
            <v>VCU</v>
          </cell>
          <cell r="J930" t="str">
            <v>TGI</v>
          </cell>
        </row>
        <row r="931">
          <cell r="B931" t="str">
            <v>INV06390</v>
          </cell>
          <cell r="C931"/>
          <cell r="D931"/>
          <cell r="E931">
            <v>226</v>
          </cell>
          <cell r="F931" t="str">
            <v>0797346706137</v>
          </cell>
          <cell r="G931"/>
          <cell r="H931" t="str">
            <v>Lucid Arizona</v>
          </cell>
          <cell r="I931" t="str">
            <v xml:space="preserve">REAR </v>
          </cell>
          <cell r="J931" t="str">
            <v>TGI</v>
          </cell>
        </row>
        <row r="932">
          <cell r="B932" t="str">
            <v>INV06391</v>
          </cell>
          <cell r="C932"/>
          <cell r="D932"/>
          <cell r="E932">
            <v>101.9</v>
          </cell>
          <cell r="F932" t="str">
            <v>885931180303</v>
          </cell>
          <cell r="G932"/>
          <cell r="H932" t="str">
            <v>EFI IL</v>
          </cell>
          <cell r="I932" t="str">
            <v>RANGER</v>
          </cell>
          <cell r="J932" t="str">
            <v>FedEx</v>
          </cell>
        </row>
        <row r="933">
          <cell r="B933" t="str">
            <v>INV06392</v>
          </cell>
          <cell r="C933"/>
          <cell r="D933"/>
          <cell r="E933">
            <v>5.0999999999999996</v>
          </cell>
          <cell r="F933" t="str">
            <v>885928564253</v>
          </cell>
          <cell r="G933"/>
          <cell r="H933" t="str">
            <v>Cloud TW</v>
          </cell>
          <cell r="I933" t="str">
            <v>EUSB</v>
          </cell>
          <cell r="J933" t="str">
            <v>FedEx</v>
          </cell>
        </row>
        <row r="934">
          <cell r="B934" t="str">
            <v>INV06393</v>
          </cell>
          <cell r="C934"/>
          <cell r="D934"/>
          <cell r="E934">
            <v>24.599999999999998</v>
          </cell>
          <cell r="F934" t="str">
            <v>885930545074</v>
          </cell>
          <cell r="G934"/>
          <cell r="H934" t="str">
            <v>Cloud HK</v>
          </cell>
          <cell r="I934" t="str">
            <v>DDR4</v>
          </cell>
          <cell r="J934" t="str">
            <v>FedEx</v>
          </cell>
        </row>
        <row r="935">
          <cell r="B935" t="str">
            <v>INV06394</v>
          </cell>
          <cell r="C935"/>
          <cell r="D935"/>
          <cell r="E935">
            <v>16.5</v>
          </cell>
          <cell r="F935" t="str">
            <v>885930753479</v>
          </cell>
          <cell r="G935"/>
          <cell r="H935" t="str">
            <v>Cloud HK</v>
          </cell>
          <cell r="I935" t="str">
            <v>DDR4</v>
          </cell>
          <cell r="J935" t="str">
            <v>FedEx</v>
          </cell>
        </row>
        <row r="936">
          <cell r="B936" t="str">
            <v>INV06395</v>
          </cell>
          <cell r="C936"/>
          <cell r="D936"/>
          <cell r="E936">
            <v>197.2</v>
          </cell>
          <cell r="F936" t="str">
            <v xml:space="preserve">45T0425463 </v>
          </cell>
          <cell r="G936"/>
          <cell r="H936" t="str">
            <v>UPS SCS</v>
          </cell>
          <cell r="I936" t="str">
            <v>GROVER</v>
          </cell>
          <cell r="J936" t="str">
            <v>Expeditors</v>
          </cell>
        </row>
        <row r="937">
          <cell r="B937" t="str">
            <v>INV06396</v>
          </cell>
          <cell r="C937"/>
          <cell r="D937"/>
          <cell r="E937">
            <v>21.9</v>
          </cell>
          <cell r="F937" t="str">
            <v>885929419725</v>
          </cell>
          <cell r="G937"/>
          <cell r="H937" t="str">
            <v>Sanmina</v>
          </cell>
          <cell r="I937" t="str">
            <v>DDR4</v>
          </cell>
          <cell r="J937" t="str">
            <v>FedEx</v>
          </cell>
        </row>
        <row r="938">
          <cell r="B938" t="str">
            <v>INV06397</v>
          </cell>
          <cell r="C938"/>
          <cell r="D938"/>
          <cell r="E938">
            <v>16.5</v>
          </cell>
          <cell r="F938" t="str">
            <v>885964593394</v>
          </cell>
          <cell r="G938">
            <v>886004047402</v>
          </cell>
          <cell r="H938" t="str">
            <v>Photron</v>
          </cell>
          <cell r="I938" t="str">
            <v>POWER GEM</v>
          </cell>
          <cell r="J938" t="str">
            <v>FedEx</v>
          </cell>
        </row>
        <row r="939">
          <cell r="B939" t="str">
            <v>INV06398</v>
          </cell>
          <cell r="C939"/>
          <cell r="D939"/>
          <cell r="E939">
            <v>147.6</v>
          </cell>
          <cell r="F939" t="str">
            <v>9887346968645</v>
          </cell>
          <cell r="G939"/>
          <cell r="H939" t="str">
            <v>Lucid Arizona</v>
          </cell>
          <cell r="I939" t="str">
            <v>BCM, VCU</v>
          </cell>
          <cell r="J939" t="str">
            <v>TGI</v>
          </cell>
        </row>
        <row r="940">
          <cell r="B940" t="str">
            <v>INV06399</v>
          </cell>
          <cell r="C940"/>
          <cell r="D940"/>
          <cell r="E940">
            <v>167.4</v>
          </cell>
          <cell r="F940" t="str">
            <v>9887346968679</v>
          </cell>
          <cell r="G940"/>
          <cell r="H940" t="str">
            <v>Lucid Arizona</v>
          </cell>
          <cell r="I940" t="str">
            <v>VCU, REAR</v>
          </cell>
          <cell r="J940" t="str">
            <v>TGI</v>
          </cell>
        </row>
        <row r="941">
          <cell r="B941" t="str">
            <v>INV06400</v>
          </cell>
          <cell r="C941"/>
          <cell r="D941"/>
          <cell r="E941">
            <v>189</v>
          </cell>
          <cell r="F941" t="str">
            <v>CI 297-2978903764</v>
          </cell>
          <cell r="G941"/>
          <cell r="H941" t="str">
            <v>Lucid Arizona</v>
          </cell>
          <cell r="I941" t="str">
            <v xml:space="preserve">BCM, VCU, REAR </v>
          </cell>
          <cell r="J941" t="str">
            <v>TGI</v>
          </cell>
        </row>
        <row r="942">
          <cell r="B942" t="str">
            <v>INV06401</v>
          </cell>
          <cell r="C942"/>
          <cell r="D942"/>
          <cell r="E942">
            <v>190.79999999999998</v>
          </cell>
          <cell r="F942" t="str">
            <v>CI 297-2978903765</v>
          </cell>
          <cell r="G942"/>
          <cell r="H942" t="str">
            <v>Lucid Arizona</v>
          </cell>
          <cell r="I942" t="str">
            <v>BCM</v>
          </cell>
          <cell r="J942" t="str">
            <v>TGI</v>
          </cell>
        </row>
        <row r="943">
          <cell r="B943" t="str">
            <v>INV06402</v>
          </cell>
          <cell r="C943"/>
          <cell r="D943"/>
          <cell r="E943">
            <v>187.20000000000002</v>
          </cell>
          <cell r="F943" t="str">
            <v>BR 695-2978903766</v>
          </cell>
          <cell r="G943"/>
          <cell r="H943" t="str">
            <v>Lucid Arizona</v>
          </cell>
          <cell r="I943" t="str">
            <v>VCU</v>
          </cell>
          <cell r="J943" t="str">
            <v>TGI</v>
          </cell>
        </row>
        <row r="944">
          <cell r="B944" t="str">
            <v>INV06403</v>
          </cell>
          <cell r="C944"/>
          <cell r="D944"/>
          <cell r="E944">
            <v>189</v>
          </cell>
          <cell r="F944" t="str">
            <v>BR 695-2978903767</v>
          </cell>
          <cell r="G944"/>
          <cell r="H944" t="str">
            <v>Lucid Arizona</v>
          </cell>
          <cell r="I944" t="str">
            <v xml:space="preserve">REAR </v>
          </cell>
          <cell r="J944" t="str">
            <v>TGI</v>
          </cell>
        </row>
        <row r="945">
          <cell r="B945" t="str">
            <v>E00992</v>
          </cell>
          <cell r="C945"/>
          <cell r="D945"/>
          <cell r="E945">
            <v>12</v>
          </cell>
          <cell r="F945" t="str">
            <v>885960179648</v>
          </cell>
          <cell r="G945"/>
          <cell r="H945" t="str">
            <v>Unigen MY</v>
          </cell>
          <cell r="I945" t="str">
            <v>material</v>
          </cell>
          <cell r="J945" t="str">
            <v>FedEx</v>
          </cell>
        </row>
        <row r="946">
          <cell r="B946" t="str">
            <v>INV06404</v>
          </cell>
          <cell r="C946"/>
          <cell r="D946"/>
          <cell r="E946">
            <v>1219.2</v>
          </cell>
          <cell r="F946" t="str">
            <v>HN90004925</v>
          </cell>
          <cell r="G946"/>
          <cell r="H946" t="str">
            <v>Lucid Arizona</v>
          </cell>
          <cell r="I946" t="str">
            <v>FRONT</v>
          </cell>
          <cell r="J946" t="str">
            <v>DSV</v>
          </cell>
        </row>
        <row r="947">
          <cell r="B947" t="str">
            <v>INV06405</v>
          </cell>
          <cell r="C947"/>
          <cell r="D947"/>
          <cell r="E947">
            <v>1219.2</v>
          </cell>
          <cell r="F947" t="str">
            <v>HN90004924</v>
          </cell>
          <cell r="G947"/>
          <cell r="H947" t="str">
            <v>Lucid Arizona</v>
          </cell>
          <cell r="I947" t="str">
            <v>FRONT</v>
          </cell>
          <cell r="J947" t="str">
            <v>DSV</v>
          </cell>
        </row>
        <row r="948">
          <cell r="B948" t="str">
            <v>INV06406</v>
          </cell>
          <cell r="C948"/>
          <cell r="D948"/>
          <cell r="E948">
            <v>1350.7999999999997</v>
          </cell>
          <cell r="F948" t="str">
            <v>HN90004923</v>
          </cell>
          <cell r="G948"/>
          <cell r="H948" t="str">
            <v>Lucid Arizona</v>
          </cell>
          <cell r="I948" t="str">
            <v>FRONT</v>
          </cell>
          <cell r="J948" t="str">
            <v>DSV</v>
          </cell>
        </row>
        <row r="949">
          <cell r="B949" t="str">
            <v>INV06407</v>
          </cell>
          <cell r="C949"/>
          <cell r="D949"/>
          <cell r="E949">
            <v>188.2</v>
          </cell>
          <cell r="F949" t="str">
            <v>SHANS0001900</v>
          </cell>
          <cell r="G949"/>
          <cell r="H949" t="str">
            <v>Lucid Group</v>
          </cell>
          <cell r="I949" t="str">
            <v>CCCV2</v>
          </cell>
          <cell r="J949" t="str">
            <v>FedEx Log</v>
          </cell>
        </row>
        <row r="950">
          <cell r="B950" t="str">
            <v>INV06408</v>
          </cell>
          <cell r="C950"/>
          <cell r="D950"/>
          <cell r="E950">
            <v>846</v>
          </cell>
          <cell r="F950" t="str">
            <v>HAN0448547</v>
          </cell>
          <cell r="G950"/>
          <cell r="H950" t="str">
            <v>HELLA</v>
          </cell>
          <cell r="I950" t="str">
            <v>HCU</v>
          </cell>
          <cell r="J950" t="str">
            <v>DSV</v>
          </cell>
        </row>
        <row r="951">
          <cell r="B951" t="str">
            <v>INV06409</v>
          </cell>
          <cell r="C951"/>
          <cell r="D951"/>
          <cell r="E951">
            <v>410.4</v>
          </cell>
          <cell r="F951" t="str">
            <v>HAN0444551</v>
          </cell>
          <cell r="G951"/>
          <cell r="H951" t="str">
            <v>Lucid Arizona</v>
          </cell>
          <cell r="I951" t="str">
            <v>CCCV2</v>
          </cell>
          <cell r="J951" t="str">
            <v>DSV</v>
          </cell>
        </row>
        <row r="952">
          <cell r="B952" t="str">
            <v>INV06410</v>
          </cell>
          <cell r="C952"/>
          <cell r="D952"/>
          <cell r="E952">
            <v>13.5</v>
          </cell>
          <cell r="F952" t="str">
            <v>885963835279</v>
          </cell>
          <cell r="G952"/>
          <cell r="H952" t="str">
            <v>Cloud TW</v>
          </cell>
          <cell r="I952" t="str">
            <v>EUSB</v>
          </cell>
          <cell r="J952" t="str">
            <v>FedEx</v>
          </cell>
        </row>
        <row r="953">
          <cell r="B953" t="str">
            <v>INV06411</v>
          </cell>
          <cell r="C953"/>
          <cell r="D953"/>
          <cell r="E953">
            <v>727.2</v>
          </cell>
          <cell r="F953" t="str">
            <v>45T0426207</v>
          </cell>
          <cell r="G953"/>
          <cell r="H953" t="str">
            <v>ZT Systems</v>
          </cell>
          <cell r="I953" t="str">
            <v>POWER GEM</v>
          </cell>
          <cell r="J953" t="str">
            <v>Expeditors</v>
          </cell>
        </row>
        <row r="954">
          <cell r="B954" t="str">
            <v>INV06412</v>
          </cell>
          <cell r="C954"/>
          <cell r="D954"/>
          <cell r="E954">
            <v>1131.2</v>
          </cell>
          <cell r="F954" t="str">
            <v>HN90004930</v>
          </cell>
          <cell r="G954"/>
          <cell r="H954" t="str">
            <v>Lucid Arizona</v>
          </cell>
          <cell r="I954" t="str">
            <v>UCC, Rear, DCM</v>
          </cell>
          <cell r="J954" t="str">
            <v>DSV</v>
          </cell>
        </row>
        <row r="955">
          <cell r="B955" t="str">
            <v>INV06413</v>
          </cell>
          <cell r="C955"/>
          <cell r="D955"/>
          <cell r="E955">
            <v>189</v>
          </cell>
          <cell r="F955" t="str">
            <v>1317347213376</v>
          </cell>
          <cell r="G955"/>
          <cell r="H955" t="str">
            <v>Lucid Arizona</v>
          </cell>
          <cell r="I955" t="str">
            <v>VCU, REAR, BCM</v>
          </cell>
          <cell r="J955" t="str">
            <v>TGI</v>
          </cell>
        </row>
        <row r="956">
          <cell r="B956" t="str">
            <v>INV06414</v>
          </cell>
          <cell r="C956"/>
          <cell r="D956"/>
          <cell r="E956">
            <v>189</v>
          </cell>
          <cell r="F956" t="str">
            <v>1317347213392</v>
          </cell>
          <cell r="G956"/>
          <cell r="H956" t="str">
            <v>Lucid Arizona</v>
          </cell>
          <cell r="I956" t="str">
            <v>VCU, REAR, BCM</v>
          </cell>
          <cell r="J956" t="str">
            <v>TGI</v>
          </cell>
        </row>
        <row r="957">
          <cell r="B957" t="str">
            <v>INV06415</v>
          </cell>
          <cell r="C957"/>
          <cell r="D957"/>
          <cell r="E957">
            <v>32</v>
          </cell>
          <cell r="F957" t="str">
            <v>885999977268</v>
          </cell>
          <cell r="G957"/>
          <cell r="H957" t="str">
            <v>Cloud HK</v>
          </cell>
          <cell r="I957" t="str">
            <v>DDDR4</v>
          </cell>
          <cell r="J957" t="str">
            <v>FedEx</v>
          </cell>
        </row>
        <row r="958">
          <cell r="B958" t="str">
            <v>INV06416</v>
          </cell>
          <cell r="C958"/>
          <cell r="D958"/>
          <cell r="E958">
            <v>27.799999999999997</v>
          </cell>
          <cell r="F958" t="str">
            <v>886000728709</v>
          </cell>
          <cell r="G958"/>
          <cell r="H958" t="str">
            <v>Cloud HK</v>
          </cell>
          <cell r="I958" t="str">
            <v>DDDR4</v>
          </cell>
          <cell r="J958" t="str">
            <v>FedEx</v>
          </cell>
        </row>
        <row r="959">
          <cell r="B959" t="str">
            <v>INV06417</v>
          </cell>
          <cell r="C959"/>
          <cell r="D959"/>
          <cell r="E959">
            <v>19.600000000000001</v>
          </cell>
          <cell r="F959" t="str">
            <v>886001347732</v>
          </cell>
          <cell r="G959"/>
          <cell r="H959" t="str">
            <v>Jabil MY</v>
          </cell>
          <cell r="I959" t="str">
            <v>DDDR4</v>
          </cell>
          <cell r="J959" t="str">
            <v>FedEx</v>
          </cell>
        </row>
        <row r="960">
          <cell r="B960" t="str">
            <v>INV06418</v>
          </cell>
          <cell r="C960"/>
          <cell r="D960"/>
          <cell r="E960">
            <v>439.8</v>
          </cell>
          <cell r="F960" t="str">
            <v>886033332378</v>
          </cell>
          <cell r="G960"/>
          <cell r="H960" t="str">
            <v>Jabil MX</v>
          </cell>
          <cell r="I960" t="str">
            <v>HLOB</v>
          </cell>
          <cell r="J960" t="str">
            <v>FedEx</v>
          </cell>
        </row>
        <row r="961">
          <cell r="B961" t="str">
            <v>INV06419</v>
          </cell>
          <cell r="C961"/>
          <cell r="D961"/>
          <cell r="E961">
            <v>439.8</v>
          </cell>
          <cell r="F961" t="str">
            <v>886033565044</v>
          </cell>
          <cell r="G961"/>
          <cell r="H961" t="str">
            <v>Jabil MX</v>
          </cell>
          <cell r="I961" t="str">
            <v>HLOB</v>
          </cell>
          <cell r="J961" t="str">
            <v>FedEx</v>
          </cell>
        </row>
        <row r="962">
          <cell r="B962" t="str">
            <v>INV06420</v>
          </cell>
          <cell r="C962"/>
          <cell r="D962"/>
          <cell r="E962">
            <v>439.8</v>
          </cell>
          <cell r="F962" t="str">
            <v>886033619048</v>
          </cell>
          <cell r="G962"/>
          <cell r="H962" t="str">
            <v>Jabil MX</v>
          </cell>
          <cell r="I962" t="str">
            <v>HLOB</v>
          </cell>
          <cell r="J962" t="str">
            <v>FedEx</v>
          </cell>
        </row>
        <row r="963">
          <cell r="B963" t="str">
            <v>INV06421</v>
          </cell>
          <cell r="C963"/>
          <cell r="D963"/>
          <cell r="E963">
            <v>3</v>
          </cell>
          <cell r="F963" t="str">
            <v>886004748923</v>
          </cell>
          <cell r="G963"/>
          <cell r="H963" t="str">
            <v>AIC</v>
          </cell>
          <cell r="I963" t="str">
            <v>PCBA</v>
          </cell>
          <cell r="J963" t="str">
            <v>FedEx</v>
          </cell>
        </row>
        <row r="964">
          <cell r="B964" t="str">
            <v>INV06422</v>
          </cell>
          <cell r="C964"/>
          <cell r="D964"/>
          <cell r="E964">
            <v>10.7</v>
          </cell>
          <cell r="F964" t="str">
            <v>886256397084</v>
          </cell>
          <cell r="G964"/>
          <cell r="H964" t="str">
            <v>Pure</v>
          </cell>
          <cell r="I964" t="str">
            <v>PIPER</v>
          </cell>
          <cell r="J964" t="str">
            <v>FedEx</v>
          </cell>
        </row>
        <row r="965">
          <cell r="B965" t="str">
            <v>INV06423</v>
          </cell>
          <cell r="C965"/>
          <cell r="D965"/>
          <cell r="E965">
            <v>389.3</v>
          </cell>
          <cell r="F965" t="str">
            <v>HAN25007607</v>
          </cell>
          <cell r="G965"/>
          <cell r="H965" t="str">
            <v>FCZ</v>
          </cell>
          <cell r="I965" t="str">
            <v>Hopper, Grover</v>
          </cell>
          <cell r="J965" t="str">
            <v>Schenker</v>
          </cell>
        </row>
        <row r="966">
          <cell r="B966" t="str">
            <v>INV06424</v>
          </cell>
          <cell r="C966"/>
          <cell r="D966"/>
          <cell r="E966">
            <v>1718.8999999999999</v>
          </cell>
          <cell r="F966" t="str">
            <v>45T0426656</v>
          </cell>
          <cell r="G966"/>
          <cell r="H966" t="str">
            <v>FTX</v>
          </cell>
          <cell r="I966" t="str">
            <v>Hopper, Grover</v>
          </cell>
          <cell r="J966" t="str">
            <v>Expeditors</v>
          </cell>
        </row>
        <row r="967">
          <cell r="B967" t="str">
            <v>INV06425</v>
          </cell>
          <cell r="C967"/>
          <cell r="D967"/>
          <cell r="E967">
            <v>189</v>
          </cell>
          <cell r="F967" t="str">
            <v>UA 016-2978993159</v>
          </cell>
          <cell r="G967"/>
          <cell r="H967" t="str">
            <v>Lucid Arizona</v>
          </cell>
          <cell r="I967" t="str">
            <v>BCM, VCU, NACS</v>
          </cell>
          <cell r="J967" t="str">
            <v>TGI</v>
          </cell>
        </row>
        <row r="968">
          <cell r="B968" t="str">
            <v>INV06426</v>
          </cell>
          <cell r="C968"/>
          <cell r="D968"/>
          <cell r="E968">
            <v>189</v>
          </cell>
          <cell r="F968" t="str">
            <v>UA 016-2978993147</v>
          </cell>
          <cell r="G968"/>
          <cell r="H968" t="str">
            <v>Lucid Arizona</v>
          </cell>
          <cell r="I968" t="str">
            <v>BCM, VCU, NACS</v>
          </cell>
          <cell r="J968" t="str">
            <v>TGI</v>
          </cell>
        </row>
        <row r="969">
          <cell r="B969" t="str">
            <v>INV06427</v>
          </cell>
          <cell r="C969"/>
          <cell r="D969"/>
          <cell r="E969">
            <v>189</v>
          </cell>
          <cell r="F969" t="str">
            <v>CX 160-2978994916</v>
          </cell>
          <cell r="G969"/>
          <cell r="H969" t="str">
            <v>Lucid Arizona</v>
          </cell>
          <cell r="I969" t="str">
            <v>BCM, VCU, NACS</v>
          </cell>
          <cell r="J969" t="str">
            <v>TGI</v>
          </cell>
        </row>
        <row r="970">
          <cell r="B970" t="str">
            <v>INV06428</v>
          </cell>
          <cell r="C970"/>
          <cell r="D970"/>
          <cell r="E970">
            <v>189</v>
          </cell>
          <cell r="F970" t="str">
            <v>CX 160-2978994912</v>
          </cell>
          <cell r="G970"/>
          <cell r="H970" t="str">
            <v>Lucid Arizona</v>
          </cell>
          <cell r="I970" t="str">
            <v>BCM, VCU, NACS</v>
          </cell>
          <cell r="J970" t="str">
            <v>TGI</v>
          </cell>
        </row>
        <row r="971">
          <cell r="B971" t="str">
            <v>INV06429</v>
          </cell>
          <cell r="C971"/>
          <cell r="D971"/>
          <cell r="E971">
            <v>189</v>
          </cell>
          <cell r="F971" t="str">
            <v>CX 160-2979028630</v>
          </cell>
          <cell r="G971"/>
          <cell r="H971" t="str">
            <v>Lucid Arizona</v>
          </cell>
          <cell r="I971" t="str">
            <v>BCM, VCU, NACS</v>
          </cell>
          <cell r="J971" t="str">
            <v>TGI</v>
          </cell>
        </row>
        <row r="972">
          <cell r="B972" t="str">
            <v>INV06430</v>
          </cell>
          <cell r="C972"/>
          <cell r="D972"/>
          <cell r="E972">
            <v>189</v>
          </cell>
          <cell r="F972" t="str">
            <v>CX 160-2979030411</v>
          </cell>
          <cell r="G972"/>
          <cell r="H972" t="str">
            <v>Lucid Arizona</v>
          </cell>
          <cell r="I972" t="str">
            <v>BCM, VCU, NACS</v>
          </cell>
          <cell r="J972" t="str">
            <v>TGI</v>
          </cell>
        </row>
        <row r="973">
          <cell r="B973" t="str">
            <v>INV06431</v>
          </cell>
          <cell r="C973"/>
          <cell r="D973"/>
          <cell r="E973">
            <v>337.21</v>
          </cell>
          <cell r="F973" t="str">
            <v>HN90005038</v>
          </cell>
          <cell r="G973"/>
          <cell r="H973" t="str">
            <v>Lucid US</v>
          </cell>
          <cell r="I973" t="str">
            <v>UCC, VCU, USB, CCCV2, BCM, REAR</v>
          </cell>
          <cell r="J973" t="str">
            <v>DSV</v>
          </cell>
        </row>
        <row r="974">
          <cell r="B974" t="str">
            <v>E00993</v>
          </cell>
          <cell r="C974"/>
          <cell r="D974"/>
          <cell r="E974">
            <v>0.9</v>
          </cell>
          <cell r="F974" t="str">
            <v>886091151587</v>
          </cell>
          <cell r="G974"/>
          <cell r="H974" t="str">
            <v>Bangtai</v>
          </cell>
          <cell r="I974" t="str">
            <v>IC</v>
          </cell>
          <cell r="J974" t="str">
            <v>FedEx</v>
          </cell>
        </row>
        <row r="975">
          <cell r="B975" t="str">
            <v>INV06432</v>
          </cell>
          <cell r="C975"/>
          <cell r="D975"/>
          <cell r="E975">
            <v>723.2</v>
          </cell>
          <cell r="F975" t="str">
            <v>HN90004945</v>
          </cell>
          <cell r="G975"/>
          <cell r="H975" t="str">
            <v>Lucid Arizona</v>
          </cell>
          <cell r="I975" t="str">
            <v>UCC, DCM</v>
          </cell>
          <cell r="J975" t="str">
            <v>DSV</v>
          </cell>
        </row>
        <row r="976">
          <cell r="B976" t="str">
            <v>INV06433</v>
          </cell>
          <cell r="C976"/>
          <cell r="D976"/>
          <cell r="E976">
            <v>402.6</v>
          </cell>
          <cell r="F976" t="str">
            <v>HAN0446426</v>
          </cell>
          <cell r="G976"/>
          <cell r="H976" t="str">
            <v>Lucid Arizona</v>
          </cell>
          <cell r="I976" t="str">
            <v>ICC, CCCV2</v>
          </cell>
          <cell r="J976" t="str">
            <v>DSV</v>
          </cell>
        </row>
        <row r="977">
          <cell r="B977" t="str">
            <v>INV06434</v>
          </cell>
          <cell r="C977"/>
          <cell r="D977"/>
          <cell r="E977">
            <v>900</v>
          </cell>
          <cell r="F977" t="str">
            <v>HN90004950</v>
          </cell>
          <cell r="G977"/>
          <cell r="H977" t="str">
            <v>Lucid Arizona</v>
          </cell>
          <cell r="I977" t="str">
            <v>BCM,VCN, REAR</v>
          </cell>
          <cell r="J977" t="str">
            <v>DSV</v>
          </cell>
        </row>
        <row r="978">
          <cell r="B978" t="str">
            <v>INV06435</v>
          </cell>
          <cell r="C978"/>
          <cell r="D978"/>
          <cell r="E978">
            <v>1.9</v>
          </cell>
          <cell r="F978" t="str">
            <v>886098207658</v>
          </cell>
          <cell r="G978"/>
          <cell r="H978" t="str">
            <v>HQ1</v>
          </cell>
          <cell r="I978" t="str">
            <v>SSD</v>
          </cell>
          <cell r="J978" t="str">
            <v>FedEx</v>
          </cell>
        </row>
        <row r="979">
          <cell r="B979" t="str">
            <v>INV06436</v>
          </cell>
          <cell r="C979"/>
          <cell r="D979"/>
          <cell r="E979">
            <v>1.6</v>
          </cell>
          <cell r="F979" t="str">
            <v>886098606836</v>
          </cell>
          <cell r="G979"/>
          <cell r="H979" t="str">
            <v>CTU</v>
          </cell>
          <cell r="I979" t="str">
            <v>SSD</v>
          </cell>
          <cell r="J979" t="str">
            <v>FedEx</v>
          </cell>
        </row>
        <row r="980">
          <cell r="B980" t="str">
            <v>INV06437</v>
          </cell>
          <cell r="C980"/>
          <cell r="D980"/>
          <cell r="E980">
            <v>189</v>
          </cell>
          <cell r="F980" t="str">
            <v>OZ 988-2979082407</v>
          </cell>
          <cell r="G980"/>
          <cell r="H980" t="str">
            <v>Lucid Arizona</v>
          </cell>
          <cell r="I980" t="str">
            <v>BCM, REAR, VCU</v>
          </cell>
          <cell r="J980" t="str">
            <v>TGI</v>
          </cell>
        </row>
        <row r="981">
          <cell r="B981" t="str">
            <v>INV06438</v>
          </cell>
          <cell r="C981"/>
          <cell r="D981"/>
          <cell r="E981">
            <v>189</v>
          </cell>
          <cell r="F981" t="str">
            <v>OZ 988-2979082408</v>
          </cell>
          <cell r="G981"/>
          <cell r="H981" t="str">
            <v>Lucid Arizona</v>
          </cell>
          <cell r="I981" t="str">
            <v>BCM, REAR, VCU</v>
          </cell>
          <cell r="J981" t="str">
            <v>TGI</v>
          </cell>
        </row>
        <row r="982">
          <cell r="B982" t="str">
            <v>INV06439</v>
          </cell>
          <cell r="C982"/>
          <cell r="D982"/>
          <cell r="E982">
            <v>189</v>
          </cell>
          <cell r="F982" t="str">
            <v>UA 016-2979082406</v>
          </cell>
          <cell r="G982"/>
          <cell r="H982" t="str">
            <v>Lucid Arizona</v>
          </cell>
          <cell r="I982" t="str">
            <v>BCM, REAR, VCU</v>
          </cell>
          <cell r="J982" t="str">
            <v>TGI</v>
          </cell>
        </row>
        <row r="983">
          <cell r="B983" t="str">
            <v>INV06440</v>
          </cell>
          <cell r="C983"/>
          <cell r="D983"/>
          <cell r="E983">
            <v>189</v>
          </cell>
          <cell r="F983" t="str">
            <v>UA 016-2979082405</v>
          </cell>
          <cell r="G983"/>
          <cell r="H983" t="str">
            <v>Lucid Arizona</v>
          </cell>
          <cell r="I983" t="str">
            <v>BCM, REAR, VCU</v>
          </cell>
          <cell r="J983" t="str">
            <v>TGI</v>
          </cell>
        </row>
        <row r="984">
          <cell r="B984" t="str">
            <v>Sample 707</v>
          </cell>
          <cell r="C984"/>
          <cell r="D984"/>
          <cell r="E984">
            <v>1</v>
          </cell>
          <cell r="F984" t="str">
            <v>886094720013</v>
          </cell>
          <cell r="G984"/>
          <cell r="H984" t="str">
            <v>Ennovi</v>
          </cell>
          <cell r="I984" t="str">
            <v>Conn</v>
          </cell>
          <cell r="J984" t="str">
            <v>FedEx</v>
          </cell>
        </row>
        <row r="985">
          <cell r="B985" t="str">
            <v>INV06441</v>
          </cell>
          <cell r="C985"/>
          <cell r="D985"/>
          <cell r="E985">
            <v>864</v>
          </cell>
          <cell r="F985" t="str">
            <v>HN90004952</v>
          </cell>
          <cell r="G985"/>
          <cell r="H985" t="str">
            <v>Lucid Arizona</v>
          </cell>
          <cell r="I985" t="str">
            <v>VCU, REAR, BCM</v>
          </cell>
          <cell r="J985" t="str">
            <v>DSV</v>
          </cell>
        </row>
        <row r="986">
          <cell r="B986" t="str">
            <v>INV06442</v>
          </cell>
          <cell r="C986"/>
          <cell r="D986"/>
          <cell r="E986">
            <v>1011.5999999999999</v>
          </cell>
          <cell r="F986" t="str">
            <v>HN90004953</v>
          </cell>
          <cell r="G986"/>
          <cell r="H986" t="str">
            <v>Lucid Arizona</v>
          </cell>
          <cell r="I986" t="str">
            <v>VCU, REAR, BCM, DCM</v>
          </cell>
          <cell r="J986" t="str">
            <v>DSV</v>
          </cell>
        </row>
        <row r="987">
          <cell r="B987" t="str">
            <v>INV06443</v>
          </cell>
          <cell r="C987"/>
          <cell r="D987"/>
          <cell r="E987">
            <v>876</v>
          </cell>
          <cell r="F987" t="str">
            <v>HAN0449318</v>
          </cell>
          <cell r="G987"/>
          <cell r="H987" t="str">
            <v>HELLA</v>
          </cell>
          <cell r="I987" t="str">
            <v>HCU</v>
          </cell>
          <cell r="J987" t="str">
            <v>DSV</v>
          </cell>
        </row>
        <row r="988">
          <cell r="B988" t="str">
            <v>INV06444</v>
          </cell>
          <cell r="C988"/>
          <cell r="D988"/>
          <cell r="E988">
            <v>6.2</v>
          </cell>
          <cell r="F988" t="str">
            <v>886141479174</v>
          </cell>
          <cell r="G988"/>
          <cell r="H988" t="str">
            <v>Kingston</v>
          </cell>
          <cell r="I988" t="str">
            <v>PCBA</v>
          </cell>
          <cell r="J988" t="str">
            <v>FedEx</v>
          </cell>
        </row>
        <row r="989">
          <cell r="B989" t="str">
            <v>INV06445</v>
          </cell>
          <cell r="C989"/>
          <cell r="D989"/>
          <cell r="E989">
            <v>26.9</v>
          </cell>
          <cell r="F989" t="str">
            <v>886139067191</v>
          </cell>
          <cell r="G989"/>
          <cell r="H989" t="str">
            <v>Jabil MY</v>
          </cell>
          <cell r="I989" t="str">
            <v>DDR4</v>
          </cell>
          <cell r="J989" t="str">
            <v>FedEx</v>
          </cell>
        </row>
        <row r="990">
          <cell r="B990" t="str">
            <v>INV06446</v>
          </cell>
          <cell r="C990"/>
          <cell r="D990"/>
          <cell r="E990">
            <v>23.4</v>
          </cell>
          <cell r="F990" t="str">
            <v>886139147983</v>
          </cell>
          <cell r="G990"/>
          <cell r="H990" t="str">
            <v>Jabil MY</v>
          </cell>
          <cell r="I990" t="str">
            <v>DDR4</v>
          </cell>
          <cell r="J990" t="str">
            <v>FedEx</v>
          </cell>
        </row>
        <row r="991">
          <cell r="B991" t="str">
            <v>INV06447</v>
          </cell>
          <cell r="C991"/>
          <cell r="D991"/>
          <cell r="E991">
            <v>26.2</v>
          </cell>
          <cell r="F991" t="str">
            <v>3054787050</v>
          </cell>
          <cell r="G991"/>
          <cell r="H991" t="str">
            <v>AVNET US</v>
          </cell>
          <cell r="I991" t="str">
            <v>PCBA</v>
          </cell>
          <cell r="J991" t="str">
            <v>DHL</v>
          </cell>
        </row>
        <row r="992">
          <cell r="B992" t="str">
            <v>INV06448</v>
          </cell>
          <cell r="C992"/>
          <cell r="D992"/>
          <cell r="E992">
            <v>83.2</v>
          </cell>
          <cell r="F992" t="str">
            <v>OZ 988-2979120384</v>
          </cell>
          <cell r="G992"/>
          <cell r="H992" t="str">
            <v>Lucid Arizona</v>
          </cell>
          <cell r="I992" t="str">
            <v>VCU</v>
          </cell>
          <cell r="J992" t="str">
            <v>TGI</v>
          </cell>
        </row>
        <row r="993">
          <cell r="B993" t="str">
            <v>INV06449</v>
          </cell>
          <cell r="C993"/>
          <cell r="D993"/>
          <cell r="E993">
            <v>864</v>
          </cell>
          <cell r="F993" t="str">
            <v>HBL2511021</v>
          </cell>
          <cell r="G993"/>
          <cell r="H993" t="str">
            <v>DAA</v>
          </cell>
          <cell r="I993" t="str">
            <v>USB</v>
          </cell>
          <cell r="J993" t="str">
            <v>PRIME</v>
          </cell>
        </row>
        <row r="994">
          <cell r="B994" t="str">
            <v>INV06450</v>
          </cell>
          <cell r="C994"/>
          <cell r="D994"/>
          <cell r="E994">
            <v>2.7</v>
          </cell>
          <cell r="F994" t="str">
            <v>886181269263</v>
          </cell>
          <cell r="G994"/>
          <cell r="H994" t="str">
            <v>IXSystems</v>
          </cell>
          <cell r="I994" t="str">
            <v>DDR4</v>
          </cell>
          <cell r="J994" t="str">
            <v>FedEx</v>
          </cell>
        </row>
        <row r="995">
          <cell r="B995" t="str">
            <v>INV06451</v>
          </cell>
          <cell r="C995"/>
          <cell r="D995"/>
          <cell r="E995">
            <v>0.8</v>
          </cell>
          <cell r="F995" t="str">
            <v>886183206927</v>
          </cell>
          <cell r="G995" t="str">
            <v>Sai tên cty ở vận đơn: 886178472420</v>
          </cell>
          <cell r="H995" t="str">
            <v>RAVE computer</v>
          </cell>
          <cell r="I995" t="str">
            <v>DDR4</v>
          </cell>
          <cell r="J995" t="str">
            <v>FedEx</v>
          </cell>
        </row>
        <row r="996">
          <cell r="B996" t="str">
            <v>INV06452</v>
          </cell>
          <cell r="C996"/>
          <cell r="D996"/>
          <cell r="E996">
            <v>3.6</v>
          </cell>
          <cell r="F996" t="str">
            <v>886182167805</v>
          </cell>
          <cell r="G996"/>
          <cell r="H996" t="str">
            <v>Cloud TW</v>
          </cell>
          <cell r="I996" t="str">
            <v>EUSB</v>
          </cell>
          <cell r="J996" t="str">
            <v>FedEx</v>
          </cell>
        </row>
        <row r="997">
          <cell r="B997" t="str">
            <v>INV06453</v>
          </cell>
          <cell r="C997"/>
          <cell r="D997"/>
          <cell r="E997">
            <v>451.79999999999995</v>
          </cell>
          <cell r="F997" t="str">
            <v>45T0428327</v>
          </cell>
          <cell r="G997"/>
          <cell r="H997" t="str">
            <v>ZT Systems</v>
          </cell>
          <cell r="I997" t="str">
            <v>POWER GEM</v>
          </cell>
          <cell r="J997" t="str">
            <v>Expeditors</v>
          </cell>
        </row>
        <row r="998">
          <cell r="B998" t="str">
            <v>SAMPLE 708</v>
          </cell>
          <cell r="C998"/>
          <cell r="D998"/>
          <cell r="E998">
            <v>0.3</v>
          </cell>
          <cell r="F998" t="str">
            <v>886141661178</v>
          </cell>
          <cell r="G998"/>
          <cell r="H998" t="str">
            <v>GCE</v>
          </cell>
          <cell r="I998" t="str">
            <v>PCB</v>
          </cell>
          <cell r="J998" t="str">
            <v>FedEx</v>
          </cell>
        </row>
        <row r="999">
          <cell r="B999" t="str">
            <v>Sample 709</v>
          </cell>
          <cell r="C999"/>
          <cell r="D999"/>
          <cell r="E999">
            <v>0.3</v>
          </cell>
          <cell r="F999" t="str">
            <v>886142763375</v>
          </cell>
          <cell r="G999"/>
          <cell r="H999" t="str">
            <v>Compeq</v>
          </cell>
          <cell r="I999" t="str">
            <v>PCB</v>
          </cell>
          <cell r="J999" t="str">
            <v>FedEx</v>
          </cell>
        </row>
        <row r="1000">
          <cell r="B1000" t="str">
            <v>Sample 710</v>
          </cell>
          <cell r="C1000"/>
          <cell r="D1000"/>
          <cell r="E1000">
            <v>0.3</v>
          </cell>
          <cell r="F1000" t="str">
            <v>886178461916</v>
          </cell>
          <cell r="G1000"/>
          <cell r="H1000" t="str">
            <v>WUS</v>
          </cell>
          <cell r="I1000" t="str">
            <v>PCB</v>
          </cell>
          <cell r="J1000" t="str">
            <v>FedEx</v>
          </cell>
        </row>
        <row r="1001">
          <cell r="B1001" t="str">
            <v>E00994</v>
          </cell>
          <cell r="C1001"/>
          <cell r="D1001"/>
          <cell r="E1001">
            <v>0.2</v>
          </cell>
          <cell r="F1001" t="str">
            <v>886180689682</v>
          </cell>
          <cell r="G1001"/>
          <cell r="H1001" t="str">
            <v>HQ1</v>
          </cell>
          <cell r="I1001" t="str">
            <v>Label</v>
          </cell>
          <cell r="J1001" t="str">
            <v>FedEx</v>
          </cell>
        </row>
        <row r="1002">
          <cell r="B1002" t="str">
            <v>Sample 711</v>
          </cell>
          <cell r="C1002"/>
          <cell r="D1002"/>
          <cell r="E1002">
            <v>0.3</v>
          </cell>
          <cell r="F1002" t="str">
            <v>Handcarry</v>
          </cell>
          <cell r="G1002"/>
          <cell r="H1002" t="str">
            <v>Compeq</v>
          </cell>
          <cell r="I1002" t="str">
            <v>PCB, Housing</v>
          </cell>
          <cell r="J1002" t="str">
            <v>Handcarry</v>
          </cell>
        </row>
        <row r="1003">
          <cell r="B1003" t="str">
            <v>INV06454</v>
          </cell>
          <cell r="C1003"/>
          <cell r="D1003"/>
          <cell r="E1003">
            <v>3.1</v>
          </cell>
          <cell r="F1003" t="str">
            <v>3245029001</v>
          </cell>
          <cell r="G1003" t="str">
            <v>Vận đơn làm hệ thống: 2750290480. Đổi vận đơn do thiếu thông tin địa chỉ</v>
          </cell>
          <cell r="H1003" t="str">
            <v>Mitac</v>
          </cell>
          <cell r="I1003" t="str">
            <v>DDR3</v>
          </cell>
          <cell r="J1003" t="str">
            <v>DHL</v>
          </cell>
        </row>
        <row r="1004">
          <cell r="B1004" t="str">
            <v>INV06455</v>
          </cell>
          <cell r="C1004"/>
          <cell r="D1004"/>
          <cell r="E1004">
            <v>320.39999999999998</v>
          </cell>
          <cell r="F1004" t="str">
            <v>HAN25007761</v>
          </cell>
          <cell r="G1004"/>
          <cell r="H1004" t="str">
            <v>FCZ</v>
          </cell>
          <cell r="I1004" t="str">
            <v>Hopper, Grover</v>
          </cell>
          <cell r="J1004" t="str">
            <v>Schenker</v>
          </cell>
        </row>
        <row r="1005">
          <cell r="B1005" t="str">
            <v>INV06456</v>
          </cell>
          <cell r="C1005"/>
          <cell r="D1005"/>
          <cell r="E1005">
            <v>422.7</v>
          </cell>
          <cell r="F1005" t="str">
            <v>45T0429218</v>
          </cell>
          <cell r="G1005"/>
          <cell r="H1005" t="str">
            <v>FTX</v>
          </cell>
          <cell r="I1005" t="str">
            <v>Eiger, Grover, Hopper</v>
          </cell>
          <cell r="J1005" t="str">
            <v>Expeditors</v>
          </cell>
        </row>
        <row r="1006">
          <cell r="B1006" t="str">
            <v>E00995</v>
          </cell>
          <cell r="C1006"/>
          <cell r="D1006"/>
          <cell r="E1006">
            <v>1202.5</v>
          </cell>
          <cell r="F1006" t="str">
            <v>886259319398</v>
          </cell>
          <cell r="G1006"/>
          <cell r="H1006" t="str">
            <v>Unigen MY</v>
          </cell>
          <cell r="I1006" t="str">
            <v>material</v>
          </cell>
          <cell r="J1006" t="str">
            <v>FedEx</v>
          </cell>
        </row>
        <row r="1007">
          <cell r="B1007" t="str">
            <v>INV06457</v>
          </cell>
          <cell r="C1007"/>
          <cell r="D1007"/>
          <cell r="E1007">
            <v>816</v>
          </cell>
          <cell r="F1007" t="str">
            <v>HN90004976</v>
          </cell>
          <cell r="G1007"/>
          <cell r="H1007" t="str">
            <v>Lucid Arizona</v>
          </cell>
          <cell r="I1007" t="str">
            <v>ICC, CCCV2</v>
          </cell>
          <cell r="J1007" t="str">
            <v>DSV</v>
          </cell>
        </row>
        <row r="1008">
          <cell r="B1008" t="str">
            <v>INV06458</v>
          </cell>
          <cell r="C1008"/>
          <cell r="D1008"/>
          <cell r="E1008">
            <v>1050</v>
          </cell>
          <cell r="F1008" t="str">
            <v>HN90004967</v>
          </cell>
          <cell r="G1008"/>
          <cell r="H1008" t="str">
            <v>Lucid Arizona</v>
          </cell>
          <cell r="I1008" t="str">
            <v>VCU, NACS, BCM</v>
          </cell>
          <cell r="J1008" t="str">
            <v>DSV</v>
          </cell>
        </row>
        <row r="1009">
          <cell r="B1009" t="str">
            <v>INV06459</v>
          </cell>
          <cell r="C1009"/>
          <cell r="D1009"/>
          <cell r="E1009">
            <v>1094.4000000000001</v>
          </cell>
          <cell r="F1009" t="str">
            <v>HN90004973</v>
          </cell>
          <cell r="G1009"/>
          <cell r="H1009" t="str">
            <v>Lucid Arizona</v>
          </cell>
          <cell r="I1009" t="str">
            <v>REAR, CABIN</v>
          </cell>
          <cell r="J1009" t="str">
            <v>DSV</v>
          </cell>
        </row>
        <row r="1010">
          <cell r="B1010" t="str">
            <v>INV06460</v>
          </cell>
          <cell r="C1010"/>
          <cell r="D1010"/>
          <cell r="E1010">
            <v>1417.1999999999998</v>
          </cell>
          <cell r="F1010" t="str">
            <v>HN90004972</v>
          </cell>
          <cell r="G1010"/>
          <cell r="H1010" t="str">
            <v>Lucid Arizona</v>
          </cell>
          <cell r="I1010" t="str">
            <v>Cabin, Rear, FRONT</v>
          </cell>
          <cell r="J1010" t="str">
            <v>DSV</v>
          </cell>
        </row>
        <row r="1011">
          <cell r="B1011" t="str">
            <v>INV06461</v>
          </cell>
          <cell r="C1011"/>
          <cell r="D1011"/>
          <cell r="E1011">
            <v>834</v>
          </cell>
          <cell r="F1011" t="str">
            <v>HN90004971</v>
          </cell>
          <cell r="G1011"/>
          <cell r="H1011" t="str">
            <v>Lucid Arizona</v>
          </cell>
          <cell r="I1011" t="str">
            <v>VCU,BCM, REAR, UCC</v>
          </cell>
          <cell r="J1011" t="str">
            <v>DSV</v>
          </cell>
        </row>
        <row r="1012">
          <cell r="B1012" t="str">
            <v>INV06462</v>
          </cell>
          <cell r="C1012"/>
          <cell r="D1012"/>
          <cell r="E1012">
            <v>1117.2</v>
          </cell>
          <cell r="F1012" t="str">
            <v>HN90004975</v>
          </cell>
          <cell r="G1012"/>
          <cell r="H1012" t="str">
            <v>Lucid Arizona</v>
          </cell>
          <cell r="I1012" t="str">
            <v>FRONT</v>
          </cell>
          <cell r="J1012" t="str">
            <v>DSV</v>
          </cell>
        </row>
        <row r="1013">
          <cell r="B1013" t="str">
            <v>INV06463</v>
          </cell>
          <cell r="C1013"/>
          <cell r="D1013"/>
          <cell r="E1013">
            <v>342.5</v>
          </cell>
          <cell r="F1013" t="str">
            <v>SHANS0001943</v>
          </cell>
          <cell r="G1013"/>
          <cell r="H1013" t="str">
            <v>Lucid Group</v>
          </cell>
          <cell r="I1013" t="str">
            <v>CCCV2</v>
          </cell>
          <cell r="J1013" t="str">
            <v>FedEx Log</v>
          </cell>
        </row>
        <row r="1014">
          <cell r="B1014" t="str">
            <v>INV06464</v>
          </cell>
          <cell r="C1014"/>
          <cell r="D1014"/>
          <cell r="E1014">
            <v>876</v>
          </cell>
          <cell r="F1014" t="str">
            <v>HAN0450287</v>
          </cell>
          <cell r="G1014"/>
          <cell r="H1014" t="str">
            <v>HELLA</v>
          </cell>
          <cell r="I1014" t="str">
            <v>HCU</v>
          </cell>
          <cell r="J1014" t="str">
            <v>DSV</v>
          </cell>
        </row>
        <row r="1015">
          <cell r="B1015" t="str">
            <v>Sample 711</v>
          </cell>
          <cell r="C1015"/>
          <cell r="D1015"/>
          <cell r="E1015">
            <v>6.8000000000000005E-2</v>
          </cell>
          <cell r="F1015" t="str">
            <v>886252864838</v>
          </cell>
          <cell r="G1015"/>
          <cell r="H1015" t="str">
            <v>Analog</v>
          </cell>
          <cell r="I1015" t="str">
            <v>IC</v>
          </cell>
          <cell r="J1015" t="str">
            <v>FedEx</v>
          </cell>
        </row>
        <row r="1016">
          <cell r="B1016" t="str">
            <v>INV06465</v>
          </cell>
          <cell r="C1016"/>
          <cell r="D1016"/>
          <cell r="E1016">
            <v>900</v>
          </cell>
          <cell r="F1016" t="str">
            <v>HN90004987</v>
          </cell>
          <cell r="G1016"/>
          <cell r="H1016" t="str">
            <v>Lucid Arizona</v>
          </cell>
          <cell r="I1016" t="str">
            <v>VCU, REAR, BCM</v>
          </cell>
          <cell r="J1016" t="str">
            <v>DSV</v>
          </cell>
        </row>
        <row r="1017">
          <cell r="B1017" t="str">
            <v>INV06466</v>
          </cell>
          <cell r="C1017"/>
          <cell r="D1017"/>
          <cell r="E1017">
            <v>1234.8</v>
          </cell>
          <cell r="F1017" t="str">
            <v>HN90004989</v>
          </cell>
          <cell r="G1017"/>
          <cell r="H1017" t="str">
            <v>Lucid Arizona</v>
          </cell>
          <cell r="I1017" t="str">
            <v>CABIN, REAR, DCM</v>
          </cell>
          <cell r="J1017" t="str">
            <v>DSV</v>
          </cell>
        </row>
        <row r="1018">
          <cell r="B1018" t="str">
            <v>INV06467</v>
          </cell>
          <cell r="C1018"/>
          <cell r="D1018"/>
          <cell r="E1018">
            <v>1231.1999999999998</v>
          </cell>
          <cell r="F1018" t="str">
            <v>HAN0448524</v>
          </cell>
          <cell r="G1018"/>
          <cell r="H1018" t="str">
            <v>Lucid Arizona</v>
          </cell>
          <cell r="I1018" t="str">
            <v>DCM, FRONT</v>
          </cell>
          <cell r="J1018" t="str">
            <v>DSV</v>
          </cell>
        </row>
        <row r="1019">
          <cell r="B1019" t="str">
            <v>INV06468</v>
          </cell>
          <cell r="C1019"/>
          <cell r="D1019"/>
          <cell r="E1019">
            <v>1180.8000000000002</v>
          </cell>
          <cell r="F1019" t="str">
            <v>HN90004999</v>
          </cell>
          <cell r="G1019"/>
          <cell r="H1019" t="str">
            <v>Lucid Arizona</v>
          </cell>
          <cell r="I1019" t="str">
            <v>VCU, NACS, BCM</v>
          </cell>
          <cell r="J1019" t="str">
            <v>DSV</v>
          </cell>
        </row>
        <row r="1020">
          <cell r="B1020" t="str">
            <v>E00996</v>
          </cell>
          <cell r="C1020"/>
          <cell r="D1020"/>
          <cell r="E1020">
            <v>182</v>
          </cell>
          <cell r="F1020" t="str">
            <v>886371277288</v>
          </cell>
          <cell r="G1020"/>
          <cell r="H1020" t="str">
            <v>Unigen MY</v>
          </cell>
          <cell r="I1020" t="str">
            <v>MTE's equipment</v>
          </cell>
          <cell r="J1020" t="str">
            <v>FedEx</v>
          </cell>
        </row>
        <row r="1021">
          <cell r="B1021" t="str">
            <v>INV06469</v>
          </cell>
          <cell r="C1021"/>
          <cell r="D1021"/>
          <cell r="E1021">
            <v>0.8</v>
          </cell>
          <cell r="F1021" t="str">
            <v>886368011319</v>
          </cell>
          <cell r="G1021"/>
          <cell r="H1021" t="str">
            <v>Microchip</v>
          </cell>
          <cell r="I1021" t="str">
            <v>DDR4</v>
          </cell>
          <cell r="J1021" t="str">
            <v>FedEx</v>
          </cell>
        </row>
        <row r="1022">
          <cell r="B1022" t="str">
            <v>INV06470</v>
          </cell>
          <cell r="C1022"/>
          <cell r="D1022"/>
          <cell r="E1022">
            <v>1.8</v>
          </cell>
          <cell r="F1022" t="str">
            <v>886322112496</v>
          </cell>
          <cell r="G1022"/>
          <cell r="H1022" t="str">
            <v>Jabil MY</v>
          </cell>
          <cell r="I1022" t="str">
            <v>DDR4</v>
          </cell>
          <cell r="J1022" t="str">
            <v>FedEx</v>
          </cell>
        </row>
        <row r="1023">
          <cell r="B1023" t="str">
            <v>INV06471</v>
          </cell>
          <cell r="C1023"/>
          <cell r="D1023"/>
          <cell r="E1023">
            <v>7.1</v>
          </cell>
          <cell r="F1023" t="str">
            <v>886327455363</v>
          </cell>
          <cell r="G1023"/>
          <cell r="H1023" t="str">
            <v>Jabil MX</v>
          </cell>
          <cell r="I1023" t="str">
            <v>DDR4</v>
          </cell>
          <cell r="J1023" t="str">
            <v>FedEx</v>
          </cell>
        </row>
        <row r="1024">
          <cell r="B1024" t="str">
            <v>INV06472</v>
          </cell>
          <cell r="C1024"/>
          <cell r="D1024"/>
          <cell r="E1024">
            <v>3.9</v>
          </cell>
          <cell r="F1024" t="str">
            <v>886374147270</v>
          </cell>
          <cell r="G1024"/>
          <cell r="H1024" t="str">
            <v>HQ1</v>
          </cell>
          <cell r="I1024" t="str">
            <v>CUPCAKE</v>
          </cell>
          <cell r="J1024" t="str">
            <v>FedEx</v>
          </cell>
        </row>
        <row r="1025">
          <cell r="B1025" t="str">
            <v>INV06473</v>
          </cell>
          <cell r="C1025"/>
          <cell r="D1025"/>
          <cell r="E1025">
            <v>7</v>
          </cell>
          <cell r="F1025" t="str">
            <v>1901466722</v>
          </cell>
          <cell r="G1025"/>
          <cell r="H1025" t="str">
            <v>AVNET US</v>
          </cell>
          <cell r="I1025" t="str">
            <v>DDR4</v>
          </cell>
          <cell r="J1025" t="str">
            <v>DHL</v>
          </cell>
        </row>
        <row r="1026">
          <cell r="B1026" t="str">
            <v>INV06474</v>
          </cell>
          <cell r="C1026"/>
          <cell r="D1026"/>
          <cell r="E1026">
            <v>31.2</v>
          </cell>
          <cell r="F1026" t="str">
            <v>886374972045</v>
          </cell>
          <cell r="G1026"/>
          <cell r="H1026" t="str">
            <v>Jabil MY</v>
          </cell>
          <cell r="I1026" t="str">
            <v>DDR4</v>
          </cell>
          <cell r="J1026" t="str">
            <v>FedEx</v>
          </cell>
        </row>
        <row r="1027">
          <cell r="B1027" t="str">
            <v>INV06475</v>
          </cell>
          <cell r="C1027"/>
          <cell r="D1027"/>
          <cell r="E1027">
            <v>2.6</v>
          </cell>
          <cell r="F1027" t="str">
            <v>886375296289</v>
          </cell>
          <cell r="G1027"/>
          <cell r="H1027" t="str">
            <v>Jabil MY</v>
          </cell>
          <cell r="I1027" t="str">
            <v>EUSB</v>
          </cell>
          <cell r="J1027" t="str">
            <v>FedEx</v>
          </cell>
        </row>
        <row r="1028">
          <cell r="B1028" t="str">
            <v>INV06476</v>
          </cell>
          <cell r="C1028"/>
          <cell r="D1028"/>
          <cell r="E1028">
            <v>3020.4000000000005</v>
          </cell>
          <cell r="F1028" t="str">
            <v>HAN0448523</v>
          </cell>
          <cell r="G1028"/>
          <cell r="H1028" t="str">
            <v>Lucid Arizona</v>
          </cell>
          <cell r="I1028" t="str">
            <v>FRONT, REAR, CABIN</v>
          </cell>
          <cell r="J1028" t="str">
            <v>DSV</v>
          </cell>
        </row>
        <row r="1029">
          <cell r="B1029" t="str">
            <v>INV06477</v>
          </cell>
          <cell r="C1029"/>
          <cell r="D1029"/>
          <cell r="E1029">
            <v>1334.4</v>
          </cell>
          <cell r="F1029" t="str">
            <v>HAN0448525</v>
          </cell>
          <cell r="G1029"/>
          <cell r="H1029" t="str">
            <v>Lucid Arizona</v>
          </cell>
          <cell r="I1029" t="str">
            <v>UCC, FRONT</v>
          </cell>
          <cell r="J1029" t="str">
            <v>DSV</v>
          </cell>
        </row>
        <row r="1030">
          <cell r="B1030" t="str">
            <v>E00997</v>
          </cell>
          <cell r="C1030"/>
          <cell r="D1030"/>
          <cell r="E1030">
            <v>0.9</v>
          </cell>
          <cell r="F1030" t="str">
            <v>886371591750</v>
          </cell>
          <cell r="G1030"/>
          <cell r="H1030" t="str">
            <v>HQ1</v>
          </cell>
          <cell r="I1030" t="str">
            <v>Label, Crystal, IC, Trans, Res, Screw, Thermal</v>
          </cell>
          <cell r="J1030" t="str">
            <v>FedEx</v>
          </cell>
        </row>
        <row r="1031">
          <cell r="B1031" t="str">
            <v>INV06478</v>
          </cell>
          <cell r="C1031"/>
          <cell r="D1031"/>
          <cell r="E1031">
            <v>1040.5</v>
          </cell>
          <cell r="F1031" t="str">
            <v>45T0429730</v>
          </cell>
          <cell r="G1031"/>
          <cell r="H1031" t="str">
            <v>AVNET US</v>
          </cell>
          <cell r="I1031" t="str">
            <v>Module</v>
          </cell>
          <cell r="J1031" t="str">
            <v>Expeditors</v>
          </cell>
        </row>
        <row r="1032">
          <cell r="B1032" t="str">
            <v>INV06479</v>
          </cell>
          <cell r="C1032"/>
          <cell r="D1032"/>
          <cell r="E1032">
            <v>14.4</v>
          </cell>
          <cell r="F1032" t="str">
            <v>886415178160</v>
          </cell>
          <cell r="G1032"/>
          <cell r="H1032" t="str">
            <v>Jabil MY</v>
          </cell>
          <cell r="I1032" t="str">
            <v>DDR4</v>
          </cell>
          <cell r="J1032" t="str">
            <v>FedEx</v>
          </cell>
        </row>
        <row r="1033">
          <cell r="B1033" t="str">
            <v>SAMPLE 712</v>
          </cell>
          <cell r="C1033"/>
          <cell r="D1033"/>
          <cell r="F1033" t="str">
            <v>5982534736</v>
          </cell>
          <cell r="G1033"/>
          <cell r="H1033" t="str">
            <v>Arrow</v>
          </cell>
          <cell r="I1033" t="str">
            <v>hàng nhầm trả lại</v>
          </cell>
          <cell r="J1033" t="str">
            <v>DHL</v>
          </cell>
        </row>
        <row r="1034">
          <cell r="B1034" t="str">
            <v>INV06480</v>
          </cell>
          <cell r="C1034"/>
          <cell r="D1034"/>
          <cell r="E1034">
            <v>248</v>
          </cell>
          <cell r="F1034" t="str">
            <v>45T0430222</v>
          </cell>
          <cell r="G1034"/>
          <cell r="H1034" t="str">
            <v>UPS SCS</v>
          </cell>
          <cell r="I1034" t="str">
            <v>FRU</v>
          </cell>
          <cell r="J1034" t="str">
            <v>Expeditors</v>
          </cell>
        </row>
        <row r="1035">
          <cell r="B1035" t="str">
            <v>INV06481</v>
          </cell>
          <cell r="C1035"/>
          <cell r="D1035"/>
          <cell r="E1035">
            <v>900</v>
          </cell>
          <cell r="F1035" t="str">
            <v>HN90005000</v>
          </cell>
          <cell r="G1035"/>
          <cell r="H1035" t="str">
            <v>Lucid Arizona</v>
          </cell>
          <cell r="I1035" t="str">
            <v>VCU, NACS, BCM</v>
          </cell>
          <cell r="J1035" t="str">
            <v>DSV</v>
          </cell>
        </row>
        <row r="1036">
          <cell r="B1036" t="str">
            <v>INV06482</v>
          </cell>
          <cell r="C1036"/>
          <cell r="D1036"/>
          <cell r="E1036">
            <v>1545.6</v>
          </cell>
          <cell r="F1036" t="str">
            <v>HAN0449527</v>
          </cell>
          <cell r="G1036"/>
          <cell r="H1036" t="str">
            <v>Lucid Arizona</v>
          </cell>
          <cell r="I1036" t="str">
            <v>CABIN, REAR, FRONT</v>
          </cell>
          <cell r="J1036" t="str">
            <v>DSV</v>
          </cell>
        </row>
        <row r="1037">
          <cell r="B1037" t="str">
            <v>E00998</v>
          </cell>
          <cell r="C1037"/>
          <cell r="D1037"/>
          <cell r="E1037">
            <v>0.2</v>
          </cell>
          <cell r="F1037" t="str">
            <v>886449572642</v>
          </cell>
          <cell r="G1037"/>
          <cell r="H1037" t="str">
            <v>Pure US</v>
          </cell>
          <cell r="I1037" t="str">
            <v>IC</v>
          </cell>
          <cell r="J1037" t="str">
            <v>FedEx</v>
          </cell>
        </row>
        <row r="1038">
          <cell r="B1038" t="str">
            <v>E00999</v>
          </cell>
          <cell r="C1038"/>
          <cell r="D1038"/>
          <cell r="E1038">
            <v>2.8</v>
          </cell>
          <cell r="F1038" t="str">
            <v>886569538788</v>
          </cell>
          <cell r="G1038"/>
          <cell r="H1038" t="str">
            <v>Cloud US</v>
          </cell>
          <cell r="I1038" t="str">
            <v>IC</v>
          </cell>
          <cell r="J1038" t="str">
            <v>FedEx</v>
          </cell>
        </row>
        <row r="1039">
          <cell r="B1039" t="str">
            <v>E01000</v>
          </cell>
          <cell r="C1039"/>
          <cell r="D1039"/>
          <cell r="E1039">
            <v>125</v>
          </cell>
          <cell r="F1039" t="str">
            <v>886452616571</v>
          </cell>
          <cell r="G1039"/>
          <cell r="H1039" t="str">
            <v>Unigen MY</v>
          </cell>
          <cell r="I1039" t="str">
            <v>material</v>
          </cell>
          <cell r="J1039" t="str">
            <v>FedEx</v>
          </cell>
        </row>
        <row r="1040">
          <cell r="B1040" t="e">
            <v>#N/A</v>
          </cell>
          <cell r="C1040"/>
          <cell r="D1040"/>
          <cell r="E1040" t="e">
            <v>#N/A</v>
          </cell>
          <cell r="F1040" t="e">
            <v>#N/A</v>
          </cell>
          <cell r="G1040"/>
          <cell r="H1040" t="e">
            <v>#N/A</v>
          </cell>
          <cell r="I1040"/>
          <cell r="J1040" t="e">
            <v>#N/A</v>
          </cell>
        </row>
        <row r="1041">
          <cell r="B1041" t="str">
            <v>INV06483</v>
          </cell>
          <cell r="C1041"/>
          <cell r="D1041"/>
          <cell r="E1041">
            <v>1053.0999999999999</v>
          </cell>
          <cell r="F1041" t="str">
            <v>45T0430949</v>
          </cell>
          <cell r="G1041"/>
          <cell r="H1041" t="str">
            <v>FTX</v>
          </cell>
          <cell r="I1041" t="str">
            <v>Eiger, Grover, Hopper</v>
          </cell>
          <cell r="J1041" t="str">
            <v>Expeditors</v>
          </cell>
        </row>
        <row r="1042">
          <cell r="B1042" t="str">
            <v>INV06484</v>
          </cell>
          <cell r="C1042"/>
          <cell r="D1042"/>
          <cell r="E1042">
            <v>288.3</v>
          </cell>
          <cell r="F1042" t="str">
            <v>HAN25007877</v>
          </cell>
          <cell r="G1042"/>
          <cell r="H1042" t="str">
            <v>FCZ</v>
          </cell>
          <cell r="I1042" t="str">
            <v>GROVER, HOPPER</v>
          </cell>
          <cell r="J1042" t="str">
            <v>Schenker</v>
          </cell>
        </row>
        <row r="1043">
          <cell r="B1043" t="str">
            <v>INV06485</v>
          </cell>
          <cell r="C1043"/>
          <cell r="D1043"/>
          <cell r="E1043">
            <v>889.19999999999993</v>
          </cell>
          <cell r="F1043" t="str">
            <v>HN90005003</v>
          </cell>
          <cell r="G1043"/>
          <cell r="H1043" t="str">
            <v>Lucid Arizona</v>
          </cell>
          <cell r="I1043" t="str">
            <v>VCU, NACS, BCM, Front, DCM</v>
          </cell>
          <cell r="J1043" t="str">
            <v>DSV</v>
          </cell>
        </row>
        <row r="1044">
          <cell r="B1044" t="str">
            <v>INV06486</v>
          </cell>
          <cell r="C1044"/>
          <cell r="D1044"/>
          <cell r="E1044">
            <v>1305.6000000000001</v>
          </cell>
          <cell r="F1044" t="str">
            <v>HN90005008</v>
          </cell>
          <cell r="G1044"/>
          <cell r="H1044" t="str">
            <v>Lucid Arizona</v>
          </cell>
          <cell r="I1044" t="str">
            <v>UCC, REAR, CABIN</v>
          </cell>
          <cell r="J1044" t="str">
            <v>DSV</v>
          </cell>
        </row>
        <row r="1045">
          <cell r="B1045" t="str">
            <v>INV06487</v>
          </cell>
          <cell r="C1045"/>
          <cell r="D1045"/>
          <cell r="E1045">
            <v>1108.8</v>
          </cell>
          <cell r="F1045" t="str">
            <v>HAN0449526</v>
          </cell>
          <cell r="G1045"/>
          <cell r="H1045" t="str">
            <v>Lucid Arizona</v>
          </cell>
          <cell r="I1045" t="str">
            <v>FRONT</v>
          </cell>
          <cell r="J1045" t="str">
            <v>DSV</v>
          </cell>
        </row>
        <row r="1046">
          <cell r="B1046" t="str">
            <v>E01002</v>
          </cell>
          <cell r="C1046"/>
          <cell r="D1046"/>
          <cell r="E1046">
            <v>8.6</v>
          </cell>
          <cell r="F1046" t="str">
            <v>886474407212</v>
          </cell>
          <cell r="G1046"/>
          <cell r="H1046" t="str">
            <v>Unigen MY</v>
          </cell>
          <cell r="I1046" t="str">
            <v>Solder paste</v>
          </cell>
          <cell r="J1046" t="str">
            <v>FedEx</v>
          </cell>
        </row>
        <row r="1047">
          <cell r="B1047" t="str">
            <v>INV06488</v>
          </cell>
          <cell r="C1047"/>
          <cell r="D1047"/>
          <cell r="E1047">
            <v>1264.8</v>
          </cell>
          <cell r="F1047" t="str">
            <v>HN90005022</v>
          </cell>
          <cell r="G1047"/>
          <cell r="H1047" t="str">
            <v>Lucid Arizona</v>
          </cell>
          <cell r="I1047" t="str">
            <v>REAR, CABIN, VCU, BCM</v>
          </cell>
          <cell r="J1047" t="str">
            <v>DSV</v>
          </cell>
        </row>
        <row r="1048">
          <cell r="B1048" t="str">
            <v>INV06489</v>
          </cell>
          <cell r="C1048"/>
          <cell r="D1048"/>
          <cell r="E1048">
            <v>1140</v>
          </cell>
          <cell r="F1048" t="str">
            <v>HAN0449992</v>
          </cell>
          <cell r="G1048"/>
          <cell r="H1048" t="str">
            <v>Lucid Arizona</v>
          </cell>
          <cell r="I1048" t="str">
            <v>DCM, FRONT, UCC</v>
          </cell>
          <cell r="J1048" t="str">
            <v>DSV</v>
          </cell>
        </row>
        <row r="1049">
          <cell r="B1049" t="str">
            <v>INV06490</v>
          </cell>
          <cell r="C1049"/>
          <cell r="D1049"/>
          <cell r="E1049">
            <v>700.8</v>
          </cell>
          <cell r="F1049" t="str">
            <v>HAN0451644</v>
          </cell>
          <cell r="G1049"/>
          <cell r="H1049" t="str">
            <v>HELLA</v>
          </cell>
          <cell r="I1049" t="str">
            <v>HCU</v>
          </cell>
          <cell r="J1049" t="str">
            <v>DSV</v>
          </cell>
        </row>
        <row r="1050">
          <cell r="B1050" t="str">
            <v>INV06491</v>
          </cell>
          <cell r="C1050"/>
          <cell r="D1050"/>
          <cell r="E1050">
            <v>284.40000000000003</v>
          </cell>
          <cell r="F1050" t="str">
            <v>886618594106</v>
          </cell>
          <cell r="G1050"/>
          <cell r="H1050" t="str">
            <v>Jabil MX</v>
          </cell>
          <cell r="I1050" t="str">
            <v>HLOB</v>
          </cell>
          <cell r="J1050" t="str">
            <v>FedEx</v>
          </cell>
        </row>
        <row r="1051">
          <cell r="B1051" t="str">
            <v>INV06492</v>
          </cell>
          <cell r="C1051"/>
          <cell r="D1051"/>
          <cell r="E1051">
            <v>284.40000000000003</v>
          </cell>
          <cell r="F1051" t="str">
            <v>886617970136</v>
          </cell>
          <cell r="G1051"/>
          <cell r="H1051" t="str">
            <v>Jabil MX</v>
          </cell>
          <cell r="I1051" t="str">
            <v>HLOB</v>
          </cell>
          <cell r="J1051" t="str">
            <v>FedEx</v>
          </cell>
        </row>
        <row r="1052">
          <cell r="B1052" t="str">
            <v>INV06493</v>
          </cell>
          <cell r="C1052"/>
          <cell r="D1052"/>
          <cell r="E1052">
            <v>284.40000000000003</v>
          </cell>
          <cell r="F1052" t="str">
            <v>886618735720</v>
          </cell>
          <cell r="G1052"/>
          <cell r="H1052" t="str">
            <v>Jabil MX</v>
          </cell>
          <cell r="I1052" t="str">
            <v>HLOB</v>
          </cell>
          <cell r="J1052" t="str">
            <v>FedEx</v>
          </cell>
        </row>
        <row r="1053">
          <cell r="B1053" t="str">
            <v>INV06494</v>
          </cell>
          <cell r="C1053"/>
          <cell r="D1053"/>
          <cell r="E1053">
            <v>284.40000000000003</v>
          </cell>
          <cell r="F1053" t="str">
            <v>886618867225</v>
          </cell>
          <cell r="G1053"/>
          <cell r="H1053" t="str">
            <v>Jabil MX</v>
          </cell>
          <cell r="I1053" t="str">
            <v>HLOB</v>
          </cell>
          <cell r="J1053" t="str">
            <v>FedEx</v>
          </cell>
        </row>
        <row r="1054">
          <cell r="B1054" t="str">
            <v>INV06495</v>
          </cell>
          <cell r="C1054"/>
          <cell r="D1054"/>
          <cell r="E1054">
            <v>173.4</v>
          </cell>
          <cell r="F1054" t="str">
            <v>886620100866</v>
          </cell>
          <cell r="G1054"/>
          <cell r="H1054" t="str">
            <v>Jabil MX</v>
          </cell>
          <cell r="I1054" t="str">
            <v>HLOB</v>
          </cell>
          <cell r="J1054" t="str">
            <v>FedEx</v>
          </cell>
        </row>
        <row r="1055">
          <cell r="B1055" t="str">
            <v>INV06496</v>
          </cell>
          <cell r="C1055"/>
          <cell r="D1055"/>
          <cell r="E1055">
            <v>14.299999999999999</v>
          </cell>
          <cell r="F1055" t="str">
            <v>886621034787</v>
          </cell>
          <cell r="G1055"/>
          <cell r="H1055" t="str">
            <v>Jabil MY</v>
          </cell>
          <cell r="I1055" t="str">
            <v>DDR4</v>
          </cell>
          <cell r="J1055" t="str">
            <v>FedEx</v>
          </cell>
        </row>
        <row r="1056">
          <cell r="B1056" t="str">
            <v>INV06497</v>
          </cell>
          <cell r="C1056"/>
          <cell r="D1056"/>
          <cell r="E1056">
            <v>12.6</v>
          </cell>
          <cell r="F1056" t="str">
            <v>886626291953</v>
          </cell>
          <cell r="G1056"/>
          <cell r="H1056" t="str">
            <v>Cloud HK</v>
          </cell>
          <cell r="I1056" t="str">
            <v>EUSB</v>
          </cell>
          <cell r="J1056" t="str">
            <v>FedEx</v>
          </cell>
        </row>
        <row r="1057">
          <cell r="B1057" t="str">
            <v>E01003</v>
          </cell>
          <cell r="C1057"/>
          <cell r="D1057"/>
          <cell r="E1057">
            <v>254</v>
          </cell>
          <cell r="F1057" t="str">
            <v>886615973280</v>
          </cell>
          <cell r="G1057"/>
          <cell r="H1057" t="str">
            <v>Unigen MY</v>
          </cell>
          <cell r="I1057" t="str">
            <v>Tray, Res, Cap, IC</v>
          </cell>
          <cell r="J1057" t="str">
            <v>FedEx</v>
          </cell>
        </row>
        <row r="1058">
          <cell r="B1058" t="str">
            <v>E01004</v>
          </cell>
          <cell r="C1058"/>
          <cell r="D1058"/>
          <cell r="E1058">
            <v>1078</v>
          </cell>
          <cell r="F1058" t="str">
            <v>887004363572</v>
          </cell>
          <cell r="G1058"/>
          <cell r="H1058" t="str">
            <v>Unigen MY</v>
          </cell>
          <cell r="I1058" t="str">
            <v>IC</v>
          </cell>
          <cell r="J1058" t="str">
            <v>FedEx</v>
          </cell>
        </row>
        <row r="1059">
          <cell r="B1059" t="str">
            <v>INV06498</v>
          </cell>
          <cell r="C1059"/>
          <cell r="D1059"/>
          <cell r="E1059">
            <v>1</v>
          </cell>
          <cell r="F1059" t="str">
            <v>886569626776</v>
          </cell>
          <cell r="G1059"/>
          <cell r="H1059" t="str">
            <v>Ingrasys</v>
          </cell>
          <cell r="I1059" t="str">
            <v>DDR4</v>
          </cell>
          <cell r="J1059" t="str">
            <v>FedEx</v>
          </cell>
        </row>
        <row r="1060">
          <cell r="B1060" t="str">
            <v>INV06499</v>
          </cell>
          <cell r="C1060"/>
          <cell r="D1060"/>
          <cell r="E1060">
            <v>173.4</v>
          </cell>
          <cell r="F1060" t="str">
            <v>886620505870</v>
          </cell>
          <cell r="G1060"/>
          <cell r="H1060" t="str">
            <v>Jabil MX</v>
          </cell>
          <cell r="I1060" t="str">
            <v>HLOB</v>
          </cell>
          <cell r="J1060" t="str">
            <v>FedEx</v>
          </cell>
        </row>
        <row r="1061">
          <cell r="B1061" t="str">
            <v>INV06500</v>
          </cell>
          <cell r="C1061"/>
          <cell r="D1061"/>
          <cell r="E1061">
            <v>173.4</v>
          </cell>
          <cell r="F1061" t="str">
            <v>886620739472</v>
          </cell>
          <cell r="G1061"/>
          <cell r="H1061" t="str">
            <v>Jabil MX</v>
          </cell>
          <cell r="I1061" t="str">
            <v>HLOB</v>
          </cell>
          <cell r="J1061" t="str">
            <v>FedEx</v>
          </cell>
        </row>
        <row r="1062">
          <cell r="B1062" t="str">
            <v>INV06501</v>
          </cell>
          <cell r="C1062"/>
          <cell r="D1062"/>
          <cell r="E1062">
            <v>173.4</v>
          </cell>
          <cell r="F1062" t="str">
            <v>886669723030</v>
          </cell>
          <cell r="G1062"/>
          <cell r="H1062" t="str">
            <v>Jabil MX</v>
          </cell>
          <cell r="I1062" t="str">
            <v>HLOB</v>
          </cell>
          <cell r="J1062" t="str">
            <v>FedEx</v>
          </cell>
        </row>
        <row r="1063">
          <cell r="B1063" t="str">
            <v>INV06502</v>
          </cell>
          <cell r="C1063"/>
          <cell r="D1063"/>
          <cell r="E1063">
            <v>173.4</v>
          </cell>
          <cell r="F1063" t="str">
            <v>886669753606</v>
          </cell>
          <cell r="G1063"/>
          <cell r="H1063" t="str">
            <v>Jabil MX</v>
          </cell>
          <cell r="I1063" t="str">
            <v>HLOB</v>
          </cell>
          <cell r="J1063" t="str">
            <v>FedEx</v>
          </cell>
        </row>
        <row r="1064">
          <cell r="B1064" t="str">
            <v>INV06503</v>
          </cell>
          <cell r="C1064"/>
          <cell r="D1064"/>
          <cell r="E1064">
            <v>173.4</v>
          </cell>
          <cell r="F1064" t="str">
            <v>886669771535</v>
          </cell>
          <cell r="G1064"/>
          <cell r="H1064" t="str">
            <v>Jabil MX</v>
          </cell>
          <cell r="I1064" t="str">
            <v>HLOB</v>
          </cell>
          <cell r="J1064" t="str">
            <v>FedEx</v>
          </cell>
        </row>
        <row r="1065">
          <cell r="B1065" t="str">
            <v>INV06504</v>
          </cell>
          <cell r="C1065"/>
          <cell r="D1065"/>
          <cell r="E1065">
            <v>1125.5999999999999</v>
          </cell>
          <cell r="F1065" t="str">
            <v>HN90005013</v>
          </cell>
          <cell r="G1065"/>
          <cell r="H1065" t="str">
            <v>Lucid Arizona</v>
          </cell>
          <cell r="I1065" t="str">
            <v>REAR, DCM, VCU</v>
          </cell>
          <cell r="J1065" t="str">
            <v>DSV</v>
          </cell>
        </row>
        <row r="1066">
          <cell r="B1066" t="str">
            <v>INV06505</v>
          </cell>
          <cell r="C1066"/>
          <cell r="D1066"/>
          <cell r="E1066">
            <v>1149.5999999999999</v>
          </cell>
          <cell r="F1066" t="str">
            <v>HN90005023</v>
          </cell>
          <cell r="G1066"/>
          <cell r="H1066" t="str">
            <v>Lucid Arizona</v>
          </cell>
          <cell r="I1066" t="str">
            <v>CABIN, BCM, REAR</v>
          </cell>
          <cell r="J1066" t="str">
            <v>DSV</v>
          </cell>
        </row>
        <row r="1067">
          <cell r="B1067" t="str">
            <v>INV06506</v>
          </cell>
          <cell r="C1067"/>
          <cell r="D1067"/>
          <cell r="E1067">
            <v>24.599999999999998</v>
          </cell>
          <cell r="F1067" t="str">
            <v>886671849948</v>
          </cell>
          <cell r="G1067"/>
          <cell r="H1067" t="str">
            <v>Cloud HK</v>
          </cell>
          <cell r="I1067" t="str">
            <v>DDR4</v>
          </cell>
          <cell r="J1067" t="str">
            <v>FedEx</v>
          </cell>
        </row>
        <row r="1068">
          <cell r="B1068" t="str">
            <v>INV06507</v>
          </cell>
          <cell r="C1068"/>
          <cell r="D1068"/>
          <cell r="E1068">
            <v>9.7999999999999989</v>
          </cell>
          <cell r="F1068" t="str">
            <v>886671979016</v>
          </cell>
          <cell r="G1068"/>
          <cell r="H1068" t="str">
            <v>Cloud HK</v>
          </cell>
          <cell r="I1068" t="str">
            <v>DDR4</v>
          </cell>
          <cell r="J1068" t="str">
            <v>FedEx</v>
          </cell>
        </row>
        <row r="1069">
          <cell r="B1069" t="str">
            <v>Sample 713</v>
          </cell>
          <cell r="C1069"/>
          <cell r="D1069"/>
          <cell r="E1069">
            <v>0.01</v>
          </cell>
          <cell r="F1069" t="str">
            <v>886669832482</v>
          </cell>
          <cell r="G1069"/>
          <cell r="H1069" t="str">
            <v>Shenzhen STS</v>
          </cell>
          <cell r="I1069" t="str">
            <v>Diode</v>
          </cell>
          <cell r="J1069" t="str">
            <v>FedEx</v>
          </cell>
        </row>
        <row r="1070">
          <cell r="B1070" t="str">
            <v>INV06508</v>
          </cell>
          <cell r="C1070"/>
          <cell r="D1070"/>
          <cell r="E1070">
            <v>900</v>
          </cell>
          <cell r="F1070" t="str">
            <v>HN90005028</v>
          </cell>
          <cell r="G1070"/>
          <cell r="H1070" t="str">
            <v>Lucid Arizona</v>
          </cell>
          <cell r="I1070" t="str">
            <v>VCU, REAR, BCM</v>
          </cell>
          <cell r="J1070" t="str">
            <v>DSV</v>
          </cell>
        </row>
        <row r="1071">
          <cell r="B1071" t="str">
            <v>INV06509</v>
          </cell>
          <cell r="C1071"/>
          <cell r="D1071"/>
          <cell r="E1071">
            <v>1150.8</v>
          </cell>
          <cell r="F1071" t="str">
            <v>HN90005029</v>
          </cell>
          <cell r="G1071"/>
          <cell r="H1071" t="str">
            <v>Lucid Arizona</v>
          </cell>
          <cell r="I1071" t="str">
            <v>REAR, CABIN,DCM</v>
          </cell>
          <cell r="J1071" t="str">
            <v>DSV</v>
          </cell>
        </row>
        <row r="1072">
          <cell r="B1072" t="str">
            <v>INV06510</v>
          </cell>
          <cell r="C1072"/>
          <cell r="D1072"/>
          <cell r="E1072">
            <v>681.2</v>
          </cell>
          <cell r="F1072" t="str">
            <v>HN90005050</v>
          </cell>
          <cell r="G1072"/>
          <cell r="H1072" t="str">
            <v>Lucid Arizona</v>
          </cell>
          <cell r="I1072" t="str">
            <v>VCU, REAR, BCM</v>
          </cell>
          <cell r="J1072" t="str">
            <v>DSV</v>
          </cell>
        </row>
        <row r="1073">
          <cell r="B1073" t="str">
            <v>E01005</v>
          </cell>
          <cell r="C1073"/>
          <cell r="D1073"/>
          <cell r="E1073">
            <v>1729</v>
          </cell>
          <cell r="F1073" t="str">
            <v>VLCG25120596</v>
          </cell>
          <cell r="G1073"/>
          <cell r="H1073" t="str">
            <v>Unigen MY</v>
          </cell>
          <cell r="I1073" t="str">
            <v>Res, Cap, PCB…</v>
          </cell>
          <cell r="J1073" t="str">
            <v>Voltrans</v>
          </cell>
        </row>
        <row r="1074">
          <cell r="B1074" t="str">
            <v>INV06511</v>
          </cell>
          <cell r="C1074"/>
          <cell r="D1074"/>
          <cell r="E1074">
            <v>560.6</v>
          </cell>
          <cell r="F1074" t="str">
            <v>45T0432410</v>
          </cell>
          <cell r="G1074"/>
          <cell r="H1074" t="str">
            <v>FTX</v>
          </cell>
          <cell r="I1074" t="str">
            <v>Eiger, Grover, Hopper</v>
          </cell>
          <cell r="J1074" t="str">
            <v>Expeditors</v>
          </cell>
        </row>
        <row r="1075">
          <cell r="B1075" t="str">
            <v>INV06512</v>
          </cell>
          <cell r="C1075"/>
          <cell r="D1075"/>
          <cell r="E1075">
            <v>417.20000000000005</v>
          </cell>
          <cell r="F1075" t="str">
            <v>HAN25008015</v>
          </cell>
          <cell r="G1075"/>
          <cell r="H1075" t="str">
            <v>FCZ</v>
          </cell>
          <cell r="I1075" t="str">
            <v>Hopper, Grover</v>
          </cell>
          <cell r="J1075" t="str">
            <v>Schenker</v>
          </cell>
        </row>
        <row r="1076">
          <cell r="B1076" t="str">
            <v>INV06513</v>
          </cell>
          <cell r="C1076"/>
          <cell r="D1076"/>
          <cell r="E1076">
            <v>63.1</v>
          </cell>
          <cell r="F1076" t="str">
            <v>886757771707</v>
          </cell>
          <cell r="G1076"/>
          <cell r="H1076" t="str">
            <v>AVNET US</v>
          </cell>
          <cell r="I1076" t="str">
            <v>DISPLAY MODULE</v>
          </cell>
          <cell r="J1076" t="str">
            <v>FedEx</v>
          </cell>
        </row>
        <row r="1077">
          <cell r="B1077" t="str">
            <v>INV06514</v>
          </cell>
          <cell r="C1077"/>
          <cell r="D1077"/>
          <cell r="E1077">
            <v>491.9</v>
          </cell>
          <cell r="F1077" t="str">
            <v>45T0432409</v>
          </cell>
          <cell r="G1077"/>
          <cell r="H1077" t="str">
            <v>AVNET US</v>
          </cell>
          <cell r="I1077" t="str">
            <v>DISPLAY MODULE</v>
          </cell>
          <cell r="J1077" t="str">
            <v>Expeditors</v>
          </cell>
        </row>
        <row r="1078">
          <cell r="B1078" t="str">
            <v>INV06515</v>
          </cell>
          <cell r="C1078"/>
          <cell r="D1078"/>
          <cell r="E1078">
            <v>2.6</v>
          </cell>
          <cell r="F1078" t="str">
            <v>886869830268</v>
          </cell>
          <cell r="G1078"/>
          <cell r="H1078" t="str">
            <v>Cloud TW</v>
          </cell>
          <cell r="I1078" t="str">
            <v>DDR4</v>
          </cell>
          <cell r="J1078" t="str">
            <v>FedEx</v>
          </cell>
        </row>
        <row r="1079">
          <cell r="B1079" t="str">
            <v>INV06516</v>
          </cell>
          <cell r="C1079"/>
          <cell r="D1079"/>
          <cell r="E1079">
            <v>856</v>
          </cell>
          <cell r="F1079" t="str">
            <v>HAN0454034</v>
          </cell>
          <cell r="G1079"/>
          <cell r="H1079" t="str">
            <v>HELLA</v>
          </cell>
          <cell r="I1079" t="str">
            <v>HCU</v>
          </cell>
          <cell r="J1079" t="str">
            <v>DSV</v>
          </cell>
        </row>
        <row r="1080">
          <cell r="B1080" t="str">
            <v>INV06517</v>
          </cell>
          <cell r="C1080"/>
          <cell r="D1080"/>
          <cell r="E1080">
            <v>1150.8</v>
          </cell>
          <cell r="F1080" t="str">
            <v>HN90005049</v>
          </cell>
          <cell r="G1080"/>
          <cell r="H1080" t="str">
            <v>Lucid Arizona</v>
          </cell>
          <cell r="I1080" t="str">
            <v>CABIN, REAR, DCM</v>
          </cell>
          <cell r="J1080" t="str">
            <v>DSV</v>
          </cell>
        </row>
        <row r="1081">
          <cell r="B1081" t="str">
            <v>INV06518</v>
          </cell>
          <cell r="C1081"/>
          <cell r="D1081"/>
          <cell r="E1081">
            <v>2318.4</v>
          </cell>
          <cell r="F1081" t="str">
            <v>HAN0451156</v>
          </cell>
          <cell r="G1081"/>
          <cell r="H1081" t="str">
            <v>Lucid Arizona</v>
          </cell>
          <cell r="I1081" t="str">
            <v>FRONT, UCC</v>
          </cell>
          <cell r="J1081" t="str">
            <v>DSV</v>
          </cell>
        </row>
        <row r="1082">
          <cell r="B1082" t="str">
            <v>INV06519</v>
          </cell>
          <cell r="C1082"/>
          <cell r="D1082"/>
          <cell r="E1082">
            <v>619.20000000000005</v>
          </cell>
          <cell r="F1082" t="str">
            <v>HAN0451159</v>
          </cell>
          <cell r="G1082"/>
          <cell r="H1082" t="str">
            <v>Lucid Arizona</v>
          </cell>
          <cell r="I1082" t="str">
            <v>ICC, CCCV2</v>
          </cell>
          <cell r="J1082" t="str">
            <v>DSV</v>
          </cell>
        </row>
        <row r="1083">
          <cell r="B1083" t="str">
            <v>INV06520</v>
          </cell>
          <cell r="C1083"/>
          <cell r="D1083"/>
          <cell r="E1083">
            <v>208.2</v>
          </cell>
          <cell r="F1083" t="str">
            <v>SHANS0002078</v>
          </cell>
          <cell r="G1083"/>
          <cell r="H1083" t="str">
            <v>Lucid Group</v>
          </cell>
          <cell r="I1083" t="str">
            <v>CCV2</v>
          </cell>
          <cell r="J1083" t="str">
            <v>FedEx Log</v>
          </cell>
        </row>
        <row r="1084">
          <cell r="B1084" t="str">
            <v>E01006</v>
          </cell>
          <cell r="C1084"/>
          <cell r="D1084"/>
          <cell r="E1084">
            <v>12.3</v>
          </cell>
          <cell r="F1084" t="str">
            <v>886910840340</v>
          </cell>
          <cell r="G1084"/>
          <cell r="H1084" t="str">
            <v>HQ1</v>
          </cell>
          <cell r="I1084"/>
          <cell r="J1084" t="str">
            <v>FedEx</v>
          </cell>
        </row>
        <row r="1085">
          <cell r="B1085" t="str">
            <v>E01007</v>
          </cell>
          <cell r="C1085"/>
          <cell r="D1085"/>
          <cell r="E1085">
            <v>70.2</v>
          </cell>
          <cell r="F1085" t="str">
            <v>886913956834</v>
          </cell>
          <cell r="G1085"/>
          <cell r="H1085" t="str">
            <v>Unigen MY</v>
          </cell>
          <cell r="I1085" t="str">
            <v>MTE's equipment</v>
          </cell>
          <cell r="J1085" t="str">
            <v>FedEx</v>
          </cell>
        </row>
        <row r="1086">
          <cell r="B1086" t="str">
            <v>INV06521</v>
          </cell>
          <cell r="C1086"/>
          <cell r="D1086"/>
          <cell r="E1086">
            <v>380</v>
          </cell>
          <cell r="F1086" t="str">
            <v>HN90005064</v>
          </cell>
          <cell r="G1086"/>
          <cell r="H1086" t="str">
            <v>Lucid Arizona</v>
          </cell>
          <cell r="I1086" t="str">
            <v>UCC</v>
          </cell>
          <cell r="J1086" t="str">
            <v>DSV</v>
          </cell>
        </row>
        <row r="1087">
          <cell r="B1087" t="str">
            <v>Sample 714</v>
          </cell>
          <cell r="C1087"/>
          <cell r="D1087"/>
          <cell r="E1087">
            <v>0.3</v>
          </cell>
          <cell r="F1087" t="str">
            <v>886870916124</v>
          </cell>
          <cell r="G1087"/>
          <cell r="H1087" t="str">
            <v>Compeq</v>
          </cell>
          <cell r="I1087" t="str">
            <v>PCB, cotton swap, cleaning wipe</v>
          </cell>
          <cell r="J1087" t="str">
            <v>FedEx</v>
          </cell>
        </row>
        <row r="1088">
          <cell r="B1088" t="str">
            <v>Sample 715</v>
          </cell>
          <cell r="C1088"/>
          <cell r="D1088"/>
          <cell r="E1088">
            <v>12</v>
          </cell>
          <cell r="F1088" t="str">
            <v>886913490056</v>
          </cell>
          <cell r="G1088"/>
          <cell r="H1088" t="str">
            <v>Unigen MY</v>
          </cell>
          <cell r="I1088" t="str">
            <v>MTE's equipment</v>
          </cell>
          <cell r="J1088" t="str">
            <v>FedEx</v>
          </cell>
        </row>
        <row r="1089">
          <cell r="B1089" t="str">
            <v>Sample 716</v>
          </cell>
          <cell r="C1089"/>
          <cell r="D1089"/>
          <cell r="E1089">
            <v>21</v>
          </cell>
          <cell r="F1089" t="str">
            <v>886875370355</v>
          </cell>
          <cell r="G1089"/>
          <cell r="H1089" t="str">
            <v>Unigen MY</v>
          </cell>
          <cell r="I1089" t="str">
            <v>MTE's equipment</v>
          </cell>
          <cell r="J1089" t="str">
            <v>FedEx</v>
          </cell>
        </row>
        <row r="1090">
          <cell r="B1090" t="str">
            <v>E01008</v>
          </cell>
          <cell r="C1090"/>
          <cell r="D1090"/>
          <cell r="E1090">
            <v>6.9</v>
          </cell>
          <cell r="F1090" t="str">
            <v>1062104713</v>
          </cell>
          <cell r="G1090"/>
          <cell r="H1090" t="str">
            <v>HQ1</v>
          </cell>
          <cell r="I1090"/>
          <cell r="J1090" t="str">
            <v>DHL</v>
          </cell>
        </row>
        <row r="1091">
          <cell r="B1091" t="str">
            <v>INV06522</v>
          </cell>
          <cell r="C1091"/>
          <cell r="D1091"/>
          <cell r="E1091">
            <v>1346.5</v>
          </cell>
          <cell r="F1091" t="str">
            <v>HN90005062</v>
          </cell>
          <cell r="G1091"/>
          <cell r="H1091" t="str">
            <v>Lucid Arizona</v>
          </cell>
          <cell r="I1091" t="str">
            <v>FRONT, CABIN, REAR</v>
          </cell>
          <cell r="J1091" t="str">
            <v>DSV</v>
          </cell>
        </row>
        <row r="1092">
          <cell r="B1092" t="str">
            <v>INV06523</v>
          </cell>
          <cell r="C1092"/>
          <cell r="D1092"/>
          <cell r="E1092">
            <v>76</v>
          </cell>
          <cell r="F1092" t="str">
            <v>HN90005069</v>
          </cell>
          <cell r="G1092"/>
          <cell r="H1092" t="str">
            <v>Lucid US</v>
          </cell>
          <cell r="I1092" t="str">
            <v>UCC</v>
          </cell>
          <cell r="J1092" t="str">
            <v>DSV</v>
          </cell>
        </row>
        <row r="1093">
          <cell r="B1093" t="str">
            <v>INV06524</v>
          </cell>
          <cell r="C1093"/>
          <cell r="D1093"/>
          <cell r="E1093">
            <v>445.8</v>
          </cell>
          <cell r="F1093" t="str">
            <v>886953949012</v>
          </cell>
          <cell r="G1093"/>
          <cell r="H1093" t="str">
            <v>Jabil MX</v>
          </cell>
          <cell r="I1093" t="str">
            <v>HLOB</v>
          </cell>
          <cell r="J1093" t="str">
            <v>FedEx</v>
          </cell>
        </row>
        <row r="1094">
          <cell r="B1094" t="str">
            <v>INV06525</v>
          </cell>
          <cell r="C1094"/>
          <cell r="D1094"/>
          <cell r="E1094">
            <v>439.8</v>
          </cell>
          <cell r="F1094" t="str">
            <v>886996178650</v>
          </cell>
          <cell r="G1094"/>
          <cell r="H1094" t="str">
            <v>Jabil MX</v>
          </cell>
          <cell r="I1094" t="str">
            <v>HLOB</v>
          </cell>
          <cell r="J1094" t="str">
            <v>FedEx</v>
          </cell>
        </row>
        <row r="1095">
          <cell r="B1095" t="str">
            <v>INV06526</v>
          </cell>
          <cell r="C1095"/>
          <cell r="D1095"/>
          <cell r="E1095">
            <v>374.3</v>
          </cell>
          <cell r="F1095" t="str">
            <v>HAN25008114</v>
          </cell>
          <cell r="G1095"/>
          <cell r="H1095" t="str">
            <v>FCZ</v>
          </cell>
          <cell r="I1095" t="str">
            <v>Hopper, Grover</v>
          </cell>
          <cell r="J1095" t="str">
            <v>Schenker</v>
          </cell>
        </row>
        <row r="1096">
          <cell r="B1096" t="str">
            <v>INV06527</v>
          </cell>
          <cell r="C1096"/>
          <cell r="D1096"/>
          <cell r="E1096">
            <v>540.6</v>
          </cell>
          <cell r="F1096" t="str">
            <v>45T0435010</v>
          </cell>
          <cell r="G1096"/>
          <cell r="H1096" t="str">
            <v>FTX</v>
          </cell>
          <cell r="I1096" t="str">
            <v>Eiger, Grover, Hopper</v>
          </cell>
          <cell r="J1096" t="str">
            <v>Expeditors</v>
          </cell>
        </row>
        <row r="1097">
          <cell r="B1097" t="str">
            <v>INV06528</v>
          </cell>
          <cell r="C1097"/>
          <cell r="D1097"/>
          <cell r="E1097">
            <v>732</v>
          </cell>
          <cell r="F1097" t="str">
            <v>HN90005063</v>
          </cell>
          <cell r="G1097"/>
          <cell r="H1097" t="str">
            <v>Lucid Arizona</v>
          </cell>
          <cell r="I1097" t="str">
            <v>FRONT</v>
          </cell>
          <cell r="J1097" t="str">
            <v>DSV</v>
          </cell>
        </row>
        <row r="1098">
          <cell r="B1098" t="str">
            <v>INV06529</v>
          </cell>
          <cell r="C1098"/>
          <cell r="D1098"/>
          <cell r="E1098">
            <v>378</v>
          </cell>
          <cell r="F1098" t="str">
            <v>HN90005071</v>
          </cell>
          <cell r="G1098"/>
          <cell r="H1098" t="str">
            <v>Lucid Arizona</v>
          </cell>
          <cell r="I1098" t="str">
            <v>UCC</v>
          </cell>
          <cell r="J1098" t="str">
            <v>DSV</v>
          </cell>
        </row>
        <row r="1099">
          <cell r="B1099" t="str">
            <v>INV06530</v>
          </cell>
          <cell r="C1099"/>
          <cell r="D1099"/>
          <cell r="E1099">
            <v>402</v>
          </cell>
          <cell r="F1099" t="str">
            <v>HAN0452315</v>
          </cell>
          <cell r="G1099"/>
          <cell r="H1099" t="str">
            <v>Lucid Arizona</v>
          </cell>
          <cell r="I1099" t="str">
            <v>CCV2, ICC</v>
          </cell>
          <cell r="J1099" t="str">
            <v>DSV</v>
          </cell>
        </row>
        <row r="1100">
          <cell r="B1100" t="str">
            <v>INV06531</v>
          </cell>
          <cell r="C1100"/>
          <cell r="D1100"/>
          <cell r="E1100">
            <v>1839.6</v>
          </cell>
          <cell r="F1100" t="str">
            <v>HAN0452318</v>
          </cell>
          <cell r="G1100"/>
          <cell r="H1100" t="str">
            <v>Lucid Arizona</v>
          </cell>
          <cell r="I1100" t="str">
            <v>FRONT, CABIN, REAR</v>
          </cell>
          <cell r="J1100" t="str">
            <v>DSV</v>
          </cell>
        </row>
        <row r="1101">
          <cell r="B1101" t="str">
            <v>INV06532</v>
          </cell>
          <cell r="C1101"/>
          <cell r="D1101"/>
          <cell r="E1101">
            <v>3733.6</v>
          </cell>
          <cell r="F1101" t="str">
            <v>HLCUSGN2512AVZV7</v>
          </cell>
          <cell r="G1101"/>
          <cell r="H1101" t="str">
            <v>Lucid Arizona</v>
          </cell>
          <cell r="I1101" t="str">
            <v>FRONT, CABIN. REAR, DCM</v>
          </cell>
          <cell r="J1101" t="str">
            <v>DSV</v>
          </cell>
        </row>
        <row r="1102">
          <cell r="B1102" t="str">
            <v>INV06533</v>
          </cell>
          <cell r="C1102"/>
          <cell r="D1102"/>
          <cell r="E1102">
            <v>70.5</v>
          </cell>
          <cell r="F1102" t="str">
            <v>5350275641</v>
          </cell>
          <cell r="G1102"/>
          <cell r="H1102" t="str">
            <v>AVNET US</v>
          </cell>
          <cell r="I1102" t="str">
            <v>PCBA</v>
          </cell>
          <cell r="J1102" t="str">
            <v>DHL</v>
          </cell>
        </row>
        <row r="1103">
          <cell r="B1103" t="str">
            <v>E01009</v>
          </cell>
          <cell r="C1103"/>
          <cell r="D1103"/>
          <cell r="E1103">
            <v>0.6</v>
          </cell>
          <cell r="F1103" t="str">
            <v>886999756076</v>
          </cell>
          <cell r="G1103"/>
          <cell r="H1103" t="str">
            <v>Unigen Corp</v>
          </cell>
          <cell r="I1103" t="str">
            <v>ASSY-MECH DFM TRAY EMPTY DRIVE</v>
          </cell>
          <cell r="J1103" t="str">
            <v>Fedex</v>
          </cell>
        </row>
        <row r="1104">
          <cell r="B1104" t="str">
            <v>INV06534</v>
          </cell>
          <cell r="C1104"/>
          <cell r="D1104"/>
          <cell r="E1104">
            <v>1212.4000000000001</v>
          </cell>
          <cell r="F1104" t="str">
            <v>HAN0455098</v>
          </cell>
          <cell r="G1104"/>
          <cell r="H1104" t="str">
            <v>HELLA</v>
          </cell>
          <cell r="I1104" t="str">
            <v>HCU</v>
          </cell>
          <cell r="J1104" t="str">
            <v>DSV</v>
          </cell>
        </row>
        <row r="1105">
          <cell r="B1105" t="str">
            <v>INV06535</v>
          </cell>
          <cell r="C1105"/>
          <cell r="D1105"/>
          <cell r="E1105">
            <v>1559.4</v>
          </cell>
          <cell r="F1105" t="str">
            <v>HN90005074</v>
          </cell>
          <cell r="G1105"/>
          <cell r="H1105" t="str">
            <v>Lucid Arizona</v>
          </cell>
          <cell r="I1105" t="str">
            <v>UCC, REAR, DCM</v>
          </cell>
          <cell r="J1105" t="str">
            <v>DSV</v>
          </cell>
        </row>
        <row r="1106">
          <cell r="B1106" t="str">
            <v>INV06536</v>
          </cell>
          <cell r="C1106"/>
          <cell r="D1106"/>
          <cell r="E1106">
            <v>2505</v>
          </cell>
          <cell r="F1106" t="str">
            <v>HAN0453542</v>
          </cell>
          <cell r="G1106"/>
          <cell r="H1106" t="str">
            <v>Lucid Arizona</v>
          </cell>
          <cell r="I1106" t="str">
            <v>FRONT, CABIN, REAR</v>
          </cell>
          <cell r="J1106" t="str">
            <v>DSV</v>
          </cell>
        </row>
        <row r="1107">
          <cell r="B1107" t="str">
            <v>INV06537</v>
          </cell>
          <cell r="C1107"/>
          <cell r="D1107"/>
          <cell r="E1107">
            <v>9.8000000000000007</v>
          </cell>
          <cell r="F1107" t="str">
            <v>887123040034</v>
          </cell>
          <cell r="G1107"/>
          <cell r="H1107" t="str">
            <v>SANMINA</v>
          </cell>
          <cell r="I1107" t="str">
            <v>DDR4</v>
          </cell>
          <cell r="J1107" t="str">
            <v>FedEx</v>
          </cell>
        </row>
        <row r="1108">
          <cell r="B1108" t="str">
            <v>INV06538</v>
          </cell>
          <cell r="C1108"/>
          <cell r="D1108"/>
          <cell r="E1108">
            <v>20.5</v>
          </cell>
          <cell r="F1108" t="str">
            <v>887121735476</v>
          </cell>
          <cell r="G1108"/>
          <cell r="H1108" t="str">
            <v>Cloud HK</v>
          </cell>
          <cell r="I1108" t="str">
            <v>DDR4</v>
          </cell>
          <cell r="J1108" t="str">
            <v>FedEx</v>
          </cell>
        </row>
        <row r="1109">
          <cell r="B1109" t="str">
            <v>E01010</v>
          </cell>
          <cell r="C1109"/>
          <cell r="D1109"/>
          <cell r="E1109">
            <v>1.9</v>
          </cell>
          <cell r="F1109" t="str">
            <v>887118317480</v>
          </cell>
          <cell r="G1109"/>
          <cell r="H1109" t="str">
            <v>Kingston</v>
          </cell>
          <cell r="I1109" t="str">
            <v>IC</v>
          </cell>
          <cell r="J1109" t="str">
            <v>FedEx</v>
          </cell>
        </row>
        <row r="1110">
          <cell r="B1110" t="str">
            <v>INV06539</v>
          </cell>
          <cell r="C1110"/>
          <cell r="D1110"/>
          <cell r="E1110">
            <v>844</v>
          </cell>
          <cell r="F1110" t="str">
            <v>HBL2512015</v>
          </cell>
          <cell r="G1110"/>
          <cell r="H1110" t="str">
            <v>DAA</v>
          </cell>
          <cell r="I1110" t="str">
            <v>USB</v>
          </cell>
          <cell r="J1110" t="str">
            <v>PRIME</v>
          </cell>
        </row>
        <row r="1111">
          <cell r="B1111" t="str">
            <v>INV06540</v>
          </cell>
          <cell r="C1111"/>
          <cell r="D1111"/>
          <cell r="E1111">
            <v>261.60000000000002</v>
          </cell>
          <cell r="F1111" t="str">
            <v>45T0435956</v>
          </cell>
          <cell r="G1111"/>
          <cell r="H1111" t="str">
            <v>ZT Systems</v>
          </cell>
          <cell r="I1111" t="str">
            <v>POWER GEM</v>
          </cell>
          <cell r="J1111" t="str">
            <v>Expeditors</v>
          </cell>
        </row>
        <row r="1112">
          <cell r="B1112" t="str">
            <v>E01011</v>
          </cell>
          <cell r="C1112"/>
          <cell r="D1112"/>
          <cell r="E1112">
            <v>4.2</v>
          </cell>
          <cell r="F1112" t="str">
            <v>887140272965</v>
          </cell>
          <cell r="G1112"/>
          <cell r="H1112" t="str">
            <v>HQ1</v>
          </cell>
          <cell r="I1112" t="str">
            <v>ic, cap…</v>
          </cell>
          <cell r="J1112" t="str">
            <v>FedEx</v>
          </cell>
        </row>
        <row r="1113">
          <cell r="B1113" t="str">
            <v>E01012</v>
          </cell>
          <cell r="C1113"/>
          <cell r="D1113"/>
          <cell r="E1113">
            <v>5.5</v>
          </cell>
          <cell r="F1113" t="str">
            <v>1ZH4F7558826030076</v>
          </cell>
          <cell r="G1113"/>
          <cell r="H1113" t="str">
            <v>Mouser</v>
          </cell>
          <cell r="I1113" t="str">
            <v>inductor</v>
          </cell>
          <cell r="J1113" t="str">
            <v>UPS</v>
          </cell>
        </row>
        <row r="1114">
          <cell r="B1114" t="str">
            <v>INV06541</v>
          </cell>
          <cell r="C1114"/>
          <cell r="D1114"/>
          <cell r="E1114">
            <v>43.8</v>
          </cell>
          <cell r="F1114" t="str">
            <v>45T0436223</v>
          </cell>
          <cell r="G1114"/>
          <cell r="H1114" t="str">
            <v>UPS SCS</v>
          </cell>
          <cell r="I1114" t="str">
            <v>Fru</v>
          </cell>
          <cell r="J1114" t="str">
            <v>Expeditors</v>
          </cell>
        </row>
        <row r="1115">
          <cell r="B1115" t="str">
            <v>INV06542</v>
          </cell>
          <cell r="C1115"/>
          <cell r="D1115"/>
          <cell r="E1115">
            <v>439.8</v>
          </cell>
          <cell r="F1115" t="str">
            <v>887211658650</v>
          </cell>
          <cell r="G1115"/>
          <cell r="H1115" t="str">
            <v>Jabil MX</v>
          </cell>
          <cell r="I1115" t="str">
            <v>HLOB</v>
          </cell>
          <cell r="J1115" t="str">
            <v>FedEx</v>
          </cell>
        </row>
        <row r="1116">
          <cell r="B1116" t="str">
            <v>INV06543</v>
          </cell>
          <cell r="C1116"/>
          <cell r="D1116"/>
          <cell r="E1116">
            <v>439.8</v>
          </cell>
          <cell r="F1116" t="str">
            <v>887250922210</v>
          </cell>
          <cell r="G1116"/>
          <cell r="H1116" t="str">
            <v>Jabil MX</v>
          </cell>
          <cell r="I1116" t="str">
            <v>HLOB</v>
          </cell>
          <cell r="J1116" t="str">
            <v>FedEx</v>
          </cell>
        </row>
        <row r="1117">
          <cell r="B1117" t="str">
            <v>INV06544</v>
          </cell>
          <cell r="C1117"/>
          <cell r="D1117"/>
          <cell r="E1117">
            <v>4.4000000000000004</v>
          </cell>
          <cell r="F1117" t="str">
            <v>887208524516</v>
          </cell>
          <cell r="G1117"/>
          <cell r="H1117" t="str">
            <v>AVNET US</v>
          </cell>
          <cell r="I1117" t="str">
            <v>PCBA</v>
          </cell>
          <cell r="J1117" t="str">
            <v>FedEx</v>
          </cell>
        </row>
        <row r="1118">
          <cell r="B1118" t="str">
            <v>INV06545</v>
          </cell>
          <cell r="C1118"/>
          <cell r="D1118"/>
          <cell r="E1118">
            <v>2144.8000000000002</v>
          </cell>
          <cell r="F1118" t="str">
            <v>HAN0454278</v>
          </cell>
          <cell r="G1118"/>
          <cell r="H1118" t="str">
            <v>Lucid Arizona</v>
          </cell>
          <cell r="I1118" t="str">
            <v>ICC, FRONT, CABIN, REAR</v>
          </cell>
          <cell r="J1118" t="str">
            <v>DSV</v>
          </cell>
        </row>
        <row r="1119">
          <cell r="B1119" t="str">
            <v>INV06546</v>
          </cell>
          <cell r="C1119"/>
          <cell r="D1119"/>
          <cell r="E1119">
            <v>1226.2</v>
          </cell>
          <cell r="F1119" t="str">
            <v>HAN0454287</v>
          </cell>
          <cell r="G1119"/>
          <cell r="H1119" t="str">
            <v>Lucid Arizona</v>
          </cell>
          <cell r="I1119" t="str">
            <v>UCC, FRONT, CABIN, DCM</v>
          </cell>
          <cell r="J1119" t="str">
            <v>DSV</v>
          </cell>
        </row>
        <row r="1120">
          <cell r="B1120" t="str">
            <v>INV06547</v>
          </cell>
          <cell r="C1120"/>
          <cell r="D1120"/>
          <cell r="E1120">
            <v>298.39999999999998</v>
          </cell>
          <cell r="F1120" t="str">
            <v>HN90005093</v>
          </cell>
          <cell r="G1120"/>
          <cell r="H1120" t="str">
            <v>Lucid Arizona</v>
          </cell>
          <cell r="I1120" t="str">
            <v>BCM</v>
          </cell>
          <cell r="J1120" t="str">
            <v>DSV</v>
          </cell>
        </row>
        <row r="1121">
          <cell r="B1121" t="str">
            <v>INV06548</v>
          </cell>
          <cell r="C1121"/>
          <cell r="D1121"/>
          <cell r="E1121">
            <v>432.8</v>
          </cell>
          <cell r="F1121" t="str">
            <v>HAN0454290</v>
          </cell>
          <cell r="G1121"/>
          <cell r="H1121" t="str">
            <v>Lucid Arizona</v>
          </cell>
          <cell r="I1121" t="str">
            <v>REAR, CABIN, CCCV2</v>
          </cell>
          <cell r="J1121" t="str">
            <v>DSV</v>
          </cell>
        </row>
        <row r="1122">
          <cell r="B1122" t="str">
            <v>INV06549</v>
          </cell>
          <cell r="C1122"/>
          <cell r="D1122"/>
          <cell r="E1122">
            <v>570</v>
          </cell>
          <cell r="F1122" t="str">
            <v>HAN0454702</v>
          </cell>
          <cell r="G1122"/>
          <cell r="H1122" t="str">
            <v>Lucid Arizona</v>
          </cell>
          <cell r="I1122" t="str">
            <v>UCC</v>
          </cell>
          <cell r="J1122" t="str">
            <v>DSV</v>
          </cell>
        </row>
        <row r="1123">
          <cell r="B1123" t="str">
            <v>INV06550</v>
          </cell>
          <cell r="C1123"/>
          <cell r="D1123"/>
          <cell r="E1123">
            <v>866</v>
          </cell>
          <cell r="F1123" t="str">
            <v>HAN0455179</v>
          </cell>
          <cell r="G1123"/>
          <cell r="H1123" t="str">
            <v>HELLA</v>
          </cell>
          <cell r="I1123" t="str">
            <v>HCU</v>
          </cell>
          <cell r="J1123" t="str">
            <v>DSV</v>
          </cell>
        </row>
        <row r="1124">
          <cell r="B1124" t="str">
            <v>INV06551</v>
          </cell>
          <cell r="C1124"/>
          <cell r="D1124"/>
          <cell r="E1124">
            <v>95</v>
          </cell>
          <cell r="F1124" t="str">
            <v>887252685300</v>
          </cell>
          <cell r="G1124"/>
          <cell r="H1124" t="str">
            <v>EFI IL</v>
          </cell>
          <cell r="I1124" t="str">
            <v>ASM</v>
          </cell>
          <cell r="J1124" t="str">
            <v>FedEx</v>
          </cell>
        </row>
        <row r="1125">
          <cell r="B1125" t="str">
            <v>INV06552</v>
          </cell>
          <cell r="C1125"/>
          <cell r="D1125"/>
          <cell r="E1125">
            <v>796.6</v>
          </cell>
          <cell r="F1125" t="str">
            <v>45T0436015</v>
          </cell>
          <cell r="G1125"/>
          <cell r="H1125" t="str">
            <v>FTX</v>
          </cell>
          <cell r="I1125" t="str">
            <v>Grover, Hopper</v>
          </cell>
          <cell r="J1125" t="str">
            <v>Expeditors</v>
          </cell>
        </row>
        <row r="1126">
          <cell r="B1126" t="str">
            <v>INV06553</v>
          </cell>
          <cell r="C1126"/>
          <cell r="D1126"/>
          <cell r="E1126">
            <v>746.2</v>
          </cell>
          <cell r="F1126" t="str">
            <v>HAN25008247</v>
          </cell>
          <cell r="G1126"/>
          <cell r="H1126" t="str">
            <v>FCZ</v>
          </cell>
          <cell r="I1126" t="str">
            <v>Grover, Hopper</v>
          </cell>
          <cell r="J1126" t="str">
            <v>Schenker</v>
          </cell>
        </row>
        <row r="1127">
          <cell r="B1127" t="str">
            <v>Sample 717</v>
          </cell>
          <cell r="C1127"/>
          <cell r="D1127"/>
          <cell r="E1127">
            <v>3.1</v>
          </cell>
          <cell r="F1127" t="str">
            <v>SF3266809244380</v>
          </cell>
          <cell r="G1127"/>
          <cell r="H1127" t="str">
            <v>Charles</v>
          </cell>
          <cell r="I1127" t="str">
            <v>Enclosure</v>
          </cell>
          <cell r="J1127" t="str">
            <v>SFExpress</v>
          </cell>
        </row>
        <row r="1128">
          <cell r="B1128" t="str">
            <v>E01013</v>
          </cell>
          <cell r="C1128"/>
          <cell r="D1128"/>
          <cell r="E1128">
            <v>0.9</v>
          </cell>
          <cell r="F1128" t="str">
            <v>887406699417</v>
          </cell>
          <cell r="G1128"/>
          <cell r="H1128" t="str">
            <v>Bangtai HK</v>
          </cell>
          <cell r="I1128" t="str">
            <v>IC</v>
          </cell>
          <cell r="J1128" t="str">
            <v>FedEx</v>
          </cell>
        </row>
        <row r="1129">
          <cell r="B1129" t="str">
            <v>E01014</v>
          </cell>
          <cell r="C1129"/>
          <cell r="D1129"/>
          <cell r="E1129">
            <v>6</v>
          </cell>
          <cell r="F1129" t="str">
            <v>3451142483</v>
          </cell>
          <cell r="G1129"/>
          <cell r="H1129" t="str">
            <v>Arrow</v>
          </cell>
          <cell r="I1129" t="str">
            <v>Conn</v>
          </cell>
          <cell r="J1129" t="str">
            <v>DHL</v>
          </cell>
        </row>
        <row r="1130">
          <cell r="B1130" t="str">
            <v>E01015</v>
          </cell>
          <cell r="C1130"/>
          <cell r="D1130"/>
          <cell r="E1130">
            <v>1.4</v>
          </cell>
          <cell r="F1130" t="str">
            <v>1903239100</v>
          </cell>
          <cell r="G1130"/>
          <cell r="H1130" t="str">
            <v>Arrow</v>
          </cell>
          <cell r="I1130" t="str">
            <v>IC</v>
          </cell>
          <cell r="J1130" t="str">
            <v>DHL</v>
          </cell>
        </row>
        <row r="1131">
          <cell r="B1131" t="str">
            <v>INV06554</v>
          </cell>
          <cell r="C1131"/>
          <cell r="D1131"/>
          <cell r="E1131">
            <v>740</v>
          </cell>
          <cell r="F1131" t="str">
            <v>HN90005102</v>
          </cell>
          <cell r="G1131"/>
          <cell r="H1131" t="str">
            <v>Lucid Arizona</v>
          </cell>
          <cell r="I1131" t="str">
            <v>VCU, REAR, BCM</v>
          </cell>
          <cell r="J1131" t="str">
            <v>DSV</v>
          </cell>
        </row>
        <row r="1132">
          <cell r="B1132" t="str">
            <v>INV06555</v>
          </cell>
          <cell r="C1132"/>
          <cell r="D1132"/>
          <cell r="E1132">
            <v>773.6</v>
          </cell>
          <cell r="F1132" t="str">
            <v>HAN0454959</v>
          </cell>
          <cell r="G1132"/>
          <cell r="H1132" t="str">
            <v>Lucid Arizona</v>
          </cell>
          <cell r="I1132" t="str">
            <v>REAR, DCM</v>
          </cell>
          <cell r="J1132" t="str">
            <v>DSV</v>
          </cell>
        </row>
        <row r="1133">
          <cell r="B1133" t="str">
            <v>SAMPLE 718</v>
          </cell>
          <cell r="C1133"/>
          <cell r="D1133"/>
          <cell r="E1133">
            <v>7</v>
          </cell>
          <cell r="F1133" t="str">
            <v>887320021322</v>
          </cell>
          <cell r="G1133"/>
          <cell r="H1133" t="str">
            <v>Guangdong booster</v>
          </cell>
          <cell r="I1133" t="str">
            <v>material</v>
          </cell>
          <cell r="J1133" t="str">
            <v>FedEx</v>
          </cell>
        </row>
        <row r="1134">
          <cell r="B1134" t="str">
            <v>E01017</v>
          </cell>
          <cell r="C1134"/>
          <cell r="D1134"/>
          <cell r="E1134">
            <v>0.5</v>
          </cell>
          <cell r="F1134" t="str">
            <v>887361677870</v>
          </cell>
          <cell r="G1134"/>
          <cell r="H1134" t="str">
            <v>High advance</v>
          </cell>
          <cell r="I1134" t="str">
            <v>IC</v>
          </cell>
          <cell r="J1134" t="str">
            <v>FedEx</v>
          </cell>
        </row>
        <row r="1135">
          <cell r="B1135" t="e">
            <v>#N/A</v>
          </cell>
          <cell r="C1135"/>
          <cell r="D1135"/>
          <cell r="E1135"/>
          <cell r="F1135"/>
          <cell r="G1135"/>
          <cell r="H1135" t="e">
            <v>#N/A</v>
          </cell>
          <cell r="I1135"/>
          <cell r="J1135" t="e">
            <v>#N/A</v>
          </cell>
        </row>
        <row r="1136">
          <cell r="B1136" t="str">
            <v>INV06556</v>
          </cell>
          <cell r="C1136"/>
          <cell r="D1136"/>
          <cell r="E1136">
            <v>439.8</v>
          </cell>
          <cell r="F1136" t="str">
            <v>887388592200</v>
          </cell>
          <cell r="G1136"/>
          <cell r="H1136" t="str">
            <v>Jabil MX</v>
          </cell>
          <cell r="I1136" t="str">
            <v>HLOB</v>
          </cell>
          <cell r="J1136" t="str">
            <v>FedEx</v>
          </cell>
        </row>
        <row r="1137">
          <cell r="B1137" t="str">
            <v>INV06557</v>
          </cell>
          <cell r="C1137"/>
          <cell r="D1137"/>
          <cell r="E1137">
            <v>439.8</v>
          </cell>
          <cell r="F1137" t="str">
            <v>887388875136</v>
          </cell>
          <cell r="G1137"/>
          <cell r="H1137" t="str">
            <v>Jabil MX</v>
          </cell>
          <cell r="I1137" t="str">
            <v>HLOB</v>
          </cell>
          <cell r="J1137" t="str">
            <v>FedEx</v>
          </cell>
        </row>
        <row r="1138">
          <cell r="B1138" t="str">
            <v>INV06558</v>
          </cell>
          <cell r="C1138"/>
          <cell r="D1138"/>
          <cell r="E1138">
            <v>135.80000000000001</v>
          </cell>
          <cell r="F1138" t="str">
            <v>1046444674</v>
          </cell>
          <cell r="G1138"/>
          <cell r="H1138" t="str">
            <v>AVNET US</v>
          </cell>
          <cell r="I1138" t="str">
            <v>PCBA</v>
          </cell>
          <cell r="J1138" t="str">
            <v>DHL</v>
          </cell>
        </row>
        <row r="1139">
          <cell r="B1139" t="str">
            <v>INV06559</v>
          </cell>
          <cell r="C1139"/>
          <cell r="D1139"/>
          <cell r="E1139">
            <v>1.3</v>
          </cell>
          <cell r="F1139" t="str">
            <v>887390910576</v>
          </cell>
          <cell r="G1139"/>
          <cell r="H1139" t="str">
            <v>CTU</v>
          </cell>
          <cell r="I1139" t="str">
            <v>OEM</v>
          </cell>
          <cell r="J1139" t="str">
            <v>FedEx</v>
          </cell>
        </row>
        <row r="1140">
          <cell r="B1140" t="str">
            <v>INV06560</v>
          </cell>
          <cell r="C1140"/>
          <cell r="D1140"/>
          <cell r="E1140">
            <v>0.5</v>
          </cell>
          <cell r="F1140" t="str">
            <v>887393893833</v>
          </cell>
          <cell r="G1140"/>
          <cell r="H1140" t="str">
            <v>Kingston</v>
          </cell>
          <cell r="I1140" t="str">
            <v>HLOB</v>
          </cell>
          <cell r="J1140" t="str">
            <v>FedEx</v>
          </cell>
        </row>
        <row r="1141">
          <cell r="B1141" t="str">
            <v>INV06561</v>
          </cell>
          <cell r="C1141"/>
          <cell r="D1141"/>
          <cell r="E1141">
            <v>32.799999999999997</v>
          </cell>
          <cell r="F1141" t="str">
            <v>887408093389</v>
          </cell>
          <cell r="G1141"/>
          <cell r="H1141" t="str">
            <v>Cloud HK</v>
          </cell>
          <cell r="I1141" t="str">
            <v>DDR4</v>
          </cell>
          <cell r="J1141" t="str">
            <v>FedEx</v>
          </cell>
        </row>
        <row r="1142">
          <cell r="B1142" t="str">
            <v>INV06562</v>
          </cell>
          <cell r="C1142"/>
          <cell r="D1142"/>
          <cell r="E1142">
            <v>26.2</v>
          </cell>
          <cell r="F1142" t="str">
            <v>887408131225</v>
          </cell>
          <cell r="G1142"/>
          <cell r="H1142" t="str">
            <v>Cloud HK</v>
          </cell>
          <cell r="I1142" t="str">
            <v>DDR4</v>
          </cell>
          <cell r="J1142" t="str">
            <v>FedEx</v>
          </cell>
        </row>
        <row r="1143">
          <cell r="B1143" t="str">
            <v>INV06563</v>
          </cell>
          <cell r="C1143"/>
          <cell r="D1143"/>
          <cell r="E1143">
            <v>58.1</v>
          </cell>
          <cell r="F1143" t="str">
            <v>HN90005121</v>
          </cell>
          <cell r="G1143"/>
          <cell r="H1143" t="str">
            <v>Lucid US</v>
          </cell>
          <cell r="I1143" t="str">
            <v>USB, CCCV2, UCC</v>
          </cell>
          <cell r="J1143" t="str">
            <v>DSV</v>
          </cell>
        </row>
        <row r="1144">
          <cell r="B1144" t="str">
            <v>INV06564</v>
          </cell>
          <cell r="C1144"/>
          <cell r="D1144"/>
          <cell r="E1144">
            <v>382.1</v>
          </cell>
          <cell r="F1144" t="str">
            <v>HAN25008339</v>
          </cell>
          <cell r="G1144"/>
          <cell r="H1144" t="str">
            <v>FCZ</v>
          </cell>
          <cell r="I1144" t="str">
            <v>Grover, Hopper</v>
          </cell>
          <cell r="J1144" t="str">
            <v>Schenker</v>
          </cell>
        </row>
        <row r="1145">
          <cell r="B1145" t="str">
            <v>SAMPLE 719</v>
          </cell>
          <cell r="C1145"/>
          <cell r="D1145"/>
          <cell r="E1145">
            <v>0.3</v>
          </cell>
          <cell r="F1145" t="str">
            <v>887408386503</v>
          </cell>
          <cell r="G1145"/>
          <cell r="H1145" t="str">
            <v>Compeq</v>
          </cell>
          <cell r="I1145" t="str">
            <v>PCB</v>
          </cell>
          <cell r="J1145" t="str">
            <v>Fedex</v>
          </cell>
        </row>
        <row r="1146">
          <cell r="B1146" t="str">
            <v>INV06565</v>
          </cell>
          <cell r="C1146"/>
          <cell r="D1146"/>
          <cell r="E1146">
            <v>779.4</v>
          </cell>
          <cell r="F1146" t="str">
            <v>45T0437907</v>
          </cell>
          <cell r="G1146"/>
          <cell r="H1146" t="str">
            <v>FTX</v>
          </cell>
          <cell r="I1146" t="str">
            <v>Grover, Hopper, Eiger</v>
          </cell>
          <cell r="J1146" t="str">
            <v>Expeditors</v>
          </cell>
        </row>
        <row r="1147">
          <cell r="B1147" t="str">
            <v>INV06566</v>
          </cell>
          <cell r="C1147"/>
          <cell r="D1147"/>
          <cell r="E1147">
            <v>664.2</v>
          </cell>
          <cell r="F1147" t="str">
            <v>45T0439570</v>
          </cell>
          <cell r="G1147"/>
          <cell r="H1147" t="str">
            <v>ZT Systems</v>
          </cell>
          <cell r="I1147" t="str">
            <v>POWER GEM</v>
          </cell>
          <cell r="J1147" t="str">
            <v>Expeditors</v>
          </cell>
        </row>
        <row r="1148">
          <cell r="B1148" t="str">
            <v>E01018</v>
          </cell>
          <cell r="C1148"/>
          <cell r="D1148"/>
          <cell r="E1148"/>
          <cell r="F1148"/>
          <cell r="G1148"/>
          <cell r="H1148" t="e">
            <v>#N/A</v>
          </cell>
          <cell r="I1148"/>
          <cell r="J1148" t="e">
            <v>#N/A</v>
          </cell>
        </row>
        <row r="1149">
          <cell r="B1149" t="str">
            <v>INV06567</v>
          </cell>
          <cell r="C1149"/>
          <cell r="D1149"/>
          <cell r="E1149">
            <v>76.8</v>
          </cell>
          <cell r="F1149" t="str">
            <v>2652158386</v>
          </cell>
          <cell r="G1149"/>
          <cell r="H1149" t="str">
            <v>AVNET US</v>
          </cell>
          <cell r="I1149" t="str">
            <v>PCBA</v>
          </cell>
          <cell r="J1149" t="str">
            <v>DHL</v>
          </cell>
        </row>
        <row r="1150">
          <cell r="B1150" t="str">
            <v>INV06568</v>
          </cell>
          <cell r="C1150"/>
          <cell r="D1150"/>
          <cell r="E1150">
            <v>13.8</v>
          </cell>
          <cell r="F1150" t="str">
            <v>887416529934</v>
          </cell>
          <cell r="G1150"/>
          <cell r="H1150" t="str">
            <v>PURE US</v>
          </cell>
          <cell r="I1150" t="str">
            <v>HLOB</v>
          </cell>
          <cell r="J1150" t="str">
            <v>FedEx</v>
          </cell>
        </row>
        <row r="1151">
          <cell r="B1151" t="str">
            <v>INV06569</v>
          </cell>
          <cell r="C1151"/>
          <cell r="D1151"/>
          <cell r="E1151">
            <v>168.6</v>
          </cell>
          <cell r="F1151" t="str">
            <v>45T0439573</v>
          </cell>
          <cell r="G1151"/>
          <cell r="H1151" t="str">
            <v>ZT Netherlands</v>
          </cell>
          <cell r="I1151" t="str">
            <v>POWER GEM</v>
          </cell>
          <cell r="J1151" t="str">
            <v>Expeditors</v>
          </cell>
        </row>
        <row r="1152">
          <cell r="B1152" t="str">
            <v>INV06570</v>
          </cell>
          <cell r="C1152"/>
          <cell r="D1152"/>
          <cell r="E1152">
            <v>12.1</v>
          </cell>
          <cell r="F1152" t="str">
            <v>887411032020</v>
          </cell>
          <cell r="G1152"/>
          <cell r="H1152" t="str">
            <v>AIC RMA</v>
          </cell>
          <cell r="I1152" t="str">
            <v>PCBA</v>
          </cell>
          <cell r="J1152" t="str">
            <v>FedEx</v>
          </cell>
        </row>
        <row r="1153">
          <cell r="B1153" t="str">
            <v>INV06571</v>
          </cell>
          <cell r="C1153"/>
          <cell r="D1153"/>
          <cell r="E1153">
            <v>1097.5999999999999</v>
          </cell>
          <cell r="F1153" t="str">
            <v>HN90005119</v>
          </cell>
          <cell r="G1153"/>
          <cell r="H1153" t="str">
            <v>Lucid Arizona</v>
          </cell>
          <cell r="I1153"/>
          <cell r="J1153" t="str">
            <v>DSV</v>
          </cell>
        </row>
        <row r="1154">
          <cell r="B1154" t="e">
            <v>#N/A</v>
          </cell>
          <cell r="C1154"/>
          <cell r="D1154"/>
          <cell r="E1154"/>
          <cell r="F1154"/>
          <cell r="G1154"/>
          <cell r="H1154" t="e">
            <v>#N/A</v>
          </cell>
          <cell r="I1154"/>
          <cell r="J1154" t="e">
            <v>#N/A</v>
          </cell>
        </row>
        <row r="1155">
          <cell r="B1155" t="str">
            <v>INV06573</v>
          </cell>
          <cell r="C1155"/>
          <cell r="D1155"/>
          <cell r="E1155">
            <v>198</v>
          </cell>
          <cell r="F1155" t="str">
            <v>45T0439669</v>
          </cell>
          <cell r="G1155"/>
          <cell r="H1155" t="str">
            <v>ZT Netherlands</v>
          </cell>
          <cell r="I1155" t="str">
            <v>POWER GEM</v>
          </cell>
          <cell r="J1155" t="str">
            <v>Expeditors</v>
          </cell>
        </row>
        <row r="1156">
          <cell r="B1156" t="str">
            <v>INV06574</v>
          </cell>
          <cell r="C1156"/>
          <cell r="D1156"/>
          <cell r="E1156">
            <v>383.4</v>
          </cell>
          <cell r="F1156" t="str">
            <v>45T0439680</v>
          </cell>
          <cell r="G1156"/>
          <cell r="H1156" t="str">
            <v>ZT TW</v>
          </cell>
          <cell r="I1156" t="str">
            <v>POWER GEM</v>
          </cell>
          <cell r="J1156" t="str">
            <v>Expeditors</v>
          </cell>
        </row>
      </sheetData>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gistics record "/>
      <sheetName val="Import material detail"/>
      <sheetName val="EFI - export"/>
      <sheetName val="Lucid - export"/>
      <sheetName val="OEM export"/>
      <sheetName val="Unigen MY Export"/>
      <sheetName val="PURE export"/>
      <sheetName val="EFI import"/>
      <sheetName val="LUCID import"/>
      <sheetName val="PURE import"/>
      <sheetName val="OEM import"/>
      <sheetName val="FWD Detail"/>
      <sheetName val="According to Customer"/>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08">
          <cell r="C208" t="str">
            <v>SZHPH25000005</v>
          </cell>
          <cell r="E208">
            <v>2932</v>
          </cell>
        </row>
        <row r="209">
          <cell r="C209" t="str">
            <v>LPIAHPH250033</v>
          </cell>
          <cell r="E209">
            <v>381.02</v>
          </cell>
          <cell r="F209">
            <v>0.97</v>
          </cell>
        </row>
        <row r="210">
          <cell r="C210">
            <v>714497058818</v>
          </cell>
          <cell r="D210" t="str">
            <v>Fedex</v>
          </cell>
          <cell r="E210">
            <v>19.100000000000001</v>
          </cell>
        </row>
        <row r="211">
          <cell r="C211" t="str">
            <v>ASPHPHE14272105</v>
          </cell>
          <cell r="D211" t="str">
            <v>VVMV</v>
          </cell>
          <cell r="E211">
            <v>360</v>
          </cell>
          <cell r="F211">
            <v>3.36</v>
          </cell>
        </row>
        <row r="212">
          <cell r="C212" t="str">
            <v>LSZHPH2500918</v>
          </cell>
          <cell r="D212" t="str">
            <v>VVMV</v>
          </cell>
          <cell r="E212">
            <v>348</v>
          </cell>
          <cell r="F212">
            <v>4.12</v>
          </cell>
        </row>
        <row r="213">
          <cell r="C213">
            <v>714497059950</v>
          </cell>
        </row>
        <row r="214">
          <cell r="C214">
            <v>714497060288</v>
          </cell>
        </row>
        <row r="215">
          <cell r="C215">
            <v>772753251410</v>
          </cell>
        </row>
        <row r="216">
          <cell r="C216">
            <v>714497069388</v>
          </cell>
          <cell r="D216" t="str">
            <v>Fedex</v>
          </cell>
          <cell r="E216">
            <v>46</v>
          </cell>
        </row>
        <row r="217">
          <cell r="C217" t="str">
            <v>LSZHPH2502913</v>
          </cell>
          <cell r="E217">
            <v>356</v>
          </cell>
          <cell r="F217">
            <v>2.23</v>
          </cell>
        </row>
        <row r="218">
          <cell r="C218" t="str">
            <v>LPIAHPH250928</v>
          </cell>
          <cell r="E218">
            <v>1356</v>
          </cell>
          <cell r="F218">
            <v>6.26</v>
          </cell>
        </row>
        <row r="219">
          <cell r="C219">
            <v>714497072730</v>
          </cell>
          <cell r="D219" t="str">
            <v>Fedex</v>
          </cell>
          <cell r="E219">
            <v>63</v>
          </cell>
        </row>
        <row r="220">
          <cell r="C220">
            <v>461596439942</v>
          </cell>
          <cell r="D220" t="str">
            <v>Fedex</v>
          </cell>
          <cell r="E220">
            <v>145</v>
          </cell>
        </row>
        <row r="221">
          <cell r="C221" t="str">
            <v xml:space="preserve">S00369769 </v>
          </cell>
          <cell r="D221" t="str">
            <v>Dolphin</v>
          </cell>
          <cell r="E221">
            <v>1092</v>
          </cell>
          <cell r="F221" t="str">
            <v>cont 20</v>
          </cell>
        </row>
        <row r="222">
          <cell r="C222">
            <v>461596441482</v>
          </cell>
          <cell r="D222" t="str">
            <v>Fedex</v>
          </cell>
          <cell r="E222">
            <v>200</v>
          </cell>
        </row>
        <row r="223">
          <cell r="C223">
            <v>461596475984</v>
          </cell>
          <cell r="D223" t="str">
            <v>Fedex</v>
          </cell>
          <cell r="E223">
            <v>16.399999999999999</v>
          </cell>
        </row>
        <row r="224">
          <cell r="C224">
            <v>461596476410</v>
          </cell>
          <cell r="D224" t="str">
            <v>Fedex</v>
          </cell>
          <cell r="E224">
            <v>3.2</v>
          </cell>
        </row>
        <row r="225">
          <cell r="C225" t="str">
            <v xml:space="preserve">BSJSZ0085316 </v>
          </cell>
          <cell r="D225" t="str">
            <v>Dolphin</v>
          </cell>
          <cell r="E225">
            <v>1806</v>
          </cell>
          <cell r="F225" t="str">
            <v>114CTNS(CONT 20)</v>
          </cell>
        </row>
        <row r="226">
          <cell r="C226" t="str">
            <v>LPIAHPH251562</v>
          </cell>
          <cell r="D226" t="str">
            <v>VVMV</v>
          </cell>
          <cell r="E226">
            <v>1356</v>
          </cell>
          <cell r="F226" t="str">
            <v>4 plt</v>
          </cell>
        </row>
        <row r="227">
          <cell r="C227" t="str">
            <v>882214085919</v>
          </cell>
          <cell r="D227" t="str">
            <v>Fedex</v>
          </cell>
          <cell r="E227">
            <v>3</v>
          </cell>
        </row>
        <row r="228">
          <cell r="C228" t="str">
            <v>461596520307</v>
          </cell>
          <cell r="D228" t="str">
            <v>Fedex</v>
          </cell>
          <cell r="E228">
            <v>333</v>
          </cell>
        </row>
        <row r="229">
          <cell r="C229" t="str">
            <v>BSJSZ0085679</v>
          </cell>
          <cell r="D229" t="str">
            <v>Dolphin</v>
          </cell>
          <cell r="E229">
            <v>2048</v>
          </cell>
          <cell r="F229">
            <v>12.3</v>
          </cell>
        </row>
        <row r="230">
          <cell r="C230">
            <v>461596521818</v>
          </cell>
          <cell r="D230" t="str">
            <v>Fedex</v>
          </cell>
          <cell r="E230">
            <v>106</v>
          </cell>
        </row>
        <row r="231">
          <cell r="C231">
            <v>461596522045</v>
          </cell>
          <cell r="D231" t="str">
            <v>Fedex</v>
          </cell>
          <cell r="E231">
            <v>46</v>
          </cell>
        </row>
        <row r="232">
          <cell r="C232" t="str">
            <v>BSJSZ0086335D</v>
          </cell>
          <cell r="D232" t="str">
            <v>Dolphin</v>
          </cell>
          <cell r="E232">
            <v>1960</v>
          </cell>
          <cell r="F232">
            <v>17.95</v>
          </cell>
        </row>
        <row r="233">
          <cell r="C233" t="str">
            <v>ASPHPHE14467317</v>
          </cell>
          <cell r="D233" t="str">
            <v>VVMV</v>
          </cell>
          <cell r="E233">
            <v>360</v>
          </cell>
          <cell r="F233">
            <v>3.36</v>
          </cell>
        </row>
        <row r="234">
          <cell r="C234">
            <v>461596522295</v>
          </cell>
          <cell r="D234" t="str">
            <v>Fedex</v>
          </cell>
          <cell r="E234">
            <v>33.200000000000003</v>
          </cell>
        </row>
        <row r="235">
          <cell r="C235">
            <v>461596523637</v>
          </cell>
          <cell r="D235" t="str">
            <v>Fedex</v>
          </cell>
          <cell r="E235">
            <v>32.200000000000003</v>
          </cell>
        </row>
        <row r="236">
          <cell r="C236">
            <v>461596526371</v>
          </cell>
          <cell r="D236" t="str">
            <v>Fedex</v>
          </cell>
          <cell r="E236">
            <v>3.1</v>
          </cell>
        </row>
        <row r="237">
          <cell r="C237">
            <v>461596530580</v>
          </cell>
          <cell r="D237" t="str">
            <v>Fedex</v>
          </cell>
          <cell r="E237">
            <v>38</v>
          </cell>
        </row>
        <row r="238">
          <cell r="C238">
            <v>461596531510</v>
          </cell>
          <cell r="D238" t="str">
            <v>Fedex</v>
          </cell>
          <cell r="E238">
            <v>23.8</v>
          </cell>
        </row>
        <row r="239">
          <cell r="C239">
            <v>461596533947</v>
          </cell>
          <cell r="D239" t="str">
            <v>Fedex</v>
          </cell>
          <cell r="E239">
            <v>3.3</v>
          </cell>
        </row>
        <row r="240">
          <cell r="C240">
            <v>461596534428</v>
          </cell>
          <cell r="D240" t="str">
            <v>Fedex</v>
          </cell>
          <cell r="E240">
            <v>34.1</v>
          </cell>
        </row>
        <row r="241">
          <cell r="C241">
            <v>437723155247</v>
          </cell>
          <cell r="D241" t="str">
            <v>Fedex</v>
          </cell>
          <cell r="E241">
            <v>22.2</v>
          </cell>
        </row>
        <row r="242">
          <cell r="C242">
            <v>437723157684</v>
          </cell>
          <cell r="D242" t="str">
            <v>Fedex</v>
          </cell>
          <cell r="E242">
            <v>19.2</v>
          </cell>
        </row>
      </sheetData>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138"/>
  <sheetViews>
    <sheetView zoomScale="85" zoomScaleNormal="85" workbookViewId="0">
      <pane xSplit="3" ySplit="2" topLeftCell="M4" activePane="bottomRight" state="frozen"/>
      <selection pane="topRight" activeCell="D1" sqref="D1"/>
      <selection pane="bottomLeft" activeCell="A3" sqref="A3"/>
      <selection pane="bottomRight" activeCell="Y11" sqref="Y11"/>
    </sheetView>
  </sheetViews>
  <sheetFormatPr defaultRowHeight="15"/>
  <cols>
    <col min="1" max="1" width="9.7109375" customWidth="1"/>
    <col min="2" max="2" width="21.7109375" style="26" customWidth="1"/>
    <col min="3" max="3" width="26.140625" customWidth="1"/>
    <col min="4" max="9" width="12.42578125" hidden="1" customWidth="1"/>
    <col min="10" max="21" width="13.28515625" customWidth="1"/>
    <col min="23" max="23" width="22.28515625" customWidth="1"/>
    <col min="24" max="24" width="17.28515625" customWidth="1"/>
    <col min="25" max="25" width="33.42578125" customWidth="1"/>
    <col min="26" max="26" width="15" style="120" customWidth="1"/>
    <col min="27" max="27" width="14.28515625" style="120" customWidth="1"/>
    <col min="28" max="28" width="32.140625" customWidth="1"/>
    <col min="29" max="30" width="14.7109375" hidden="1" customWidth="1"/>
    <col min="31" max="31" width="14.7109375" customWidth="1"/>
  </cols>
  <sheetData>
    <row r="1" spans="1:30" ht="30.6" customHeight="1">
      <c r="A1" s="772" t="s">
        <v>77</v>
      </c>
      <c r="B1" s="772"/>
      <c r="D1" s="44"/>
      <c r="E1" s="44"/>
      <c r="F1" s="44"/>
      <c r="G1" s="44"/>
      <c r="H1" s="44"/>
      <c r="I1" s="44"/>
      <c r="J1" s="44"/>
      <c r="K1" s="44"/>
      <c r="L1" s="44"/>
      <c r="M1" s="44"/>
      <c r="N1" s="44"/>
      <c r="O1" s="44"/>
      <c r="P1" s="44"/>
      <c r="Q1" s="44"/>
      <c r="R1" s="44"/>
      <c r="S1" s="44"/>
      <c r="T1" s="44"/>
      <c r="U1" s="44"/>
      <c r="W1" s="86"/>
      <c r="X1" s="86"/>
      <c r="Y1" s="86"/>
      <c r="Z1" s="119"/>
      <c r="AA1" s="119"/>
      <c r="AC1" s="578" t="s">
        <v>1160</v>
      </c>
      <c r="AD1" s="579">
        <v>26462</v>
      </c>
    </row>
    <row r="2" spans="1:30" ht="26.45" customHeight="1">
      <c r="A2" s="779" t="s">
        <v>0</v>
      </c>
      <c r="B2" s="780"/>
      <c r="C2" s="781"/>
      <c r="D2" s="16">
        <v>45658</v>
      </c>
      <c r="E2" s="16">
        <v>45689</v>
      </c>
      <c r="F2" s="16">
        <v>45717</v>
      </c>
      <c r="G2" s="16">
        <v>45748</v>
      </c>
      <c r="H2" s="16">
        <v>45778</v>
      </c>
      <c r="I2" s="16">
        <v>45809</v>
      </c>
      <c r="J2" s="16">
        <v>45839</v>
      </c>
      <c r="K2" s="16">
        <v>45870</v>
      </c>
      <c r="L2" s="16">
        <v>45901</v>
      </c>
      <c r="M2" s="16">
        <v>45931</v>
      </c>
      <c r="N2" s="16">
        <v>45962</v>
      </c>
      <c r="O2" s="16">
        <v>45992</v>
      </c>
      <c r="P2" s="16">
        <v>46023</v>
      </c>
      <c r="Q2" s="16">
        <v>46054</v>
      </c>
      <c r="R2" s="16">
        <v>46082</v>
      </c>
      <c r="S2" s="16">
        <v>46113</v>
      </c>
      <c r="T2" s="16">
        <v>46143</v>
      </c>
      <c r="U2" s="16">
        <v>46174</v>
      </c>
      <c r="Y2" s="48"/>
    </row>
    <row r="3" spans="1:30" ht="26.45" customHeight="1">
      <c r="A3" s="67"/>
      <c r="B3" s="770" t="s">
        <v>95</v>
      </c>
      <c r="C3" s="771"/>
      <c r="D3" s="62">
        <f t="shared" ref="D3:N3" si="0">D5-D4</f>
        <v>26480.583880915521</v>
      </c>
      <c r="E3" s="62">
        <f t="shared" si="0"/>
        <v>26132.980368279605</v>
      </c>
      <c r="F3" s="62">
        <f t="shared" si="0"/>
        <v>33641.018406226154</v>
      </c>
      <c r="G3" s="62">
        <f t="shared" si="0"/>
        <v>33015.802874361761</v>
      </c>
      <c r="H3" s="62">
        <f t="shared" si="0"/>
        <v>38983.796697177728</v>
      </c>
      <c r="I3" s="62">
        <f t="shared" si="0"/>
        <v>44867.90201337386</v>
      </c>
      <c r="J3" s="62">
        <f t="shared" si="0"/>
        <v>42915.708677799237</v>
      </c>
      <c r="K3" s="62">
        <f t="shared" si="0"/>
        <v>62058.688944014837</v>
      </c>
      <c r="L3" s="62">
        <f t="shared" si="0"/>
        <v>67092.668327437466</v>
      </c>
      <c r="M3" s="62">
        <f t="shared" si="0"/>
        <v>70286.216452554145</v>
      </c>
      <c r="N3" s="62">
        <f t="shared" si="0"/>
        <v>92101.001191937932</v>
      </c>
      <c r="O3" s="62">
        <v>79951.990228855298</v>
      </c>
      <c r="P3" s="62">
        <v>56495.208441282637</v>
      </c>
      <c r="Q3" s="62">
        <v>40169.202773932877</v>
      </c>
      <c r="R3" s="62">
        <v>35311.391323008131</v>
      </c>
      <c r="S3" s="62">
        <v>31992.676129036707</v>
      </c>
      <c r="T3" s="62">
        <v>34640.774915877722</v>
      </c>
      <c r="U3" s="62">
        <f>U5-U4</f>
        <v>35866.718917536942</v>
      </c>
      <c r="W3" s="758" t="s">
        <v>106</v>
      </c>
      <c r="X3" s="31" t="s">
        <v>1269</v>
      </c>
      <c r="Y3" s="31" t="s">
        <v>1270</v>
      </c>
      <c r="Z3" s="759">
        <f>SUM(Z4:Z9)</f>
        <v>385.45839316756098</v>
      </c>
      <c r="AA3" s="119"/>
    </row>
    <row r="4" spans="1:30" ht="26.45" customHeight="1">
      <c r="A4" s="63"/>
      <c r="B4" s="64"/>
      <c r="C4" s="65" t="s">
        <v>96</v>
      </c>
      <c r="D4" s="66">
        <v>4048.6691999999994</v>
      </c>
      <c r="E4" s="66">
        <v>3024.6213600000001</v>
      </c>
      <c r="F4" s="66">
        <v>7479.8127284450729</v>
      </c>
      <c r="G4" s="66">
        <v>5886.7599028345603</v>
      </c>
      <c r="H4" s="66">
        <v>11929.09330282227</v>
      </c>
      <c r="I4" s="66">
        <v>2570.6326671732518</v>
      </c>
      <c r="J4" s="66">
        <v>6520.1634090909083</v>
      </c>
      <c r="K4" s="66">
        <v>2458.2838365917041</v>
      </c>
      <c r="L4" s="66">
        <v>12377.14961128598</v>
      </c>
      <c r="M4" s="66">
        <v>3933.3030741246021</v>
      </c>
      <c r="N4" s="66">
        <v>3960.31603510167</v>
      </c>
      <c r="O4" s="66">
        <v>8568.3017471683106</v>
      </c>
      <c r="P4" s="66">
        <v>1696.0434123947975</v>
      </c>
      <c r="Q4" s="66">
        <v>1329.7688991523169</v>
      </c>
      <c r="R4" s="66">
        <v>4516.8991856010307</v>
      </c>
      <c r="S4" s="66">
        <v>675.60552963932196</v>
      </c>
      <c r="T4" s="66">
        <v>2752.5485153764598</v>
      </c>
      <c r="U4" s="66">
        <f>Z13</f>
        <v>9194.6791625727437</v>
      </c>
      <c r="W4" s="11" t="s">
        <v>2116</v>
      </c>
      <c r="X4" s="350" t="s">
        <v>3065</v>
      </c>
      <c r="Y4" s="11" t="s">
        <v>109</v>
      </c>
      <c r="Z4" s="591">
        <v>15.116015418335726</v>
      </c>
      <c r="AA4" s="127"/>
      <c r="AB4" s="20"/>
    </row>
    <row r="5" spans="1:30" ht="31.5" customHeight="1" thickBot="1">
      <c r="A5" s="782" t="s">
        <v>97</v>
      </c>
      <c r="B5" s="783"/>
      <c r="C5" s="784"/>
      <c r="D5" s="632">
        <f>SUM(D17+D50+D51+D52)</f>
        <v>30529.253080915521</v>
      </c>
      <c r="E5" s="632">
        <f>SUM(E17+E50+E51+E52)</f>
        <v>29157.601728279606</v>
      </c>
      <c r="F5" s="632">
        <f>SUM(F17+F50+F51+F52)</f>
        <v>41120.831134671229</v>
      </c>
      <c r="G5" s="632">
        <f>G17+G50+G51+G52</f>
        <v>38902.562777196319</v>
      </c>
      <c r="H5" s="632">
        <v>50912.89</v>
      </c>
      <c r="I5" s="632">
        <f t="shared" ref="I5:N5" si="1">I17+I50+I51+I52</f>
        <v>47438.534680547113</v>
      </c>
      <c r="J5" s="632">
        <f t="shared" si="1"/>
        <v>49435.872086890144</v>
      </c>
      <c r="K5" s="632">
        <f t="shared" si="1"/>
        <v>64516.972780606542</v>
      </c>
      <c r="L5" s="632">
        <f t="shared" si="1"/>
        <v>79469.817938723441</v>
      </c>
      <c r="M5" s="632">
        <f t="shared" si="1"/>
        <v>74219.519526678749</v>
      </c>
      <c r="N5" s="632">
        <f t="shared" si="1"/>
        <v>96061.317227039603</v>
      </c>
      <c r="O5" s="632">
        <v>88520.291976023611</v>
      </c>
      <c r="P5" s="632">
        <v>58191.251853677437</v>
      </c>
      <c r="Q5" s="632">
        <v>41498.971673085194</v>
      </c>
      <c r="R5" s="632">
        <v>39828.290508609163</v>
      </c>
      <c r="S5" s="632">
        <v>32668.281658676027</v>
      </c>
      <c r="T5" s="632">
        <v>37393.323431254183</v>
      </c>
      <c r="U5" s="632">
        <f>U17+U50+U51+U52</f>
        <v>45061.398080109684</v>
      </c>
      <c r="W5" s="11" t="s">
        <v>2116</v>
      </c>
      <c r="X5" s="350" t="s">
        <v>3051</v>
      </c>
      <c r="Y5" s="11" t="s">
        <v>997</v>
      </c>
      <c r="Z5" s="591">
        <v>15.116015418335726</v>
      </c>
      <c r="AA5" s="128"/>
      <c r="AB5" s="20"/>
    </row>
    <row r="6" spans="1:30" ht="25.5" customHeight="1">
      <c r="A6" s="773" t="s">
        <v>1</v>
      </c>
      <c r="B6" s="766" t="s">
        <v>2</v>
      </c>
      <c r="C6" s="633" t="s">
        <v>3</v>
      </c>
      <c r="D6" s="634">
        <v>15426.511080915521</v>
      </c>
      <c r="E6" s="634">
        <v>20289.671568279606</v>
      </c>
      <c r="F6" s="634">
        <v>23089.22966862184</v>
      </c>
      <c r="G6" s="634">
        <v>26743.1233011654</v>
      </c>
      <c r="H6" s="635">
        <v>30140.19</v>
      </c>
      <c r="I6" s="636">
        <v>27086.524244680852</v>
      </c>
      <c r="J6" s="636">
        <v>30923.756742424241</v>
      </c>
      <c r="K6" s="636">
        <v>42036.319868751925</v>
      </c>
      <c r="L6" s="637">
        <v>47441.340270628323</v>
      </c>
      <c r="M6" s="637">
        <f>45665.6558113536-546.52</f>
        <v>45119.135811353604</v>
      </c>
      <c r="N6" s="637">
        <v>62891.245010791783</v>
      </c>
      <c r="O6" s="637">
        <v>56967.015472342842</v>
      </c>
      <c r="P6" s="637">
        <v>43467.764811829678</v>
      </c>
      <c r="Q6" s="637">
        <v>27352.373425801157</v>
      </c>
      <c r="R6" s="637">
        <v>26797.207293497053</v>
      </c>
      <c r="S6" s="637">
        <v>22861.48022506585</v>
      </c>
      <c r="T6" s="637">
        <v>21430.890266001323</v>
      </c>
      <c r="U6" s="637">
        <f>'Debit Summary'!A6+'Debit Summary'!B6+'Debit Summary'!C6+'Debit Summary'!D6+'Debit Summary'!E6+'Debit Summary'!G6</f>
        <v>23157.227578132177</v>
      </c>
      <c r="W6" s="11" t="s">
        <v>2116</v>
      </c>
      <c r="X6" s="350" t="s">
        <v>3048</v>
      </c>
      <c r="Y6" s="11" t="s">
        <v>1023</v>
      </c>
      <c r="Z6" s="591">
        <v>15.116015418335726</v>
      </c>
      <c r="AA6" s="128"/>
      <c r="AB6" s="20"/>
    </row>
    <row r="7" spans="1:30" ht="30" customHeight="1">
      <c r="A7" s="774"/>
      <c r="B7" s="767"/>
      <c r="C7" s="88" t="s">
        <v>67</v>
      </c>
      <c r="D7" s="90">
        <f>'Import material detail'!D2+'Import material detail'!D5+'Import material detail'!D11</f>
        <v>91</v>
      </c>
      <c r="E7" s="90">
        <f>'Import material detail'!E2+'Import material detail'!E5+'Import material detail'!E11</f>
        <v>119</v>
      </c>
      <c r="F7" s="90">
        <f>'Import material detail'!F2+'Import material detail'!F5+'Import material detail'!F11</f>
        <v>146</v>
      </c>
      <c r="G7" s="90">
        <f>'Import material detail'!G2+'Import material detail'!G5+'Import material detail'!G11</f>
        <v>153</v>
      </c>
      <c r="H7" s="90">
        <v>161</v>
      </c>
      <c r="I7" s="90">
        <f>'Import material detail'!I2+'Import material detail'!I5+'Import material detail'!I11</f>
        <v>197</v>
      </c>
      <c r="J7" s="90">
        <f>'Import material detail'!J2+'Import material detail'!J5+'Import material detail'!J11</f>
        <v>146</v>
      </c>
      <c r="K7" s="90">
        <v>240</v>
      </c>
      <c r="L7" s="90">
        <v>237</v>
      </c>
      <c r="M7" s="90">
        <v>262</v>
      </c>
      <c r="N7" s="90">
        <f>'Import material detail'!N2+'Import material detail'!N5+'Import material detail'!N11</f>
        <v>269</v>
      </c>
      <c r="O7" s="90">
        <v>263</v>
      </c>
      <c r="P7" s="90">
        <v>207</v>
      </c>
      <c r="Q7" s="90">
        <v>196</v>
      </c>
      <c r="R7" s="90">
        <v>156</v>
      </c>
      <c r="S7" s="90">
        <v>149</v>
      </c>
      <c r="T7" s="90">
        <v>112</v>
      </c>
      <c r="U7" s="90">
        <f>'Debit Summary'!A7+'Debit Summary'!B7+'Debit Summary'!C7+'Debit Summary'!D7+'Debit Summary'!E7+'Debit Summary'!G7</f>
        <v>171</v>
      </c>
      <c r="W7" s="11" t="s">
        <v>3079</v>
      </c>
      <c r="X7" s="350" t="s">
        <v>3078</v>
      </c>
      <c r="Y7" s="11" t="s">
        <v>99</v>
      </c>
      <c r="Z7" s="591">
        <f>9000000/AD1</f>
        <v>340.11034691255384</v>
      </c>
      <c r="AA7" s="128"/>
      <c r="AB7" s="20"/>
    </row>
    <row r="8" spans="1:30" ht="23.25" customHeight="1">
      <c r="A8" s="774"/>
      <c r="B8" s="767"/>
      <c r="C8" s="6" t="s">
        <v>98</v>
      </c>
      <c r="D8" s="99">
        <v>10154.650000000001</v>
      </c>
      <c r="E8" s="99">
        <v>14337.720000000001</v>
      </c>
      <c r="F8" s="99">
        <v>12048.42</v>
      </c>
      <c r="G8" s="99">
        <v>18644.400000000001</v>
      </c>
      <c r="H8" s="99">
        <v>25191.46</v>
      </c>
      <c r="I8" s="99">
        <v>21137.969999999998</v>
      </c>
      <c r="J8" s="99">
        <v>25034.7</v>
      </c>
      <c r="K8" s="99">
        <v>40755.739835204295</v>
      </c>
      <c r="L8" s="94">
        <v>37897.264999999999</v>
      </c>
      <c r="M8" s="94">
        <v>45142.479999999996</v>
      </c>
      <c r="N8" s="94">
        <v>47706.055999999997</v>
      </c>
      <c r="O8" s="94">
        <v>55349.78300000001</v>
      </c>
      <c r="P8" s="94">
        <v>35083.925917176748</v>
      </c>
      <c r="Q8" s="94">
        <v>23788.920197666022</v>
      </c>
      <c r="R8" s="94">
        <v>10237.444752114707</v>
      </c>
      <c r="S8" s="94">
        <v>16565.673242310466</v>
      </c>
      <c r="T8" s="94">
        <v>18241.364108430542</v>
      </c>
      <c r="U8" s="94">
        <f>SUM('Debit Summary'!A8:G8)</f>
        <v>15681.871000000001</v>
      </c>
      <c r="W8" s="11" t="s">
        <v>3076</v>
      </c>
      <c r="X8" s="350" t="s">
        <v>2127</v>
      </c>
      <c r="Y8" s="11" t="s">
        <v>2127</v>
      </c>
      <c r="Z8" s="591" t="s">
        <v>2127</v>
      </c>
      <c r="AA8" s="128"/>
      <c r="AB8" s="20"/>
    </row>
    <row r="9" spans="1:30" ht="28.5" customHeight="1">
      <c r="A9" s="774"/>
      <c r="B9" s="767"/>
      <c r="C9" s="2" t="s">
        <v>4</v>
      </c>
      <c r="D9" s="7">
        <f>6907.35+451.2</f>
        <v>7358.55</v>
      </c>
      <c r="E9" s="7">
        <f>6595+144</f>
        <v>6739</v>
      </c>
      <c r="F9" s="7">
        <v>7641.0108024691363</v>
      </c>
      <c r="G9" s="7">
        <f>7844.32+370.31</f>
        <v>8214.6299999999992</v>
      </c>
      <c r="H9" s="7">
        <v>9479.2099999999991</v>
      </c>
      <c r="I9" s="7">
        <v>10714.884920668692</v>
      </c>
      <c r="J9" s="7">
        <v>11863.437</v>
      </c>
      <c r="K9" s="7">
        <v>15520.52</v>
      </c>
      <c r="L9" s="7">
        <v>18187.939999999999</v>
      </c>
      <c r="M9" s="7">
        <v>20964.916345308469</v>
      </c>
      <c r="N9" s="7">
        <v>19021.774016055082</v>
      </c>
      <c r="O9" s="7">
        <v>17365.977217589043</v>
      </c>
      <c r="P9" s="7">
        <v>10119.204016832451</v>
      </c>
      <c r="Q9" s="7">
        <v>8249.5261717413268</v>
      </c>
      <c r="R9" s="7">
        <v>7376.2303228009232</v>
      </c>
      <c r="S9" s="7">
        <v>6542.15659726171</v>
      </c>
      <c r="T9" s="7">
        <v>9359.5514694743033</v>
      </c>
      <c r="U9" s="7">
        <f>'Debit Summary'!A9+'Debit Summary'!B9+'Debit Summary'!C9+'Debit Summary'!D9+'Debit Summary'!E9+'Debit Summary'!G9</f>
        <v>17704.253419998415</v>
      </c>
      <c r="Z9"/>
      <c r="AA9" s="128"/>
      <c r="AB9" s="20"/>
    </row>
    <row r="10" spans="1:30" ht="25.5" customHeight="1">
      <c r="A10" s="774"/>
      <c r="B10" s="767"/>
      <c r="C10" s="100" t="s">
        <v>317</v>
      </c>
      <c r="D10" s="101">
        <f>'Import material detail'!D14</f>
        <v>251</v>
      </c>
      <c r="E10" s="101">
        <f>'Import material detail'!E14</f>
        <v>251</v>
      </c>
      <c r="F10" s="101">
        <f>'Import material detail'!F14</f>
        <v>290</v>
      </c>
      <c r="G10" s="101">
        <f>'Import material detail'!G14</f>
        <v>333</v>
      </c>
      <c r="H10" s="101">
        <f>'Import material detail'!H14</f>
        <v>312</v>
      </c>
      <c r="I10" s="101">
        <f>'Import material detail'!I14</f>
        <v>438</v>
      </c>
      <c r="J10" s="101">
        <f>'Import material detail'!J14</f>
        <v>515</v>
      </c>
      <c r="K10" s="101">
        <f>'Import material detail'!K14</f>
        <v>578</v>
      </c>
      <c r="L10" s="101">
        <v>596</v>
      </c>
      <c r="M10" s="111">
        <v>781</v>
      </c>
      <c r="N10" s="111">
        <v>788</v>
      </c>
      <c r="O10" s="111">
        <v>635</v>
      </c>
      <c r="P10" s="111">
        <v>381</v>
      </c>
      <c r="Q10" s="111">
        <v>331</v>
      </c>
      <c r="R10" s="111">
        <v>358</v>
      </c>
      <c r="S10" s="111">
        <v>289</v>
      </c>
      <c r="T10" s="111">
        <v>336</v>
      </c>
      <c r="U10" s="111">
        <f>'Debit Summary'!A10+'Debit Summary'!B10+'Debit Summary'!C10+'Debit Summary'!D10+'Debit Summary'!E10+'Debit Summary'!G10</f>
        <v>531</v>
      </c>
    </row>
    <row r="11" spans="1:30" ht="28.5" customHeight="1">
      <c r="A11" s="774"/>
      <c r="B11" s="50"/>
      <c r="C11" s="14" t="s">
        <v>11</v>
      </c>
      <c r="D11" s="13">
        <f>D9+D6</f>
        <v>22785.061080915522</v>
      </c>
      <c r="E11" s="13">
        <f>E9+E6</f>
        <v>27028.671568279606</v>
      </c>
      <c r="F11" s="13">
        <f>F9+F6</f>
        <v>30730.240471090976</v>
      </c>
      <c r="G11" s="13">
        <f>G9+G6</f>
        <v>34957.753301165401</v>
      </c>
      <c r="H11" s="97">
        <v>39619.4</v>
      </c>
      <c r="I11" s="13">
        <f t="shared" ref="I11:N11" si="2">I9+I6</f>
        <v>37801.409165349542</v>
      </c>
      <c r="J11" s="13">
        <f t="shared" si="2"/>
        <v>42787.193742424242</v>
      </c>
      <c r="K11" s="13">
        <f t="shared" si="2"/>
        <v>57556.839868751922</v>
      </c>
      <c r="L11" s="13">
        <f t="shared" si="2"/>
        <v>65629.280270628326</v>
      </c>
      <c r="M11" s="13">
        <f t="shared" si="2"/>
        <v>66084.052156662074</v>
      </c>
      <c r="N11" s="13">
        <f t="shared" si="2"/>
        <v>81913.019026846858</v>
      </c>
      <c r="O11" s="13">
        <v>74332.992689931882</v>
      </c>
      <c r="P11" s="13">
        <v>53586.968828662131</v>
      </c>
      <c r="Q11" s="13">
        <v>35601.899597542484</v>
      </c>
      <c r="R11" s="13">
        <v>34173.437616297975</v>
      </c>
      <c r="S11" s="13">
        <v>29403.63682232756</v>
      </c>
      <c r="T11" s="13">
        <v>30790.441735475626</v>
      </c>
      <c r="U11" s="13">
        <f>U9+U6</f>
        <v>40861.480998130588</v>
      </c>
      <c r="W11" s="536"/>
      <c r="X11" s="536"/>
      <c r="Y11" s="536"/>
      <c r="Z11" s="536"/>
      <c r="AA11" s="128"/>
      <c r="AB11" s="112"/>
    </row>
    <row r="12" spans="1:30" ht="29.25" customHeight="1">
      <c r="A12" s="774"/>
      <c r="B12" s="768" t="s">
        <v>10</v>
      </c>
      <c r="C12" s="2" t="s">
        <v>3</v>
      </c>
      <c r="D12" s="7">
        <v>2740.0320000000002</v>
      </c>
      <c r="E12" s="7">
        <v>0</v>
      </c>
      <c r="F12" s="7">
        <v>2795.6730709876542</v>
      </c>
      <c r="G12" s="7">
        <v>0</v>
      </c>
      <c r="H12" s="7" t="s">
        <v>255</v>
      </c>
      <c r="I12" s="7">
        <v>2112.75</v>
      </c>
      <c r="J12" s="7">
        <v>872.82</v>
      </c>
      <c r="K12" s="7">
        <v>1749.4099999999999</v>
      </c>
      <c r="L12" s="7">
        <v>6713.3374178012054</v>
      </c>
      <c r="M12" s="7">
        <v>1061.9926102773989</v>
      </c>
      <c r="N12" s="103">
        <v>5487.0877352417738</v>
      </c>
      <c r="O12" s="103">
        <v>1293.5894313874146</v>
      </c>
      <c r="P12" s="103">
        <v>86.04816373374139</v>
      </c>
      <c r="Q12" s="103">
        <v>0</v>
      </c>
      <c r="R12" s="103">
        <v>13.906383947198725</v>
      </c>
      <c r="S12" s="103">
        <v>544.54526491447643</v>
      </c>
      <c r="T12" s="103">
        <v>1675.7718306066081</v>
      </c>
      <c r="U12" s="103">
        <f>'Debit Summary'!A12+'Debit Summary'!B12+'Debit Summary'!C12+'Debit Summary'!D12+'Debit Summary'!E12+'Debit Summary'!G12</f>
        <v>669.35217392226434</v>
      </c>
      <c r="W12" s="5"/>
      <c r="X12" s="5"/>
      <c r="Y12" s="5"/>
      <c r="Z12" s="135" t="s">
        <v>879</v>
      </c>
      <c r="AA12" s="135" t="s">
        <v>878</v>
      </c>
      <c r="AB12" s="5"/>
    </row>
    <row r="13" spans="1:30" ht="27" customHeight="1">
      <c r="A13" s="774"/>
      <c r="B13" s="767"/>
      <c r="C13" s="6" t="s">
        <v>98</v>
      </c>
      <c r="D13" s="8" t="s">
        <v>116</v>
      </c>
      <c r="E13" s="8" t="s">
        <v>19</v>
      </c>
      <c r="F13" s="8" t="s">
        <v>148</v>
      </c>
      <c r="G13" s="94">
        <v>0</v>
      </c>
      <c r="H13" s="94" t="s">
        <v>255</v>
      </c>
      <c r="I13" s="94">
        <v>5185</v>
      </c>
      <c r="J13" s="94">
        <v>1020</v>
      </c>
      <c r="K13" s="94">
        <v>4260</v>
      </c>
      <c r="L13" s="94">
        <v>14564</v>
      </c>
      <c r="M13" s="94">
        <v>383</v>
      </c>
      <c r="N13" s="94">
        <v>13995</v>
      </c>
      <c r="O13" s="94">
        <v>1293.5894313874146</v>
      </c>
      <c r="P13" s="94">
        <v>0</v>
      </c>
      <c r="Q13" s="94">
        <v>0</v>
      </c>
      <c r="R13" s="94">
        <v>0</v>
      </c>
      <c r="S13" s="94">
        <v>82</v>
      </c>
      <c r="T13" s="94">
        <v>3959</v>
      </c>
      <c r="U13" s="94">
        <f>SUM('Debit Summary'!A13:G13)</f>
        <v>288</v>
      </c>
      <c r="W13" s="757" t="s">
        <v>101</v>
      </c>
      <c r="X13" s="31" t="s">
        <v>1269</v>
      </c>
      <c r="Y13" s="31" t="s">
        <v>1270</v>
      </c>
      <c r="Z13" s="121">
        <f>SUM(Z14:Z133)</f>
        <v>9194.6791625727437</v>
      </c>
      <c r="AA13" s="121">
        <f>SUM(AA14:AA133)</f>
        <v>12000</v>
      </c>
      <c r="AB13" s="38"/>
    </row>
    <row r="14" spans="1:30" ht="24.75" customHeight="1">
      <c r="A14" s="774"/>
      <c r="B14" s="769"/>
      <c r="C14" s="2" t="s">
        <v>4</v>
      </c>
      <c r="D14" s="7">
        <f>240+1279.16</f>
        <v>1519.16</v>
      </c>
      <c r="E14" s="7">
        <v>132</v>
      </c>
      <c r="F14" s="7">
        <v>2523.0516975308642</v>
      </c>
      <c r="G14" s="7">
        <f>244.835501147666+527.81+15.3</f>
        <v>787.94550114766594</v>
      </c>
      <c r="H14" s="96">
        <v>752.28</v>
      </c>
      <c r="I14" s="7">
        <v>1779.4604999999999</v>
      </c>
      <c r="J14" s="7">
        <v>408.91160000000002</v>
      </c>
      <c r="K14" s="7">
        <v>1428.29</v>
      </c>
      <c r="L14" s="7">
        <v>895.02967120482401</v>
      </c>
      <c r="M14" s="7">
        <v>1264.71</v>
      </c>
      <c r="N14" s="103">
        <v>2960.5659358551993</v>
      </c>
      <c r="O14" s="103">
        <v>1801.4837755875672</v>
      </c>
      <c r="P14" s="103">
        <v>887.5050344299932</v>
      </c>
      <c r="Q14" s="103">
        <v>563.72795073554596</v>
      </c>
      <c r="R14" s="103">
        <v>587.94502901794181</v>
      </c>
      <c r="S14" s="103">
        <v>600.85229263852557</v>
      </c>
      <c r="T14" s="103">
        <v>1743.3324344796242</v>
      </c>
      <c r="U14" s="103">
        <f>'Debit Summary'!A14+'Debit Summary'!B14+'Debit Summary'!C14+'Debit Summary'!D14+'Debit Summary'!E14+'Debit Summary'!G14</f>
        <v>608.41933338372007</v>
      </c>
      <c r="W14" s="603" t="s">
        <v>1271</v>
      </c>
      <c r="X14" s="603" t="s">
        <v>2185</v>
      </c>
      <c r="Y14" s="604" t="s">
        <v>940</v>
      </c>
      <c r="Z14" s="605">
        <v>75.866525583856088</v>
      </c>
      <c r="AA14" s="577">
        <v>100</v>
      </c>
      <c r="AB14" s="756" t="s">
        <v>1883</v>
      </c>
    </row>
    <row r="15" spans="1:30" ht="23.25" customHeight="1">
      <c r="A15" s="774"/>
      <c r="B15" s="50"/>
      <c r="C15" s="12" t="s">
        <v>12</v>
      </c>
      <c r="D15" s="13">
        <f>SUM(D12:D14)</f>
        <v>4259.192</v>
      </c>
      <c r="E15" s="13">
        <f>SUM(E12:E14)</f>
        <v>132</v>
      </c>
      <c r="F15" s="13">
        <f>SUM(F12:F14)</f>
        <v>5318.7247685185184</v>
      </c>
      <c r="G15" s="13">
        <f>SUM(G12:G14)</f>
        <v>787.94550114766594</v>
      </c>
      <c r="H15" s="97">
        <v>752.28</v>
      </c>
      <c r="I15" s="13">
        <f t="shared" ref="I15:N15" si="3">I14+I12</f>
        <v>3892.2105000000001</v>
      </c>
      <c r="J15" s="13">
        <f t="shared" si="3"/>
        <v>1281.7316000000001</v>
      </c>
      <c r="K15" s="13">
        <f t="shared" si="3"/>
        <v>3177.7</v>
      </c>
      <c r="L15" s="13">
        <f t="shared" si="3"/>
        <v>7608.3670890060293</v>
      </c>
      <c r="M15" s="13">
        <f t="shared" si="3"/>
        <v>2326.7026102773989</v>
      </c>
      <c r="N15" s="13">
        <f t="shared" si="3"/>
        <v>8447.653671096974</v>
      </c>
      <c r="O15" s="13">
        <v>3095.073206974982</v>
      </c>
      <c r="P15" s="13">
        <v>973.55319816373458</v>
      </c>
      <c r="Q15" s="13">
        <v>563.72795073554596</v>
      </c>
      <c r="R15" s="13">
        <v>601.85141296514053</v>
      </c>
      <c r="S15" s="13">
        <v>1145.3975575530021</v>
      </c>
      <c r="T15" s="13">
        <v>3419.1042650862323</v>
      </c>
      <c r="U15" s="13">
        <f>U14+U12</f>
        <v>1277.7715073059844</v>
      </c>
      <c r="W15" s="603" t="s">
        <v>1271</v>
      </c>
      <c r="X15" s="603" t="s">
        <v>2187</v>
      </c>
      <c r="Y15" s="604" t="s">
        <v>940</v>
      </c>
      <c r="Z15" s="606">
        <v>75.866525583856088</v>
      </c>
      <c r="AA15" s="577">
        <v>100</v>
      </c>
      <c r="AB15" s="756" t="s">
        <v>1883</v>
      </c>
    </row>
    <row r="16" spans="1:30" ht="24" customHeight="1">
      <c r="A16" s="774"/>
      <c r="B16" s="11"/>
      <c r="C16" s="9" t="s">
        <v>5</v>
      </c>
      <c r="D16" s="91"/>
      <c r="E16" s="91"/>
      <c r="F16" s="91">
        <v>2320</v>
      </c>
      <c r="G16" s="91"/>
      <c r="H16" s="98">
        <v>819.98</v>
      </c>
      <c r="I16" s="91">
        <v>1880</v>
      </c>
      <c r="J16" s="91"/>
      <c r="K16" s="91">
        <v>565.04</v>
      </c>
      <c r="L16" s="91">
        <v>1175.622890515378</v>
      </c>
      <c r="M16" s="91"/>
      <c r="N16" s="91">
        <v>965.57991593774898</v>
      </c>
      <c r="O16" s="91"/>
      <c r="P16" s="91"/>
      <c r="Q16" s="91"/>
      <c r="R16" s="91"/>
      <c r="S16" s="91"/>
      <c r="T16" s="91"/>
      <c r="U16" s="91">
        <f>22000000/AD1</f>
        <v>831.38084800846502</v>
      </c>
      <c r="W16" s="603" t="s">
        <v>1271</v>
      </c>
      <c r="X16" s="603" t="s">
        <v>2189</v>
      </c>
      <c r="Y16" s="604" t="s">
        <v>940</v>
      </c>
      <c r="Z16" s="606">
        <v>75.866525583856088</v>
      </c>
      <c r="AA16" s="577">
        <v>100</v>
      </c>
      <c r="AB16" s="756" t="s">
        <v>1883</v>
      </c>
    </row>
    <row r="17" spans="1:29" s="4" customFormat="1" ht="32.25" customHeight="1" thickBot="1">
      <c r="A17" s="775"/>
      <c r="B17" s="647" t="s">
        <v>6</v>
      </c>
      <c r="C17" s="648"/>
      <c r="D17" s="649">
        <f t="shared" ref="D17:N17" si="4">D11+D15+D16</f>
        <v>27044.253080915521</v>
      </c>
      <c r="E17" s="649">
        <f t="shared" si="4"/>
        <v>27160.671568279606</v>
      </c>
      <c r="F17" s="649">
        <f t="shared" si="4"/>
        <v>38368.965239609497</v>
      </c>
      <c r="G17" s="649">
        <f t="shared" si="4"/>
        <v>35745.698802313069</v>
      </c>
      <c r="H17" s="649">
        <f t="shared" si="4"/>
        <v>41191.660000000003</v>
      </c>
      <c r="I17" s="649">
        <f t="shared" si="4"/>
        <v>43573.619665349543</v>
      </c>
      <c r="J17" s="649">
        <f t="shared" si="4"/>
        <v>44068.925342424242</v>
      </c>
      <c r="K17" s="649">
        <f t="shared" si="4"/>
        <v>61299.57986875192</v>
      </c>
      <c r="L17" s="649">
        <f t="shared" si="4"/>
        <v>74413.270250149741</v>
      </c>
      <c r="M17" s="649">
        <f t="shared" si="4"/>
        <v>68410.75476693947</v>
      </c>
      <c r="N17" s="649">
        <f t="shared" si="4"/>
        <v>91326.252613881588</v>
      </c>
      <c r="O17" s="649">
        <v>77428.065896906861</v>
      </c>
      <c r="P17" s="649">
        <v>54560.522026825864</v>
      </c>
      <c r="Q17" s="649">
        <v>36165.627548278033</v>
      </c>
      <c r="R17" s="649">
        <v>34775.289029263113</v>
      </c>
      <c r="S17" s="649">
        <v>30549.034379880562</v>
      </c>
      <c r="T17" s="649">
        <v>34209.546000561859</v>
      </c>
      <c r="U17" s="649">
        <f>U11+U15+U16</f>
        <v>42970.633353445031</v>
      </c>
      <c r="W17" s="603" t="s">
        <v>1271</v>
      </c>
      <c r="X17" s="603" t="s">
        <v>2191</v>
      </c>
      <c r="Y17" s="604" t="s">
        <v>940</v>
      </c>
      <c r="Z17" s="606">
        <v>75.866525583856088</v>
      </c>
      <c r="AA17" s="577">
        <v>100</v>
      </c>
      <c r="AB17" s="756" t="s">
        <v>1883</v>
      </c>
      <c r="AC17"/>
    </row>
    <row r="18" spans="1:29" ht="55.5" customHeight="1">
      <c r="A18" s="773" t="s">
        <v>7</v>
      </c>
      <c r="B18" s="766" t="s">
        <v>1272</v>
      </c>
      <c r="C18" s="652" t="s">
        <v>3</v>
      </c>
      <c r="D18" s="636">
        <v>1742</v>
      </c>
      <c r="E18" s="636">
        <v>400.37184000000002</v>
      </c>
      <c r="F18" s="636">
        <v>353.82889660493828</v>
      </c>
      <c r="G18" s="636">
        <v>157.56094108645755</v>
      </c>
      <c r="H18" s="636">
        <v>221.76338672768901</v>
      </c>
      <c r="I18" s="636">
        <v>402.85</v>
      </c>
      <c r="J18" s="636">
        <f>737.03+2202.92</f>
        <v>2939.95</v>
      </c>
      <c r="K18" s="636">
        <v>308.84042030464502</v>
      </c>
      <c r="L18" s="636">
        <v>1888.9864234517804</v>
      </c>
      <c r="M18" s="636">
        <v>2401.1000454752202</v>
      </c>
      <c r="N18" s="653">
        <f>1219.9066716305-35.12</f>
        <v>1184.7866716305002</v>
      </c>
      <c r="O18" s="653">
        <v>4463.5948951592109</v>
      </c>
      <c r="P18" s="653">
        <v>475.29078041315989</v>
      </c>
      <c r="Q18" s="653">
        <v>129.64758429315393</v>
      </c>
      <c r="R18" s="653">
        <v>330.67037135379132</v>
      </c>
      <c r="S18" s="653">
        <v>253.60431600106193</v>
      </c>
      <c r="T18" s="653">
        <v>1156.3564232692015</v>
      </c>
      <c r="U18" s="653">
        <f>'Debit Summary'!A18+'Debit Summary'!B18+'Debit Summary'!C18+'Debit Summary'!D18+'Debit Summary'!E18+'Debit Summary'!G18</f>
        <v>354.56802206938255</v>
      </c>
      <c r="W18" s="603" t="s">
        <v>1271</v>
      </c>
      <c r="X18" s="603" t="s">
        <v>2193</v>
      </c>
      <c r="Y18" s="604" t="s">
        <v>940</v>
      </c>
      <c r="Z18" s="606">
        <v>75.866525583856088</v>
      </c>
      <c r="AA18" s="577">
        <v>100</v>
      </c>
      <c r="AB18" s="756" t="s">
        <v>1883</v>
      </c>
    </row>
    <row r="19" spans="1:29" ht="26.25" customHeight="1">
      <c r="A19" s="774"/>
      <c r="B19" s="767"/>
      <c r="C19" s="6" t="s">
        <v>9</v>
      </c>
      <c r="D19" s="8" t="s">
        <v>112</v>
      </c>
      <c r="E19" s="8" t="s">
        <v>126</v>
      </c>
      <c r="F19" s="8" t="s">
        <v>133</v>
      </c>
      <c r="G19" s="8" t="s">
        <v>149</v>
      </c>
      <c r="H19" s="8" t="s">
        <v>153</v>
      </c>
      <c r="I19" s="8" t="s">
        <v>165</v>
      </c>
      <c r="J19" s="94">
        <v>330</v>
      </c>
      <c r="K19" s="94">
        <v>22.2</v>
      </c>
      <c r="L19" s="94" t="s">
        <v>470</v>
      </c>
      <c r="M19" s="94">
        <v>379.9</v>
      </c>
      <c r="N19" s="99">
        <v>103.2</v>
      </c>
      <c r="O19" s="99">
        <v>1225.9000000000001</v>
      </c>
      <c r="P19" s="99">
        <v>41.4</v>
      </c>
      <c r="Q19" s="99">
        <v>8.4</v>
      </c>
      <c r="R19" s="99">
        <v>34.299999999999997</v>
      </c>
      <c r="S19" s="99">
        <v>21.1</v>
      </c>
      <c r="T19" s="99">
        <v>121</v>
      </c>
      <c r="U19" s="99">
        <f>SUM('Debit Summary'!A19:G19)</f>
        <v>27</v>
      </c>
      <c r="W19" s="603" t="s">
        <v>1271</v>
      </c>
      <c r="X19" s="343" t="s">
        <v>2195</v>
      </c>
      <c r="Y19" s="604" t="s">
        <v>940</v>
      </c>
      <c r="Z19" s="607">
        <v>75.866525583856088</v>
      </c>
      <c r="AA19" s="577">
        <v>100</v>
      </c>
      <c r="AB19" s="756" t="s">
        <v>1883</v>
      </c>
    </row>
    <row r="20" spans="1:29" ht="24" customHeight="1">
      <c r="A20" s="774"/>
      <c r="B20" s="769"/>
      <c r="C20" s="9" t="s">
        <v>4</v>
      </c>
      <c r="D20" s="7">
        <f>4190000/25000</f>
        <v>167.6</v>
      </c>
      <c r="E20" s="7">
        <f>2180000/25000</f>
        <v>87.2</v>
      </c>
      <c r="F20" s="7">
        <v>208.71913580246914</v>
      </c>
      <c r="G20" s="7">
        <f>2410000/26140</f>
        <v>92.19586840091813</v>
      </c>
      <c r="H20" s="7">
        <v>234.17238749046501</v>
      </c>
      <c r="I20" s="7">
        <v>82.83</v>
      </c>
      <c r="J20" s="7">
        <v>201.89393939393941</v>
      </c>
      <c r="K20" s="7">
        <v>130.33000000000001</v>
      </c>
      <c r="L20" s="7">
        <f>1930000/26369</f>
        <v>73.192005764344501</v>
      </c>
      <c r="M20" s="7">
        <f>4110000/26388</f>
        <v>155.75261482492041</v>
      </c>
      <c r="N20" s="136">
        <v>264.68249460411221</v>
      </c>
      <c r="O20" s="136">
        <v>181.57695223654287</v>
      </c>
      <c r="P20" s="136">
        <v>136.18974751338945</v>
      </c>
      <c r="Q20" s="136">
        <v>221.23389211996806</v>
      </c>
      <c r="R20" s="136">
        <v>193.07362591510832</v>
      </c>
      <c r="S20" s="136">
        <v>193.04433572268366</v>
      </c>
      <c r="T20" s="136">
        <v>140.50901378579005</v>
      </c>
      <c r="U20" s="136">
        <f>'Debit Summary'!A20+'Debit Summary'!B20+'Debit Summary'!C20+'Debit Summary'!D20+'Debit Summary'!E20+'Debit Summary'!G20</f>
        <v>239.9667447660797</v>
      </c>
      <c r="W20" s="603" t="s">
        <v>1271</v>
      </c>
      <c r="X20" s="343" t="s">
        <v>2197</v>
      </c>
      <c r="Y20" s="604" t="s">
        <v>940</v>
      </c>
      <c r="Z20" s="607">
        <v>75.866525583856088</v>
      </c>
      <c r="AA20" s="577">
        <v>100</v>
      </c>
      <c r="AB20" s="756" t="s">
        <v>1883</v>
      </c>
    </row>
    <row r="21" spans="1:29" ht="28.9" customHeight="1">
      <c r="A21" s="774"/>
      <c r="B21" s="50"/>
      <c r="C21" s="15" t="s">
        <v>13</v>
      </c>
      <c r="D21" s="13">
        <f>SUM(D18:D20)</f>
        <v>1909.6</v>
      </c>
      <c r="E21" s="13">
        <f>SUM(E18:E20)</f>
        <v>487.57184000000001</v>
      </c>
      <c r="F21" s="13">
        <f>SUM(F18:F20)</f>
        <v>562.54803240740739</v>
      </c>
      <c r="G21" s="13">
        <f>SUM(G18:G20)</f>
        <v>249.75680948737568</v>
      </c>
      <c r="H21" s="13">
        <f>SUM(H18:H20)</f>
        <v>455.93577421815405</v>
      </c>
      <c r="I21" s="13">
        <f t="shared" ref="I21:N21" si="5">I20+I18</f>
        <v>485.68</v>
      </c>
      <c r="J21" s="13">
        <f t="shared" si="5"/>
        <v>3141.8439393939393</v>
      </c>
      <c r="K21" s="13">
        <f t="shared" si="5"/>
        <v>439.17042030464506</v>
      </c>
      <c r="L21" s="13">
        <f t="shared" si="5"/>
        <v>1962.1784292161249</v>
      </c>
      <c r="M21" s="13">
        <f t="shared" si="5"/>
        <v>2556.8526603001405</v>
      </c>
      <c r="N21" s="13">
        <f t="shared" si="5"/>
        <v>1449.4691662346124</v>
      </c>
      <c r="O21" s="13">
        <v>4645.1718473957535</v>
      </c>
      <c r="P21" s="13">
        <v>611.48052792654937</v>
      </c>
      <c r="Q21" s="13">
        <v>350.88147641312196</v>
      </c>
      <c r="R21" s="13">
        <v>523.74399726889965</v>
      </c>
      <c r="S21" s="13">
        <v>446.64865172374562</v>
      </c>
      <c r="T21" s="13">
        <v>1296.8654370549916</v>
      </c>
      <c r="U21" s="13">
        <f>U20+U18</f>
        <v>594.53476683546228</v>
      </c>
      <c r="W21" s="603" t="s">
        <v>1271</v>
      </c>
      <c r="X21" s="343" t="s">
        <v>2199</v>
      </c>
      <c r="Y21" s="604" t="s">
        <v>940</v>
      </c>
      <c r="Z21" s="607">
        <v>75.866525583856088</v>
      </c>
      <c r="AA21" s="577">
        <v>100</v>
      </c>
      <c r="AB21" s="756" t="s">
        <v>1883</v>
      </c>
      <c r="AC21" s="95"/>
    </row>
    <row r="22" spans="1:29" s="5" customFormat="1" ht="24" customHeight="1">
      <c r="A22" s="774"/>
      <c r="B22" s="776" t="s">
        <v>843</v>
      </c>
      <c r="C22" s="130" t="s">
        <v>3</v>
      </c>
      <c r="D22" s="61">
        <v>101</v>
      </c>
      <c r="E22" s="61">
        <v>58.713160000000002</v>
      </c>
      <c r="F22" s="61">
        <v>81.018518518518519</v>
      </c>
      <c r="G22" s="61">
        <v>0</v>
      </c>
      <c r="H22" s="61">
        <v>8129.72</v>
      </c>
      <c r="I22" s="61">
        <v>0</v>
      </c>
      <c r="J22" s="61">
        <v>50.734670183712119</v>
      </c>
      <c r="K22" s="61">
        <v>0</v>
      </c>
      <c r="L22" s="61">
        <v>0</v>
      </c>
      <c r="M22" s="61">
        <v>0</v>
      </c>
      <c r="N22" s="61">
        <v>0</v>
      </c>
      <c r="O22" s="61">
        <v>1755.0861908718725</v>
      </c>
      <c r="P22" s="61">
        <v>28.417521040550881</v>
      </c>
      <c r="Q22" s="61">
        <v>28.724407952256055</v>
      </c>
      <c r="R22" s="61">
        <v>1974.1018852179193</v>
      </c>
      <c r="S22" s="61">
        <v>22.441991883794138</v>
      </c>
      <c r="T22" s="61">
        <v>0</v>
      </c>
      <c r="U22" s="61">
        <f>'Debit Summary'!A22+'Debit Summary'!B22+'Debit Summary'!C22+'Debit Summary'!D22+'Debit Summary'!E22+'Debit Summary'!G22</f>
        <v>0</v>
      </c>
      <c r="V22"/>
      <c r="W22" s="603" t="s">
        <v>1271</v>
      </c>
      <c r="X22" s="343" t="s">
        <v>2201</v>
      </c>
      <c r="Y22" s="604" t="s">
        <v>940</v>
      </c>
      <c r="Z22" s="607">
        <v>75.866525583856088</v>
      </c>
      <c r="AA22" s="577">
        <v>100</v>
      </c>
      <c r="AB22" s="756" t="s">
        <v>1883</v>
      </c>
      <c r="AC22"/>
    </row>
    <row r="23" spans="1:29" s="5" customFormat="1" ht="30.75" customHeight="1">
      <c r="A23" s="774"/>
      <c r="B23" s="777"/>
      <c r="C23" s="132" t="s">
        <v>9</v>
      </c>
      <c r="D23" s="133" t="s">
        <v>113</v>
      </c>
      <c r="E23" s="133" t="s">
        <v>127</v>
      </c>
      <c r="F23" s="133" t="s">
        <v>134</v>
      </c>
      <c r="G23" s="99">
        <v>0</v>
      </c>
      <c r="H23" s="99" t="s">
        <v>154</v>
      </c>
      <c r="I23" s="99" t="s">
        <v>19</v>
      </c>
      <c r="J23" s="99">
        <v>0.60000000000000009</v>
      </c>
      <c r="K23" s="99">
        <v>0</v>
      </c>
      <c r="L23" s="99">
        <v>0</v>
      </c>
      <c r="M23" s="99">
        <v>0</v>
      </c>
      <c r="N23" s="99">
        <v>0</v>
      </c>
      <c r="O23" s="99">
        <v>2.7</v>
      </c>
      <c r="P23" s="99">
        <v>1.1000000000000001</v>
      </c>
      <c r="Q23" s="99">
        <v>0.8</v>
      </c>
      <c r="R23" s="99">
        <v>249.6</v>
      </c>
      <c r="S23" s="99">
        <v>0.3</v>
      </c>
      <c r="T23" s="99">
        <v>0</v>
      </c>
      <c r="U23" s="99">
        <f>SUM('Debit Summary'!A23:G23)</f>
        <v>0</v>
      </c>
      <c r="V23"/>
      <c r="W23" s="603" t="s">
        <v>1271</v>
      </c>
      <c r="X23" s="343" t="s">
        <v>2203</v>
      </c>
      <c r="Y23" s="604" t="s">
        <v>940</v>
      </c>
      <c r="Z23" s="122">
        <v>75.866525583856088</v>
      </c>
      <c r="AA23" s="577">
        <v>100</v>
      </c>
      <c r="AB23" s="756" t="s">
        <v>1883</v>
      </c>
      <c r="AC23"/>
    </row>
    <row r="24" spans="1:29" s="5" customFormat="1" ht="30" customHeight="1">
      <c r="A24" s="774"/>
      <c r="B24" s="778"/>
      <c r="C24" s="130" t="s">
        <v>4</v>
      </c>
      <c r="D24" s="61">
        <f>2000000/25000</f>
        <v>80</v>
      </c>
      <c r="E24" s="61">
        <f>7890000/25000</f>
        <v>315.60000000000002</v>
      </c>
      <c r="F24" s="61">
        <v>136.18827160493825</v>
      </c>
      <c r="G24" s="61">
        <f>3200000/26140</f>
        <v>122.4177505738332</v>
      </c>
      <c r="H24" s="61">
        <v>195.65217391304347</v>
      </c>
      <c r="I24" s="61">
        <v>121.58</v>
      </c>
      <c r="J24" s="61">
        <v>203.78787878787878</v>
      </c>
      <c r="K24" s="61">
        <v>210.95</v>
      </c>
      <c r="L24" s="61">
        <f>(19130000+700000)/26369</f>
        <v>752.01941673935301</v>
      </c>
      <c r="M24" s="61">
        <f>18108000/26388</f>
        <v>686.22100954979533</v>
      </c>
      <c r="N24" s="61">
        <f>1179.50202582453+339.74</f>
        <v>1519.2420258245299</v>
      </c>
      <c r="O24" s="61">
        <v>794.9442759666415</v>
      </c>
      <c r="P24" s="61">
        <v>622.55761285386382</v>
      </c>
      <c r="Q24" s="61">
        <v>508.60987569848373</v>
      </c>
      <c r="R24" s="61">
        <v>529.15070363767393</v>
      </c>
      <c r="S24" s="61">
        <v>383.43383775173527</v>
      </c>
      <c r="T24" s="61">
        <v>285.18406302075442</v>
      </c>
      <c r="U24" s="61">
        <f>'Debit Summary'!A24+'Debit Summary'!B24+'Debit Summary'!C24+'Debit Summary'!D24+'Debit Summary'!E24+'Debit Summary'!G24</f>
        <v>211.6242158567002</v>
      </c>
      <c r="V24"/>
      <c r="W24" s="603" t="s">
        <v>1271</v>
      </c>
      <c r="X24" s="343" t="s">
        <v>2205</v>
      </c>
      <c r="Y24" s="604" t="s">
        <v>940</v>
      </c>
      <c r="Z24" s="597">
        <v>75.866525583856088</v>
      </c>
      <c r="AA24" s="577">
        <v>100</v>
      </c>
      <c r="AB24" s="756" t="s">
        <v>1883</v>
      </c>
      <c r="AC24"/>
    </row>
    <row r="25" spans="1:29" ht="30" customHeight="1">
      <c r="A25" s="774"/>
      <c r="B25" s="50"/>
      <c r="C25" s="15" t="s">
        <v>100</v>
      </c>
      <c r="D25" s="13">
        <f>SUM(D22:D24)</f>
        <v>181</v>
      </c>
      <c r="E25" s="13">
        <f>SUM(E22:E24)</f>
        <v>374.31316000000004</v>
      </c>
      <c r="F25" s="13">
        <f>SUM(F22:F24)</f>
        <v>217.20679012345676</v>
      </c>
      <c r="G25" s="13">
        <f>SUM(G22:G24)</f>
        <v>122.4177505738332</v>
      </c>
      <c r="H25" s="13">
        <f>SUM(H22:H24)</f>
        <v>8325.3721739130433</v>
      </c>
      <c r="I25" s="13">
        <f t="shared" ref="I25:N25" si="6">I24+I22</f>
        <v>121.58</v>
      </c>
      <c r="J25" s="13">
        <f t="shared" si="6"/>
        <v>254.52254897159091</v>
      </c>
      <c r="K25" s="13">
        <f t="shared" si="6"/>
        <v>210.95</v>
      </c>
      <c r="L25" s="13">
        <f t="shared" si="6"/>
        <v>752.01941673935301</v>
      </c>
      <c r="M25" s="13">
        <f t="shared" si="6"/>
        <v>686.22100954979533</v>
      </c>
      <c r="N25" s="13">
        <f t="shared" si="6"/>
        <v>1519.2420258245299</v>
      </c>
      <c r="O25" s="13">
        <v>2550.0304668385143</v>
      </c>
      <c r="P25" s="13">
        <v>650.97513389441474</v>
      </c>
      <c r="Q25" s="13">
        <v>537.33428365073974</v>
      </c>
      <c r="R25" s="13">
        <v>2503.2525888555933</v>
      </c>
      <c r="S25" s="13">
        <v>405.87582963552939</v>
      </c>
      <c r="T25" s="13">
        <v>285.18406302075442</v>
      </c>
      <c r="U25" s="13">
        <f>U24+U22</f>
        <v>211.6242158567002</v>
      </c>
      <c r="W25" s="603" t="s">
        <v>1271</v>
      </c>
      <c r="X25" s="343" t="s">
        <v>2207</v>
      </c>
      <c r="Y25" s="604" t="s">
        <v>940</v>
      </c>
      <c r="Z25" s="597">
        <v>75.866525583856088</v>
      </c>
      <c r="AA25" s="577">
        <v>100</v>
      </c>
      <c r="AB25" s="756" t="s">
        <v>1883</v>
      </c>
    </row>
    <row r="26" spans="1:29" ht="30" customHeight="1">
      <c r="A26" s="774"/>
      <c r="B26" s="768" t="s">
        <v>93</v>
      </c>
      <c r="C26" s="9" t="s">
        <v>3</v>
      </c>
      <c r="D26" s="7">
        <v>82</v>
      </c>
      <c r="E26" s="7">
        <v>210.99108000000001</v>
      </c>
      <c r="F26" s="7">
        <v>198.15987654321</v>
      </c>
      <c r="G26" s="7">
        <v>88</v>
      </c>
      <c r="H26" s="7">
        <v>77.493630816170864</v>
      </c>
      <c r="I26" s="7">
        <v>0</v>
      </c>
      <c r="J26" s="7">
        <v>0</v>
      </c>
      <c r="K26" s="7">
        <v>52.3</v>
      </c>
      <c r="L26" s="7">
        <v>0</v>
      </c>
      <c r="M26" s="7">
        <v>0</v>
      </c>
      <c r="N26" s="7">
        <v>0</v>
      </c>
      <c r="O26" s="7">
        <v>0</v>
      </c>
      <c r="P26" s="7">
        <v>0</v>
      </c>
      <c r="Q26" s="7">
        <v>0</v>
      </c>
      <c r="R26" s="7">
        <v>0</v>
      </c>
      <c r="S26" s="7">
        <v>0</v>
      </c>
      <c r="T26" s="7">
        <v>0</v>
      </c>
      <c r="U26" s="7">
        <f>'Debit Summary'!A26+'Debit Summary'!B26+'Debit Summary'!C26+'Debit Summary'!D26+'Debit Summary'!E26+'Debit Summary'!G26</f>
        <v>0</v>
      </c>
      <c r="W26" s="603" t="s">
        <v>1271</v>
      </c>
      <c r="X26" s="343" t="s">
        <v>2209</v>
      </c>
      <c r="Y26" s="604" t="s">
        <v>940</v>
      </c>
      <c r="Z26" s="606">
        <v>75.866525583856088</v>
      </c>
      <c r="AA26" s="577">
        <v>100</v>
      </c>
      <c r="AB26" s="756" t="s">
        <v>1883</v>
      </c>
    </row>
    <row r="27" spans="1:29" ht="30" customHeight="1">
      <c r="A27" s="774"/>
      <c r="B27" s="767"/>
      <c r="C27" s="6" t="s">
        <v>9</v>
      </c>
      <c r="D27" s="8" t="s">
        <v>114</v>
      </c>
      <c r="E27" s="8" t="s">
        <v>128</v>
      </c>
      <c r="F27" s="8" t="s">
        <v>135</v>
      </c>
      <c r="G27" s="8" t="s">
        <v>104</v>
      </c>
      <c r="H27" s="8" t="s">
        <v>155</v>
      </c>
      <c r="I27" s="8" t="s">
        <v>19</v>
      </c>
      <c r="J27" s="94">
        <v>0</v>
      </c>
      <c r="K27" s="94">
        <v>2.4</v>
      </c>
      <c r="L27" s="94">
        <v>0</v>
      </c>
      <c r="M27" s="94">
        <v>0</v>
      </c>
      <c r="N27" s="94">
        <v>0</v>
      </c>
      <c r="O27" s="94"/>
      <c r="P27" s="94"/>
      <c r="Q27" s="94"/>
      <c r="R27" s="94"/>
      <c r="S27" s="94"/>
      <c r="T27" s="94"/>
      <c r="U27" s="94">
        <f>SUM('Debit Summary'!A27:G27)</f>
        <v>0</v>
      </c>
      <c r="W27" s="603" t="s">
        <v>1271</v>
      </c>
      <c r="X27" s="343" t="s">
        <v>2211</v>
      </c>
      <c r="Y27" s="604" t="s">
        <v>940</v>
      </c>
      <c r="Z27" s="606">
        <v>75.866525583856088</v>
      </c>
      <c r="AA27" s="577">
        <v>100</v>
      </c>
      <c r="AB27" s="756" t="s">
        <v>1883</v>
      </c>
    </row>
    <row r="28" spans="1:29" ht="30" customHeight="1">
      <c r="A28" s="774"/>
      <c r="B28" s="769"/>
      <c r="C28" s="9" t="s">
        <v>4</v>
      </c>
      <c r="D28" s="7">
        <f>3450000/25000</f>
        <v>138</v>
      </c>
      <c r="E28" s="7">
        <f>1930000/25000</f>
        <v>77.2</v>
      </c>
      <c r="F28" s="7">
        <v>74.459876543209873</v>
      </c>
      <c r="G28" s="7">
        <f>1930000/26140</f>
        <v>73.833205814843154</v>
      </c>
      <c r="H28" s="7">
        <v>24.790236460717011</v>
      </c>
      <c r="I28" s="7">
        <v>15.2</v>
      </c>
      <c r="J28" s="7">
        <v>0</v>
      </c>
      <c r="K28" s="7">
        <v>24.484875880513805</v>
      </c>
      <c r="L28" s="7" t="s">
        <v>383</v>
      </c>
      <c r="M28" s="7" t="s">
        <v>383</v>
      </c>
      <c r="N28" s="7" t="s">
        <v>383</v>
      </c>
      <c r="O28" s="7" t="s">
        <v>383</v>
      </c>
      <c r="P28" s="7" t="s">
        <v>383</v>
      </c>
      <c r="Q28" s="7" t="s">
        <v>383</v>
      </c>
      <c r="R28" s="7" t="s">
        <v>383</v>
      </c>
      <c r="S28" s="7" t="s">
        <v>383</v>
      </c>
      <c r="T28" s="7" t="s">
        <v>383</v>
      </c>
      <c r="U28" s="7" t="s">
        <v>383</v>
      </c>
      <c r="W28" s="603" t="s">
        <v>1271</v>
      </c>
      <c r="X28" s="343" t="s">
        <v>2213</v>
      </c>
      <c r="Y28" s="604" t="s">
        <v>940</v>
      </c>
      <c r="Z28" s="606">
        <v>75.866525583856088</v>
      </c>
      <c r="AA28" s="577">
        <v>100</v>
      </c>
      <c r="AB28" s="756" t="s">
        <v>1883</v>
      </c>
    </row>
    <row r="29" spans="1:29" ht="30" customHeight="1">
      <c r="A29" s="774"/>
      <c r="B29" s="52"/>
      <c r="C29" s="15" t="s">
        <v>102</v>
      </c>
      <c r="D29" s="13">
        <f t="shared" ref="D29:N29" si="7">SUM(D26:D28)</f>
        <v>220</v>
      </c>
      <c r="E29" s="13">
        <f t="shared" si="7"/>
        <v>288.19108</v>
      </c>
      <c r="F29" s="13">
        <f t="shared" si="7"/>
        <v>272.61975308641991</v>
      </c>
      <c r="G29" s="13">
        <f t="shared" si="7"/>
        <v>161.83320581484315</v>
      </c>
      <c r="H29" s="13">
        <f t="shared" si="7"/>
        <v>102.28386727688788</v>
      </c>
      <c r="I29" s="13">
        <f t="shared" si="7"/>
        <v>15.2</v>
      </c>
      <c r="J29" s="13">
        <f t="shared" si="7"/>
        <v>0</v>
      </c>
      <c r="K29" s="13">
        <f t="shared" si="7"/>
        <v>79.1848758805138</v>
      </c>
      <c r="L29" s="13">
        <f t="shared" si="7"/>
        <v>0</v>
      </c>
      <c r="M29" s="13">
        <f t="shared" si="7"/>
        <v>0</v>
      </c>
      <c r="N29" s="13">
        <f t="shared" si="7"/>
        <v>0</v>
      </c>
      <c r="O29" s="13">
        <v>0</v>
      </c>
      <c r="P29" s="13">
        <v>0</v>
      </c>
      <c r="Q29" s="13">
        <v>0</v>
      </c>
      <c r="R29" s="13">
        <v>0</v>
      </c>
      <c r="S29" s="13">
        <v>0</v>
      </c>
      <c r="T29" s="13">
        <v>0</v>
      </c>
      <c r="U29" s="13">
        <f>SUM(U26:U28)</f>
        <v>0</v>
      </c>
      <c r="W29" s="603" t="s">
        <v>1271</v>
      </c>
      <c r="X29" s="343" t="s">
        <v>2215</v>
      </c>
      <c r="Y29" s="604" t="s">
        <v>940</v>
      </c>
      <c r="Z29" s="606">
        <v>75.866525583856088</v>
      </c>
      <c r="AA29" s="577">
        <v>100</v>
      </c>
      <c r="AB29" s="756" t="s">
        <v>1883</v>
      </c>
    </row>
    <row r="30" spans="1:29" ht="30" customHeight="1">
      <c r="A30" s="774"/>
      <c r="B30" s="768" t="s">
        <v>21</v>
      </c>
      <c r="C30" s="9" t="s">
        <v>22</v>
      </c>
      <c r="D30" s="7">
        <v>0</v>
      </c>
      <c r="E30" s="7">
        <v>0</v>
      </c>
      <c r="F30" s="7">
        <v>228.65327932098765</v>
      </c>
      <c r="G30" s="7">
        <v>0</v>
      </c>
      <c r="H30" s="7">
        <v>0</v>
      </c>
      <c r="I30" s="7">
        <f>109.42+1540.17</f>
        <v>1649.5900000000001</v>
      </c>
      <c r="J30" s="7">
        <f>103.64+391.75</f>
        <v>495.39</v>
      </c>
      <c r="K30" s="7">
        <v>772.93</v>
      </c>
      <c r="L30" s="7">
        <v>0</v>
      </c>
      <c r="M30" s="7">
        <v>0</v>
      </c>
      <c r="N30" s="7"/>
      <c r="O30" s="7">
        <v>0</v>
      </c>
      <c r="P30" s="7">
        <v>873.91243305279272</v>
      </c>
      <c r="Q30" s="7">
        <v>72.426008286767782</v>
      </c>
      <c r="R30" s="7">
        <v>0</v>
      </c>
      <c r="S30" s="7">
        <v>0</v>
      </c>
      <c r="T30" s="7">
        <v>0</v>
      </c>
      <c r="U30" s="7">
        <f>'Debit Summary'!A30+'Debit Summary'!B30+'Debit Summary'!C30+'Debit Summary'!D30+'Debit Summary'!E30+'Debit Summary'!G30</f>
        <v>0</v>
      </c>
      <c r="W30" s="603" t="s">
        <v>1271</v>
      </c>
      <c r="X30" s="343" t="s">
        <v>2217</v>
      </c>
      <c r="Y30" s="604" t="s">
        <v>940</v>
      </c>
      <c r="Z30" s="606">
        <v>75.866525583856088</v>
      </c>
      <c r="AA30" s="577">
        <v>100</v>
      </c>
      <c r="AB30" s="756" t="s">
        <v>1883</v>
      </c>
    </row>
    <row r="31" spans="1:29" s="95" customFormat="1" ht="30" customHeight="1">
      <c r="A31" s="774"/>
      <c r="B31" s="767"/>
      <c r="C31" s="49" t="s">
        <v>9</v>
      </c>
      <c r="D31" s="94">
        <v>0</v>
      </c>
      <c r="E31" s="94">
        <v>0</v>
      </c>
      <c r="F31" s="8" t="s">
        <v>136</v>
      </c>
      <c r="G31" s="8"/>
      <c r="H31" s="8"/>
      <c r="I31" s="8" t="s">
        <v>167</v>
      </c>
      <c r="J31" s="94">
        <v>9.1999999999999993</v>
      </c>
      <c r="K31" s="94">
        <v>61.5</v>
      </c>
      <c r="L31" s="94">
        <v>0</v>
      </c>
      <c r="M31" s="94">
        <v>0</v>
      </c>
      <c r="N31" s="94"/>
      <c r="O31" s="94">
        <v>0</v>
      </c>
      <c r="P31" s="94">
        <v>93</v>
      </c>
      <c r="Q31" s="94">
        <v>4.9000000000000004</v>
      </c>
      <c r="R31" s="94">
        <v>0</v>
      </c>
      <c r="S31" s="94">
        <v>0</v>
      </c>
      <c r="T31" s="94">
        <v>0</v>
      </c>
      <c r="U31" s="94">
        <f>SUM('Debit Summary'!A31:G31)</f>
        <v>0</v>
      </c>
      <c r="W31" s="603" t="s">
        <v>1271</v>
      </c>
      <c r="X31" s="343" t="s">
        <v>2219</v>
      </c>
      <c r="Y31" s="604" t="s">
        <v>940</v>
      </c>
      <c r="Z31" s="606">
        <v>75.866525583856088</v>
      </c>
      <c r="AA31" s="577">
        <v>100</v>
      </c>
      <c r="AB31" s="756" t="s">
        <v>1883</v>
      </c>
      <c r="AC31"/>
    </row>
    <row r="32" spans="1:29" ht="30" customHeight="1">
      <c r="A32" s="774"/>
      <c r="B32" s="767"/>
      <c r="C32" s="17" t="s">
        <v>18</v>
      </c>
      <c r="D32" s="7">
        <f>2400000/25000+45.2</f>
        <v>141.19999999999999</v>
      </c>
      <c r="E32" s="7">
        <f>800000/25000</f>
        <v>32</v>
      </c>
      <c r="F32" s="7">
        <v>114.96913580246914</v>
      </c>
      <c r="G32" s="7">
        <f>400000/26140</f>
        <v>15.30221882172915</v>
      </c>
      <c r="H32" s="7">
        <v>201.37299771167048</v>
      </c>
      <c r="I32" s="7">
        <v>60.79</v>
      </c>
      <c r="J32" s="7">
        <v>204.92424242424244</v>
      </c>
      <c r="K32" s="7">
        <v>87.77</v>
      </c>
      <c r="L32" s="7">
        <f>400000/26369</f>
        <v>15.169327619553263</v>
      </c>
      <c r="M32" s="7">
        <f>800000/26388</f>
        <v>30.316810671517356</v>
      </c>
      <c r="N32" s="7">
        <v>60.585406490211668</v>
      </c>
      <c r="O32" s="7">
        <v>233.51023502653521</v>
      </c>
      <c r="P32" s="7">
        <v>119.73986228003062</v>
      </c>
      <c r="Q32" s="7">
        <v>39.913331052571564</v>
      </c>
      <c r="R32" s="7">
        <v>0</v>
      </c>
      <c r="S32" s="7">
        <v>58.027079303675052</v>
      </c>
      <c r="T32" s="7">
        <v>15.149219815179519</v>
      </c>
      <c r="U32" s="7">
        <f>'Debit Summary'!A32+'Debit Summary'!B32+'Debit Summary'!C32+'Debit Summary'!D32+'Debit Summary'!E32+'Debit Summary'!G32</f>
        <v>90.696092510014353</v>
      </c>
      <c r="W32" s="603" t="s">
        <v>1271</v>
      </c>
      <c r="X32" s="343" t="s">
        <v>2221</v>
      </c>
      <c r="Y32" s="604" t="s">
        <v>940</v>
      </c>
      <c r="Z32" s="606">
        <v>75.866525583856088</v>
      </c>
      <c r="AA32" s="577">
        <v>100</v>
      </c>
      <c r="AB32" s="756" t="s">
        <v>1883</v>
      </c>
    </row>
    <row r="33" spans="1:29" ht="30" customHeight="1">
      <c r="A33" s="774"/>
      <c r="B33" s="767"/>
      <c r="C33" s="17" t="s">
        <v>24</v>
      </c>
      <c r="D33" s="7">
        <v>0</v>
      </c>
      <c r="E33" s="7">
        <v>0</v>
      </c>
      <c r="F33" s="7">
        <v>0</v>
      </c>
      <c r="G33" s="7">
        <v>0</v>
      </c>
      <c r="H33" s="7">
        <v>0</v>
      </c>
      <c r="I33" s="7">
        <v>0</v>
      </c>
      <c r="J33" s="7">
        <v>0</v>
      </c>
      <c r="K33" s="7">
        <v>0</v>
      </c>
      <c r="L33" s="7">
        <v>0</v>
      </c>
      <c r="M33" s="7">
        <v>0</v>
      </c>
      <c r="N33" s="7"/>
      <c r="O33" s="7"/>
      <c r="P33" s="7"/>
      <c r="Q33" s="7"/>
      <c r="R33" s="7"/>
      <c r="S33" s="7"/>
      <c r="T33" s="7"/>
      <c r="U33" s="7"/>
      <c r="W33" s="603" t="s">
        <v>1271</v>
      </c>
      <c r="X33" s="343" t="s">
        <v>2223</v>
      </c>
      <c r="Y33" s="604" t="s">
        <v>940</v>
      </c>
      <c r="Z33" s="606">
        <v>75.866525583856088</v>
      </c>
      <c r="AA33" s="577">
        <v>100</v>
      </c>
      <c r="AB33" s="756" t="s">
        <v>1883</v>
      </c>
    </row>
    <row r="34" spans="1:29" ht="30" customHeight="1">
      <c r="A34" s="774"/>
      <c r="B34" s="50"/>
      <c r="C34" s="18" t="s">
        <v>23</v>
      </c>
      <c r="D34" s="13">
        <f t="shared" ref="D34:N34" si="8">D30+D32+D33</f>
        <v>141.19999999999999</v>
      </c>
      <c r="E34" s="13">
        <f t="shared" si="8"/>
        <v>32</v>
      </c>
      <c r="F34" s="13">
        <f t="shared" si="8"/>
        <v>343.62241512345679</v>
      </c>
      <c r="G34" s="13">
        <f t="shared" si="8"/>
        <v>15.30221882172915</v>
      </c>
      <c r="H34" s="13">
        <f t="shared" si="8"/>
        <v>201.37299771167048</v>
      </c>
      <c r="I34" s="13">
        <f t="shared" si="8"/>
        <v>1710.38</v>
      </c>
      <c r="J34" s="13">
        <f t="shared" si="8"/>
        <v>700.31424242424237</v>
      </c>
      <c r="K34" s="13">
        <f t="shared" si="8"/>
        <v>860.69999999999993</v>
      </c>
      <c r="L34" s="13">
        <f t="shared" si="8"/>
        <v>15.169327619553263</v>
      </c>
      <c r="M34" s="13">
        <f t="shared" si="8"/>
        <v>30.316810671517356</v>
      </c>
      <c r="N34" s="13">
        <f t="shared" si="8"/>
        <v>60.585406490211668</v>
      </c>
      <c r="O34" s="13">
        <v>233.51023502653521</v>
      </c>
      <c r="P34" s="13">
        <v>993.65229533282331</v>
      </c>
      <c r="Q34" s="13">
        <v>112.33933933933935</v>
      </c>
      <c r="R34" s="13">
        <v>0</v>
      </c>
      <c r="S34" s="13">
        <v>58.027079303675052</v>
      </c>
      <c r="T34" s="13">
        <v>15.149219815179519</v>
      </c>
      <c r="U34" s="13">
        <f>U30+U32+U33</f>
        <v>90.696092510014353</v>
      </c>
      <c r="W34" s="603" t="s">
        <v>1271</v>
      </c>
      <c r="X34" s="343" t="s">
        <v>2225</v>
      </c>
      <c r="Y34" s="604" t="s">
        <v>940</v>
      </c>
      <c r="Z34" s="606">
        <v>75.866525583856088</v>
      </c>
      <c r="AA34" s="577">
        <v>100</v>
      </c>
      <c r="AB34" s="756" t="s">
        <v>1883</v>
      </c>
    </row>
    <row r="35" spans="1:29" ht="30" customHeight="1">
      <c r="A35" s="774"/>
      <c r="B35" s="768" t="s">
        <v>1271</v>
      </c>
      <c r="C35" s="9" t="s">
        <v>17</v>
      </c>
      <c r="D35" s="7"/>
      <c r="E35" s="7"/>
      <c r="F35" s="7">
        <v>165.89506172839506</v>
      </c>
      <c r="G35" s="7">
        <v>311</v>
      </c>
      <c r="H35" s="7">
        <v>45.995766590389017</v>
      </c>
      <c r="I35" s="7">
        <v>280.18</v>
      </c>
      <c r="J35" s="7">
        <v>272.25510458522729</v>
      </c>
      <c r="K35" s="7">
        <v>179.993763465245</v>
      </c>
      <c r="L35" s="7">
        <v>198.88330994728659</v>
      </c>
      <c r="M35" s="7">
        <f>10240094/26388</f>
        <v>388.05873882067607</v>
      </c>
      <c r="N35" s="7">
        <v>83.395927081676703</v>
      </c>
      <c r="O35" s="7">
        <v>43.756824746019717</v>
      </c>
      <c r="P35" s="7">
        <v>62.842463657230297</v>
      </c>
      <c r="Q35" s="7">
        <v>69.856197970122025</v>
      </c>
      <c r="R35" s="7">
        <v>687.23237112619961</v>
      </c>
      <c r="S35" s="7">
        <v>61.32821329692419</v>
      </c>
      <c r="T35" s="7">
        <v>302.52233146492955</v>
      </c>
      <c r="U35" s="7">
        <f>'Debit Summary'!A35+'Debit Summary'!B35+'Debit Summary'!C35+'Debit Summary'!D35+'Debit Summary'!E35+'Debit Summary'!G35</f>
        <v>79.008767288942636</v>
      </c>
      <c r="W35" s="603" t="s">
        <v>1271</v>
      </c>
      <c r="X35" s="343" t="s">
        <v>2227</v>
      </c>
      <c r="Y35" s="604" t="s">
        <v>940</v>
      </c>
      <c r="Z35" s="606">
        <v>75.866525583856088</v>
      </c>
      <c r="AA35" s="577">
        <v>100</v>
      </c>
      <c r="AB35" s="756" t="s">
        <v>1883</v>
      </c>
    </row>
    <row r="36" spans="1:29" ht="30" customHeight="1">
      <c r="A36" s="774"/>
      <c r="B36" s="767"/>
      <c r="C36" s="6" t="s">
        <v>9</v>
      </c>
      <c r="D36" s="8"/>
      <c r="E36" s="8"/>
      <c r="F36" s="8" t="s">
        <v>137</v>
      </c>
      <c r="G36" s="8" t="s">
        <v>150</v>
      </c>
      <c r="H36" s="8" t="s">
        <v>156</v>
      </c>
      <c r="I36" s="8" t="s">
        <v>166</v>
      </c>
      <c r="J36" s="93">
        <v>22.1</v>
      </c>
      <c r="K36" s="93">
        <v>13</v>
      </c>
      <c r="L36" s="93" t="s">
        <v>471</v>
      </c>
      <c r="M36" s="93">
        <v>33.5</v>
      </c>
      <c r="N36" s="93">
        <v>6.2</v>
      </c>
      <c r="O36" s="93">
        <v>2.2000000000000002</v>
      </c>
      <c r="P36" s="93">
        <v>12.4</v>
      </c>
      <c r="Q36" s="93">
        <v>2</v>
      </c>
      <c r="R36" s="93">
        <v>2.8</v>
      </c>
      <c r="S36" s="93">
        <v>3</v>
      </c>
      <c r="T36" s="93">
        <v>10.6</v>
      </c>
      <c r="U36" s="93">
        <f>SUM('Debit Summary'!A36:G36)</f>
        <v>2.2999999999999998</v>
      </c>
      <c r="W36" s="603" t="s">
        <v>1271</v>
      </c>
      <c r="X36" s="343" t="s">
        <v>2229</v>
      </c>
      <c r="Y36" s="604" t="s">
        <v>940</v>
      </c>
      <c r="Z36" s="606">
        <v>75.866525583856088</v>
      </c>
      <c r="AA36" s="577">
        <v>100</v>
      </c>
      <c r="AB36" s="756" t="s">
        <v>1883</v>
      </c>
    </row>
    <row r="37" spans="1:29" ht="30" customHeight="1">
      <c r="A37" s="774"/>
      <c r="B37" s="767"/>
      <c r="C37" s="17" t="s">
        <v>18</v>
      </c>
      <c r="D37" s="7">
        <f>2000000/25000</f>
        <v>80</v>
      </c>
      <c r="E37" s="7">
        <f>3130000/25000</f>
        <v>125.2</v>
      </c>
      <c r="F37" s="7">
        <v>717.20679012345681</v>
      </c>
      <c r="G37" s="7">
        <f>3800000/26140</f>
        <v>145.37107880642694</v>
      </c>
      <c r="H37" s="7">
        <v>83.142639206712431</v>
      </c>
      <c r="I37" s="7">
        <v>272.42</v>
      </c>
      <c r="J37" s="7">
        <f>271.59+60</f>
        <v>331.59</v>
      </c>
      <c r="K37" s="7">
        <v>499.11</v>
      </c>
      <c r="L37" s="7">
        <f>18280000/26369</f>
        <v>693.23827221358408</v>
      </c>
      <c r="M37" s="7">
        <f>9160000/26388</f>
        <v>347.12748218887373</v>
      </c>
      <c r="N37" s="7">
        <v>343.06486425082358</v>
      </c>
      <c r="O37" s="7">
        <v>383.62395754359363</v>
      </c>
      <c r="P37" s="7">
        <v>257.45983167559302</v>
      </c>
      <c r="Q37" s="7">
        <v>237.95947846580759</v>
      </c>
      <c r="R37" s="7">
        <v>480.21848803246974</v>
      </c>
      <c r="S37" s="7">
        <v>478.62858876626092</v>
      </c>
      <c r="T37" s="7">
        <v>627.55643084381154</v>
      </c>
      <c r="U37" s="7">
        <f>'Debit Summary'!A37+'Debit Summary'!B37+'Debit Summary'!C37+'Debit Summary'!D37+'Debit Summary'!E37+'Debit Summary'!G37</f>
        <v>213.51371778399212</v>
      </c>
      <c r="W37" s="603" t="s">
        <v>1271</v>
      </c>
      <c r="X37" s="343" t="s">
        <v>2231</v>
      </c>
      <c r="Y37" s="604" t="s">
        <v>940</v>
      </c>
      <c r="Z37" s="606">
        <v>75.866525583856088</v>
      </c>
      <c r="AA37" s="577">
        <v>100</v>
      </c>
      <c r="AB37" s="756" t="s">
        <v>1883</v>
      </c>
      <c r="AC37" s="5"/>
    </row>
    <row r="38" spans="1:29" ht="30" customHeight="1">
      <c r="A38" s="774"/>
      <c r="B38" s="51"/>
      <c r="C38" s="15" t="s">
        <v>14</v>
      </c>
      <c r="D38" s="13">
        <f t="shared" ref="D38:N38" si="9">D35+D37</f>
        <v>80</v>
      </c>
      <c r="E38" s="13">
        <f t="shared" si="9"/>
        <v>125.2</v>
      </c>
      <c r="F38" s="13">
        <f t="shared" si="9"/>
        <v>883.10185185185185</v>
      </c>
      <c r="G38" s="13">
        <f t="shared" si="9"/>
        <v>456.37107880642691</v>
      </c>
      <c r="H38" s="13">
        <f t="shared" si="9"/>
        <v>129.13840579710146</v>
      </c>
      <c r="I38" s="13">
        <f t="shared" si="9"/>
        <v>552.6</v>
      </c>
      <c r="J38" s="13">
        <f t="shared" si="9"/>
        <v>603.84510458522732</v>
      </c>
      <c r="K38" s="13">
        <f t="shared" si="9"/>
        <v>679.10376346524504</v>
      </c>
      <c r="L38" s="13">
        <f t="shared" si="9"/>
        <v>892.12158216087073</v>
      </c>
      <c r="M38" s="13">
        <f t="shared" si="9"/>
        <v>735.18622100954985</v>
      </c>
      <c r="N38" s="13">
        <f t="shared" si="9"/>
        <v>426.46079133250026</v>
      </c>
      <c r="O38" s="13">
        <v>427.38078228961336</v>
      </c>
      <c r="P38" s="13">
        <v>320.30229533282329</v>
      </c>
      <c r="Q38" s="13">
        <v>307.81567643592962</v>
      </c>
      <c r="R38" s="13">
        <v>1167.4508591586693</v>
      </c>
      <c r="S38" s="13">
        <v>539.95680206318514</v>
      </c>
      <c r="T38" s="13">
        <v>930.07876230874103</v>
      </c>
      <c r="U38" s="13">
        <f>U35+U37</f>
        <v>292.52248507293473</v>
      </c>
      <c r="W38" s="603" t="s">
        <v>1271</v>
      </c>
      <c r="X38" s="343" t="s">
        <v>2233</v>
      </c>
      <c r="Y38" s="604" t="s">
        <v>940</v>
      </c>
      <c r="Z38" s="606">
        <v>75.866525583856088</v>
      </c>
      <c r="AA38" s="577">
        <v>100</v>
      </c>
      <c r="AB38" s="756" t="s">
        <v>1883</v>
      </c>
      <c r="AC38" s="5"/>
    </row>
    <row r="39" spans="1:29" ht="30" customHeight="1">
      <c r="A39" s="774"/>
      <c r="B39" s="768" t="s">
        <v>99</v>
      </c>
      <c r="C39" s="9" t="s">
        <v>3</v>
      </c>
      <c r="D39" s="7"/>
      <c r="E39" s="7">
        <v>63.891120000000001</v>
      </c>
      <c r="F39" s="7">
        <v>0</v>
      </c>
      <c r="G39" s="7">
        <v>0</v>
      </c>
      <c r="H39" s="7">
        <v>0</v>
      </c>
      <c r="I39" s="7">
        <v>0</v>
      </c>
      <c r="J39" s="7">
        <v>0</v>
      </c>
      <c r="K39" s="7">
        <v>0</v>
      </c>
      <c r="L39" s="7">
        <v>0</v>
      </c>
      <c r="M39" s="7">
        <f>2105236/26388</f>
        <v>79.780051538578135</v>
      </c>
      <c r="N39" s="7">
        <v>0</v>
      </c>
      <c r="O39" s="7">
        <v>0</v>
      </c>
      <c r="P39" s="7">
        <v>0</v>
      </c>
      <c r="Q39" s="7">
        <v>0</v>
      </c>
      <c r="R39" s="7">
        <v>0</v>
      </c>
      <c r="S39" s="7">
        <v>0</v>
      </c>
      <c r="T39" s="7">
        <v>0</v>
      </c>
      <c r="U39" s="7">
        <f>'Debit Summary'!A39+'Debit Summary'!B39+'Debit Summary'!C39+'Debit Summary'!D39+'Debit Summary'!E39+'Debit Summary'!G39</f>
        <v>0</v>
      </c>
      <c r="W39" s="603" t="s">
        <v>1271</v>
      </c>
      <c r="X39" s="343" t="s">
        <v>2235</v>
      </c>
      <c r="Y39" s="604" t="s">
        <v>940</v>
      </c>
      <c r="Z39" s="606">
        <v>75.866525583856088</v>
      </c>
      <c r="AA39" s="577">
        <v>100</v>
      </c>
      <c r="AB39" s="756" t="s">
        <v>1883</v>
      </c>
    </row>
    <row r="40" spans="1:29" ht="30" customHeight="1">
      <c r="A40" s="774"/>
      <c r="B40" s="767"/>
      <c r="C40" s="6" t="s">
        <v>9</v>
      </c>
      <c r="D40" s="8"/>
      <c r="E40" s="8" t="s">
        <v>107</v>
      </c>
      <c r="F40" s="8" t="s">
        <v>19</v>
      </c>
      <c r="G40" s="8" t="s">
        <v>19</v>
      </c>
      <c r="H40" s="8" t="s">
        <v>19</v>
      </c>
      <c r="I40" s="8" t="s">
        <v>19</v>
      </c>
      <c r="J40" s="94">
        <v>0</v>
      </c>
      <c r="K40" s="94">
        <v>0</v>
      </c>
      <c r="L40" s="94">
        <v>0</v>
      </c>
      <c r="M40" s="94">
        <v>10.1</v>
      </c>
      <c r="N40" s="94">
        <v>0</v>
      </c>
      <c r="O40" s="94">
        <v>0</v>
      </c>
      <c r="P40" s="94">
        <v>0</v>
      </c>
      <c r="Q40" s="94">
        <v>0</v>
      </c>
      <c r="R40" s="94">
        <v>0</v>
      </c>
      <c r="S40" s="94">
        <v>0</v>
      </c>
      <c r="T40" s="94">
        <v>0</v>
      </c>
      <c r="U40" s="94">
        <f>SUM('Debit Summary'!A40:G40)</f>
        <v>0</v>
      </c>
      <c r="W40" s="603" t="s">
        <v>1271</v>
      </c>
      <c r="X40" s="343" t="s">
        <v>2237</v>
      </c>
      <c r="Y40" s="604" t="s">
        <v>940</v>
      </c>
      <c r="Z40" s="606">
        <v>75.866525583856088</v>
      </c>
      <c r="AA40" s="577">
        <v>100</v>
      </c>
      <c r="AB40" s="756" t="s">
        <v>1883</v>
      </c>
      <c r="AC40" s="4"/>
    </row>
    <row r="41" spans="1:29" ht="30" customHeight="1">
      <c r="A41" s="774"/>
      <c r="B41" s="769"/>
      <c r="C41" s="9" t="s">
        <v>4</v>
      </c>
      <c r="D41" s="7"/>
      <c r="E41" s="7">
        <f>2010000/25000</f>
        <v>80.400000000000006</v>
      </c>
      <c r="F41" s="7">
        <v>15.432098765432098</v>
      </c>
      <c r="G41" s="7">
        <v>0</v>
      </c>
      <c r="H41" s="7">
        <v>0</v>
      </c>
      <c r="I41" s="7">
        <v>0</v>
      </c>
      <c r="J41" s="7">
        <v>0</v>
      </c>
      <c r="K41" s="7">
        <v>45.2</v>
      </c>
      <c r="L41" s="7">
        <f>6640000/26369</f>
        <v>251.81083848458417</v>
      </c>
      <c r="M41" s="7">
        <f>2600000/26388</f>
        <v>98.529634682431407</v>
      </c>
      <c r="N41" s="7">
        <v>42.788443333711989</v>
      </c>
      <c r="O41" s="7">
        <v>0</v>
      </c>
      <c r="P41" s="7">
        <v>141.92807957153789</v>
      </c>
      <c r="Q41" s="7">
        <v>24.708252556353823</v>
      </c>
      <c r="R41" s="7">
        <v>0</v>
      </c>
      <c r="S41" s="7">
        <v>58.027079303675052</v>
      </c>
      <c r="T41" s="7">
        <v>0</v>
      </c>
      <c r="U41" s="7">
        <f>SUM('Debit Summary'!A41:G41)</f>
        <v>355.22636233088957</v>
      </c>
      <c r="W41" s="603" t="s">
        <v>1271</v>
      </c>
      <c r="X41" s="343" t="s">
        <v>2239</v>
      </c>
      <c r="Y41" s="604" t="s">
        <v>940</v>
      </c>
      <c r="Z41" s="606">
        <v>75.866525583856088</v>
      </c>
      <c r="AA41" s="577">
        <v>100</v>
      </c>
      <c r="AB41" s="756" t="s">
        <v>1883</v>
      </c>
    </row>
    <row r="42" spans="1:29" ht="30" customHeight="1">
      <c r="A42" s="774"/>
      <c r="B42" s="51"/>
      <c r="C42" s="15" t="s">
        <v>111</v>
      </c>
      <c r="D42" s="13">
        <f t="shared" ref="D42:N42" si="10">SUM(D41+D39)</f>
        <v>0</v>
      </c>
      <c r="E42" s="13">
        <f t="shared" si="10"/>
        <v>144.29112000000001</v>
      </c>
      <c r="F42" s="13">
        <f t="shared" si="10"/>
        <v>15.432098765432098</v>
      </c>
      <c r="G42" s="13">
        <f t="shared" si="10"/>
        <v>0</v>
      </c>
      <c r="H42" s="13">
        <f t="shared" si="10"/>
        <v>0</v>
      </c>
      <c r="I42" s="13">
        <f t="shared" si="10"/>
        <v>0</v>
      </c>
      <c r="J42" s="13">
        <f t="shared" si="10"/>
        <v>0</v>
      </c>
      <c r="K42" s="13">
        <f t="shared" si="10"/>
        <v>45.2</v>
      </c>
      <c r="L42" s="13">
        <f t="shared" si="10"/>
        <v>251.81083848458417</v>
      </c>
      <c r="M42" s="13">
        <f t="shared" si="10"/>
        <v>178.30968622100954</v>
      </c>
      <c r="N42" s="13">
        <f t="shared" si="10"/>
        <v>42.788443333711989</v>
      </c>
      <c r="O42" s="13">
        <v>0</v>
      </c>
      <c r="P42" s="13">
        <v>141.92807957153789</v>
      </c>
      <c r="Q42" s="13">
        <v>24.708252556353823</v>
      </c>
      <c r="R42" s="13">
        <v>0</v>
      </c>
      <c r="S42" s="13">
        <v>58.027079303675052</v>
      </c>
      <c r="T42" s="13">
        <v>0</v>
      </c>
      <c r="U42" s="13">
        <f>SUM(U41+U39)</f>
        <v>355.22636233088957</v>
      </c>
      <c r="W42" s="603" t="s">
        <v>1271</v>
      </c>
      <c r="X42" s="343" t="s">
        <v>2241</v>
      </c>
      <c r="Y42" s="604" t="s">
        <v>940</v>
      </c>
      <c r="Z42" s="606">
        <v>75.866525583856088</v>
      </c>
      <c r="AA42" s="577">
        <v>100</v>
      </c>
      <c r="AB42" s="756" t="s">
        <v>1883</v>
      </c>
      <c r="AC42" s="27"/>
    </row>
    <row r="43" spans="1:29" ht="30" customHeight="1">
      <c r="A43" s="774"/>
      <c r="B43" s="768" t="s">
        <v>1902</v>
      </c>
      <c r="C43" s="9" t="s">
        <v>3</v>
      </c>
      <c r="D43" s="7"/>
      <c r="E43" s="7"/>
      <c r="F43" s="7"/>
      <c r="G43" s="7"/>
      <c r="H43" s="7"/>
      <c r="I43" s="7"/>
      <c r="J43" s="7"/>
      <c r="K43" s="7"/>
      <c r="L43" s="7"/>
      <c r="M43" s="7"/>
      <c r="N43" s="7"/>
      <c r="O43" s="7"/>
      <c r="P43" s="7"/>
      <c r="Q43" s="7"/>
      <c r="R43" s="7"/>
      <c r="S43" s="7"/>
      <c r="T43" s="7">
        <v>0</v>
      </c>
      <c r="U43" s="7">
        <f>'Debit Summary'!A43+'Debit Summary'!B43+'Debit Summary'!C43+'Debit Summary'!D43+'Debit Summary'!E43+'Debit Summary'!G43</f>
        <v>112.95749365127351</v>
      </c>
      <c r="W43" s="603" t="s">
        <v>1271</v>
      </c>
      <c r="X43" s="343" t="s">
        <v>2245</v>
      </c>
      <c r="Y43" s="604" t="s">
        <v>940</v>
      </c>
      <c r="Z43" s="606">
        <v>75.866525583856088</v>
      </c>
      <c r="AA43" s="577">
        <v>100</v>
      </c>
      <c r="AB43" s="756" t="s">
        <v>1883</v>
      </c>
    </row>
    <row r="44" spans="1:29" ht="30" customHeight="1">
      <c r="A44" s="774"/>
      <c r="B44" s="767"/>
      <c r="C44" s="6" t="s">
        <v>9</v>
      </c>
      <c r="D44" s="8"/>
      <c r="E44" s="8"/>
      <c r="F44" s="8"/>
      <c r="G44" s="8"/>
      <c r="H44" s="8"/>
      <c r="I44" s="8"/>
      <c r="J44" s="94"/>
      <c r="K44" s="94"/>
      <c r="L44" s="94"/>
      <c r="M44" s="94"/>
      <c r="N44" s="94"/>
      <c r="O44" s="94"/>
      <c r="P44" s="94"/>
      <c r="Q44" s="94"/>
      <c r="R44" s="94"/>
      <c r="S44" s="94"/>
      <c r="T44" s="94">
        <v>0</v>
      </c>
      <c r="U44" s="94">
        <f>SUM('Debit Summary'!A44:G44)</f>
        <v>3.5</v>
      </c>
      <c r="W44" s="603" t="s">
        <v>1271</v>
      </c>
      <c r="X44" s="343" t="s">
        <v>2247</v>
      </c>
      <c r="Y44" s="604" t="s">
        <v>940</v>
      </c>
      <c r="Z44" s="606">
        <v>75.866525583856088</v>
      </c>
      <c r="AA44" s="577">
        <v>100</v>
      </c>
      <c r="AB44" s="756" t="s">
        <v>1883</v>
      </c>
    </row>
    <row r="45" spans="1:29" ht="30" customHeight="1">
      <c r="A45" s="774"/>
      <c r="B45" s="769"/>
      <c r="C45" s="9" t="s">
        <v>4</v>
      </c>
      <c r="D45" s="7"/>
      <c r="E45" s="7"/>
      <c r="F45" s="7"/>
      <c r="G45" s="7"/>
      <c r="H45" s="7"/>
      <c r="I45" s="7"/>
      <c r="J45" s="7"/>
      <c r="K45" s="7"/>
      <c r="L45" s="7"/>
      <c r="M45" s="7"/>
      <c r="N45" s="7"/>
      <c r="O45" s="7"/>
      <c r="P45" s="7"/>
      <c r="Q45" s="7"/>
      <c r="R45" s="7"/>
      <c r="S45" s="7"/>
      <c r="T45" s="7">
        <v>0</v>
      </c>
      <c r="U45" s="7">
        <f>'Debit Summary'!A45+'Debit Summary'!B45+'Debit Summary'!C45+'Debit Summary'!D45+'Debit Summary'!E45+'Debit Summary'!G45</f>
        <v>0</v>
      </c>
      <c r="W45" s="603" t="s">
        <v>1271</v>
      </c>
      <c r="X45" s="343" t="s">
        <v>2249</v>
      </c>
      <c r="Y45" s="604" t="s">
        <v>940</v>
      </c>
      <c r="Z45" s="606">
        <v>75.866525583856088</v>
      </c>
      <c r="AA45" s="577">
        <v>100</v>
      </c>
      <c r="AB45" s="756" t="s">
        <v>1883</v>
      </c>
    </row>
    <row r="46" spans="1:29" ht="30" customHeight="1">
      <c r="A46" s="774"/>
      <c r="B46" s="51"/>
      <c r="C46" s="15" t="s">
        <v>2091</v>
      </c>
      <c r="D46" s="13">
        <f t="shared" ref="D46:S46" si="11">SUM(D45+D43)</f>
        <v>0</v>
      </c>
      <c r="E46" s="13">
        <f t="shared" si="11"/>
        <v>0</v>
      </c>
      <c r="F46" s="13">
        <f t="shared" si="11"/>
        <v>0</v>
      </c>
      <c r="G46" s="13">
        <f t="shared" si="11"/>
        <v>0</v>
      </c>
      <c r="H46" s="13">
        <f t="shared" si="11"/>
        <v>0</v>
      </c>
      <c r="I46" s="13">
        <f t="shared" si="11"/>
        <v>0</v>
      </c>
      <c r="J46" s="13">
        <f t="shared" si="11"/>
        <v>0</v>
      </c>
      <c r="K46" s="13">
        <f t="shared" si="11"/>
        <v>0</v>
      </c>
      <c r="L46" s="13">
        <f t="shared" si="11"/>
        <v>0</v>
      </c>
      <c r="M46" s="13">
        <f t="shared" si="11"/>
        <v>0</v>
      </c>
      <c r="N46" s="13">
        <f t="shared" si="11"/>
        <v>0</v>
      </c>
      <c r="O46" s="13">
        <f t="shared" si="11"/>
        <v>0</v>
      </c>
      <c r="P46" s="13">
        <f t="shared" si="11"/>
        <v>0</v>
      </c>
      <c r="Q46" s="13">
        <f t="shared" si="11"/>
        <v>0</v>
      </c>
      <c r="R46" s="13">
        <f t="shared" si="11"/>
        <v>0</v>
      </c>
      <c r="S46" s="13">
        <f t="shared" si="11"/>
        <v>0</v>
      </c>
      <c r="T46" s="13">
        <v>0</v>
      </c>
      <c r="U46" s="13">
        <f>SUM(U45+U43)</f>
        <v>112.95749365127351</v>
      </c>
      <c r="W46" s="603" t="s">
        <v>1271</v>
      </c>
      <c r="X46" s="343" t="s">
        <v>2253</v>
      </c>
      <c r="Y46" s="604" t="s">
        <v>940</v>
      </c>
      <c r="Z46" s="606">
        <v>75.866525583856088</v>
      </c>
      <c r="AA46" s="577">
        <v>100</v>
      </c>
      <c r="AB46" s="756" t="s">
        <v>1883</v>
      </c>
    </row>
    <row r="47" spans="1:29" s="5" customFormat="1" ht="30" customHeight="1">
      <c r="A47" s="774"/>
      <c r="B47" s="129" t="s">
        <v>20</v>
      </c>
      <c r="C47" s="130" t="s">
        <v>4</v>
      </c>
      <c r="D47" s="61">
        <f>7710000/25000+213.6</f>
        <v>522</v>
      </c>
      <c r="E47" s="61">
        <f>(2800000+1130000)/25000</f>
        <v>157.19999999999999</v>
      </c>
      <c r="F47" s="61">
        <v>163.96604938271605</v>
      </c>
      <c r="G47" s="61">
        <f>(5200000+1130000)/26140</f>
        <v>242.15761285386381</v>
      </c>
      <c r="H47" s="61">
        <v>195.65217391304299</v>
      </c>
      <c r="I47" s="61">
        <v>488.98</v>
      </c>
      <c r="J47" s="61">
        <v>88.257575757575751</v>
      </c>
      <c r="K47" s="61">
        <v>350.32</v>
      </c>
      <c r="L47" s="61">
        <f>9130000/26369</f>
        <v>346.23990291630321</v>
      </c>
      <c r="M47" s="61">
        <f>10250000/26388+67.46</f>
        <v>455.89413672881614</v>
      </c>
      <c r="N47" s="61">
        <f>433.942973986141-55.275</f>
        <v>378.66797398614102</v>
      </c>
      <c r="O47" s="61">
        <v>595.14783927217582</v>
      </c>
      <c r="P47" s="61">
        <v>421.95868400918135</v>
      </c>
      <c r="Q47" s="61">
        <v>3401.3236739765898</v>
      </c>
      <c r="R47" s="61">
        <v>202.55661343549673</v>
      </c>
      <c r="S47" s="61">
        <v>147.15363901847007</v>
      </c>
      <c r="T47" s="61">
        <v>54.915921830025759</v>
      </c>
      <c r="U47" s="61">
        <f>'Debit Summary'!A47+'Debit Summary'!B47+'Debit Summary'!C47+'Debit Summary'!D47+'Debit Summary'!E47+'Debit Summary'!G47</f>
        <v>47.23754818229915</v>
      </c>
      <c r="W47" s="603" t="s">
        <v>1271</v>
      </c>
      <c r="X47" s="343" t="s">
        <v>2255</v>
      </c>
      <c r="Y47" s="604" t="s">
        <v>940</v>
      </c>
      <c r="Z47" s="606">
        <v>75.866525583856088</v>
      </c>
      <c r="AA47" s="577">
        <v>100</v>
      </c>
      <c r="AB47" s="756" t="s">
        <v>1883</v>
      </c>
      <c r="AC47"/>
    </row>
    <row r="48" spans="1:29" s="5" customFormat="1" ht="30" customHeight="1">
      <c r="A48" s="774"/>
      <c r="B48" s="129" t="s">
        <v>5</v>
      </c>
      <c r="C48" s="130" t="s">
        <v>880</v>
      </c>
      <c r="D48" s="61">
        <v>108</v>
      </c>
      <c r="E48" s="61">
        <v>132.16296</v>
      </c>
      <c r="F48" s="61">
        <v>66.517052469135791</v>
      </c>
      <c r="G48" s="61">
        <f>77+1192.63</f>
        <v>1269.6300000000001</v>
      </c>
      <c r="H48" s="61">
        <v>17.04</v>
      </c>
      <c r="I48" s="61">
        <v>209.34</v>
      </c>
      <c r="J48" s="61">
        <f>17.67+45.91</f>
        <v>63.58</v>
      </c>
      <c r="K48" s="61">
        <v>136.14427183732093</v>
      </c>
      <c r="L48" s="61">
        <v>130.87599074671016</v>
      </c>
      <c r="M48" s="61">
        <f>16907992/26388</f>
        <v>640.74549037441261</v>
      </c>
      <c r="N48" s="61">
        <f>319.584521583551-249.344</f>
        <v>70.240521583551015</v>
      </c>
      <c r="O48" s="61">
        <v>2017.4064397573918</v>
      </c>
      <c r="P48" s="61">
        <v>113.99822776970161</v>
      </c>
      <c r="Q48" s="61">
        <v>218.05420610483904</v>
      </c>
      <c r="R48" s="61">
        <v>115.84645146606988</v>
      </c>
      <c r="S48" s="61">
        <v>220.07202184548868</v>
      </c>
      <c r="T48" s="61">
        <v>413.35497045902139</v>
      </c>
      <c r="U48" s="61">
        <f>'Debit Summary'!A48+'Debit Summary'!B48+'Debit Summary'!C48+'Debit Summary'!D48+'Debit Summary'!E48+'Debit Summary'!G48</f>
        <v>151.2896228554153</v>
      </c>
      <c r="W48" s="603" t="s">
        <v>1271</v>
      </c>
      <c r="X48" s="343" t="s">
        <v>2257</v>
      </c>
      <c r="Y48" s="604" t="s">
        <v>940</v>
      </c>
      <c r="Z48" s="606">
        <v>75.866525583856088</v>
      </c>
      <c r="AA48" s="577">
        <v>100</v>
      </c>
      <c r="AB48" s="756" t="s">
        <v>1883</v>
      </c>
      <c r="AC48"/>
    </row>
    <row r="49" spans="1:29" ht="30" customHeight="1">
      <c r="A49" s="774"/>
      <c r="B49" s="51"/>
      <c r="C49" s="15" t="s">
        <v>15</v>
      </c>
      <c r="D49" s="13">
        <f t="shared" ref="D49:N49" si="12">SUM(D47:D48)</f>
        <v>630</v>
      </c>
      <c r="E49" s="13">
        <f t="shared" si="12"/>
        <v>289.36295999999999</v>
      </c>
      <c r="F49" s="13">
        <f t="shared" si="12"/>
        <v>230.48310185185184</v>
      </c>
      <c r="G49" s="13">
        <f t="shared" si="12"/>
        <v>1511.7876128538639</v>
      </c>
      <c r="H49" s="13">
        <f t="shared" si="12"/>
        <v>212.69217391304298</v>
      </c>
      <c r="I49" s="13">
        <f t="shared" si="12"/>
        <v>698.32</v>
      </c>
      <c r="J49" s="13">
        <f t="shared" si="12"/>
        <v>151.83757575757573</v>
      </c>
      <c r="K49" s="13">
        <f t="shared" si="12"/>
        <v>486.46427183732089</v>
      </c>
      <c r="L49" s="13">
        <f t="shared" si="12"/>
        <v>477.11589366301337</v>
      </c>
      <c r="M49" s="13">
        <f t="shared" si="12"/>
        <v>1096.6396271032288</v>
      </c>
      <c r="N49" s="13">
        <f t="shared" si="12"/>
        <v>448.90849556969204</v>
      </c>
      <c r="O49" s="13">
        <v>2612.5542790295676</v>
      </c>
      <c r="P49" s="13">
        <v>535.95691177888295</v>
      </c>
      <c r="Q49" s="13">
        <v>3619.3778800814289</v>
      </c>
      <c r="R49" s="13">
        <v>318.40306490156661</v>
      </c>
      <c r="S49" s="13">
        <v>367.22566086395875</v>
      </c>
      <c r="T49" s="13">
        <v>468.27089228904714</v>
      </c>
      <c r="U49" s="13">
        <f>SUM(U47:U48)</f>
        <v>198.52717103771445</v>
      </c>
      <c r="W49" s="603" t="s">
        <v>1271</v>
      </c>
      <c r="X49" s="343" t="s">
        <v>2259</v>
      </c>
      <c r="Y49" s="604" t="s">
        <v>940</v>
      </c>
      <c r="Z49" s="606">
        <v>75.866525583856088</v>
      </c>
      <c r="AA49" s="577">
        <v>100</v>
      </c>
      <c r="AB49" s="756" t="s">
        <v>1883</v>
      </c>
    </row>
    <row r="50" spans="1:29" s="4" customFormat="1" ht="30" customHeight="1" thickBot="1">
      <c r="A50" s="775"/>
      <c r="B50" s="647" t="s">
        <v>6</v>
      </c>
      <c r="C50" s="660"/>
      <c r="D50" s="649">
        <f t="shared" ref="D50:N50" si="13">D49+D38+D29+D25+D21+D34+D42</f>
        <v>3161.7999999999997</v>
      </c>
      <c r="E50" s="649">
        <f t="shared" si="13"/>
        <v>1740.9301600000001</v>
      </c>
      <c r="F50" s="649">
        <f t="shared" si="13"/>
        <v>2525.0140432098765</v>
      </c>
      <c r="G50" s="649">
        <f t="shared" si="13"/>
        <v>2517.4686763580721</v>
      </c>
      <c r="H50" s="649">
        <f t="shared" si="13"/>
        <v>9426.7953928299012</v>
      </c>
      <c r="I50" s="649">
        <f t="shared" si="13"/>
        <v>3583.76</v>
      </c>
      <c r="J50" s="649">
        <f t="shared" si="13"/>
        <v>4852.3634111325755</v>
      </c>
      <c r="K50" s="649">
        <f t="shared" si="13"/>
        <v>2800.7733314877246</v>
      </c>
      <c r="L50" s="649">
        <f t="shared" si="13"/>
        <v>4350.4154878834997</v>
      </c>
      <c r="M50" s="649">
        <f t="shared" si="13"/>
        <v>5283.5260148552416</v>
      </c>
      <c r="N50" s="649">
        <f t="shared" si="13"/>
        <v>3947.4543287852589</v>
      </c>
      <c r="O50" s="649">
        <v>10468.647610579983</v>
      </c>
      <c r="P50" s="649">
        <v>3254.2952438370316</v>
      </c>
      <c r="Q50" s="649">
        <v>4952.4569084769128</v>
      </c>
      <c r="R50" s="649">
        <v>4512.8505101847286</v>
      </c>
      <c r="S50" s="649">
        <v>1875.7611028937688</v>
      </c>
      <c r="T50" s="649">
        <v>2995.5483744887138</v>
      </c>
      <c r="U50" s="649">
        <f>U49+U38+U29+U25+U21+U34+U42+U46</f>
        <v>1856.0885872949889</v>
      </c>
      <c r="W50" s="603" t="s">
        <v>1271</v>
      </c>
      <c r="X50" s="343" t="s">
        <v>2261</v>
      </c>
      <c r="Y50" s="604" t="s">
        <v>940</v>
      </c>
      <c r="Z50" s="606">
        <v>75.866525583856088</v>
      </c>
      <c r="AA50" s="577">
        <v>100</v>
      </c>
      <c r="AB50" s="756" t="s">
        <v>1883</v>
      </c>
      <c r="AC50"/>
    </row>
    <row r="51" spans="1:29" ht="30" customHeight="1" thickBot="1">
      <c r="A51" s="663" t="s">
        <v>8</v>
      </c>
      <c r="B51" s="664"/>
      <c r="C51" s="665"/>
      <c r="D51" s="666">
        <f>8080000/25000</f>
        <v>323.2</v>
      </c>
      <c r="E51" s="666">
        <v>256</v>
      </c>
      <c r="F51" s="666">
        <v>226.85185185185185</v>
      </c>
      <c r="G51" s="666">
        <v>294.56771231828617</v>
      </c>
      <c r="H51" s="666">
        <v>294.43173150267</v>
      </c>
      <c r="I51" s="666">
        <f>7400000/26320</f>
        <v>281.15501519756839</v>
      </c>
      <c r="J51" s="666">
        <f>10940000/26400</f>
        <v>414.39393939393938</v>
      </c>
      <c r="K51" s="666">
        <v>416.61958036689646</v>
      </c>
      <c r="L51" s="666">
        <v>706.13220069020394</v>
      </c>
      <c r="M51" s="666">
        <v>525.23874488403817</v>
      </c>
      <c r="N51" s="666">
        <f>20800000/26409</f>
        <v>787.61028437275172</v>
      </c>
      <c r="O51" s="666">
        <v>623.57846853677029</v>
      </c>
      <c r="P51" s="666">
        <v>376.43458301453711</v>
      </c>
      <c r="Q51" s="666">
        <v>380.88721633025432</v>
      </c>
      <c r="R51" s="666">
        <v>198.76341842734135</v>
      </c>
      <c r="S51" s="666">
        <v>243.4861759016953</v>
      </c>
      <c r="T51" s="666">
        <v>188.22905620360552</v>
      </c>
      <c r="U51" s="666">
        <f>'Debit Summary'!A51+'Debit Summary'!B51+'Debit Summary'!C51+'Debit Summary'!D51+'Debit Summary'!E51+'Debit Summary'!G51</f>
        <v>234.67613936966217</v>
      </c>
      <c r="W51" s="603" t="s">
        <v>1271</v>
      </c>
      <c r="X51" s="343" t="s">
        <v>2263</v>
      </c>
      <c r="Y51" s="604" t="s">
        <v>940</v>
      </c>
      <c r="Z51" s="606">
        <v>75.866525583856088</v>
      </c>
      <c r="AA51" s="577">
        <v>100</v>
      </c>
      <c r="AB51" s="756" t="s">
        <v>1883</v>
      </c>
    </row>
    <row r="52" spans="1:29" s="27" customFormat="1" ht="30" customHeight="1" thickBot="1">
      <c r="A52" s="670" t="s">
        <v>16</v>
      </c>
      <c r="B52" s="664"/>
      <c r="C52" s="665"/>
      <c r="D52" s="671"/>
      <c r="E52" s="671"/>
      <c r="F52" s="671"/>
      <c r="G52" s="671">
        <f>9000000/26100</f>
        <v>344.82758620689657</v>
      </c>
      <c r="H52" s="671"/>
      <c r="I52" s="671"/>
      <c r="J52" s="671">
        <f>2645000/26400</f>
        <v>100.18939393939394</v>
      </c>
      <c r="K52" s="671"/>
      <c r="L52" s="671"/>
      <c r="M52" s="671"/>
      <c r="N52" s="671"/>
      <c r="O52" s="671"/>
      <c r="P52" s="671"/>
      <c r="Q52" s="671"/>
      <c r="R52" s="671">
        <v>341.38755073398323</v>
      </c>
      <c r="S52" s="671"/>
      <c r="T52" s="671"/>
      <c r="U52" s="671"/>
      <c r="W52" s="603" t="s">
        <v>1271</v>
      </c>
      <c r="X52" s="343" t="s">
        <v>2265</v>
      </c>
      <c r="Y52" s="604" t="s">
        <v>940</v>
      </c>
      <c r="Z52" s="606">
        <v>75.866525583856088</v>
      </c>
      <c r="AA52" s="577">
        <v>100</v>
      </c>
      <c r="AB52" s="756" t="s">
        <v>1883</v>
      </c>
      <c r="AC52"/>
    </row>
    <row r="53" spans="1:29" ht="30" customHeight="1">
      <c r="A53" s="26"/>
      <c r="B53" s="53"/>
      <c r="C53" s="27"/>
      <c r="D53" s="28"/>
      <c r="E53" s="28"/>
      <c r="F53" s="28"/>
      <c r="G53" s="28"/>
      <c r="H53" s="28"/>
      <c r="I53" s="28"/>
      <c r="J53" s="28"/>
      <c r="K53" s="28"/>
      <c r="L53" s="28"/>
      <c r="M53" s="28"/>
      <c r="N53" s="28"/>
      <c r="O53" s="28"/>
      <c r="P53" s="28"/>
      <c r="Q53" s="28"/>
      <c r="R53" s="28"/>
      <c r="S53" s="28"/>
      <c r="T53" s="28"/>
      <c r="U53" s="28"/>
      <c r="W53" s="603" t="s">
        <v>1271</v>
      </c>
      <c r="X53" s="343" t="s">
        <v>2267</v>
      </c>
      <c r="Y53" s="604" t="s">
        <v>940</v>
      </c>
      <c r="Z53" s="606">
        <v>75.866525583856088</v>
      </c>
      <c r="AA53" s="577">
        <v>100</v>
      </c>
      <c r="AB53" s="756" t="s">
        <v>1883</v>
      </c>
    </row>
    <row r="54" spans="1:29" ht="30" customHeight="1">
      <c r="A54" s="26"/>
      <c r="B54" s="53"/>
      <c r="C54" s="27"/>
      <c r="D54" s="28"/>
      <c r="E54" s="28"/>
      <c r="F54" s="28"/>
      <c r="G54" s="28"/>
      <c r="H54" s="28"/>
      <c r="I54" s="28"/>
      <c r="J54" s="28"/>
      <c r="K54" s="28"/>
      <c r="L54" s="28"/>
      <c r="M54" s="28"/>
      <c r="N54" s="28"/>
      <c r="O54" s="28"/>
      <c r="P54" s="28"/>
      <c r="Q54" s="28"/>
      <c r="R54" s="28"/>
      <c r="S54" s="28"/>
      <c r="T54" s="28"/>
      <c r="U54" s="28"/>
      <c r="W54" s="603" t="s">
        <v>1271</v>
      </c>
      <c r="X54" s="343" t="s">
        <v>2269</v>
      </c>
      <c r="Y54" s="604" t="s">
        <v>940</v>
      </c>
      <c r="Z54" s="606">
        <v>98.540548711359676</v>
      </c>
      <c r="AA54" s="577">
        <v>100</v>
      </c>
      <c r="AB54" s="756" t="s">
        <v>1883</v>
      </c>
    </row>
    <row r="55" spans="1:29" ht="30" customHeight="1">
      <c r="A55" s="26"/>
      <c r="B55" s="53"/>
      <c r="C55" s="27"/>
      <c r="D55" s="28"/>
      <c r="E55" s="28"/>
      <c r="F55" s="28"/>
      <c r="G55" s="28"/>
      <c r="H55" s="28"/>
      <c r="I55" s="28"/>
      <c r="J55" s="28"/>
      <c r="K55" s="28"/>
      <c r="L55" s="28"/>
      <c r="M55" s="28"/>
      <c r="N55" s="28"/>
      <c r="O55" s="28"/>
      <c r="P55" s="28"/>
      <c r="Q55" s="28"/>
      <c r="R55" s="28"/>
      <c r="S55" s="28"/>
      <c r="T55" s="28"/>
      <c r="U55" s="28"/>
      <c r="W55" s="603" t="s">
        <v>1271</v>
      </c>
      <c r="X55" s="343" t="s">
        <v>2271</v>
      </c>
      <c r="Y55" s="604" t="s">
        <v>940</v>
      </c>
      <c r="Z55" s="606">
        <v>75.866525583856088</v>
      </c>
      <c r="AA55" s="577">
        <v>100</v>
      </c>
      <c r="AB55" s="756" t="s">
        <v>1883</v>
      </c>
    </row>
    <row r="56" spans="1:29" ht="30" customHeight="1">
      <c r="A56" s="26"/>
      <c r="B56" s="53"/>
      <c r="C56" s="27"/>
      <c r="D56" s="28"/>
      <c r="E56" s="28"/>
      <c r="F56" s="28"/>
      <c r="G56" s="28"/>
      <c r="H56" s="28"/>
      <c r="I56" s="28"/>
      <c r="J56" s="28"/>
      <c r="K56" s="28"/>
      <c r="L56" s="28"/>
      <c r="M56" s="28"/>
      <c r="N56" s="28"/>
      <c r="O56" s="28"/>
      <c r="P56" s="28"/>
      <c r="Q56" s="28"/>
      <c r="R56" s="28"/>
      <c r="S56" s="28"/>
      <c r="T56" s="28"/>
      <c r="U56" s="28"/>
      <c r="W56" s="603" t="s">
        <v>1271</v>
      </c>
      <c r="X56" s="343" t="s">
        <v>2567</v>
      </c>
      <c r="Y56" s="604" t="s">
        <v>940</v>
      </c>
      <c r="Z56" s="606">
        <v>75.866525583856088</v>
      </c>
      <c r="AA56" s="577">
        <v>100</v>
      </c>
      <c r="AB56" s="756" t="s">
        <v>1883</v>
      </c>
    </row>
    <row r="57" spans="1:29" ht="30" customHeight="1">
      <c r="A57" s="26"/>
      <c r="B57" s="53"/>
      <c r="C57" s="27"/>
      <c r="D57" s="28"/>
      <c r="E57" s="28"/>
      <c r="F57" s="28"/>
      <c r="G57" s="28"/>
      <c r="H57" s="28"/>
      <c r="I57" s="28"/>
      <c r="J57" s="28"/>
      <c r="K57" s="28"/>
      <c r="L57" s="28"/>
      <c r="M57" s="28"/>
      <c r="N57" s="28"/>
      <c r="O57" s="28"/>
      <c r="P57" s="28"/>
      <c r="Q57" s="28"/>
      <c r="R57" s="28"/>
      <c r="S57" s="28"/>
      <c r="T57" s="28"/>
      <c r="U57" s="28"/>
      <c r="W57" s="603" t="s">
        <v>1271</v>
      </c>
      <c r="X57" s="343" t="s">
        <v>2569</v>
      </c>
      <c r="Y57" s="604" t="s">
        <v>940</v>
      </c>
      <c r="Z57" s="606">
        <v>75.866525583856088</v>
      </c>
      <c r="AA57" s="577">
        <v>100</v>
      </c>
      <c r="AB57" s="756" t="s">
        <v>1883</v>
      </c>
    </row>
    <row r="58" spans="1:29" ht="30" customHeight="1">
      <c r="A58" s="26"/>
      <c r="B58" s="53"/>
      <c r="C58" s="27"/>
      <c r="D58" s="28"/>
      <c r="E58" s="28"/>
      <c r="F58" s="28"/>
      <c r="G58" s="28"/>
      <c r="H58" s="28"/>
      <c r="I58" s="28"/>
      <c r="J58" s="28"/>
      <c r="K58" s="28"/>
      <c r="L58" s="28"/>
      <c r="M58" s="28"/>
      <c r="N58" s="28"/>
      <c r="O58" s="28"/>
      <c r="P58" s="28"/>
      <c r="Q58" s="28"/>
      <c r="R58" s="28"/>
      <c r="S58" s="28"/>
      <c r="T58" s="28"/>
      <c r="U58" s="28"/>
      <c r="W58" s="603" t="s">
        <v>1271</v>
      </c>
      <c r="X58" s="343" t="s">
        <v>2571</v>
      </c>
      <c r="Y58" s="604" t="s">
        <v>940</v>
      </c>
      <c r="Z58" s="606">
        <v>75.866525583856088</v>
      </c>
      <c r="AA58" s="577">
        <v>100</v>
      </c>
      <c r="AB58" s="756" t="s">
        <v>1883</v>
      </c>
    </row>
    <row r="59" spans="1:29" ht="30" customHeight="1">
      <c r="A59" s="26"/>
      <c r="B59" s="53"/>
      <c r="C59" s="27"/>
      <c r="D59" s="28"/>
      <c r="E59" s="28"/>
      <c r="F59" s="28"/>
      <c r="G59" s="28"/>
      <c r="H59" s="28"/>
      <c r="I59" s="28"/>
      <c r="J59" s="28"/>
      <c r="K59" s="28"/>
      <c r="L59" s="28"/>
      <c r="M59" s="28"/>
      <c r="N59" s="28"/>
      <c r="O59" s="28"/>
      <c r="P59" s="28"/>
      <c r="Q59" s="28"/>
      <c r="R59" s="28"/>
      <c r="S59" s="28"/>
      <c r="T59" s="28"/>
      <c r="U59" s="28"/>
      <c r="W59" s="603" t="s">
        <v>1271</v>
      </c>
      <c r="X59" s="343" t="s">
        <v>2573</v>
      </c>
      <c r="Y59" s="604" t="s">
        <v>940</v>
      </c>
      <c r="Z59" s="606">
        <v>75.866525583856088</v>
      </c>
      <c r="AA59" s="577">
        <v>100</v>
      </c>
      <c r="AB59" s="756" t="s">
        <v>1883</v>
      </c>
    </row>
    <row r="60" spans="1:29" ht="30" customHeight="1">
      <c r="A60" s="26"/>
      <c r="B60" s="53"/>
      <c r="C60" s="27"/>
      <c r="D60" s="28"/>
      <c r="E60" s="28"/>
      <c r="F60" s="28"/>
      <c r="G60" s="28"/>
      <c r="H60" s="28"/>
      <c r="I60" s="28"/>
      <c r="J60" s="28"/>
      <c r="K60" s="28"/>
      <c r="L60" s="28"/>
      <c r="M60" s="28"/>
      <c r="N60" s="28"/>
      <c r="O60" s="28"/>
      <c r="P60" s="28"/>
      <c r="Q60" s="28"/>
      <c r="R60" s="28"/>
      <c r="S60" s="28"/>
      <c r="T60" s="28"/>
      <c r="U60" s="28"/>
      <c r="W60" s="603" t="s">
        <v>1271</v>
      </c>
      <c r="X60" s="343" t="s">
        <v>2575</v>
      </c>
      <c r="Y60" s="604" t="s">
        <v>940</v>
      </c>
      <c r="Z60" s="606">
        <v>75.866525583856088</v>
      </c>
      <c r="AA60" s="577">
        <v>100</v>
      </c>
      <c r="AB60" s="756" t="s">
        <v>1883</v>
      </c>
    </row>
    <row r="61" spans="1:29" ht="30" customHeight="1">
      <c r="A61" s="26"/>
      <c r="B61" s="53"/>
      <c r="C61" s="27"/>
      <c r="D61" s="28"/>
      <c r="E61" s="28"/>
      <c r="F61" s="28"/>
      <c r="G61" s="28"/>
      <c r="H61" s="28"/>
      <c r="I61" s="28"/>
      <c r="J61" s="28"/>
      <c r="K61" s="28"/>
      <c r="L61" s="28"/>
      <c r="M61" s="28"/>
      <c r="N61" s="28"/>
      <c r="O61" s="28"/>
      <c r="P61" s="28"/>
      <c r="Q61" s="28"/>
      <c r="R61" s="28"/>
      <c r="S61" s="28"/>
      <c r="T61" s="28"/>
      <c r="U61" s="28"/>
      <c r="W61" s="603" t="s">
        <v>1271</v>
      </c>
      <c r="X61" s="343" t="s">
        <v>2577</v>
      </c>
      <c r="Y61" s="604" t="s">
        <v>940</v>
      </c>
      <c r="Z61" s="606">
        <v>98.540548711359676</v>
      </c>
      <c r="AA61" s="577">
        <v>100</v>
      </c>
      <c r="AB61" s="756" t="s">
        <v>1883</v>
      </c>
    </row>
    <row r="62" spans="1:29" ht="30" customHeight="1">
      <c r="A62" s="26"/>
      <c r="B62" s="53"/>
      <c r="C62" s="27"/>
      <c r="D62" s="28"/>
      <c r="E62" s="28"/>
      <c r="F62" s="28"/>
      <c r="G62" s="28"/>
      <c r="H62" s="28"/>
      <c r="I62" s="28"/>
      <c r="J62" s="28"/>
      <c r="K62" s="28"/>
      <c r="L62" s="28"/>
      <c r="M62" s="28"/>
      <c r="N62" s="28"/>
      <c r="O62" s="28"/>
      <c r="P62" s="28"/>
      <c r="Q62" s="28"/>
      <c r="R62" s="28"/>
      <c r="S62" s="28"/>
      <c r="T62" s="28"/>
      <c r="U62" s="28"/>
      <c r="W62" s="603" t="s">
        <v>1271</v>
      </c>
      <c r="X62" s="343" t="s">
        <v>2579</v>
      </c>
      <c r="Y62" s="604" t="s">
        <v>940</v>
      </c>
      <c r="Z62" s="606">
        <v>75.866525583856088</v>
      </c>
      <c r="AA62" s="577">
        <v>100</v>
      </c>
      <c r="AB62" s="756" t="s">
        <v>1883</v>
      </c>
    </row>
    <row r="63" spans="1:29" ht="30" customHeight="1">
      <c r="A63" s="26"/>
      <c r="B63" s="53"/>
      <c r="C63" s="27"/>
      <c r="D63" s="28"/>
      <c r="E63" s="28"/>
      <c r="F63" s="28"/>
      <c r="G63" s="28"/>
      <c r="H63" s="28"/>
      <c r="I63" s="28"/>
      <c r="J63" s="28"/>
      <c r="K63" s="28"/>
      <c r="L63" s="28"/>
      <c r="M63" s="28"/>
      <c r="N63" s="28"/>
      <c r="O63" s="28"/>
      <c r="P63" s="28"/>
      <c r="Q63" s="28"/>
      <c r="R63" s="28"/>
      <c r="S63" s="28"/>
      <c r="T63" s="28"/>
      <c r="U63" s="28"/>
      <c r="W63" s="603" t="s">
        <v>1271</v>
      </c>
      <c r="X63" s="343" t="s">
        <v>2581</v>
      </c>
      <c r="Y63" s="604" t="s">
        <v>940</v>
      </c>
      <c r="Z63" s="606">
        <v>75.866525583856088</v>
      </c>
      <c r="AA63" s="577">
        <v>100</v>
      </c>
      <c r="AB63" s="756" t="s">
        <v>1883</v>
      </c>
    </row>
    <row r="64" spans="1:29" ht="30" customHeight="1">
      <c r="A64" s="26"/>
      <c r="B64" s="53"/>
      <c r="C64" s="27"/>
      <c r="D64" s="28"/>
      <c r="E64" s="28"/>
      <c r="F64" s="28"/>
      <c r="G64" s="28"/>
      <c r="H64" s="28"/>
      <c r="I64" s="28"/>
      <c r="J64" s="28"/>
      <c r="K64" s="28"/>
      <c r="L64" s="28"/>
      <c r="M64" s="28"/>
      <c r="N64" s="28"/>
      <c r="O64" s="28"/>
      <c r="P64" s="28"/>
      <c r="Q64" s="28"/>
      <c r="R64" s="28"/>
      <c r="S64" s="28"/>
      <c r="T64" s="28"/>
      <c r="U64" s="28"/>
      <c r="W64" s="603" t="s">
        <v>1271</v>
      </c>
      <c r="X64" s="343" t="s">
        <v>2583</v>
      </c>
      <c r="Y64" s="604" t="s">
        <v>940</v>
      </c>
      <c r="Z64" s="606">
        <v>75.866525583856088</v>
      </c>
      <c r="AA64" s="577">
        <v>100</v>
      </c>
      <c r="AB64" s="756" t="s">
        <v>1883</v>
      </c>
    </row>
    <row r="65" spans="1:28" ht="30" customHeight="1">
      <c r="A65" s="26"/>
      <c r="B65" s="53"/>
      <c r="C65" s="27"/>
      <c r="D65" s="28"/>
      <c r="E65" s="28"/>
      <c r="F65" s="28"/>
      <c r="G65" s="28"/>
      <c r="H65" s="28"/>
      <c r="I65" s="28"/>
      <c r="J65" s="28"/>
      <c r="K65" s="28"/>
      <c r="L65" s="28"/>
      <c r="M65" s="28"/>
      <c r="N65" s="28"/>
      <c r="O65" s="28"/>
      <c r="P65" s="28"/>
      <c r="Q65" s="28"/>
      <c r="R65" s="28"/>
      <c r="S65" s="28"/>
      <c r="T65" s="28"/>
      <c r="U65" s="28"/>
      <c r="W65" s="603" t="s">
        <v>1271</v>
      </c>
      <c r="X65" s="343" t="s">
        <v>2600</v>
      </c>
      <c r="Y65" s="604" t="s">
        <v>940</v>
      </c>
      <c r="Z65" s="606">
        <v>75.866525583856088</v>
      </c>
      <c r="AA65" s="577">
        <v>100</v>
      </c>
      <c r="AB65" s="756" t="s">
        <v>1883</v>
      </c>
    </row>
    <row r="66" spans="1:28" ht="30" customHeight="1">
      <c r="A66" s="26"/>
      <c r="B66" s="53"/>
      <c r="C66" s="27"/>
      <c r="D66" s="28"/>
      <c r="E66" s="28"/>
      <c r="F66" s="28"/>
      <c r="G66" s="28"/>
      <c r="H66" s="28"/>
      <c r="I66" s="28"/>
      <c r="J66" s="28"/>
      <c r="K66" s="28"/>
      <c r="L66" s="28"/>
      <c r="M66" s="28"/>
      <c r="N66" s="28"/>
      <c r="O66" s="28"/>
      <c r="P66" s="28"/>
      <c r="Q66" s="28"/>
      <c r="R66" s="28"/>
      <c r="S66" s="28"/>
      <c r="T66" s="28"/>
      <c r="U66" s="28"/>
      <c r="W66" s="603" t="s">
        <v>1271</v>
      </c>
      <c r="X66" s="343" t="s">
        <v>2602</v>
      </c>
      <c r="Y66" s="604" t="s">
        <v>940</v>
      </c>
      <c r="Z66" s="606">
        <v>75.866525583856088</v>
      </c>
      <c r="AA66" s="577">
        <v>100</v>
      </c>
      <c r="AB66" s="756" t="s">
        <v>1883</v>
      </c>
    </row>
    <row r="67" spans="1:28" ht="30" customHeight="1">
      <c r="A67" s="26"/>
      <c r="B67" s="53"/>
      <c r="C67" s="27"/>
      <c r="D67" s="28"/>
      <c r="E67" s="28"/>
      <c r="F67" s="28"/>
      <c r="G67" s="28"/>
      <c r="H67" s="28"/>
      <c r="I67" s="28"/>
      <c r="J67" s="28"/>
      <c r="K67" s="28"/>
      <c r="L67" s="28"/>
      <c r="M67" s="28"/>
      <c r="N67" s="28"/>
      <c r="O67" s="28"/>
      <c r="P67" s="28"/>
      <c r="Q67" s="28"/>
      <c r="R67" s="28"/>
      <c r="S67" s="28"/>
      <c r="T67" s="28"/>
      <c r="U67" s="28"/>
      <c r="W67" s="603" t="s">
        <v>1271</v>
      </c>
      <c r="X67" s="343" t="s">
        <v>2604</v>
      </c>
      <c r="Y67" s="604" t="s">
        <v>940</v>
      </c>
      <c r="Z67" s="606">
        <v>75.866525583856088</v>
      </c>
      <c r="AA67" s="577">
        <v>100</v>
      </c>
      <c r="AB67" s="756" t="s">
        <v>1883</v>
      </c>
    </row>
    <row r="68" spans="1:28" ht="30" customHeight="1">
      <c r="A68" s="26"/>
      <c r="B68" s="53"/>
      <c r="C68" s="27"/>
      <c r="D68" s="28"/>
      <c r="E68" s="28"/>
      <c r="F68" s="28"/>
      <c r="G68" s="28"/>
      <c r="H68" s="28"/>
      <c r="I68" s="28"/>
      <c r="J68" s="28"/>
      <c r="K68" s="28"/>
      <c r="L68" s="28"/>
      <c r="M68" s="28"/>
      <c r="N68" s="28"/>
      <c r="O68" s="28"/>
      <c r="P68" s="28"/>
      <c r="Q68" s="28"/>
      <c r="R68" s="28"/>
      <c r="S68" s="28"/>
      <c r="T68" s="28"/>
      <c r="U68" s="28"/>
      <c r="W68" s="603" t="s">
        <v>1271</v>
      </c>
      <c r="X68" s="343" t="s">
        <v>2606</v>
      </c>
      <c r="Y68" s="604" t="s">
        <v>940</v>
      </c>
      <c r="Z68" s="606">
        <v>75.866525583856088</v>
      </c>
      <c r="AA68" s="577">
        <v>100</v>
      </c>
      <c r="AB68" s="756" t="s">
        <v>1883</v>
      </c>
    </row>
    <row r="69" spans="1:28" ht="30.75" customHeight="1">
      <c r="W69" s="603" t="s">
        <v>1271</v>
      </c>
      <c r="X69" s="343" t="s">
        <v>2608</v>
      </c>
      <c r="Y69" s="604" t="s">
        <v>940</v>
      </c>
      <c r="Z69" s="606">
        <v>75.866525583856088</v>
      </c>
      <c r="AA69" s="577">
        <v>100</v>
      </c>
      <c r="AB69" s="756" t="s">
        <v>1883</v>
      </c>
    </row>
    <row r="70" spans="1:28" ht="30.75" customHeight="1">
      <c r="W70" s="603" t="s">
        <v>1271</v>
      </c>
      <c r="X70" s="343" t="s">
        <v>2610</v>
      </c>
      <c r="Y70" s="604" t="s">
        <v>940</v>
      </c>
      <c r="Z70" s="606">
        <v>75.866525583856088</v>
      </c>
      <c r="AA70" s="577">
        <v>100</v>
      </c>
      <c r="AB70" s="756" t="s">
        <v>1883</v>
      </c>
    </row>
    <row r="71" spans="1:28" ht="30.75" customHeight="1">
      <c r="W71" s="603" t="s">
        <v>1271</v>
      </c>
      <c r="X71" s="343" t="s">
        <v>2612</v>
      </c>
      <c r="Y71" s="604" t="s">
        <v>940</v>
      </c>
      <c r="Z71" s="606">
        <v>75.866525583856088</v>
      </c>
      <c r="AA71" s="577">
        <v>100</v>
      </c>
      <c r="AB71" s="756" t="s">
        <v>1883</v>
      </c>
    </row>
    <row r="72" spans="1:28" ht="30.75" customHeight="1">
      <c r="W72" s="603" t="s">
        <v>1271</v>
      </c>
      <c r="X72" s="343" t="s">
        <v>2614</v>
      </c>
      <c r="Y72" s="604" t="s">
        <v>940</v>
      </c>
      <c r="Z72" s="606">
        <v>75.866525583856088</v>
      </c>
      <c r="AA72" s="577">
        <v>100</v>
      </c>
      <c r="AB72" s="756" t="s">
        <v>1883</v>
      </c>
    </row>
    <row r="73" spans="1:28" ht="30.75" customHeight="1">
      <c r="W73" s="603" t="s">
        <v>1271</v>
      </c>
      <c r="X73" s="343" t="s">
        <v>2616</v>
      </c>
      <c r="Y73" s="604" t="s">
        <v>940</v>
      </c>
      <c r="Z73" s="606">
        <v>75.866525583856088</v>
      </c>
      <c r="AA73" s="577">
        <v>100</v>
      </c>
      <c r="AB73" s="756" t="s">
        <v>1883</v>
      </c>
    </row>
    <row r="74" spans="1:28" ht="30.75" customHeight="1">
      <c r="W74" s="603" t="s">
        <v>1271</v>
      </c>
      <c r="X74" s="343" t="s">
        <v>2618</v>
      </c>
      <c r="Y74" s="604" t="s">
        <v>940</v>
      </c>
      <c r="Z74" s="606">
        <v>75.866525583856088</v>
      </c>
      <c r="AA74" s="577">
        <v>100</v>
      </c>
      <c r="AB74" s="756" t="s">
        <v>1883</v>
      </c>
    </row>
    <row r="75" spans="1:28" ht="30.75" customHeight="1">
      <c r="W75" s="603" t="s">
        <v>1271</v>
      </c>
      <c r="X75" s="343" t="s">
        <v>2620</v>
      </c>
      <c r="Y75" s="604" t="s">
        <v>940</v>
      </c>
      <c r="Z75" s="606">
        <v>75.866525583856088</v>
      </c>
      <c r="AA75" s="577">
        <v>100</v>
      </c>
      <c r="AB75" s="756" t="s">
        <v>1883</v>
      </c>
    </row>
    <row r="76" spans="1:28" ht="30.75" customHeight="1">
      <c r="W76" s="603" t="s">
        <v>1271</v>
      </c>
      <c r="X76" s="343" t="s">
        <v>2622</v>
      </c>
      <c r="Y76" s="604" t="s">
        <v>940</v>
      </c>
      <c r="Z76" s="606">
        <v>75.866525583856088</v>
      </c>
      <c r="AA76" s="577">
        <v>100</v>
      </c>
      <c r="AB76" s="756" t="s">
        <v>1883</v>
      </c>
    </row>
    <row r="77" spans="1:28" ht="30.75" customHeight="1">
      <c r="W77" s="603" t="s">
        <v>1271</v>
      </c>
      <c r="X77" s="343" t="s">
        <v>2624</v>
      </c>
      <c r="Y77" s="604" t="s">
        <v>940</v>
      </c>
      <c r="Z77" s="606">
        <v>75.866525583856088</v>
      </c>
      <c r="AA77" s="577">
        <v>100</v>
      </c>
      <c r="AB77" s="756" t="s">
        <v>1883</v>
      </c>
    </row>
    <row r="78" spans="1:28" ht="30.75" customHeight="1">
      <c r="W78" s="603" t="s">
        <v>1271</v>
      </c>
      <c r="X78" s="343" t="s">
        <v>2626</v>
      </c>
      <c r="Y78" s="604" t="s">
        <v>940</v>
      </c>
      <c r="Z78" s="606">
        <v>75.866525583856088</v>
      </c>
      <c r="AA78" s="577">
        <v>100</v>
      </c>
      <c r="AB78" s="756" t="s">
        <v>1883</v>
      </c>
    </row>
    <row r="79" spans="1:28" ht="30.75" customHeight="1">
      <c r="W79" s="603" t="s">
        <v>1271</v>
      </c>
      <c r="X79" s="343" t="s">
        <v>2628</v>
      </c>
      <c r="Y79" s="604" t="s">
        <v>940</v>
      </c>
      <c r="Z79" s="606">
        <v>75.866525583856088</v>
      </c>
      <c r="AA79" s="577">
        <v>100</v>
      </c>
      <c r="AB79" s="756" t="s">
        <v>1883</v>
      </c>
    </row>
    <row r="80" spans="1:28" ht="30.75" customHeight="1">
      <c r="W80" s="603" t="s">
        <v>1271</v>
      </c>
      <c r="X80" s="343" t="s">
        <v>2630</v>
      </c>
      <c r="Y80" s="604" t="s">
        <v>940</v>
      </c>
      <c r="Z80" s="606">
        <v>75.866525583856088</v>
      </c>
      <c r="AA80" s="577">
        <v>100</v>
      </c>
      <c r="AB80" s="756" t="s">
        <v>1883</v>
      </c>
    </row>
    <row r="81" spans="23:28" ht="30.75" customHeight="1">
      <c r="W81" s="603" t="s">
        <v>1271</v>
      </c>
      <c r="X81" s="343" t="s">
        <v>2632</v>
      </c>
      <c r="Y81" s="604" t="s">
        <v>940</v>
      </c>
      <c r="Z81" s="606">
        <v>75.866525583856088</v>
      </c>
      <c r="AA81" s="577">
        <v>100</v>
      </c>
      <c r="AB81" s="756" t="s">
        <v>1883</v>
      </c>
    </row>
    <row r="82" spans="23:28" ht="30.75" customHeight="1">
      <c r="W82" s="603" t="s">
        <v>1271</v>
      </c>
      <c r="X82" s="343" t="s">
        <v>2634</v>
      </c>
      <c r="Y82" s="604" t="s">
        <v>940</v>
      </c>
      <c r="Z82" s="606">
        <v>75.866525583856088</v>
      </c>
      <c r="AA82" s="577">
        <v>100</v>
      </c>
      <c r="AB82" s="756" t="s">
        <v>1883</v>
      </c>
    </row>
    <row r="83" spans="23:28" ht="30.75" customHeight="1">
      <c r="W83" s="603" t="s">
        <v>1271</v>
      </c>
      <c r="X83" s="343" t="s">
        <v>2636</v>
      </c>
      <c r="Y83" s="604" t="s">
        <v>940</v>
      </c>
      <c r="Z83" s="606">
        <v>75.866525583856088</v>
      </c>
      <c r="AA83" s="577">
        <v>100</v>
      </c>
      <c r="AB83" s="756" t="s">
        <v>1883</v>
      </c>
    </row>
    <row r="84" spans="23:28" ht="30.75" customHeight="1">
      <c r="W84" s="603" t="s">
        <v>1271</v>
      </c>
      <c r="X84" s="343" t="s">
        <v>2638</v>
      </c>
      <c r="Y84" s="604" t="s">
        <v>940</v>
      </c>
      <c r="Z84" s="606">
        <v>75.866525583856088</v>
      </c>
      <c r="AA84" s="577">
        <v>100</v>
      </c>
      <c r="AB84" s="756" t="s">
        <v>1883</v>
      </c>
    </row>
    <row r="85" spans="23:28" ht="30.75" customHeight="1">
      <c r="W85" s="603" t="s">
        <v>1271</v>
      </c>
      <c r="X85" s="343" t="s">
        <v>2640</v>
      </c>
      <c r="Y85" s="604" t="s">
        <v>940</v>
      </c>
      <c r="Z85" s="606">
        <v>75.866525583856088</v>
      </c>
      <c r="AA85" s="577">
        <v>100</v>
      </c>
      <c r="AB85" s="756" t="s">
        <v>1883</v>
      </c>
    </row>
    <row r="86" spans="23:28" ht="30.75" customHeight="1">
      <c r="W86" s="603" t="s">
        <v>1271</v>
      </c>
      <c r="X86" s="343" t="s">
        <v>2642</v>
      </c>
      <c r="Y86" s="604" t="s">
        <v>940</v>
      </c>
      <c r="Z86" s="606">
        <v>75.866525583856088</v>
      </c>
      <c r="AA86" s="577">
        <v>100</v>
      </c>
      <c r="AB86" s="756" t="s">
        <v>1883</v>
      </c>
    </row>
    <row r="87" spans="23:28" ht="30.75" customHeight="1">
      <c r="W87" s="603" t="s">
        <v>1271</v>
      </c>
      <c r="X87" s="343" t="s">
        <v>2644</v>
      </c>
      <c r="Y87" s="604" t="s">
        <v>940</v>
      </c>
      <c r="Z87" s="606">
        <v>75.866525583856088</v>
      </c>
      <c r="AA87" s="577">
        <v>100</v>
      </c>
      <c r="AB87" s="756" t="s">
        <v>1883</v>
      </c>
    </row>
    <row r="88" spans="23:28" ht="30.75" customHeight="1">
      <c r="W88" s="603" t="s">
        <v>1271</v>
      </c>
      <c r="X88" s="343" t="s">
        <v>2646</v>
      </c>
      <c r="Y88" s="604" t="s">
        <v>940</v>
      </c>
      <c r="Z88" s="606">
        <v>75.866525583856088</v>
      </c>
      <c r="AA88" s="577">
        <v>100</v>
      </c>
      <c r="AB88" s="756" t="s">
        <v>1883</v>
      </c>
    </row>
    <row r="89" spans="23:28" ht="30.75" customHeight="1">
      <c r="W89" s="603" t="s">
        <v>1271</v>
      </c>
      <c r="X89" s="343" t="s">
        <v>2648</v>
      </c>
      <c r="Y89" s="604" t="s">
        <v>940</v>
      </c>
      <c r="Z89" s="606">
        <v>75.866525583856088</v>
      </c>
      <c r="AA89" s="577">
        <v>100</v>
      </c>
      <c r="AB89" s="756" t="s">
        <v>1883</v>
      </c>
    </row>
    <row r="90" spans="23:28" ht="30.75" customHeight="1">
      <c r="W90" s="603" t="s">
        <v>1271</v>
      </c>
      <c r="X90" s="343" t="s">
        <v>2650</v>
      </c>
      <c r="Y90" s="604" t="s">
        <v>940</v>
      </c>
      <c r="Z90" s="606">
        <v>75.866525583856088</v>
      </c>
      <c r="AA90" s="577">
        <v>100</v>
      </c>
      <c r="AB90" s="756" t="s">
        <v>1883</v>
      </c>
    </row>
    <row r="91" spans="23:28" ht="30.75" customHeight="1">
      <c r="W91" s="603" t="s">
        <v>1271</v>
      </c>
      <c r="X91" s="343" t="s">
        <v>2652</v>
      </c>
      <c r="Y91" s="604" t="s">
        <v>940</v>
      </c>
      <c r="Z91" s="606">
        <v>75.866525583856088</v>
      </c>
      <c r="AA91" s="577">
        <v>100</v>
      </c>
      <c r="AB91" s="756" t="s">
        <v>1883</v>
      </c>
    </row>
    <row r="92" spans="23:28" ht="30.75" customHeight="1">
      <c r="W92" s="603" t="s">
        <v>1271</v>
      </c>
      <c r="X92" s="343" t="s">
        <v>2654</v>
      </c>
      <c r="Y92" s="604" t="s">
        <v>940</v>
      </c>
      <c r="Z92" s="606">
        <v>98.540548711359676</v>
      </c>
      <c r="AA92" s="577">
        <v>100</v>
      </c>
      <c r="AB92" s="756" t="s">
        <v>1883</v>
      </c>
    </row>
    <row r="93" spans="23:28" ht="30.75" customHeight="1">
      <c r="W93" s="603" t="s">
        <v>1271</v>
      </c>
      <c r="X93" s="343" t="s">
        <v>2656</v>
      </c>
      <c r="Y93" s="604" t="s">
        <v>940</v>
      </c>
      <c r="Z93" s="606">
        <v>75.866525583856088</v>
      </c>
      <c r="AA93" s="577">
        <v>100</v>
      </c>
      <c r="AB93" s="756" t="s">
        <v>1883</v>
      </c>
    </row>
    <row r="94" spans="23:28" ht="30.75" customHeight="1">
      <c r="W94" s="603" t="s">
        <v>1271</v>
      </c>
      <c r="X94" s="343" t="s">
        <v>2658</v>
      </c>
      <c r="Y94" s="604" t="s">
        <v>940</v>
      </c>
      <c r="Z94" s="606">
        <v>75.866525583856088</v>
      </c>
      <c r="AA94" s="577">
        <v>100</v>
      </c>
      <c r="AB94" s="756" t="s">
        <v>1883</v>
      </c>
    </row>
    <row r="95" spans="23:28" ht="30.75" customHeight="1">
      <c r="W95" s="603" t="s">
        <v>1271</v>
      </c>
      <c r="X95" s="343" t="s">
        <v>2660</v>
      </c>
      <c r="Y95" s="604" t="s">
        <v>940</v>
      </c>
      <c r="Z95" s="606">
        <v>75.866525583856088</v>
      </c>
      <c r="AA95" s="577">
        <v>100</v>
      </c>
      <c r="AB95" s="756" t="s">
        <v>1883</v>
      </c>
    </row>
    <row r="96" spans="23:28" ht="30.75" customHeight="1">
      <c r="W96" s="603" t="s">
        <v>1271</v>
      </c>
      <c r="X96" s="343" t="s">
        <v>2662</v>
      </c>
      <c r="Y96" s="604" t="s">
        <v>940</v>
      </c>
      <c r="Z96" s="606">
        <v>75.866525583856088</v>
      </c>
      <c r="AA96" s="577">
        <v>100</v>
      </c>
      <c r="AB96" s="756" t="s">
        <v>1883</v>
      </c>
    </row>
    <row r="97" spans="23:28" ht="30.75" customHeight="1">
      <c r="W97" s="603" t="s">
        <v>1271</v>
      </c>
      <c r="X97" s="343" t="s">
        <v>2664</v>
      </c>
      <c r="Y97" s="604" t="s">
        <v>940</v>
      </c>
      <c r="Z97" s="606">
        <v>75.866525583856088</v>
      </c>
      <c r="AA97" s="577">
        <v>100</v>
      </c>
      <c r="AB97" s="756" t="s">
        <v>1883</v>
      </c>
    </row>
    <row r="98" spans="23:28" ht="30.75" customHeight="1">
      <c r="W98" s="603" t="s">
        <v>1271</v>
      </c>
      <c r="X98" s="343" t="s">
        <v>2666</v>
      </c>
      <c r="Y98" s="604" t="s">
        <v>940</v>
      </c>
      <c r="Z98" s="606">
        <v>75.866525583856088</v>
      </c>
      <c r="AA98" s="577">
        <v>100</v>
      </c>
      <c r="AB98" s="756" t="s">
        <v>1883</v>
      </c>
    </row>
    <row r="99" spans="23:28" ht="30.75" customHeight="1">
      <c r="W99" s="603" t="s">
        <v>1271</v>
      </c>
      <c r="X99" s="343" t="s">
        <v>2668</v>
      </c>
      <c r="Y99" s="604" t="s">
        <v>940</v>
      </c>
      <c r="Z99" s="606">
        <v>75.866525583856088</v>
      </c>
      <c r="AA99" s="577">
        <v>100</v>
      </c>
      <c r="AB99" s="756" t="s">
        <v>1883</v>
      </c>
    </row>
    <row r="100" spans="23:28" ht="30.75" customHeight="1">
      <c r="W100" s="603" t="s">
        <v>1271</v>
      </c>
      <c r="X100" s="343" t="s">
        <v>2670</v>
      </c>
      <c r="Y100" s="604" t="s">
        <v>940</v>
      </c>
      <c r="Z100" s="606">
        <v>75.866525583856088</v>
      </c>
      <c r="AA100" s="577">
        <v>100</v>
      </c>
      <c r="AB100" s="756" t="s">
        <v>1883</v>
      </c>
    </row>
    <row r="101" spans="23:28" ht="30.75" customHeight="1">
      <c r="W101" s="603" t="s">
        <v>1271</v>
      </c>
      <c r="X101" s="343" t="s">
        <v>2672</v>
      </c>
      <c r="Y101" s="604" t="s">
        <v>940</v>
      </c>
      <c r="Z101" s="606">
        <v>75.866525583856088</v>
      </c>
      <c r="AA101" s="577">
        <v>100</v>
      </c>
      <c r="AB101" s="756" t="s">
        <v>1883</v>
      </c>
    </row>
    <row r="102" spans="23:28" ht="30.75" customHeight="1">
      <c r="W102" s="603" t="s">
        <v>1271</v>
      </c>
      <c r="X102" s="343" t="s">
        <v>2674</v>
      </c>
      <c r="Y102" s="604" t="s">
        <v>940</v>
      </c>
      <c r="Z102" s="606">
        <v>75.866525583856088</v>
      </c>
      <c r="AA102" s="577">
        <v>100</v>
      </c>
      <c r="AB102" s="756" t="s">
        <v>1883</v>
      </c>
    </row>
    <row r="103" spans="23:28" ht="30.75" customHeight="1">
      <c r="W103" s="603" t="s">
        <v>1271</v>
      </c>
      <c r="X103" s="343" t="s">
        <v>2676</v>
      </c>
      <c r="Y103" s="604" t="s">
        <v>940</v>
      </c>
      <c r="Z103" s="606">
        <v>75.866525583856088</v>
      </c>
      <c r="AA103" s="577">
        <v>100</v>
      </c>
      <c r="AB103" s="756" t="s">
        <v>1883</v>
      </c>
    </row>
    <row r="104" spans="23:28" ht="30.75" customHeight="1">
      <c r="W104" s="603" t="s">
        <v>1271</v>
      </c>
      <c r="X104" s="343" t="s">
        <v>2678</v>
      </c>
      <c r="Y104" s="604" t="s">
        <v>940</v>
      </c>
      <c r="Z104" s="606">
        <v>75.866525583856088</v>
      </c>
      <c r="AA104" s="577">
        <v>100</v>
      </c>
      <c r="AB104" s="756" t="s">
        <v>1883</v>
      </c>
    </row>
    <row r="105" spans="23:28" ht="30.75" customHeight="1">
      <c r="W105" s="603" t="s">
        <v>1271</v>
      </c>
      <c r="X105" s="343" t="s">
        <v>2680</v>
      </c>
      <c r="Y105" s="604" t="s">
        <v>940</v>
      </c>
      <c r="Z105" s="606">
        <v>75.866525583856088</v>
      </c>
      <c r="AA105" s="577">
        <v>100</v>
      </c>
      <c r="AB105" s="756" t="s">
        <v>1883</v>
      </c>
    </row>
    <row r="106" spans="23:28" ht="30.75" customHeight="1">
      <c r="W106" s="603" t="s">
        <v>1271</v>
      </c>
      <c r="X106" s="343" t="s">
        <v>2682</v>
      </c>
      <c r="Y106" s="604" t="s">
        <v>940</v>
      </c>
      <c r="Z106" s="606">
        <v>75.866525583856088</v>
      </c>
      <c r="AA106" s="577">
        <v>100</v>
      </c>
      <c r="AB106" s="756" t="s">
        <v>1883</v>
      </c>
    </row>
    <row r="107" spans="23:28" ht="30.75" customHeight="1">
      <c r="W107" s="603" t="s">
        <v>1271</v>
      </c>
      <c r="X107" s="343" t="s">
        <v>2684</v>
      </c>
      <c r="Y107" s="604" t="s">
        <v>940</v>
      </c>
      <c r="Z107" s="606">
        <v>75.866525583856088</v>
      </c>
      <c r="AA107" s="577">
        <v>100</v>
      </c>
      <c r="AB107" s="756" t="s">
        <v>1883</v>
      </c>
    </row>
    <row r="108" spans="23:28" ht="30.75" customHeight="1">
      <c r="W108" s="603" t="s">
        <v>1271</v>
      </c>
      <c r="X108" s="343" t="s">
        <v>2686</v>
      </c>
      <c r="Y108" s="604" t="s">
        <v>940</v>
      </c>
      <c r="Z108" s="606">
        <v>75.866525583856088</v>
      </c>
      <c r="AA108" s="577">
        <v>100</v>
      </c>
      <c r="AB108" s="756" t="s">
        <v>1883</v>
      </c>
    </row>
    <row r="109" spans="23:28" ht="30.75" customHeight="1">
      <c r="W109" s="603" t="s">
        <v>1271</v>
      </c>
      <c r="X109" s="343" t="s">
        <v>2690</v>
      </c>
      <c r="Y109" s="604" t="s">
        <v>940</v>
      </c>
      <c r="Z109" s="606">
        <v>75.866525583856088</v>
      </c>
      <c r="AA109" s="577">
        <v>100</v>
      </c>
      <c r="AB109" s="756" t="s">
        <v>1883</v>
      </c>
    </row>
    <row r="110" spans="23:28" ht="30.75" customHeight="1">
      <c r="W110" s="603" t="s">
        <v>1271</v>
      </c>
      <c r="X110" s="343" t="s">
        <v>2692</v>
      </c>
      <c r="Y110" s="604" t="s">
        <v>940</v>
      </c>
      <c r="Z110" s="606">
        <v>75.866525583856088</v>
      </c>
      <c r="AA110" s="577">
        <v>100</v>
      </c>
      <c r="AB110" s="756" t="s">
        <v>1883</v>
      </c>
    </row>
    <row r="111" spans="23:28" ht="30.75" customHeight="1">
      <c r="W111" s="603" t="s">
        <v>1271</v>
      </c>
      <c r="X111" s="343" t="s">
        <v>2695</v>
      </c>
      <c r="Y111" s="604" t="s">
        <v>940</v>
      </c>
      <c r="Z111" s="606">
        <v>75.866525583856088</v>
      </c>
      <c r="AA111" s="577">
        <v>100</v>
      </c>
      <c r="AB111" s="756" t="s">
        <v>1883</v>
      </c>
    </row>
    <row r="112" spans="23:28" ht="30.75" customHeight="1">
      <c r="W112" s="603" t="s">
        <v>1271</v>
      </c>
      <c r="X112" s="343" t="s">
        <v>2772</v>
      </c>
      <c r="Y112" s="604" t="s">
        <v>940</v>
      </c>
      <c r="Z112" s="606">
        <v>75.866525583856088</v>
      </c>
      <c r="AA112" s="577">
        <v>100</v>
      </c>
      <c r="AB112" s="756" t="s">
        <v>1883</v>
      </c>
    </row>
    <row r="113" spans="23:28" ht="30.75" customHeight="1">
      <c r="W113" s="603" t="s">
        <v>1271</v>
      </c>
      <c r="X113" s="343" t="s">
        <v>2774</v>
      </c>
      <c r="Y113" s="604" t="s">
        <v>940</v>
      </c>
      <c r="Z113" s="606">
        <v>75.866525583856088</v>
      </c>
      <c r="AA113" s="577">
        <v>100</v>
      </c>
      <c r="AB113" s="756" t="s">
        <v>1883</v>
      </c>
    </row>
    <row r="114" spans="23:28" ht="30.75" customHeight="1">
      <c r="W114" s="603" t="s">
        <v>1271</v>
      </c>
      <c r="X114" s="343" t="s">
        <v>2776</v>
      </c>
      <c r="Y114" s="604" t="s">
        <v>940</v>
      </c>
      <c r="Z114" s="606">
        <v>75.866525583856088</v>
      </c>
      <c r="AA114" s="577">
        <v>100</v>
      </c>
      <c r="AB114" s="756" t="s">
        <v>1883</v>
      </c>
    </row>
    <row r="115" spans="23:28" ht="30.75" customHeight="1">
      <c r="W115" s="603" t="s">
        <v>1271</v>
      </c>
      <c r="X115" s="343" t="s">
        <v>2778</v>
      </c>
      <c r="Y115" s="604" t="s">
        <v>940</v>
      </c>
      <c r="Z115" s="606">
        <v>75.866525583856088</v>
      </c>
      <c r="AA115" s="577">
        <v>100</v>
      </c>
      <c r="AB115" s="756" t="s">
        <v>1883</v>
      </c>
    </row>
    <row r="116" spans="23:28" ht="30.75" customHeight="1">
      <c r="W116" s="603" t="s">
        <v>1271</v>
      </c>
      <c r="X116" s="343" t="s">
        <v>2780</v>
      </c>
      <c r="Y116" s="604" t="s">
        <v>940</v>
      </c>
      <c r="Z116" s="606">
        <v>75.866525583856088</v>
      </c>
      <c r="AA116" s="577">
        <v>100</v>
      </c>
      <c r="AB116" s="756" t="s">
        <v>1883</v>
      </c>
    </row>
    <row r="117" spans="23:28" ht="30.75" customHeight="1">
      <c r="W117" s="603" t="s">
        <v>1271</v>
      </c>
      <c r="X117" s="343" t="s">
        <v>2782</v>
      </c>
      <c r="Y117" s="604" t="s">
        <v>940</v>
      </c>
      <c r="Z117" s="606">
        <v>75.866525583856088</v>
      </c>
      <c r="AA117" s="577">
        <v>100</v>
      </c>
      <c r="AB117" s="756" t="s">
        <v>1883</v>
      </c>
    </row>
    <row r="118" spans="23:28" ht="30.75" customHeight="1">
      <c r="W118" s="603" t="s">
        <v>1271</v>
      </c>
      <c r="X118" s="343" t="s">
        <v>2784</v>
      </c>
      <c r="Y118" s="604" t="s">
        <v>940</v>
      </c>
      <c r="Z118" s="606">
        <v>75.866525583856088</v>
      </c>
      <c r="AA118" s="577">
        <v>100</v>
      </c>
      <c r="AB118" s="756" t="s">
        <v>1883</v>
      </c>
    </row>
    <row r="119" spans="23:28" ht="30.75" customHeight="1">
      <c r="W119" s="603" t="s">
        <v>1271</v>
      </c>
      <c r="X119" s="343" t="s">
        <v>2786</v>
      </c>
      <c r="Y119" s="604" t="s">
        <v>940</v>
      </c>
      <c r="Z119" s="606">
        <v>75.866525583856088</v>
      </c>
      <c r="AA119" s="577">
        <v>100</v>
      </c>
      <c r="AB119" s="756" t="s">
        <v>1883</v>
      </c>
    </row>
    <row r="120" spans="23:28" ht="30.75" customHeight="1">
      <c r="W120" s="603" t="s">
        <v>1271</v>
      </c>
      <c r="X120" s="343" t="s">
        <v>2808</v>
      </c>
      <c r="Y120" s="604" t="s">
        <v>940</v>
      </c>
      <c r="Z120" s="606">
        <v>75.866525583856088</v>
      </c>
      <c r="AA120" s="577">
        <v>100</v>
      </c>
      <c r="AB120" s="756" t="s">
        <v>1883</v>
      </c>
    </row>
    <row r="121" spans="23:28" ht="30.75" customHeight="1">
      <c r="W121" s="603" t="s">
        <v>1271</v>
      </c>
      <c r="X121" s="343" t="s">
        <v>2810</v>
      </c>
      <c r="Y121" s="604" t="s">
        <v>940</v>
      </c>
      <c r="Z121" s="606">
        <v>75.866525583856088</v>
      </c>
      <c r="AA121" s="577">
        <v>100</v>
      </c>
      <c r="AB121" s="756" t="s">
        <v>1883</v>
      </c>
    </row>
    <row r="122" spans="23:28" ht="30.75" customHeight="1">
      <c r="W122" s="603" t="s">
        <v>1271</v>
      </c>
      <c r="X122" s="343" t="s">
        <v>2812</v>
      </c>
      <c r="Y122" s="604" t="s">
        <v>940</v>
      </c>
      <c r="Z122" s="606">
        <v>75.866525583856088</v>
      </c>
      <c r="AA122" s="577">
        <v>100</v>
      </c>
      <c r="AB122" s="756" t="s">
        <v>1883</v>
      </c>
    </row>
    <row r="123" spans="23:28" ht="30.75" customHeight="1">
      <c r="W123" s="603" t="s">
        <v>1271</v>
      </c>
      <c r="X123" s="343" t="s">
        <v>2814</v>
      </c>
      <c r="Y123" s="604" t="s">
        <v>940</v>
      </c>
      <c r="Z123" s="606">
        <v>75.866525583856088</v>
      </c>
      <c r="AA123" s="577">
        <v>100</v>
      </c>
      <c r="AB123" s="756" t="s">
        <v>1883</v>
      </c>
    </row>
    <row r="124" spans="23:28" ht="30.75" customHeight="1">
      <c r="W124" s="603" t="s">
        <v>1271</v>
      </c>
      <c r="X124" s="343" t="s">
        <v>2816</v>
      </c>
      <c r="Y124" s="604" t="s">
        <v>940</v>
      </c>
      <c r="Z124" s="606">
        <v>75.866525583856088</v>
      </c>
      <c r="AA124" s="577">
        <v>100</v>
      </c>
      <c r="AB124" s="756" t="s">
        <v>1883</v>
      </c>
    </row>
    <row r="125" spans="23:28" ht="30.75" customHeight="1">
      <c r="W125" s="603" t="s">
        <v>1271</v>
      </c>
      <c r="X125" s="343" t="s">
        <v>2818</v>
      </c>
      <c r="Y125" s="604" t="s">
        <v>940</v>
      </c>
      <c r="Z125" s="606">
        <v>75.866525583856088</v>
      </c>
      <c r="AA125" s="577">
        <v>100</v>
      </c>
      <c r="AB125" s="756" t="s">
        <v>1883</v>
      </c>
    </row>
    <row r="126" spans="23:28" ht="30.75" customHeight="1">
      <c r="W126" s="603" t="s">
        <v>1271</v>
      </c>
      <c r="X126" s="343" t="s">
        <v>2820</v>
      </c>
      <c r="Y126" s="604" t="s">
        <v>940</v>
      </c>
      <c r="Z126" s="606">
        <v>75.866525583856088</v>
      </c>
      <c r="AA126" s="577">
        <v>100</v>
      </c>
      <c r="AB126" s="756" t="s">
        <v>1883</v>
      </c>
    </row>
    <row r="127" spans="23:28" ht="30.75" customHeight="1">
      <c r="W127" s="603" t="s">
        <v>1271</v>
      </c>
      <c r="X127" s="343" t="s">
        <v>2822</v>
      </c>
      <c r="Y127" s="604" t="s">
        <v>940</v>
      </c>
      <c r="Z127" s="606">
        <v>75.866525583856088</v>
      </c>
      <c r="AA127" s="577">
        <v>100</v>
      </c>
      <c r="AB127" s="756" t="s">
        <v>1883</v>
      </c>
    </row>
    <row r="128" spans="23:28" ht="30.75" customHeight="1">
      <c r="W128" s="603" t="s">
        <v>1271</v>
      </c>
      <c r="X128" s="343" t="s">
        <v>2824</v>
      </c>
      <c r="Y128" s="604" t="s">
        <v>940</v>
      </c>
      <c r="Z128" s="606">
        <v>75.866525583856088</v>
      </c>
      <c r="AA128" s="577">
        <v>100</v>
      </c>
      <c r="AB128" s="756" t="s">
        <v>1883</v>
      </c>
    </row>
    <row r="129" spans="23:28" ht="30.75" customHeight="1">
      <c r="W129" s="603" t="s">
        <v>1271</v>
      </c>
      <c r="X129" s="343" t="s">
        <v>2826</v>
      </c>
      <c r="Y129" s="604" t="s">
        <v>940</v>
      </c>
      <c r="Z129" s="606">
        <v>75.866525583856088</v>
      </c>
      <c r="AA129" s="577">
        <v>100</v>
      </c>
      <c r="AB129" s="756" t="s">
        <v>1883</v>
      </c>
    </row>
    <row r="130" spans="23:28" ht="30.75" customHeight="1">
      <c r="W130" s="603" t="s">
        <v>1271</v>
      </c>
      <c r="X130" s="343" t="s">
        <v>2828</v>
      </c>
      <c r="Y130" s="604" t="s">
        <v>940</v>
      </c>
      <c r="Z130" s="606">
        <v>75.866525583856088</v>
      </c>
      <c r="AA130" s="577">
        <v>100</v>
      </c>
      <c r="AB130" s="756" t="s">
        <v>1883</v>
      </c>
    </row>
    <row r="131" spans="23:28" ht="30.75" customHeight="1">
      <c r="W131" s="603" t="s">
        <v>1271</v>
      </c>
      <c r="X131" s="343" t="s">
        <v>2830</v>
      </c>
      <c r="Y131" s="604" t="s">
        <v>940</v>
      </c>
      <c r="Z131" s="606">
        <v>75.866525583856088</v>
      </c>
      <c r="AA131" s="577">
        <v>100</v>
      </c>
      <c r="AB131" s="756" t="s">
        <v>1883</v>
      </c>
    </row>
    <row r="132" spans="23:28" ht="30.75" customHeight="1">
      <c r="W132" s="603" t="s">
        <v>1271</v>
      </c>
      <c r="X132" s="343" t="s">
        <v>2832</v>
      </c>
      <c r="Y132" s="604" t="s">
        <v>940</v>
      </c>
      <c r="Z132" s="606">
        <v>75.866525583856088</v>
      </c>
      <c r="AA132" s="577">
        <v>100</v>
      </c>
      <c r="AB132" s="756" t="s">
        <v>1883</v>
      </c>
    </row>
    <row r="133" spans="23:28" ht="30.75" customHeight="1">
      <c r="W133" s="603" t="s">
        <v>1271</v>
      </c>
      <c r="X133" s="343" t="s">
        <v>2834</v>
      </c>
      <c r="Y133" s="604" t="s">
        <v>940</v>
      </c>
      <c r="Z133" s="606">
        <v>98.540548711359676</v>
      </c>
      <c r="AA133" s="577">
        <v>100</v>
      </c>
      <c r="AB133" s="756" t="s">
        <v>1883</v>
      </c>
    </row>
    <row r="134" spans="23:28" ht="30.75" customHeight="1">
      <c r="Z134"/>
      <c r="AA134"/>
    </row>
    <row r="135" spans="23:28" ht="30.75" customHeight="1">
      <c r="Z135"/>
      <c r="AA135"/>
    </row>
    <row r="136" spans="23:28" ht="30.75" customHeight="1">
      <c r="Z136"/>
      <c r="AA136"/>
    </row>
    <row r="137" spans="23:28" ht="30.75" customHeight="1">
      <c r="Z137"/>
      <c r="AA137"/>
    </row>
    <row r="138" spans="23:28" ht="30.75" customHeight="1">
      <c r="Z138"/>
      <c r="AA138"/>
    </row>
  </sheetData>
  <mergeCells count="15">
    <mergeCell ref="B6:B10"/>
    <mergeCell ref="B43:B45"/>
    <mergeCell ref="B3:C3"/>
    <mergeCell ref="B39:B41"/>
    <mergeCell ref="A1:B1"/>
    <mergeCell ref="A18:A50"/>
    <mergeCell ref="B18:B20"/>
    <mergeCell ref="B22:B24"/>
    <mergeCell ref="B26:B28"/>
    <mergeCell ref="A2:C2"/>
    <mergeCell ref="A5:C5"/>
    <mergeCell ref="B12:B14"/>
    <mergeCell ref="A6:A17"/>
    <mergeCell ref="B35:B37"/>
    <mergeCell ref="B30:B33"/>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222F-9861-48F8-96FE-435DC2158245}">
  <sheetPr>
    <tabColor rgb="FFFF0000"/>
  </sheetPr>
  <dimension ref="A1:W68"/>
  <sheetViews>
    <sheetView topLeftCell="A19" zoomScaleNormal="100" workbookViewId="0">
      <selection activeCell="C11" sqref="C11"/>
    </sheetView>
  </sheetViews>
  <sheetFormatPr defaultRowHeight="15"/>
  <cols>
    <col min="1" max="1" width="11" customWidth="1"/>
    <col min="2" max="2" width="12.7109375" customWidth="1"/>
    <col min="3" max="7" width="11" customWidth="1"/>
    <col min="8" max="8" width="13.28515625" customWidth="1"/>
    <col min="9" max="17" width="11.140625" customWidth="1"/>
    <col min="19" max="20" width="11.5703125" style="22" bestFit="1" customWidth="1"/>
    <col min="21" max="21" width="14.28515625" style="22" bestFit="1" customWidth="1"/>
    <col min="22" max="23" width="10.5703125" style="22" bestFit="1" customWidth="1"/>
  </cols>
  <sheetData>
    <row r="1" spans="1:23" ht="46.5" customHeight="1">
      <c r="A1" s="785" t="s">
        <v>1405</v>
      </c>
      <c r="B1" s="785"/>
      <c r="C1" s="785"/>
      <c r="D1" s="785"/>
      <c r="E1" s="785"/>
      <c r="F1" s="785"/>
      <c r="G1" s="785"/>
      <c r="H1" s="785"/>
      <c r="I1" s="785"/>
      <c r="J1" s="785"/>
      <c r="K1" s="785"/>
      <c r="L1" s="785"/>
      <c r="M1" s="785"/>
      <c r="N1" s="785"/>
      <c r="O1" s="785"/>
      <c r="P1" s="785"/>
      <c r="Q1" s="785"/>
      <c r="S1" s="699" t="s">
        <v>655</v>
      </c>
      <c r="T1" s="699" t="s">
        <v>61</v>
      </c>
      <c r="U1" s="699" t="s">
        <v>103</v>
      </c>
      <c r="V1" s="699" t="s">
        <v>332</v>
      </c>
      <c r="W1" s="699" t="s">
        <v>897</v>
      </c>
    </row>
    <row r="2" spans="1:23">
      <c r="A2" s="116" t="s">
        <v>655</v>
      </c>
      <c r="B2" s="116" t="s">
        <v>61</v>
      </c>
      <c r="C2" s="116" t="s">
        <v>103</v>
      </c>
      <c r="D2" s="116" t="s">
        <v>332</v>
      </c>
      <c r="E2" s="116" t="s">
        <v>272</v>
      </c>
      <c r="F2" s="116" t="s">
        <v>3077</v>
      </c>
      <c r="G2" s="116" t="s">
        <v>897</v>
      </c>
      <c r="H2" s="44"/>
      <c r="J2" s="79"/>
      <c r="K2" s="79"/>
      <c r="L2" s="79"/>
      <c r="M2" s="79"/>
      <c r="N2" s="79"/>
      <c r="O2" s="79"/>
      <c r="P2" s="79"/>
      <c r="Q2" s="79"/>
      <c r="S2" s="25"/>
      <c r="T2" s="25">
        <f>COUNTIFS(VVMV!F:F,"raw materials",VVMV!N:N,"Air",VVMV!L:L,"&gt;0")</f>
        <v>2</v>
      </c>
      <c r="U2" s="25">
        <f>COUNTIFS(Dolphin!H:H,"Air",Dolphin!G:G,"Raw materials")</f>
        <v>0</v>
      </c>
      <c r="V2" s="25">
        <f>COUNTIFS(EI!F:F,"air import",EI!AY:AY,"Raw materials")</f>
        <v>5</v>
      </c>
      <c r="W2" s="25"/>
    </row>
    <row r="3" spans="1:23">
      <c r="A3" s="113"/>
      <c r="B3" s="113"/>
      <c r="C3" s="113"/>
      <c r="D3" s="113"/>
      <c r="E3" s="113"/>
      <c r="F3" s="113"/>
      <c r="G3" s="113"/>
      <c r="H3" s="44"/>
      <c r="I3" s="44"/>
      <c r="J3" s="81"/>
      <c r="K3" s="81"/>
      <c r="L3" s="81"/>
      <c r="M3" s="81"/>
      <c r="N3" s="81"/>
      <c r="O3" s="81"/>
      <c r="P3" s="81"/>
      <c r="Q3" s="81"/>
      <c r="S3" s="25"/>
      <c r="T3" s="25">
        <f>SUMIFS(VVMV!T:T,VVMV!F:F,"Raw materials",VVMV!N:N,"Air",VVMV!L:L,"&gt;0")</f>
        <v>501</v>
      </c>
      <c r="U3" s="25">
        <f>SUMIFS(Dolphin!K:K,Dolphin!H:H,"Air",Dolphin!G:G,"Raw materials")</f>
        <v>0</v>
      </c>
      <c r="V3" s="25">
        <f>SUMIFS(EI!M:M,EI!F:F,"air import",EI!AY:AY,"Raw materials")</f>
        <v>594</v>
      </c>
      <c r="W3" s="25"/>
    </row>
    <row r="4" spans="1:23">
      <c r="A4" s="102"/>
      <c r="B4" s="102"/>
      <c r="C4" s="102"/>
      <c r="D4" s="102"/>
      <c r="E4" s="102"/>
      <c r="F4" s="102"/>
      <c r="G4" s="102"/>
      <c r="H4" s="44"/>
      <c r="I4" s="786" t="s">
        <v>876</v>
      </c>
      <c r="J4" s="786"/>
      <c r="K4" s="786"/>
      <c r="L4" s="786"/>
      <c r="M4" s="786"/>
      <c r="N4" s="786"/>
      <c r="O4" s="786"/>
      <c r="P4" s="786"/>
      <c r="Q4" s="786"/>
      <c r="S4" s="700"/>
      <c r="T4" s="700">
        <f>SUMIFS(VVMV!L:L,VVMV!F:F,"Raw materials",VVMV!N:N,"Air",VVMV!L:L,"&gt;0")</f>
        <v>927.25481822991458</v>
      </c>
      <c r="U4" s="701">
        <f>'FWD Detail'!BV50</f>
        <v>0</v>
      </c>
      <c r="V4" s="700">
        <f>SUMIFS(EI!AV:AV,EI!F:F,"air import",EI!AY:AY,"Raw materials")</f>
        <v>1435.3751498576762</v>
      </c>
      <c r="W4" s="700">
        <f>SUMIFS(EI!AW:AW,EI!G:G,"air import",EI!AZ:AZ,"Raw materials")</f>
        <v>0</v>
      </c>
    </row>
    <row r="5" spans="1:23" ht="15.75" thickBot="1">
      <c r="A5" s="109"/>
      <c r="B5" s="109"/>
      <c r="C5" s="109"/>
      <c r="D5" s="109"/>
      <c r="E5" s="109"/>
      <c r="F5" s="109"/>
      <c r="G5" s="109"/>
      <c r="H5" s="44"/>
      <c r="I5" s="745"/>
      <c r="J5" s="746" t="s">
        <v>339</v>
      </c>
      <c r="K5" s="746" t="s">
        <v>527</v>
      </c>
      <c r="L5" s="746" t="s">
        <v>334</v>
      </c>
      <c r="M5" s="746" t="s">
        <v>333</v>
      </c>
      <c r="N5" s="746" t="s">
        <v>897</v>
      </c>
      <c r="O5" s="746" t="s">
        <v>3077</v>
      </c>
      <c r="P5" s="746" t="s">
        <v>272</v>
      </c>
      <c r="Q5" s="746" t="s">
        <v>875</v>
      </c>
      <c r="S5" s="25">
        <f>COUNTIF('FedEx Import'!S:S,"raw materials")</f>
        <v>138</v>
      </c>
      <c r="T5" s="25"/>
      <c r="U5" s="25"/>
      <c r="V5" s="25"/>
      <c r="W5" s="25"/>
    </row>
    <row r="6" spans="1:23">
      <c r="A6" s="638">
        <f>SUMIF('FedEx Import'!S:S,"Raw materials",'FedEx Import'!R:R)</f>
        <v>9743.2527397777885</v>
      </c>
      <c r="B6" s="638">
        <f>SUMIFS(VVMV!L:L,VVMV!E:E,"Import",VVMV!F:F,"Raw materials")</f>
        <v>7975.6430243367859</v>
      </c>
      <c r="C6" s="638">
        <f>(SUMIF(Dolphin!G:G,"Raw materials",Dolphin!Q:Q)+SUMIF(Dolphin!G:G,"Raw materials",Dolphin!R:R)+SUMIF(Dolphin!G:G,"Raw materials",Dolphin!S:S)+SUMIF(Dolphin!G:G,"Raw materials",Dolphin!W:W))/'Logistics record '!AD1</f>
        <v>1899.1301111027133</v>
      </c>
      <c r="D6" s="638">
        <f>SUMIFS(EI!AV:AV,EI!AX:AX,"import",EI!AY:AY,"Raw materials")</f>
        <v>1435.3751498576762</v>
      </c>
      <c r="E6" s="638"/>
      <c r="F6" s="638"/>
      <c r="G6" s="639">
        <f>SUMIF(DHL!C:C,"raw materials",DHL!W:W)</f>
        <v>2103.8265530572144</v>
      </c>
      <c r="H6" s="44"/>
      <c r="I6" s="747" t="s">
        <v>873</v>
      </c>
      <c r="J6" s="748">
        <f>SUM('FedEx Export'!AC:AC)</f>
        <v>584.86641221374043</v>
      </c>
      <c r="K6" s="749"/>
      <c r="L6" s="749"/>
      <c r="M6" s="748">
        <f>SUMIF(VVMV!E:E,"Export",VVMV!O:O)</f>
        <v>818.15433451742115</v>
      </c>
      <c r="N6" s="749">
        <f>SUMIF(DHL!B:B,"Export",DHL!W:W)</f>
        <v>112.95749365127351</v>
      </c>
      <c r="O6" s="749">
        <f>9000000/'Logistics record '!AD1</f>
        <v>340.11034691255384</v>
      </c>
      <c r="P6" s="749"/>
      <c r="Q6" s="749">
        <f>SUM(J6:P6)</f>
        <v>1856.0885872949889</v>
      </c>
      <c r="S6" s="25">
        <f>SUMIF('FedEx Import'!S:S,"raw materials",'FedEx Import'!L:L)</f>
        <v>2534.7999999999993</v>
      </c>
      <c r="T6" s="25"/>
      <c r="U6" s="25"/>
      <c r="V6" s="25"/>
      <c r="W6" s="25"/>
    </row>
    <row r="7" spans="1:23">
      <c r="A7" s="640">
        <f>COUNTIF('FedEx Import'!S:S,"raw materials")</f>
        <v>138</v>
      </c>
      <c r="B7" s="640">
        <f>COUNTIFS(VVMV!F:F,"Raw materials",VVMV!L:L,"&gt;0")</f>
        <v>14</v>
      </c>
      <c r="C7" s="640">
        <f>COUNTIF(Dolphin!G:G,"Raw materials")</f>
        <v>4</v>
      </c>
      <c r="D7" s="640">
        <f>COUNTIF(EI!AY:AY,"Raw materials")</f>
        <v>5</v>
      </c>
      <c r="E7" s="640"/>
      <c r="F7" s="640"/>
      <c r="G7" s="641">
        <f>COUNTIF(DHL!C:C,"Raw materials")</f>
        <v>10</v>
      </c>
      <c r="H7" s="44"/>
      <c r="I7" s="747"/>
      <c r="J7" s="750">
        <f>J6*'Logistics record '!$AD$1</f>
        <v>15476735</v>
      </c>
      <c r="K7" s="751"/>
      <c r="L7" s="751"/>
      <c r="M7" s="750">
        <f>M6*'Logistics record '!$AD$1</f>
        <v>21650000</v>
      </c>
      <c r="N7" s="751"/>
      <c r="O7" s="751"/>
      <c r="P7" s="751"/>
      <c r="Q7" s="751"/>
      <c r="S7" s="700">
        <f>SUMIF('FedEx Import'!S:S,"raw materials",'FedEx Import'!R:R)</f>
        <v>9743.2527397777885</v>
      </c>
      <c r="T7" s="700"/>
      <c r="U7" s="700"/>
      <c r="V7" s="700"/>
      <c r="W7" s="700"/>
    </row>
    <row r="8" spans="1:23">
      <c r="A8" s="106">
        <f>SUMIF('FedEx Import'!S:S,"Raw materials",'FedEx Import'!L:L)</f>
        <v>2534.7999999999993</v>
      </c>
      <c r="B8" s="106">
        <f>SUMIFS(VVMV!T:T,VVMV!F:F,"Raw materials",VVMV!L:L,"&gt;0")</f>
        <v>9551.9710000000014</v>
      </c>
      <c r="C8" s="106">
        <f>SUMIF(Dolphin!G:G,"Raw materials",Dolphin!K:K)</f>
        <v>2829.1</v>
      </c>
      <c r="D8" s="106">
        <f>SUMIF(EI!AY:AY,"Raw materials",EI!N:N)</f>
        <v>586</v>
      </c>
      <c r="E8" s="106"/>
      <c r="F8" s="106"/>
      <c r="G8" s="642">
        <f>SUMIF(DHL!C:C,"Raw materials",DHL!O:O)</f>
        <v>180</v>
      </c>
      <c r="H8" s="44"/>
      <c r="I8" s="747" t="s">
        <v>874</v>
      </c>
      <c r="J8" s="748">
        <f>SUM('FedEx Import'!R:R)</f>
        <v>9743.2527397777885</v>
      </c>
      <c r="K8" s="749">
        <f>SUM(EI!AV:AV)</f>
        <v>2104.7273237799404</v>
      </c>
      <c r="L8" s="749">
        <f>SUM(Dolphin!Y18:Y21)/'Logistics record '!$AD$1</f>
        <v>2192.3808102184266</v>
      </c>
      <c r="M8" s="748">
        <f>SUMIF(VVMV!E:E,"import",VVMV!O:O)</f>
        <v>25995.065078603242</v>
      </c>
      <c r="N8" s="749">
        <f>SUMIF(DHL!B:B,"import",DHL!W:W)</f>
        <v>2103.8265530572144</v>
      </c>
      <c r="O8" s="749"/>
      <c r="P8" s="749">
        <f>22000000/'Logistics record '!AD1</f>
        <v>831.38084800846502</v>
      </c>
      <c r="Q8" s="749">
        <f>SUM(J8:P8)</f>
        <v>42970.633353445075</v>
      </c>
      <c r="S8" s="700"/>
      <c r="T8" s="700"/>
      <c r="U8" s="700"/>
      <c r="V8" s="700"/>
      <c r="W8" s="700">
        <f>COUNTIF(DHL!C:C,"Raw materials")</f>
        <v>10</v>
      </c>
    </row>
    <row r="9" spans="1:23">
      <c r="A9" s="80"/>
      <c r="B9" s="123">
        <f>SUMIFS(VVMV!J:J,VVMV!E:E,"import",VVMV!F:F,"Raw materials")+SUMIFS(VVMV!K:K,VVMV!E:E,"import",VVMV!F:F,"Raw materials")+SUMIFS(VVMV!M:M,VVMV!E:E,"import",VVMV!F:F,"Raw materials")</f>
        <v>17411.002720882701</v>
      </c>
      <c r="C9" s="123">
        <f>SUMIF(Dolphin!G:G,"Raw materials",Dolphin!M:M)/'Logistics record '!AD1+SUMIF(Dolphin!G:G,"Raw materials",Dolphin!N:N)/'Logistics record '!AD1+SUMIF(Dolphin!G:G,"Raw materials",Dolphin!O:O)/'Logistics record '!AD1+SUMIF(Dolphin!G:G,"Raw materials",Dolphin!P:P)/'Logistics record '!AD1</f>
        <v>293.25069911571313</v>
      </c>
      <c r="D9" s="80"/>
      <c r="E9" s="80"/>
      <c r="F9" s="80"/>
      <c r="G9" s="643"/>
      <c r="H9" s="44"/>
      <c r="I9" s="747"/>
      <c r="J9" s="750">
        <f>J8*'Logistics record '!$AD$1</f>
        <v>257825953.99999985</v>
      </c>
      <c r="K9" s="751">
        <f>EI!AT23</f>
        <v>55570168</v>
      </c>
      <c r="L9" s="751">
        <f>L8*'Logistics record '!$AD$1</f>
        <v>58014781.000000007</v>
      </c>
      <c r="M9" s="750">
        <f>M8*'Logistics record '!$AD$1</f>
        <v>687881412.10999894</v>
      </c>
      <c r="N9" s="751"/>
      <c r="O9" s="751"/>
      <c r="P9" s="751"/>
      <c r="Q9" s="751"/>
      <c r="S9" s="700"/>
      <c r="T9" s="700"/>
      <c r="U9" s="700"/>
      <c r="V9" s="700"/>
      <c r="W9" s="700">
        <f>SUMIF(DHL!C:C,"raw materials",DHL!O:O)</f>
        <v>180</v>
      </c>
    </row>
    <row r="10" spans="1:23">
      <c r="A10" s="114"/>
      <c r="B10" s="114">
        <f>COUNTIFS(VVMV!F:F,"raw materials",VVMV!J:J,"&gt;0")</f>
        <v>527</v>
      </c>
      <c r="C10" s="114">
        <v>4</v>
      </c>
      <c r="D10" s="114"/>
      <c r="E10" s="114"/>
      <c r="F10" s="114"/>
      <c r="G10" s="644"/>
      <c r="H10" s="44"/>
      <c r="I10" s="747" t="s">
        <v>1159</v>
      </c>
      <c r="J10" s="751"/>
      <c r="K10" s="751"/>
      <c r="L10" s="749">
        <f>Dolphin!X22/'Logistics record '!$AD$1</f>
        <v>2.2674023127503591</v>
      </c>
      <c r="M10" s="748">
        <f>SUMIF(VVMV!B:B,"Lệ phí hải quan",VVMV!AG:AG)/'Logistics record '!$AD$1</f>
        <v>232.4087370569118</v>
      </c>
      <c r="N10" s="751"/>
      <c r="O10" s="751"/>
      <c r="P10" s="751"/>
      <c r="Q10" s="749">
        <f>SUM(J10:P10)</f>
        <v>234.67613936966217</v>
      </c>
      <c r="S10" s="700"/>
      <c r="T10" s="700"/>
      <c r="U10" s="700"/>
      <c r="V10" s="700"/>
      <c r="W10" s="700">
        <f>SUMIF(DHL!C:C,"raw materials",DHL!W:W)</f>
        <v>2103.8265530572144</v>
      </c>
    </row>
    <row r="11" spans="1:23">
      <c r="A11" s="115"/>
      <c r="B11" s="115"/>
      <c r="C11" s="115"/>
      <c r="D11" s="115"/>
      <c r="E11" s="115"/>
      <c r="F11" s="115"/>
      <c r="G11" s="645"/>
      <c r="H11" s="44"/>
      <c r="I11" s="747"/>
      <c r="J11" s="751"/>
      <c r="K11" s="751"/>
      <c r="L11" s="751">
        <f>L10*'Logistics record '!$AD$1</f>
        <v>60000</v>
      </c>
      <c r="M11" s="750">
        <f>M10*'Logistics record '!$AD$1</f>
        <v>6150000</v>
      </c>
      <c r="N11" s="749"/>
      <c r="O11" s="749"/>
      <c r="P11" s="749"/>
      <c r="Q11" s="749">
        <f>SUM(J11:P11)</f>
        <v>6210000</v>
      </c>
      <c r="S11" s="700"/>
      <c r="T11" s="25">
        <f>COUNTIFS(VVMV!F:F,"raw materials",VVMV!N:N,"Sea",VVMV!L:L,"&gt;0")</f>
        <v>12</v>
      </c>
      <c r="U11" s="25">
        <f>COUNTIFS(Dolphin!H:H,"Sea",Dolphin!G:G,"Raw materials")</f>
        <v>4</v>
      </c>
      <c r="V11" s="700">
        <f>COUNTIF(EI!F:F,"sea import")</f>
        <v>0</v>
      </c>
      <c r="W11" s="700">
        <f>COUNTIF(EI!G:G,"sea import")</f>
        <v>0</v>
      </c>
    </row>
    <row r="12" spans="1:23">
      <c r="A12" s="124">
        <f>SUMIF('FedEx Import'!S:S,"Equipments + toolings",'FedEx Import'!R:R)</f>
        <v>0</v>
      </c>
      <c r="B12" s="123">
        <f>SUMIFS(VVMV!L:L,VVMV!E:E,"Import",VVMV!F:F,"Equipments + Toolings")</f>
        <v>0</v>
      </c>
      <c r="C12" s="123">
        <f>SUMIFS(Dolphin!AD:AD,Dolphin!AB:AB,"import",Dolphin!G:G,"Equipments + Toolings")</f>
        <v>0</v>
      </c>
      <c r="D12" s="80">
        <f>SUMIFS(EI!AV:AV,EI!AX:AX,"import",EI!AY:AY,"equipments + toolings")</f>
        <v>669.35217392226434</v>
      </c>
      <c r="E12" s="80"/>
      <c r="F12" s="80"/>
      <c r="G12" s="643"/>
      <c r="H12" s="44"/>
      <c r="I12" s="747" t="s">
        <v>1732</v>
      </c>
      <c r="J12" s="751"/>
      <c r="K12" s="751"/>
      <c r="L12" s="749">
        <f>Dolphin!X24/'Logistics record '!$AD$1</f>
        <v>0</v>
      </c>
      <c r="M12" s="748">
        <f>SUMIF(VVMV!B:B,"Báo cáo quyết toán",VVMV!AG:AG)/'Logistics record '!$AD$1</f>
        <v>0</v>
      </c>
      <c r="N12" s="751"/>
      <c r="O12" s="751"/>
      <c r="P12" s="751"/>
      <c r="Q12" s="749">
        <f>SUM(J12:P12)</f>
        <v>0</v>
      </c>
      <c r="S12" s="700"/>
      <c r="T12" s="700"/>
      <c r="U12" s="700"/>
      <c r="V12" s="700"/>
      <c r="W12" s="700"/>
    </row>
    <row r="13" spans="1:23">
      <c r="A13" s="106">
        <f>SUMIF('FedEx Import'!S:S,"equipments + toolings",'FedEx Import'!L:L)</f>
        <v>0</v>
      </c>
      <c r="B13" s="106">
        <f>SUMIFS(VVMV!T:T,VVMV!F:F,"Equipments + toolings",VVMV!L:L,"&gt;0")</f>
        <v>0</v>
      </c>
      <c r="C13" s="106">
        <f>SUMIF(Dolphin!G18:G23,"Equipments + Toolings",Dolphin!K18:K23)</f>
        <v>0</v>
      </c>
      <c r="D13" s="106">
        <f>SUMIF(EI!AY:AY,"Equipments + Toolings",EI!N:N)</f>
        <v>288</v>
      </c>
      <c r="E13" s="106"/>
      <c r="F13" s="106"/>
      <c r="G13" s="642"/>
      <c r="H13" s="44"/>
      <c r="I13" s="747"/>
      <c r="J13" s="751"/>
      <c r="K13" s="751"/>
      <c r="L13" s="751">
        <f>L12*'Logistics record '!$AD$1</f>
        <v>0</v>
      </c>
      <c r="M13" s="751">
        <f>M12*'Logistics record '!$AD$1</f>
        <v>0</v>
      </c>
      <c r="N13" s="749"/>
      <c r="O13" s="749"/>
      <c r="P13" s="749"/>
      <c r="Q13" s="749">
        <f>SUM(J13:P13)</f>
        <v>0</v>
      </c>
      <c r="S13" s="700"/>
      <c r="T13" s="700">
        <f>SUMIFS(VVMV!L:L,VVMV!F:F,"Raw materials",VVMV!N:N,"Sea",VVMV!L:L,"&gt;0")</f>
        <v>7048.3882061068716</v>
      </c>
      <c r="U13" s="700">
        <f>SUMIFS(Dolphin!AD:AD,Dolphin!H:H,"sea",Dolphin!G:G,"Raw Materials")</f>
        <v>1477.4045423626333</v>
      </c>
      <c r="V13" s="700">
        <f>SUMIF(EI!F:F,"sea import",EI!AV:AV)</f>
        <v>0</v>
      </c>
      <c r="W13" s="700">
        <f>SUMIF(EI!G:G,"sea import",EI!AW:AW)</f>
        <v>0</v>
      </c>
    </row>
    <row r="14" spans="1:23">
      <c r="A14" s="80"/>
      <c r="B14" s="123">
        <f>SUMIFS(VVMV!J:J,VVMV!E:E,"import",VVMV!F:F,"Equipments + Toolings")+SUMIFS(VVMV!K:K,VVMV!E:E,"import",VVMV!F:F,"Equipments + Toolings")+SUMIFS(VVMV!M:M,VVMV!E:E,"import",VVMV!F:F,"Equipments + Toolings")</f>
        <v>608.41933338372007</v>
      </c>
      <c r="C14" s="123">
        <f>SUMIF(Dolphin!G:G,"Equipments + Toolings",Dolphin!M:M)/'Logistics record '!AD1+SUMIF(Dolphin!G:G,"Equipments + Toolings",Dolphin!N:N)/'Logistics record '!AD1+SUMIF(Dolphin!G:G,"Equipments + Toolings",Dolphin!O:O)/'Logistics record '!AD1+SUMIF(Dolphin!G:G,"Equipments + Toolings",Dolphin!P:P)/'Logistics record '!AD1</f>
        <v>0</v>
      </c>
      <c r="D14" s="80"/>
      <c r="E14" s="80"/>
      <c r="F14" s="80"/>
      <c r="G14" s="643"/>
      <c r="H14" s="44"/>
      <c r="I14" s="747" t="s">
        <v>875</v>
      </c>
      <c r="J14" s="752">
        <f>+J8+J6+J11</f>
        <v>10328.119151991528</v>
      </c>
      <c r="K14" s="752">
        <f>+K8+K6+K11</f>
        <v>2104.7273237799404</v>
      </c>
      <c r="L14" s="752">
        <f>L10+L8+L6</f>
        <v>2194.6482125311768</v>
      </c>
      <c r="M14" s="752">
        <f>M10+M8+M6+M12</f>
        <v>27045.628150177574</v>
      </c>
      <c r="N14" s="752">
        <f>N10+N8+N6+N12</f>
        <v>2216.7840467084879</v>
      </c>
      <c r="O14" s="752">
        <f>O10+O8+O6+O12</f>
        <v>340.11034691255384</v>
      </c>
      <c r="P14" s="752">
        <f>P10+P8+P6+P12</f>
        <v>831.38084800846502</v>
      </c>
      <c r="Q14" s="753">
        <f>SUM(J14:P14)</f>
        <v>45061.398080109728</v>
      </c>
      <c r="S14" s="25"/>
      <c r="T14" s="25">
        <f>COUNTIF(VVMV!F:F,"raw materials")</f>
        <v>527</v>
      </c>
      <c r="U14" s="25">
        <f>COUNTIF(Dolphin!G:G,"raw materials")</f>
        <v>4</v>
      </c>
      <c r="V14" s="25"/>
      <c r="W14" s="25"/>
    </row>
    <row r="15" spans="1:23">
      <c r="A15" s="115"/>
      <c r="B15" s="115"/>
      <c r="C15" s="115"/>
      <c r="D15" s="115"/>
      <c r="E15" s="115"/>
      <c r="F15" s="115"/>
      <c r="G15" s="645"/>
      <c r="H15" s="44"/>
      <c r="I15" s="749" t="s">
        <v>877</v>
      </c>
      <c r="J15" s="754">
        <f>+J14*'Logistics record '!AD1</f>
        <v>273302688.99999982</v>
      </c>
      <c r="K15" s="754">
        <f>SUM(EI!AU13:AU82)</f>
        <v>55570168</v>
      </c>
      <c r="L15" s="754">
        <f>+L14*'Logistics record '!AD1</f>
        <v>58074781</v>
      </c>
      <c r="M15" s="754">
        <f>+M14*'Logistics record '!$AD$1</f>
        <v>715681412.10999894</v>
      </c>
      <c r="N15" s="754">
        <f>+N14*'Logistics record '!$AD$1</f>
        <v>58660539.444000006</v>
      </c>
      <c r="O15" s="754">
        <f>+O14*'Logistics record '!$AD$1</f>
        <v>9000000</v>
      </c>
      <c r="P15" s="754">
        <f>P14*'Logistics record '!AD1</f>
        <v>22000000</v>
      </c>
      <c r="Q15" s="755">
        <f>+Q14*'Logistics record '!AD1</f>
        <v>1192414715.9958637</v>
      </c>
      <c r="S15" s="700"/>
      <c r="T15" s="700">
        <f>SUMIF(VVMV!F:F,"raw materials",VVMV!J:J)</f>
        <v>7932.1290907715857</v>
      </c>
      <c r="U15" s="700">
        <f>SUMIF(Dolphin!G:G,"raw materials",Dolphin!AF:AF)</f>
        <v>81.626483259012929</v>
      </c>
      <c r="V15" s="700"/>
      <c r="W15" s="700"/>
    </row>
    <row r="16" spans="1:23">
      <c r="A16" s="107"/>
      <c r="B16" s="107"/>
      <c r="C16" s="107"/>
      <c r="D16" s="107"/>
      <c r="E16" s="107">
        <f>22000000/'Logistics record '!AD1</f>
        <v>831.38084800846502</v>
      </c>
      <c r="F16" s="107"/>
      <c r="G16" s="646"/>
      <c r="H16" s="44"/>
      <c r="I16" s="80"/>
      <c r="J16" s="80"/>
      <c r="K16" s="80"/>
      <c r="L16" s="80"/>
      <c r="Q16" s="48"/>
      <c r="S16" s="25"/>
      <c r="T16" s="25">
        <f>COUNTIFS(VVMV!F:F,"raw materials",VVMV!K:K,"&gt;0")</f>
        <v>17</v>
      </c>
      <c r="U16" s="25">
        <f>COUNTIF(Dolphin!G:G,"raw materials")</f>
        <v>4</v>
      </c>
      <c r="V16" s="25"/>
      <c r="W16" s="25"/>
    </row>
    <row r="17" spans="1:23" ht="15.75" thickBot="1">
      <c r="A17" s="650"/>
      <c r="B17" s="650"/>
      <c r="C17" s="650"/>
      <c r="D17" s="650"/>
      <c r="E17" s="650"/>
      <c r="F17" s="650"/>
      <c r="G17" s="651"/>
      <c r="H17" s="4"/>
      <c r="I17" s="80"/>
      <c r="J17" s="80"/>
      <c r="K17" s="107"/>
      <c r="L17" s="107"/>
      <c r="M17" s="107"/>
      <c r="N17" s="107"/>
      <c r="O17" s="107"/>
      <c r="P17" s="107"/>
      <c r="Q17" s="107"/>
      <c r="S17" s="700"/>
      <c r="T17" s="700">
        <f>SUMIF(VVMV!F:F,"raw materials",VVMV!K:K)</f>
        <v>967.42498677348635</v>
      </c>
      <c r="U17" s="700">
        <f>SUMIF(Dolphin!G:G,"raw materials",Dolphin!AG:AG)</f>
        <v>211.62421585670018</v>
      </c>
      <c r="V17" s="700"/>
      <c r="W17" s="700"/>
    </row>
    <row r="18" spans="1:23">
      <c r="A18" s="654">
        <f>SUMIF('FedEx Export'!W:W,"transfer",'FedEx Export'!AC:AC)</f>
        <v>354.56802206938255</v>
      </c>
      <c r="B18" s="655"/>
      <c r="C18" s="655">
        <f>(SUMIFS(Dolphin!Q:Q,Dolphin!AB:AB,"Export",Dolphin!AA:AA,"Transfer")+SUMIFS(Dolphin!R:R,Dolphin!AB:AB,"Export",Dolphin!AA:AA,"Transfer")+SUMIFS(Dolphin!S:S,Dolphin!AB:AB,"Export",Dolphin!AA:AA,"Transfer")+SUMIFS(Dolphin!X:X,Dolphin!AB:AB,"Export",Dolphin!AA:AA,"Transfer"))/'Logistics record '!$AD$1</f>
        <v>0</v>
      </c>
      <c r="D18" s="655"/>
      <c r="E18" s="655"/>
      <c r="F18" s="655"/>
      <c r="G18" s="656"/>
      <c r="H18" s="105"/>
      <c r="I18" s="4"/>
      <c r="J18" s="110"/>
      <c r="K18" s="110"/>
      <c r="L18" s="110"/>
      <c r="M18" s="110"/>
      <c r="N18" s="110"/>
      <c r="O18" s="110"/>
      <c r="P18" s="110"/>
      <c r="Q18" s="110"/>
      <c r="S18" s="25"/>
      <c r="T18" s="25">
        <f>COUNTIFS(VVMV!F:F,"raw materials",VVMV!M:M,"&gt;0")</f>
        <v>142</v>
      </c>
      <c r="U18" s="25">
        <f>COUNTIF(Dolphin!G:G,"raw materials")</f>
        <v>4</v>
      </c>
      <c r="V18" s="25"/>
      <c r="W18" s="25"/>
    </row>
    <row r="19" spans="1:23">
      <c r="A19" s="106">
        <f>SUMIF('FedEx Export'!W:W,"transfer",'FedEx Export'!L:L)</f>
        <v>27</v>
      </c>
      <c r="B19" s="106"/>
      <c r="C19" s="106"/>
      <c r="D19" s="106"/>
      <c r="E19" s="106"/>
      <c r="F19" s="106"/>
      <c r="G19" s="642"/>
      <c r="H19" s="106"/>
      <c r="I19" s="80"/>
      <c r="J19" s="80"/>
      <c r="K19" s="80"/>
      <c r="L19" s="80"/>
      <c r="M19" s="80"/>
      <c r="N19" s="80"/>
      <c r="O19" s="80"/>
      <c r="P19" s="80"/>
      <c r="Q19" s="80"/>
      <c r="S19" s="700"/>
      <c r="T19" s="700">
        <f>SUMIF(VVMV!F:F,"Raw materials",VVMV!M:M)</f>
        <v>8511.4486433376296</v>
      </c>
      <c r="U19" s="700">
        <f>SUMIF(Dolphin!G:G,"raw materials",Dolphin!AI:AI)</f>
        <v>421.72556874008001</v>
      </c>
      <c r="V19" s="700"/>
      <c r="W19" s="700"/>
    </row>
    <row r="20" spans="1:23">
      <c r="A20" s="80"/>
      <c r="B20" s="123">
        <f>SUMIFS(VVMV!O:O,VVMV!G:G,"Transfer",VVMV!E:E,"EXPORT")</f>
        <v>239.9667447660797</v>
      </c>
      <c r="C20" s="80">
        <f>(SUMIFS(Dolphin!M:M,Dolphin!AB:AB,"Export",Dolphin!AA:AA,"Transfer")+SUMIFS(Dolphin!N:N,Dolphin!AB:AB,"Export",Dolphin!AA:AA,"Transfer")+SUMIFS(Dolphin!O:O,Dolphin!AB:AB,"Export",Dolphin!AA:AA,"Transfer")+SUMIFS(Dolphin!P:P,Dolphin!AB:AB,"Export",Dolphin!AA:AA,"Transfer"))/'Logistics record '!$AD$1</f>
        <v>0</v>
      </c>
      <c r="D20" s="80"/>
      <c r="E20" s="80"/>
      <c r="F20" s="80"/>
      <c r="G20" s="643"/>
      <c r="H20" s="105"/>
      <c r="I20" s="106"/>
      <c r="J20" s="106"/>
      <c r="K20" s="106"/>
      <c r="L20" s="106"/>
      <c r="M20" s="106"/>
      <c r="N20" s="106"/>
      <c r="O20" s="106"/>
      <c r="P20" s="106"/>
      <c r="Q20" s="106"/>
      <c r="S20" s="533">
        <f>SUMIF('Import material detail'!$C$2:$C$19,"Amount",S2:S19)</f>
        <v>9743.2527397777885</v>
      </c>
      <c r="T20" s="533">
        <f>SUMIF('Import material detail'!$C$2:$C$19,"Amount",T2:T19)</f>
        <v>25386.645745219488</v>
      </c>
      <c r="U20" s="533">
        <f>SUMIF('Import material detail'!$C$2:$C$19,"Amount",U2:U19)</f>
        <v>2192.3808102184266</v>
      </c>
      <c r="V20" s="533">
        <f>SUMIF('Import material detail'!$C$2:$C$19,"Amount",V2:V19)</f>
        <v>1435.3751498576762</v>
      </c>
      <c r="W20" s="533">
        <f>SUMIF('Import material detail'!$C$2:$C$19,"Amount",W2:W19)</f>
        <v>2103.8265530572144</v>
      </c>
    </row>
    <row r="21" spans="1:23">
      <c r="A21" s="115"/>
      <c r="B21" s="115"/>
      <c r="C21" s="115"/>
      <c r="D21" s="115"/>
      <c r="E21" s="115"/>
      <c r="F21" s="115"/>
      <c r="G21" s="645"/>
      <c r="H21" s="80"/>
      <c r="I21" s="106"/>
      <c r="J21" s="106"/>
      <c r="K21" s="106"/>
      <c r="L21" s="106"/>
      <c r="M21" s="106"/>
      <c r="N21" s="106"/>
      <c r="O21" s="106"/>
      <c r="P21" s="106"/>
      <c r="Q21" s="106"/>
      <c r="S21" s="787" t="s">
        <v>1404</v>
      </c>
      <c r="T21" s="787"/>
      <c r="U21" s="787"/>
      <c r="V21" s="787"/>
      <c r="W21" s="787"/>
    </row>
    <row r="22" spans="1:23">
      <c r="A22" s="123">
        <f>SUMIF('FedEx Export'!W:W,"Lucid",'FedEx Export'!AC:AC)</f>
        <v>0</v>
      </c>
      <c r="B22" s="110"/>
      <c r="C22" s="110">
        <f>(SUMIFS(Dolphin!Q:Q,Dolphin!AB:AB,"Export",Dolphin!AA:AA,"Lucid")+SUMIFS(Dolphin!R:R,Dolphin!AB:AB,"Export",Dolphin!AA:AA,"Lucid")+SUMIFS(Dolphin!S:S,Dolphin!AB:AB,"Export",Dolphin!AA:AA,"Lucid")+SUMIFS(Dolphin!X:X,Dolphin!AB:AB,"Export",Dolphin!AA:AA,"Lucid"))/'Logistics record '!$AD$1</f>
        <v>0</v>
      </c>
      <c r="D22" s="110">
        <f>SUMIFS(EI!AV:AV,EI!AW:AW,"Lucid",EI!AX:AX,"Export")</f>
        <v>0</v>
      </c>
      <c r="E22" s="110"/>
      <c r="F22" s="110"/>
      <c r="G22" s="657"/>
      <c r="H22" s="110"/>
      <c r="I22" s="106"/>
      <c r="J22" s="106"/>
      <c r="K22" s="106"/>
      <c r="L22" s="106"/>
      <c r="M22" s="106"/>
      <c r="N22" s="106"/>
      <c r="O22" s="106"/>
      <c r="P22" s="106"/>
      <c r="Q22" s="106"/>
      <c r="S22" s="787"/>
      <c r="T22" s="787"/>
      <c r="U22" s="787"/>
      <c r="V22" s="787"/>
      <c r="W22" s="787"/>
    </row>
    <row r="23" spans="1:23">
      <c r="A23" s="134">
        <f>SUMIF('FedEx Export'!W:W,"Lucid",'FedEx Export'!L:L)</f>
        <v>0</v>
      </c>
      <c r="B23" s="134"/>
      <c r="C23" s="134"/>
      <c r="D23" s="134"/>
      <c r="E23" s="134"/>
      <c r="F23" s="134"/>
      <c r="G23" s="658"/>
      <c r="H23" s="110"/>
      <c r="I23" s="106"/>
      <c r="J23" s="106"/>
      <c r="K23" s="106"/>
      <c r="L23" s="106"/>
      <c r="M23" s="106"/>
      <c r="N23" s="106"/>
      <c r="O23" s="106"/>
      <c r="P23" s="106"/>
      <c r="Q23" s="106"/>
      <c r="S23" s="787"/>
      <c r="T23" s="787"/>
      <c r="U23" s="787"/>
      <c r="V23" s="787"/>
      <c r="W23" s="787"/>
    </row>
    <row r="24" spans="1:23">
      <c r="A24" s="110"/>
      <c r="B24" s="123">
        <f>SUMIFS(VVMV!O:O,VVMV!G:G,"Lucid",VVMV!E:E,"EXPORT")</f>
        <v>211.6242158567002</v>
      </c>
      <c r="C24" s="110">
        <f>(SUMIFS(Dolphin!M:M,Dolphin!AB:AB,"Export",Dolphin!AA:AA,"Lucid")+SUMIFS(Dolphin!N:N,Dolphin!AB:AB,"Export",Dolphin!AA:AA,"Lucid")+SUMIFS(Dolphin!O:O,Dolphin!AB:AB,"Export",Dolphin!AA:AA,"Lucid")+SUMIFS(Dolphin!P:P,Dolphin!AB:AB,"Export",Dolphin!AA:AA,"Lucid"))/'Logistics record '!$AD$1</f>
        <v>0</v>
      </c>
      <c r="D24" s="110"/>
      <c r="E24" s="110"/>
      <c r="F24" s="110"/>
      <c r="G24" s="657"/>
      <c r="H24" s="131"/>
      <c r="I24" s="106"/>
      <c r="J24" s="106"/>
      <c r="K24" s="106"/>
      <c r="L24" s="106"/>
      <c r="M24" s="106"/>
      <c r="N24" s="106"/>
      <c r="O24" s="106"/>
      <c r="P24" s="106"/>
      <c r="Q24" s="106"/>
      <c r="S24" s="787"/>
      <c r="T24" s="787"/>
      <c r="U24" s="787"/>
      <c r="V24" s="787"/>
      <c r="W24" s="787"/>
    </row>
    <row r="25" spans="1:23">
      <c r="A25" s="115"/>
      <c r="B25" s="115"/>
      <c r="C25" s="115"/>
      <c r="D25" s="115"/>
      <c r="E25" s="115"/>
      <c r="F25" s="115"/>
      <c r="G25" s="645"/>
      <c r="H25" s="80"/>
      <c r="I25" s="106"/>
      <c r="J25" s="106"/>
      <c r="K25" s="106"/>
      <c r="L25" s="106"/>
      <c r="M25" s="106"/>
      <c r="N25" s="106"/>
      <c r="O25" s="106"/>
      <c r="P25" s="106"/>
      <c r="Q25" s="106"/>
      <c r="T25" s="532"/>
    </row>
    <row r="26" spans="1:23">
      <c r="A26" s="80"/>
      <c r="B26" s="80"/>
      <c r="C26" s="80">
        <f>(SUMIFS(Dolphin!Q:Q,Dolphin!AB:AB,"Export",Dolphin!AA:AA,"Agiga")+SUMIFS(Dolphin!R:R,Dolphin!AB:AB,"Export",Dolphin!AA:AA,"Agiga")+SUMIFS(Dolphin!S:S,Dolphin!AB:AB,"Export",Dolphin!AA:AA,"Agiga")+SUMIFS(Dolphin!X:X,Dolphin!AB:AB,"Export",Dolphin!AA:AA,"Agiga"))/'Logistics record '!$AD$1</f>
        <v>0</v>
      </c>
      <c r="D26" s="80"/>
      <c r="E26" s="80"/>
      <c r="F26" s="80"/>
      <c r="G26" s="643"/>
      <c r="H26" s="80"/>
      <c r="I26" s="106"/>
      <c r="J26" s="106"/>
      <c r="K26" s="106"/>
      <c r="L26" s="106"/>
      <c r="M26" s="106"/>
      <c r="N26" s="106"/>
      <c r="O26" s="106"/>
      <c r="P26" s="106"/>
      <c r="Q26" s="106"/>
      <c r="T26" s="532"/>
    </row>
    <row r="27" spans="1:23">
      <c r="A27" s="80"/>
      <c r="B27" s="80"/>
      <c r="C27" s="106"/>
      <c r="D27" s="106"/>
      <c r="E27" s="106"/>
      <c r="F27" s="106"/>
      <c r="G27" s="642"/>
      <c r="H27" s="80"/>
      <c r="I27" s="106"/>
      <c r="J27" s="106"/>
      <c r="K27" s="106"/>
      <c r="L27" s="106"/>
      <c r="M27" s="106"/>
      <c r="N27" s="106"/>
      <c r="O27" s="106"/>
      <c r="P27" s="106"/>
      <c r="Q27" s="106"/>
      <c r="T27" s="532"/>
    </row>
    <row r="28" spans="1:23">
      <c r="A28" s="80"/>
      <c r="B28" s="80"/>
      <c r="C28" s="80">
        <f>(SUMIFS(Dolphin!M:M,Dolphin!AB:AB,"Export",Dolphin!AA:AA,"AGIGA")+SUMIFS(Dolphin!N:N,Dolphin!AB:AB,"Export",Dolphin!AA:AA,"AGIGA")+SUMIFS(Dolphin!O:O,Dolphin!AB:AB,"Export",Dolphin!AA:AA,"AGIGA")+SUMIFS(Dolphin!P:P,Dolphin!AB:AB,"Export",Dolphin!AA:AA,"AGIGA"))/'Logistics record '!$AD$1</f>
        <v>0</v>
      </c>
      <c r="D28" s="80"/>
      <c r="E28" s="80"/>
      <c r="F28" s="80"/>
      <c r="G28" s="643"/>
      <c r="H28" s="80"/>
      <c r="I28" s="106"/>
      <c r="J28" s="106"/>
      <c r="K28" s="106"/>
      <c r="L28" s="106"/>
      <c r="M28" s="106"/>
      <c r="N28" s="106"/>
      <c r="O28" s="106"/>
      <c r="P28" s="106"/>
      <c r="Q28" s="106"/>
      <c r="T28" s="532"/>
    </row>
    <row r="29" spans="1:23">
      <c r="A29" s="115"/>
      <c r="B29" s="115"/>
      <c r="C29" s="115"/>
      <c r="D29" s="115"/>
      <c r="E29" s="115"/>
      <c r="F29" s="115"/>
      <c r="G29" s="645"/>
      <c r="H29" s="80"/>
      <c r="I29" s="106"/>
      <c r="J29" s="106"/>
      <c r="K29" s="106"/>
      <c r="L29" s="106"/>
      <c r="M29" s="106"/>
      <c r="N29" s="106"/>
      <c r="O29" s="106"/>
      <c r="P29" s="106"/>
      <c r="Q29" s="106"/>
      <c r="T29" s="532"/>
    </row>
    <row r="30" spans="1:23">
      <c r="A30" s="123">
        <f>SUMIF('FedEx Export'!W:W,"EFI",'FedEx Export'!AC:AC)</f>
        <v>0</v>
      </c>
      <c r="B30" s="80"/>
      <c r="C30" s="80">
        <f>(SUMIFS(Dolphin!Q:Q,Dolphin!AB:AB,"Export",Dolphin!AA:AA,"EFI")+SUMIFS(Dolphin!R:R,Dolphin!AB:AB,"Export",Dolphin!AA:AA,"EFI")+SUMIFS(Dolphin!S:S,Dolphin!AB:AB,"Export",Dolphin!AA:AA,"EFI")+SUMIFS(Dolphin!X:X,Dolphin!AB:AB,"Export",Dolphin!AA:AA,"EFI"))/'Logistics record '!$AD$1</f>
        <v>0</v>
      </c>
      <c r="D30" s="80">
        <f>SUMIFS(EI!AV:AV,EI!AW:AW,"EFI",EI!AX:AX,"Export")</f>
        <v>0</v>
      </c>
      <c r="E30" s="80"/>
      <c r="F30" s="80"/>
      <c r="G30" s="643"/>
      <c r="H30" s="80"/>
      <c r="J30" s="80"/>
      <c r="K30" s="80"/>
      <c r="L30" s="80"/>
      <c r="M30" s="80"/>
      <c r="N30" s="80"/>
      <c r="O30" s="80"/>
      <c r="P30" s="80"/>
      <c r="Q30" s="80"/>
      <c r="T30" s="532"/>
    </row>
    <row r="31" spans="1:23">
      <c r="A31" s="106">
        <f>SUMIF('FedEx Export'!W:W,"EFI",'FedEx Export'!L:L)</f>
        <v>0</v>
      </c>
      <c r="B31" s="106"/>
      <c r="C31" s="106"/>
      <c r="D31" s="106"/>
      <c r="E31" s="106"/>
      <c r="F31" s="106"/>
      <c r="G31" s="642"/>
      <c r="H31" s="80"/>
      <c r="J31" s="80"/>
      <c r="K31" s="80"/>
      <c r="L31" s="80"/>
      <c r="M31" s="80"/>
      <c r="N31" s="80"/>
      <c r="O31" s="80"/>
      <c r="P31" s="80"/>
      <c r="Q31" s="80"/>
      <c r="T31" s="532"/>
    </row>
    <row r="32" spans="1:23">
      <c r="A32" s="80"/>
      <c r="B32" s="123">
        <f>SUMIFS(VVMV!O:O,VVMV!G:G,"EFI",VVMV!E:E,"EXPORT")</f>
        <v>90.696092510014353</v>
      </c>
      <c r="C32" s="80"/>
      <c r="D32" s="80"/>
      <c r="E32" s="80"/>
      <c r="F32" s="80"/>
      <c r="G32" s="643"/>
      <c r="H32" s="105"/>
      <c r="I32" s="95"/>
      <c r="J32" s="106"/>
      <c r="K32" s="106"/>
      <c r="L32" s="106"/>
      <c r="M32" s="106"/>
      <c r="N32" s="106"/>
      <c r="O32" s="106"/>
      <c r="P32" s="106"/>
      <c r="Q32" s="106"/>
      <c r="T32" s="532"/>
    </row>
    <row r="33" spans="1:17">
      <c r="A33" s="80"/>
      <c r="B33" s="80"/>
      <c r="C33" s="80">
        <f>(SUMIFS(Dolphin!M:M,Dolphin!AB:AB,"Export",Dolphin!AA:AA,"EFI")+SUMIFS(Dolphin!N:N,Dolphin!AB:AB,"Export",Dolphin!AA:AA,"EFI")+SUMIFS(Dolphin!O:O,Dolphin!AB:AB,"Export",Dolphin!AA:AA,"EFI")+SUMIFS(Dolphin!P:P,Dolphin!AB:AB,"Export",Dolphin!AA:AA,"EFI"))/'Logistics record '!$AD$1</f>
        <v>0</v>
      </c>
      <c r="D33" s="80"/>
      <c r="E33" s="80"/>
      <c r="F33" s="80"/>
      <c r="G33" s="643"/>
      <c r="H33" s="80"/>
      <c r="J33" s="80"/>
      <c r="K33" s="80"/>
      <c r="L33" s="80"/>
      <c r="M33" s="80"/>
      <c r="N33" s="80"/>
      <c r="O33" s="80"/>
      <c r="P33" s="80"/>
      <c r="Q33" s="80"/>
    </row>
    <row r="34" spans="1:17">
      <c r="A34" s="115"/>
      <c r="B34" s="115"/>
      <c r="C34" s="115"/>
      <c r="D34" s="115"/>
      <c r="E34" s="115"/>
      <c r="F34" s="115"/>
      <c r="G34" s="645"/>
      <c r="H34" s="80"/>
      <c r="J34" s="80"/>
      <c r="K34" s="80"/>
      <c r="L34" s="80"/>
      <c r="M34" s="80"/>
      <c r="N34" s="80"/>
      <c r="O34" s="80"/>
      <c r="P34" s="80"/>
      <c r="Q34" s="80"/>
    </row>
    <row r="35" spans="1:17">
      <c r="A35" s="123">
        <f>SUMIF('FedEx Export'!W:W,"Pure",'FedEx Export'!AC:AC)</f>
        <v>79.008767288942636</v>
      </c>
      <c r="B35" s="80"/>
      <c r="C35" s="80">
        <f>(SUMIFS(Dolphin!Q:Q,Dolphin!AB:AB,"Export",Dolphin!AA:AA,"PURE")+SUMIFS(Dolphin!R:R,Dolphin!AB:AB,"Export",Dolphin!AA:AA,"PURE")+SUMIFS(Dolphin!S:S,Dolphin!AB:AB,"Export",Dolphin!AA:AA,"PURE")+SUMIFS(Dolphin!X:X,Dolphin!AB:AB,"Export",Dolphin!AA:AA,"PURE"))/'Logistics record '!$AD$1</f>
        <v>0</v>
      </c>
      <c r="D35" s="80">
        <f>SUMIFS(EI!AV:AV,EI!AW:AW,"PURE",EI!AX:AX,"Export")</f>
        <v>0</v>
      </c>
      <c r="E35" s="80"/>
      <c r="F35" s="80"/>
      <c r="G35" s="643"/>
      <c r="H35" s="105"/>
      <c r="J35" s="80"/>
      <c r="K35" s="80"/>
      <c r="L35" s="80"/>
      <c r="M35" s="80"/>
      <c r="N35" s="80"/>
      <c r="O35" s="80"/>
      <c r="P35" s="80"/>
      <c r="Q35" s="80"/>
    </row>
    <row r="36" spans="1:17">
      <c r="A36" s="108">
        <f>SUMIF('FedEx Export'!W:W,"Pure",'FedEx Export'!L:L)</f>
        <v>2.2999999999999998</v>
      </c>
      <c r="B36" s="108"/>
      <c r="C36" s="108"/>
      <c r="D36" s="108"/>
      <c r="E36" s="108"/>
      <c r="F36" s="108"/>
      <c r="G36" s="659"/>
      <c r="H36" s="80"/>
      <c r="J36" s="80"/>
      <c r="K36" s="80"/>
      <c r="L36" s="80"/>
      <c r="M36" s="80"/>
      <c r="N36" s="80"/>
      <c r="O36" s="80"/>
      <c r="P36" s="80"/>
      <c r="Q36" s="80"/>
    </row>
    <row r="37" spans="1:17">
      <c r="A37" s="80"/>
      <c r="B37" s="123">
        <f>SUMIFS(VVMV!O:O,VVMV!G:G,"Pure",VVMV!E:E,"EXPORT")</f>
        <v>213.51371778399212</v>
      </c>
      <c r="C37" s="80">
        <f>(SUMIFS(Dolphin!M:M,Dolphin!AB:AB,"Export",Dolphin!AA:AA,"PURE")+SUMIFS(Dolphin!N:N,Dolphin!AB:AB,"Export",Dolphin!AA:AA,"PURE")+SUMIFS(Dolphin!O:O,Dolphin!AB:AB,"Export",Dolphin!AA:AA,"PURE")+SUMIFS(Dolphin!P:P,Dolphin!AB:AB,"Export",Dolphin!AA:AA,"PURE"))/'Logistics record '!$AD$1</f>
        <v>0</v>
      </c>
      <c r="D37" s="80"/>
      <c r="E37" s="80"/>
      <c r="F37" s="80"/>
      <c r="G37" s="643"/>
      <c r="H37" s="105"/>
      <c r="J37" s="108"/>
      <c r="K37" s="108"/>
      <c r="L37" s="108"/>
      <c r="M37" s="108"/>
      <c r="N37" s="108"/>
      <c r="O37" s="108"/>
      <c r="P37" s="108"/>
      <c r="Q37" s="108"/>
    </row>
    <row r="38" spans="1:17">
      <c r="A38" s="115"/>
      <c r="B38" s="115"/>
      <c r="C38" s="115"/>
      <c r="D38" s="115"/>
      <c r="E38" s="115"/>
      <c r="F38" s="115"/>
      <c r="G38" s="645"/>
      <c r="H38" s="80"/>
      <c r="J38" s="80"/>
      <c r="K38" s="80"/>
      <c r="L38" s="80"/>
      <c r="M38" s="80"/>
      <c r="N38" s="80"/>
      <c r="O38" s="80"/>
      <c r="P38" s="80"/>
      <c r="Q38" s="80"/>
    </row>
    <row r="39" spans="1:17">
      <c r="A39" s="123">
        <f>SUMIF('FedEx Export'!W:W,"AIC",'FedEx Export'!AC:AC)</f>
        <v>0</v>
      </c>
      <c r="B39" s="80"/>
      <c r="C39" s="80">
        <f>(SUMIFS(Dolphin!Q:Q,Dolphin!AB:AB,"Export",Dolphin!AA:AA,"AIC")+SUMIFS(Dolphin!R:R,Dolphin!AB:AB,"Export",Dolphin!AA:AA,"AIC")+SUMIFS(Dolphin!S:S,Dolphin!AB:AB,"Export",Dolphin!AA:AA,"AIC")+SUMIFS(Dolphin!X:X,Dolphin!AB:AB,"Export",Dolphin!AA:AA,"AIC"))/'Logistics record '!$AD$1</f>
        <v>0</v>
      </c>
      <c r="D39" s="80">
        <f>SUMIFS(EI!AV:AV,EI!AW:AW,"AIC",EI!AX:AX,"Export")</f>
        <v>0</v>
      </c>
      <c r="E39" s="80"/>
      <c r="F39" s="80"/>
      <c r="G39" s="643"/>
      <c r="H39" s="80"/>
      <c r="J39" s="80"/>
      <c r="K39" s="80"/>
      <c r="L39" s="80"/>
      <c r="M39" s="80"/>
      <c r="N39" s="80"/>
      <c r="O39" s="80"/>
      <c r="P39" s="80"/>
      <c r="Q39" s="80"/>
    </row>
    <row r="40" spans="1:17">
      <c r="A40" s="106">
        <f>SUMIF('FedEx Export'!W:W,"AIC",'FedEx Export'!L:L)</f>
        <v>0</v>
      </c>
      <c r="B40" s="106"/>
      <c r="C40" s="106"/>
      <c r="D40" s="106"/>
      <c r="E40" s="106"/>
      <c r="F40" s="106"/>
      <c r="G40" s="642"/>
      <c r="H40" s="80"/>
      <c r="J40" s="80"/>
      <c r="K40" s="80"/>
      <c r="L40" s="80"/>
      <c r="M40" s="80"/>
      <c r="N40" s="80"/>
      <c r="O40" s="80"/>
      <c r="P40" s="80"/>
      <c r="Q40" s="80"/>
    </row>
    <row r="41" spans="1:17">
      <c r="A41" s="80"/>
      <c r="B41" s="123">
        <f>SUMIFS(VVMV!O:O,VVMV!G:G,"AIC",VVMV!E:E,"EXPORT")</f>
        <v>15.116015418335726</v>
      </c>
      <c r="C41" s="80">
        <f>(SUMIFS(Dolphin!M:M,Dolphin!AB:AB,"Export",Dolphin!AA:AA,"AIC")+SUMIFS(Dolphin!N:N,Dolphin!AB:AB,"Export",Dolphin!AA:AA,"AIC")+SUMIFS(Dolphin!O:O,Dolphin!AB:AB,"Export",Dolphin!AA:AA,"AIC")+SUMIFS(Dolphin!P:P,Dolphin!AB:AB,"Export",Dolphin!AA:AA,"AIC"))/'Logistics record '!$AD$1</f>
        <v>0</v>
      </c>
      <c r="D41" s="80"/>
      <c r="E41" s="80"/>
      <c r="F41" s="80">
        <f>9000000/'Logistics record '!AD1</f>
        <v>340.11034691255384</v>
      </c>
      <c r="G41" s="643"/>
      <c r="H41" s="105"/>
      <c r="J41" s="106"/>
      <c r="K41" s="106"/>
      <c r="L41" s="106"/>
      <c r="M41" s="106"/>
      <c r="N41" s="106"/>
      <c r="O41" s="106"/>
      <c r="P41" s="106"/>
      <c r="Q41" s="106"/>
    </row>
    <row r="42" spans="1:17">
      <c r="A42" s="115"/>
      <c r="B42" s="115"/>
      <c r="C42" s="115"/>
      <c r="D42" s="115"/>
      <c r="E42" s="115"/>
      <c r="F42" s="115"/>
      <c r="G42" s="645"/>
      <c r="H42" s="80"/>
      <c r="J42" s="80"/>
      <c r="K42" s="80"/>
      <c r="L42" s="80"/>
      <c r="M42" s="80"/>
      <c r="N42" s="80"/>
      <c r="O42" s="80"/>
      <c r="P42" s="80"/>
      <c r="Q42" s="80"/>
    </row>
    <row r="43" spans="1:17">
      <c r="A43" s="123">
        <f>SUMIF('FedEx Export'!W:W,"Ford",'FedEx Export'!AC:AC)</f>
        <v>0</v>
      </c>
      <c r="B43" s="80"/>
      <c r="C43" s="80">
        <f>(SUMIFS(Dolphin!Q:Q,Dolphin!AB:AB,"Export",Dolphin!AA:AA,"Ford")+SUMIFS(Dolphin!R:R,Dolphin!AB:AB,"Export",Dolphin!AA:AA,"Ford")+SUMIFS(Dolphin!S:S,Dolphin!AB:AB,"Export",Dolphin!AA:AA,"Ford")+SUMIFS(Dolphin!X:X,Dolphin!AB:AB,"Export",Dolphin!AA:AA,"Ford"))/'Logistics record '!$AD$1</f>
        <v>0</v>
      </c>
      <c r="D43" s="80">
        <f>SUMIFS(EI!AV:AV,EI!AW:AW,"Ford",EI!AX:AX,"Export")</f>
        <v>0</v>
      </c>
      <c r="E43" s="80"/>
      <c r="F43" s="80"/>
      <c r="G43" s="643">
        <f>SUMIFS(DHL!W:W,DHL!B:B,"export",DHL!D:D,"ford")</f>
        <v>112.95749365127351</v>
      </c>
      <c r="H43" s="80"/>
      <c r="J43" s="80"/>
      <c r="K43" s="80"/>
      <c r="L43" s="80"/>
      <c r="M43" s="80"/>
      <c r="N43" s="80"/>
      <c r="O43" s="80"/>
      <c r="P43" s="80"/>
      <c r="Q43" s="80"/>
    </row>
    <row r="44" spans="1:17">
      <c r="A44" s="106">
        <f>SUMIF('FedEx Export'!W:W,"AIC",'FedEx Export'!L:L)</f>
        <v>0</v>
      </c>
      <c r="B44" s="106"/>
      <c r="C44" s="106"/>
      <c r="D44" s="106"/>
      <c r="E44" s="106"/>
      <c r="F44" s="106"/>
      <c r="G44" s="642">
        <f>SUMIFS(DHL!O:O,DHL!B:B,"export",DHL!D:D,"ford")</f>
        <v>3.5</v>
      </c>
      <c r="H44" s="80"/>
      <c r="J44" s="80"/>
      <c r="K44" s="80"/>
      <c r="L44" s="80"/>
      <c r="M44" s="80"/>
      <c r="N44" s="80"/>
      <c r="O44" s="80"/>
      <c r="P44" s="80"/>
      <c r="Q44" s="80"/>
    </row>
    <row r="45" spans="1:17">
      <c r="A45" s="80"/>
      <c r="B45" s="123">
        <f>SUMIFS(VVMV!O:O,VVMV!G:G,"Ford",VVMV!E:E,"EXPORT")</f>
        <v>0</v>
      </c>
      <c r="C45" s="80">
        <f>(SUMIFS(Dolphin!M:M,Dolphin!AB:AB,"Export",Dolphin!AA:AA,"Ford")+SUMIFS(Dolphin!N:N,Dolphin!AB:AB,"Export",Dolphin!AA:AA,"Ford")+SUMIFS(Dolphin!O:O,Dolphin!AB:AB,"Export",Dolphin!AA:AA,"Ford")+SUMIFS(Dolphin!P:P,Dolphin!AB:AB,"Export",Dolphin!AA:AA,"Ford"))/'Logistics record '!$AD$1</f>
        <v>0</v>
      </c>
      <c r="D45" s="80"/>
      <c r="E45" s="80"/>
      <c r="F45" s="80"/>
      <c r="G45" s="643"/>
      <c r="H45" s="105"/>
      <c r="J45" s="106"/>
      <c r="K45" s="106"/>
      <c r="L45" s="106"/>
      <c r="M45" s="106"/>
      <c r="N45" s="106"/>
      <c r="O45" s="106"/>
      <c r="P45" s="106"/>
      <c r="Q45" s="106"/>
    </row>
    <row r="46" spans="1:17">
      <c r="A46" s="115"/>
      <c r="B46" s="115"/>
      <c r="C46" s="115"/>
      <c r="D46" s="115"/>
      <c r="E46" s="115"/>
      <c r="F46" s="115"/>
      <c r="G46" s="645"/>
      <c r="H46" s="80"/>
      <c r="J46" s="80"/>
      <c r="K46" s="80"/>
      <c r="L46" s="80"/>
      <c r="M46" s="80"/>
      <c r="N46" s="80"/>
      <c r="O46" s="80"/>
      <c r="P46" s="80"/>
      <c r="Q46" s="80"/>
    </row>
    <row r="47" spans="1:17">
      <c r="A47" s="110"/>
      <c r="B47" s="123">
        <f>SUMIFS(VVMV!O:O,VVMV!G:G,"OEM",VVMV!E:E,"EXPORT")+SUMIFS(VVMV!O:O,VVMV!G:G,"Other",VVMV!E:E,"EXPORT")+SUMIFS(VVMV!O:O,VVMV!G:G,"AGIGA",VVMV!E:E,"EXPORT")</f>
        <v>47.23754818229915</v>
      </c>
      <c r="C47" s="110">
        <f>(SUMIFS(Dolphin!M:M,Dolphin!AB:AB,"Export",Dolphin!AA:AA,"OEM")+SUMIFS(Dolphin!N:N,Dolphin!AB:AB,"Export",Dolphin!AA:AA,"OEM")+SUMIFS(Dolphin!O:O,Dolphin!AB:AB,"Export",Dolphin!AA:AA,"OEM")+SUMIFS(Dolphin!P:P,Dolphin!AB:AB,"Export",Dolphin!AA:AA,"OEM"))/'Logistics record '!$AD$1+(SUMIFS(Dolphin!M:M,Dolphin!AB:AB,"Export",Dolphin!AA:AA,"OTHER")+SUMIFS(Dolphin!N:N,Dolphin!AB:AB,"Export",Dolphin!AA:AA,"OTHER")+SUMIFS(Dolphin!O:O,Dolphin!AB:AB,"Export",Dolphin!AA:AA,"OTHER")+SUMIFS(Dolphin!P:P,Dolphin!AB:AB,"Export",Dolphin!AA:AA,"OTHER"))/'Logistics record '!$AD$1</f>
        <v>0</v>
      </c>
      <c r="D47" s="110">
        <f>SUMIFS(EI!AV:AV,EI!AW:AW,"OEM",EI!AX:AX,"Export")</f>
        <v>0</v>
      </c>
      <c r="E47" s="110"/>
      <c r="F47" s="110"/>
      <c r="G47" s="657"/>
      <c r="H47" s="131"/>
      <c r="J47" s="80"/>
      <c r="K47" s="80"/>
      <c r="L47" s="80"/>
      <c r="M47" s="80"/>
      <c r="N47" s="80"/>
      <c r="O47" s="80"/>
      <c r="P47" s="80"/>
      <c r="Q47" s="80"/>
    </row>
    <row r="48" spans="1:17">
      <c r="A48" s="123">
        <f>SUMIF('FedEx Export'!W:W,"Other",'FedEx Export'!AC:AC)+SUMIF('FedEx Export'!W:W,"OEM",'FedEx Export'!AC:AC)+SUMIF('FedEx Export'!W:W,"AGIGA",'FedEx Export'!AC:AC)</f>
        <v>151.2896228554153</v>
      </c>
      <c r="B48" s="110"/>
      <c r="C48" s="110">
        <f>(SUMIFS(Dolphin!Q:Q,Dolphin!AB:AB,"Export",Dolphin!AA:AA,"OEM")+SUMIFS(Dolphin!R:R,Dolphin!AB:AB,"Export",Dolphin!AA:AA,"OEM")+SUMIFS(Dolphin!S:S,Dolphin!AB:AB,"Export",Dolphin!AA:AA,"OEM")+SUMIFS(Dolphin!X:X,Dolphin!AB:AB,"Export",Dolphin!AA:AA,"OEM"))/'Logistics record '!$AD$1+(SUMIFS(Dolphin!Q:Q,Dolphin!AB:AB,"Export",Dolphin!AA:AA,"OTHER")+SUMIFS(Dolphin!R:R,Dolphin!AB:AB,"Export",Dolphin!AA:AA,"OTHER")+SUMIFS(Dolphin!S:S,Dolphin!AB:AB,"Export",Dolphin!AA:AA,"OTHER")+SUMIFS(Dolphin!X:X,Dolphin!AB:AB,"Export",Dolphin!AA:AA,"OTHER"))/'Logistics record '!$AD$1</f>
        <v>0</v>
      </c>
      <c r="D48" s="110"/>
      <c r="E48" s="110"/>
      <c r="F48" s="110"/>
      <c r="G48" s="657"/>
      <c r="H48" s="131"/>
      <c r="J48" s="80"/>
      <c r="K48" s="80"/>
      <c r="L48" s="80"/>
      <c r="M48" s="110"/>
      <c r="N48" s="110"/>
      <c r="O48" s="110"/>
      <c r="P48" s="110"/>
      <c r="Q48" s="110"/>
    </row>
    <row r="49" spans="1:17">
      <c r="A49" s="115"/>
      <c r="B49" s="115"/>
      <c r="C49" s="115"/>
      <c r="D49" s="115"/>
      <c r="E49" s="115"/>
      <c r="F49" s="115"/>
      <c r="G49" s="645"/>
      <c r="H49" s="80"/>
      <c r="I49" s="5"/>
      <c r="J49" s="110"/>
      <c r="K49" s="110"/>
      <c r="L49" s="110"/>
      <c r="M49" s="110"/>
      <c r="N49" s="110"/>
      <c r="O49" s="110"/>
      <c r="P49" s="110"/>
      <c r="Q49" s="110"/>
    </row>
    <row r="50" spans="1:17" ht="15.75" thickBot="1">
      <c r="A50" s="661"/>
      <c r="B50" s="661"/>
      <c r="C50" s="661"/>
      <c r="D50" s="661"/>
      <c r="E50" s="661"/>
      <c r="F50" s="661"/>
      <c r="G50" s="662"/>
      <c r="H50" s="80"/>
      <c r="J50" s="80"/>
      <c r="K50" s="80"/>
      <c r="L50" s="80"/>
      <c r="M50" s="80"/>
      <c r="N50" s="80"/>
      <c r="O50" s="80"/>
      <c r="P50" s="80"/>
      <c r="Q50" s="80"/>
    </row>
    <row r="51" spans="1:17" ht="15.75" thickBot="1">
      <c r="A51" s="667"/>
      <c r="B51" s="668">
        <f>VLOOKUP("Lệ phí hải quan",VVMV!$B:$AF,31,0)/'Logistics record '!AD1</f>
        <v>232.4087370569118</v>
      </c>
      <c r="C51" s="667">
        <f>VLOOKUP("LỆ PHÍ HẢI QUAN",Dolphin!B:X,23,0)/'Logistics record '!AD1</f>
        <v>2.2674023127503591</v>
      </c>
      <c r="D51" s="667"/>
      <c r="E51" s="667"/>
      <c r="F51" s="667"/>
      <c r="G51" s="669"/>
      <c r="H51" s="105"/>
      <c r="I51" s="4"/>
      <c r="J51" s="110"/>
      <c r="K51" s="110"/>
      <c r="L51" s="110"/>
      <c r="M51" s="110"/>
      <c r="N51" s="110"/>
      <c r="O51" s="110"/>
      <c r="P51" s="110"/>
      <c r="Q51" s="110"/>
    </row>
    <row r="52" spans="1:17" ht="15.75" thickBot="1">
      <c r="A52" s="672"/>
      <c r="B52" s="668"/>
      <c r="C52" s="672"/>
      <c r="D52" s="672"/>
      <c r="E52" s="672"/>
      <c r="F52" s="672"/>
      <c r="G52" s="673"/>
      <c r="H52" s="105"/>
      <c r="I52" s="80"/>
      <c r="J52" s="80"/>
      <c r="K52" s="80"/>
      <c r="L52" s="80"/>
      <c r="M52" s="80"/>
      <c r="N52" s="80"/>
      <c r="O52" s="80"/>
      <c r="P52" s="80"/>
      <c r="Q52" s="80"/>
    </row>
    <row r="53" spans="1:17">
      <c r="A53" s="261">
        <f>SUM(A48,A12,A39,A35,A30,A26,A22,A18,A6)</f>
        <v>10328.119151991528</v>
      </c>
      <c r="B53" s="261">
        <f>B51+B47+B41+B37+B32+B24+B20+B14+B12+B9+B6+B52</f>
        <v>27045.628150177541</v>
      </c>
      <c r="C53" s="261">
        <f>C51+C47+C41+C37+C32+C24+C20+C14+C12+C9+C6+C52</f>
        <v>2194.6482125311768</v>
      </c>
      <c r="D53" s="261">
        <f>D51+D47+D41+D37+D32+D24+D20+D14+D12+D9+D6+D52</f>
        <v>2104.7273237799404</v>
      </c>
      <c r="E53" s="261">
        <f>E51+E47+E41+E37+E32+E24+E20+E14+E12+E9+E6+E52+E16</f>
        <v>831.38084800846502</v>
      </c>
      <c r="F53" s="261">
        <f>F51+F47+F41+F37+F32+F24+F20+F14+F12+F9+F6+F52+F16</f>
        <v>340.11034691255384</v>
      </c>
      <c r="G53" s="697">
        <f>G6+G12+G18+G22+G26+G30+G35+G39+G43+G48</f>
        <v>2216.7840467084879</v>
      </c>
      <c r="H53" s="28"/>
      <c r="I53" s="36"/>
      <c r="J53" s="80"/>
      <c r="K53" s="80"/>
      <c r="L53" s="80"/>
      <c r="M53" s="80"/>
      <c r="N53" s="80"/>
      <c r="O53" s="80"/>
      <c r="P53" s="80"/>
      <c r="Q53" s="80"/>
    </row>
    <row r="54" spans="1:17">
      <c r="A54" s="28"/>
      <c r="B54" s="28"/>
      <c r="C54" s="28"/>
      <c r="D54" s="28"/>
      <c r="E54" s="28"/>
      <c r="F54" s="28"/>
      <c r="G54" s="28"/>
      <c r="H54" s="28"/>
      <c r="I54" s="28"/>
      <c r="J54" s="82"/>
      <c r="K54" s="82"/>
      <c r="L54" s="82"/>
      <c r="M54" s="82"/>
      <c r="N54" s="82"/>
      <c r="O54" s="82"/>
      <c r="P54" s="82"/>
      <c r="Q54" s="82"/>
    </row>
    <row r="55" spans="1:17">
      <c r="A55" s="28"/>
      <c r="B55" s="28"/>
      <c r="C55" s="28"/>
      <c r="D55" s="28"/>
      <c r="E55" s="28"/>
      <c r="F55" s="28"/>
      <c r="G55" s="28"/>
      <c r="H55" s="28"/>
      <c r="I55" s="28"/>
      <c r="J55" s="82"/>
      <c r="K55" s="82"/>
      <c r="L55" s="82"/>
      <c r="M55" s="82"/>
      <c r="N55" s="82"/>
      <c r="O55" s="82"/>
      <c r="P55" s="82"/>
      <c r="Q55" s="82"/>
    </row>
    <row r="56" spans="1:17">
      <c r="A56" s="28"/>
      <c r="B56" s="28"/>
      <c r="C56" s="28"/>
      <c r="D56" s="28"/>
      <c r="E56" s="28"/>
      <c r="F56" s="28"/>
      <c r="G56" s="28"/>
      <c r="H56" s="28"/>
      <c r="I56" s="28"/>
      <c r="J56" s="82"/>
      <c r="K56" s="82"/>
      <c r="L56" s="82"/>
      <c r="M56" s="82"/>
      <c r="N56" s="82"/>
      <c r="O56" s="82"/>
      <c r="P56" s="82"/>
      <c r="Q56" s="82"/>
    </row>
    <row r="57" spans="1:17">
      <c r="A57" s="28"/>
      <c r="B57" s="28"/>
      <c r="C57" s="28"/>
      <c r="D57" s="28"/>
      <c r="E57" s="28"/>
      <c r="F57" s="28"/>
      <c r="G57" s="28"/>
      <c r="H57" s="28"/>
      <c r="I57" s="28"/>
      <c r="J57" s="82"/>
      <c r="K57" s="82"/>
      <c r="L57" s="82"/>
      <c r="M57" s="82"/>
      <c r="N57" s="82"/>
      <c r="O57" s="82"/>
      <c r="P57" s="82"/>
      <c r="Q57" s="82"/>
    </row>
    <row r="58" spans="1:17">
      <c r="A58" s="28"/>
      <c r="B58" s="28"/>
      <c r="C58" s="28"/>
      <c r="D58" s="28"/>
      <c r="E58" s="28"/>
      <c r="F58" s="28"/>
      <c r="G58" s="28"/>
      <c r="H58" s="28"/>
      <c r="I58" s="28"/>
      <c r="J58" s="82"/>
      <c r="K58" s="82"/>
      <c r="L58" s="82"/>
      <c r="M58" s="82"/>
      <c r="N58" s="82"/>
      <c r="O58" s="82"/>
      <c r="P58" s="82"/>
      <c r="Q58" s="82"/>
    </row>
    <row r="59" spans="1:17">
      <c r="A59" s="28"/>
      <c r="B59" s="28"/>
      <c r="C59" s="28"/>
      <c r="D59" s="28"/>
      <c r="E59" s="28"/>
      <c r="F59" s="28"/>
      <c r="G59" s="28"/>
      <c r="H59" s="28"/>
      <c r="I59" s="28"/>
      <c r="J59" s="82"/>
      <c r="K59" s="82"/>
      <c r="L59" s="82"/>
      <c r="M59" s="82"/>
      <c r="N59" s="82"/>
      <c r="O59" s="82"/>
      <c r="P59" s="82"/>
      <c r="Q59" s="82"/>
    </row>
    <row r="60" spans="1:17">
      <c r="A60" s="28"/>
      <c r="B60" s="28"/>
      <c r="C60" s="28"/>
      <c r="D60" s="28"/>
      <c r="E60" s="28"/>
      <c r="F60" s="28"/>
      <c r="G60" s="28"/>
      <c r="H60" s="28"/>
      <c r="I60" s="28"/>
      <c r="J60" s="82"/>
      <c r="K60" s="82"/>
      <c r="L60" s="82"/>
      <c r="M60" s="82"/>
      <c r="N60" s="82"/>
      <c r="O60" s="82"/>
      <c r="P60" s="82"/>
      <c r="Q60" s="82"/>
    </row>
    <row r="61" spans="1:17">
      <c r="A61" s="28"/>
      <c r="B61" s="28"/>
      <c r="C61" s="28"/>
      <c r="D61" s="28"/>
      <c r="E61" s="28"/>
      <c r="F61" s="28"/>
      <c r="G61" s="28"/>
      <c r="H61" s="28"/>
      <c r="I61" s="28"/>
      <c r="J61" s="82"/>
      <c r="K61" s="82"/>
      <c r="L61" s="82"/>
      <c r="M61" s="82"/>
      <c r="N61" s="82"/>
      <c r="O61" s="82"/>
      <c r="P61" s="82"/>
      <c r="Q61" s="82"/>
    </row>
    <row r="62" spans="1:17">
      <c r="A62" s="28"/>
      <c r="B62" s="28"/>
      <c r="C62" s="28"/>
      <c r="D62" s="28"/>
      <c r="E62" s="28"/>
      <c r="F62" s="28"/>
      <c r="G62" s="28"/>
      <c r="H62" s="28"/>
      <c r="I62" s="28"/>
      <c r="J62" s="82"/>
      <c r="K62" s="82"/>
      <c r="L62" s="82"/>
      <c r="M62" s="82"/>
      <c r="N62" s="82"/>
      <c r="O62" s="82"/>
      <c r="P62" s="82"/>
      <c r="Q62" s="82"/>
    </row>
    <row r="63" spans="1:17">
      <c r="A63" s="28"/>
      <c r="B63" s="28"/>
      <c r="C63" s="28"/>
      <c r="D63" s="28"/>
      <c r="E63" s="28"/>
      <c r="F63" s="28"/>
      <c r="G63" s="28"/>
      <c r="H63" s="28"/>
      <c r="I63" s="28"/>
      <c r="J63" s="82"/>
      <c r="K63" s="82"/>
      <c r="L63" s="82"/>
      <c r="M63" s="82"/>
      <c r="N63" s="82"/>
      <c r="O63" s="82"/>
      <c r="P63" s="82"/>
      <c r="Q63" s="82"/>
    </row>
    <row r="64" spans="1:17">
      <c r="A64" s="28"/>
      <c r="B64" s="28"/>
      <c r="C64" s="28"/>
      <c r="D64" s="28"/>
      <c r="E64" s="28"/>
      <c r="F64" s="28"/>
      <c r="G64" s="28"/>
      <c r="H64" s="28"/>
      <c r="I64" s="28"/>
      <c r="J64" s="82"/>
      <c r="K64" s="82"/>
      <c r="L64" s="82"/>
      <c r="M64" s="82"/>
      <c r="N64" s="82"/>
      <c r="O64" s="82"/>
      <c r="P64" s="82"/>
      <c r="Q64" s="82"/>
    </row>
    <row r="65" spans="1:17">
      <c r="A65" s="28"/>
      <c r="B65" s="28"/>
      <c r="C65" s="28"/>
      <c r="D65" s="28"/>
      <c r="E65" s="28"/>
      <c r="F65" s="28"/>
      <c r="G65" s="28"/>
      <c r="H65" s="28"/>
      <c r="I65" s="28"/>
      <c r="J65" s="82"/>
      <c r="K65" s="82"/>
      <c r="L65" s="82"/>
      <c r="M65" s="82"/>
      <c r="N65" s="82"/>
      <c r="O65" s="82"/>
      <c r="P65" s="82"/>
      <c r="Q65" s="82"/>
    </row>
    <row r="66" spans="1:17">
      <c r="A66" s="28"/>
      <c r="B66" s="28"/>
      <c r="C66" s="28"/>
      <c r="D66" s="28"/>
      <c r="E66" s="28"/>
      <c r="F66" s="28"/>
      <c r="G66" s="28"/>
      <c r="H66" s="28"/>
      <c r="I66" s="28"/>
      <c r="J66" s="82"/>
      <c r="K66" s="82"/>
      <c r="L66" s="82"/>
      <c r="M66" s="82"/>
      <c r="N66" s="82"/>
      <c r="O66" s="82"/>
      <c r="P66" s="82"/>
      <c r="Q66" s="82"/>
    </row>
    <row r="67" spans="1:17">
      <c r="A67" s="28"/>
      <c r="B67" s="28"/>
      <c r="C67" s="28"/>
      <c r="D67" s="28"/>
      <c r="E67" s="28"/>
      <c r="F67" s="28"/>
      <c r="G67" s="28"/>
      <c r="H67" s="28"/>
      <c r="I67" s="28"/>
      <c r="J67" s="82"/>
      <c r="K67" s="82"/>
      <c r="L67" s="82"/>
      <c r="M67" s="82"/>
      <c r="N67" s="82"/>
      <c r="O67" s="82"/>
      <c r="P67" s="82"/>
      <c r="Q67" s="82"/>
    </row>
    <row r="68" spans="1:17">
      <c r="A68" s="28"/>
      <c r="B68" s="28"/>
      <c r="C68" s="28"/>
      <c r="D68" s="28"/>
      <c r="E68" s="28"/>
      <c r="F68" s="28"/>
      <c r="G68" s="28"/>
      <c r="H68" s="28"/>
      <c r="I68" s="28"/>
      <c r="J68" s="82"/>
      <c r="K68" s="82"/>
      <c r="L68" s="82"/>
      <c r="M68" s="82"/>
      <c r="N68" s="82"/>
      <c r="O68" s="82"/>
      <c r="P68" s="82"/>
      <c r="Q68" s="82"/>
    </row>
  </sheetData>
  <mergeCells count="3">
    <mergeCell ref="A1:Q1"/>
    <mergeCell ref="I4:Q4"/>
    <mergeCell ref="S21:W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2CA3A-9EA1-4E2F-BA46-5E4F896216CB}">
  <sheetPr codeName="Sheet2">
    <tabColor rgb="FF92D050"/>
  </sheetPr>
  <dimension ref="A1:AE17"/>
  <sheetViews>
    <sheetView showGridLines="0" showOutlineSymbols="0" topLeftCell="Q1" zoomScaleNormal="100" workbookViewId="0">
      <selection activeCell="N29" sqref="A26:N29"/>
    </sheetView>
  </sheetViews>
  <sheetFormatPr defaultColWidth="6.5703125" defaultRowHeight="12.75" customHeight="1"/>
  <cols>
    <col min="1" max="1" width="3.42578125" style="244" customWidth="1"/>
    <col min="2" max="2" width="17.5703125" style="244" customWidth="1"/>
    <col min="3" max="3" width="15.42578125" style="244" customWidth="1"/>
    <col min="4" max="4" width="12" style="244" customWidth="1"/>
    <col min="5" max="5" width="13.5703125" style="246" customWidth="1"/>
    <col min="6" max="6" width="10.42578125" style="244" customWidth="1"/>
    <col min="7" max="7" width="16.85546875" style="244" customWidth="1"/>
    <col min="8" max="8" width="14.42578125" style="244" customWidth="1"/>
    <col min="9" max="9" width="7.42578125" style="244" customWidth="1"/>
    <col min="10" max="10" width="10.5703125" style="244" customWidth="1"/>
    <col min="11" max="11" width="7.42578125" style="244" customWidth="1"/>
    <col min="12" max="12" width="10.42578125" style="244" customWidth="1"/>
    <col min="13" max="14" width="11.5703125" style="244" customWidth="1"/>
    <col min="15" max="15" width="13.5703125" style="244" customWidth="1"/>
    <col min="16" max="16" width="9" style="244" customWidth="1"/>
    <col min="17" max="17" width="13.42578125" style="244" bestFit="1" customWidth="1"/>
    <col min="18" max="20" width="13.42578125" style="244" customWidth="1"/>
    <col min="21" max="21" width="27.7109375" style="244" bestFit="1" customWidth="1"/>
    <col min="22" max="22" width="38.85546875" style="244" customWidth="1"/>
    <col min="23" max="23" width="19.42578125" style="244" customWidth="1"/>
    <col min="24" max="24" width="16.28515625" style="251" customWidth="1"/>
    <col min="25" max="25" width="10.140625" style="251" customWidth="1"/>
    <col min="26" max="26" width="10.7109375" style="251" customWidth="1"/>
    <col min="27" max="27" width="11.140625" style="251" customWidth="1"/>
    <col min="28" max="28" width="12" style="251" bestFit="1" customWidth="1"/>
    <col min="29" max="30" width="6.5703125" style="251"/>
    <col min="31" max="31" width="9.5703125" style="251" bestFit="1" customWidth="1"/>
    <col min="32" max="16384" width="6.5703125" style="251"/>
  </cols>
  <sheetData>
    <row r="1" spans="1:31" s="235" customFormat="1" ht="15" customHeight="1">
      <c r="A1" s="232"/>
      <c r="B1" s="233"/>
      <c r="C1" s="233"/>
      <c r="D1" s="233"/>
      <c r="E1" s="234"/>
      <c r="F1" s="233"/>
      <c r="G1" s="233"/>
      <c r="H1" s="233"/>
      <c r="I1" s="233"/>
      <c r="J1" s="233"/>
      <c r="K1" s="233"/>
      <c r="L1" s="233"/>
      <c r="M1" s="233"/>
      <c r="N1" s="233"/>
      <c r="O1" s="233"/>
      <c r="P1" s="233"/>
      <c r="Q1" s="233"/>
      <c r="R1" s="788" t="s">
        <v>1112</v>
      </c>
      <c r="S1" s="788"/>
      <c r="T1" s="788"/>
      <c r="U1" s="788"/>
      <c r="V1" s="788"/>
      <c r="W1" s="788"/>
      <c r="X1" s="788"/>
      <c r="Y1" s="788"/>
      <c r="Z1" s="788"/>
      <c r="AA1" s="788"/>
    </row>
    <row r="2" spans="1:31" s="235" customFormat="1" ht="35.450000000000003" customHeight="1">
      <c r="A2" s="236"/>
      <c r="B2" s="614" t="s">
        <v>1113</v>
      </c>
      <c r="C2" s="614" t="s">
        <v>1114</v>
      </c>
      <c r="D2" s="614" t="s">
        <v>1115</v>
      </c>
      <c r="E2" s="614" t="s">
        <v>1116</v>
      </c>
      <c r="F2" s="614" t="s">
        <v>1117</v>
      </c>
      <c r="G2" s="615" t="s">
        <v>1118</v>
      </c>
      <c r="H2" s="615" t="s">
        <v>1119</v>
      </c>
      <c r="I2" s="615" t="s">
        <v>1120</v>
      </c>
      <c r="J2" s="615" t="s">
        <v>1121</v>
      </c>
      <c r="K2" s="614" t="s">
        <v>1122</v>
      </c>
      <c r="L2" s="614" t="s">
        <v>1123</v>
      </c>
      <c r="M2" s="614" t="s">
        <v>1124</v>
      </c>
      <c r="N2" s="614" t="s">
        <v>1125</v>
      </c>
      <c r="O2" s="614" t="s">
        <v>1126</v>
      </c>
      <c r="P2" s="614" t="s">
        <v>1127</v>
      </c>
      <c r="Q2" s="614" t="s">
        <v>1128</v>
      </c>
      <c r="R2" s="539" t="s">
        <v>1129</v>
      </c>
      <c r="S2" s="540" t="s">
        <v>1130</v>
      </c>
      <c r="T2" s="540" t="s">
        <v>1131</v>
      </c>
      <c r="U2" s="540" t="s">
        <v>90</v>
      </c>
      <c r="V2" s="540" t="s">
        <v>1132</v>
      </c>
      <c r="W2" s="540" t="s">
        <v>1110</v>
      </c>
      <c r="X2" s="539" t="s">
        <v>1129</v>
      </c>
      <c r="Y2" s="539" t="s">
        <v>1133</v>
      </c>
      <c r="Z2" s="539" t="s">
        <v>1119</v>
      </c>
      <c r="AA2" s="539" t="s">
        <v>1121</v>
      </c>
      <c r="AB2" s="235" t="s">
        <v>1570</v>
      </c>
      <c r="AC2" s="235" t="s">
        <v>1135</v>
      </c>
      <c r="AD2" s="235" t="s">
        <v>61</v>
      </c>
      <c r="AE2" s="235" t="s">
        <v>35</v>
      </c>
    </row>
    <row r="3" spans="1:31" s="235" customFormat="1" ht="36">
      <c r="A3" s="611"/>
      <c r="B3" s="616" t="s">
        <v>2134</v>
      </c>
      <c r="C3" s="616">
        <v>734101624</v>
      </c>
      <c r="D3" s="617">
        <v>46199</v>
      </c>
      <c r="E3" s="618" t="s">
        <v>2135</v>
      </c>
      <c r="F3" s="617">
        <v>46162</v>
      </c>
      <c r="G3" s="619" t="s">
        <v>1136</v>
      </c>
      <c r="H3" s="619" t="s">
        <v>1318</v>
      </c>
      <c r="I3" s="619" t="s">
        <v>971</v>
      </c>
      <c r="J3" s="619" t="s">
        <v>931</v>
      </c>
      <c r="K3" s="616" t="s">
        <v>1151</v>
      </c>
      <c r="L3" s="616">
        <v>11.8</v>
      </c>
      <c r="M3" s="620">
        <v>1746034</v>
      </c>
      <c r="N3" s="620">
        <v>0</v>
      </c>
      <c r="O3" s="620">
        <v>851192</v>
      </c>
      <c r="P3" s="620">
        <v>207778</v>
      </c>
      <c r="Q3" s="620">
        <v>2805004</v>
      </c>
      <c r="R3" s="621">
        <v>344</v>
      </c>
      <c r="S3" s="621" t="s">
        <v>2145</v>
      </c>
      <c r="T3" s="621" t="s">
        <v>2100</v>
      </c>
      <c r="U3" s="621" t="s">
        <v>2133</v>
      </c>
      <c r="V3" s="621" t="s">
        <v>2127</v>
      </c>
      <c r="W3" s="621" t="s">
        <v>76</v>
      </c>
      <c r="X3" s="621">
        <v>344</v>
      </c>
      <c r="Y3" s="621">
        <v>8</v>
      </c>
      <c r="Z3" s="621" t="s">
        <v>786</v>
      </c>
      <c r="AA3" s="621" t="s">
        <v>931</v>
      </c>
      <c r="AB3" s="569">
        <v>2805004</v>
      </c>
      <c r="AC3" s="570">
        <f>AB3/'Logistics record '!$AD$1</f>
        <v>106.00120928123347</v>
      </c>
      <c r="AD3" s="570">
        <f>SUMIF(VVMV!F:F,'FedEx Export'!T3,VVMV!O:O)</f>
        <v>0</v>
      </c>
      <c r="AE3" s="235">
        <f>AD3+AC3</f>
        <v>106.00120928123347</v>
      </c>
    </row>
    <row r="4" spans="1:31" s="235" customFormat="1" ht="24">
      <c r="A4" s="611"/>
      <c r="B4" s="616" t="s">
        <v>2134</v>
      </c>
      <c r="C4" s="616">
        <v>734101624</v>
      </c>
      <c r="D4" s="617">
        <v>46199</v>
      </c>
      <c r="E4" s="618" t="s">
        <v>2136</v>
      </c>
      <c r="F4" s="617">
        <v>46169</v>
      </c>
      <c r="G4" s="619" t="s">
        <v>1136</v>
      </c>
      <c r="H4" s="619" t="s">
        <v>2137</v>
      </c>
      <c r="I4" s="619" t="s">
        <v>971</v>
      </c>
      <c r="J4" s="619" t="s">
        <v>935</v>
      </c>
      <c r="K4" s="616" t="s">
        <v>1137</v>
      </c>
      <c r="L4" s="616">
        <v>0.6</v>
      </c>
      <c r="M4" s="620">
        <v>610238</v>
      </c>
      <c r="N4" s="620">
        <v>68300</v>
      </c>
      <c r="O4" s="620">
        <v>302068</v>
      </c>
      <c r="P4" s="620">
        <v>78448</v>
      </c>
      <c r="Q4" s="620">
        <v>1059054</v>
      </c>
      <c r="R4" s="621">
        <v>372</v>
      </c>
      <c r="S4" s="621" t="s">
        <v>2130</v>
      </c>
      <c r="T4" s="621" t="s">
        <v>2146</v>
      </c>
      <c r="U4" s="621" t="s">
        <v>2131</v>
      </c>
      <c r="V4" s="621" t="s">
        <v>2127</v>
      </c>
      <c r="W4" s="621" t="s">
        <v>1271</v>
      </c>
      <c r="X4" s="621">
        <v>372</v>
      </c>
      <c r="Y4" s="621">
        <v>9.1999999999999998E-2</v>
      </c>
      <c r="Z4" s="621" t="s">
        <v>2155</v>
      </c>
      <c r="AA4" s="621" t="s">
        <v>935</v>
      </c>
      <c r="AB4" s="569">
        <v>1059054</v>
      </c>
      <c r="AC4" s="570">
        <f>AB4/'Logistics record '!$AD$1</f>
        <v>40.021691482125313</v>
      </c>
      <c r="AD4" s="570">
        <f>SUMIF(VVMV!F:F,'FedEx Export'!T4,VVMV!O:O)</f>
        <v>0</v>
      </c>
      <c r="AE4" s="235">
        <f t="shared" ref="AE4:AE9" si="0">AD4+AC4</f>
        <v>40.021691482125313</v>
      </c>
    </row>
    <row r="5" spans="1:31" s="235" customFormat="1" ht="24">
      <c r="A5" s="611"/>
      <c r="B5" s="616" t="s">
        <v>2134</v>
      </c>
      <c r="C5" s="616">
        <v>734101624</v>
      </c>
      <c r="D5" s="617">
        <v>46199</v>
      </c>
      <c r="E5" s="618" t="s">
        <v>2138</v>
      </c>
      <c r="F5" s="617">
        <v>46171</v>
      </c>
      <c r="G5" s="619" t="s">
        <v>1136</v>
      </c>
      <c r="H5" s="619" t="s">
        <v>110</v>
      </c>
      <c r="I5" s="619" t="s">
        <v>971</v>
      </c>
      <c r="J5" s="619" t="s">
        <v>935</v>
      </c>
      <c r="K5" s="616" t="s">
        <v>1137</v>
      </c>
      <c r="L5" s="616">
        <v>1.7</v>
      </c>
      <c r="M5" s="620">
        <v>814665</v>
      </c>
      <c r="N5" s="620">
        <v>68300</v>
      </c>
      <c r="O5" s="620">
        <v>403259</v>
      </c>
      <c r="P5" s="620">
        <v>102898</v>
      </c>
      <c r="Q5" s="620">
        <v>1389122</v>
      </c>
      <c r="R5" s="621">
        <v>390</v>
      </c>
      <c r="S5" s="621" t="s">
        <v>2147</v>
      </c>
      <c r="T5" s="621" t="s">
        <v>2148</v>
      </c>
      <c r="U5" s="621" t="s">
        <v>2126</v>
      </c>
      <c r="V5" s="621" t="s">
        <v>2127</v>
      </c>
      <c r="W5" s="621" t="s">
        <v>2125</v>
      </c>
      <c r="X5" s="621">
        <v>390</v>
      </c>
      <c r="Y5" s="621">
        <v>1.1000000000000001</v>
      </c>
      <c r="Z5" s="621" t="s">
        <v>366</v>
      </c>
      <c r="AA5" s="621" t="s">
        <v>935</v>
      </c>
      <c r="AB5" s="569">
        <v>1389122</v>
      </c>
      <c r="AC5" s="570">
        <f>AB5/'Logistics record '!$AD$1</f>
        <v>52.494973924873406</v>
      </c>
      <c r="AD5" s="570">
        <f>SUMIF(VVMV!F:F,'FedEx Export'!T5,VVMV!O:O)</f>
        <v>47.23754818229915</v>
      </c>
      <c r="AE5" s="235">
        <f t="shared" si="0"/>
        <v>99.732522107172557</v>
      </c>
    </row>
    <row r="6" spans="1:31" s="235" customFormat="1" ht="24">
      <c r="A6" s="611"/>
      <c r="B6" s="616" t="s">
        <v>2134</v>
      </c>
      <c r="C6" s="616">
        <v>734101624</v>
      </c>
      <c r="D6" s="617">
        <v>46199</v>
      </c>
      <c r="E6" s="618" t="s">
        <v>2139</v>
      </c>
      <c r="F6" s="617">
        <v>46178</v>
      </c>
      <c r="G6" s="619" t="s">
        <v>1136</v>
      </c>
      <c r="H6" s="619" t="s">
        <v>110</v>
      </c>
      <c r="I6" s="619" t="s">
        <v>971</v>
      </c>
      <c r="J6" s="619" t="s">
        <v>935</v>
      </c>
      <c r="K6" s="616" t="s">
        <v>1137</v>
      </c>
      <c r="L6" s="616">
        <v>16</v>
      </c>
      <c r="M6" s="620">
        <v>2797192</v>
      </c>
      <c r="N6" s="620">
        <v>68300</v>
      </c>
      <c r="O6" s="620">
        <v>1377617</v>
      </c>
      <c r="P6" s="620">
        <v>339449</v>
      </c>
      <c r="Q6" s="620">
        <v>4582558</v>
      </c>
      <c r="R6" s="621">
        <v>397</v>
      </c>
      <c r="S6" s="621" t="s">
        <v>2149</v>
      </c>
      <c r="T6" s="621" t="s">
        <v>2150</v>
      </c>
      <c r="U6" s="621" t="s">
        <v>2126</v>
      </c>
      <c r="V6" s="621" t="s">
        <v>2127</v>
      </c>
      <c r="W6" s="621" t="s">
        <v>2125</v>
      </c>
      <c r="X6" s="621">
        <v>397</v>
      </c>
      <c r="Y6" s="621">
        <v>8.9</v>
      </c>
      <c r="Z6" s="621" t="s">
        <v>366</v>
      </c>
      <c r="AA6" s="621" t="s">
        <v>935</v>
      </c>
      <c r="AB6" s="569">
        <v>4582558</v>
      </c>
      <c r="AC6" s="570">
        <f>AB6/'Logistics record '!$AD$1</f>
        <v>173.17504345854434</v>
      </c>
      <c r="AD6" s="570">
        <f>SUMIF(VVMV!F:F,'FedEx Export'!T6,VVMV!O:O)</f>
        <v>47.23754818229915</v>
      </c>
      <c r="AE6" s="235">
        <f t="shared" si="0"/>
        <v>220.41259164084349</v>
      </c>
    </row>
    <row r="7" spans="1:31" s="235" customFormat="1" ht="36">
      <c r="A7" s="611"/>
      <c r="B7" s="616" t="s">
        <v>2134</v>
      </c>
      <c r="C7" s="616">
        <v>734101624</v>
      </c>
      <c r="D7" s="617">
        <v>46199</v>
      </c>
      <c r="E7" s="618" t="s">
        <v>2140</v>
      </c>
      <c r="F7" s="617">
        <v>46181</v>
      </c>
      <c r="G7" s="619" t="s">
        <v>1136</v>
      </c>
      <c r="H7" s="619" t="s">
        <v>2141</v>
      </c>
      <c r="I7" s="619" t="s">
        <v>971</v>
      </c>
      <c r="J7" s="619" t="s">
        <v>931</v>
      </c>
      <c r="K7" s="616" t="s">
        <v>1151</v>
      </c>
      <c r="L7" s="616">
        <v>1.7</v>
      </c>
      <c r="M7" s="620">
        <v>670355</v>
      </c>
      <c r="N7" s="620">
        <v>0</v>
      </c>
      <c r="O7" s="620">
        <v>284901</v>
      </c>
      <c r="P7" s="620">
        <v>76420</v>
      </c>
      <c r="Q7" s="620">
        <v>1031676</v>
      </c>
      <c r="R7" s="621">
        <v>402</v>
      </c>
      <c r="S7" s="621" t="s">
        <v>2151</v>
      </c>
      <c r="T7" s="621" t="s">
        <v>2152</v>
      </c>
      <c r="U7" s="621" t="s">
        <v>2131</v>
      </c>
      <c r="V7" s="621" t="s">
        <v>2127</v>
      </c>
      <c r="W7" s="621" t="s">
        <v>1271</v>
      </c>
      <c r="X7" s="621">
        <v>402</v>
      </c>
      <c r="Y7" s="621">
        <v>1.653</v>
      </c>
      <c r="Z7" s="621" t="s">
        <v>336</v>
      </c>
      <c r="AA7" s="621" t="s">
        <v>931</v>
      </c>
      <c r="AB7" s="569">
        <v>1031676</v>
      </c>
      <c r="AC7" s="570">
        <f>AB7/'Logistics record '!$AD$1</f>
        <v>38.987075806817323</v>
      </c>
      <c r="AD7" s="570">
        <f>SUMIF(VVMV!F:F,'FedEx Export'!T7,VVMV!O:O)</f>
        <v>0</v>
      </c>
      <c r="AE7" s="235">
        <f t="shared" si="0"/>
        <v>38.987075806817323</v>
      </c>
    </row>
    <row r="8" spans="1:31" s="238" customFormat="1" ht="36">
      <c r="A8" s="612"/>
      <c r="B8" s="616" t="s">
        <v>2134</v>
      </c>
      <c r="C8" s="616">
        <v>734101624</v>
      </c>
      <c r="D8" s="617">
        <v>46199</v>
      </c>
      <c r="E8" s="618" t="s">
        <v>2142</v>
      </c>
      <c r="F8" s="617">
        <v>46184</v>
      </c>
      <c r="G8" s="619" t="s">
        <v>1136</v>
      </c>
      <c r="H8" s="619" t="s">
        <v>2143</v>
      </c>
      <c r="I8" s="619" t="s">
        <v>971</v>
      </c>
      <c r="J8" s="619" t="s">
        <v>932</v>
      </c>
      <c r="K8" s="616" t="s">
        <v>1137</v>
      </c>
      <c r="L8" s="616">
        <v>4.5999999999999996</v>
      </c>
      <c r="M8" s="620">
        <v>778702</v>
      </c>
      <c r="N8" s="620">
        <v>0</v>
      </c>
      <c r="O8" s="620">
        <v>330948</v>
      </c>
      <c r="P8" s="620">
        <v>88772</v>
      </c>
      <c r="Q8" s="620">
        <v>1198422</v>
      </c>
      <c r="R8" s="621">
        <v>410</v>
      </c>
      <c r="S8" s="621" t="s">
        <v>2132</v>
      </c>
      <c r="T8" s="621" t="s">
        <v>2153</v>
      </c>
      <c r="U8" s="621" t="s">
        <v>2116</v>
      </c>
      <c r="V8" s="621" t="s">
        <v>2127</v>
      </c>
      <c r="W8" s="621" t="s">
        <v>76</v>
      </c>
      <c r="X8" s="621">
        <v>410</v>
      </c>
      <c r="Y8" s="621">
        <v>1.6</v>
      </c>
      <c r="Z8" s="621" t="s">
        <v>2156</v>
      </c>
      <c r="AA8" s="621" t="s">
        <v>932</v>
      </c>
      <c r="AB8" s="569">
        <v>1198422</v>
      </c>
      <c r="AC8" s="570">
        <f>AB8/'Logistics record '!$AD$1</f>
        <v>45.288413574181845</v>
      </c>
      <c r="AD8" s="570">
        <f>SUMIF(VVMV!F:F,'FedEx Export'!T8,VVMV!O:O)</f>
        <v>47.23754818229915</v>
      </c>
      <c r="AE8" s="235">
        <f t="shared" si="0"/>
        <v>92.525961756480996</v>
      </c>
    </row>
    <row r="9" spans="1:31" s="238" customFormat="1" ht="24">
      <c r="A9" s="612"/>
      <c r="B9" s="616" t="s">
        <v>2134</v>
      </c>
      <c r="C9" s="616">
        <v>734101624</v>
      </c>
      <c r="D9" s="617">
        <v>46199</v>
      </c>
      <c r="E9" s="618" t="s">
        <v>2144</v>
      </c>
      <c r="F9" s="617">
        <v>46188</v>
      </c>
      <c r="G9" s="619" t="s">
        <v>1136</v>
      </c>
      <c r="H9" s="619" t="s">
        <v>110</v>
      </c>
      <c r="I9" s="619" t="s">
        <v>971</v>
      </c>
      <c r="J9" s="619" t="s">
        <v>935</v>
      </c>
      <c r="K9" s="616" t="s">
        <v>1151</v>
      </c>
      <c r="L9" s="616">
        <v>9.3000000000000007</v>
      </c>
      <c r="M9" s="620">
        <v>2160797</v>
      </c>
      <c r="N9" s="620">
        <v>68300</v>
      </c>
      <c r="O9" s="620">
        <v>929143</v>
      </c>
      <c r="P9" s="620">
        <v>252659</v>
      </c>
      <c r="Q9" s="620">
        <v>3410899</v>
      </c>
      <c r="R9" s="621">
        <v>424</v>
      </c>
      <c r="S9" s="621" t="s">
        <v>2128</v>
      </c>
      <c r="T9" s="621" t="s">
        <v>2154</v>
      </c>
      <c r="U9" s="621" t="s">
        <v>2129</v>
      </c>
      <c r="V9" s="621" t="s">
        <v>2127</v>
      </c>
      <c r="W9" s="621" t="s">
        <v>2125</v>
      </c>
      <c r="X9" s="621">
        <v>424</v>
      </c>
      <c r="Y9" s="621">
        <v>7</v>
      </c>
      <c r="Z9" s="621" t="s">
        <v>366</v>
      </c>
      <c r="AA9" s="621" t="s">
        <v>935</v>
      </c>
      <c r="AB9" s="569">
        <v>3410899</v>
      </c>
      <c r="AC9" s="570">
        <f>AB9/'Logistics record '!$AD$1</f>
        <v>128.89800468596479</v>
      </c>
      <c r="AD9" s="570">
        <f>SUMIF(VVMV!F:F,'FedEx Export'!T9,VVMV!O:O)</f>
        <v>15.116015418335726</v>
      </c>
      <c r="AE9" s="235">
        <f t="shared" si="0"/>
        <v>144.01402010430053</v>
      </c>
    </row>
    <row r="10" spans="1:31" s="235" customFormat="1" ht="14.1" customHeight="1">
      <c r="A10" s="608"/>
      <c r="B10" s="233"/>
      <c r="C10" s="233"/>
      <c r="D10" s="233"/>
      <c r="E10" s="234"/>
      <c r="F10" s="233"/>
      <c r="G10" s="609"/>
      <c r="H10" s="233"/>
      <c r="I10" s="233"/>
      <c r="J10" s="233"/>
      <c r="K10" s="610"/>
      <c r="L10" s="610"/>
      <c r="M10" s="610"/>
      <c r="N10" s="610"/>
      <c r="O10" s="613"/>
      <c r="P10" s="232"/>
      <c r="Q10" s="240"/>
      <c r="R10" s="240"/>
      <c r="S10" s="240"/>
      <c r="T10" s="240"/>
      <c r="U10" s="240"/>
      <c r="V10" s="240"/>
      <c r="W10" s="240"/>
      <c r="X10" s="241"/>
      <c r="AE10" s="625">
        <f>SUM(AC3:AC9)</f>
        <v>584.86641221374043</v>
      </c>
    </row>
    <row r="11" spans="1:31" s="235" customFormat="1" ht="14.1" customHeight="1">
      <c r="A11" s="232"/>
      <c r="B11" s="242"/>
      <c r="C11" s="242"/>
      <c r="D11" s="232"/>
      <c r="E11" s="243"/>
      <c r="F11" s="232"/>
      <c r="G11" s="232"/>
      <c r="H11" s="232"/>
      <c r="I11" s="232"/>
      <c r="J11" s="232"/>
      <c r="K11" s="232"/>
      <c r="L11" s="232"/>
      <c r="M11" s="232"/>
      <c r="N11" s="232"/>
      <c r="O11" s="232"/>
      <c r="P11" s="232"/>
      <c r="Q11" s="232"/>
      <c r="R11" s="232"/>
      <c r="S11" s="232"/>
      <c r="T11" s="232"/>
      <c r="U11" s="232"/>
      <c r="V11" s="232"/>
      <c r="W11" s="232"/>
    </row>
    <row r="12" spans="1:31" ht="14.1" customHeight="1">
      <c r="B12" s="245"/>
      <c r="K12" s="247"/>
      <c r="L12" s="247"/>
      <c r="M12" s="247"/>
      <c r="N12" s="248"/>
      <c r="P12" s="249" t="s">
        <v>1140</v>
      </c>
      <c r="Q12" s="250">
        <f>SUM(Q3:Q9)</f>
        <v>15476735</v>
      </c>
      <c r="R12" s="250"/>
      <c r="S12" s="250"/>
      <c r="T12" s="380"/>
      <c r="U12" s="250"/>
      <c r="V12" s="250"/>
      <c r="W12" s="250"/>
    </row>
    <row r="13" spans="1:31" ht="14.1" customHeight="1">
      <c r="O13" s="244">
        <f>Q12/26367</f>
        <v>586.97367922023739</v>
      </c>
      <c r="Q13" s="538"/>
    </row>
    <row r="14" spans="1:31" ht="14.1" customHeight="1"/>
    <row r="15" spans="1:31" ht="15" customHeight="1"/>
    <row r="16" spans="1:31" ht="102.75" customHeight="1"/>
    <row r="17" spans="1:15" ht="15" customHeight="1">
      <c r="A17" s="789"/>
      <c r="B17" s="789"/>
      <c r="C17" s="789"/>
      <c r="D17" s="789"/>
      <c r="E17" s="789"/>
      <c r="O17" s="239"/>
    </row>
  </sheetData>
  <autoFilter ref="A2:AA10" xr:uid="{401AFB09-8B17-4D3C-8AED-7F9C580981A1}"/>
  <mergeCells count="2">
    <mergeCell ref="R1:AA1"/>
    <mergeCell ref="A17:E17"/>
  </mergeCells>
  <pageMargins left="0.27013888888888887" right="0.12013888888888889" top="0.5" bottom="0.25" header="0" footer="0"/>
  <pageSetup paperSize="9" fitToWidth="0" fitToHeight="0"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4F9C4-C71F-4DD4-BD95-08109CE31C42}">
  <sheetPr codeName="Sheet3">
    <tabColor rgb="FF92D050"/>
  </sheetPr>
  <dimension ref="A1:Y159"/>
  <sheetViews>
    <sheetView showGridLines="0" showOutlineSymbols="0" topLeftCell="D1" zoomScale="85" zoomScaleNormal="85" workbookViewId="0">
      <selection activeCell="N29" sqref="A26:N29"/>
    </sheetView>
  </sheetViews>
  <sheetFormatPr defaultColWidth="6.5703125" defaultRowHeight="12.75" customHeight="1"/>
  <cols>
    <col min="1" max="1" width="3.42578125" style="244" customWidth="1"/>
    <col min="2" max="2" width="17.5703125" style="244" customWidth="1"/>
    <col min="3" max="3" width="15.42578125" style="244" customWidth="1"/>
    <col min="4" max="4" width="12" style="244" customWidth="1"/>
    <col min="5" max="5" width="18.42578125" style="246" customWidth="1"/>
    <col min="6" max="6" width="10.42578125" style="244" customWidth="1"/>
    <col min="7" max="7" width="16.85546875" style="244" customWidth="1"/>
    <col min="8" max="8" width="14.42578125" style="244" customWidth="1"/>
    <col min="9" max="9" width="7.42578125" style="244" customWidth="1"/>
    <col min="10" max="10" width="10.5703125" style="244" customWidth="1"/>
    <col min="11" max="11" width="7.42578125" style="244" customWidth="1"/>
    <col min="12" max="12" width="10.42578125" style="244" customWidth="1"/>
    <col min="13" max="14" width="11.5703125" style="244" customWidth="1"/>
    <col min="15" max="15" width="13.5703125" style="244" customWidth="1"/>
    <col min="16" max="16" width="9" style="244" customWidth="1"/>
    <col min="17" max="17" width="13.42578125" style="244" bestFit="1" customWidth="1"/>
    <col min="18" max="18" width="13.42578125" style="244" customWidth="1"/>
    <col min="19" max="19" width="14.85546875" style="251" customWidth="1"/>
    <col min="20" max="20" width="27.7109375" style="251" customWidth="1"/>
    <col min="21" max="21" width="42.28515625" style="251" customWidth="1"/>
    <col min="22" max="22" width="19.140625" style="251" customWidth="1"/>
    <col min="23" max="24" width="11.7109375" style="251" customWidth="1"/>
    <col min="25" max="16384" width="6.5703125" style="251"/>
  </cols>
  <sheetData>
    <row r="1" spans="1:24" s="235" customFormat="1" ht="35.450000000000003" customHeight="1">
      <c r="A1" s="236"/>
      <c r="B1" s="236" t="s">
        <v>1113</v>
      </c>
      <c r="C1" s="236" t="s">
        <v>1114</v>
      </c>
      <c r="D1" s="236" t="s">
        <v>1115</v>
      </c>
      <c r="E1" s="236" t="s">
        <v>1116</v>
      </c>
      <c r="F1" s="236" t="s">
        <v>1117</v>
      </c>
      <c r="G1" s="262" t="s">
        <v>1118</v>
      </c>
      <c r="H1" s="262" t="s">
        <v>1119</v>
      </c>
      <c r="I1" s="262" t="s">
        <v>1120</v>
      </c>
      <c r="J1" s="262" t="s">
        <v>1121</v>
      </c>
      <c r="K1" s="236" t="s">
        <v>1122</v>
      </c>
      <c r="L1" s="236" t="s">
        <v>1123</v>
      </c>
      <c r="M1" s="236" t="s">
        <v>1124</v>
      </c>
      <c r="N1" s="236" t="s">
        <v>1125</v>
      </c>
      <c r="O1" s="236" t="s">
        <v>1126</v>
      </c>
      <c r="P1" s="236" t="s">
        <v>1149</v>
      </c>
      <c r="Q1" s="236" t="s">
        <v>1128</v>
      </c>
      <c r="R1" s="237" t="s">
        <v>1135</v>
      </c>
      <c r="S1" s="237" t="s">
        <v>1154</v>
      </c>
      <c r="T1" s="237" t="s">
        <v>1132</v>
      </c>
      <c r="U1" s="235" t="s">
        <v>1110</v>
      </c>
      <c r="V1" s="235" t="s">
        <v>1315</v>
      </c>
      <c r="W1" s="235" t="s">
        <v>35</v>
      </c>
    </row>
    <row r="2" spans="1:24" s="235" customFormat="1" ht="36">
      <c r="A2" s="702"/>
      <c r="B2" s="703" t="s">
        <v>2157</v>
      </c>
      <c r="C2" s="703">
        <v>734101623</v>
      </c>
      <c r="D2" s="704">
        <v>46199</v>
      </c>
      <c r="E2" s="705">
        <v>381335227154</v>
      </c>
      <c r="F2" s="704">
        <v>46160</v>
      </c>
      <c r="G2" s="706" t="s">
        <v>974</v>
      </c>
      <c r="H2" s="706" t="s">
        <v>110</v>
      </c>
      <c r="I2" s="706" t="s">
        <v>943</v>
      </c>
      <c r="J2" s="706" t="s">
        <v>971</v>
      </c>
      <c r="K2" s="703" t="s">
        <v>1137</v>
      </c>
      <c r="L2" s="703">
        <v>0.8</v>
      </c>
      <c r="M2" s="707">
        <v>448955</v>
      </c>
      <c r="N2" s="707">
        <v>137374</v>
      </c>
      <c r="O2" s="707">
        <v>213254</v>
      </c>
      <c r="P2" s="707">
        <v>42058</v>
      </c>
      <c r="Q2" s="707">
        <v>841641</v>
      </c>
      <c r="R2" s="708">
        <f>Q2/'Logistics record '!$AD$1</f>
        <v>31.805645831758749</v>
      </c>
      <c r="S2" s="265" t="s">
        <v>1155</v>
      </c>
      <c r="T2" s="232"/>
      <c r="U2" s="235" t="str" cm="1">
        <f t="array" ref="U2">IFERROR(
  _xlfn.IFS(
    VLOOKUP(E2,[1]Material!F$5:U$90000,16,0)="LUC","Lucid",
    VLOOKUP(E2,[1]Material!F$5:U$90000,16,0)="FMC","FORD",
    OR(VLOOKUP(E2,[1]Material!F$5:U$90000,16,0)="PUR",VLOOKUP(E2,[1]Material!F$5:U$90000,16,0)="HLO"),"PURE",
    VLOOKUP(E2,[1]Material!F$5:U$90000,16,0)="AIC","AIC",
    OR(VLOOKUP(E2,[1]Material!F$5:U$90000,16,0)="AGI",VLOOKUP(E2,[1]Material!F$5:U$90000,16,0)="AGIGA"),"AGIGA",
    OR(LEFT(VLOOKUP(E2,[1]Material!F$5:U$90000,16,0),3)="EF-",VLOOKUP(E2,[1]Material!F$5:U$90000,16,0)="EFI"),"EFI",
    AND(ISNUMBER(VLOOKUP(E2,[1]Material!F$5:U$90000,16,0)),VLOOKUP(E2,[1]Material!F$5:U$90000,16,0)&gt;=100,VLOOKUP(E2,[1]Material!F$5:U$90000,16,0)&lt;=999,VLOOKUP(E2,[1]Material!F$5:U$90000,16,0)=INT(VLOOKUP(E2,[1]Material!F$5:U$90000,16,0))),"OEM",
    TRUE,""
  ),
  "không tìm thấy trong file Import"
)</f>
        <v>EFI</v>
      </c>
      <c r="V2" s="235">
        <f>IFERROR(_xlfn.XLOOKUP(E:E,VVMV!B:B,VVMV!J:J),0)</f>
        <v>15.116015418335726</v>
      </c>
      <c r="W2" s="590">
        <f>V2+R2</f>
        <v>46.921661250094473</v>
      </c>
      <c r="X2" s="590"/>
    </row>
    <row r="3" spans="1:24" s="235" customFormat="1" ht="36">
      <c r="A3" s="702"/>
      <c r="B3" s="703" t="s">
        <v>2157</v>
      </c>
      <c r="C3" s="703">
        <v>734101623</v>
      </c>
      <c r="D3" s="704">
        <v>46199</v>
      </c>
      <c r="E3" s="705">
        <v>381471618942</v>
      </c>
      <c r="F3" s="704">
        <v>46163</v>
      </c>
      <c r="G3" s="706" t="s">
        <v>974</v>
      </c>
      <c r="H3" s="706" t="s">
        <v>110</v>
      </c>
      <c r="I3" s="706" t="s">
        <v>943</v>
      </c>
      <c r="J3" s="706" t="s">
        <v>971</v>
      </c>
      <c r="K3" s="703" t="s">
        <v>1137</v>
      </c>
      <c r="L3" s="703">
        <v>2.6</v>
      </c>
      <c r="M3" s="707">
        <v>633735</v>
      </c>
      <c r="N3" s="707">
        <v>136652</v>
      </c>
      <c r="O3" s="707">
        <v>308946</v>
      </c>
      <c r="P3" s="707">
        <v>56773</v>
      </c>
      <c r="Q3" s="707">
        <v>1136106</v>
      </c>
      <c r="R3" s="708">
        <f>Q3/'Logistics record '!$AD$1</f>
        <v>42.933489532159321</v>
      </c>
      <c r="S3" s="265" t="s">
        <v>1155</v>
      </c>
      <c r="T3" s="232"/>
      <c r="U3" s="235" t="str" cm="1">
        <f t="array" ref="U3">IFERROR(
  _xlfn.IFS(
    VLOOKUP(E3,[1]Material!F$5:U$90000,16,0)="LUC","Lucid",
    VLOOKUP(E3,[1]Material!F$5:U$90000,16,0)="FMC","FORD",
    OR(VLOOKUP(E3,[1]Material!F$5:U$90000,16,0)="PUR",VLOOKUP(E3,[1]Material!F$5:U$90000,16,0)="HLO"),"PURE",
    VLOOKUP(E3,[1]Material!F$5:U$90000,16,0)="AIC","AIC",
    OR(VLOOKUP(E3,[1]Material!F$5:U$90000,16,0)="AGI",VLOOKUP(E3,[1]Material!F$5:U$90000,16,0)="AGIGA"),"AGIGA",
    OR(LEFT(VLOOKUP(E3,[1]Material!F$5:U$90000,16,0),3)="EF-",VLOOKUP(E3,[1]Material!F$5:U$90000,16,0)="EFI"),"EFI",
    AND(ISNUMBER(VLOOKUP(E3,[1]Material!F$5:U$90000,16,0)),VLOOKUP(E3,[1]Material!F$5:U$90000,16,0)&gt;=100,VLOOKUP(E3,[1]Material!F$5:U$90000,16,0)&lt;=999,VLOOKUP(E3,[1]Material!F$5:U$90000,16,0)=INT(VLOOKUP(E3,[1]Material!F$5:U$90000,16,0))),"OEM",
    TRUE,""
  ),
  "không tìm thấy trong file Import"
)</f>
        <v>PURE</v>
      </c>
      <c r="V3" s="235">
        <f>IFERROR(_xlfn.XLOOKUP(E:E,VVMV!B:B,VVMV!J:J),0)</f>
        <v>0</v>
      </c>
      <c r="W3" s="590">
        <f t="shared" ref="W3:W66" si="0">V3+R3</f>
        <v>42.933489532159321</v>
      </c>
      <c r="X3" s="590"/>
    </row>
    <row r="4" spans="1:24" s="235" customFormat="1" ht="36">
      <c r="A4" s="702"/>
      <c r="B4" s="703" t="s">
        <v>2157</v>
      </c>
      <c r="C4" s="703">
        <v>734101623</v>
      </c>
      <c r="D4" s="704">
        <v>46199</v>
      </c>
      <c r="E4" s="705">
        <v>381501224770</v>
      </c>
      <c r="F4" s="704">
        <v>46164</v>
      </c>
      <c r="G4" s="706" t="s">
        <v>974</v>
      </c>
      <c r="H4" s="706" t="s">
        <v>110</v>
      </c>
      <c r="I4" s="706" t="s">
        <v>943</v>
      </c>
      <c r="J4" s="706" t="s">
        <v>971</v>
      </c>
      <c r="K4" s="703" t="s">
        <v>1137</v>
      </c>
      <c r="L4" s="703">
        <v>6.3</v>
      </c>
      <c r="M4" s="707">
        <v>908289</v>
      </c>
      <c r="N4" s="707">
        <v>137068</v>
      </c>
      <c r="O4" s="707">
        <v>442791</v>
      </c>
      <c r="P4" s="707">
        <v>78277</v>
      </c>
      <c r="Q4" s="707">
        <v>1566425</v>
      </c>
      <c r="R4" s="708">
        <f>Q4/'Logistics record '!$AD$1</f>
        <v>59.195261129166354</v>
      </c>
      <c r="S4" s="265" t="s">
        <v>1155</v>
      </c>
      <c r="T4" s="232"/>
      <c r="U4" s="235" t="str" cm="1">
        <f t="array" ref="U4">IFERROR(
  _xlfn.IFS(
    VLOOKUP(E4,[1]Material!F$5:U$90000,16,0)="LUC","Lucid",
    VLOOKUP(E4,[1]Material!F$5:U$90000,16,0)="FMC","FORD",
    OR(VLOOKUP(E4,[1]Material!F$5:U$90000,16,0)="PUR",VLOOKUP(E4,[1]Material!F$5:U$90000,16,0)="HLO"),"PURE",
    VLOOKUP(E4,[1]Material!F$5:U$90000,16,0)="AIC","AIC",
    OR(VLOOKUP(E4,[1]Material!F$5:U$90000,16,0)="AGI",VLOOKUP(E4,[1]Material!F$5:U$90000,16,0)="AGIGA"),"AGIGA",
    OR(LEFT(VLOOKUP(E4,[1]Material!F$5:U$90000,16,0),3)="EF-",VLOOKUP(E4,[1]Material!F$5:U$90000,16,0)="EFI"),"EFI",
    AND(ISNUMBER(VLOOKUP(E4,[1]Material!F$5:U$90000,16,0)),VLOOKUP(E4,[1]Material!F$5:U$90000,16,0)&gt;=100,VLOOKUP(E4,[1]Material!F$5:U$90000,16,0)&lt;=999,VLOOKUP(E4,[1]Material!F$5:U$90000,16,0)=INT(VLOOKUP(E4,[1]Material!F$5:U$90000,16,0))),"OEM",
    TRUE,""
  ),
  "không tìm thấy trong file Import"
)</f>
        <v>PURE</v>
      </c>
      <c r="V4" s="235">
        <f>IFERROR(_xlfn.XLOOKUP(E:E,VVMV!B:B,VVMV!J:J),0)</f>
        <v>15.116015418335726</v>
      </c>
      <c r="W4" s="590">
        <f t="shared" si="0"/>
        <v>74.311276547502075</v>
      </c>
      <c r="X4" s="590"/>
    </row>
    <row r="5" spans="1:24" s="235" customFormat="1" ht="36">
      <c r="A5" s="702"/>
      <c r="B5" s="703" t="s">
        <v>2157</v>
      </c>
      <c r="C5" s="703">
        <v>734101623</v>
      </c>
      <c r="D5" s="704">
        <v>46199</v>
      </c>
      <c r="E5" s="705">
        <v>381600540944</v>
      </c>
      <c r="F5" s="704">
        <v>46169</v>
      </c>
      <c r="G5" s="706" t="s">
        <v>974</v>
      </c>
      <c r="H5" s="706" t="s">
        <v>110</v>
      </c>
      <c r="I5" s="706" t="s">
        <v>943</v>
      </c>
      <c r="J5" s="706" t="s">
        <v>971</v>
      </c>
      <c r="K5" s="703" t="s">
        <v>1137</v>
      </c>
      <c r="L5" s="703">
        <v>5.4</v>
      </c>
      <c r="M5" s="707">
        <v>841155</v>
      </c>
      <c r="N5" s="707">
        <v>137496</v>
      </c>
      <c r="O5" s="707">
        <v>416372</v>
      </c>
      <c r="P5" s="707">
        <v>73378</v>
      </c>
      <c r="Q5" s="707">
        <v>1468401</v>
      </c>
      <c r="R5" s="708">
        <f>Q5/'Logistics record '!$AD$1</f>
        <v>55.490930390749</v>
      </c>
      <c r="S5" s="265" t="s">
        <v>1155</v>
      </c>
      <c r="T5" s="232"/>
      <c r="U5" s="235" t="str" cm="1">
        <f t="array" ref="U5">IFERROR(
  _xlfn.IFS(
    VLOOKUP(E5,[1]Material!F$5:U$90000,16,0)="LUC","Lucid",
    VLOOKUP(E5,[1]Material!F$5:U$90000,16,0)="FMC","FORD",
    OR(VLOOKUP(E5,[1]Material!F$5:U$90000,16,0)="PUR",VLOOKUP(E5,[1]Material!F$5:U$90000,16,0)="HLO"),"PURE",
    VLOOKUP(E5,[1]Material!F$5:U$90000,16,0)="AIC","AIC",
    OR(VLOOKUP(E5,[1]Material!F$5:U$90000,16,0)="AGI",VLOOKUP(E5,[1]Material!F$5:U$90000,16,0)="AGIGA"),"AGIGA",
    OR(LEFT(VLOOKUP(E5,[1]Material!F$5:U$90000,16,0),3)="EF-",VLOOKUP(E5,[1]Material!F$5:U$90000,16,0)="EFI"),"EFI",
    AND(ISNUMBER(VLOOKUP(E5,[1]Material!F$5:U$90000,16,0)),VLOOKUP(E5,[1]Material!F$5:U$90000,16,0)&gt;=100,VLOOKUP(E5,[1]Material!F$5:U$90000,16,0)&lt;=999,VLOOKUP(E5,[1]Material!F$5:U$90000,16,0)=INT(VLOOKUP(E5,[1]Material!F$5:U$90000,16,0))),"OEM",
    TRUE,""
  ),
  "không tìm thấy trong file Import"
)</f>
        <v>EFI</v>
      </c>
      <c r="V5" s="235">
        <f>IFERROR(_xlfn.XLOOKUP(E:E,VVMV!B:B,VVMV!J:J),0)</f>
        <v>15.116015418335726</v>
      </c>
      <c r="W5" s="590">
        <f t="shared" si="0"/>
        <v>70.606945809084721</v>
      </c>
      <c r="X5" s="590"/>
    </row>
    <row r="6" spans="1:24" s="235" customFormat="1" ht="36">
      <c r="A6" s="702"/>
      <c r="B6" s="703" t="s">
        <v>2157</v>
      </c>
      <c r="C6" s="703">
        <v>734101623</v>
      </c>
      <c r="D6" s="704">
        <v>46199</v>
      </c>
      <c r="E6" s="705">
        <v>381633142753</v>
      </c>
      <c r="F6" s="704">
        <v>46170</v>
      </c>
      <c r="G6" s="706" t="s">
        <v>974</v>
      </c>
      <c r="H6" s="706" t="s">
        <v>110</v>
      </c>
      <c r="I6" s="706" t="s">
        <v>943</v>
      </c>
      <c r="J6" s="706" t="s">
        <v>971</v>
      </c>
      <c r="K6" s="703" t="s">
        <v>1137</v>
      </c>
      <c r="L6" s="703">
        <v>2.6</v>
      </c>
      <c r="M6" s="707">
        <v>633735</v>
      </c>
      <c r="N6" s="707">
        <v>136969</v>
      </c>
      <c r="O6" s="707">
        <v>313699</v>
      </c>
      <c r="P6" s="707">
        <v>57040</v>
      </c>
      <c r="Q6" s="707">
        <v>1141443</v>
      </c>
      <c r="R6" s="708">
        <f>Q6/'Logistics record '!$AD$1</f>
        <v>43.13517496787847</v>
      </c>
      <c r="S6" s="265" t="s">
        <v>1155</v>
      </c>
      <c r="T6" s="232"/>
      <c r="U6" s="235" t="str" cm="1">
        <f t="array" ref="U6">IFERROR(
  _xlfn.IFS(
    VLOOKUP(E6,[1]Material!F$5:U$90000,16,0)="LUC","Lucid",
    VLOOKUP(E6,[1]Material!F$5:U$90000,16,0)="FMC","FORD",
    OR(VLOOKUP(E6,[1]Material!F$5:U$90000,16,0)="PUR",VLOOKUP(E6,[1]Material!F$5:U$90000,16,0)="HLO"),"PURE",
    VLOOKUP(E6,[1]Material!F$5:U$90000,16,0)="AIC","AIC",
    OR(VLOOKUP(E6,[1]Material!F$5:U$90000,16,0)="AGI",VLOOKUP(E6,[1]Material!F$5:U$90000,16,0)="AGIGA"),"AGIGA",
    OR(LEFT(VLOOKUP(E6,[1]Material!F$5:U$90000,16,0),3)="EF-",VLOOKUP(E6,[1]Material!F$5:U$90000,16,0)="EFI"),"EFI",
    AND(ISNUMBER(VLOOKUP(E6,[1]Material!F$5:U$90000,16,0)),VLOOKUP(E6,[1]Material!F$5:U$90000,16,0)&gt;=100,VLOOKUP(E6,[1]Material!F$5:U$90000,16,0)&lt;=999,VLOOKUP(E6,[1]Material!F$5:U$90000,16,0)=INT(VLOOKUP(E6,[1]Material!F$5:U$90000,16,0))),"OEM",
    TRUE,""
  ),
  "không tìm thấy trong file Import"
)</f>
        <v>PURE</v>
      </c>
      <c r="V6" s="235">
        <f>IFERROR(_xlfn.XLOOKUP(E:E,VVMV!B:B,VVMV!J:J),0)</f>
        <v>15.116015418335726</v>
      </c>
      <c r="W6" s="590">
        <f t="shared" si="0"/>
        <v>58.251190386214198</v>
      </c>
      <c r="X6" s="590"/>
    </row>
    <row r="7" spans="1:24" s="235" customFormat="1" ht="36">
      <c r="A7" s="702"/>
      <c r="B7" s="703" t="s">
        <v>2157</v>
      </c>
      <c r="C7" s="703">
        <v>734101623</v>
      </c>
      <c r="D7" s="704">
        <v>46199</v>
      </c>
      <c r="E7" s="705">
        <v>518337606988</v>
      </c>
      <c r="F7" s="704">
        <v>46170</v>
      </c>
      <c r="G7" s="706" t="s">
        <v>816</v>
      </c>
      <c r="H7" s="706" t="s">
        <v>1600</v>
      </c>
      <c r="I7" s="706" t="s">
        <v>943</v>
      </c>
      <c r="J7" s="706" t="s">
        <v>971</v>
      </c>
      <c r="K7" s="703" t="s">
        <v>1137</v>
      </c>
      <c r="L7" s="703">
        <v>29.7</v>
      </c>
      <c r="M7" s="707">
        <v>2509099</v>
      </c>
      <c r="N7" s="707">
        <v>138490</v>
      </c>
      <c r="O7" s="707">
        <v>1242004</v>
      </c>
      <c r="P7" s="707">
        <v>204593</v>
      </c>
      <c r="Q7" s="707">
        <v>4094186</v>
      </c>
      <c r="R7" s="708">
        <f>Q7/'Logistics record '!$AD$1</f>
        <v>154.71944675383568</v>
      </c>
      <c r="S7" s="265" t="s">
        <v>1155</v>
      </c>
      <c r="T7" s="232"/>
      <c r="U7" s="235" t="str" cm="1">
        <f t="array" ref="U7">IFERROR(
  _xlfn.IFS(
    VLOOKUP(E7,[1]Material!F$5:U$90000,16,0)="LUC","Lucid",
    VLOOKUP(E7,[1]Material!F$5:U$90000,16,0)="FMC","FORD",
    OR(VLOOKUP(E7,[1]Material!F$5:U$90000,16,0)="PUR",VLOOKUP(E7,[1]Material!F$5:U$90000,16,0)="HLO"),"PURE",
    VLOOKUP(E7,[1]Material!F$5:U$90000,16,0)="AIC","AIC",
    OR(VLOOKUP(E7,[1]Material!F$5:U$90000,16,0)="AGI",VLOOKUP(E7,[1]Material!F$5:U$90000,16,0)="AGIGA"),"AGIGA",
    OR(LEFT(VLOOKUP(E7,[1]Material!F$5:U$90000,16,0),3)="EF-",VLOOKUP(E7,[1]Material!F$5:U$90000,16,0)="EFI"),"EFI",
    AND(ISNUMBER(VLOOKUP(E7,[1]Material!F$5:U$90000,16,0)),VLOOKUP(E7,[1]Material!F$5:U$90000,16,0)&gt;=100,VLOOKUP(E7,[1]Material!F$5:U$90000,16,0)&lt;=999,VLOOKUP(E7,[1]Material!F$5:U$90000,16,0)=INT(VLOOKUP(E7,[1]Material!F$5:U$90000,16,0))),"OEM",
    TRUE,""
  ),
  "không tìm thấy trong file Import"
)</f>
        <v>PURE</v>
      </c>
      <c r="V7" s="235">
        <f>IFERROR(_xlfn.XLOOKUP(E:E,VVMV!B:B,VVMV!J:J),0)</f>
        <v>15.116015418335726</v>
      </c>
      <c r="W7" s="590">
        <f t="shared" si="0"/>
        <v>169.83546217217142</v>
      </c>
      <c r="X7" s="590"/>
    </row>
    <row r="8" spans="1:24" s="235" customFormat="1" ht="36">
      <c r="A8" s="702"/>
      <c r="B8" s="703" t="s">
        <v>2157</v>
      </c>
      <c r="C8" s="703">
        <v>734101623</v>
      </c>
      <c r="D8" s="704">
        <v>46199</v>
      </c>
      <c r="E8" s="705">
        <v>381794684335</v>
      </c>
      <c r="F8" s="704">
        <v>46177</v>
      </c>
      <c r="G8" s="706" t="s">
        <v>974</v>
      </c>
      <c r="H8" s="706" t="s">
        <v>110</v>
      </c>
      <c r="I8" s="706" t="s">
        <v>943</v>
      </c>
      <c r="J8" s="706" t="s">
        <v>971</v>
      </c>
      <c r="K8" s="703" t="s">
        <v>1137</v>
      </c>
      <c r="L8" s="703">
        <v>8.8000000000000007</v>
      </c>
      <c r="M8" s="707">
        <v>1076123</v>
      </c>
      <c r="N8" s="707">
        <v>136616</v>
      </c>
      <c r="O8" s="707">
        <v>529991</v>
      </c>
      <c r="P8" s="707">
        <v>91668</v>
      </c>
      <c r="Q8" s="707">
        <v>1834398</v>
      </c>
      <c r="R8" s="708">
        <f>Q8/'Logistics record '!$AD$1</f>
        <v>69.321971128410553</v>
      </c>
      <c r="S8" s="265" t="s">
        <v>1155</v>
      </c>
      <c r="T8" s="232"/>
      <c r="U8" s="235" t="str" cm="1">
        <f t="array" ref="U8">IFERROR(
  _xlfn.IFS(
    VLOOKUP(E8,[1]Material!F$5:U$90000,16,0)="LUC","Lucid",
    VLOOKUP(E8,[1]Material!F$5:U$90000,16,0)="FMC","FORD",
    OR(VLOOKUP(E8,[1]Material!F$5:U$90000,16,0)="PUR",VLOOKUP(E8,[1]Material!F$5:U$90000,16,0)="HLO"),"PURE",
    VLOOKUP(E8,[1]Material!F$5:U$90000,16,0)="AIC","AIC",
    OR(VLOOKUP(E8,[1]Material!F$5:U$90000,16,0)="AGI",VLOOKUP(E8,[1]Material!F$5:U$90000,16,0)="AGIGA"),"AGIGA",
    OR(LEFT(VLOOKUP(E8,[1]Material!F$5:U$90000,16,0),3)="EF-",VLOOKUP(E8,[1]Material!F$5:U$90000,16,0)="EFI"),"EFI",
    AND(ISNUMBER(VLOOKUP(E8,[1]Material!F$5:U$90000,16,0)),VLOOKUP(E8,[1]Material!F$5:U$90000,16,0)&gt;=100,VLOOKUP(E8,[1]Material!F$5:U$90000,16,0)&lt;=999,VLOOKUP(E8,[1]Material!F$5:U$90000,16,0)=INT(VLOOKUP(E8,[1]Material!F$5:U$90000,16,0))),"OEM",
    TRUE,""
  ),
  "không tìm thấy trong file Import"
)</f>
        <v>PURE</v>
      </c>
      <c r="V8" s="235">
        <f>IFERROR(_xlfn.XLOOKUP(E:E,VVMV!B:B,VVMV!J:J),0)</f>
        <v>15.116015418335726</v>
      </c>
      <c r="W8" s="590">
        <f t="shared" si="0"/>
        <v>84.437986546746274</v>
      </c>
      <c r="X8" s="590"/>
    </row>
    <row r="9" spans="1:24" s="235" customFormat="1" ht="24">
      <c r="A9" s="702"/>
      <c r="B9" s="703" t="s">
        <v>2157</v>
      </c>
      <c r="C9" s="703">
        <v>734101623</v>
      </c>
      <c r="D9" s="704">
        <v>46199</v>
      </c>
      <c r="E9" s="705">
        <v>381845821672</v>
      </c>
      <c r="F9" s="704">
        <v>46179</v>
      </c>
      <c r="G9" s="706" t="s">
        <v>984</v>
      </c>
      <c r="H9" s="706" t="s">
        <v>110</v>
      </c>
      <c r="I9" s="706" t="s">
        <v>943</v>
      </c>
      <c r="J9" s="706" t="s">
        <v>971</v>
      </c>
      <c r="K9" s="703" t="s">
        <v>1137</v>
      </c>
      <c r="L9" s="703">
        <v>1.5</v>
      </c>
      <c r="M9" s="707">
        <v>495695</v>
      </c>
      <c r="N9" s="707">
        <v>136466</v>
      </c>
      <c r="O9" s="707">
        <v>244130</v>
      </c>
      <c r="P9" s="707">
        <v>46093</v>
      </c>
      <c r="Q9" s="707">
        <v>922384</v>
      </c>
      <c r="R9" s="708">
        <f>Q9/'Logistics record '!$AD$1</f>
        <v>34.856926914065454</v>
      </c>
      <c r="S9" s="265" t="s">
        <v>1155</v>
      </c>
      <c r="T9" s="232"/>
      <c r="U9" s="235" t="str" cm="1">
        <f t="array" ref="U9">IFERROR(
  _xlfn.IFS(
    VLOOKUP(E9,[1]Material!F$5:U$90000,16,0)="LUC","Lucid",
    VLOOKUP(E9,[1]Material!F$5:U$90000,16,0)="FMC","FORD",
    OR(VLOOKUP(E9,[1]Material!F$5:U$90000,16,0)="PUR",VLOOKUP(E9,[1]Material!F$5:U$90000,16,0)="HLO"),"PURE",
    VLOOKUP(E9,[1]Material!F$5:U$90000,16,0)="AIC","AIC",
    OR(VLOOKUP(E9,[1]Material!F$5:U$90000,16,0)="AGI",VLOOKUP(E9,[1]Material!F$5:U$90000,16,0)="AGIGA"),"AGIGA",
    OR(LEFT(VLOOKUP(E9,[1]Material!F$5:U$90000,16,0),3)="EF-",VLOOKUP(E9,[1]Material!F$5:U$90000,16,0)="EFI"),"EFI",
    AND(ISNUMBER(VLOOKUP(E9,[1]Material!F$5:U$90000,16,0)),VLOOKUP(E9,[1]Material!F$5:U$90000,16,0)&gt;=100,VLOOKUP(E9,[1]Material!F$5:U$90000,16,0)&lt;=999,VLOOKUP(E9,[1]Material!F$5:U$90000,16,0)=INT(VLOOKUP(E9,[1]Material!F$5:U$90000,16,0))),"OEM",
    TRUE,""
  ),
  "không tìm thấy trong file Import"
)</f>
        <v>Lucid</v>
      </c>
      <c r="V9" s="235">
        <f>IFERROR(_xlfn.XLOOKUP(E:E,VVMV!B:B,VVMV!J:J),0)</f>
        <v>15.116015418335726</v>
      </c>
      <c r="W9" s="590">
        <f t="shared" si="0"/>
        <v>49.972942332401182</v>
      </c>
      <c r="X9" s="590"/>
    </row>
    <row r="10" spans="1:24" s="235" customFormat="1" ht="36">
      <c r="A10" s="702"/>
      <c r="B10" s="703" t="s">
        <v>2157</v>
      </c>
      <c r="C10" s="703">
        <v>734101623</v>
      </c>
      <c r="D10" s="704">
        <v>46199</v>
      </c>
      <c r="E10" s="705">
        <v>518337618146</v>
      </c>
      <c r="F10" s="704">
        <v>46179</v>
      </c>
      <c r="G10" s="706" t="s">
        <v>816</v>
      </c>
      <c r="H10" s="706" t="s">
        <v>1600</v>
      </c>
      <c r="I10" s="706" t="s">
        <v>943</v>
      </c>
      <c r="J10" s="706" t="s">
        <v>971</v>
      </c>
      <c r="K10" s="703" t="s">
        <v>1137</v>
      </c>
      <c r="L10" s="703">
        <v>47.6</v>
      </c>
      <c r="M10" s="707">
        <v>3968419</v>
      </c>
      <c r="N10" s="707">
        <v>136466</v>
      </c>
      <c r="O10" s="707">
        <v>1954446</v>
      </c>
      <c r="P10" s="707">
        <v>318721</v>
      </c>
      <c r="Q10" s="707">
        <v>6378052</v>
      </c>
      <c r="R10" s="708">
        <f>Q10/'Logistics record '!$AD$1</f>
        <v>241.02683092736754</v>
      </c>
      <c r="S10" s="265" t="s">
        <v>1155</v>
      </c>
      <c r="T10" s="232"/>
      <c r="U10" s="235" t="str" cm="1">
        <f t="array" ref="U10">IFERROR(
  _xlfn.IFS(
    VLOOKUP(E10,[1]Material!F$5:U$90000,16,0)="LUC","Lucid",
    VLOOKUP(E10,[1]Material!F$5:U$90000,16,0)="FMC","FORD",
    OR(VLOOKUP(E10,[1]Material!F$5:U$90000,16,0)="PUR",VLOOKUP(E10,[1]Material!F$5:U$90000,16,0)="HLO"),"PURE",
    VLOOKUP(E10,[1]Material!F$5:U$90000,16,0)="AIC","AIC",
    OR(VLOOKUP(E10,[1]Material!F$5:U$90000,16,0)="AGI",VLOOKUP(E10,[1]Material!F$5:U$90000,16,0)="AGIGA"),"AGIGA",
    OR(LEFT(VLOOKUP(E10,[1]Material!F$5:U$90000,16,0),3)="EF-",VLOOKUP(E10,[1]Material!F$5:U$90000,16,0)="EFI"),"EFI",
    AND(ISNUMBER(VLOOKUP(E10,[1]Material!F$5:U$90000,16,0)),VLOOKUP(E10,[1]Material!F$5:U$90000,16,0)&gt;=100,VLOOKUP(E10,[1]Material!F$5:U$90000,16,0)&lt;=999,VLOOKUP(E10,[1]Material!F$5:U$90000,16,0)=INT(VLOOKUP(E10,[1]Material!F$5:U$90000,16,0))),"OEM",
    TRUE,""
  ),
  "không tìm thấy trong file Import"
)</f>
        <v>PURE</v>
      </c>
      <c r="V10" s="235">
        <f>IFERROR(_xlfn.XLOOKUP(E:E,VVMV!B:B,VVMV!J:J),0)</f>
        <v>15.116015418335726</v>
      </c>
      <c r="W10" s="590">
        <f t="shared" si="0"/>
        <v>256.14284634570328</v>
      </c>
      <c r="X10" s="590"/>
    </row>
    <row r="11" spans="1:24" s="235" customFormat="1" ht="36">
      <c r="A11" s="702"/>
      <c r="B11" s="703" t="s">
        <v>2157</v>
      </c>
      <c r="C11" s="703">
        <v>734101623</v>
      </c>
      <c r="D11" s="704">
        <v>46199</v>
      </c>
      <c r="E11" s="705">
        <v>382048162769</v>
      </c>
      <c r="F11" s="704">
        <v>46189</v>
      </c>
      <c r="G11" s="706" t="s">
        <v>974</v>
      </c>
      <c r="H11" s="706" t="s">
        <v>110</v>
      </c>
      <c r="I11" s="706" t="s">
        <v>943</v>
      </c>
      <c r="J11" s="706" t="s">
        <v>971</v>
      </c>
      <c r="K11" s="703" t="s">
        <v>1137</v>
      </c>
      <c r="L11" s="703">
        <v>3</v>
      </c>
      <c r="M11" s="707">
        <v>633735</v>
      </c>
      <c r="N11" s="707">
        <v>139007</v>
      </c>
      <c r="O11" s="707">
        <v>272506</v>
      </c>
      <c r="P11" s="707">
        <v>54980</v>
      </c>
      <c r="Q11" s="707">
        <v>1100228</v>
      </c>
      <c r="R11" s="708">
        <f>Q11/'Logistics record '!$AD$1</f>
        <v>41.577658529211696</v>
      </c>
      <c r="S11" s="265" t="s">
        <v>1155</v>
      </c>
      <c r="T11" s="232"/>
      <c r="U11" s="235" t="str" cm="1">
        <f t="array" ref="U11">IFERROR(
  _xlfn.IFS(
    VLOOKUP(E11,[1]Material!F$5:U$90000,16,0)="LUC","Lucid",
    VLOOKUP(E11,[1]Material!F$5:U$90000,16,0)="FMC","FORD",
    OR(VLOOKUP(E11,[1]Material!F$5:U$90000,16,0)="PUR",VLOOKUP(E11,[1]Material!F$5:U$90000,16,0)="HLO"),"PURE",
    VLOOKUP(E11,[1]Material!F$5:U$90000,16,0)="AIC","AIC",
    OR(VLOOKUP(E11,[1]Material!F$5:U$90000,16,0)="AGI",VLOOKUP(E11,[1]Material!F$5:U$90000,16,0)="AGIGA"),"AGIGA",
    OR(LEFT(VLOOKUP(E11,[1]Material!F$5:U$90000,16,0),3)="EF-",VLOOKUP(E11,[1]Material!F$5:U$90000,16,0)="EFI"),"EFI",
    AND(ISNUMBER(VLOOKUP(E11,[1]Material!F$5:U$90000,16,0)),VLOOKUP(E11,[1]Material!F$5:U$90000,16,0)&gt;=100,VLOOKUP(E11,[1]Material!F$5:U$90000,16,0)&lt;=999,VLOOKUP(E11,[1]Material!F$5:U$90000,16,0)=INT(VLOOKUP(E11,[1]Material!F$5:U$90000,16,0))),"OEM",
    TRUE,""
  ),
  "không tìm thấy trong file Import"
)</f>
        <v>PURE</v>
      </c>
      <c r="V11" s="235">
        <f>IFERROR(_xlfn.XLOOKUP(E:E,VVMV!B:B,VVMV!J:J),0)</f>
        <v>15.116015418335726</v>
      </c>
      <c r="W11" s="590">
        <f t="shared" si="0"/>
        <v>56.693673947547424</v>
      </c>
      <c r="X11" s="590"/>
    </row>
    <row r="12" spans="1:24" s="235" customFormat="1" ht="36">
      <c r="A12" s="702"/>
      <c r="B12" s="703" t="s">
        <v>2157</v>
      </c>
      <c r="C12" s="703">
        <v>734101623</v>
      </c>
      <c r="D12" s="704">
        <v>46199</v>
      </c>
      <c r="E12" s="705">
        <v>873186448972</v>
      </c>
      <c r="F12" s="704">
        <v>46191</v>
      </c>
      <c r="G12" s="706" t="s">
        <v>815</v>
      </c>
      <c r="H12" s="706" t="s">
        <v>1603</v>
      </c>
      <c r="I12" s="706" t="s">
        <v>931</v>
      </c>
      <c r="J12" s="706" t="s">
        <v>971</v>
      </c>
      <c r="K12" s="703" t="s">
        <v>1151</v>
      </c>
      <c r="L12" s="703">
        <v>2.4</v>
      </c>
      <c r="M12" s="707">
        <v>395415</v>
      </c>
      <c r="N12" s="707">
        <v>388350</v>
      </c>
      <c r="O12" s="707">
        <v>170028</v>
      </c>
      <c r="P12" s="707">
        <v>50170</v>
      </c>
      <c r="Q12" s="707">
        <v>1003963</v>
      </c>
      <c r="R12" s="708">
        <f>Q12/'Logistics record '!$AD$1</f>
        <v>37.939800468596481</v>
      </c>
      <c r="S12" s="265" t="s">
        <v>1155</v>
      </c>
      <c r="T12" s="232"/>
      <c r="U12" s="235" t="str" cm="1">
        <f t="array" ref="U12">IFERROR(
  _xlfn.IFS(
    VLOOKUP(E12,[1]Material!F$5:U$90000,16,0)="LUC","Lucid",
    VLOOKUP(E12,[1]Material!F$5:U$90000,16,0)="FMC","FORD",
    OR(VLOOKUP(E12,[1]Material!F$5:U$90000,16,0)="PUR",VLOOKUP(E12,[1]Material!F$5:U$90000,16,0)="HLO"),"PURE",
    VLOOKUP(E12,[1]Material!F$5:U$90000,16,0)="AIC","AIC",
    OR(VLOOKUP(E12,[1]Material!F$5:U$90000,16,0)="AGI",VLOOKUP(E12,[1]Material!F$5:U$90000,16,0)="AGIGA"),"AGIGA",
    OR(LEFT(VLOOKUP(E12,[1]Material!F$5:U$90000,16,0),3)="EF-",VLOOKUP(E12,[1]Material!F$5:U$90000,16,0)="EFI"),"EFI",
    AND(ISNUMBER(VLOOKUP(E12,[1]Material!F$5:U$90000,16,0)),VLOOKUP(E12,[1]Material!F$5:U$90000,16,0)&gt;=100,VLOOKUP(E12,[1]Material!F$5:U$90000,16,0)&lt;=999,VLOOKUP(E12,[1]Material!F$5:U$90000,16,0)=INT(VLOOKUP(E12,[1]Material!F$5:U$90000,16,0))),"OEM",
    TRUE,""
  ),
  "không tìm thấy trong file Import"
)</f>
        <v>PURE</v>
      </c>
      <c r="V12" s="235">
        <f>IFERROR(_xlfn.XLOOKUP(E:E,VVMV!B:B,VVMV!J:J),0)</f>
        <v>15.116015418335726</v>
      </c>
      <c r="W12" s="590">
        <f t="shared" si="0"/>
        <v>53.055815886932209</v>
      </c>
      <c r="X12" s="590"/>
    </row>
    <row r="13" spans="1:24" s="235" customFormat="1" ht="36">
      <c r="A13" s="702"/>
      <c r="B13" s="703" t="s">
        <v>2158</v>
      </c>
      <c r="C13" s="703">
        <v>734101625</v>
      </c>
      <c r="D13" s="704">
        <v>46199</v>
      </c>
      <c r="E13" s="705">
        <v>510007349877</v>
      </c>
      <c r="F13" s="704">
        <v>46150</v>
      </c>
      <c r="G13" s="706" t="s">
        <v>810</v>
      </c>
      <c r="H13" s="706" t="s">
        <v>1599</v>
      </c>
      <c r="I13" s="706" t="s">
        <v>927</v>
      </c>
      <c r="J13" s="706" t="s">
        <v>971</v>
      </c>
      <c r="K13" s="703" t="s">
        <v>1137</v>
      </c>
      <c r="L13" s="703">
        <v>3.8</v>
      </c>
      <c r="M13" s="707">
        <v>470100</v>
      </c>
      <c r="N13" s="707">
        <v>0</v>
      </c>
      <c r="O13" s="707">
        <v>212720</v>
      </c>
      <c r="P13" s="707">
        <v>35916</v>
      </c>
      <c r="Q13" s="707">
        <v>718736</v>
      </c>
      <c r="R13" s="708">
        <f>Q13/'Logistics record '!$AD$1</f>
        <v>27.161061144282368</v>
      </c>
      <c r="S13" s="265" t="s">
        <v>1155</v>
      </c>
      <c r="T13" s="232"/>
      <c r="U13" s="235" t="str" cm="1">
        <f t="array" ref="U13">IFERROR(
  _xlfn.IFS(
    VLOOKUP(E13,[1]Material!F$5:U$90000,16,0)="LUC","Lucid",
    VLOOKUP(E13,[1]Material!F$5:U$90000,16,0)="FMC","FORD",
    OR(VLOOKUP(E13,[1]Material!F$5:U$90000,16,0)="PUR",VLOOKUP(E13,[1]Material!F$5:U$90000,16,0)="HLO"),"PURE",
    VLOOKUP(E13,[1]Material!F$5:U$90000,16,0)="AIC","AIC",
    OR(VLOOKUP(E13,[1]Material!F$5:U$90000,16,0)="AGI",VLOOKUP(E13,[1]Material!F$5:U$90000,16,0)="AGIGA"),"AGIGA",
    OR(LEFT(VLOOKUP(E13,[1]Material!F$5:U$90000,16,0),3)="EF-",VLOOKUP(E13,[1]Material!F$5:U$90000,16,0)="EFI"),"EFI",
    AND(ISNUMBER(VLOOKUP(E13,[1]Material!F$5:U$90000,16,0)),VLOOKUP(E13,[1]Material!F$5:U$90000,16,0)&gt;=100,VLOOKUP(E13,[1]Material!F$5:U$90000,16,0)&lt;=999,VLOOKUP(E13,[1]Material!F$5:U$90000,16,0)=INT(VLOOKUP(E13,[1]Material!F$5:U$90000,16,0))),"OEM",
    TRUE,""
  ),
  "không tìm thấy trong file Import"
)</f>
        <v>FORD</v>
      </c>
      <c r="V13" s="235">
        <f>IFERROR(_xlfn.XLOOKUP(E:E,VVMV!B:B,VVMV!J:J),0)</f>
        <v>0</v>
      </c>
      <c r="W13" s="590">
        <f t="shared" si="0"/>
        <v>27.161061144282368</v>
      </c>
      <c r="X13" s="590"/>
    </row>
    <row r="14" spans="1:24" s="235" customFormat="1" ht="36">
      <c r="A14" s="702"/>
      <c r="B14" s="703" t="s">
        <v>2158</v>
      </c>
      <c r="C14" s="703">
        <v>734101625</v>
      </c>
      <c r="D14" s="704">
        <v>46199</v>
      </c>
      <c r="E14" s="705">
        <v>871631098639</v>
      </c>
      <c r="F14" s="704">
        <v>46153</v>
      </c>
      <c r="G14" s="706" t="s">
        <v>1481</v>
      </c>
      <c r="H14" s="706" t="s">
        <v>1596</v>
      </c>
      <c r="I14" s="706" t="s">
        <v>937</v>
      </c>
      <c r="J14" s="706" t="s">
        <v>971</v>
      </c>
      <c r="K14" s="703" t="s">
        <v>1137</v>
      </c>
      <c r="L14" s="703">
        <v>72.7</v>
      </c>
      <c r="M14" s="707">
        <v>3316718</v>
      </c>
      <c r="N14" s="707">
        <v>0</v>
      </c>
      <c r="O14" s="707">
        <v>1575441</v>
      </c>
      <c r="P14" s="707">
        <v>257328</v>
      </c>
      <c r="Q14" s="707">
        <v>5149487</v>
      </c>
      <c r="R14" s="708">
        <f>Q14/'Logistics record '!$AD$1</f>
        <v>194.59931222129848</v>
      </c>
      <c r="S14" s="265" t="s">
        <v>1155</v>
      </c>
      <c r="T14" s="232"/>
      <c r="U14" s="235" t="str" cm="1">
        <f t="array" ref="U14">IFERROR(
  _xlfn.IFS(
    VLOOKUP(E14,[1]Material!F$5:U$90000,16,0)="LUC","Lucid",
    VLOOKUP(E14,[1]Material!F$5:U$90000,16,0)="FMC","FORD",
    OR(VLOOKUP(E14,[1]Material!F$5:U$90000,16,0)="PUR",VLOOKUP(E14,[1]Material!F$5:U$90000,16,0)="HLO"),"PURE",
    VLOOKUP(E14,[1]Material!F$5:U$90000,16,0)="AIC","AIC",
    OR(VLOOKUP(E14,[1]Material!F$5:U$90000,16,0)="AGI",VLOOKUP(E14,[1]Material!F$5:U$90000,16,0)="AGIGA"),"AGIGA",
    OR(LEFT(VLOOKUP(E14,[1]Material!F$5:U$90000,16,0),3)="EF-",VLOOKUP(E14,[1]Material!F$5:U$90000,16,0)="EFI"),"EFI",
    AND(ISNUMBER(VLOOKUP(E14,[1]Material!F$5:U$90000,16,0)),VLOOKUP(E14,[1]Material!F$5:U$90000,16,0)&gt;=100,VLOOKUP(E14,[1]Material!F$5:U$90000,16,0)&lt;=999,VLOOKUP(E14,[1]Material!F$5:U$90000,16,0)=INT(VLOOKUP(E14,[1]Material!F$5:U$90000,16,0))),"OEM",
    TRUE,""
  ),
  "không tìm thấy trong file Import"
)</f>
        <v>Lucid</v>
      </c>
      <c r="V14" s="235">
        <f>IFERROR(_xlfn.XLOOKUP(E:E,VVMV!B:B,VVMV!J:J),0)</f>
        <v>0</v>
      </c>
      <c r="W14" s="590">
        <f t="shared" si="0"/>
        <v>194.59931222129848</v>
      </c>
      <c r="X14" s="590"/>
    </row>
    <row r="15" spans="1:24" s="235" customFormat="1" ht="36">
      <c r="A15" s="702"/>
      <c r="B15" s="703" t="s">
        <v>2158</v>
      </c>
      <c r="C15" s="703">
        <v>734101625</v>
      </c>
      <c r="D15" s="704">
        <v>46199</v>
      </c>
      <c r="E15" s="705">
        <v>871633572370</v>
      </c>
      <c r="F15" s="704">
        <v>46154</v>
      </c>
      <c r="G15" s="706" t="s">
        <v>815</v>
      </c>
      <c r="H15" s="706" t="s">
        <v>1603</v>
      </c>
      <c r="I15" s="706" t="s">
        <v>931</v>
      </c>
      <c r="J15" s="706" t="s">
        <v>971</v>
      </c>
      <c r="K15" s="703" t="s">
        <v>1151</v>
      </c>
      <c r="L15" s="703">
        <v>14.4</v>
      </c>
      <c r="M15" s="707">
        <v>1003834</v>
      </c>
      <c r="N15" s="707">
        <v>0</v>
      </c>
      <c r="O15" s="707">
        <v>476821</v>
      </c>
      <c r="P15" s="707">
        <v>77882</v>
      </c>
      <c r="Q15" s="707">
        <v>1558537</v>
      </c>
      <c r="R15" s="708">
        <f>Q15/'Logistics record '!$AD$1</f>
        <v>58.897173305116773</v>
      </c>
      <c r="S15" s="265" t="s">
        <v>1155</v>
      </c>
      <c r="T15" s="232"/>
      <c r="U15" s="235" t="str" cm="1">
        <f t="array" ref="U15">IFERROR(
  _xlfn.IFS(
    VLOOKUP(E15,[1]Material!F$5:U$90000,16,0)="LUC","Lucid",
    VLOOKUP(E15,[1]Material!F$5:U$90000,16,0)="FMC","FORD",
    OR(VLOOKUP(E15,[1]Material!F$5:U$90000,16,0)="PUR",VLOOKUP(E15,[1]Material!F$5:U$90000,16,0)="HLO"),"PURE",
    VLOOKUP(E15,[1]Material!F$5:U$90000,16,0)="AIC","AIC",
    OR(VLOOKUP(E15,[1]Material!F$5:U$90000,16,0)="AGI",VLOOKUP(E15,[1]Material!F$5:U$90000,16,0)="AGIGA"),"AGIGA",
    OR(LEFT(VLOOKUP(E15,[1]Material!F$5:U$90000,16,0),3)="EF-",VLOOKUP(E15,[1]Material!F$5:U$90000,16,0)="EFI"),"EFI",
    AND(ISNUMBER(VLOOKUP(E15,[1]Material!F$5:U$90000,16,0)),VLOOKUP(E15,[1]Material!F$5:U$90000,16,0)&gt;=100,VLOOKUP(E15,[1]Material!F$5:U$90000,16,0)&lt;=999,VLOOKUP(E15,[1]Material!F$5:U$90000,16,0)=INT(VLOOKUP(E15,[1]Material!F$5:U$90000,16,0))),"OEM",
    TRUE,""
  ),
  "không tìm thấy trong file Import"
)</f>
        <v>PURE</v>
      </c>
      <c r="V15" s="235">
        <f>IFERROR(_xlfn.XLOOKUP(E:E,VVMV!B:B,VVMV!J:J),0)</f>
        <v>0</v>
      </c>
      <c r="W15" s="590">
        <f t="shared" si="0"/>
        <v>58.897173305116773</v>
      </c>
      <c r="X15" s="590"/>
    </row>
    <row r="16" spans="1:24" s="235" customFormat="1" ht="36">
      <c r="A16" s="702"/>
      <c r="B16" s="703" t="s">
        <v>2158</v>
      </c>
      <c r="C16" s="703">
        <v>734101625</v>
      </c>
      <c r="D16" s="704">
        <v>46199</v>
      </c>
      <c r="E16" s="705">
        <v>871686783285</v>
      </c>
      <c r="F16" s="704">
        <v>46154</v>
      </c>
      <c r="G16" s="706" t="s">
        <v>2043</v>
      </c>
      <c r="H16" s="706" t="s">
        <v>1602</v>
      </c>
      <c r="I16" s="706" t="s">
        <v>931</v>
      </c>
      <c r="J16" s="706" t="s">
        <v>971</v>
      </c>
      <c r="K16" s="703" t="s">
        <v>1151</v>
      </c>
      <c r="L16" s="703">
        <v>0.5</v>
      </c>
      <c r="M16" s="707">
        <v>343361</v>
      </c>
      <c r="N16" s="707">
        <v>0</v>
      </c>
      <c r="O16" s="707">
        <v>163096</v>
      </c>
      <c r="P16" s="707">
        <v>26640</v>
      </c>
      <c r="Q16" s="707">
        <v>533097</v>
      </c>
      <c r="R16" s="708">
        <f>Q16/'Logistics record '!$AD$1</f>
        <v>20.145756178671302</v>
      </c>
      <c r="S16" s="265" t="s">
        <v>1155</v>
      </c>
      <c r="T16" s="232"/>
      <c r="U16" s="235" t="s">
        <v>76</v>
      </c>
      <c r="V16" s="235">
        <f>IFERROR(_xlfn.XLOOKUP(E:E,VVMV!B:B,VVMV!J:J),0)</f>
        <v>0</v>
      </c>
      <c r="W16" s="590">
        <f t="shared" si="0"/>
        <v>20.145756178671302</v>
      </c>
      <c r="X16" s="590"/>
    </row>
    <row r="17" spans="1:24" s="235" customFormat="1" ht="36">
      <c r="A17" s="702"/>
      <c r="B17" s="703" t="s">
        <v>2158</v>
      </c>
      <c r="C17" s="703">
        <v>734101625</v>
      </c>
      <c r="D17" s="704">
        <v>46199</v>
      </c>
      <c r="E17" s="705">
        <v>518027666436</v>
      </c>
      <c r="F17" s="704">
        <v>46155</v>
      </c>
      <c r="G17" s="706" t="s">
        <v>809</v>
      </c>
      <c r="H17" s="706" t="s">
        <v>1595</v>
      </c>
      <c r="I17" s="706" t="s">
        <v>954</v>
      </c>
      <c r="J17" s="706" t="s">
        <v>971</v>
      </c>
      <c r="K17" s="703" t="s">
        <v>1137</v>
      </c>
      <c r="L17" s="703">
        <v>17.600000000000001</v>
      </c>
      <c r="M17" s="707">
        <v>1120404</v>
      </c>
      <c r="N17" s="707">
        <v>0</v>
      </c>
      <c r="O17" s="707">
        <v>532192</v>
      </c>
      <c r="P17" s="707">
        <v>86927</v>
      </c>
      <c r="Q17" s="707">
        <v>1739523</v>
      </c>
      <c r="R17" s="708">
        <f>Q17/'Logistics record '!$AD$1</f>
        <v>65.736641221374043</v>
      </c>
      <c r="S17" s="265" t="s">
        <v>1155</v>
      </c>
      <c r="T17" s="232"/>
      <c r="U17" s="235" t="str" cm="1">
        <f t="array" ref="U17">IFERROR(
  _xlfn.IFS(
    VLOOKUP(E17,[1]Material!F$5:U$90000,16,0)="LUC","Lucid",
    VLOOKUP(E17,[1]Material!F$5:U$90000,16,0)="FMC","FORD",
    OR(VLOOKUP(E17,[1]Material!F$5:U$90000,16,0)="PUR",VLOOKUP(E17,[1]Material!F$5:U$90000,16,0)="HLO"),"PURE",
    VLOOKUP(E17,[1]Material!F$5:U$90000,16,0)="AIC","AIC",
    OR(VLOOKUP(E17,[1]Material!F$5:U$90000,16,0)="AGI",VLOOKUP(E17,[1]Material!F$5:U$90000,16,0)="AGIGA"),"AGIGA",
    OR(LEFT(VLOOKUP(E17,[1]Material!F$5:U$90000,16,0),3)="EF-",VLOOKUP(E17,[1]Material!F$5:U$90000,16,0)="EFI"),"EFI",
    AND(ISNUMBER(VLOOKUP(E17,[1]Material!F$5:U$90000,16,0)),VLOOKUP(E17,[1]Material!F$5:U$90000,16,0)&gt;=100,VLOOKUP(E17,[1]Material!F$5:U$90000,16,0)&lt;=999,VLOOKUP(E17,[1]Material!F$5:U$90000,16,0)=INT(VLOOKUP(E17,[1]Material!F$5:U$90000,16,0))),"OEM",
    TRUE,""
  ),
  "không tìm thấy trong file Import"
)</f>
        <v>PURE</v>
      </c>
      <c r="V17" s="235">
        <f>IFERROR(_xlfn.XLOOKUP(E:E,VVMV!B:B,VVMV!J:J),0)</f>
        <v>0</v>
      </c>
      <c r="W17" s="590">
        <f t="shared" si="0"/>
        <v>65.736641221374043</v>
      </c>
      <c r="X17" s="590"/>
    </row>
    <row r="18" spans="1:24" s="235" customFormat="1" ht="36">
      <c r="A18" s="702"/>
      <c r="B18" s="703" t="s">
        <v>2158</v>
      </c>
      <c r="C18" s="703">
        <v>734101625</v>
      </c>
      <c r="D18" s="704">
        <v>46199</v>
      </c>
      <c r="E18" s="705">
        <v>871735931826</v>
      </c>
      <c r="F18" s="704">
        <v>46156</v>
      </c>
      <c r="G18" s="706" t="s">
        <v>2159</v>
      </c>
      <c r="H18" s="706" t="s">
        <v>1593</v>
      </c>
      <c r="I18" s="706" t="s">
        <v>932</v>
      </c>
      <c r="J18" s="706" t="s">
        <v>971</v>
      </c>
      <c r="K18" s="703" t="s">
        <v>1137</v>
      </c>
      <c r="L18" s="703">
        <v>7.9</v>
      </c>
      <c r="M18" s="707">
        <v>749957</v>
      </c>
      <c r="N18" s="707">
        <v>0</v>
      </c>
      <c r="O18" s="707">
        <v>356230</v>
      </c>
      <c r="P18" s="707">
        <v>58185</v>
      </c>
      <c r="Q18" s="707">
        <v>1164372</v>
      </c>
      <c r="R18" s="708">
        <f>Q18/'Logistics record '!$AD$1</f>
        <v>44.001662761696018</v>
      </c>
      <c r="S18" s="265" t="s">
        <v>1155</v>
      </c>
      <c r="T18" s="232"/>
      <c r="U18" s="235" t="str" cm="1">
        <f t="array" ref="U18">IFERROR(
  _xlfn.IFS(
    VLOOKUP(E18,[1]Material!F$5:U$90000,16,0)="LUC","Lucid",
    VLOOKUP(E18,[1]Material!F$5:U$90000,16,0)="FMC","FORD",
    OR(VLOOKUP(E18,[1]Material!F$5:U$90000,16,0)="PUR",VLOOKUP(E18,[1]Material!F$5:U$90000,16,0)="HLO"),"PURE",
    VLOOKUP(E18,[1]Material!F$5:U$90000,16,0)="AIC","AIC",
    OR(VLOOKUP(E18,[1]Material!F$5:U$90000,16,0)="AGI",VLOOKUP(E18,[1]Material!F$5:U$90000,16,0)="AGIGA"),"AGIGA",
    OR(LEFT(VLOOKUP(E18,[1]Material!F$5:U$90000,16,0),3)="EF-",VLOOKUP(E18,[1]Material!F$5:U$90000,16,0)="EFI"),"EFI",
    AND(ISNUMBER(VLOOKUP(E18,[1]Material!F$5:U$90000,16,0)),VLOOKUP(E18,[1]Material!F$5:U$90000,16,0)&gt;=100,VLOOKUP(E18,[1]Material!F$5:U$90000,16,0)&lt;=999,VLOOKUP(E18,[1]Material!F$5:U$90000,16,0)=INT(VLOOKUP(E18,[1]Material!F$5:U$90000,16,0))),"OEM",
    TRUE,""
  ),
  "không tìm thấy trong file Import"
)</f>
        <v>EFI</v>
      </c>
      <c r="V18" s="235">
        <f>IFERROR(_xlfn.XLOOKUP(E:E,VVMV!B:B,VVMV!J:J),0)</f>
        <v>15.116015418335726</v>
      </c>
      <c r="W18" s="590">
        <f t="shared" si="0"/>
        <v>59.117678180031746</v>
      </c>
      <c r="X18" s="590"/>
    </row>
    <row r="19" spans="1:24" s="235" customFormat="1" ht="36">
      <c r="A19" s="702"/>
      <c r="B19" s="703" t="s">
        <v>2158</v>
      </c>
      <c r="C19" s="703">
        <v>734101625</v>
      </c>
      <c r="D19" s="704">
        <v>46199</v>
      </c>
      <c r="E19" s="705">
        <v>472187362457</v>
      </c>
      <c r="F19" s="704">
        <v>46156</v>
      </c>
      <c r="G19" s="706" t="s">
        <v>372</v>
      </c>
      <c r="H19" s="706" t="s">
        <v>1593</v>
      </c>
      <c r="I19" s="706" t="s">
        <v>937</v>
      </c>
      <c r="J19" s="706" t="s">
        <v>971</v>
      </c>
      <c r="K19" s="703" t="s">
        <v>1137</v>
      </c>
      <c r="L19" s="703">
        <v>11.7</v>
      </c>
      <c r="M19" s="707">
        <v>793805</v>
      </c>
      <c r="N19" s="707">
        <v>0</v>
      </c>
      <c r="O19" s="707">
        <v>377057</v>
      </c>
      <c r="P19" s="707">
        <v>61587</v>
      </c>
      <c r="Q19" s="707">
        <v>1232449</v>
      </c>
      <c r="R19" s="708">
        <f>Q19/'Logistics record '!$AD$1</f>
        <v>46.57429521578112</v>
      </c>
      <c r="S19" s="265" t="s">
        <v>1155</v>
      </c>
      <c r="T19" s="232"/>
      <c r="U19" s="235" t="str" cm="1">
        <f t="array" ref="U19">IFERROR(
  _xlfn.IFS(
    VLOOKUP(E19,[1]Material!F$5:U$90000,16,0)="LUC","Lucid",
    VLOOKUP(E19,[1]Material!F$5:U$90000,16,0)="FMC","FORD",
    OR(VLOOKUP(E19,[1]Material!F$5:U$90000,16,0)="PUR",VLOOKUP(E19,[1]Material!F$5:U$90000,16,0)="HLO"),"PURE",
    VLOOKUP(E19,[1]Material!F$5:U$90000,16,0)="AIC","AIC",
    OR(VLOOKUP(E19,[1]Material!F$5:U$90000,16,0)="AGI",VLOOKUP(E19,[1]Material!F$5:U$90000,16,0)="AGIGA"),"AGIGA",
    OR(LEFT(VLOOKUP(E19,[1]Material!F$5:U$90000,16,0),3)="EF-",VLOOKUP(E19,[1]Material!F$5:U$90000,16,0)="EFI"),"EFI",
    AND(ISNUMBER(VLOOKUP(E19,[1]Material!F$5:U$90000,16,0)),VLOOKUP(E19,[1]Material!F$5:U$90000,16,0)&gt;=100,VLOOKUP(E19,[1]Material!F$5:U$90000,16,0)&lt;=999,VLOOKUP(E19,[1]Material!F$5:U$90000,16,0)=INT(VLOOKUP(E19,[1]Material!F$5:U$90000,16,0))),"OEM",
    TRUE,""
  ),
  "không tìm thấy trong file Import"
)</f>
        <v>EFI</v>
      </c>
      <c r="V19" s="235">
        <f>IFERROR(_xlfn.XLOOKUP(E:E,VVMV!B:B,VVMV!J:J),0)</f>
        <v>15.116015418335726</v>
      </c>
      <c r="W19" s="590">
        <f t="shared" si="0"/>
        <v>61.690310634116848</v>
      </c>
      <c r="X19" s="590"/>
    </row>
    <row r="20" spans="1:24" s="235" customFormat="1" ht="24">
      <c r="A20" s="702"/>
      <c r="B20" s="703" t="s">
        <v>2158</v>
      </c>
      <c r="C20" s="703">
        <v>734101625</v>
      </c>
      <c r="D20" s="704">
        <v>46199</v>
      </c>
      <c r="E20" s="705">
        <v>871789217180</v>
      </c>
      <c r="F20" s="704">
        <v>46156</v>
      </c>
      <c r="G20" s="706" t="s">
        <v>844</v>
      </c>
      <c r="H20" s="706" t="s">
        <v>110</v>
      </c>
      <c r="I20" s="706" t="s">
        <v>937</v>
      </c>
      <c r="J20" s="706" t="s">
        <v>971</v>
      </c>
      <c r="K20" s="703" t="s">
        <v>1137</v>
      </c>
      <c r="L20" s="703">
        <v>2.5</v>
      </c>
      <c r="M20" s="707">
        <v>346269</v>
      </c>
      <c r="N20" s="707">
        <v>0</v>
      </c>
      <c r="O20" s="707">
        <v>164478</v>
      </c>
      <c r="P20" s="707">
        <v>26865</v>
      </c>
      <c r="Q20" s="707">
        <v>537612</v>
      </c>
      <c r="R20" s="708">
        <f>Q20/'Logistics record '!$AD$1</f>
        <v>20.316378202705767</v>
      </c>
      <c r="S20" s="265" t="s">
        <v>1155</v>
      </c>
      <c r="T20" s="232"/>
      <c r="U20" s="235" t="str" cm="1">
        <f t="array" ref="U20">IFERROR(
  _xlfn.IFS(
    VLOOKUP(E20,[1]Material!F$5:U$90000,16,0)="LUC","Lucid",
    VLOOKUP(E20,[1]Material!F$5:U$90000,16,0)="FMC","FORD",
    OR(VLOOKUP(E20,[1]Material!F$5:U$90000,16,0)="PUR",VLOOKUP(E20,[1]Material!F$5:U$90000,16,0)="HLO"),"PURE",
    VLOOKUP(E20,[1]Material!F$5:U$90000,16,0)="AIC","AIC",
    OR(VLOOKUP(E20,[1]Material!F$5:U$90000,16,0)="AGI",VLOOKUP(E20,[1]Material!F$5:U$90000,16,0)="AGIGA"),"AGIGA",
    OR(LEFT(VLOOKUP(E20,[1]Material!F$5:U$90000,16,0),3)="EF-",VLOOKUP(E20,[1]Material!F$5:U$90000,16,0)="EFI"),"EFI",
    AND(ISNUMBER(VLOOKUP(E20,[1]Material!F$5:U$90000,16,0)),VLOOKUP(E20,[1]Material!F$5:U$90000,16,0)&gt;=100,VLOOKUP(E20,[1]Material!F$5:U$90000,16,0)&lt;=999,VLOOKUP(E20,[1]Material!F$5:U$90000,16,0)=INT(VLOOKUP(E20,[1]Material!F$5:U$90000,16,0))),"OEM",
    TRUE,""
  ),
  "không tìm thấy trong file Import"
)</f>
        <v>EFI</v>
      </c>
      <c r="V20" s="235">
        <f>IFERROR(_xlfn.XLOOKUP(E:E,VVMV!B:B,VVMV!J:J),0)</f>
        <v>15.116015418335726</v>
      </c>
      <c r="W20" s="590">
        <f t="shared" si="0"/>
        <v>35.432393621041491</v>
      </c>
      <c r="X20" s="590"/>
    </row>
    <row r="21" spans="1:24" s="235" customFormat="1" ht="36">
      <c r="A21" s="702"/>
      <c r="B21" s="703" t="s">
        <v>2158</v>
      </c>
      <c r="C21" s="703">
        <v>734101625</v>
      </c>
      <c r="D21" s="704">
        <v>46199</v>
      </c>
      <c r="E21" s="705">
        <v>871832889351</v>
      </c>
      <c r="F21" s="704">
        <v>46157</v>
      </c>
      <c r="G21" s="706" t="s">
        <v>805</v>
      </c>
      <c r="H21" s="706" t="s">
        <v>1150</v>
      </c>
      <c r="I21" s="706" t="s">
        <v>937</v>
      </c>
      <c r="J21" s="706" t="s">
        <v>971</v>
      </c>
      <c r="K21" s="703" t="s">
        <v>1137</v>
      </c>
      <c r="L21" s="703">
        <v>7.7</v>
      </c>
      <c r="M21" s="707">
        <v>689279</v>
      </c>
      <c r="N21" s="707">
        <v>0</v>
      </c>
      <c r="O21" s="707">
        <v>327408</v>
      </c>
      <c r="P21" s="707">
        <v>53478</v>
      </c>
      <c r="Q21" s="707">
        <v>1070165</v>
      </c>
      <c r="R21" s="708">
        <f>Q21/'Logistics record '!$AD$1</f>
        <v>40.441576600408133</v>
      </c>
      <c r="S21" s="265" t="s">
        <v>1155</v>
      </c>
      <c r="T21" s="232"/>
      <c r="U21" s="235" t="str" cm="1">
        <f t="array" ref="U21">IFERROR(
  _xlfn.IFS(
    VLOOKUP(E21,[1]Material!F$5:U$90000,16,0)="LUC","Lucid",
    VLOOKUP(E21,[1]Material!F$5:U$90000,16,0)="FMC","FORD",
    OR(VLOOKUP(E21,[1]Material!F$5:U$90000,16,0)="PUR",VLOOKUP(E21,[1]Material!F$5:U$90000,16,0)="HLO"),"PURE",
    VLOOKUP(E21,[1]Material!F$5:U$90000,16,0)="AIC","AIC",
    OR(VLOOKUP(E21,[1]Material!F$5:U$90000,16,0)="AGI",VLOOKUP(E21,[1]Material!F$5:U$90000,16,0)="AGIGA"),"AGIGA",
    OR(LEFT(VLOOKUP(E21,[1]Material!F$5:U$90000,16,0),3)="EF-",VLOOKUP(E21,[1]Material!F$5:U$90000,16,0)="EFI"),"EFI",
    AND(ISNUMBER(VLOOKUP(E21,[1]Material!F$5:U$90000,16,0)),VLOOKUP(E21,[1]Material!F$5:U$90000,16,0)&gt;=100,VLOOKUP(E21,[1]Material!F$5:U$90000,16,0)&lt;=999,VLOOKUP(E21,[1]Material!F$5:U$90000,16,0)=INT(VLOOKUP(E21,[1]Material!F$5:U$90000,16,0))),"OEM",
    TRUE,""
  ),
  "không tìm thấy trong file Import"
)</f>
        <v>OEM</v>
      </c>
      <c r="V21" s="235">
        <f>IFERROR(_xlfn.XLOOKUP(E:E,VVMV!B:B,VVMV!J:J),0)</f>
        <v>0</v>
      </c>
      <c r="W21" s="590">
        <f t="shared" si="0"/>
        <v>40.441576600408133</v>
      </c>
      <c r="X21" s="590"/>
    </row>
    <row r="22" spans="1:24" s="235" customFormat="1" ht="36">
      <c r="A22" s="702"/>
      <c r="B22" s="703" t="s">
        <v>2158</v>
      </c>
      <c r="C22" s="703">
        <v>734101625</v>
      </c>
      <c r="D22" s="704">
        <v>46199</v>
      </c>
      <c r="E22" s="705">
        <v>871830794035</v>
      </c>
      <c r="F22" s="704">
        <v>46157</v>
      </c>
      <c r="G22" s="706" t="s">
        <v>648</v>
      </c>
      <c r="H22" s="706" t="s">
        <v>1602</v>
      </c>
      <c r="I22" s="706" t="s">
        <v>937</v>
      </c>
      <c r="J22" s="706" t="s">
        <v>971</v>
      </c>
      <c r="K22" s="703" t="s">
        <v>1137</v>
      </c>
      <c r="L22" s="703">
        <v>2.1</v>
      </c>
      <c r="M22" s="707">
        <v>346269</v>
      </c>
      <c r="N22" s="707">
        <v>0</v>
      </c>
      <c r="O22" s="707">
        <v>164478</v>
      </c>
      <c r="P22" s="707">
        <v>26865</v>
      </c>
      <c r="Q22" s="707">
        <v>537612</v>
      </c>
      <c r="R22" s="708">
        <f>Q22/'Logistics record '!$AD$1</f>
        <v>20.316378202705767</v>
      </c>
      <c r="S22" s="265" t="s">
        <v>1155</v>
      </c>
      <c r="T22" s="232"/>
      <c r="U22" s="235" t="str" cm="1">
        <f t="array" ref="U22">IFERROR(
  _xlfn.IFS(
    VLOOKUP(E22,[1]Material!F$5:U$90000,16,0)="LUC","Lucid",
    VLOOKUP(E22,[1]Material!F$5:U$90000,16,0)="FMC","FORD",
    OR(VLOOKUP(E22,[1]Material!F$5:U$90000,16,0)="PUR",VLOOKUP(E22,[1]Material!F$5:U$90000,16,0)="HLO"),"PURE",
    VLOOKUP(E22,[1]Material!F$5:U$90000,16,0)="AIC","AIC",
    OR(VLOOKUP(E22,[1]Material!F$5:U$90000,16,0)="AGI",VLOOKUP(E22,[1]Material!F$5:U$90000,16,0)="AGIGA"),"AGIGA",
    OR(LEFT(VLOOKUP(E22,[1]Material!F$5:U$90000,16,0),3)="EF-",VLOOKUP(E22,[1]Material!F$5:U$90000,16,0)="EFI"),"EFI",
    AND(ISNUMBER(VLOOKUP(E22,[1]Material!F$5:U$90000,16,0)),VLOOKUP(E22,[1]Material!F$5:U$90000,16,0)&gt;=100,VLOOKUP(E22,[1]Material!F$5:U$90000,16,0)&lt;=999,VLOOKUP(E22,[1]Material!F$5:U$90000,16,0)=INT(VLOOKUP(E22,[1]Material!F$5:U$90000,16,0))),"OEM",
    TRUE,""
  ),
  "không tìm thấy trong file Import"
)</f>
        <v>PURE</v>
      </c>
      <c r="V22" s="235">
        <f>IFERROR(_xlfn.XLOOKUP(E:E,VVMV!B:B,VVMV!J:J),0)</f>
        <v>15.116015418335726</v>
      </c>
      <c r="W22" s="590">
        <f t="shared" si="0"/>
        <v>35.432393621041491</v>
      </c>
      <c r="X22" s="590"/>
    </row>
    <row r="23" spans="1:24" s="235" customFormat="1" ht="36">
      <c r="A23" s="702"/>
      <c r="B23" s="703" t="s">
        <v>2158</v>
      </c>
      <c r="C23" s="703">
        <v>734101625</v>
      </c>
      <c r="D23" s="704">
        <v>46199</v>
      </c>
      <c r="E23" s="705">
        <v>871835099990</v>
      </c>
      <c r="F23" s="704">
        <v>46157</v>
      </c>
      <c r="G23" s="706" t="s">
        <v>1481</v>
      </c>
      <c r="H23" s="706" t="s">
        <v>1596</v>
      </c>
      <c r="I23" s="706" t="s">
        <v>937</v>
      </c>
      <c r="J23" s="706" t="s">
        <v>971</v>
      </c>
      <c r="K23" s="703" t="s">
        <v>1137</v>
      </c>
      <c r="L23" s="703">
        <v>15.5</v>
      </c>
      <c r="M23" s="707">
        <v>850898</v>
      </c>
      <c r="N23" s="707">
        <v>0</v>
      </c>
      <c r="O23" s="707">
        <v>404177</v>
      </c>
      <c r="P23" s="707">
        <v>66017</v>
      </c>
      <c r="Q23" s="707">
        <v>1321092</v>
      </c>
      <c r="R23" s="708">
        <f>Q23/'Logistics record '!$AD$1</f>
        <v>49.924117602599956</v>
      </c>
      <c r="S23" s="265" t="s">
        <v>1155</v>
      </c>
      <c r="T23" s="232"/>
      <c r="U23" s="235" t="str" cm="1">
        <f t="array" ref="U23">IFERROR(
  _xlfn.IFS(
    VLOOKUP(E23,[1]Material!F$5:U$90000,16,0)="LUC","Lucid",
    VLOOKUP(E23,[1]Material!F$5:U$90000,16,0)="FMC","FORD",
    OR(VLOOKUP(E23,[1]Material!F$5:U$90000,16,0)="PUR",VLOOKUP(E23,[1]Material!F$5:U$90000,16,0)="HLO"),"PURE",
    VLOOKUP(E23,[1]Material!F$5:U$90000,16,0)="AIC","AIC",
    OR(VLOOKUP(E23,[1]Material!F$5:U$90000,16,0)="AGI",VLOOKUP(E23,[1]Material!F$5:U$90000,16,0)="AGIGA"),"AGIGA",
    OR(LEFT(VLOOKUP(E23,[1]Material!F$5:U$90000,16,0),3)="EF-",VLOOKUP(E23,[1]Material!F$5:U$90000,16,0)="EFI"),"EFI",
    AND(ISNUMBER(VLOOKUP(E23,[1]Material!F$5:U$90000,16,0)),VLOOKUP(E23,[1]Material!F$5:U$90000,16,0)&gt;=100,VLOOKUP(E23,[1]Material!F$5:U$90000,16,0)&lt;=999,VLOOKUP(E23,[1]Material!F$5:U$90000,16,0)=INT(VLOOKUP(E23,[1]Material!F$5:U$90000,16,0))),"OEM",
    TRUE,""
  ),
  "không tìm thấy trong file Import"
)</f>
        <v>EFI</v>
      </c>
      <c r="V23" s="235">
        <f>IFERROR(_xlfn.XLOOKUP(E:E,VVMV!B:B,VVMV!J:J),0)</f>
        <v>0</v>
      </c>
      <c r="W23" s="590">
        <f t="shared" si="0"/>
        <v>49.924117602599956</v>
      </c>
      <c r="X23" s="590"/>
    </row>
    <row r="24" spans="1:24" s="235" customFormat="1" ht="24">
      <c r="A24" s="702"/>
      <c r="B24" s="703" t="s">
        <v>2158</v>
      </c>
      <c r="C24" s="703">
        <v>734101625</v>
      </c>
      <c r="D24" s="704">
        <v>46199</v>
      </c>
      <c r="E24" s="705">
        <v>523488275340</v>
      </c>
      <c r="F24" s="704">
        <v>46157</v>
      </c>
      <c r="G24" s="706" t="s">
        <v>964</v>
      </c>
      <c r="H24" s="706" t="s">
        <v>110</v>
      </c>
      <c r="I24" s="706" t="s">
        <v>937</v>
      </c>
      <c r="J24" s="706" t="s">
        <v>971</v>
      </c>
      <c r="K24" s="703" t="s">
        <v>1137</v>
      </c>
      <c r="L24" s="703">
        <v>6.1</v>
      </c>
      <c r="M24" s="707">
        <v>620487</v>
      </c>
      <c r="N24" s="707">
        <v>0</v>
      </c>
      <c r="O24" s="707">
        <v>294731</v>
      </c>
      <c r="P24" s="707">
        <v>48140</v>
      </c>
      <c r="Q24" s="707">
        <v>963358</v>
      </c>
      <c r="R24" s="708">
        <f>Q24/'Logistics record '!$AD$1</f>
        <v>36.405335953442673</v>
      </c>
      <c r="S24" s="265" t="s">
        <v>1155</v>
      </c>
      <c r="T24" s="232"/>
      <c r="U24" s="235" t="str" cm="1">
        <f t="array" ref="U24">IFERROR(
  _xlfn.IFS(
    VLOOKUP(E24,[1]Material!F$5:U$90000,16,0)="LUC","Lucid",
    VLOOKUP(E24,[1]Material!F$5:U$90000,16,0)="FMC","FORD",
    OR(VLOOKUP(E24,[1]Material!F$5:U$90000,16,0)="PUR",VLOOKUP(E24,[1]Material!F$5:U$90000,16,0)="HLO"),"PURE",
    VLOOKUP(E24,[1]Material!F$5:U$90000,16,0)="AIC","AIC",
    OR(VLOOKUP(E24,[1]Material!F$5:U$90000,16,0)="AGI",VLOOKUP(E24,[1]Material!F$5:U$90000,16,0)="AGIGA"),"AGIGA",
    OR(LEFT(VLOOKUP(E24,[1]Material!F$5:U$90000,16,0),3)="EF-",VLOOKUP(E24,[1]Material!F$5:U$90000,16,0)="EFI"),"EFI",
    AND(ISNUMBER(VLOOKUP(E24,[1]Material!F$5:U$90000,16,0)),VLOOKUP(E24,[1]Material!F$5:U$90000,16,0)&gt;=100,VLOOKUP(E24,[1]Material!F$5:U$90000,16,0)&lt;=999,VLOOKUP(E24,[1]Material!F$5:U$90000,16,0)=INT(VLOOKUP(E24,[1]Material!F$5:U$90000,16,0))),"OEM",
    TRUE,""
  ),
  "không tìm thấy trong file Import"
)</f>
        <v>Lucid</v>
      </c>
      <c r="V24" s="235">
        <f>IFERROR(_xlfn.XLOOKUP(E:E,VVMV!B:B,VVMV!J:J),0)</f>
        <v>0</v>
      </c>
      <c r="W24" s="590">
        <f t="shared" si="0"/>
        <v>36.405335953442673</v>
      </c>
      <c r="X24" s="590"/>
    </row>
    <row r="25" spans="1:24" s="235" customFormat="1" ht="36">
      <c r="A25" s="702"/>
      <c r="B25" s="703" t="s">
        <v>2158</v>
      </c>
      <c r="C25" s="703">
        <v>734101625</v>
      </c>
      <c r="D25" s="704">
        <v>46199</v>
      </c>
      <c r="E25" s="705">
        <v>484361666828</v>
      </c>
      <c r="F25" s="704">
        <v>46157</v>
      </c>
      <c r="G25" s="706" t="s">
        <v>376</v>
      </c>
      <c r="H25" s="706" t="s">
        <v>1150</v>
      </c>
      <c r="I25" s="706" t="s">
        <v>937</v>
      </c>
      <c r="J25" s="706" t="s">
        <v>971</v>
      </c>
      <c r="K25" s="703" t="s">
        <v>1137</v>
      </c>
      <c r="L25" s="703">
        <v>5.2</v>
      </c>
      <c r="M25" s="707">
        <v>574625</v>
      </c>
      <c r="N25" s="707">
        <v>0</v>
      </c>
      <c r="O25" s="707">
        <v>272947</v>
      </c>
      <c r="P25" s="707">
        <v>44582</v>
      </c>
      <c r="Q25" s="707">
        <v>892154</v>
      </c>
      <c r="R25" s="708">
        <f>Q25/'Logistics record '!$AD$1</f>
        <v>33.714534048824731</v>
      </c>
      <c r="S25" s="265" t="s">
        <v>1155</v>
      </c>
      <c r="T25" s="232"/>
      <c r="U25" s="235" t="str" cm="1">
        <f t="array" ref="U25">IFERROR(
  _xlfn.IFS(
    VLOOKUP(E25,[1]Material!F$5:U$90000,16,0)="LUC","Lucid",
    VLOOKUP(E25,[1]Material!F$5:U$90000,16,0)="FMC","FORD",
    OR(VLOOKUP(E25,[1]Material!F$5:U$90000,16,0)="PUR",VLOOKUP(E25,[1]Material!F$5:U$90000,16,0)="HLO"),"PURE",
    VLOOKUP(E25,[1]Material!F$5:U$90000,16,0)="AIC","AIC",
    OR(VLOOKUP(E25,[1]Material!F$5:U$90000,16,0)="AGI",VLOOKUP(E25,[1]Material!F$5:U$90000,16,0)="AGIGA"),"AGIGA",
    OR(LEFT(VLOOKUP(E25,[1]Material!F$5:U$90000,16,0),3)="EF-",VLOOKUP(E25,[1]Material!F$5:U$90000,16,0)="EFI"),"EFI",
    AND(ISNUMBER(VLOOKUP(E25,[1]Material!F$5:U$90000,16,0)),VLOOKUP(E25,[1]Material!F$5:U$90000,16,0)&gt;=100,VLOOKUP(E25,[1]Material!F$5:U$90000,16,0)&lt;=999,VLOOKUP(E25,[1]Material!F$5:U$90000,16,0)=INT(VLOOKUP(E25,[1]Material!F$5:U$90000,16,0))),"OEM",
    TRUE,""
  ),
  "không tìm thấy trong file Import"
)</f>
        <v>Lucid</v>
      </c>
      <c r="V25" s="235">
        <f>IFERROR(_xlfn.XLOOKUP(E:E,VVMV!B:B,VVMV!J:J),0)</f>
        <v>15.116015418335726</v>
      </c>
      <c r="W25" s="590">
        <f t="shared" si="0"/>
        <v>48.830549467160459</v>
      </c>
      <c r="X25" s="590"/>
    </row>
    <row r="26" spans="1:24" s="235" customFormat="1" ht="36">
      <c r="A26" s="702"/>
      <c r="B26" s="703" t="s">
        <v>2158</v>
      </c>
      <c r="C26" s="703">
        <v>734101625</v>
      </c>
      <c r="D26" s="704">
        <v>46199</v>
      </c>
      <c r="E26" s="705">
        <v>871831431473</v>
      </c>
      <c r="F26" s="704">
        <v>46158</v>
      </c>
      <c r="G26" s="706" t="s">
        <v>648</v>
      </c>
      <c r="H26" s="706" t="s">
        <v>1602</v>
      </c>
      <c r="I26" s="706" t="s">
        <v>927</v>
      </c>
      <c r="J26" s="706" t="s">
        <v>971</v>
      </c>
      <c r="K26" s="703" t="s">
        <v>1137</v>
      </c>
      <c r="L26" s="703">
        <v>36.4</v>
      </c>
      <c r="M26" s="707">
        <v>1974224</v>
      </c>
      <c r="N26" s="707">
        <v>0</v>
      </c>
      <c r="O26" s="707">
        <v>937756</v>
      </c>
      <c r="P26" s="707">
        <v>153170</v>
      </c>
      <c r="Q26" s="707">
        <v>3065150</v>
      </c>
      <c r="R26" s="708">
        <f>Q26/'Logistics record '!$AD$1</f>
        <v>115.83213664877938</v>
      </c>
      <c r="S26" s="265" t="s">
        <v>1155</v>
      </c>
      <c r="T26" s="232"/>
      <c r="U26" s="235" t="str" cm="1">
        <f t="array" ref="U26">IFERROR(
  _xlfn.IFS(
    VLOOKUP(E26,[1]Material!F$5:U$90000,16,0)="LUC","Lucid",
    VLOOKUP(E26,[1]Material!F$5:U$90000,16,0)="FMC","FORD",
    OR(VLOOKUP(E26,[1]Material!F$5:U$90000,16,0)="PUR",VLOOKUP(E26,[1]Material!F$5:U$90000,16,0)="HLO"),"PURE",
    VLOOKUP(E26,[1]Material!F$5:U$90000,16,0)="AIC","AIC",
    OR(VLOOKUP(E26,[1]Material!F$5:U$90000,16,0)="AGI",VLOOKUP(E26,[1]Material!F$5:U$90000,16,0)="AGIGA"),"AGIGA",
    OR(LEFT(VLOOKUP(E26,[1]Material!F$5:U$90000,16,0),3)="EF-",VLOOKUP(E26,[1]Material!F$5:U$90000,16,0)="EFI"),"EFI",
    AND(ISNUMBER(VLOOKUP(E26,[1]Material!F$5:U$90000,16,0)),VLOOKUP(E26,[1]Material!F$5:U$90000,16,0)&gt;=100,VLOOKUP(E26,[1]Material!F$5:U$90000,16,0)&lt;=999,VLOOKUP(E26,[1]Material!F$5:U$90000,16,0)=INT(VLOOKUP(E26,[1]Material!F$5:U$90000,16,0))),"OEM",
    TRUE,""
  ),
  "không tìm thấy trong file Import"
)</f>
        <v>OEM</v>
      </c>
      <c r="V26" s="235">
        <f>IFERROR(_xlfn.XLOOKUP(E:E,VVMV!B:B,VVMV!J:J),0)</f>
        <v>15.116015418335726</v>
      </c>
      <c r="W26" s="590">
        <f t="shared" si="0"/>
        <v>130.9481520671151</v>
      </c>
      <c r="X26" s="590"/>
    </row>
    <row r="27" spans="1:24" s="235" customFormat="1" ht="36">
      <c r="A27" s="702"/>
      <c r="B27" s="703" t="s">
        <v>2158</v>
      </c>
      <c r="C27" s="703">
        <v>734101625</v>
      </c>
      <c r="D27" s="704">
        <v>46199</v>
      </c>
      <c r="E27" s="705">
        <v>381352210471</v>
      </c>
      <c r="F27" s="704">
        <v>46158</v>
      </c>
      <c r="G27" s="706" t="s">
        <v>1605</v>
      </c>
      <c r="H27" s="706" t="s">
        <v>110</v>
      </c>
      <c r="I27" s="706" t="s">
        <v>954</v>
      </c>
      <c r="J27" s="706" t="s">
        <v>971</v>
      </c>
      <c r="K27" s="703" t="s">
        <v>1137</v>
      </c>
      <c r="L27" s="703">
        <v>2</v>
      </c>
      <c r="M27" s="707">
        <v>455598</v>
      </c>
      <c r="N27" s="707">
        <v>0</v>
      </c>
      <c r="O27" s="707">
        <v>216409</v>
      </c>
      <c r="P27" s="707">
        <v>35348</v>
      </c>
      <c r="Q27" s="707">
        <v>707355</v>
      </c>
      <c r="R27" s="708">
        <f>Q27/'Logistics record '!$AD$1</f>
        <v>26.73097271559217</v>
      </c>
      <c r="S27" s="265" t="s">
        <v>1155</v>
      </c>
      <c r="T27" s="232"/>
      <c r="U27" s="235" t="str" cm="1">
        <f t="array" ref="U27">IFERROR(
  _xlfn.IFS(
    VLOOKUP(E27,[1]Material!F$5:U$90000,16,0)="LUC","Lucid",
    VLOOKUP(E27,[1]Material!F$5:U$90000,16,0)="FMC","FORD",
    OR(VLOOKUP(E27,[1]Material!F$5:U$90000,16,0)="PUR",VLOOKUP(E27,[1]Material!F$5:U$90000,16,0)="HLO"),"PURE",
    VLOOKUP(E27,[1]Material!F$5:U$90000,16,0)="AIC","AIC",
    OR(VLOOKUP(E27,[1]Material!F$5:U$90000,16,0)="AGI",VLOOKUP(E27,[1]Material!F$5:U$90000,16,0)="AGIGA"),"AGIGA",
    OR(LEFT(VLOOKUP(E27,[1]Material!F$5:U$90000,16,0),3)="EF-",VLOOKUP(E27,[1]Material!F$5:U$90000,16,0)="EFI"),"EFI",
    AND(ISNUMBER(VLOOKUP(E27,[1]Material!F$5:U$90000,16,0)),VLOOKUP(E27,[1]Material!F$5:U$90000,16,0)&gt;=100,VLOOKUP(E27,[1]Material!F$5:U$90000,16,0)&lt;=999,VLOOKUP(E27,[1]Material!F$5:U$90000,16,0)=INT(VLOOKUP(E27,[1]Material!F$5:U$90000,16,0))),"OEM",
    TRUE,""
  ),
  "không tìm thấy trong file Import"
)</f>
        <v>PURE</v>
      </c>
      <c r="V27" s="235">
        <f>IFERROR(_xlfn.XLOOKUP(E:E,VVMV!B:B,VVMV!J:J),0)</f>
        <v>15.116015418335726</v>
      </c>
      <c r="W27" s="590">
        <f t="shared" si="0"/>
        <v>41.846988133927894</v>
      </c>
      <c r="X27" s="590"/>
    </row>
    <row r="28" spans="1:24" s="235" customFormat="1" ht="24">
      <c r="A28" s="702"/>
      <c r="B28" s="703" t="s">
        <v>2158</v>
      </c>
      <c r="C28" s="703">
        <v>734101625</v>
      </c>
      <c r="D28" s="704">
        <v>46199</v>
      </c>
      <c r="E28" s="705">
        <v>871907578288</v>
      </c>
      <c r="F28" s="704">
        <v>46160</v>
      </c>
      <c r="G28" s="706" t="s">
        <v>844</v>
      </c>
      <c r="H28" s="706" t="s">
        <v>110</v>
      </c>
      <c r="I28" s="706" t="s">
        <v>937</v>
      </c>
      <c r="J28" s="706" t="s">
        <v>971</v>
      </c>
      <c r="K28" s="703" t="s">
        <v>1137</v>
      </c>
      <c r="L28" s="703">
        <v>3.7</v>
      </c>
      <c r="M28" s="707">
        <v>470100</v>
      </c>
      <c r="N28" s="707">
        <v>0</v>
      </c>
      <c r="O28" s="707">
        <v>229174</v>
      </c>
      <c r="P28" s="707">
        <v>36782</v>
      </c>
      <c r="Q28" s="707">
        <v>736056</v>
      </c>
      <c r="R28" s="708">
        <f>Q28/'Logistics record '!$AD$1</f>
        <v>27.815584611896305</v>
      </c>
      <c r="S28" s="265" t="s">
        <v>1155</v>
      </c>
      <c r="T28" s="232"/>
      <c r="U28" s="235" t="str" cm="1">
        <f t="array" ref="U28">IFERROR(
  _xlfn.IFS(
    VLOOKUP(E28,[1]Material!F$5:U$90000,16,0)="LUC","Lucid",
    VLOOKUP(E28,[1]Material!F$5:U$90000,16,0)="FMC","FORD",
    OR(VLOOKUP(E28,[1]Material!F$5:U$90000,16,0)="PUR",VLOOKUP(E28,[1]Material!F$5:U$90000,16,0)="HLO"),"PURE",
    VLOOKUP(E28,[1]Material!F$5:U$90000,16,0)="AIC","AIC",
    OR(VLOOKUP(E28,[1]Material!F$5:U$90000,16,0)="AGI",VLOOKUP(E28,[1]Material!F$5:U$90000,16,0)="AGIGA"),"AGIGA",
    OR(LEFT(VLOOKUP(E28,[1]Material!F$5:U$90000,16,0),3)="EF-",VLOOKUP(E28,[1]Material!F$5:U$90000,16,0)="EFI"),"EFI",
    AND(ISNUMBER(VLOOKUP(E28,[1]Material!F$5:U$90000,16,0)),VLOOKUP(E28,[1]Material!F$5:U$90000,16,0)&gt;=100,VLOOKUP(E28,[1]Material!F$5:U$90000,16,0)&lt;=999,VLOOKUP(E28,[1]Material!F$5:U$90000,16,0)=INT(VLOOKUP(E28,[1]Material!F$5:U$90000,16,0))),"OEM",
    TRUE,""
  ),
  "không tìm thấy trong file Import"
)</f>
        <v>FORD</v>
      </c>
      <c r="V28" s="235">
        <f>IFERROR(_xlfn.XLOOKUP(E:E,VVMV!B:B,VVMV!J:J),0)</f>
        <v>0</v>
      </c>
      <c r="W28" s="590">
        <f t="shared" si="0"/>
        <v>27.815584611896305</v>
      </c>
      <c r="X28" s="590"/>
    </row>
    <row r="29" spans="1:24" s="235" customFormat="1" ht="36">
      <c r="A29" s="702"/>
      <c r="B29" s="703" t="s">
        <v>2158</v>
      </c>
      <c r="C29" s="703">
        <v>734101625</v>
      </c>
      <c r="D29" s="704">
        <v>46199</v>
      </c>
      <c r="E29" s="705">
        <v>409298922447</v>
      </c>
      <c r="F29" s="704">
        <v>46160</v>
      </c>
      <c r="G29" s="706" t="s">
        <v>378</v>
      </c>
      <c r="H29" s="706" t="s">
        <v>1600</v>
      </c>
      <c r="I29" s="706" t="s">
        <v>937</v>
      </c>
      <c r="J29" s="706" t="s">
        <v>971</v>
      </c>
      <c r="K29" s="703" t="s">
        <v>1137</v>
      </c>
      <c r="L29" s="703">
        <v>21</v>
      </c>
      <c r="M29" s="707">
        <v>1091961</v>
      </c>
      <c r="N29" s="707">
        <v>0</v>
      </c>
      <c r="O29" s="707">
        <v>532331</v>
      </c>
      <c r="P29" s="707">
        <v>85438</v>
      </c>
      <c r="Q29" s="707">
        <v>1709730</v>
      </c>
      <c r="R29" s="708">
        <f>Q29/'Logistics record '!$AD$1</f>
        <v>64.610762602977857</v>
      </c>
      <c r="S29" s="265" t="s">
        <v>1155</v>
      </c>
      <c r="T29" s="232"/>
      <c r="U29" s="235" t="str" cm="1">
        <f t="array" ref="U29">IFERROR(
  _xlfn.IFS(
    VLOOKUP(E29,[1]Material!F$5:U$90000,16,0)="LUC","Lucid",
    VLOOKUP(E29,[1]Material!F$5:U$90000,16,0)="FMC","FORD",
    OR(VLOOKUP(E29,[1]Material!F$5:U$90000,16,0)="PUR",VLOOKUP(E29,[1]Material!F$5:U$90000,16,0)="HLO"),"PURE",
    VLOOKUP(E29,[1]Material!F$5:U$90000,16,0)="AIC","AIC",
    OR(VLOOKUP(E29,[1]Material!F$5:U$90000,16,0)="AGI",VLOOKUP(E29,[1]Material!F$5:U$90000,16,0)="AGIGA"),"AGIGA",
    OR(LEFT(VLOOKUP(E29,[1]Material!F$5:U$90000,16,0),3)="EF-",VLOOKUP(E29,[1]Material!F$5:U$90000,16,0)="EFI"),"EFI",
    AND(ISNUMBER(VLOOKUP(E29,[1]Material!F$5:U$90000,16,0)),VLOOKUP(E29,[1]Material!F$5:U$90000,16,0)&gt;=100,VLOOKUP(E29,[1]Material!F$5:U$90000,16,0)&lt;=999,VLOOKUP(E29,[1]Material!F$5:U$90000,16,0)=INT(VLOOKUP(E29,[1]Material!F$5:U$90000,16,0))),"OEM",
    TRUE,""
  ),
  "không tìm thấy trong file Import"
)</f>
        <v>Lucid</v>
      </c>
      <c r="V29" s="235">
        <f>IFERROR(_xlfn.XLOOKUP(E:E,VVMV!B:B,VVMV!J:J),0)</f>
        <v>0</v>
      </c>
      <c r="W29" s="590">
        <f t="shared" si="0"/>
        <v>64.610762602977857</v>
      </c>
      <c r="X29" s="590"/>
    </row>
    <row r="30" spans="1:24" s="235" customFormat="1" ht="36">
      <c r="A30" s="702"/>
      <c r="B30" s="703" t="s">
        <v>2158</v>
      </c>
      <c r="C30" s="703">
        <v>734101625</v>
      </c>
      <c r="D30" s="704">
        <v>46199</v>
      </c>
      <c r="E30" s="705">
        <v>525343781722</v>
      </c>
      <c r="F30" s="704">
        <v>46160</v>
      </c>
      <c r="G30" s="706" t="s">
        <v>380</v>
      </c>
      <c r="H30" s="706" t="s">
        <v>1604</v>
      </c>
      <c r="I30" s="706" t="s">
        <v>931</v>
      </c>
      <c r="J30" s="706" t="s">
        <v>971</v>
      </c>
      <c r="K30" s="703" t="s">
        <v>1137</v>
      </c>
      <c r="L30" s="703">
        <v>8</v>
      </c>
      <c r="M30" s="707">
        <v>912198</v>
      </c>
      <c r="N30" s="707">
        <v>0</v>
      </c>
      <c r="O30" s="707">
        <v>433294</v>
      </c>
      <c r="P30" s="707">
        <v>70773</v>
      </c>
      <c r="Q30" s="707">
        <v>1416265</v>
      </c>
      <c r="R30" s="708">
        <f>Q30/'Logistics record '!$AD$1</f>
        <v>53.520708941123118</v>
      </c>
      <c r="S30" s="265" t="s">
        <v>1155</v>
      </c>
      <c r="T30" s="232"/>
      <c r="U30" s="235" t="str" cm="1">
        <f t="array" ref="U30">IFERROR(
  _xlfn.IFS(
    VLOOKUP(E30,[1]Material!F$5:U$90000,16,0)="LUC","Lucid",
    VLOOKUP(E30,[1]Material!F$5:U$90000,16,0)="FMC","FORD",
    OR(VLOOKUP(E30,[1]Material!F$5:U$90000,16,0)="PUR",VLOOKUP(E30,[1]Material!F$5:U$90000,16,0)="HLO"),"PURE",
    VLOOKUP(E30,[1]Material!F$5:U$90000,16,0)="AIC","AIC",
    OR(VLOOKUP(E30,[1]Material!F$5:U$90000,16,0)="AGI",VLOOKUP(E30,[1]Material!F$5:U$90000,16,0)="AGIGA"),"AGIGA",
    OR(LEFT(VLOOKUP(E30,[1]Material!F$5:U$90000,16,0),3)="EF-",VLOOKUP(E30,[1]Material!F$5:U$90000,16,0)="EFI"),"EFI",
    AND(ISNUMBER(VLOOKUP(E30,[1]Material!F$5:U$90000,16,0)),VLOOKUP(E30,[1]Material!F$5:U$90000,16,0)&gt;=100,VLOOKUP(E30,[1]Material!F$5:U$90000,16,0)&lt;=999,VLOOKUP(E30,[1]Material!F$5:U$90000,16,0)=INT(VLOOKUP(E30,[1]Material!F$5:U$90000,16,0))),"OEM",
    TRUE,""
  ),
  "không tìm thấy trong file Import"
)</f>
        <v>PURE</v>
      </c>
      <c r="V30" s="235">
        <f>IFERROR(_xlfn.XLOOKUP(E:E,VVMV!B:B,VVMV!J:J),0)</f>
        <v>0</v>
      </c>
      <c r="W30" s="590">
        <f t="shared" si="0"/>
        <v>53.520708941123118</v>
      </c>
      <c r="X30" s="590"/>
    </row>
    <row r="31" spans="1:24" s="235" customFormat="1" ht="36">
      <c r="A31" s="702"/>
      <c r="B31" s="703" t="s">
        <v>2158</v>
      </c>
      <c r="C31" s="703">
        <v>734101625</v>
      </c>
      <c r="D31" s="704">
        <v>46199</v>
      </c>
      <c r="E31" s="705">
        <v>871900877860</v>
      </c>
      <c r="F31" s="704">
        <v>46160</v>
      </c>
      <c r="G31" s="706" t="s">
        <v>374</v>
      </c>
      <c r="H31" s="706" t="s">
        <v>2160</v>
      </c>
      <c r="I31" s="706" t="s">
        <v>932</v>
      </c>
      <c r="J31" s="706" t="s">
        <v>971</v>
      </c>
      <c r="K31" s="703" t="s">
        <v>1137</v>
      </c>
      <c r="L31" s="703">
        <v>3.2</v>
      </c>
      <c r="M31" s="707">
        <v>482383</v>
      </c>
      <c r="N31" s="707">
        <v>0</v>
      </c>
      <c r="O31" s="707">
        <v>235162</v>
      </c>
      <c r="P31" s="707">
        <v>37743</v>
      </c>
      <c r="Q31" s="707">
        <v>755288</v>
      </c>
      <c r="R31" s="708">
        <f>Q31/'Logistics record '!$AD$1</f>
        <v>28.542362633209887</v>
      </c>
      <c r="S31" s="265" t="s">
        <v>1155</v>
      </c>
      <c r="T31" s="232"/>
      <c r="U31" s="235" t="str" cm="1">
        <f t="array" ref="U31">IFERROR(
  _xlfn.IFS(
    VLOOKUP(E31,[1]Material!F$5:U$90000,16,0)="LUC","Lucid",
    VLOOKUP(E31,[1]Material!F$5:U$90000,16,0)="FMC","FORD",
    OR(VLOOKUP(E31,[1]Material!F$5:U$90000,16,0)="PUR",VLOOKUP(E31,[1]Material!F$5:U$90000,16,0)="HLO"),"PURE",
    VLOOKUP(E31,[1]Material!F$5:U$90000,16,0)="AIC","AIC",
    OR(VLOOKUP(E31,[1]Material!F$5:U$90000,16,0)="AGI",VLOOKUP(E31,[1]Material!F$5:U$90000,16,0)="AGIGA"),"AGIGA",
    OR(LEFT(VLOOKUP(E31,[1]Material!F$5:U$90000,16,0),3)="EF-",VLOOKUP(E31,[1]Material!F$5:U$90000,16,0)="EFI"),"EFI",
    AND(ISNUMBER(VLOOKUP(E31,[1]Material!F$5:U$90000,16,0)),VLOOKUP(E31,[1]Material!F$5:U$90000,16,0)&gt;=100,VLOOKUP(E31,[1]Material!F$5:U$90000,16,0)&lt;=999,VLOOKUP(E31,[1]Material!F$5:U$90000,16,0)=INT(VLOOKUP(E31,[1]Material!F$5:U$90000,16,0))),"OEM",
    TRUE,""
  ),
  "không tìm thấy trong file Import"
)</f>
        <v>Lucid</v>
      </c>
      <c r="V31" s="235">
        <f>IFERROR(_xlfn.XLOOKUP(E:E,VVMV!B:B,VVMV!J:J),0)</f>
        <v>0</v>
      </c>
      <c r="W31" s="590">
        <f t="shared" si="0"/>
        <v>28.542362633209887</v>
      </c>
      <c r="X31" s="590"/>
    </row>
    <row r="32" spans="1:24" s="235" customFormat="1" ht="36">
      <c r="A32" s="702"/>
      <c r="B32" s="703" t="s">
        <v>2158</v>
      </c>
      <c r="C32" s="703">
        <v>734101625</v>
      </c>
      <c r="D32" s="704">
        <v>46199</v>
      </c>
      <c r="E32" s="705">
        <v>518904176610</v>
      </c>
      <c r="F32" s="704">
        <v>46161</v>
      </c>
      <c r="G32" s="706" t="s">
        <v>2036</v>
      </c>
      <c r="H32" s="706" t="s">
        <v>1600</v>
      </c>
      <c r="I32" s="706" t="s">
        <v>927</v>
      </c>
      <c r="J32" s="706" t="s">
        <v>971</v>
      </c>
      <c r="K32" s="703" t="s">
        <v>1137</v>
      </c>
      <c r="L32" s="703">
        <v>0.5</v>
      </c>
      <c r="M32" s="707">
        <v>310482</v>
      </c>
      <c r="N32" s="707">
        <v>0</v>
      </c>
      <c r="O32" s="707">
        <v>151360</v>
      </c>
      <c r="P32" s="707">
        <v>24293</v>
      </c>
      <c r="Q32" s="707">
        <v>486135</v>
      </c>
      <c r="R32" s="708">
        <f>Q32/'Logistics record '!$AD$1</f>
        <v>18.371060388481595</v>
      </c>
      <c r="S32" s="265" t="s">
        <v>1155</v>
      </c>
      <c r="T32" s="232"/>
      <c r="U32" s="235" t="str" cm="1">
        <f t="array" ref="U32">IFERROR(
  _xlfn.IFS(
    VLOOKUP(E32,[1]Material!F$5:U$90000,16,0)="LUC","Lucid",
    VLOOKUP(E32,[1]Material!F$5:U$90000,16,0)="FMC","FORD",
    OR(VLOOKUP(E32,[1]Material!F$5:U$90000,16,0)="PUR",VLOOKUP(E32,[1]Material!F$5:U$90000,16,0)="HLO"),"PURE",
    VLOOKUP(E32,[1]Material!F$5:U$90000,16,0)="AIC","AIC",
    OR(VLOOKUP(E32,[1]Material!F$5:U$90000,16,0)="AGI",VLOOKUP(E32,[1]Material!F$5:U$90000,16,0)="AGIGA"),"AGIGA",
    OR(LEFT(VLOOKUP(E32,[1]Material!F$5:U$90000,16,0),3)="EF-",VLOOKUP(E32,[1]Material!F$5:U$90000,16,0)="EFI"),"EFI",
    AND(ISNUMBER(VLOOKUP(E32,[1]Material!F$5:U$90000,16,0)),VLOOKUP(E32,[1]Material!F$5:U$90000,16,0)&gt;=100,VLOOKUP(E32,[1]Material!F$5:U$90000,16,0)&lt;=999,VLOOKUP(E32,[1]Material!F$5:U$90000,16,0)=INT(VLOOKUP(E32,[1]Material!F$5:U$90000,16,0))),"OEM",
    TRUE,""
  ),
  "không tìm thấy trong file Import"
)</f>
        <v>FORD</v>
      </c>
      <c r="V32" s="235">
        <f>IFERROR(_xlfn.XLOOKUP(E:E,VVMV!B:B,VVMV!J:J),0)</f>
        <v>0</v>
      </c>
      <c r="W32" s="590">
        <f t="shared" si="0"/>
        <v>18.371060388481595</v>
      </c>
      <c r="X32" s="590"/>
    </row>
    <row r="33" spans="1:24" s="235" customFormat="1" ht="24">
      <c r="A33" s="702"/>
      <c r="B33" s="703" t="s">
        <v>2158</v>
      </c>
      <c r="C33" s="703">
        <v>734101625</v>
      </c>
      <c r="D33" s="704">
        <v>46199</v>
      </c>
      <c r="E33" s="705">
        <v>512718301003</v>
      </c>
      <c r="F33" s="704">
        <v>46161</v>
      </c>
      <c r="G33" s="706" t="s">
        <v>1607</v>
      </c>
      <c r="H33" s="706" t="s">
        <v>1150</v>
      </c>
      <c r="I33" s="706" t="s">
        <v>932</v>
      </c>
      <c r="J33" s="706" t="s">
        <v>971</v>
      </c>
      <c r="K33" s="703" t="s">
        <v>1151</v>
      </c>
      <c r="L33" s="703">
        <v>7.2</v>
      </c>
      <c r="M33" s="707">
        <v>727980</v>
      </c>
      <c r="N33" s="707">
        <v>27072</v>
      </c>
      <c r="O33" s="707">
        <v>354890</v>
      </c>
      <c r="P33" s="707">
        <v>58383</v>
      </c>
      <c r="Q33" s="707">
        <v>1168325</v>
      </c>
      <c r="R33" s="708">
        <f>Q33/'Logistics record '!$AD$1</f>
        <v>44.151046784067717</v>
      </c>
      <c r="S33" s="265" t="s">
        <v>1155</v>
      </c>
      <c r="T33" s="232"/>
      <c r="U33" s="235" t="str" cm="1">
        <f t="array" ref="U33">IFERROR(
  _xlfn.IFS(
    VLOOKUP(E33,[1]Material!F$5:U$90000,16,0)="LUC","Lucid",
    VLOOKUP(E33,[1]Material!F$5:U$90000,16,0)="FMC","FORD",
    OR(VLOOKUP(E33,[1]Material!F$5:U$90000,16,0)="PUR",VLOOKUP(E33,[1]Material!F$5:U$90000,16,0)="HLO"),"PURE",
    VLOOKUP(E33,[1]Material!F$5:U$90000,16,0)="AIC","AIC",
    OR(VLOOKUP(E33,[1]Material!F$5:U$90000,16,0)="AGI",VLOOKUP(E33,[1]Material!F$5:U$90000,16,0)="AGIGA"),"AGIGA",
    OR(LEFT(VLOOKUP(E33,[1]Material!F$5:U$90000,16,0),3)="EF-",VLOOKUP(E33,[1]Material!F$5:U$90000,16,0)="EFI"),"EFI",
    AND(ISNUMBER(VLOOKUP(E33,[1]Material!F$5:U$90000,16,0)),VLOOKUP(E33,[1]Material!F$5:U$90000,16,0)&gt;=100,VLOOKUP(E33,[1]Material!F$5:U$90000,16,0)&lt;=999,VLOOKUP(E33,[1]Material!F$5:U$90000,16,0)=INT(VLOOKUP(E33,[1]Material!F$5:U$90000,16,0))),"OEM",
    TRUE,""
  ),
  "không tìm thấy trong file Import"
)</f>
        <v>PURE</v>
      </c>
      <c r="V33" s="235">
        <f>IFERROR(_xlfn.XLOOKUP(E:E,VVMV!B:B,VVMV!J:J),0)</f>
        <v>0</v>
      </c>
      <c r="W33" s="590">
        <f t="shared" si="0"/>
        <v>44.151046784067717</v>
      </c>
      <c r="X33" s="590"/>
    </row>
    <row r="34" spans="1:24" s="235" customFormat="1" ht="36">
      <c r="A34" s="702"/>
      <c r="B34" s="703" t="s">
        <v>2158</v>
      </c>
      <c r="C34" s="703">
        <v>734101625</v>
      </c>
      <c r="D34" s="704">
        <v>46199</v>
      </c>
      <c r="E34" s="705">
        <v>518027698111</v>
      </c>
      <c r="F34" s="704">
        <v>46162</v>
      </c>
      <c r="G34" s="706" t="s">
        <v>809</v>
      </c>
      <c r="H34" s="706" t="s">
        <v>1595</v>
      </c>
      <c r="I34" s="706" t="s">
        <v>954</v>
      </c>
      <c r="J34" s="706" t="s">
        <v>971</v>
      </c>
      <c r="K34" s="703" t="s">
        <v>1137</v>
      </c>
      <c r="L34" s="703">
        <v>29.9</v>
      </c>
      <c r="M34" s="707">
        <v>1978128</v>
      </c>
      <c r="N34" s="707">
        <v>0</v>
      </c>
      <c r="O34" s="707">
        <v>964337</v>
      </c>
      <c r="P34" s="707">
        <v>154774</v>
      </c>
      <c r="Q34" s="707">
        <v>3097239</v>
      </c>
      <c r="R34" s="708">
        <f>Q34/'Logistics record '!$AD$1</f>
        <v>117.04478119567682</v>
      </c>
      <c r="S34" s="265" t="s">
        <v>1155</v>
      </c>
      <c r="T34" s="232"/>
      <c r="U34" s="235" t="str" cm="1">
        <f t="array" ref="U34">IFERROR(
  _xlfn.IFS(
    VLOOKUP(E34,[1]Material!F$5:U$90000,16,0)="LUC","Lucid",
    VLOOKUP(E34,[1]Material!F$5:U$90000,16,0)="FMC","FORD",
    OR(VLOOKUP(E34,[1]Material!F$5:U$90000,16,0)="PUR",VLOOKUP(E34,[1]Material!F$5:U$90000,16,0)="HLO"),"PURE",
    VLOOKUP(E34,[1]Material!F$5:U$90000,16,0)="AIC","AIC",
    OR(VLOOKUP(E34,[1]Material!F$5:U$90000,16,0)="AGI",VLOOKUP(E34,[1]Material!F$5:U$90000,16,0)="AGIGA"),"AGIGA",
    OR(LEFT(VLOOKUP(E34,[1]Material!F$5:U$90000,16,0),3)="EF-",VLOOKUP(E34,[1]Material!F$5:U$90000,16,0)="EFI"),"EFI",
    AND(ISNUMBER(VLOOKUP(E34,[1]Material!F$5:U$90000,16,0)),VLOOKUP(E34,[1]Material!F$5:U$90000,16,0)&gt;=100,VLOOKUP(E34,[1]Material!F$5:U$90000,16,0)&lt;=999,VLOOKUP(E34,[1]Material!F$5:U$90000,16,0)=INT(VLOOKUP(E34,[1]Material!F$5:U$90000,16,0))),"OEM",
    TRUE,""
  ),
  "không tìm thấy trong file Import"
)</f>
        <v>PURE</v>
      </c>
      <c r="V34" s="235">
        <f>IFERROR(_xlfn.XLOOKUP(E:E,VVMV!B:B,VVMV!J:J),0)</f>
        <v>0</v>
      </c>
      <c r="W34" s="590">
        <f t="shared" si="0"/>
        <v>117.04478119567682</v>
      </c>
      <c r="X34" s="590"/>
    </row>
    <row r="35" spans="1:24" s="235" customFormat="1" ht="36">
      <c r="A35" s="702"/>
      <c r="B35" s="703" t="s">
        <v>2158</v>
      </c>
      <c r="C35" s="703">
        <v>734101625</v>
      </c>
      <c r="D35" s="704">
        <v>46199</v>
      </c>
      <c r="E35" s="705">
        <v>871914884033</v>
      </c>
      <c r="F35" s="704">
        <v>46162</v>
      </c>
      <c r="G35" s="706" t="s">
        <v>799</v>
      </c>
      <c r="H35" s="706" t="s">
        <v>1597</v>
      </c>
      <c r="I35" s="706" t="s">
        <v>939</v>
      </c>
      <c r="J35" s="706" t="s">
        <v>971</v>
      </c>
      <c r="K35" s="703" t="s">
        <v>1137</v>
      </c>
      <c r="L35" s="703">
        <v>10.5</v>
      </c>
      <c r="M35" s="707">
        <v>854484</v>
      </c>
      <c r="N35" s="707">
        <v>0</v>
      </c>
      <c r="O35" s="707">
        <v>416561</v>
      </c>
      <c r="P35" s="707">
        <v>66857</v>
      </c>
      <c r="Q35" s="707">
        <v>1337902</v>
      </c>
      <c r="R35" s="708">
        <f>Q35/'Logistics record '!$AD$1</f>
        <v>50.559368150555514</v>
      </c>
      <c r="S35" s="265" t="s">
        <v>1155</v>
      </c>
      <c r="T35" s="232"/>
      <c r="U35" s="235" t="str" cm="1">
        <f t="array" ref="U35">IFERROR(
  _xlfn.IFS(
    VLOOKUP(E35,[1]Material!F$5:U$90000,16,0)="LUC","Lucid",
    VLOOKUP(E35,[1]Material!F$5:U$90000,16,0)="FMC","FORD",
    OR(VLOOKUP(E35,[1]Material!F$5:U$90000,16,0)="PUR",VLOOKUP(E35,[1]Material!F$5:U$90000,16,0)="HLO"),"PURE",
    VLOOKUP(E35,[1]Material!F$5:U$90000,16,0)="AIC","AIC",
    OR(VLOOKUP(E35,[1]Material!F$5:U$90000,16,0)="AGI",VLOOKUP(E35,[1]Material!F$5:U$90000,16,0)="AGIGA"),"AGIGA",
    OR(LEFT(VLOOKUP(E35,[1]Material!F$5:U$90000,16,0),3)="EF-",VLOOKUP(E35,[1]Material!F$5:U$90000,16,0)="EFI"),"EFI",
    AND(ISNUMBER(VLOOKUP(E35,[1]Material!F$5:U$90000,16,0)),VLOOKUP(E35,[1]Material!F$5:U$90000,16,0)&gt;=100,VLOOKUP(E35,[1]Material!F$5:U$90000,16,0)&lt;=999,VLOOKUP(E35,[1]Material!F$5:U$90000,16,0)=INT(VLOOKUP(E35,[1]Material!F$5:U$90000,16,0))),"OEM",
    TRUE,""
  ),
  "không tìm thấy trong file Import"
)</f>
        <v>Lucid</v>
      </c>
      <c r="V35" s="235">
        <f>IFERROR(_xlfn.XLOOKUP(E:E,VVMV!B:B,VVMV!J:J),0)</f>
        <v>0</v>
      </c>
      <c r="W35" s="590">
        <f t="shared" si="0"/>
        <v>50.559368150555514</v>
      </c>
      <c r="X35" s="590"/>
    </row>
    <row r="36" spans="1:24" s="235" customFormat="1" ht="36">
      <c r="A36" s="702"/>
      <c r="B36" s="703" t="s">
        <v>2158</v>
      </c>
      <c r="C36" s="703">
        <v>734101625</v>
      </c>
      <c r="D36" s="704">
        <v>46199</v>
      </c>
      <c r="E36" s="705">
        <v>871965623931</v>
      </c>
      <c r="F36" s="704">
        <v>46162</v>
      </c>
      <c r="G36" s="706" t="s">
        <v>811</v>
      </c>
      <c r="H36" s="706" t="s">
        <v>1593</v>
      </c>
      <c r="I36" s="706" t="s">
        <v>927</v>
      </c>
      <c r="J36" s="706" t="s">
        <v>971</v>
      </c>
      <c r="K36" s="703" t="s">
        <v>1137</v>
      </c>
      <c r="L36" s="703">
        <v>57.3</v>
      </c>
      <c r="M36" s="707">
        <v>3067133</v>
      </c>
      <c r="N36" s="707">
        <v>0</v>
      </c>
      <c r="O36" s="707">
        <v>1495227</v>
      </c>
      <c r="P36" s="707">
        <v>239980</v>
      </c>
      <c r="Q36" s="707">
        <v>4802340</v>
      </c>
      <c r="R36" s="708">
        <f>Q36/'Logistics record '!$AD$1</f>
        <v>181.48061371022598</v>
      </c>
      <c r="S36" s="265" t="s">
        <v>1155</v>
      </c>
      <c r="T36" s="232"/>
      <c r="U36" s="235" t="str" cm="1">
        <f t="array" ref="U36">IFERROR(
  _xlfn.IFS(
    VLOOKUP(E36,[1]Material!F$5:U$90000,16,0)="LUC","Lucid",
    VLOOKUP(E36,[1]Material!F$5:U$90000,16,0)="FMC","FORD",
    OR(VLOOKUP(E36,[1]Material!F$5:U$90000,16,0)="PUR",VLOOKUP(E36,[1]Material!F$5:U$90000,16,0)="HLO"),"PURE",
    VLOOKUP(E36,[1]Material!F$5:U$90000,16,0)="AIC","AIC",
    OR(VLOOKUP(E36,[1]Material!F$5:U$90000,16,0)="AGI",VLOOKUP(E36,[1]Material!F$5:U$90000,16,0)="AGIGA"),"AGIGA",
    OR(LEFT(VLOOKUP(E36,[1]Material!F$5:U$90000,16,0),3)="EF-",VLOOKUP(E36,[1]Material!F$5:U$90000,16,0)="EFI"),"EFI",
    AND(ISNUMBER(VLOOKUP(E36,[1]Material!F$5:U$90000,16,0)),VLOOKUP(E36,[1]Material!F$5:U$90000,16,0)&gt;=100,VLOOKUP(E36,[1]Material!F$5:U$90000,16,0)&lt;=999,VLOOKUP(E36,[1]Material!F$5:U$90000,16,0)=INT(VLOOKUP(E36,[1]Material!F$5:U$90000,16,0))),"OEM",
    TRUE,""
  ),
  "không tìm thấy trong file Import"
)</f>
        <v>PURE</v>
      </c>
      <c r="V36" s="235">
        <f>IFERROR(_xlfn.XLOOKUP(E:E,VVMV!B:B,VVMV!J:J),0)</f>
        <v>15.116015418335726</v>
      </c>
      <c r="W36" s="590">
        <f t="shared" si="0"/>
        <v>196.59662912856172</v>
      </c>
      <c r="X36" s="590"/>
    </row>
    <row r="37" spans="1:24" s="235" customFormat="1" ht="36">
      <c r="A37" s="702"/>
      <c r="B37" s="703" t="s">
        <v>2158</v>
      </c>
      <c r="C37" s="703">
        <v>734101625</v>
      </c>
      <c r="D37" s="704">
        <v>46199</v>
      </c>
      <c r="E37" s="705">
        <v>510007355769</v>
      </c>
      <c r="F37" s="704">
        <v>46163</v>
      </c>
      <c r="G37" s="706" t="s">
        <v>810</v>
      </c>
      <c r="H37" s="706" t="s">
        <v>1599</v>
      </c>
      <c r="I37" s="706" t="s">
        <v>927</v>
      </c>
      <c r="J37" s="706" t="s">
        <v>971</v>
      </c>
      <c r="K37" s="703" t="s">
        <v>1137</v>
      </c>
      <c r="L37" s="703">
        <v>45.4</v>
      </c>
      <c r="M37" s="707">
        <v>2432554</v>
      </c>
      <c r="N37" s="707">
        <v>0</v>
      </c>
      <c r="O37" s="707">
        <v>1185870</v>
      </c>
      <c r="P37" s="707">
        <v>190329</v>
      </c>
      <c r="Q37" s="707">
        <v>3808753</v>
      </c>
      <c r="R37" s="708">
        <f>Q37/'Logistics record '!$AD$1</f>
        <v>143.93292268158115</v>
      </c>
      <c r="S37" s="265" t="s">
        <v>1155</v>
      </c>
      <c r="T37" s="232"/>
      <c r="U37" s="235" t="str" cm="1">
        <f t="array" ref="U37">IFERROR(
  _xlfn.IFS(
    VLOOKUP(E37,[1]Material!F$5:U$90000,16,0)="LUC","Lucid",
    VLOOKUP(E37,[1]Material!F$5:U$90000,16,0)="FMC","FORD",
    OR(VLOOKUP(E37,[1]Material!F$5:U$90000,16,0)="PUR",VLOOKUP(E37,[1]Material!F$5:U$90000,16,0)="HLO"),"PURE",
    VLOOKUP(E37,[1]Material!F$5:U$90000,16,0)="AIC","AIC",
    OR(VLOOKUP(E37,[1]Material!F$5:U$90000,16,0)="AGI",VLOOKUP(E37,[1]Material!F$5:U$90000,16,0)="AGIGA"),"AGIGA",
    OR(LEFT(VLOOKUP(E37,[1]Material!F$5:U$90000,16,0),3)="EF-",VLOOKUP(E37,[1]Material!F$5:U$90000,16,0)="EFI"),"EFI",
    AND(ISNUMBER(VLOOKUP(E37,[1]Material!F$5:U$90000,16,0)),VLOOKUP(E37,[1]Material!F$5:U$90000,16,0)&gt;=100,VLOOKUP(E37,[1]Material!F$5:U$90000,16,0)&lt;=999,VLOOKUP(E37,[1]Material!F$5:U$90000,16,0)=INT(VLOOKUP(E37,[1]Material!F$5:U$90000,16,0))),"OEM",
    TRUE,""
  ),
  "không tìm thấy trong file Import"
)</f>
        <v>OEM</v>
      </c>
      <c r="V37" s="235">
        <f>IFERROR(_xlfn.XLOOKUP(E:E,VVMV!B:B,VVMV!J:J),0)</f>
        <v>15.116015418335726</v>
      </c>
      <c r="W37" s="590">
        <f t="shared" si="0"/>
        <v>159.04893809991688</v>
      </c>
      <c r="X37" s="590"/>
    </row>
    <row r="38" spans="1:24" s="235" customFormat="1" ht="24">
      <c r="A38" s="702"/>
      <c r="B38" s="703" t="s">
        <v>2158</v>
      </c>
      <c r="C38" s="703">
        <v>734101625</v>
      </c>
      <c r="D38" s="704">
        <v>46199</v>
      </c>
      <c r="E38" s="705">
        <v>872118022055</v>
      </c>
      <c r="F38" s="704">
        <v>46164</v>
      </c>
      <c r="G38" s="706" t="s">
        <v>844</v>
      </c>
      <c r="H38" s="706" t="s">
        <v>110</v>
      </c>
      <c r="I38" s="706" t="s">
        <v>937</v>
      </c>
      <c r="J38" s="706" t="s">
        <v>971</v>
      </c>
      <c r="K38" s="703" t="s">
        <v>1137</v>
      </c>
      <c r="L38" s="703">
        <v>0.5</v>
      </c>
      <c r="M38" s="707">
        <v>317009</v>
      </c>
      <c r="N38" s="707">
        <v>0</v>
      </c>
      <c r="O38" s="707">
        <v>154542</v>
      </c>
      <c r="P38" s="707">
        <v>24804</v>
      </c>
      <c r="Q38" s="707">
        <v>496355</v>
      </c>
      <c r="R38" s="708">
        <f>Q38/'Logistics record '!$AD$1</f>
        <v>18.757274582420074</v>
      </c>
      <c r="S38" s="265" t="s">
        <v>1155</v>
      </c>
      <c r="T38" s="232"/>
      <c r="U38" s="235" t="str" cm="1">
        <f t="array" ref="U38">IFERROR(
  _xlfn.IFS(
    VLOOKUP(E38,[1]Material!F$5:U$90000,16,0)="LUC","Lucid",
    VLOOKUP(E38,[1]Material!F$5:U$90000,16,0)="FMC","FORD",
    OR(VLOOKUP(E38,[1]Material!F$5:U$90000,16,0)="PUR",VLOOKUP(E38,[1]Material!F$5:U$90000,16,0)="HLO"),"PURE",
    VLOOKUP(E38,[1]Material!F$5:U$90000,16,0)="AIC","AIC",
    OR(VLOOKUP(E38,[1]Material!F$5:U$90000,16,0)="AGI",VLOOKUP(E38,[1]Material!F$5:U$90000,16,0)="AGIGA"),"AGIGA",
    OR(LEFT(VLOOKUP(E38,[1]Material!F$5:U$90000,16,0),3)="EF-",VLOOKUP(E38,[1]Material!F$5:U$90000,16,0)="EFI"),"EFI",
    AND(ISNUMBER(VLOOKUP(E38,[1]Material!F$5:U$90000,16,0)),VLOOKUP(E38,[1]Material!F$5:U$90000,16,0)&gt;=100,VLOOKUP(E38,[1]Material!F$5:U$90000,16,0)&lt;=999,VLOOKUP(E38,[1]Material!F$5:U$90000,16,0)=INT(VLOOKUP(E38,[1]Material!F$5:U$90000,16,0))),"OEM",
    TRUE,""
  ),
  "không tìm thấy trong file Import"
)</f>
        <v/>
      </c>
      <c r="V38" s="235">
        <f>IFERROR(_xlfn.XLOOKUP(E:E,VVMV!B:B,VVMV!J:J),0)</f>
        <v>15.116015418335726</v>
      </c>
      <c r="W38" s="590">
        <f t="shared" si="0"/>
        <v>33.873290000755802</v>
      </c>
      <c r="X38" s="590"/>
    </row>
    <row r="39" spans="1:24" s="235" customFormat="1" ht="36">
      <c r="A39" s="702"/>
      <c r="B39" s="703" t="s">
        <v>2158</v>
      </c>
      <c r="C39" s="703">
        <v>734101625</v>
      </c>
      <c r="D39" s="704">
        <v>46199</v>
      </c>
      <c r="E39" s="705">
        <v>872115753797</v>
      </c>
      <c r="F39" s="704">
        <v>46165</v>
      </c>
      <c r="G39" s="706" t="s">
        <v>815</v>
      </c>
      <c r="H39" s="706" t="s">
        <v>1603</v>
      </c>
      <c r="I39" s="706" t="s">
        <v>931</v>
      </c>
      <c r="J39" s="706" t="s">
        <v>971</v>
      </c>
      <c r="K39" s="703" t="s">
        <v>1151</v>
      </c>
      <c r="L39" s="703">
        <v>5.5</v>
      </c>
      <c r="M39" s="707">
        <v>468594</v>
      </c>
      <c r="N39" s="707">
        <v>0</v>
      </c>
      <c r="O39" s="707">
        <v>228440</v>
      </c>
      <c r="P39" s="707">
        <v>36664</v>
      </c>
      <c r="Q39" s="707">
        <v>733698</v>
      </c>
      <c r="R39" s="708">
        <f>Q39/'Logistics record '!$AD$1</f>
        <v>27.726475701005214</v>
      </c>
      <c r="S39" s="265" t="s">
        <v>1155</v>
      </c>
      <c r="T39" s="232"/>
      <c r="U39" s="235" t="str" cm="1">
        <f t="array" ref="U39">IFERROR(
  _xlfn.IFS(
    VLOOKUP(E39,[1]Material!F$5:U$90000,16,0)="LUC","Lucid",
    VLOOKUP(E39,[1]Material!F$5:U$90000,16,0)="FMC","FORD",
    OR(VLOOKUP(E39,[1]Material!F$5:U$90000,16,0)="PUR",VLOOKUP(E39,[1]Material!F$5:U$90000,16,0)="HLO"),"PURE",
    VLOOKUP(E39,[1]Material!F$5:U$90000,16,0)="AIC","AIC",
    OR(VLOOKUP(E39,[1]Material!F$5:U$90000,16,0)="AGI",VLOOKUP(E39,[1]Material!F$5:U$90000,16,0)="AGIGA"),"AGIGA",
    OR(LEFT(VLOOKUP(E39,[1]Material!F$5:U$90000,16,0),3)="EF-",VLOOKUP(E39,[1]Material!F$5:U$90000,16,0)="EFI"),"EFI",
    AND(ISNUMBER(VLOOKUP(E39,[1]Material!F$5:U$90000,16,0)),VLOOKUP(E39,[1]Material!F$5:U$90000,16,0)&gt;=100,VLOOKUP(E39,[1]Material!F$5:U$90000,16,0)&lt;=999,VLOOKUP(E39,[1]Material!F$5:U$90000,16,0)=INT(VLOOKUP(E39,[1]Material!F$5:U$90000,16,0))),"OEM",
    TRUE,""
  ),
  "không tìm thấy trong file Import"
)</f>
        <v>PURE</v>
      </c>
      <c r="V39" s="235">
        <f>IFERROR(_xlfn.XLOOKUP(E:E,VVMV!B:B,VVMV!J:J),0)</f>
        <v>15.116015418335726</v>
      </c>
      <c r="W39" s="590">
        <f t="shared" si="0"/>
        <v>42.842491119340941</v>
      </c>
      <c r="X39" s="590"/>
    </row>
    <row r="40" spans="1:24" s="235" customFormat="1" ht="48">
      <c r="A40" s="702"/>
      <c r="B40" s="703" t="s">
        <v>2158</v>
      </c>
      <c r="C40" s="703">
        <v>734101625</v>
      </c>
      <c r="D40" s="704">
        <v>46199</v>
      </c>
      <c r="E40" s="705">
        <v>494686583305</v>
      </c>
      <c r="F40" s="704">
        <v>46165</v>
      </c>
      <c r="G40" s="706" t="s">
        <v>523</v>
      </c>
      <c r="H40" s="706" t="s">
        <v>1150</v>
      </c>
      <c r="I40" s="706" t="s">
        <v>931</v>
      </c>
      <c r="J40" s="706" t="s">
        <v>971</v>
      </c>
      <c r="K40" s="703" t="s">
        <v>1151</v>
      </c>
      <c r="L40" s="703">
        <v>15.6</v>
      </c>
      <c r="M40" s="707">
        <v>1055051</v>
      </c>
      <c r="N40" s="707">
        <v>0</v>
      </c>
      <c r="O40" s="707">
        <v>514337</v>
      </c>
      <c r="P40" s="707">
        <v>82550</v>
      </c>
      <c r="Q40" s="707">
        <v>1651938</v>
      </c>
      <c r="R40" s="708">
        <f>Q40/'Logistics record '!$AD$1</f>
        <v>62.426800695336709</v>
      </c>
      <c r="S40" s="265" t="s">
        <v>1155</v>
      </c>
      <c r="T40" s="232"/>
      <c r="U40" s="235" t="str" cm="1">
        <f t="array" ref="U40">IFERROR(
  _xlfn.IFS(
    VLOOKUP(E40,[1]Material!F$5:U$90000,16,0)="LUC","Lucid",
    VLOOKUP(E40,[1]Material!F$5:U$90000,16,0)="FMC","FORD",
    OR(VLOOKUP(E40,[1]Material!F$5:U$90000,16,0)="PUR",VLOOKUP(E40,[1]Material!F$5:U$90000,16,0)="HLO"),"PURE",
    VLOOKUP(E40,[1]Material!F$5:U$90000,16,0)="AIC","AIC",
    OR(VLOOKUP(E40,[1]Material!F$5:U$90000,16,0)="AGI",VLOOKUP(E40,[1]Material!F$5:U$90000,16,0)="AGIGA"),"AGIGA",
    OR(LEFT(VLOOKUP(E40,[1]Material!F$5:U$90000,16,0),3)="EF-",VLOOKUP(E40,[1]Material!F$5:U$90000,16,0)="EFI"),"EFI",
    AND(ISNUMBER(VLOOKUP(E40,[1]Material!F$5:U$90000,16,0)),VLOOKUP(E40,[1]Material!F$5:U$90000,16,0)&gt;=100,VLOOKUP(E40,[1]Material!F$5:U$90000,16,0)&lt;=999,VLOOKUP(E40,[1]Material!F$5:U$90000,16,0)=INT(VLOOKUP(E40,[1]Material!F$5:U$90000,16,0))),"OEM",
    TRUE,""
  ),
  "không tìm thấy trong file Import"
)</f>
        <v>EFI</v>
      </c>
      <c r="V40" s="235">
        <f>IFERROR(_xlfn.XLOOKUP(E:E,VVMV!B:B,VVMV!J:J),0)</f>
        <v>15.116015418335726</v>
      </c>
      <c r="W40" s="590">
        <f t="shared" si="0"/>
        <v>77.54281611367243</v>
      </c>
      <c r="X40" s="590"/>
    </row>
    <row r="41" spans="1:24" s="235" customFormat="1" ht="36">
      <c r="A41" s="702"/>
      <c r="B41" s="703" t="s">
        <v>2158</v>
      </c>
      <c r="C41" s="703">
        <v>734101625</v>
      </c>
      <c r="D41" s="704">
        <v>46199</v>
      </c>
      <c r="E41" s="705">
        <v>381526009264</v>
      </c>
      <c r="F41" s="704">
        <v>46165</v>
      </c>
      <c r="G41" s="706" t="s">
        <v>1605</v>
      </c>
      <c r="H41" s="706" t="s">
        <v>110</v>
      </c>
      <c r="I41" s="706" t="s">
        <v>954</v>
      </c>
      <c r="J41" s="706" t="s">
        <v>971</v>
      </c>
      <c r="K41" s="703" t="s">
        <v>1137</v>
      </c>
      <c r="L41" s="703">
        <v>2</v>
      </c>
      <c r="M41" s="707">
        <v>455598</v>
      </c>
      <c r="N41" s="707">
        <v>0</v>
      </c>
      <c r="O41" s="707">
        <v>222104</v>
      </c>
      <c r="P41" s="707">
        <v>35647</v>
      </c>
      <c r="Q41" s="707">
        <v>713349</v>
      </c>
      <c r="R41" s="708">
        <f>Q41/'Logistics record '!$AD$1</f>
        <v>26.957486206635931</v>
      </c>
      <c r="S41" s="265" t="s">
        <v>1155</v>
      </c>
      <c r="T41" s="232"/>
      <c r="U41" s="235" t="str" cm="1">
        <f t="array" ref="U41">IFERROR(
  _xlfn.IFS(
    VLOOKUP(E41,[1]Material!F$5:U$90000,16,0)="LUC","Lucid",
    VLOOKUP(E41,[1]Material!F$5:U$90000,16,0)="FMC","FORD",
    OR(VLOOKUP(E41,[1]Material!F$5:U$90000,16,0)="PUR",VLOOKUP(E41,[1]Material!F$5:U$90000,16,0)="HLO"),"PURE",
    VLOOKUP(E41,[1]Material!F$5:U$90000,16,0)="AIC","AIC",
    OR(VLOOKUP(E41,[1]Material!F$5:U$90000,16,0)="AGI",VLOOKUP(E41,[1]Material!F$5:U$90000,16,0)="AGIGA"),"AGIGA",
    OR(LEFT(VLOOKUP(E41,[1]Material!F$5:U$90000,16,0),3)="EF-",VLOOKUP(E41,[1]Material!F$5:U$90000,16,0)="EFI"),"EFI",
    AND(ISNUMBER(VLOOKUP(E41,[1]Material!F$5:U$90000,16,0)),VLOOKUP(E41,[1]Material!F$5:U$90000,16,0)&gt;=100,VLOOKUP(E41,[1]Material!F$5:U$90000,16,0)&lt;=999,VLOOKUP(E41,[1]Material!F$5:U$90000,16,0)=INT(VLOOKUP(E41,[1]Material!F$5:U$90000,16,0))),"OEM",
    TRUE,""
  ),
  "không tìm thấy trong file Import"
)</f>
        <v>PURE</v>
      </c>
      <c r="V41" s="235">
        <f>IFERROR(_xlfn.XLOOKUP(E:E,VVMV!B:B,VVMV!J:J),0)</f>
        <v>15.116015418335726</v>
      </c>
      <c r="W41" s="590">
        <f t="shared" si="0"/>
        <v>42.073501624971655</v>
      </c>
      <c r="X41" s="590"/>
    </row>
    <row r="42" spans="1:24" s="235" customFormat="1" ht="36">
      <c r="A42" s="702"/>
      <c r="B42" s="703" t="s">
        <v>2158</v>
      </c>
      <c r="C42" s="703">
        <v>734101625</v>
      </c>
      <c r="D42" s="704">
        <v>46199</v>
      </c>
      <c r="E42" s="705">
        <v>872180293048</v>
      </c>
      <c r="F42" s="704">
        <v>46167</v>
      </c>
      <c r="G42" s="706" t="s">
        <v>1618</v>
      </c>
      <c r="H42" s="706" t="s">
        <v>1150</v>
      </c>
      <c r="I42" s="706" t="s">
        <v>949</v>
      </c>
      <c r="J42" s="706" t="s">
        <v>971</v>
      </c>
      <c r="K42" s="703" t="s">
        <v>1137</v>
      </c>
      <c r="L42" s="703">
        <v>6</v>
      </c>
      <c r="M42" s="707">
        <v>954483</v>
      </c>
      <c r="N42" s="707">
        <v>0</v>
      </c>
      <c r="O42" s="707">
        <v>472469</v>
      </c>
      <c r="P42" s="707">
        <v>75058</v>
      </c>
      <c r="Q42" s="707">
        <v>1502010</v>
      </c>
      <c r="R42" s="708">
        <f>Q42/'Logistics record '!$AD$1</f>
        <v>56.761015796236116</v>
      </c>
      <c r="S42" s="265" t="s">
        <v>1155</v>
      </c>
      <c r="T42" s="232"/>
      <c r="U42" s="235" t="str" cm="1">
        <f t="array" ref="U42">IFERROR(
  _xlfn.IFS(
    VLOOKUP(E42,[1]Material!F$5:U$90000,16,0)="LUC","Lucid",
    VLOOKUP(E42,[1]Material!F$5:U$90000,16,0)="FMC","FORD",
    OR(VLOOKUP(E42,[1]Material!F$5:U$90000,16,0)="PUR",VLOOKUP(E42,[1]Material!F$5:U$90000,16,0)="HLO"),"PURE",
    VLOOKUP(E42,[1]Material!F$5:U$90000,16,0)="AIC","AIC",
    OR(VLOOKUP(E42,[1]Material!F$5:U$90000,16,0)="AGI",VLOOKUP(E42,[1]Material!F$5:U$90000,16,0)="AGIGA"),"AGIGA",
    OR(LEFT(VLOOKUP(E42,[1]Material!F$5:U$90000,16,0),3)="EF-",VLOOKUP(E42,[1]Material!F$5:U$90000,16,0)="EFI"),"EFI",
    AND(ISNUMBER(VLOOKUP(E42,[1]Material!F$5:U$90000,16,0)),VLOOKUP(E42,[1]Material!F$5:U$90000,16,0)&gt;=100,VLOOKUP(E42,[1]Material!F$5:U$90000,16,0)&lt;=999,VLOOKUP(E42,[1]Material!F$5:U$90000,16,0)=INT(VLOOKUP(E42,[1]Material!F$5:U$90000,16,0))),"OEM",
    TRUE,""
  ),
  "không tìm thấy trong file Import"
)</f>
        <v>EFI</v>
      </c>
      <c r="V42" s="235">
        <f>IFERROR(_xlfn.XLOOKUP(E:E,VVMV!B:B,VVMV!J:J),0)</f>
        <v>15.116015418335726</v>
      </c>
      <c r="W42" s="590">
        <f t="shared" si="0"/>
        <v>71.877031214571844</v>
      </c>
      <c r="X42" s="590"/>
    </row>
    <row r="43" spans="1:24" s="235" customFormat="1" ht="36">
      <c r="A43" s="702"/>
      <c r="B43" s="703" t="s">
        <v>2158</v>
      </c>
      <c r="C43" s="703">
        <v>734101625</v>
      </c>
      <c r="D43" s="704">
        <v>46199</v>
      </c>
      <c r="E43" s="705">
        <v>872184919606</v>
      </c>
      <c r="F43" s="704">
        <v>46167</v>
      </c>
      <c r="G43" s="706" t="s">
        <v>1481</v>
      </c>
      <c r="H43" s="706" t="s">
        <v>1596</v>
      </c>
      <c r="I43" s="706" t="s">
        <v>937</v>
      </c>
      <c r="J43" s="706" t="s">
        <v>971</v>
      </c>
      <c r="K43" s="703" t="s">
        <v>1137</v>
      </c>
      <c r="L43" s="703">
        <v>29.7</v>
      </c>
      <c r="M43" s="707">
        <v>1559945</v>
      </c>
      <c r="N43" s="707">
        <v>0</v>
      </c>
      <c r="O43" s="707">
        <v>772173</v>
      </c>
      <c r="P43" s="707">
        <v>122669</v>
      </c>
      <c r="Q43" s="707">
        <v>2454787</v>
      </c>
      <c r="R43" s="708">
        <f>Q43/'Logistics record '!$AD$1</f>
        <v>92.766495351825256</v>
      </c>
      <c r="S43" s="265" t="s">
        <v>1155</v>
      </c>
      <c r="T43" s="232"/>
      <c r="U43" s="235" t="str" cm="1">
        <f t="array" ref="U43">IFERROR(
  _xlfn.IFS(
    VLOOKUP(E43,[1]Material!F$5:U$90000,16,0)="LUC","Lucid",
    VLOOKUP(E43,[1]Material!F$5:U$90000,16,0)="FMC","FORD",
    OR(VLOOKUP(E43,[1]Material!F$5:U$90000,16,0)="PUR",VLOOKUP(E43,[1]Material!F$5:U$90000,16,0)="HLO"),"PURE",
    VLOOKUP(E43,[1]Material!F$5:U$90000,16,0)="AIC","AIC",
    OR(VLOOKUP(E43,[1]Material!F$5:U$90000,16,0)="AGI",VLOOKUP(E43,[1]Material!F$5:U$90000,16,0)="AGIGA"),"AGIGA",
    OR(LEFT(VLOOKUP(E43,[1]Material!F$5:U$90000,16,0),3)="EF-",VLOOKUP(E43,[1]Material!F$5:U$90000,16,0)="EFI"),"EFI",
    AND(ISNUMBER(VLOOKUP(E43,[1]Material!F$5:U$90000,16,0)),VLOOKUP(E43,[1]Material!F$5:U$90000,16,0)&gt;=100,VLOOKUP(E43,[1]Material!F$5:U$90000,16,0)&lt;=999,VLOOKUP(E43,[1]Material!F$5:U$90000,16,0)=INT(VLOOKUP(E43,[1]Material!F$5:U$90000,16,0))),"OEM",
    TRUE,""
  ),
  "không tìm thấy trong file Import"
)</f>
        <v>PURE</v>
      </c>
      <c r="V43" s="235">
        <f>IFERROR(_xlfn.XLOOKUP(E:E,VVMV!B:B,VVMV!J:J),0)</f>
        <v>15.116015418335726</v>
      </c>
      <c r="W43" s="590">
        <f t="shared" si="0"/>
        <v>107.88251077016098</v>
      </c>
      <c r="X43" s="590"/>
    </row>
    <row r="44" spans="1:24" s="235" customFormat="1" ht="36">
      <c r="A44" s="702"/>
      <c r="B44" s="703" t="s">
        <v>2158</v>
      </c>
      <c r="C44" s="703">
        <v>734101625</v>
      </c>
      <c r="D44" s="704">
        <v>46199</v>
      </c>
      <c r="E44" s="705">
        <v>872177506511</v>
      </c>
      <c r="F44" s="704">
        <v>46167</v>
      </c>
      <c r="G44" s="706" t="s">
        <v>648</v>
      </c>
      <c r="H44" s="706" t="s">
        <v>1602</v>
      </c>
      <c r="I44" s="706" t="s">
        <v>937</v>
      </c>
      <c r="J44" s="706" t="s">
        <v>971</v>
      </c>
      <c r="K44" s="703" t="s">
        <v>1137</v>
      </c>
      <c r="L44" s="703">
        <v>3.3</v>
      </c>
      <c r="M44" s="707">
        <v>442605</v>
      </c>
      <c r="N44" s="707">
        <v>0</v>
      </c>
      <c r="O44" s="707">
        <v>219089</v>
      </c>
      <c r="P44" s="707">
        <v>34805</v>
      </c>
      <c r="Q44" s="707">
        <v>696499</v>
      </c>
      <c r="R44" s="708">
        <f>Q44/'Logistics record '!$AD$1</f>
        <v>26.320724057138538</v>
      </c>
      <c r="S44" s="265" t="s">
        <v>1155</v>
      </c>
      <c r="T44" s="232"/>
      <c r="U44" s="235" t="str" cm="1">
        <f t="array" ref="U44">IFERROR(
  _xlfn.IFS(
    VLOOKUP(E44,[1]Material!F$5:U$90000,16,0)="LUC","Lucid",
    VLOOKUP(E44,[1]Material!F$5:U$90000,16,0)="FMC","FORD",
    OR(VLOOKUP(E44,[1]Material!F$5:U$90000,16,0)="PUR",VLOOKUP(E44,[1]Material!F$5:U$90000,16,0)="HLO"),"PURE",
    VLOOKUP(E44,[1]Material!F$5:U$90000,16,0)="AIC","AIC",
    OR(VLOOKUP(E44,[1]Material!F$5:U$90000,16,0)="AGI",VLOOKUP(E44,[1]Material!F$5:U$90000,16,0)="AGIGA"),"AGIGA",
    OR(LEFT(VLOOKUP(E44,[1]Material!F$5:U$90000,16,0),3)="EF-",VLOOKUP(E44,[1]Material!F$5:U$90000,16,0)="EFI"),"EFI",
    AND(ISNUMBER(VLOOKUP(E44,[1]Material!F$5:U$90000,16,0)),VLOOKUP(E44,[1]Material!F$5:U$90000,16,0)&gt;=100,VLOOKUP(E44,[1]Material!F$5:U$90000,16,0)&lt;=999,VLOOKUP(E44,[1]Material!F$5:U$90000,16,0)=INT(VLOOKUP(E44,[1]Material!F$5:U$90000,16,0))),"OEM",
    TRUE,""
  ),
  "không tìm thấy trong file Import"
)</f>
        <v>PURE</v>
      </c>
      <c r="V44" s="235">
        <f>IFERROR(_xlfn.XLOOKUP(E:E,VVMV!B:B,VVMV!J:J),0)</f>
        <v>15.116015418335726</v>
      </c>
      <c r="W44" s="590">
        <f t="shared" si="0"/>
        <v>41.436739475474262</v>
      </c>
      <c r="X44" s="590"/>
    </row>
    <row r="45" spans="1:24" s="235" customFormat="1" ht="36">
      <c r="A45" s="702"/>
      <c r="B45" s="703" t="s">
        <v>2158</v>
      </c>
      <c r="C45" s="703">
        <v>734101625</v>
      </c>
      <c r="D45" s="704">
        <v>46199</v>
      </c>
      <c r="E45" s="705">
        <v>409298923568</v>
      </c>
      <c r="F45" s="704">
        <v>46167</v>
      </c>
      <c r="G45" s="706" t="s">
        <v>378</v>
      </c>
      <c r="H45" s="706" t="s">
        <v>1600</v>
      </c>
      <c r="I45" s="706" t="s">
        <v>937</v>
      </c>
      <c r="J45" s="706" t="s">
        <v>971</v>
      </c>
      <c r="K45" s="703" t="s">
        <v>1137</v>
      </c>
      <c r="L45" s="703">
        <v>19.3</v>
      </c>
      <c r="M45" s="707">
        <v>916147</v>
      </c>
      <c r="N45" s="707">
        <v>0</v>
      </c>
      <c r="O45" s="707">
        <v>453493</v>
      </c>
      <c r="P45" s="707">
        <v>72043</v>
      </c>
      <c r="Q45" s="707">
        <v>1441683</v>
      </c>
      <c r="R45" s="708">
        <f>Q45/'Logistics record '!$AD$1</f>
        <v>54.481256140881264</v>
      </c>
      <c r="S45" s="265" t="s">
        <v>1155</v>
      </c>
      <c r="T45" s="232"/>
      <c r="U45" s="235" t="str" cm="1">
        <f t="array" ref="U45">IFERROR(
  _xlfn.IFS(
    VLOOKUP(E45,[1]Material!F$5:U$90000,16,0)="LUC","Lucid",
    VLOOKUP(E45,[1]Material!F$5:U$90000,16,0)="FMC","FORD",
    OR(VLOOKUP(E45,[1]Material!F$5:U$90000,16,0)="PUR",VLOOKUP(E45,[1]Material!F$5:U$90000,16,0)="HLO"),"PURE",
    VLOOKUP(E45,[1]Material!F$5:U$90000,16,0)="AIC","AIC",
    OR(VLOOKUP(E45,[1]Material!F$5:U$90000,16,0)="AGI",VLOOKUP(E45,[1]Material!F$5:U$90000,16,0)="AGIGA"),"AGIGA",
    OR(LEFT(VLOOKUP(E45,[1]Material!F$5:U$90000,16,0),3)="EF-",VLOOKUP(E45,[1]Material!F$5:U$90000,16,0)="EFI"),"EFI",
    AND(ISNUMBER(VLOOKUP(E45,[1]Material!F$5:U$90000,16,0)),VLOOKUP(E45,[1]Material!F$5:U$90000,16,0)&gt;=100,VLOOKUP(E45,[1]Material!F$5:U$90000,16,0)&lt;=999,VLOOKUP(E45,[1]Material!F$5:U$90000,16,0)=INT(VLOOKUP(E45,[1]Material!F$5:U$90000,16,0))),"OEM",
    TRUE,""
  ),
  "không tìm thấy trong file Import"
)</f>
        <v>Lucid</v>
      </c>
      <c r="V45" s="235">
        <f>IFERROR(_xlfn.XLOOKUP(E:E,VVMV!B:B,VVMV!J:J),0)</f>
        <v>15.116015418335726</v>
      </c>
      <c r="W45" s="590">
        <f t="shared" si="0"/>
        <v>69.597271559216992</v>
      </c>
      <c r="X45" s="590"/>
    </row>
    <row r="46" spans="1:24" s="235" customFormat="1" ht="36">
      <c r="A46" s="702"/>
      <c r="B46" s="703" t="s">
        <v>2158</v>
      </c>
      <c r="C46" s="703">
        <v>734101625</v>
      </c>
      <c r="D46" s="704">
        <v>46199</v>
      </c>
      <c r="E46" s="705">
        <v>872210066814</v>
      </c>
      <c r="F46" s="704">
        <v>46168</v>
      </c>
      <c r="G46" s="706" t="s">
        <v>2161</v>
      </c>
      <c r="H46" s="706" t="s">
        <v>1595</v>
      </c>
      <c r="I46" s="706" t="s">
        <v>932</v>
      </c>
      <c r="J46" s="706" t="s">
        <v>971</v>
      </c>
      <c r="K46" s="703" t="s">
        <v>1137</v>
      </c>
      <c r="L46" s="703">
        <v>5.9</v>
      </c>
      <c r="M46" s="707">
        <v>622795</v>
      </c>
      <c r="N46" s="707">
        <v>0</v>
      </c>
      <c r="O46" s="707">
        <v>308284</v>
      </c>
      <c r="P46" s="707">
        <v>48975</v>
      </c>
      <c r="Q46" s="707">
        <v>980054</v>
      </c>
      <c r="R46" s="708">
        <f>Q46/'Logistics record '!$AD$1</f>
        <v>37.036278437004007</v>
      </c>
      <c r="S46" s="265" t="s">
        <v>1155</v>
      </c>
      <c r="T46" s="232"/>
      <c r="U46" s="235" t="str" cm="1">
        <f t="array" ref="U46">IFERROR(
  _xlfn.IFS(
    VLOOKUP(E46,[1]Material!F$5:U$90000,16,0)="LUC","Lucid",
    VLOOKUP(E46,[1]Material!F$5:U$90000,16,0)="FMC","FORD",
    OR(VLOOKUP(E46,[1]Material!F$5:U$90000,16,0)="PUR",VLOOKUP(E46,[1]Material!F$5:U$90000,16,0)="HLO"),"PURE",
    VLOOKUP(E46,[1]Material!F$5:U$90000,16,0)="AIC","AIC",
    OR(VLOOKUP(E46,[1]Material!F$5:U$90000,16,0)="AGI",VLOOKUP(E46,[1]Material!F$5:U$90000,16,0)="AGIGA"),"AGIGA",
    OR(LEFT(VLOOKUP(E46,[1]Material!F$5:U$90000,16,0),3)="EF-",VLOOKUP(E46,[1]Material!F$5:U$90000,16,0)="EFI"),"EFI",
    AND(ISNUMBER(VLOOKUP(E46,[1]Material!F$5:U$90000,16,0)),VLOOKUP(E46,[1]Material!F$5:U$90000,16,0)&gt;=100,VLOOKUP(E46,[1]Material!F$5:U$90000,16,0)&lt;=999,VLOOKUP(E46,[1]Material!F$5:U$90000,16,0)=INT(VLOOKUP(E46,[1]Material!F$5:U$90000,16,0))),"OEM",
    TRUE,""
  ),
  "không tìm thấy trong file Import"
)</f>
        <v>AIC</v>
      </c>
      <c r="V46" s="235">
        <f>IFERROR(_xlfn.XLOOKUP(E:E,VVMV!B:B,VVMV!J:J),0)</f>
        <v>15.116015418335726</v>
      </c>
      <c r="W46" s="590">
        <f t="shared" si="0"/>
        <v>52.152293855339735</v>
      </c>
      <c r="X46" s="590"/>
    </row>
    <row r="47" spans="1:24" s="235" customFormat="1" ht="36">
      <c r="A47" s="702"/>
      <c r="B47" s="703" t="s">
        <v>2158</v>
      </c>
      <c r="C47" s="703">
        <v>734101625</v>
      </c>
      <c r="D47" s="704">
        <v>46199</v>
      </c>
      <c r="E47" s="705">
        <v>872208878165</v>
      </c>
      <c r="F47" s="704">
        <v>46168</v>
      </c>
      <c r="G47" s="706" t="s">
        <v>650</v>
      </c>
      <c r="H47" s="706" t="s">
        <v>1595</v>
      </c>
      <c r="I47" s="706" t="s">
        <v>927</v>
      </c>
      <c r="J47" s="706" t="s">
        <v>971</v>
      </c>
      <c r="K47" s="703" t="s">
        <v>1137</v>
      </c>
      <c r="L47" s="703">
        <v>6.2</v>
      </c>
      <c r="M47" s="707">
        <v>590565</v>
      </c>
      <c r="N47" s="707">
        <v>0</v>
      </c>
      <c r="O47" s="707">
        <v>292330</v>
      </c>
      <c r="P47" s="707">
        <v>46440</v>
      </c>
      <c r="Q47" s="707">
        <v>929335</v>
      </c>
      <c r="R47" s="708">
        <f>Q47/'Logistics record '!$AD$1</f>
        <v>35.119605471997581</v>
      </c>
      <c r="S47" s="265" t="s">
        <v>1155</v>
      </c>
      <c r="T47" s="232"/>
      <c r="U47" s="235" t="str" cm="1">
        <f t="array" ref="U47">IFERROR(
  _xlfn.IFS(
    VLOOKUP(E47,[1]Material!F$5:U$90000,16,0)="LUC","Lucid",
    VLOOKUP(E47,[1]Material!F$5:U$90000,16,0)="FMC","FORD",
    OR(VLOOKUP(E47,[1]Material!F$5:U$90000,16,0)="PUR",VLOOKUP(E47,[1]Material!F$5:U$90000,16,0)="HLO"),"PURE",
    VLOOKUP(E47,[1]Material!F$5:U$90000,16,0)="AIC","AIC",
    OR(VLOOKUP(E47,[1]Material!F$5:U$90000,16,0)="AGI",VLOOKUP(E47,[1]Material!F$5:U$90000,16,0)="AGIGA"),"AGIGA",
    OR(LEFT(VLOOKUP(E47,[1]Material!F$5:U$90000,16,0),3)="EF-",VLOOKUP(E47,[1]Material!F$5:U$90000,16,0)="EFI"),"EFI",
    AND(ISNUMBER(VLOOKUP(E47,[1]Material!F$5:U$90000,16,0)),VLOOKUP(E47,[1]Material!F$5:U$90000,16,0)&gt;=100,VLOOKUP(E47,[1]Material!F$5:U$90000,16,0)&lt;=999,VLOOKUP(E47,[1]Material!F$5:U$90000,16,0)=INT(VLOOKUP(E47,[1]Material!F$5:U$90000,16,0))),"OEM",
    TRUE,""
  ),
  "không tìm thấy trong file Import"
)</f>
        <v>OEM</v>
      </c>
      <c r="V47" s="235">
        <f>IFERROR(_xlfn.XLOOKUP(E:E,VVMV!B:B,VVMV!J:J),0)</f>
        <v>15.116015418335726</v>
      </c>
      <c r="W47" s="590">
        <f t="shared" si="0"/>
        <v>50.235620890333308</v>
      </c>
      <c r="X47" s="590"/>
    </row>
    <row r="48" spans="1:24" s="235" customFormat="1" ht="36">
      <c r="A48" s="702"/>
      <c r="B48" s="703" t="s">
        <v>2158</v>
      </c>
      <c r="C48" s="703">
        <v>734101625</v>
      </c>
      <c r="D48" s="704">
        <v>46199</v>
      </c>
      <c r="E48" s="705">
        <v>527390492292</v>
      </c>
      <c r="F48" s="704">
        <v>46168</v>
      </c>
      <c r="G48" s="706" t="s">
        <v>380</v>
      </c>
      <c r="H48" s="706" t="s">
        <v>1604</v>
      </c>
      <c r="I48" s="706" t="s">
        <v>931</v>
      </c>
      <c r="J48" s="706" t="s">
        <v>971</v>
      </c>
      <c r="K48" s="703" t="s">
        <v>1137</v>
      </c>
      <c r="L48" s="703">
        <v>2.2000000000000002</v>
      </c>
      <c r="M48" s="707">
        <v>452060</v>
      </c>
      <c r="N48" s="707">
        <v>0</v>
      </c>
      <c r="O48" s="707">
        <v>223770</v>
      </c>
      <c r="P48" s="707">
        <v>35549</v>
      </c>
      <c r="Q48" s="707">
        <v>711379</v>
      </c>
      <c r="R48" s="708">
        <f>Q48/'Logistics record '!$AD$1</f>
        <v>26.883039830700628</v>
      </c>
      <c r="S48" s="265" t="s">
        <v>1155</v>
      </c>
      <c r="T48" s="232"/>
      <c r="U48" s="235" t="str" cm="1">
        <f t="array" ref="U48">IFERROR(
  _xlfn.IFS(
    VLOOKUP(E48,[1]Material!F$5:U$90000,16,0)="LUC","Lucid",
    VLOOKUP(E48,[1]Material!F$5:U$90000,16,0)="FMC","FORD",
    OR(VLOOKUP(E48,[1]Material!F$5:U$90000,16,0)="PUR",VLOOKUP(E48,[1]Material!F$5:U$90000,16,0)="HLO"),"PURE",
    VLOOKUP(E48,[1]Material!F$5:U$90000,16,0)="AIC","AIC",
    OR(VLOOKUP(E48,[1]Material!F$5:U$90000,16,0)="AGI",VLOOKUP(E48,[1]Material!F$5:U$90000,16,0)="AGIGA"),"AGIGA",
    OR(LEFT(VLOOKUP(E48,[1]Material!F$5:U$90000,16,0),3)="EF-",VLOOKUP(E48,[1]Material!F$5:U$90000,16,0)="EFI"),"EFI",
    AND(ISNUMBER(VLOOKUP(E48,[1]Material!F$5:U$90000,16,0)),VLOOKUP(E48,[1]Material!F$5:U$90000,16,0)&gt;=100,VLOOKUP(E48,[1]Material!F$5:U$90000,16,0)&lt;=999,VLOOKUP(E48,[1]Material!F$5:U$90000,16,0)=INT(VLOOKUP(E48,[1]Material!F$5:U$90000,16,0))),"OEM",
    TRUE,""
  ),
  "không tìm thấy trong file Import"
)</f>
        <v>PURE</v>
      </c>
      <c r="V48" s="235">
        <f>IFERROR(_xlfn.XLOOKUP(E:E,VVMV!B:B,VVMV!J:J),0)</f>
        <v>15.116015418335726</v>
      </c>
      <c r="W48" s="590">
        <f t="shared" si="0"/>
        <v>41.999055249036353</v>
      </c>
      <c r="X48" s="590"/>
    </row>
    <row r="49" spans="1:25" s="235" customFormat="1" ht="36">
      <c r="A49" s="702"/>
      <c r="B49" s="703" t="s">
        <v>2158</v>
      </c>
      <c r="C49" s="703">
        <v>734101625</v>
      </c>
      <c r="D49" s="704">
        <v>46199</v>
      </c>
      <c r="E49" s="705">
        <v>872210635650</v>
      </c>
      <c r="F49" s="704">
        <v>46168</v>
      </c>
      <c r="G49" s="706" t="s">
        <v>807</v>
      </c>
      <c r="H49" s="706" t="s">
        <v>1595</v>
      </c>
      <c r="I49" s="706" t="s">
        <v>937</v>
      </c>
      <c r="J49" s="706" t="s">
        <v>971</v>
      </c>
      <c r="K49" s="703" t="s">
        <v>1137</v>
      </c>
      <c r="L49" s="703">
        <v>7.2</v>
      </c>
      <c r="M49" s="707">
        <v>666349</v>
      </c>
      <c r="N49" s="707">
        <v>0</v>
      </c>
      <c r="O49" s="707">
        <v>329843</v>
      </c>
      <c r="P49" s="707">
        <v>52400</v>
      </c>
      <c r="Q49" s="707">
        <v>1048592</v>
      </c>
      <c r="R49" s="708">
        <f>Q49/'Logistics record '!$AD$1</f>
        <v>39.62633209885874</v>
      </c>
      <c r="S49" s="265" t="s">
        <v>1155</v>
      </c>
      <c r="T49" s="232"/>
      <c r="U49" s="235" t="str" cm="1">
        <f t="array" ref="U49">IFERROR(
  _xlfn.IFS(
    VLOOKUP(E49,[1]Material!F$5:U$90000,16,0)="LUC","Lucid",
    VLOOKUP(E49,[1]Material!F$5:U$90000,16,0)="FMC","FORD",
    OR(VLOOKUP(E49,[1]Material!F$5:U$90000,16,0)="PUR",VLOOKUP(E49,[1]Material!F$5:U$90000,16,0)="HLO"),"PURE",
    VLOOKUP(E49,[1]Material!F$5:U$90000,16,0)="AIC","AIC",
    OR(VLOOKUP(E49,[1]Material!F$5:U$90000,16,0)="AGI",VLOOKUP(E49,[1]Material!F$5:U$90000,16,0)="AGIGA"),"AGIGA",
    OR(LEFT(VLOOKUP(E49,[1]Material!F$5:U$90000,16,0),3)="EF-",VLOOKUP(E49,[1]Material!F$5:U$90000,16,0)="EFI"),"EFI",
    AND(ISNUMBER(VLOOKUP(E49,[1]Material!F$5:U$90000,16,0)),VLOOKUP(E49,[1]Material!F$5:U$90000,16,0)&gt;=100,VLOOKUP(E49,[1]Material!F$5:U$90000,16,0)&lt;=999,VLOOKUP(E49,[1]Material!F$5:U$90000,16,0)=INT(VLOOKUP(E49,[1]Material!F$5:U$90000,16,0))),"OEM",
    TRUE,""
  ),
  "không tìm thấy trong file Import"
)</f>
        <v>PURE</v>
      </c>
      <c r="V49" s="235">
        <f>IFERROR(_xlfn.XLOOKUP(E:E,VVMV!B:B,VVMV!J:J),0)</f>
        <v>15.116015418335726</v>
      </c>
      <c r="W49" s="590">
        <f t="shared" si="0"/>
        <v>54.742347517194467</v>
      </c>
      <c r="X49" s="590"/>
    </row>
    <row r="50" spans="1:25" s="235" customFormat="1" ht="36">
      <c r="A50" s="702"/>
      <c r="B50" s="703" t="s">
        <v>2158</v>
      </c>
      <c r="C50" s="703">
        <v>734101625</v>
      </c>
      <c r="D50" s="704">
        <v>46199</v>
      </c>
      <c r="E50" s="705">
        <v>872212668459</v>
      </c>
      <c r="F50" s="704">
        <v>46169</v>
      </c>
      <c r="G50" s="706" t="s">
        <v>811</v>
      </c>
      <c r="H50" s="706" t="s">
        <v>1593</v>
      </c>
      <c r="I50" s="706" t="s">
        <v>927</v>
      </c>
      <c r="J50" s="706" t="s">
        <v>971</v>
      </c>
      <c r="K50" s="703" t="s">
        <v>1137</v>
      </c>
      <c r="L50" s="703">
        <v>27.7</v>
      </c>
      <c r="M50" s="707">
        <v>1494007</v>
      </c>
      <c r="N50" s="707">
        <v>0</v>
      </c>
      <c r="O50" s="707">
        <v>739533</v>
      </c>
      <c r="P50" s="707">
        <v>117484</v>
      </c>
      <c r="Q50" s="707">
        <v>2351024</v>
      </c>
      <c r="R50" s="708">
        <f>Q50/'Logistics record '!$AD$1</f>
        <v>88.845287582193336</v>
      </c>
      <c r="S50" s="265" t="s">
        <v>1155</v>
      </c>
      <c r="T50" s="232"/>
      <c r="U50" s="235" t="str" cm="1">
        <f t="array" ref="U50">IFERROR(
  _xlfn.IFS(
    VLOOKUP(E50,[1]Material!F$5:U$90000,16,0)="LUC","Lucid",
    VLOOKUP(E50,[1]Material!F$5:U$90000,16,0)="FMC","FORD",
    OR(VLOOKUP(E50,[1]Material!F$5:U$90000,16,0)="PUR",VLOOKUP(E50,[1]Material!F$5:U$90000,16,0)="HLO"),"PURE",
    VLOOKUP(E50,[1]Material!F$5:U$90000,16,0)="AIC","AIC",
    OR(VLOOKUP(E50,[1]Material!F$5:U$90000,16,0)="AGI",VLOOKUP(E50,[1]Material!F$5:U$90000,16,0)="AGIGA"),"AGIGA",
    OR(LEFT(VLOOKUP(E50,[1]Material!F$5:U$90000,16,0),3)="EF-",VLOOKUP(E50,[1]Material!F$5:U$90000,16,0)="EFI"),"EFI",
    AND(ISNUMBER(VLOOKUP(E50,[1]Material!F$5:U$90000,16,0)),VLOOKUP(E50,[1]Material!F$5:U$90000,16,0)&gt;=100,VLOOKUP(E50,[1]Material!F$5:U$90000,16,0)&lt;=999,VLOOKUP(E50,[1]Material!F$5:U$90000,16,0)=INT(VLOOKUP(E50,[1]Material!F$5:U$90000,16,0))),"OEM",
    TRUE,""
  ),
  "không tìm thấy trong file Import"
)</f>
        <v>PURE</v>
      </c>
      <c r="V50" s="235">
        <f>IFERROR(_xlfn.XLOOKUP(E:E,VVMV!B:B,VVMV!J:J),0)</f>
        <v>15.116015418335726</v>
      </c>
      <c r="W50" s="590">
        <f t="shared" si="0"/>
        <v>103.96130300052906</v>
      </c>
      <c r="X50" s="590"/>
    </row>
    <row r="51" spans="1:25" s="235" customFormat="1" ht="36">
      <c r="A51" s="702"/>
      <c r="B51" s="703" t="s">
        <v>2158</v>
      </c>
      <c r="C51" s="703">
        <v>734101625</v>
      </c>
      <c r="D51" s="704">
        <v>46199</v>
      </c>
      <c r="E51" s="705">
        <v>872204578996</v>
      </c>
      <c r="F51" s="704">
        <v>46170</v>
      </c>
      <c r="G51" s="706" t="s">
        <v>379</v>
      </c>
      <c r="H51" s="706" t="s">
        <v>1597</v>
      </c>
      <c r="I51" s="706" t="s">
        <v>939</v>
      </c>
      <c r="J51" s="706" t="s">
        <v>971</v>
      </c>
      <c r="K51" s="703" t="s">
        <v>1137</v>
      </c>
      <c r="L51" s="703">
        <v>21.2</v>
      </c>
      <c r="M51" s="707">
        <v>1220945</v>
      </c>
      <c r="N51" s="707">
        <v>0</v>
      </c>
      <c r="O51" s="707">
        <v>604368</v>
      </c>
      <c r="P51" s="707">
        <v>96011</v>
      </c>
      <c r="Q51" s="707">
        <v>1921324</v>
      </c>
      <c r="R51" s="708">
        <f>Q51/'Logistics record '!$AD$1</f>
        <v>72.606908019046173</v>
      </c>
      <c r="S51" s="265" t="s">
        <v>1155</v>
      </c>
      <c r="T51" s="232"/>
      <c r="U51" s="235" t="str" cm="1">
        <f t="array" ref="U51">IFERROR(
  _xlfn.IFS(
    VLOOKUP(E51,[1]Material!F$5:U$90000,16,0)="LUC","Lucid",
    VLOOKUP(E51,[1]Material!F$5:U$90000,16,0)="FMC","FORD",
    OR(VLOOKUP(E51,[1]Material!F$5:U$90000,16,0)="PUR",VLOOKUP(E51,[1]Material!F$5:U$90000,16,0)="HLO"),"PURE",
    VLOOKUP(E51,[1]Material!F$5:U$90000,16,0)="AIC","AIC",
    OR(VLOOKUP(E51,[1]Material!F$5:U$90000,16,0)="AGI",VLOOKUP(E51,[1]Material!F$5:U$90000,16,0)="AGIGA"),"AGIGA",
    OR(LEFT(VLOOKUP(E51,[1]Material!F$5:U$90000,16,0),3)="EF-",VLOOKUP(E51,[1]Material!F$5:U$90000,16,0)="EFI"),"EFI",
    AND(ISNUMBER(VLOOKUP(E51,[1]Material!F$5:U$90000,16,0)),VLOOKUP(E51,[1]Material!F$5:U$90000,16,0)&gt;=100,VLOOKUP(E51,[1]Material!F$5:U$90000,16,0)&lt;=999,VLOOKUP(E51,[1]Material!F$5:U$90000,16,0)=INT(VLOOKUP(E51,[1]Material!F$5:U$90000,16,0))),"OEM",
    TRUE,""
  ),
  "không tìm thấy trong file Import"
)</f>
        <v>Lucid</v>
      </c>
      <c r="V51" s="235">
        <f>IFERROR(_xlfn.XLOOKUP(E:E,VVMV!B:B,VVMV!J:J),0)</f>
        <v>15.116015418335726</v>
      </c>
      <c r="W51" s="590">
        <f t="shared" si="0"/>
        <v>87.722923437381894</v>
      </c>
      <c r="X51" s="590"/>
    </row>
    <row r="52" spans="1:25" s="235" customFormat="1" ht="36">
      <c r="A52" s="702"/>
      <c r="B52" s="703" t="s">
        <v>2158</v>
      </c>
      <c r="C52" s="703">
        <v>734101625</v>
      </c>
      <c r="D52" s="704">
        <v>46199</v>
      </c>
      <c r="E52" s="705">
        <v>484361668338</v>
      </c>
      <c r="F52" s="704">
        <v>46171</v>
      </c>
      <c r="G52" s="706" t="s">
        <v>376</v>
      </c>
      <c r="H52" s="706" t="s">
        <v>1150</v>
      </c>
      <c r="I52" s="706" t="s">
        <v>937</v>
      </c>
      <c r="J52" s="706" t="s">
        <v>971</v>
      </c>
      <c r="K52" s="703" t="s">
        <v>1137</v>
      </c>
      <c r="L52" s="703">
        <v>15.8</v>
      </c>
      <c r="M52" s="707">
        <v>859054</v>
      </c>
      <c r="N52" s="707">
        <v>0</v>
      </c>
      <c r="O52" s="707">
        <v>425232</v>
      </c>
      <c r="P52" s="707">
        <v>67553</v>
      </c>
      <c r="Q52" s="707">
        <v>1351839</v>
      </c>
      <c r="R52" s="708">
        <f>Q52/'Logistics record '!$AD$1</f>
        <v>51.086047917768873</v>
      </c>
      <c r="S52" s="265" t="s">
        <v>1155</v>
      </c>
      <c r="T52" s="232"/>
      <c r="U52" s="235" t="str" cm="1">
        <f t="array" ref="U52">IFERROR(
  _xlfn.IFS(
    VLOOKUP(E52,[1]Material!F$5:U$90000,16,0)="LUC","Lucid",
    VLOOKUP(E52,[1]Material!F$5:U$90000,16,0)="FMC","FORD",
    OR(VLOOKUP(E52,[1]Material!F$5:U$90000,16,0)="PUR",VLOOKUP(E52,[1]Material!F$5:U$90000,16,0)="HLO"),"PURE",
    VLOOKUP(E52,[1]Material!F$5:U$90000,16,0)="AIC","AIC",
    OR(VLOOKUP(E52,[1]Material!F$5:U$90000,16,0)="AGI",VLOOKUP(E52,[1]Material!F$5:U$90000,16,0)="AGIGA"),"AGIGA",
    OR(LEFT(VLOOKUP(E52,[1]Material!F$5:U$90000,16,0),3)="EF-",VLOOKUP(E52,[1]Material!F$5:U$90000,16,0)="EFI"),"EFI",
    AND(ISNUMBER(VLOOKUP(E52,[1]Material!F$5:U$90000,16,0)),VLOOKUP(E52,[1]Material!F$5:U$90000,16,0)&gt;=100,VLOOKUP(E52,[1]Material!F$5:U$90000,16,0)&lt;=999,VLOOKUP(E52,[1]Material!F$5:U$90000,16,0)=INT(VLOOKUP(E52,[1]Material!F$5:U$90000,16,0))),"OEM",
    TRUE,""
  ),
  "không tìm thấy trong file Import"
)</f>
        <v>Lucid</v>
      </c>
      <c r="V52" s="235">
        <f>IFERROR(_xlfn.XLOOKUP(E:E,VVMV!B:B,VVMV!J:J),0)</f>
        <v>15.116015418335726</v>
      </c>
      <c r="W52" s="590">
        <f t="shared" si="0"/>
        <v>66.202063336104601</v>
      </c>
      <c r="X52" s="590"/>
    </row>
    <row r="53" spans="1:25" s="235" customFormat="1" ht="36">
      <c r="A53" s="702"/>
      <c r="B53" s="703" t="s">
        <v>2158</v>
      </c>
      <c r="C53" s="703">
        <v>734101625</v>
      </c>
      <c r="D53" s="704">
        <v>46199</v>
      </c>
      <c r="E53" s="705">
        <v>527529836679</v>
      </c>
      <c r="F53" s="704">
        <v>46171</v>
      </c>
      <c r="G53" s="706" t="s">
        <v>809</v>
      </c>
      <c r="H53" s="706" t="s">
        <v>1150</v>
      </c>
      <c r="I53" s="706" t="s">
        <v>954</v>
      </c>
      <c r="J53" s="706" t="s">
        <v>971</v>
      </c>
      <c r="K53" s="703" t="s">
        <v>1137</v>
      </c>
      <c r="L53" s="703">
        <v>0.5</v>
      </c>
      <c r="M53" s="707">
        <v>354584</v>
      </c>
      <c r="N53" s="707">
        <v>0</v>
      </c>
      <c r="O53" s="707">
        <v>175519</v>
      </c>
      <c r="P53" s="707">
        <v>27883</v>
      </c>
      <c r="Q53" s="707">
        <v>557986</v>
      </c>
      <c r="R53" s="708">
        <f>Q53/'Logistics record '!$AD$1</f>
        <v>21.086312448038697</v>
      </c>
      <c r="S53" s="265" t="s">
        <v>1155</v>
      </c>
      <c r="T53" s="232"/>
      <c r="U53" s="235" t="str" cm="1">
        <f t="array" ref="U53">IFERROR(
  _xlfn.IFS(
    VLOOKUP(E53,[1]Material!F$5:U$90000,16,0)="LUC","Lucid",
    VLOOKUP(E53,[1]Material!F$5:U$90000,16,0)="FMC","FORD",
    OR(VLOOKUP(E53,[1]Material!F$5:U$90000,16,0)="PUR",VLOOKUP(E53,[1]Material!F$5:U$90000,16,0)="HLO"),"PURE",
    VLOOKUP(E53,[1]Material!F$5:U$90000,16,0)="AIC","AIC",
    OR(VLOOKUP(E53,[1]Material!F$5:U$90000,16,0)="AGI",VLOOKUP(E53,[1]Material!F$5:U$90000,16,0)="AGIGA"),"AGIGA",
    OR(LEFT(VLOOKUP(E53,[1]Material!F$5:U$90000,16,0),3)="EF-",VLOOKUP(E53,[1]Material!F$5:U$90000,16,0)="EFI"),"EFI",
    AND(ISNUMBER(VLOOKUP(E53,[1]Material!F$5:U$90000,16,0)),VLOOKUP(E53,[1]Material!F$5:U$90000,16,0)&gt;=100,VLOOKUP(E53,[1]Material!F$5:U$90000,16,0)&lt;=999,VLOOKUP(E53,[1]Material!F$5:U$90000,16,0)=INT(VLOOKUP(E53,[1]Material!F$5:U$90000,16,0))),"OEM",
    TRUE,""
  ),
  "không tìm thấy trong file Import"
)</f>
        <v>Lucid</v>
      </c>
      <c r="V53" s="235">
        <f>IFERROR(_xlfn.XLOOKUP(E:E,VVMV!B:B,VVMV!J:J),0)</f>
        <v>15.116015418335726</v>
      </c>
      <c r="W53" s="590">
        <f t="shared" si="0"/>
        <v>36.202327866374425</v>
      </c>
      <c r="X53" s="590"/>
    </row>
    <row r="54" spans="1:25" s="235" customFormat="1" ht="36">
      <c r="A54" s="702"/>
      <c r="B54" s="703" t="s">
        <v>2158</v>
      </c>
      <c r="C54" s="703">
        <v>734101625</v>
      </c>
      <c r="D54" s="704">
        <v>46199</v>
      </c>
      <c r="E54" s="705">
        <v>527529836290</v>
      </c>
      <c r="F54" s="704">
        <v>46171</v>
      </c>
      <c r="G54" s="706" t="s">
        <v>809</v>
      </c>
      <c r="H54" s="706" t="s">
        <v>1595</v>
      </c>
      <c r="I54" s="706" t="s">
        <v>954</v>
      </c>
      <c r="J54" s="706" t="s">
        <v>971</v>
      </c>
      <c r="K54" s="703" t="s">
        <v>1137</v>
      </c>
      <c r="L54" s="703">
        <v>25.7</v>
      </c>
      <c r="M54" s="707">
        <v>1714378</v>
      </c>
      <c r="N54" s="707">
        <v>0</v>
      </c>
      <c r="O54" s="707">
        <v>848617</v>
      </c>
      <c r="P54" s="707">
        <v>134814</v>
      </c>
      <c r="Q54" s="707">
        <v>2697809</v>
      </c>
      <c r="R54" s="708">
        <f>Q54/'Logistics record '!$AD$1</f>
        <v>101.95030609931221</v>
      </c>
      <c r="S54" s="265" t="s">
        <v>1155</v>
      </c>
      <c r="T54" s="232"/>
      <c r="U54" s="235" t="str" cm="1">
        <f t="array" ref="U54">IFERROR(
  _xlfn.IFS(
    VLOOKUP(E54,[1]Material!F$5:U$90000,16,0)="LUC","Lucid",
    VLOOKUP(E54,[1]Material!F$5:U$90000,16,0)="FMC","FORD",
    OR(VLOOKUP(E54,[1]Material!F$5:U$90000,16,0)="PUR",VLOOKUP(E54,[1]Material!F$5:U$90000,16,0)="HLO"),"PURE",
    VLOOKUP(E54,[1]Material!F$5:U$90000,16,0)="AIC","AIC",
    OR(VLOOKUP(E54,[1]Material!F$5:U$90000,16,0)="AGI",VLOOKUP(E54,[1]Material!F$5:U$90000,16,0)="AGIGA"),"AGIGA",
    OR(LEFT(VLOOKUP(E54,[1]Material!F$5:U$90000,16,0),3)="EF-",VLOOKUP(E54,[1]Material!F$5:U$90000,16,0)="EFI"),"EFI",
    AND(ISNUMBER(VLOOKUP(E54,[1]Material!F$5:U$90000,16,0)),VLOOKUP(E54,[1]Material!F$5:U$90000,16,0)&gt;=100,VLOOKUP(E54,[1]Material!F$5:U$90000,16,0)&lt;=999,VLOOKUP(E54,[1]Material!F$5:U$90000,16,0)=INT(VLOOKUP(E54,[1]Material!F$5:U$90000,16,0))),"OEM",
    TRUE,""
  ),
  "không tìm thấy trong file Import"
)</f>
        <v>PURE</v>
      </c>
      <c r="V54" s="235">
        <f>IFERROR(_xlfn.XLOOKUP(E:E,VVMV!B:B,VVMV!J:J),0)</f>
        <v>15.116015418335726</v>
      </c>
      <c r="W54" s="590">
        <f t="shared" si="0"/>
        <v>117.06632151764794</v>
      </c>
      <c r="X54" s="590"/>
    </row>
    <row r="55" spans="1:25" s="235" customFormat="1" ht="36">
      <c r="A55" s="702"/>
      <c r="B55" s="703" t="s">
        <v>2158</v>
      </c>
      <c r="C55" s="703">
        <v>734101625</v>
      </c>
      <c r="D55" s="704">
        <v>46199</v>
      </c>
      <c r="E55" s="705">
        <v>381609097421</v>
      </c>
      <c r="F55" s="704">
        <v>46171</v>
      </c>
      <c r="G55" s="706" t="s">
        <v>802</v>
      </c>
      <c r="H55" s="706" t="s">
        <v>1593</v>
      </c>
      <c r="I55" s="706" t="s">
        <v>931</v>
      </c>
      <c r="J55" s="706" t="s">
        <v>971</v>
      </c>
      <c r="K55" s="703" t="s">
        <v>1137</v>
      </c>
      <c r="L55" s="703">
        <v>18.3</v>
      </c>
      <c r="M55" s="707">
        <v>1317722</v>
      </c>
      <c r="N55" s="707">
        <v>0</v>
      </c>
      <c r="O55" s="707">
        <v>652272</v>
      </c>
      <c r="P55" s="707">
        <v>103622</v>
      </c>
      <c r="Q55" s="707">
        <v>2073616</v>
      </c>
      <c r="R55" s="708">
        <f>Q55/'Logistics record '!$AD$1</f>
        <v>78.362028569269143</v>
      </c>
      <c r="S55" s="265" t="s">
        <v>1155</v>
      </c>
      <c r="T55" s="232"/>
      <c r="U55" s="235" t="str" cm="1">
        <f t="array" ref="U55">IFERROR(
  _xlfn.IFS(
    VLOOKUP(E55,[1]Material!F$5:U$90000,16,0)="LUC","Lucid",
    VLOOKUP(E55,[1]Material!F$5:U$90000,16,0)="FMC","FORD",
    OR(VLOOKUP(E55,[1]Material!F$5:U$90000,16,0)="PUR",VLOOKUP(E55,[1]Material!F$5:U$90000,16,0)="HLO"),"PURE",
    VLOOKUP(E55,[1]Material!F$5:U$90000,16,0)="AIC","AIC",
    OR(VLOOKUP(E55,[1]Material!F$5:U$90000,16,0)="AGI",VLOOKUP(E55,[1]Material!F$5:U$90000,16,0)="AGIGA"),"AGIGA",
    OR(LEFT(VLOOKUP(E55,[1]Material!F$5:U$90000,16,0),3)="EF-",VLOOKUP(E55,[1]Material!F$5:U$90000,16,0)="EFI"),"EFI",
    AND(ISNUMBER(VLOOKUP(E55,[1]Material!F$5:U$90000,16,0)),VLOOKUP(E55,[1]Material!F$5:U$90000,16,0)&gt;=100,VLOOKUP(E55,[1]Material!F$5:U$90000,16,0)&lt;=999,VLOOKUP(E55,[1]Material!F$5:U$90000,16,0)=INT(VLOOKUP(E55,[1]Material!F$5:U$90000,16,0))),"OEM",
    TRUE,""
  ),
  "không tìm thấy trong file Import"
)</f>
        <v>Lucid</v>
      </c>
      <c r="V55" s="235">
        <f>IFERROR(_xlfn.XLOOKUP(E:E,VVMV!B:B,VVMV!J:J),0)</f>
        <v>15.116015418335726</v>
      </c>
      <c r="W55" s="590">
        <f t="shared" si="0"/>
        <v>93.478043987604863</v>
      </c>
      <c r="X55" s="590"/>
    </row>
    <row r="56" spans="1:25" s="235" customFormat="1" ht="36">
      <c r="A56" s="702"/>
      <c r="B56" s="703" t="s">
        <v>2158</v>
      </c>
      <c r="C56" s="703">
        <v>734101625</v>
      </c>
      <c r="D56" s="704">
        <v>46199</v>
      </c>
      <c r="E56" s="705">
        <v>472187612303</v>
      </c>
      <c r="F56" s="704">
        <v>46171</v>
      </c>
      <c r="G56" s="706" t="s">
        <v>524</v>
      </c>
      <c r="H56" s="706" t="s">
        <v>1593</v>
      </c>
      <c r="I56" s="706" t="s">
        <v>927</v>
      </c>
      <c r="J56" s="706" t="s">
        <v>971</v>
      </c>
      <c r="K56" s="703" t="s">
        <v>1137</v>
      </c>
      <c r="L56" s="703">
        <v>26.5</v>
      </c>
      <c r="M56" s="707">
        <v>1440650</v>
      </c>
      <c r="N56" s="707">
        <v>0</v>
      </c>
      <c r="O56" s="707">
        <v>713122</v>
      </c>
      <c r="P56" s="707">
        <v>113288</v>
      </c>
      <c r="Q56" s="707">
        <v>2267060</v>
      </c>
      <c r="R56" s="708">
        <f>Q56/'Logistics record '!$AD$1</f>
        <v>85.672284785730483</v>
      </c>
      <c r="S56" s="265" t="s">
        <v>1155</v>
      </c>
      <c r="T56" s="232"/>
      <c r="U56" s="235" t="str" cm="1">
        <f t="array" ref="U56">IFERROR(
  _xlfn.IFS(
    VLOOKUP(E56,[1]Material!F$5:U$90000,16,0)="LUC","Lucid",
    VLOOKUP(E56,[1]Material!F$5:U$90000,16,0)="FMC","FORD",
    OR(VLOOKUP(E56,[1]Material!F$5:U$90000,16,0)="PUR",VLOOKUP(E56,[1]Material!F$5:U$90000,16,0)="HLO"),"PURE",
    VLOOKUP(E56,[1]Material!F$5:U$90000,16,0)="AIC","AIC",
    OR(VLOOKUP(E56,[1]Material!F$5:U$90000,16,0)="AGI",VLOOKUP(E56,[1]Material!F$5:U$90000,16,0)="AGIGA"),"AGIGA",
    OR(LEFT(VLOOKUP(E56,[1]Material!F$5:U$90000,16,0),3)="EF-",VLOOKUP(E56,[1]Material!F$5:U$90000,16,0)="EFI"),"EFI",
    AND(ISNUMBER(VLOOKUP(E56,[1]Material!F$5:U$90000,16,0)),VLOOKUP(E56,[1]Material!F$5:U$90000,16,0)&gt;=100,VLOOKUP(E56,[1]Material!F$5:U$90000,16,0)&lt;=999,VLOOKUP(E56,[1]Material!F$5:U$90000,16,0)=INT(VLOOKUP(E56,[1]Material!F$5:U$90000,16,0))),"OEM",
    TRUE,""
  ),
  "không tìm thấy trong file Import"
)</f>
        <v>EFI</v>
      </c>
      <c r="V56" s="235">
        <f>IFERROR(_xlfn.XLOOKUP(E:E,VVMV!B:B,VVMV!J:J),0)</f>
        <v>15.116015418335726</v>
      </c>
      <c r="W56" s="590">
        <f t="shared" si="0"/>
        <v>100.7883002040662</v>
      </c>
      <c r="X56" s="590"/>
    </row>
    <row r="57" spans="1:25" s="235" customFormat="1" ht="24">
      <c r="A57" s="702"/>
      <c r="B57" s="703" t="s">
        <v>2158</v>
      </c>
      <c r="C57" s="703">
        <v>734101625</v>
      </c>
      <c r="D57" s="704">
        <v>46199</v>
      </c>
      <c r="E57" s="705">
        <v>809262197260</v>
      </c>
      <c r="F57" s="704">
        <v>46171</v>
      </c>
      <c r="G57" s="706" t="s">
        <v>2162</v>
      </c>
      <c r="H57" s="706" t="s">
        <v>1150</v>
      </c>
      <c r="I57" s="706" t="s">
        <v>927</v>
      </c>
      <c r="J57" s="706" t="s">
        <v>971</v>
      </c>
      <c r="K57" s="703" t="s">
        <v>1151</v>
      </c>
      <c r="L57" s="703">
        <v>31.8</v>
      </c>
      <c r="M57" s="707">
        <v>1914085</v>
      </c>
      <c r="N57" s="707">
        <v>0</v>
      </c>
      <c r="O57" s="707">
        <v>947472</v>
      </c>
      <c r="P57" s="707">
        <v>150518</v>
      </c>
      <c r="Q57" s="707">
        <v>3012075</v>
      </c>
      <c r="R57" s="708">
        <f>Q57/'Logistics record '!$AD$1</f>
        <v>113.82643035295897</v>
      </c>
      <c r="S57" s="265" t="s">
        <v>1155</v>
      </c>
      <c r="T57" s="232"/>
      <c r="U57" s="235" t="str" cm="1">
        <f t="array" ref="U57">IFERROR(
  _xlfn.IFS(
    VLOOKUP(E57,[1]Material!F$5:U$90000,16,0)="LUC","Lucid",
    VLOOKUP(E57,[1]Material!F$5:U$90000,16,0)="FMC","FORD",
    OR(VLOOKUP(E57,[1]Material!F$5:U$90000,16,0)="PUR",VLOOKUP(E57,[1]Material!F$5:U$90000,16,0)="HLO"),"PURE",
    VLOOKUP(E57,[1]Material!F$5:U$90000,16,0)="AIC","AIC",
    OR(VLOOKUP(E57,[1]Material!F$5:U$90000,16,0)="AGI",VLOOKUP(E57,[1]Material!F$5:U$90000,16,0)="AGIGA"),"AGIGA",
    OR(LEFT(VLOOKUP(E57,[1]Material!F$5:U$90000,16,0),3)="EF-",VLOOKUP(E57,[1]Material!F$5:U$90000,16,0)="EFI"),"EFI",
    AND(ISNUMBER(VLOOKUP(E57,[1]Material!F$5:U$90000,16,0)),VLOOKUP(E57,[1]Material!F$5:U$90000,16,0)&gt;=100,VLOOKUP(E57,[1]Material!F$5:U$90000,16,0)&lt;=999,VLOOKUP(E57,[1]Material!F$5:U$90000,16,0)=INT(VLOOKUP(E57,[1]Material!F$5:U$90000,16,0))),"OEM",
    TRUE,""
  ),
  "không tìm thấy trong file Import"
)</f>
        <v>OEM</v>
      </c>
      <c r="V57" s="235">
        <f>IFERROR(_xlfn.XLOOKUP(E:E,VVMV!B:B,VVMV!J:J),0)</f>
        <v>15.116015418335726</v>
      </c>
      <c r="W57" s="590">
        <f t="shared" si="0"/>
        <v>128.9424457712947</v>
      </c>
      <c r="X57" s="590"/>
      <c r="Y57" s="235" t="s">
        <v>1744</v>
      </c>
    </row>
    <row r="58" spans="1:25" s="235" customFormat="1" ht="36">
      <c r="A58" s="702"/>
      <c r="B58" s="703" t="s">
        <v>2158</v>
      </c>
      <c r="C58" s="703">
        <v>734101625</v>
      </c>
      <c r="D58" s="704">
        <v>46199</v>
      </c>
      <c r="E58" s="705">
        <v>381606778459</v>
      </c>
      <c r="F58" s="704">
        <v>46171</v>
      </c>
      <c r="G58" s="706" t="s">
        <v>802</v>
      </c>
      <c r="H58" s="706" t="s">
        <v>1593</v>
      </c>
      <c r="I58" s="706" t="s">
        <v>931</v>
      </c>
      <c r="J58" s="706" t="s">
        <v>971</v>
      </c>
      <c r="K58" s="703" t="s">
        <v>1137</v>
      </c>
      <c r="L58" s="703">
        <v>8.3000000000000007</v>
      </c>
      <c r="M58" s="707">
        <v>569407</v>
      </c>
      <c r="N58" s="707">
        <v>0</v>
      </c>
      <c r="O58" s="707">
        <v>281856</v>
      </c>
      <c r="P58" s="707">
        <v>44776</v>
      </c>
      <c r="Q58" s="707">
        <v>896039</v>
      </c>
      <c r="R58" s="708">
        <f>Q58/'Logistics record '!$AD$1</f>
        <v>33.861348348575312</v>
      </c>
      <c r="S58" s="265" t="s">
        <v>1155</v>
      </c>
      <c r="T58" s="232"/>
      <c r="U58" s="235" t="str" cm="1">
        <f t="array" ref="U58">IFERROR(
  _xlfn.IFS(
    VLOOKUP(E58,[1]Material!F$5:U$90000,16,0)="LUC","Lucid",
    VLOOKUP(E58,[1]Material!F$5:U$90000,16,0)="FMC","FORD",
    OR(VLOOKUP(E58,[1]Material!F$5:U$90000,16,0)="PUR",VLOOKUP(E58,[1]Material!F$5:U$90000,16,0)="HLO"),"PURE",
    VLOOKUP(E58,[1]Material!F$5:U$90000,16,0)="AIC","AIC",
    OR(VLOOKUP(E58,[1]Material!F$5:U$90000,16,0)="AGI",VLOOKUP(E58,[1]Material!F$5:U$90000,16,0)="AGIGA"),"AGIGA",
    OR(LEFT(VLOOKUP(E58,[1]Material!F$5:U$90000,16,0),3)="EF-",VLOOKUP(E58,[1]Material!F$5:U$90000,16,0)="EFI"),"EFI",
    AND(ISNUMBER(VLOOKUP(E58,[1]Material!F$5:U$90000,16,0)),VLOOKUP(E58,[1]Material!F$5:U$90000,16,0)&gt;=100,VLOOKUP(E58,[1]Material!F$5:U$90000,16,0)&lt;=999,VLOOKUP(E58,[1]Material!F$5:U$90000,16,0)=INT(VLOOKUP(E58,[1]Material!F$5:U$90000,16,0))),"OEM",
    TRUE,""
  ),
  "không tìm thấy trong file Import"
)</f>
        <v>OEM</v>
      </c>
      <c r="V58" s="235">
        <f>IFERROR(_xlfn.XLOOKUP(E:E,VVMV!B:B,VVMV!J:J),0)</f>
        <v>15.116015418335726</v>
      </c>
      <c r="W58" s="590">
        <f t="shared" si="0"/>
        <v>48.97736376691104</v>
      </c>
      <c r="X58" s="590"/>
    </row>
    <row r="59" spans="1:25" s="235" customFormat="1" ht="36">
      <c r="A59" s="702"/>
      <c r="B59" s="703" t="s">
        <v>2158</v>
      </c>
      <c r="C59" s="703">
        <v>734101625</v>
      </c>
      <c r="D59" s="704">
        <v>46199</v>
      </c>
      <c r="E59" s="705">
        <v>872205227423</v>
      </c>
      <c r="F59" s="704">
        <v>46171</v>
      </c>
      <c r="G59" s="706" t="s">
        <v>1808</v>
      </c>
      <c r="H59" s="706" t="s">
        <v>1593</v>
      </c>
      <c r="I59" s="706" t="s">
        <v>927</v>
      </c>
      <c r="J59" s="706" t="s">
        <v>971</v>
      </c>
      <c r="K59" s="703" t="s">
        <v>1137</v>
      </c>
      <c r="L59" s="703">
        <v>13.2</v>
      </c>
      <c r="M59" s="707">
        <v>873677</v>
      </c>
      <c r="N59" s="707">
        <v>0</v>
      </c>
      <c r="O59" s="707">
        <v>432470</v>
      </c>
      <c r="P59" s="707">
        <v>68703</v>
      </c>
      <c r="Q59" s="707">
        <v>1374850</v>
      </c>
      <c r="R59" s="708">
        <f>Q59/'Logistics record '!$AD$1</f>
        <v>51.955634494747187</v>
      </c>
      <c r="S59" s="265" t="s">
        <v>1155</v>
      </c>
      <c r="T59" s="232"/>
      <c r="U59" s="235" t="str" cm="1">
        <f t="array" ref="U59">IFERROR(
  _xlfn.IFS(
    VLOOKUP(E59,[1]Material!F$5:U$90000,16,0)="LUC","Lucid",
    VLOOKUP(E59,[1]Material!F$5:U$90000,16,0)="FMC","FORD",
    OR(VLOOKUP(E59,[1]Material!F$5:U$90000,16,0)="PUR",VLOOKUP(E59,[1]Material!F$5:U$90000,16,0)="HLO"),"PURE",
    VLOOKUP(E59,[1]Material!F$5:U$90000,16,0)="AIC","AIC",
    OR(VLOOKUP(E59,[1]Material!F$5:U$90000,16,0)="AGI",VLOOKUP(E59,[1]Material!F$5:U$90000,16,0)="AGIGA"),"AGIGA",
    OR(LEFT(VLOOKUP(E59,[1]Material!F$5:U$90000,16,0),3)="EF-",VLOOKUP(E59,[1]Material!F$5:U$90000,16,0)="EFI"),"EFI",
    AND(ISNUMBER(VLOOKUP(E59,[1]Material!F$5:U$90000,16,0)),VLOOKUP(E59,[1]Material!F$5:U$90000,16,0)&gt;=100,VLOOKUP(E59,[1]Material!F$5:U$90000,16,0)&lt;=999,VLOOKUP(E59,[1]Material!F$5:U$90000,16,0)=INT(VLOOKUP(E59,[1]Material!F$5:U$90000,16,0))),"OEM",
    TRUE,""
  ),
  "không tìm thấy trong file Import"
)</f>
        <v>EFI</v>
      </c>
      <c r="V59" s="235">
        <f>IFERROR(_xlfn.XLOOKUP(E:E,VVMV!B:B,VVMV!J:J),0)</f>
        <v>15.116015418335726</v>
      </c>
      <c r="W59" s="590">
        <f t="shared" si="0"/>
        <v>67.071649913082908</v>
      </c>
      <c r="X59" s="590"/>
    </row>
    <row r="60" spans="1:25" s="235" customFormat="1" ht="36">
      <c r="A60" s="702"/>
      <c r="B60" s="703" t="s">
        <v>2158</v>
      </c>
      <c r="C60" s="703">
        <v>734101625</v>
      </c>
      <c r="D60" s="704">
        <v>46199</v>
      </c>
      <c r="E60" s="705">
        <v>872375217260</v>
      </c>
      <c r="F60" s="704">
        <v>46171</v>
      </c>
      <c r="G60" s="706" t="s">
        <v>1332</v>
      </c>
      <c r="H60" s="706" t="s">
        <v>1897</v>
      </c>
      <c r="I60" s="706" t="s">
        <v>939</v>
      </c>
      <c r="J60" s="706" t="s">
        <v>971</v>
      </c>
      <c r="K60" s="703" t="s">
        <v>1151</v>
      </c>
      <c r="L60" s="703">
        <v>0.5</v>
      </c>
      <c r="M60" s="707">
        <v>300774</v>
      </c>
      <c r="N60" s="707">
        <v>0</v>
      </c>
      <c r="O60" s="707">
        <v>148883</v>
      </c>
      <c r="P60" s="707">
        <v>23652</v>
      </c>
      <c r="Q60" s="707">
        <v>473309</v>
      </c>
      <c r="R60" s="708">
        <f>Q60/'Logistics record '!$AD$1</f>
        <v>17.886365354092661</v>
      </c>
      <c r="S60" s="265" t="s">
        <v>1155</v>
      </c>
      <c r="T60" s="232"/>
      <c r="U60" s="235" t="str" cm="1">
        <f t="array" ref="U60">IFERROR(
  _xlfn.IFS(
    VLOOKUP(E60,[1]Material!F$5:U$90000,16,0)="LUC","Lucid",
    VLOOKUP(E60,[1]Material!F$5:U$90000,16,0)="FMC","FORD",
    OR(VLOOKUP(E60,[1]Material!F$5:U$90000,16,0)="PUR",VLOOKUP(E60,[1]Material!F$5:U$90000,16,0)="HLO"),"PURE",
    VLOOKUP(E60,[1]Material!F$5:U$90000,16,0)="AIC","AIC",
    OR(VLOOKUP(E60,[1]Material!F$5:U$90000,16,0)="AGI",VLOOKUP(E60,[1]Material!F$5:U$90000,16,0)="AGIGA"),"AGIGA",
    OR(LEFT(VLOOKUP(E60,[1]Material!F$5:U$90000,16,0),3)="EF-",VLOOKUP(E60,[1]Material!F$5:U$90000,16,0)="EFI"),"EFI",
    AND(ISNUMBER(VLOOKUP(E60,[1]Material!F$5:U$90000,16,0)),VLOOKUP(E60,[1]Material!F$5:U$90000,16,0)&gt;=100,VLOOKUP(E60,[1]Material!F$5:U$90000,16,0)&lt;=999,VLOOKUP(E60,[1]Material!F$5:U$90000,16,0)=INT(VLOOKUP(E60,[1]Material!F$5:U$90000,16,0))),"OEM",
    TRUE,""
  ),
  "không tìm thấy trong file Import"
)</f>
        <v>OEM</v>
      </c>
      <c r="V60" s="235">
        <f>IFERROR(_xlfn.XLOOKUP(E:E,VVMV!B:B,VVMV!J:J),0)</f>
        <v>15.116015418335726</v>
      </c>
      <c r="W60" s="590">
        <f t="shared" si="0"/>
        <v>33.002380772428388</v>
      </c>
      <c r="X60" s="590"/>
    </row>
    <row r="61" spans="1:25" s="235" customFormat="1" ht="48">
      <c r="A61" s="702"/>
      <c r="B61" s="703" t="s">
        <v>2158</v>
      </c>
      <c r="C61" s="703">
        <v>734101625</v>
      </c>
      <c r="D61" s="704">
        <v>46199</v>
      </c>
      <c r="E61" s="705">
        <v>381660504209</v>
      </c>
      <c r="F61" s="704">
        <v>46171</v>
      </c>
      <c r="G61" s="706" t="s">
        <v>804</v>
      </c>
      <c r="H61" s="706" t="s">
        <v>1593</v>
      </c>
      <c r="I61" s="706" t="s">
        <v>937</v>
      </c>
      <c r="J61" s="706" t="s">
        <v>971</v>
      </c>
      <c r="K61" s="703" t="s">
        <v>1137</v>
      </c>
      <c r="L61" s="703">
        <v>11.5</v>
      </c>
      <c r="M61" s="707">
        <v>785649</v>
      </c>
      <c r="N61" s="707">
        <v>0</v>
      </c>
      <c r="O61" s="707">
        <v>388896</v>
      </c>
      <c r="P61" s="707">
        <v>61781</v>
      </c>
      <c r="Q61" s="707">
        <v>1236326</v>
      </c>
      <c r="R61" s="708">
        <f>Q61/'Logistics record '!$AD$1</f>
        <v>46.720807195223337</v>
      </c>
      <c r="S61" s="265" t="s">
        <v>1155</v>
      </c>
      <c r="T61" s="232"/>
      <c r="U61" s="235" t="str" cm="1">
        <f t="array" ref="U61">IFERROR(
  _xlfn.IFS(
    VLOOKUP(E61,[1]Material!F$5:U$90000,16,0)="LUC","Lucid",
    VLOOKUP(E61,[1]Material!F$5:U$90000,16,0)="FMC","FORD",
    OR(VLOOKUP(E61,[1]Material!F$5:U$90000,16,0)="PUR",VLOOKUP(E61,[1]Material!F$5:U$90000,16,0)="HLO"),"PURE",
    VLOOKUP(E61,[1]Material!F$5:U$90000,16,0)="AIC","AIC",
    OR(VLOOKUP(E61,[1]Material!F$5:U$90000,16,0)="AGI",VLOOKUP(E61,[1]Material!F$5:U$90000,16,0)="AGIGA"),"AGIGA",
    OR(LEFT(VLOOKUP(E61,[1]Material!F$5:U$90000,16,0),3)="EF-",VLOOKUP(E61,[1]Material!F$5:U$90000,16,0)="EFI"),"EFI",
    AND(ISNUMBER(VLOOKUP(E61,[1]Material!F$5:U$90000,16,0)),VLOOKUP(E61,[1]Material!F$5:U$90000,16,0)&gt;=100,VLOOKUP(E61,[1]Material!F$5:U$90000,16,0)&lt;=999,VLOOKUP(E61,[1]Material!F$5:U$90000,16,0)=INT(VLOOKUP(E61,[1]Material!F$5:U$90000,16,0))),"OEM",
    TRUE,""
  ),
  "không tìm thấy trong file Import"
)</f>
        <v>PURE</v>
      </c>
      <c r="V61" s="235">
        <f>IFERROR(_xlfn.XLOOKUP(E:E,VVMV!B:B,VVMV!J:J),0)</f>
        <v>15.116015418335726</v>
      </c>
      <c r="W61" s="590">
        <f t="shared" si="0"/>
        <v>61.836822613559065</v>
      </c>
      <c r="X61" s="590"/>
    </row>
    <row r="62" spans="1:25" s="235" customFormat="1" ht="36">
      <c r="A62" s="702"/>
      <c r="B62" s="703" t="s">
        <v>2158</v>
      </c>
      <c r="C62" s="703">
        <v>734101625</v>
      </c>
      <c r="D62" s="704">
        <v>46199</v>
      </c>
      <c r="E62" s="705">
        <v>872378270097</v>
      </c>
      <c r="F62" s="704">
        <v>46171</v>
      </c>
      <c r="G62" s="706" t="s">
        <v>805</v>
      </c>
      <c r="H62" s="706" t="s">
        <v>1150</v>
      </c>
      <c r="I62" s="706" t="s">
        <v>937</v>
      </c>
      <c r="J62" s="706" t="s">
        <v>971</v>
      </c>
      <c r="K62" s="703" t="s">
        <v>1151</v>
      </c>
      <c r="L62" s="703">
        <v>7.8</v>
      </c>
      <c r="M62" s="707">
        <v>703054</v>
      </c>
      <c r="N62" s="707">
        <v>0</v>
      </c>
      <c r="O62" s="707">
        <v>348012</v>
      </c>
      <c r="P62" s="707">
        <v>55286</v>
      </c>
      <c r="Q62" s="707">
        <v>1106352</v>
      </c>
      <c r="R62" s="708">
        <f>Q62/'Logistics record '!$AD$1</f>
        <v>41.809084725266423</v>
      </c>
      <c r="S62" s="265" t="s">
        <v>1155</v>
      </c>
      <c r="T62" s="232"/>
      <c r="U62" s="235" t="str" cm="1">
        <f t="array" ref="U62">IFERROR(
  _xlfn.IFS(
    VLOOKUP(E62,[1]Material!F$5:U$90000,16,0)="LUC","Lucid",
    VLOOKUP(E62,[1]Material!F$5:U$90000,16,0)="FMC","FORD",
    OR(VLOOKUP(E62,[1]Material!F$5:U$90000,16,0)="PUR",VLOOKUP(E62,[1]Material!F$5:U$90000,16,0)="HLO"),"PURE",
    VLOOKUP(E62,[1]Material!F$5:U$90000,16,0)="AIC","AIC",
    OR(VLOOKUP(E62,[1]Material!F$5:U$90000,16,0)="AGI",VLOOKUP(E62,[1]Material!F$5:U$90000,16,0)="AGIGA"),"AGIGA",
    OR(LEFT(VLOOKUP(E62,[1]Material!F$5:U$90000,16,0),3)="EF-",VLOOKUP(E62,[1]Material!F$5:U$90000,16,0)="EFI"),"EFI",
    AND(ISNUMBER(VLOOKUP(E62,[1]Material!F$5:U$90000,16,0)),VLOOKUP(E62,[1]Material!F$5:U$90000,16,0)&gt;=100,VLOOKUP(E62,[1]Material!F$5:U$90000,16,0)&lt;=999,VLOOKUP(E62,[1]Material!F$5:U$90000,16,0)=INT(VLOOKUP(E62,[1]Material!F$5:U$90000,16,0))),"OEM",
    TRUE,""
  ),
  "không tìm thấy trong file Import"
)</f>
        <v>PURE</v>
      </c>
      <c r="V62" s="235">
        <f>IFERROR(_xlfn.XLOOKUP(E:E,VVMV!B:B,VVMV!J:J),0)</f>
        <v>15.116015418335726</v>
      </c>
      <c r="W62" s="590">
        <f t="shared" si="0"/>
        <v>56.925100143602151</v>
      </c>
      <c r="X62" s="590"/>
    </row>
    <row r="63" spans="1:25" s="235" customFormat="1" ht="48">
      <c r="A63" s="702"/>
      <c r="B63" s="703" t="s">
        <v>2158</v>
      </c>
      <c r="C63" s="703">
        <v>734101625</v>
      </c>
      <c r="D63" s="704">
        <v>46199</v>
      </c>
      <c r="E63" s="705">
        <v>381681556134</v>
      </c>
      <c r="F63" s="704">
        <v>46172</v>
      </c>
      <c r="G63" s="706" t="s">
        <v>804</v>
      </c>
      <c r="H63" s="706" t="s">
        <v>1593</v>
      </c>
      <c r="I63" s="706" t="s">
        <v>937</v>
      </c>
      <c r="J63" s="706" t="s">
        <v>971</v>
      </c>
      <c r="K63" s="703" t="s">
        <v>1137</v>
      </c>
      <c r="L63" s="703">
        <v>70.599999999999994</v>
      </c>
      <c r="M63" s="707">
        <v>3225849</v>
      </c>
      <c r="N63" s="707">
        <v>0</v>
      </c>
      <c r="O63" s="707">
        <v>1596795</v>
      </c>
      <c r="P63" s="707">
        <v>253671</v>
      </c>
      <c r="Q63" s="707">
        <v>5076315</v>
      </c>
      <c r="R63" s="708">
        <f>Q63/'Logistics record '!$AD$1</f>
        <v>191.8341395208223</v>
      </c>
      <c r="S63" s="265" t="s">
        <v>1155</v>
      </c>
      <c r="T63" s="232"/>
      <c r="U63" s="235" t="str" cm="1">
        <f t="array" ref="U63">IFERROR(
  _xlfn.IFS(
    VLOOKUP(E63,[1]Material!F$5:U$90000,16,0)="LUC","Lucid",
    VLOOKUP(E63,[1]Material!F$5:U$90000,16,0)="FMC","FORD",
    OR(VLOOKUP(E63,[1]Material!F$5:U$90000,16,0)="PUR",VLOOKUP(E63,[1]Material!F$5:U$90000,16,0)="HLO"),"PURE",
    VLOOKUP(E63,[1]Material!F$5:U$90000,16,0)="AIC","AIC",
    OR(VLOOKUP(E63,[1]Material!F$5:U$90000,16,0)="AGI",VLOOKUP(E63,[1]Material!F$5:U$90000,16,0)="AGIGA"),"AGIGA",
    OR(LEFT(VLOOKUP(E63,[1]Material!F$5:U$90000,16,0),3)="EF-",VLOOKUP(E63,[1]Material!F$5:U$90000,16,0)="EFI"),"EFI",
    AND(ISNUMBER(VLOOKUP(E63,[1]Material!F$5:U$90000,16,0)),VLOOKUP(E63,[1]Material!F$5:U$90000,16,0)&gt;=100,VLOOKUP(E63,[1]Material!F$5:U$90000,16,0)&lt;=999,VLOOKUP(E63,[1]Material!F$5:U$90000,16,0)=INT(VLOOKUP(E63,[1]Material!F$5:U$90000,16,0))),"OEM",
    TRUE,""
  ),
  "không tìm thấy trong file Import"
)</f>
        <v>Lucid</v>
      </c>
      <c r="V63" s="235">
        <f>IFERROR(_xlfn.XLOOKUP(E:E,VVMV!B:B,VVMV!J:J),0)</f>
        <v>15.116015418335726</v>
      </c>
      <c r="W63" s="590">
        <f t="shared" si="0"/>
        <v>206.95015493915804</v>
      </c>
      <c r="X63" s="590"/>
    </row>
    <row r="64" spans="1:25" s="235" customFormat="1" ht="48">
      <c r="A64" s="702"/>
      <c r="B64" s="703" t="s">
        <v>2158</v>
      </c>
      <c r="C64" s="703">
        <v>734101625</v>
      </c>
      <c r="D64" s="704">
        <v>46199</v>
      </c>
      <c r="E64" s="705">
        <v>381664000889</v>
      </c>
      <c r="F64" s="704">
        <v>46172</v>
      </c>
      <c r="G64" s="706" t="s">
        <v>804</v>
      </c>
      <c r="H64" s="706" t="s">
        <v>1593</v>
      </c>
      <c r="I64" s="706" t="s">
        <v>937</v>
      </c>
      <c r="J64" s="706" t="s">
        <v>971</v>
      </c>
      <c r="K64" s="703" t="s">
        <v>1137</v>
      </c>
      <c r="L64" s="703">
        <v>27.7</v>
      </c>
      <c r="M64" s="707">
        <v>1455948</v>
      </c>
      <c r="N64" s="707">
        <v>0</v>
      </c>
      <c r="O64" s="707">
        <v>720694</v>
      </c>
      <c r="P64" s="707">
        <v>114491</v>
      </c>
      <c r="Q64" s="707">
        <v>2291133</v>
      </c>
      <c r="R64" s="708">
        <f>Q64/'Logistics record '!$AD$1</f>
        <v>86.582004383644474</v>
      </c>
      <c r="S64" s="265" t="s">
        <v>1155</v>
      </c>
      <c r="T64" s="232"/>
      <c r="U64" s="235" t="str" cm="1">
        <f t="array" ref="U64">IFERROR(
  _xlfn.IFS(
    VLOOKUP(E64,[1]Material!F$5:U$90000,16,0)="LUC","Lucid",
    VLOOKUP(E64,[1]Material!F$5:U$90000,16,0)="FMC","FORD",
    OR(VLOOKUP(E64,[1]Material!F$5:U$90000,16,0)="PUR",VLOOKUP(E64,[1]Material!F$5:U$90000,16,0)="HLO"),"PURE",
    VLOOKUP(E64,[1]Material!F$5:U$90000,16,0)="AIC","AIC",
    OR(VLOOKUP(E64,[1]Material!F$5:U$90000,16,0)="AGI",VLOOKUP(E64,[1]Material!F$5:U$90000,16,0)="AGIGA"),"AGIGA",
    OR(LEFT(VLOOKUP(E64,[1]Material!F$5:U$90000,16,0),3)="EF-",VLOOKUP(E64,[1]Material!F$5:U$90000,16,0)="EFI"),"EFI",
    AND(ISNUMBER(VLOOKUP(E64,[1]Material!F$5:U$90000,16,0)),VLOOKUP(E64,[1]Material!F$5:U$90000,16,0)&gt;=100,VLOOKUP(E64,[1]Material!F$5:U$90000,16,0)&lt;=999,VLOOKUP(E64,[1]Material!F$5:U$90000,16,0)=INT(VLOOKUP(E64,[1]Material!F$5:U$90000,16,0))),"OEM",
    TRUE,""
  ),
  "không tìm thấy trong file Import"
)</f>
        <v>PURE</v>
      </c>
      <c r="V64" s="235">
        <f>IFERROR(_xlfn.XLOOKUP(E:E,VVMV!B:B,VVMV!J:J),0)</f>
        <v>15.116015418335726</v>
      </c>
      <c r="W64" s="590">
        <f t="shared" si="0"/>
        <v>101.69801980198019</v>
      </c>
      <c r="X64" s="590"/>
    </row>
    <row r="65" spans="1:24" s="235" customFormat="1" ht="36">
      <c r="A65" s="702"/>
      <c r="B65" s="703" t="s">
        <v>2158</v>
      </c>
      <c r="C65" s="703">
        <v>734101625</v>
      </c>
      <c r="D65" s="704">
        <v>46199</v>
      </c>
      <c r="E65" s="705">
        <v>527529842090</v>
      </c>
      <c r="F65" s="704">
        <v>46172</v>
      </c>
      <c r="G65" s="706" t="s">
        <v>809</v>
      </c>
      <c r="H65" s="706" t="s">
        <v>1595</v>
      </c>
      <c r="I65" s="706" t="s">
        <v>954</v>
      </c>
      <c r="J65" s="706" t="s">
        <v>971</v>
      </c>
      <c r="K65" s="703" t="s">
        <v>1137</v>
      </c>
      <c r="L65" s="703">
        <v>6.4</v>
      </c>
      <c r="M65" s="707">
        <v>720489</v>
      </c>
      <c r="N65" s="707">
        <v>0</v>
      </c>
      <c r="O65" s="707">
        <v>356642</v>
      </c>
      <c r="P65" s="707">
        <v>56657</v>
      </c>
      <c r="Q65" s="707">
        <v>1133788</v>
      </c>
      <c r="R65" s="708">
        <f>Q65/'Logistics record '!$AD$1</f>
        <v>42.845892222810065</v>
      </c>
      <c r="S65" s="265" t="s">
        <v>1155</v>
      </c>
      <c r="T65" s="232"/>
      <c r="U65" s="235" t="str" cm="1">
        <f t="array" ref="U65">IFERROR(
  _xlfn.IFS(
    VLOOKUP(E65,[1]Material!F$5:U$90000,16,0)="LUC","Lucid",
    VLOOKUP(E65,[1]Material!F$5:U$90000,16,0)="FMC","FORD",
    OR(VLOOKUP(E65,[1]Material!F$5:U$90000,16,0)="PUR",VLOOKUP(E65,[1]Material!F$5:U$90000,16,0)="HLO"),"PURE",
    VLOOKUP(E65,[1]Material!F$5:U$90000,16,0)="AIC","AIC",
    OR(VLOOKUP(E65,[1]Material!F$5:U$90000,16,0)="AGI",VLOOKUP(E65,[1]Material!F$5:U$90000,16,0)="AGIGA"),"AGIGA",
    OR(LEFT(VLOOKUP(E65,[1]Material!F$5:U$90000,16,0),3)="EF-",VLOOKUP(E65,[1]Material!F$5:U$90000,16,0)="EFI"),"EFI",
    AND(ISNUMBER(VLOOKUP(E65,[1]Material!F$5:U$90000,16,0)),VLOOKUP(E65,[1]Material!F$5:U$90000,16,0)&gt;=100,VLOOKUP(E65,[1]Material!F$5:U$90000,16,0)&lt;=999,VLOOKUP(E65,[1]Material!F$5:U$90000,16,0)=INT(VLOOKUP(E65,[1]Material!F$5:U$90000,16,0))),"OEM",
    TRUE,""
  ),
  "không tìm thấy trong file Import"
)</f>
        <v>PURE</v>
      </c>
      <c r="V65" s="235">
        <f>IFERROR(_xlfn.XLOOKUP(E:E,VVMV!B:B,VVMV!J:J),0)</f>
        <v>15.116015418335726</v>
      </c>
      <c r="W65" s="590">
        <f t="shared" si="0"/>
        <v>57.961907641145793</v>
      </c>
      <c r="X65" s="590"/>
    </row>
    <row r="66" spans="1:24" s="235" customFormat="1" ht="36">
      <c r="A66" s="702"/>
      <c r="B66" s="703" t="s">
        <v>2158</v>
      </c>
      <c r="C66" s="703">
        <v>734101625</v>
      </c>
      <c r="D66" s="704">
        <v>46199</v>
      </c>
      <c r="E66" s="705">
        <v>381669260252</v>
      </c>
      <c r="F66" s="704">
        <v>46172</v>
      </c>
      <c r="G66" s="706" t="s">
        <v>802</v>
      </c>
      <c r="H66" s="706" t="s">
        <v>1593</v>
      </c>
      <c r="I66" s="706" t="s">
        <v>931</v>
      </c>
      <c r="J66" s="706" t="s">
        <v>971</v>
      </c>
      <c r="K66" s="703" t="s">
        <v>1137</v>
      </c>
      <c r="L66" s="703">
        <v>1.1000000000000001</v>
      </c>
      <c r="M66" s="707">
        <v>359912</v>
      </c>
      <c r="N66" s="707">
        <v>0</v>
      </c>
      <c r="O66" s="707">
        <v>178156</v>
      </c>
      <c r="P66" s="707">
        <v>28302</v>
      </c>
      <c r="Q66" s="707">
        <v>566370</v>
      </c>
      <c r="R66" s="708">
        <f>Q66/'Logistics record '!$AD$1</f>
        <v>21.403144131207014</v>
      </c>
      <c r="S66" s="265" t="s">
        <v>1155</v>
      </c>
      <c r="T66" s="232"/>
      <c r="U66" s="235" t="str" cm="1">
        <f t="array" ref="U66">IFERROR(
  _xlfn.IFS(
    VLOOKUP(E66,[1]Material!F$5:U$90000,16,0)="LUC","Lucid",
    VLOOKUP(E66,[1]Material!F$5:U$90000,16,0)="FMC","FORD",
    OR(VLOOKUP(E66,[1]Material!F$5:U$90000,16,0)="PUR",VLOOKUP(E66,[1]Material!F$5:U$90000,16,0)="HLO"),"PURE",
    VLOOKUP(E66,[1]Material!F$5:U$90000,16,0)="AIC","AIC",
    OR(VLOOKUP(E66,[1]Material!F$5:U$90000,16,0)="AGI",VLOOKUP(E66,[1]Material!F$5:U$90000,16,0)="AGIGA"),"AGIGA",
    OR(LEFT(VLOOKUP(E66,[1]Material!F$5:U$90000,16,0),3)="EF-",VLOOKUP(E66,[1]Material!F$5:U$90000,16,0)="EFI"),"EFI",
    AND(ISNUMBER(VLOOKUP(E66,[1]Material!F$5:U$90000,16,0)),VLOOKUP(E66,[1]Material!F$5:U$90000,16,0)&gt;=100,VLOOKUP(E66,[1]Material!F$5:U$90000,16,0)&lt;=999,VLOOKUP(E66,[1]Material!F$5:U$90000,16,0)=INT(VLOOKUP(E66,[1]Material!F$5:U$90000,16,0))),"OEM",
    TRUE,""
  ),
  "không tìm thấy trong file Import"
)</f>
        <v>PURE</v>
      </c>
      <c r="V66" s="235">
        <f>IFERROR(_xlfn.XLOOKUP(E:E,VVMV!B:B,VVMV!J:J),0)</f>
        <v>15.116015418335726</v>
      </c>
      <c r="W66" s="590">
        <f t="shared" si="0"/>
        <v>36.519159549542742</v>
      </c>
      <c r="X66" s="590"/>
    </row>
    <row r="67" spans="1:24" s="235" customFormat="1" ht="36">
      <c r="A67" s="702"/>
      <c r="B67" s="703" t="s">
        <v>2158</v>
      </c>
      <c r="C67" s="703">
        <v>734101625</v>
      </c>
      <c r="D67" s="704">
        <v>46199</v>
      </c>
      <c r="E67" s="705">
        <v>872449029491</v>
      </c>
      <c r="F67" s="704">
        <v>46174</v>
      </c>
      <c r="G67" s="706" t="s">
        <v>2163</v>
      </c>
      <c r="H67" s="706" t="s">
        <v>1595</v>
      </c>
      <c r="I67" s="706" t="s">
        <v>932</v>
      </c>
      <c r="J67" s="706" t="s">
        <v>971</v>
      </c>
      <c r="K67" s="703" t="s">
        <v>1137</v>
      </c>
      <c r="L67" s="703">
        <v>0.5</v>
      </c>
      <c r="M67" s="707">
        <v>374870</v>
      </c>
      <c r="N67" s="707">
        <v>0</v>
      </c>
      <c r="O67" s="707">
        <v>184623</v>
      </c>
      <c r="P67" s="707">
        <v>29429</v>
      </c>
      <c r="Q67" s="707">
        <v>588922</v>
      </c>
      <c r="R67" s="708">
        <f>Q67/'Logistics record '!$AD$1</f>
        <v>22.255385080492783</v>
      </c>
      <c r="S67" s="265" t="s">
        <v>1155</v>
      </c>
      <c r="T67" s="232"/>
      <c r="U67" s="235" t="str" cm="1">
        <f t="array" ref="U67">IFERROR(
  _xlfn.IFS(
    VLOOKUP(E67,[1]Material!F$5:U$90000,16,0)="LUC","Lucid",
    VLOOKUP(E67,[1]Material!F$5:U$90000,16,0)="FMC","FORD",
    OR(VLOOKUP(E67,[1]Material!F$5:U$90000,16,0)="PUR",VLOOKUP(E67,[1]Material!F$5:U$90000,16,0)="HLO"),"PURE",
    VLOOKUP(E67,[1]Material!F$5:U$90000,16,0)="AIC","AIC",
    OR(VLOOKUP(E67,[1]Material!F$5:U$90000,16,0)="AGI",VLOOKUP(E67,[1]Material!F$5:U$90000,16,0)="AGIGA"),"AGIGA",
    OR(LEFT(VLOOKUP(E67,[1]Material!F$5:U$90000,16,0),3)="EF-",VLOOKUP(E67,[1]Material!F$5:U$90000,16,0)="EFI"),"EFI",
    AND(ISNUMBER(VLOOKUP(E67,[1]Material!F$5:U$90000,16,0)),VLOOKUP(E67,[1]Material!F$5:U$90000,16,0)&gt;=100,VLOOKUP(E67,[1]Material!F$5:U$90000,16,0)&lt;=999,VLOOKUP(E67,[1]Material!F$5:U$90000,16,0)=INT(VLOOKUP(E67,[1]Material!F$5:U$90000,16,0))),"OEM",
    TRUE,""
  ),
  "không tìm thấy trong file Import"
)</f>
        <v>AIC</v>
      </c>
      <c r="V67" s="235">
        <f>IFERROR(_xlfn.XLOOKUP(E:E,VVMV!B:B,VVMV!J:J),0)</f>
        <v>15.116015418335726</v>
      </c>
      <c r="W67" s="590">
        <f t="shared" ref="W67:W94" si="1">V67+R67</f>
        <v>37.371400498828507</v>
      </c>
      <c r="X67" s="590"/>
    </row>
    <row r="68" spans="1:24" s="235" customFormat="1" ht="36">
      <c r="A68" s="702"/>
      <c r="B68" s="703" t="s">
        <v>2158</v>
      </c>
      <c r="C68" s="703">
        <v>734101625</v>
      </c>
      <c r="D68" s="704">
        <v>46199</v>
      </c>
      <c r="E68" s="705">
        <v>486261304420</v>
      </c>
      <c r="F68" s="704">
        <v>46174</v>
      </c>
      <c r="G68" s="706" t="s">
        <v>2164</v>
      </c>
      <c r="H68" s="706" t="s">
        <v>1150</v>
      </c>
      <c r="I68" s="706" t="s">
        <v>932</v>
      </c>
      <c r="J68" s="706" t="s">
        <v>971</v>
      </c>
      <c r="K68" s="703" t="s">
        <v>1137</v>
      </c>
      <c r="L68" s="703">
        <v>64.3</v>
      </c>
      <c r="M68" s="707">
        <v>3684125</v>
      </c>
      <c r="N68" s="707">
        <v>0</v>
      </c>
      <c r="O68" s="707">
        <v>1814432</v>
      </c>
      <c r="P68" s="707">
        <v>289224</v>
      </c>
      <c r="Q68" s="707">
        <v>5787781</v>
      </c>
      <c r="R68" s="708">
        <f>Q68/'Logistics record '!$AD$1</f>
        <v>218.72046708487642</v>
      </c>
      <c r="S68" s="265" t="s">
        <v>1155</v>
      </c>
      <c r="T68" s="232"/>
      <c r="U68" s="235" t="str" cm="1">
        <f t="array" ref="U68">IFERROR(
  _xlfn.IFS(
    VLOOKUP(E68,[1]Material!F$5:U$90000,16,0)="LUC","Lucid",
    VLOOKUP(E68,[1]Material!F$5:U$90000,16,0)="FMC","FORD",
    OR(VLOOKUP(E68,[1]Material!F$5:U$90000,16,0)="PUR",VLOOKUP(E68,[1]Material!F$5:U$90000,16,0)="HLO"),"PURE",
    VLOOKUP(E68,[1]Material!F$5:U$90000,16,0)="AIC","AIC",
    OR(VLOOKUP(E68,[1]Material!F$5:U$90000,16,0)="AGI",VLOOKUP(E68,[1]Material!F$5:U$90000,16,0)="AGIGA"),"AGIGA",
    OR(LEFT(VLOOKUP(E68,[1]Material!F$5:U$90000,16,0),3)="EF-",VLOOKUP(E68,[1]Material!F$5:U$90000,16,0)="EFI"),"EFI",
    AND(ISNUMBER(VLOOKUP(E68,[1]Material!F$5:U$90000,16,0)),VLOOKUP(E68,[1]Material!F$5:U$90000,16,0)&gt;=100,VLOOKUP(E68,[1]Material!F$5:U$90000,16,0)&lt;=999,VLOOKUP(E68,[1]Material!F$5:U$90000,16,0)=INT(VLOOKUP(E68,[1]Material!F$5:U$90000,16,0))),"OEM",
    TRUE,""
  ),
  "không tìm thấy trong file Import"
)</f>
        <v>PURE</v>
      </c>
      <c r="V68" s="235">
        <f>IFERROR(_xlfn.XLOOKUP(E:E,VVMV!B:B,VVMV!J:J),0)</f>
        <v>15.116015418335726</v>
      </c>
      <c r="W68" s="590">
        <f t="shared" si="1"/>
        <v>233.83648250321215</v>
      </c>
      <c r="X68" s="590"/>
    </row>
    <row r="69" spans="1:24" s="235" customFormat="1" ht="36">
      <c r="A69" s="702"/>
      <c r="B69" s="703" t="s">
        <v>2158</v>
      </c>
      <c r="C69" s="703">
        <v>734101625</v>
      </c>
      <c r="D69" s="704">
        <v>46199</v>
      </c>
      <c r="E69" s="705">
        <v>527529851635</v>
      </c>
      <c r="F69" s="704">
        <v>46175</v>
      </c>
      <c r="G69" s="706" t="s">
        <v>809</v>
      </c>
      <c r="H69" s="706" t="s">
        <v>1595</v>
      </c>
      <c r="I69" s="706" t="s">
        <v>954</v>
      </c>
      <c r="J69" s="706" t="s">
        <v>971</v>
      </c>
      <c r="K69" s="703" t="s">
        <v>1137</v>
      </c>
      <c r="L69" s="703">
        <v>8.8000000000000007</v>
      </c>
      <c r="M69" s="707">
        <v>853622</v>
      </c>
      <c r="N69" s="707">
        <v>0</v>
      </c>
      <c r="O69" s="707">
        <v>420409</v>
      </c>
      <c r="P69" s="707">
        <v>67014</v>
      </c>
      <c r="Q69" s="707">
        <v>1341045</v>
      </c>
      <c r="R69" s="708">
        <f>Q69/'Logistics record '!$AD$1</f>
        <v>50.678142241705089</v>
      </c>
      <c r="S69" s="265" t="s">
        <v>1155</v>
      </c>
      <c r="T69" s="232"/>
      <c r="U69" s="235" t="str" cm="1">
        <f t="array" ref="U69">IFERROR(
  _xlfn.IFS(
    VLOOKUP(E69,[1]Material!F$5:U$90000,16,0)="LUC","Lucid",
    VLOOKUP(E69,[1]Material!F$5:U$90000,16,0)="FMC","FORD",
    OR(VLOOKUP(E69,[1]Material!F$5:U$90000,16,0)="PUR",VLOOKUP(E69,[1]Material!F$5:U$90000,16,0)="HLO"),"PURE",
    VLOOKUP(E69,[1]Material!F$5:U$90000,16,0)="AIC","AIC",
    OR(VLOOKUP(E69,[1]Material!F$5:U$90000,16,0)="AGI",VLOOKUP(E69,[1]Material!F$5:U$90000,16,0)="AGIGA"),"AGIGA",
    OR(LEFT(VLOOKUP(E69,[1]Material!F$5:U$90000,16,0),3)="EF-",VLOOKUP(E69,[1]Material!F$5:U$90000,16,0)="EFI"),"EFI",
    AND(ISNUMBER(VLOOKUP(E69,[1]Material!F$5:U$90000,16,0)),VLOOKUP(E69,[1]Material!F$5:U$90000,16,0)&gt;=100,VLOOKUP(E69,[1]Material!F$5:U$90000,16,0)&lt;=999,VLOOKUP(E69,[1]Material!F$5:U$90000,16,0)=INT(VLOOKUP(E69,[1]Material!F$5:U$90000,16,0))),"OEM",
    TRUE,""
  ),
  "không tìm thấy trong file Import"
)</f>
        <v>PURE</v>
      </c>
      <c r="V69" s="235">
        <f>IFERROR(_xlfn.XLOOKUP(E:E,VVMV!B:B,VVMV!J:J),0)</f>
        <v>15.116015418335726</v>
      </c>
      <c r="W69" s="590">
        <f t="shared" si="1"/>
        <v>65.79415766004081</v>
      </c>
      <c r="X69" s="590"/>
    </row>
    <row r="70" spans="1:24" s="235" customFormat="1" ht="36">
      <c r="A70" s="702"/>
      <c r="B70" s="703" t="s">
        <v>2158</v>
      </c>
      <c r="C70" s="703">
        <v>734101625</v>
      </c>
      <c r="D70" s="704">
        <v>46199</v>
      </c>
      <c r="E70" s="705">
        <v>409298924303</v>
      </c>
      <c r="F70" s="704">
        <v>46175</v>
      </c>
      <c r="G70" s="706" t="s">
        <v>378</v>
      </c>
      <c r="H70" s="706" t="s">
        <v>1600</v>
      </c>
      <c r="I70" s="706" t="s">
        <v>937</v>
      </c>
      <c r="J70" s="706" t="s">
        <v>971</v>
      </c>
      <c r="K70" s="703" t="s">
        <v>1137</v>
      </c>
      <c r="L70" s="703">
        <v>9.1999999999999993</v>
      </c>
      <c r="M70" s="707">
        <v>758072</v>
      </c>
      <c r="N70" s="707">
        <v>0</v>
      </c>
      <c r="O70" s="707">
        <v>373350</v>
      </c>
      <c r="P70" s="707">
        <v>59513</v>
      </c>
      <c r="Q70" s="707">
        <v>1190935</v>
      </c>
      <c r="R70" s="708">
        <f>Q70/'Logistics record '!$AD$1</f>
        <v>45.005479555589147</v>
      </c>
      <c r="S70" s="265" t="s">
        <v>1155</v>
      </c>
      <c r="T70" s="232"/>
      <c r="U70" s="235" t="str" cm="1">
        <f t="array" ref="U70">IFERROR(
  _xlfn.IFS(
    VLOOKUP(E70,[1]Material!F$5:U$90000,16,0)="LUC","Lucid",
    VLOOKUP(E70,[1]Material!F$5:U$90000,16,0)="FMC","FORD",
    OR(VLOOKUP(E70,[1]Material!F$5:U$90000,16,0)="PUR",VLOOKUP(E70,[1]Material!F$5:U$90000,16,0)="HLO"),"PURE",
    VLOOKUP(E70,[1]Material!F$5:U$90000,16,0)="AIC","AIC",
    OR(VLOOKUP(E70,[1]Material!F$5:U$90000,16,0)="AGI",VLOOKUP(E70,[1]Material!F$5:U$90000,16,0)="AGIGA"),"AGIGA",
    OR(LEFT(VLOOKUP(E70,[1]Material!F$5:U$90000,16,0),3)="EF-",VLOOKUP(E70,[1]Material!F$5:U$90000,16,0)="EFI"),"EFI",
    AND(ISNUMBER(VLOOKUP(E70,[1]Material!F$5:U$90000,16,0)),VLOOKUP(E70,[1]Material!F$5:U$90000,16,0)&gt;=100,VLOOKUP(E70,[1]Material!F$5:U$90000,16,0)&lt;=999,VLOOKUP(E70,[1]Material!F$5:U$90000,16,0)=INT(VLOOKUP(E70,[1]Material!F$5:U$90000,16,0))),"OEM",
    TRUE,""
  ),
  "không tìm thấy trong file Import"
)</f>
        <v>EFI</v>
      </c>
      <c r="V70" s="235">
        <f>IFERROR(_xlfn.XLOOKUP(E:E,VVMV!B:B,VVMV!J:J),0)</f>
        <v>15.116015418335726</v>
      </c>
      <c r="W70" s="590">
        <f t="shared" si="1"/>
        <v>60.121494973924875</v>
      </c>
      <c r="X70" s="590"/>
    </row>
    <row r="71" spans="1:24" s="235" customFormat="1" ht="36">
      <c r="A71" s="702"/>
      <c r="B71" s="703" t="s">
        <v>2158</v>
      </c>
      <c r="C71" s="703">
        <v>734101625</v>
      </c>
      <c r="D71" s="704">
        <v>46199</v>
      </c>
      <c r="E71" s="705">
        <v>381714354771</v>
      </c>
      <c r="F71" s="704">
        <v>46175</v>
      </c>
      <c r="G71" s="706" t="s">
        <v>802</v>
      </c>
      <c r="H71" s="706" t="s">
        <v>1593</v>
      </c>
      <c r="I71" s="706" t="s">
        <v>931</v>
      </c>
      <c r="J71" s="706" t="s">
        <v>971</v>
      </c>
      <c r="K71" s="703" t="s">
        <v>1137</v>
      </c>
      <c r="L71" s="703">
        <v>1.1000000000000001</v>
      </c>
      <c r="M71" s="707">
        <v>359912</v>
      </c>
      <c r="N71" s="707">
        <v>0</v>
      </c>
      <c r="O71" s="707">
        <v>177257</v>
      </c>
      <c r="P71" s="707">
        <v>28255</v>
      </c>
      <c r="Q71" s="707">
        <v>565424</v>
      </c>
      <c r="R71" s="708">
        <f>Q71/'Logistics record '!$AD$1</f>
        <v>21.367394754742651</v>
      </c>
      <c r="S71" s="265" t="s">
        <v>1155</v>
      </c>
      <c r="T71" s="232"/>
      <c r="U71" s="235" t="str" cm="1">
        <f t="array" ref="U71">IFERROR(
  _xlfn.IFS(
    VLOOKUP(E71,[1]Material!F$5:U$90000,16,0)="LUC","Lucid",
    VLOOKUP(E71,[1]Material!F$5:U$90000,16,0)="FMC","FORD",
    OR(VLOOKUP(E71,[1]Material!F$5:U$90000,16,0)="PUR",VLOOKUP(E71,[1]Material!F$5:U$90000,16,0)="HLO"),"PURE",
    VLOOKUP(E71,[1]Material!F$5:U$90000,16,0)="AIC","AIC",
    OR(VLOOKUP(E71,[1]Material!F$5:U$90000,16,0)="AGI",VLOOKUP(E71,[1]Material!F$5:U$90000,16,0)="AGIGA"),"AGIGA",
    OR(LEFT(VLOOKUP(E71,[1]Material!F$5:U$90000,16,0),3)="EF-",VLOOKUP(E71,[1]Material!F$5:U$90000,16,0)="EFI"),"EFI",
    AND(ISNUMBER(VLOOKUP(E71,[1]Material!F$5:U$90000,16,0)),VLOOKUP(E71,[1]Material!F$5:U$90000,16,0)&gt;=100,VLOOKUP(E71,[1]Material!F$5:U$90000,16,0)&lt;=999,VLOOKUP(E71,[1]Material!F$5:U$90000,16,0)=INT(VLOOKUP(E71,[1]Material!F$5:U$90000,16,0))),"OEM",
    TRUE,""
  ),
  "không tìm thấy trong file Import"
)</f>
        <v>EFI</v>
      </c>
      <c r="V71" s="235">
        <f>IFERROR(_xlfn.XLOOKUP(E:E,VVMV!B:B,VVMV!J:J),0)</f>
        <v>15.116015418335726</v>
      </c>
      <c r="W71" s="590">
        <f t="shared" si="1"/>
        <v>36.483410173078376</v>
      </c>
      <c r="X71" s="590"/>
    </row>
    <row r="72" spans="1:24" s="235" customFormat="1" ht="36">
      <c r="A72" s="702"/>
      <c r="B72" s="703" t="s">
        <v>2158</v>
      </c>
      <c r="C72" s="703">
        <v>734101625</v>
      </c>
      <c r="D72" s="704">
        <v>46199</v>
      </c>
      <c r="E72" s="705">
        <v>872573559760</v>
      </c>
      <c r="F72" s="704">
        <v>46176</v>
      </c>
      <c r="G72" s="706" t="s">
        <v>807</v>
      </c>
      <c r="H72" s="706" t="s">
        <v>1595</v>
      </c>
      <c r="I72" s="706" t="s">
        <v>937</v>
      </c>
      <c r="J72" s="706" t="s">
        <v>971</v>
      </c>
      <c r="K72" s="703" t="s">
        <v>1137</v>
      </c>
      <c r="L72" s="703">
        <v>32.9</v>
      </c>
      <c r="M72" s="707">
        <v>1715939</v>
      </c>
      <c r="N72" s="707">
        <v>0</v>
      </c>
      <c r="O72" s="707">
        <v>845100</v>
      </c>
      <c r="P72" s="707">
        <v>134711</v>
      </c>
      <c r="Q72" s="707">
        <v>2695750</v>
      </c>
      <c r="R72" s="708">
        <f>Q72/'Logistics record '!$AD$1</f>
        <v>101.87249640994634</v>
      </c>
      <c r="S72" s="265" t="s">
        <v>1155</v>
      </c>
      <c r="T72" s="232"/>
      <c r="U72" s="235" t="str" cm="1">
        <f t="array" ref="U72">IFERROR(
  _xlfn.IFS(
    VLOOKUP(E72,[1]Material!F$5:U$90000,16,0)="LUC","Lucid",
    VLOOKUP(E72,[1]Material!F$5:U$90000,16,0)="FMC","FORD",
    OR(VLOOKUP(E72,[1]Material!F$5:U$90000,16,0)="PUR",VLOOKUP(E72,[1]Material!F$5:U$90000,16,0)="HLO"),"PURE",
    VLOOKUP(E72,[1]Material!F$5:U$90000,16,0)="AIC","AIC",
    OR(VLOOKUP(E72,[1]Material!F$5:U$90000,16,0)="AGI",VLOOKUP(E72,[1]Material!F$5:U$90000,16,0)="AGIGA"),"AGIGA",
    OR(LEFT(VLOOKUP(E72,[1]Material!F$5:U$90000,16,0),3)="EF-",VLOOKUP(E72,[1]Material!F$5:U$90000,16,0)="EFI"),"EFI",
    AND(ISNUMBER(VLOOKUP(E72,[1]Material!F$5:U$90000,16,0)),VLOOKUP(E72,[1]Material!F$5:U$90000,16,0)&gt;=100,VLOOKUP(E72,[1]Material!F$5:U$90000,16,0)&lt;=999,VLOOKUP(E72,[1]Material!F$5:U$90000,16,0)=INT(VLOOKUP(E72,[1]Material!F$5:U$90000,16,0))),"OEM",
    TRUE,""
  ),
  "không tìm thấy trong file Import"
)</f>
        <v>PURE</v>
      </c>
      <c r="V72" s="235">
        <f>IFERROR(_xlfn.XLOOKUP(E:E,VVMV!B:B,VVMV!J:J),0)</f>
        <v>15.116015418335726</v>
      </c>
      <c r="W72" s="590">
        <f t="shared" si="1"/>
        <v>116.98851182828206</v>
      </c>
      <c r="X72" s="590"/>
    </row>
    <row r="73" spans="1:24" s="235" customFormat="1" ht="36">
      <c r="A73" s="702"/>
      <c r="B73" s="703" t="s">
        <v>2158</v>
      </c>
      <c r="C73" s="703">
        <v>734101625</v>
      </c>
      <c r="D73" s="704">
        <v>46199</v>
      </c>
      <c r="E73" s="705">
        <v>815918865353</v>
      </c>
      <c r="F73" s="704">
        <v>46176</v>
      </c>
      <c r="G73" s="706" t="s">
        <v>2165</v>
      </c>
      <c r="H73" s="706" t="s">
        <v>2166</v>
      </c>
      <c r="I73" s="706" t="s">
        <v>937</v>
      </c>
      <c r="J73" s="706" t="s">
        <v>971</v>
      </c>
      <c r="K73" s="703" t="s">
        <v>1151</v>
      </c>
      <c r="L73" s="703">
        <v>12.5</v>
      </c>
      <c r="M73" s="707">
        <v>884930</v>
      </c>
      <c r="N73" s="707">
        <v>0</v>
      </c>
      <c r="O73" s="707">
        <v>435828</v>
      </c>
      <c r="P73" s="707">
        <v>69472</v>
      </c>
      <c r="Q73" s="707">
        <v>1390230</v>
      </c>
      <c r="R73" s="708">
        <f>Q73/'Logistics record '!$AD$1</f>
        <v>52.536845287582196</v>
      </c>
      <c r="S73" s="265" t="s">
        <v>1155</v>
      </c>
      <c r="T73" s="232"/>
      <c r="U73" s="235" t="str" cm="1">
        <f t="array" ref="U73">IFERROR(
  _xlfn.IFS(
    VLOOKUP(E73,[1]Material!F$5:U$90000,16,0)="LUC","Lucid",
    VLOOKUP(E73,[1]Material!F$5:U$90000,16,0)="FMC","FORD",
    OR(VLOOKUP(E73,[1]Material!F$5:U$90000,16,0)="PUR",VLOOKUP(E73,[1]Material!F$5:U$90000,16,0)="HLO"),"PURE",
    VLOOKUP(E73,[1]Material!F$5:U$90000,16,0)="AIC","AIC",
    OR(VLOOKUP(E73,[1]Material!F$5:U$90000,16,0)="AGI",VLOOKUP(E73,[1]Material!F$5:U$90000,16,0)="AGIGA"),"AGIGA",
    OR(LEFT(VLOOKUP(E73,[1]Material!F$5:U$90000,16,0),3)="EF-",VLOOKUP(E73,[1]Material!F$5:U$90000,16,0)="EFI"),"EFI",
    AND(ISNUMBER(VLOOKUP(E73,[1]Material!F$5:U$90000,16,0)),VLOOKUP(E73,[1]Material!F$5:U$90000,16,0)&gt;=100,VLOOKUP(E73,[1]Material!F$5:U$90000,16,0)&lt;=999,VLOOKUP(E73,[1]Material!F$5:U$90000,16,0)=INT(VLOOKUP(E73,[1]Material!F$5:U$90000,16,0))),"OEM",
    TRUE,""
  ),
  "không tìm thấy trong file Import"
)</f>
        <v>EFI</v>
      </c>
      <c r="V73" s="235">
        <f>IFERROR(_xlfn.XLOOKUP(E:E,VVMV!B:B,VVMV!J:J),0)</f>
        <v>15.116015418335726</v>
      </c>
      <c r="W73" s="590">
        <f t="shared" si="1"/>
        <v>67.652860705917917</v>
      </c>
      <c r="X73" s="590"/>
    </row>
    <row r="74" spans="1:24" s="235" customFormat="1" ht="24">
      <c r="A74" s="702"/>
      <c r="B74" s="703" t="s">
        <v>2158</v>
      </c>
      <c r="C74" s="703">
        <v>734101625</v>
      </c>
      <c r="D74" s="704">
        <v>46199</v>
      </c>
      <c r="E74" s="705">
        <v>872536997117</v>
      </c>
      <c r="F74" s="704">
        <v>46176</v>
      </c>
      <c r="G74" s="706" t="s">
        <v>844</v>
      </c>
      <c r="H74" s="706" t="s">
        <v>110</v>
      </c>
      <c r="I74" s="706" t="s">
        <v>937</v>
      </c>
      <c r="J74" s="706" t="s">
        <v>971</v>
      </c>
      <c r="K74" s="703" t="s">
        <v>1137</v>
      </c>
      <c r="L74" s="703">
        <v>2.5</v>
      </c>
      <c r="M74" s="707">
        <v>346269</v>
      </c>
      <c r="N74" s="707">
        <v>0</v>
      </c>
      <c r="O74" s="707">
        <v>170537</v>
      </c>
      <c r="P74" s="707">
        <v>27184</v>
      </c>
      <c r="Q74" s="707">
        <v>543990</v>
      </c>
      <c r="R74" s="708">
        <f>Q74/'Logistics record '!$AD$1</f>
        <v>20.557403068551128</v>
      </c>
      <c r="S74" s="265" t="s">
        <v>1155</v>
      </c>
      <c r="T74" s="232"/>
      <c r="U74" s="235" t="str" cm="1">
        <f t="array" ref="U74">IFERROR(
  _xlfn.IFS(
    VLOOKUP(E74,[1]Material!F$5:U$90000,16,0)="LUC","Lucid",
    VLOOKUP(E74,[1]Material!F$5:U$90000,16,0)="FMC","FORD",
    OR(VLOOKUP(E74,[1]Material!F$5:U$90000,16,0)="PUR",VLOOKUP(E74,[1]Material!F$5:U$90000,16,0)="HLO"),"PURE",
    VLOOKUP(E74,[1]Material!F$5:U$90000,16,0)="AIC","AIC",
    OR(VLOOKUP(E74,[1]Material!F$5:U$90000,16,0)="AGI",VLOOKUP(E74,[1]Material!F$5:U$90000,16,0)="AGIGA"),"AGIGA",
    OR(LEFT(VLOOKUP(E74,[1]Material!F$5:U$90000,16,0),3)="EF-",VLOOKUP(E74,[1]Material!F$5:U$90000,16,0)="EFI"),"EFI",
    AND(ISNUMBER(VLOOKUP(E74,[1]Material!F$5:U$90000,16,0)),VLOOKUP(E74,[1]Material!F$5:U$90000,16,0)&gt;=100,VLOOKUP(E74,[1]Material!F$5:U$90000,16,0)&lt;=999,VLOOKUP(E74,[1]Material!F$5:U$90000,16,0)=INT(VLOOKUP(E74,[1]Material!F$5:U$90000,16,0))),"OEM",
    TRUE,""
  ),
  "không tìm thấy trong file Import"
)</f>
        <v>EFI</v>
      </c>
      <c r="V74" s="235">
        <f>IFERROR(_xlfn.XLOOKUP(E:E,VVMV!B:B,VVMV!J:J),0)</f>
        <v>15.116015418335726</v>
      </c>
      <c r="W74" s="590">
        <f t="shared" si="1"/>
        <v>35.673418486886852</v>
      </c>
      <c r="X74" s="590"/>
    </row>
    <row r="75" spans="1:24" s="235" customFormat="1" ht="36">
      <c r="A75" s="702"/>
      <c r="B75" s="703" t="s">
        <v>2158</v>
      </c>
      <c r="C75" s="703">
        <v>734101625</v>
      </c>
      <c r="D75" s="704">
        <v>46199</v>
      </c>
      <c r="E75" s="705">
        <v>517485671719</v>
      </c>
      <c r="F75" s="704">
        <v>46176</v>
      </c>
      <c r="G75" s="706" t="s">
        <v>381</v>
      </c>
      <c r="H75" s="706" t="s">
        <v>1874</v>
      </c>
      <c r="I75" s="706" t="s">
        <v>927</v>
      </c>
      <c r="J75" s="706" t="s">
        <v>971</v>
      </c>
      <c r="K75" s="703" t="s">
        <v>1137</v>
      </c>
      <c r="L75" s="703">
        <v>49.2</v>
      </c>
      <c r="M75" s="707">
        <v>2644080</v>
      </c>
      <c r="N75" s="707">
        <v>0</v>
      </c>
      <c r="O75" s="707">
        <v>1302209</v>
      </c>
      <c r="P75" s="707">
        <v>207575</v>
      </c>
      <c r="Q75" s="707">
        <v>4153864</v>
      </c>
      <c r="R75" s="708">
        <f>Q75/'Logistics record '!$AD$1</f>
        <v>156.97468067417429</v>
      </c>
      <c r="S75" s="265" t="s">
        <v>1155</v>
      </c>
      <c r="T75" s="232"/>
      <c r="U75" s="235" t="str" cm="1">
        <f t="array" ref="U75">IFERROR(
  _xlfn.IFS(
    VLOOKUP(E75,[1]Material!F$5:U$90000,16,0)="LUC","Lucid",
    VLOOKUP(E75,[1]Material!F$5:U$90000,16,0)="FMC","FORD",
    OR(VLOOKUP(E75,[1]Material!F$5:U$90000,16,0)="PUR",VLOOKUP(E75,[1]Material!F$5:U$90000,16,0)="HLO"),"PURE",
    VLOOKUP(E75,[1]Material!F$5:U$90000,16,0)="AIC","AIC",
    OR(VLOOKUP(E75,[1]Material!F$5:U$90000,16,0)="AGI",VLOOKUP(E75,[1]Material!F$5:U$90000,16,0)="AGIGA"),"AGIGA",
    OR(LEFT(VLOOKUP(E75,[1]Material!F$5:U$90000,16,0),3)="EF-",VLOOKUP(E75,[1]Material!F$5:U$90000,16,0)="EFI"),"EFI",
    AND(ISNUMBER(VLOOKUP(E75,[1]Material!F$5:U$90000,16,0)),VLOOKUP(E75,[1]Material!F$5:U$90000,16,0)&gt;=100,VLOOKUP(E75,[1]Material!F$5:U$90000,16,0)&lt;=999,VLOOKUP(E75,[1]Material!F$5:U$90000,16,0)=INT(VLOOKUP(E75,[1]Material!F$5:U$90000,16,0))),"OEM",
    TRUE,""
  ),
  "không tìm thấy trong file Import"
)</f>
        <v>PURE</v>
      </c>
      <c r="V75" s="235">
        <f>IFERROR(_xlfn.XLOOKUP(E:E,VVMV!B:B,VVMV!J:J),0)</f>
        <v>15.116015418335726</v>
      </c>
      <c r="W75" s="590">
        <f t="shared" si="1"/>
        <v>172.09069609251003</v>
      </c>
      <c r="X75" s="590"/>
    </row>
    <row r="76" spans="1:24" s="235" customFormat="1" ht="36">
      <c r="A76" s="702"/>
      <c r="B76" s="703" t="s">
        <v>2158</v>
      </c>
      <c r="C76" s="703">
        <v>734101625</v>
      </c>
      <c r="D76" s="704">
        <v>46199</v>
      </c>
      <c r="E76" s="705">
        <v>872525360230</v>
      </c>
      <c r="F76" s="704">
        <v>46176</v>
      </c>
      <c r="G76" s="706" t="s">
        <v>1481</v>
      </c>
      <c r="H76" s="706" t="s">
        <v>1596</v>
      </c>
      <c r="I76" s="706" t="s">
        <v>937</v>
      </c>
      <c r="J76" s="706" t="s">
        <v>971</v>
      </c>
      <c r="K76" s="703" t="s">
        <v>1137</v>
      </c>
      <c r="L76" s="703">
        <v>7.2</v>
      </c>
      <c r="M76" s="707">
        <v>666349</v>
      </c>
      <c r="N76" s="707">
        <v>0</v>
      </c>
      <c r="O76" s="707">
        <v>328177</v>
      </c>
      <c r="P76" s="707">
        <v>52312</v>
      </c>
      <c r="Q76" s="707">
        <v>1046838</v>
      </c>
      <c r="R76" s="708">
        <f>Q76/'Logistics record '!$AD$1</f>
        <v>39.560048371249337</v>
      </c>
      <c r="S76" s="265" t="s">
        <v>1155</v>
      </c>
      <c r="T76" s="232"/>
      <c r="U76" s="235" t="str" cm="1">
        <f t="array" ref="U76">IFERROR(
  _xlfn.IFS(
    VLOOKUP(E76,[1]Material!F$5:U$90000,16,0)="LUC","Lucid",
    VLOOKUP(E76,[1]Material!F$5:U$90000,16,0)="FMC","FORD",
    OR(VLOOKUP(E76,[1]Material!F$5:U$90000,16,0)="PUR",VLOOKUP(E76,[1]Material!F$5:U$90000,16,0)="HLO"),"PURE",
    VLOOKUP(E76,[1]Material!F$5:U$90000,16,0)="AIC","AIC",
    OR(VLOOKUP(E76,[1]Material!F$5:U$90000,16,0)="AGI",VLOOKUP(E76,[1]Material!F$5:U$90000,16,0)="AGIGA"),"AGIGA",
    OR(LEFT(VLOOKUP(E76,[1]Material!F$5:U$90000,16,0),3)="EF-",VLOOKUP(E76,[1]Material!F$5:U$90000,16,0)="EFI"),"EFI",
    AND(ISNUMBER(VLOOKUP(E76,[1]Material!F$5:U$90000,16,0)),VLOOKUP(E76,[1]Material!F$5:U$90000,16,0)&gt;=100,VLOOKUP(E76,[1]Material!F$5:U$90000,16,0)&lt;=999,VLOOKUP(E76,[1]Material!F$5:U$90000,16,0)=INT(VLOOKUP(E76,[1]Material!F$5:U$90000,16,0))),"OEM",
    TRUE,""
  ),
  "không tìm thấy trong file Import"
)</f>
        <v>EFI</v>
      </c>
      <c r="V76" s="235">
        <f>IFERROR(_xlfn.XLOOKUP(E:E,VVMV!B:B,VVMV!J:J),0)</f>
        <v>15.116015418335726</v>
      </c>
      <c r="W76" s="590">
        <f t="shared" si="1"/>
        <v>54.676063789585065</v>
      </c>
      <c r="X76" s="590"/>
    </row>
    <row r="77" spans="1:24" s="235" customFormat="1" ht="36">
      <c r="A77" s="702"/>
      <c r="B77" s="703" t="s">
        <v>2158</v>
      </c>
      <c r="C77" s="703">
        <v>734101625</v>
      </c>
      <c r="D77" s="704">
        <v>46199</v>
      </c>
      <c r="E77" s="705">
        <v>872577301890</v>
      </c>
      <c r="F77" s="704">
        <v>46176</v>
      </c>
      <c r="G77" s="706" t="s">
        <v>2167</v>
      </c>
      <c r="H77" s="706" t="s">
        <v>1593</v>
      </c>
      <c r="I77" s="706" t="s">
        <v>931</v>
      </c>
      <c r="J77" s="706" t="s">
        <v>971</v>
      </c>
      <c r="K77" s="703" t="s">
        <v>1137</v>
      </c>
      <c r="L77" s="703">
        <v>0.6</v>
      </c>
      <c r="M77" s="707">
        <v>295365</v>
      </c>
      <c r="N77" s="707">
        <v>0</v>
      </c>
      <c r="O77" s="707">
        <v>145467</v>
      </c>
      <c r="P77" s="707">
        <v>23188</v>
      </c>
      <c r="Q77" s="707">
        <v>464020</v>
      </c>
      <c r="R77" s="708">
        <f>Q77/'Logistics record '!$AD$1</f>
        <v>17.53533368604036</v>
      </c>
      <c r="S77" s="265" t="s">
        <v>1155</v>
      </c>
      <c r="T77" s="232"/>
      <c r="U77" s="235" t="s">
        <v>76</v>
      </c>
      <c r="V77" s="235">
        <f>IFERROR(_xlfn.XLOOKUP(E:E,VVMV!B:B,VVMV!J:J),0)</f>
        <v>0</v>
      </c>
      <c r="W77" s="590">
        <f t="shared" si="1"/>
        <v>17.53533368604036</v>
      </c>
      <c r="X77" s="590"/>
    </row>
    <row r="78" spans="1:24" s="235" customFormat="1" ht="36">
      <c r="A78" s="702"/>
      <c r="B78" s="703" t="s">
        <v>2158</v>
      </c>
      <c r="C78" s="703">
        <v>734101625</v>
      </c>
      <c r="D78" s="704">
        <v>46199</v>
      </c>
      <c r="E78" s="705">
        <v>872628217295</v>
      </c>
      <c r="F78" s="704">
        <v>46177</v>
      </c>
      <c r="G78" s="706" t="s">
        <v>1820</v>
      </c>
      <c r="H78" s="706" t="s">
        <v>2168</v>
      </c>
      <c r="I78" s="706" t="s">
        <v>932</v>
      </c>
      <c r="J78" s="706" t="s">
        <v>971</v>
      </c>
      <c r="K78" s="703" t="s">
        <v>1137</v>
      </c>
      <c r="L78" s="703">
        <v>1.9</v>
      </c>
      <c r="M78" s="707">
        <v>413236</v>
      </c>
      <c r="N78" s="707">
        <v>0</v>
      </c>
      <c r="O78" s="707">
        <v>203519</v>
      </c>
      <c r="P78" s="707">
        <v>32441</v>
      </c>
      <c r="Q78" s="707">
        <v>649196</v>
      </c>
      <c r="R78" s="708">
        <f>Q78/'Logistics record '!$AD$1</f>
        <v>24.533141863804701</v>
      </c>
      <c r="S78" s="265" t="s">
        <v>1155</v>
      </c>
      <c r="T78" s="232"/>
      <c r="U78" s="235" t="str" cm="1">
        <f t="array" ref="U78">IFERROR(
  _xlfn.IFS(
    VLOOKUP(E78,[1]Material!F$5:U$90000,16,0)="LUC","Lucid",
    VLOOKUP(E78,[1]Material!F$5:U$90000,16,0)="FMC","FORD",
    OR(VLOOKUP(E78,[1]Material!F$5:U$90000,16,0)="PUR",VLOOKUP(E78,[1]Material!F$5:U$90000,16,0)="HLO"),"PURE",
    VLOOKUP(E78,[1]Material!F$5:U$90000,16,0)="AIC","AIC",
    OR(VLOOKUP(E78,[1]Material!F$5:U$90000,16,0)="AGI",VLOOKUP(E78,[1]Material!F$5:U$90000,16,0)="AGIGA"),"AGIGA",
    OR(LEFT(VLOOKUP(E78,[1]Material!F$5:U$90000,16,0),3)="EF-",VLOOKUP(E78,[1]Material!F$5:U$90000,16,0)="EFI"),"EFI",
    AND(ISNUMBER(VLOOKUP(E78,[1]Material!F$5:U$90000,16,0)),VLOOKUP(E78,[1]Material!F$5:U$90000,16,0)&gt;=100,VLOOKUP(E78,[1]Material!F$5:U$90000,16,0)&lt;=999,VLOOKUP(E78,[1]Material!F$5:U$90000,16,0)=INT(VLOOKUP(E78,[1]Material!F$5:U$90000,16,0))),"OEM",
    TRUE,""
  ),
  "không tìm thấy trong file Import"
)</f>
        <v>OEM</v>
      </c>
      <c r="V78" s="235">
        <f>IFERROR(_xlfn.XLOOKUP(E:E,VVMV!B:B,VVMV!J:J),0)</f>
        <v>15.116015418335726</v>
      </c>
      <c r="W78" s="590">
        <f t="shared" si="1"/>
        <v>39.649157282140429</v>
      </c>
      <c r="X78" s="590"/>
    </row>
    <row r="79" spans="1:24" s="235" customFormat="1" ht="36">
      <c r="A79" s="702"/>
      <c r="B79" s="703" t="s">
        <v>2158</v>
      </c>
      <c r="C79" s="703">
        <v>734101625</v>
      </c>
      <c r="D79" s="704">
        <v>46199</v>
      </c>
      <c r="E79" s="705">
        <v>872629406576</v>
      </c>
      <c r="F79" s="704">
        <v>46177</v>
      </c>
      <c r="G79" s="706" t="s">
        <v>807</v>
      </c>
      <c r="H79" s="706" t="s">
        <v>1595</v>
      </c>
      <c r="I79" s="706" t="s">
        <v>937</v>
      </c>
      <c r="J79" s="706" t="s">
        <v>971</v>
      </c>
      <c r="K79" s="703" t="s">
        <v>1137</v>
      </c>
      <c r="L79" s="703">
        <v>40.299999999999997</v>
      </c>
      <c r="M79" s="707">
        <v>1937794</v>
      </c>
      <c r="N79" s="707">
        <v>0</v>
      </c>
      <c r="O79" s="707">
        <v>954364</v>
      </c>
      <c r="P79" s="707">
        <v>152128</v>
      </c>
      <c r="Q79" s="707">
        <v>3044286</v>
      </c>
      <c r="R79" s="708">
        <f>Q79/'Logistics record '!$AD$1</f>
        <v>115.04368528455899</v>
      </c>
      <c r="S79" s="265" t="s">
        <v>1155</v>
      </c>
      <c r="T79" s="232"/>
      <c r="U79" s="235" t="str" cm="1">
        <f t="array" ref="U79">IFERROR(
  _xlfn.IFS(
    VLOOKUP(E79,[1]Material!F$5:U$90000,16,0)="LUC","Lucid",
    VLOOKUP(E79,[1]Material!F$5:U$90000,16,0)="FMC","FORD",
    OR(VLOOKUP(E79,[1]Material!F$5:U$90000,16,0)="PUR",VLOOKUP(E79,[1]Material!F$5:U$90000,16,0)="HLO"),"PURE",
    VLOOKUP(E79,[1]Material!F$5:U$90000,16,0)="AIC","AIC",
    OR(VLOOKUP(E79,[1]Material!F$5:U$90000,16,0)="AGI",VLOOKUP(E79,[1]Material!F$5:U$90000,16,0)="AGIGA"),"AGIGA",
    OR(LEFT(VLOOKUP(E79,[1]Material!F$5:U$90000,16,0),3)="EF-",VLOOKUP(E79,[1]Material!F$5:U$90000,16,0)="EFI"),"EFI",
    AND(ISNUMBER(VLOOKUP(E79,[1]Material!F$5:U$90000,16,0)),VLOOKUP(E79,[1]Material!F$5:U$90000,16,0)&gt;=100,VLOOKUP(E79,[1]Material!F$5:U$90000,16,0)&lt;=999,VLOOKUP(E79,[1]Material!F$5:U$90000,16,0)=INT(VLOOKUP(E79,[1]Material!F$5:U$90000,16,0))),"OEM",
    TRUE,""
  ),
  "không tìm thấy trong file Import"
)</f>
        <v>PURE</v>
      </c>
      <c r="V79" s="235">
        <f>IFERROR(_xlfn.XLOOKUP(E:E,VVMV!B:B,VVMV!J:J),0)</f>
        <v>15.116015418335726</v>
      </c>
      <c r="W79" s="590">
        <f t="shared" si="1"/>
        <v>130.15970070289472</v>
      </c>
      <c r="X79" s="590"/>
    </row>
    <row r="80" spans="1:24" s="235" customFormat="1" ht="24">
      <c r="A80" s="702"/>
      <c r="B80" s="703" t="s">
        <v>2158</v>
      </c>
      <c r="C80" s="703">
        <v>734101625</v>
      </c>
      <c r="D80" s="704">
        <v>46199</v>
      </c>
      <c r="E80" s="705">
        <v>809262197638</v>
      </c>
      <c r="F80" s="704">
        <v>46177</v>
      </c>
      <c r="G80" s="706" t="s">
        <v>2169</v>
      </c>
      <c r="H80" s="706" t="s">
        <v>1150</v>
      </c>
      <c r="I80" s="706" t="s">
        <v>927</v>
      </c>
      <c r="J80" s="706" t="s">
        <v>971</v>
      </c>
      <c r="K80" s="703" t="s">
        <v>1151</v>
      </c>
      <c r="L80" s="703">
        <v>52.6</v>
      </c>
      <c r="M80" s="707">
        <v>3136243</v>
      </c>
      <c r="N80" s="707">
        <v>0</v>
      </c>
      <c r="O80" s="707">
        <v>1544600</v>
      </c>
      <c r="P80" s="707">
        <v>246212</v>
      </c>
      <c r="Q80" s="707">
        <v>4927055</v>
      </c>
      <c r="R80" s="708">
        <f>Q80/'Logistics record '!$AD$1</f>
        <v>186.19359836747034</v>
      </c>
      <c r="S80" s="265" t="s">
        <v>1155</v>
      </c>
      <c r="T80" s="232"/>
      <c r="U80" s="235" t="str" cm="1">
        <f t="array" ref="U80">IFERROR(
  _xlfn.IFS(
    VLOOKUP(E80,[1]Material!F$5:U$90000,16,0)="LUC","Lucid",
    VLOOKUP(E80,[1]Material!F$5:U$90000,16,0)="FMC","FORD",
    OR(VLOOKUP(E80,[1]Material!F$5:U$90000,16,0)="PUR",VLOOKUP(E80,[1]Material!F$5:U$90000,16,0)="HLO"),"PURE",
    VLOOKUP(E80,[1]Material!F$5:U$90000,16,0)="AIC","AIC",
    OR(VLOOKUP(E80,[1]Material!F$5:U$90000,16,0)="AGI",VLOOKUP(E80,[1]Material!F$5:U$90000,16,0)="AGIGA"),"AGIGA",
    OR(LEFT(VLOOKUP(E80,[1]Material!F$5:U$90000,16,0),3)="EF-",VLOOKUP(E80,[1]Material!F$5:U$90000,16,0)="EFI"),"EFI",
    AND(ISNUMBER(VLOOKUP(E80,[1]Material!F$5:U$90000,16,0)),VLOOKUP(E80,[1]Material!F$5:U$90000,16,0)&gt;=100,VLOOKUP(E80,[1]Material!F$5:U$90000,16,0)&lt;=999,VLOOKUP(E80,[1]Material!F$5:U$90000,16,0)=INT(VLOOKUP(E80,[1]Material!F$5:U$90000,16,0))),"OEM",
    TRUE,""
  ),
  "không tìm thấy trong file Import"
)</f>
        <v>OEM</v>
      </c>
      <c r="V80" s="235">
        <f>IFERROR(_xlfn.XLOOKUP(E:E,VVMV!B:B,VVMV!J:J),0)</f>
        <v>15.116015418335726</v>
      </c>
      <c r="W80" s="590">
        <f t="shared" si="1"/>
        <v>201.30961378580608</v>
      </c>
      <c r="X80" s="590"/>
    </row>
    <row r="81" spans="1:24" s="235" customFormat="1" ht="36">
      <c r="A81" s="702"/>
      <c r="B81" s="703" t="s">
        <v>2158</v>
      </c>
      <c r="C81" s="703">
        <v>734101625</v>
      </c>
      <c r="D81" s="704">
        <v>46199</v>
      </c>
      <c r="E81" s="705">
        <v>381795282566</v>
      </c>
      <c r="F81" s="704">
        <v>46177</v>
      </c>
      <c r="G81" s="706" t="s">
        <v>1605</v>
      </c>
      <c r="H81" s="706" t="s">
        <v>110</v>
      </c>
      <c r="I81" s="706" t="s">
        <v>954</v>
      </c>
      <c r="J81" s="706" t="s">
        <v>971</v>
      </c>
      <c r="K81" s="703" t="s">
        <v>1137</v>
      </c>
      <c r="L81" s="703">
        <v>6</v>
      </c>
      <c r="M81" s="707">
        <v>693863</v>
      </c>
      <c r="N81" s="707">
        <v>0</v>
      </c>
      <c r="O81" s="707">
        <v>341728</v>
      </c>
      <c r="P81" s="707">
        <v>54472</v>
      </c>
      <c r="Q81" s="707">
        <v>1090063</v>
      </c>
      <c r="R81" s="708">
        <f>Q81/'Logistics record '!$AD$1</f>
        <v>41.193522787393242</v>
      </c>
      <c r="S81" s="265" t="s">
        <v>1155</v>
      </c>
      <c r="T81" s="232"/>
      <c r="U81" s="235" t="str" cm="1">
        <f t="array" ref="U81">IFERROR(
  _xlfn.IFS(
    VLOOKUP(E81,[1]Material!F$5:U$90000,16,0)="LUC","Lucid",
    VLOOKUP(E81,[1]Material!F$5:U$90000,16,0)="FMC","FORD",
    OR(VLOOKUP(E81,[1]Material!F$5:U$90000,16,0)="PUR",VLOOKUP(E81,[1]Material!F$5:U$90000,16,0)="HLO"),"PURE",
    VLOOKUP(E81,[1]Material!F$5:U$90000,16,0)="AIC","AIC",
    OR(VLOOKUP(E81,[1]Material!F$5:U$90000,16,0)="AGI",VLOOKUP(E81,[1]Material!F$5:U$90000,16,0)="AGIGA"),"AGIGA",
    OR(LEFT(VLOOKUP(E81,[1]Material!F$5:U$90000,16,0),3)="EF-",VLOOKUP(E81,[1]Material!F$5:U$90000,16,0)="EFI"),"EFI",
    AND(ISNUMBER(VLOOKUP(E81,[1]Material!F$5:U$90000,16,0)),VLOOKUP(E81,[1]Material!F$5:U$90000,16,0)&gt;=100,VLOOKUP(E81,[1]Material!F$5:U$90000,16,0)&lt;=999,VLOOKUP(E81,[1]Material!F$5:U$90000,16,0)=INT(VLOOKUP(E81,[1]Material!F$5:U$90000,16,0))),"OEM",
    TRUE,""
  ),
  "không tìm thấy trong file Import"
)</f>
        <v>PURE</v>
      </c>
      <c r="V81" s="235">
        <f>IFERROR(_xlfn.XLOOKUP(E:E,VVMV!B:B,VVMV!J:J),0)</f>
        <v>15.116015418335726</v>
      </c>
      <c r="W81" s="590">
        <f t="shared" si="1"/>
        <v>56.30953820572897</v>
      </c>
      <c r="X81" s="590"/>
    </row>
    <row r="82" spans="1:24" s="235" customFormat="1" ht="36">
      <c r="A82" s="702"/>
      <c r="B82" s="703" t="s">
        <v>2158</v>
      </c>
      <c r="C82" s="703">
        <v>734101625</v>
      </c>
      <c r="D82" s="704">
        <v>46199</v>
      </c>
      <c r="E82" s="705">
        <v>872631660330</v>
      </c>
      <c r="F82" s="704">
        <v>46177</v>
      </c>
      <c r="G82" s="706" t="s">
        <v>650</v>
      </c>
      <c r="H82" s="706" t="s">
        <v>1595</v>
      </c>
      <c r="I82" s="706" t="s">
        <v>927</v>
      </c>
      <c r="J82" s="706" t="s">
        <v>971</v>
      </c>
      <c r="K82" s="703" t="s">
        <v>1137</v>
      </c>
      <c r="L82" s="703">
        <v>12.4</v>
      </c>
      <c r="M82" s="707">
        <v>856260</v>
      </c>
      <c r="N82" s="707">
        <v>0</v>
      </c>
      <c r="O82" s="707">
        <v>421708</v>
      </c>
      <c r="P82" s="707">
        <v>67221</v>
      </c>
      <c r="Q82" s="707">
        <v>1345189</v>
      </c>
      <c r="R82" s="708">
        <f>Q82/'Logistics record '!$AD$1</f>
        <v>50.834744161439048</v>
      </c>
      <c r="S82" s="265" t="s">
        <v>1155</v>
      </c>
      <c r="T82" s="232"/>
      <c r="U82" s="235" t="str" cm="1">
        <f t="array" ref="U82">IFERROR(
  _xlfn.IFS(
    VLOOKUP(E82,[1]Material!F$5:U$90000,16,0)="LUC","Lucid",
    VLOOKUP(E82,[1]Material!F$5:U$90000,16,0)="FMC","FORD",
    OR(VLOOKUP(E82,[1]Material!F$5:U$90000,16,0)="PUR",VLOOKUP(E82,[1]Material!F$5:U$90000,16,0)="HLO"),"PURE",
    VLOOKUP(E82,[1]Material!F$5:U$90000,16,0)="AIC","AIC",
    OR(VLOOKUP(E82,[1]Material!F$5:U$90000,16,0)="AGI",VLOOKUP(E82,[1]Material!F$5:U$90000,16,0)="AGIGA"),"AGIGA",
    OR(LEFT(VLOOKUP(E82,[1]Material!F$5:U$90000,16,0),3)="EF-",VLOOKUP(E82,[1]Material!F$5:U$90000,16,0)="EFI"),"EFI",
    AND(ISNUMBER(VLOOKUP(E82,[1]Material!F$5:U$90000,16,0)),VLOOKUP(E82,[1]Material!F$5:U$90000,16,0)&gt;=100,VLOOKUP(E82,[1]Material!F$5:U$90000,16,0)&lt;=999,VLOOKUP(E82,[1]Material!F$5:U$90000,16,0)=INT(VLOOKUP(E82,[1]Material!F$5:U$90000,16,0))),"OEM",
    TRUE,""
  ),
  "không tìm thấy trong file Import"
)</f>
        <v>OEM</v>
      </c>
      <c r="V82" s="235">
        <f>IFERROR(_xlfn.XLOOKUP(E:E,VVMV!B:B,VVMV!J:J),0)</f>
        <v>15.116015418335726</v>
      </c>
      <c r="W82" s="590">
        <f t="shared" si="1"/>
        <v>65.950759579774768</v>
      </c>
      <c r="X82" s="590"/>
    </row>
    <row r="83" spans="1:24" s="235" customFormat="1" ht="36">
      <c r="A83" s="702"/>
      <c r="B83" s="703" t="s">
        <v>2158</v>
      </c>
      <c r="C83" s="703">
        <v>734101625</v>
      </c>
      <c r="D83" s="704">
        <v>46199</v>
      </c>
      <c r="E83" s="705">
        <v>381747821205</v>
      </c>
      <c r="F83" s="704">
        <v>46177</v>
      </c>
      <c r="G83" s="706" t="s">
        <v>802</v>
      </c>
      <c r="H83" s="706" t="s">
        <v>1593</v>
      </c>
      <c r="I83" s="706" t="s">
        <v>931</v>
      </c>
      <c r="J83" s="706" t="s">
        <v>971</v>
      </c>
      <c r="K83" s="703" t="s">
        <v>1137</v>
      </c>
      <c r="L83" s="703">
        <v>16.8</v>
      </c>
      <c r="M83" s="707">
        <v>1273454</v>
      </c>
      <c r="N83" s="707">
        <v>0</v>
      </c>
      <c r="O83" s="707">
        <v>627176</v>
      </c>
      <c r="P83" s="707">
        <v>99973</v>
      </c>
      <c r="Q83" s="707">
        <v>2000603</v>
      </c>
      <c r="R83" s="708">
        <f>Q83/'Logistics record '!$AD$1</f>
        <v>75.602864484921781</v>
      </c>
      <c r="S83" s="265" t="s">
        <v>1155</v>
      </c>
      <c r="T83" s="232"/>
      <c r="U83" s="235" t="str" cm="1">
        <f t="array" ref="U83">IFERROR(
  _xlfn.IFS(
    VLOOKUP(E83,[1]Material!F$5:U$90000,16,0)="LUC","Lucid",
    VLOOKUP(E83,[1]Material!F$5:U$90000,16,0)="FMC","FORD",
    OR(VLOOKUP(E83,[1]Material!F$5:U$90000,16,0)="PUR",VLOOKUP(E83,[1]Material!F$5:U$90000,16,0)="HLO"),"PURE",
    VLOOKUP(E83,[1]Material!F$5:U$90000,16,0)="AIC","AIC",
    OR(VLOOKUP(E83,[1]Material!F$5:U$90000,16,0)="AGI",VLOOKUP(E83,[1]Material!F$5:U$90000,16,0)="AGIGA"),"AGIGA",
    OR(LEFT(VLOOKUP(E83,[1]Material!F$5:U$90000,16,0),3)="EF-",VLOOKUP(E83,[1]Material!F$5:U$90000,16,0)="EFI"),"EFI",
    AND(ISNUMBER(VLOOKUP(E83,[1]Material!F$5:U$90000,16,0)),VLOOKUP(E83,[1]Material!F$5:U$90000,16,0)&gt;=100,VLOOKUP(E83,[1]Material!F$5:U$90000,16,0)&lt;=999,VLOOKUP(E83,[1]Material!F$5:U$90000,16,0)=INT(VLOOKUP(E83,[1]Material!F$5:U$90000,16,0))),"OEM",
    TRUE,""
  ),
  "không tìm thấy trong file Import"
)</f>
        <v>Lucid</v>
      </c>
      <c r="V83" s="235">
        <f>IFERROR(_xlfn.XLOOKUP(E:E,VVMV!B:B,VVMV!J:J),0)</f>
        <v>15.116015418335726</v>
      </c>
      <c r="W83" s="590">
        <f t="shared" si="1"/>
        <v>90.718879903257502</v>
      </c>
      <c r="X83" s="590"/>
    </row>
    <row r="84" spans="1:24" s="235" customFormat="1" ht="36">
      <c r="A84" s="702"/>
      <c r="B84" s="703" t="s">
        <v>2158</v>
      </c>
      <c r="C84" s="703">
        <v>734101625</v>
      </c>
      <c r="D84" s="704">
        <v>46199</v>
      </c>
      <c r="E84" s="705">
        <v>381751868559</v>
      </c>
      <c r="F84" s="704">
        <v>46177</v>
      </c>
      <c r="G84" s="706" t="s">
        <v>802</v>
      </c>
      <c r="H84" s="706" t="s">
        <v>1593</v>
      </c>
      <c r="I84" s="706" t="s">
        <v>931</v>
      </c>
      <c r="J84" s="706" t="s">
        <v>971</v>
      </c>
      <c r="K84" s="703" t="s">
        <v>1137</v>
      </c>
      <c r="L84" s="703">
        <v>3.4</v>
      </c>
      <c r="M84" s="707">
        <v>383591</v>
      </c>
      <c r="N84" s="707">
        <v>0</v>
      </c>
      <c r="O84" s="707">
        <v>188919</v>
      </c>
      <c r="P84" s="707">
        <v>30114</v>
      </c>
      <c r="Q84" s="707">
        <v>602624</v>
      </c>
      <c r="R84" s="708">
        <f>Q84/'Logistics record '!$AD$1</f>
        <v>22.773184188647871</v>
      </c>
      <c r="S84" s="265" t="s">
        <v>1155</v>
      </c>
      <c r="T84" s="232"/>
      <c r="U84" s="235" t="str" cm="1">
        <f t="array" ref="U84">IFERROR(
  _xlfn.IFS(
    VLOOKUP(E84,[1]Material!F$5:U$90000,16,0)="LUC","Lucid",
    VLOOKUP(E84,[1]Material!F$5:U$90000,16,0)="FMC","FORD",
    OR(VLOOKUP(E84,[1]Material!F$5:U$90000,16,0)="PUR",VLOOKUP(E84,[1]Material!F$5:U$90000,16,0)="HLO"),"PURE",
    VLOOKUP(E84,[1]Material!F$5:U$90000,16,0)="AIC","AIC",
    OR(VLOOKUP(E84,[1]Material!F$5:U$90000,16,0)="AGI",VLOOKUP(E84,[1]Material!F$5:U$90000,16,0)="AGIGA"),"AGIGA",
    OR(LEFT(VLOOKUP(E84,[1]Material!F$5:U$90000,16,0),3)="EF-",VLOOKUP(E84,[1]Material!F$5:U$90000,16,0)="EFI"),"EFI",
    AND(ISNUMBER(VLOOKUP(E84,[1]Material!F$5:U$90000,16,0)),VLOOKUP(E84,[1]Material!F$5:U$90000,16,0)&gt;=100,VLOOKUP(E84,[1]Material!F$5:U$90000,16,0)&lt;=999,VLOOKUP(E84,[1]Material!F$5:U$90000,16,0)=INT(VLOOKUP(E84,[1]Material!F$5:U$90000,16,0))),"OEM",
    TRUE,""
  ),
  "không tìm thấy trong file Import"
)</f>
        <v>OEM</v>
      </c>
      <c r="V84" s="235">
        <f>IFERROR(_xlfn.XLOOKUP(E:E,VVMV!B:B,VVMV!J:J),0)</f>
        <v>15.116015418335726</v>
      </c>
      <c r="W84" s="590">
        <f t="shared" si="1"/>
        <v>37.889199606983595</v>
      </c>
      <c r="X84" s="590"/>
    </row>
    <row r="85" spans="1:24" s="235" customFormat="1" ht="36">
      <c r="A85" s="702"/>
      <c r="B85" s="703" t="s">
        <v>2158</v>
      </c>
      <c r="C85" s="703">
        <v>734101625</v>
      </c>
      <c r="D85" s="704">
        <v>46199</v>
      </c>
      <c r="E85" s="705">
        <v>477592566243</v>
      </c>
      <c r="F85" s="704">
        <v>46178</v>
      </c>
      <c r="G85" s="706" t="s">
        <v>335</v>
      </c>
      <c r="H85" s="706" t="s">
        <v>1594</v>
      </c>
      <c r="I85" s="706" t="s">
        <v>937</v>
      </c>
      <c r="J85" s="706" t="s">
        <v>971</v>
      </c>
      <c r="K85" s="703" t="s">
        <v>1137</v>
      </c>
      <c r="L85" s="703">
        <v>230.6</v>
      </c>
      <c r="M85" s="707">
        <v>10420502</v>
      </c>
      <c r="N85" s="707">
        <v>0</v>
      </c>
      <c r="O85" s="707">
        <v>5132097</v>
      </c>
      <c r="P85" s="707">
        <v>818067</v>
      </c>
      <c r="Q85" s="707">
        <v>16370666</v>
      </c>
      <c r="R85" s="708">
        <f>Q85/'Logistics record '!$AD$1</f>
        <v>618.64809916106117</v>
      </c>
      <c r="S85" s="265" t="s">
        <v>1155</v>
      </c>
      <c r="T85" s="232"/>
      <c r="U85" s="235" t="str" cm="1">
        <f t="array" ref="U85">IFERROR(
  _xlfn.IFS(
    VLOOKUP(E85,[1]Material!F$5:U$90000,16,0)="LUC","Lucid",
    VLOOKUP(E85,[1]Material!F$5:U$90000,16,0)="FMC","FORD",
    OR(VLOOKUP(E85,[1]Material!F$5:U$90000,16,0)="PUR",VLOOKUP(E85,[1]Material!F$5:U$90000,16,0)="HLO"),"PURE",
    VLOOKUP(E85,[1]Material!F$5:U$90000,16,0)="AIC","AIC",
    OR(VLOOKUP(E85,[1]Material!F$5:U$90000,16,0)="AGI",VLOOKUP(E85,[1]Material!F$5:U$90000,16,0)="AGIGA"),"AGIGA",
    OR(LEFT(VLOOKUP(E85,[1]Material!F$5:U$90000,16,0),3)="EF-",VLOOKUP(E85,[1]Material!F$5:U$90000,16,0)="EFI"),"EFI",
    AND(ISNUMBER(VLOOKUP(E85,[1]Material!F$5:U$90000,16,0)),VLOOKUP(E85,[1]Material!F$5:U$90000,16,0)&gt;=100,VLOOKUP(E85,[1]Material!F$5:U$90000,16,0)&lt;=999,VLOOKUP(E85,[1]Material!F$5:U$90000,16,0)=INT(VLOOKUP(E85,[1]Material!F$5:U$90000,16,0))),"OEM",
    TRUE,""
  ),
  "không tìm thấy trong file Import"
)</f>
        <v>Lucid</v>
      </c>
      <c r="V85" s="235">
        <f>IFERROR(_xlfn.XLOOKUP(E:E,VVMV!B:B,VVMV!J:J),0)</f>
        <v>15.116015418335726</v>
      </c>
      <c r="W85" s="590">
        <f t="shared" si="1"/>
        <v>633.76411457939685</v>
      </c>
      <c r="X85" s="590"/>
    </row>
    <row r="86" spans="1:24" s="235" customFormat="1" ht="36">
      <c r="A86" s="702"/>
      <c r="B86" s="703" t="s">
        <v>2158</v>
      </c>
      <c r="C86" s="703">
        <v>734101625</v>
      </c>
      <c r="D86" s="704">
        <v>46199</v>
      </c>
      <c r="E86" s="705">
        <v>472187366030</v>
      </c>
      <c r="F86" s="704">
        <v>46178</v>
      </c>
      <c r="G86" s="706" t="s">
        <v>372</v>
      </c>
      <c r="H86" s="706" t="s">
        <v>1593</v>
      </c>
      <c r="I86" s="706" t="s">
        <v>937</v>
      </c>
      <c r="J86" s="706" t="s">
        <v>971</v>
      </c>
      <c r="K86" s="703" t="s">
        <v>1137</v>
      </c>
      <c r="L86" s="703">
        <v>10.9</v>
      </c>
      <c r="M86" s="707">
        <v>777492</v>
      </c>
      <c r="N86" s="707">
        <v>0</v>
      </c>
      <c r="O86" s="707">
        <v>382915</v>
      </c>
      <c r="P86" s="707">
        <v>61037</v>
      </c>
      <c r="Q86" s="707">
        <v>1221444</v>
      </c>
      <c r="R86" s="708">
        <f>Q86/'Logistics record '!$AD$1</f>
        <v>46.158415841584159</v>
      </c>
      <c r="S86" s="265" t="s">
        <v>1155</v>
      </c>
      <c r="T86" s="232"/>
      <c r="U86" s="235" t="str" cm="1">
        <f t="array" ref="U86">IFERROR(
  _xlfn.IFS(
    VLOOKUP(E86,[1]Material!F$5:U$90000,16,0)="LUC","Lucid",
    VLOOKUP(E86,[1]Material!F$5:U$90000,16,0)="FMC","FORD",
    OR(VLOOKUP(E86,[1]Material!F$5:U$90000,16,0)="PUR",VLOOKUP(E86,[1]Material!F$5:U$90000,16,0)="HLO"),"PURE",
    VLOOKUP(E86,[1]Material!F$5:U$90000,16,0)="AIC","AIC",
    OR(VLOOKUP(E86,[1]Material!F$5:U$90000,16,0)="AGI",VLOOKUP(E86,[1]Material!F$5:U$90000,16,0)="AGIGA"),"AGIGA",
    OR(LEFT(VLOOKUP(E86,[1]Material!F$5:U$90000,16,0),3)="EF-",VLOOKUP(E86,[1]Material!F$5:U$90000,16,0)="EFI"),"EFI",
    AND(ISNUMBER(VLOOKUP(E86,[1]Material!F$5:U$90000,16,0)),VLOOKUP(E86,[1]Material!F$5:U$90000,16,0)&gt;=100,VLOOKUP(E86,[1]Material!F$5:U$90000,16,0)&lt;=999,VLOOKUP(E86,[1]Material!F$5:U$90000,16,0)=INT(VLOOKUP(E86,[1]Material!F$5:U$90000,16,0))),"OEM",
    TRUE,""
  ),
  "không tìm thấy trong file Import"
)</f>
        <v>PURE</v>
      </c>
      <c r="V86" s="235">
        <f>IFERROR(_xlfn.XLOOKUP(E:E,VVMV!B:B,VVMV!J:J),0)</f>
        <v>15.116015418335726</v>
      </c>
      <c r="W86" s="590">
        <f t="shared" si="1"/>
        <v>61.274431259919886</v>
      </c>
      <c r="X86" s="590"/>
    </row>
    <row r="87" spans="1:24" s="235" customFormat="1" ht="36">
      <c r="A87" s="702"/>
      <c r="B87" s="703" t="s">
        <v>2158</v>
      </c>
      <c r="C87" s="703">
        <v>734101625</v>
      </c>
      <c r="D87" s="704">
        <v>46199</v>
      </c>
      <c r="E87" s="705">
        <v>527529858787</v>
      </c>
      <c r="F87" s="704">
        <v>46178</v>
      </c>
      <c r="G87" s="706" t="s">
        <v>809</v>
      </c>
      <c r="H87" s="706" t="s">
        <v>1595</v>
      </c>
      <c r="I87" s="706" t="s">
        <v>954</v>
      </c>
      <c r="J87" s="706" t="s">
        <v>971</v>
      </c>
      <c r="K87" s="703" t="s">
        <v>1137</v>
      </c>
      <c r="L87" s="703">
        <v>17.600000000000001</v>
      </c>
      <c r="M87" s="707">
        <v>1120404</v>
      </c>
      <c r="N87" s="707">
        <v>0</v>
      </c>
      <c r="O87" s="707">
        <v>551799</v>
      </c>
      <c r="P87" s="707">
        <v>87958</v>
      </c>
      <c r="Q87" s="707">
        <v>1760161</v>
      </c>
      <c r="R87" s="708">
        <f>Q87/'Logistics record '!$AD$1</f>
        <v>66.516552036883084</v>
      </c>
      <c r="S87" s="265" t="s">
        <v>1155</v>
      </c>
      <c r="T87" s="232"/>
      <c r="U87" s="235" t="str" cm="1">
        <f t="array" ref="U87">IFERROR(
  _xlfn.IFS(
    VLOOKUP(E87,[1]Material!F$5:U$90000,16,0)="LUC","Lucid",
    VLOOKUP(E87,[1]Material!F$5:U$90000,16,0)="FMC","FORD",
    OR(VLOOKUP(E87,[1]Material!F$5:U$90000,16,0)="PUR",VLOOKUP(E87,[1]Material!F$5:U$90000,16,0)="HLO"),"PURE",
    VLOOKUP(E87,[1]Material!F$5:U$90000,16,0)="AIC","AIC",
    OR(VLOOKUP(E87,[1]Material!F$5:U$90000,16,0)="AGI",VLOOKUP(E87,[1]Material!F$5:U$90000,16,0)="AGIGA"),"AGIGA",
    OR(LEFT(VLOOKUP(E87,[1]Material!F$5:U$90000,16,0),3)="EF-",VLOOKUP(E87,[1]Material!F$5:U$90000,16,0)="EFI"),"EFI",
    AND(ISNUMBER(VLOOKUP(E87,[1]Material!F$5:U$90000,16,0)),VLOOKUP(E87,[1]Material!F$5:U$90000,16,0)&gt;=100,VLOOKUP(E87,[1]Material!F$5:U$90000,16,0)&lt;=999,VLOOKUP(E87,[1]Material!F$5:U$90000,16,0)=INT(VLOOKUP(E87,[1]Material!F$5:U$90000,16,0))),"OEM",
    TRUE,""
  ),
  "không tìm thấy trong file Import"
)</f>
        <v>PURE</v>
      </c>
      <c r="V87" s="235">
        <f>IFERROR(_xlfn.XLOOKUP(E:E,VVMV!B:B,VVMV!J:J),0)</f>
        <v>15.116015418335726</v>
      </c>
      <c r="W87" s="590">
        <f t="shared" si="1"/>
        <v>81.632567455218805</v>
      </c>
      <c r="X87" s="590"/>
    </row>
    <row r="88" spans="1:24" s="235" customFormat="1" ht="36">
      <c r="A88" s="702"/>
      <c r="B88" s="703" t="s">
        <v>2158</v>
      </c>
      <c r="C88" s="703">
        <v>734101625</v>
      </c>
      <c r="D88" s="704">
        <v>46199</v>
      </c>
      <c r="E88" s="705">
        <v>515199060191</v>
      </c>
      <c r="F88" s="704">
        <v>46178</v>
      </c>
      <c r="G88" s="706" t="s">
        <v>801</v>
      </c>
      <c r="H88" s="706" t="s">
        <v>1600</v>
      </c>
      <c r="I88" s="706" t="s">
        <v>937</v>
      </c>
      <c r="J88" s="706" t="s">
        <v>971</v>
      </c>
      <c r="K88" s="703" t="s">
        <v>1137</v>
      </c>
      <c r="L88" s="703">
        <v>72.2</v>
      </c>
      <c r="M88" s="707">
        <v>3316718</v>
      </c>
      <c r="N88" s="707">
        <v>679700</v>
      </c>
      <c r="O88" s="707">
        <v>1968236</v>
      </c>
      <c r="P88" s="707">
        <v>313741</v>
      </c>
      <c r="Q88" s="707">
        <v>6278395</v>
      </c>
      <c r="R88" s="708">
        <f>Q88/'Logistics record '!$AD$1</f>
        <v>237.26078905600482</v>
      </c>
      <c r="S88" s="265" t="s">
        <v>1155</v>
      </c>
      <c r="T88" s="232"/>
      <c r="U88" s="235" t="str" cm="1">
        <f t="array" ref="U88">IFERROR(
  _xlfn.IFS(
    VLOOKUP(E88,[1]Material!F$5:U$90000,16,0)="LUC","Lucid",
    VLOOKUP(E88,[1]Material!F$5:U$90000,16,0)="FMC","FORD",
    OR(VLOOKUP(E88,[1]Material!F$5:U$90000,16,0)="PUR",VLOOKUP(E88,[1]Material!F$5:U$90000,16,0)="HLO"),"PURE",
    VLOOKUP(E88,[1]Material!F$5:U$90000,16,0)="AIC","AIC",
    OR(VLOOKUP(E88,[1]Material!F$5:U$90000,16,0)="AGI",VLOOKUP(E88,[1]Material!F$5:U$90000,16,0)="AGIGA"),"AGIGA",
    OR(LEFT(VLOOKUP(E88,[1]Material!F$5:U$90000,16,0),3)="EF-",VLOOKUP(E88,[1]Material!F$5:U$90000,16,0)="EFI"),"EFI",
    AND(ISNUMBER(VLOOKUP(E88,[1]Material!F$5:U$90000,16,0)),VLOOKUP(E88,[1]Material!F$5:U$90000,16,0)&gt;=100,VLOOKUP(E88,[1]Material!F$5:U$90000,16,0)&lt;=999,VLOOKUP(E88,[1]Material!F$5:U$90000,16,0)=INT(VLOOKUP(E88,[1]Material!F$5:U$90000,16,0))),"OEM",
    TRUE,""
  ),
  "không tìm thấy trong file Import"
)</f>
        <v>PURE</v>
      </c>
      <c r="V88" s="235">
        <f>IFERROR(_xlfn.XLOOKUP(E:E,VVMV!B:B,VVMV!J:J),0)</f>
        <v>15.116015418335726</v>
      </c>
      <c r="W88" s="590">
        <f t="shared" si="1"/>
        <v>252.37680447434056</v>
      </c>
      <c r="X88" s="590"/>
    </row>
    <row r="89" spans="1:24" s="235" customFormat="1" ht="36">
      <c r="A89" s="702"/>
      <c r="B89" s="703" t="s">
        <v>2158</v>
      </c>
      <c r="C89" s="703">
        <v>734101625</v>
      </c>
      <c r="D89" s="704">
        <v>46199</v>
      </c>
      <c r="E89" s="705">
        <v>872628363850</v>
      </c>
      <c r="F89" s="704">
        <v>46178</v>
      </c>
      <c r="G89" s="706" t="s">
        <v>338</v>
      </c>
      <c r="H89" s="706" t="s">
        <v>1896</v>
      </c>
      <c r="I89" s="706" t="s">
        <v>931</v>
      </c>
      <c r="J89" s="706" t="s">
        <v>971</v>
      </c>
      <c r="K89" s="703" t="s">
        <v>1137</v>
      </c>
      <c r="L89" s="703">
        <v>31.1</v>
      </c>
      <c r="M89" s="707">
        <v>2161152</v>
      </c>
      <c r="N89" s="707">
        <v>0</v>
      </c>
      <c r="O89" s="707">
        <v>1064367</v>
      </c>
      <c r="P89" s="707">
        <v>169662</v>
      </c>
      <c r="Q89" s="707">
        <v>3395181</v>
      </c>
      <c r="R89" s="708">
        <f>Q89/'Logistics record '!$AD$1</f>
        <v>128.30402086010128</v>
      </c>
      <c r="S89" s="265" t="s">
        <v>1155</v>
      </c>
      <c r="T89" s="232"/>
      <c r="U89" s="235" t="str" cm="1">
        <f t="array" ref="U89">IFERROR(
  _xlfn.IFS(
    VLOOKUP(E89,[1]Material!F$5:U$90000,16,0)="LUC","Lucid",
    VLOOKUP(E89,[1]Material!F$5:U$90000,16,0)="FMC","FORD",
    OR(VLOOKUP(E89,[1]Material!F$5:U$90000,16,0)="PUR",VLOOKUP(E89,[1]Material!F$5:U$90000,16,0)="HLO"),"PURE",
    VLOOKUP(E89,[1]Material!F$5:U$90000,16,0)="AIC","AIC",
    OR(VLOOKUP(E89,[1]Material!F$5:U$90000,16,0)="AGI",VLOOKUP(E89,[1]Material!F$5:U$90000,16,0)="AGIGA"),"AGIGA",
    OR(LEFT(VLOOKUP(E89,[1]Material!F$5:U$90000,16,0),3)="EF-",VLOOKUP(E89,[1]Material!F$5:U$90000,16,0)="EFI"),"EFI",
    AND(ISNUMBER(VLOOKUP(E89,[1]Material!F$5:U$90000,16,0)),VLOOKUP(E89,[1]Material!F$5:U$90000,16,0)&gt;=100,VLOOKUP(E89,[1]Material!F$5:U$90000,16,0)&lt;=999,VLOOKUP(E89,[1]Material!F$5:U$90000,16,0)=INT(VLOOKUP(E89,[1]Material!F$5:U$90000,16,0))),"OEM",
    TRUE,""
  ),
  "không tìm thấy trong file Import"
)</f>
        <v>PURE</v>
      </c>
      <c r="V89" s="235">
        <f>IFERROR(_xlfn.XLOOKUP(E:E,VVMV!B:B,VVMV!J:J),0)</f>
        <v>15.116015418335726</v>
      </c>
      <c r="W89" s="590">
        <f t="shared" si="1"/>
        <v>143.42003627843701</v>
      </c>
      <c r="X89" s="590"/>
    </row>
    <row r="90" spans="1:24" s="235" customFormat="1" ht="36">
      <c r="A90" s="702"/>
      <c r="B90" s="703" t="s">
        <v>2158</v>
      </c>
      <c r="C90" s="703">
        <v>734101625</v>
      </c>
      <c r="D90" s="704">
        <v>46199</v>
      </c>
      <c r="E90" s="705">
        <v>872688461270</v>
      </c>
      <c r="F90" s="704">
        <v>46178</v>
      </c>
      <c r="G90" s="706" t="s">
        <v>1481</v>
      </c>
      <c r="H90" s="706" t="s">
        <v>1596</v>
      </c>
      <c r="I90" s="706" t="s">
        <v>937</v>
      </c>
      <c r="J90" s="706" t="s">
        <v>971</v>
      </c>
      <c r="K90" s="703" t="s">
        <v>1151</v>
      </c>
      <c r="L90" s="703">
        <v>8</v>
      </c>
      <c r="M90" s="707">
        <v>703054</v>
      </c>
      <c r="N90" s="707">
        <v>0</v>
      </c>
      <c r="O90" s="707">
        <v>346254</v>
      </c>
      <c r="P90" s="707">
        <v>55194</v>
      </c>
      <c r="Q90" s="707">
        <v>1104502</v>
      </c>
      <c r="R90" s="708">
        <f>Q90/'Logistics record '!$AD$1</f>
        <v>41.739173153956614</v>
      </c>
      <c r="S90" s="265" t="s">
        <v>1155</v>
      </c>
      <c r="T90" s="232"/>
      <c r="U90" s="235" t="str" cm="1">
        <f t="array" ref="U90">IFERROR(
  _xlfn.IFS(
    VLOOKUP(E90,[1]Material!F$5:U$90000,16,0)="LUC","Lucid",
    VLOOKUP(E90,[1]Material!F$5:U$90000,16,0)="FMC","FORD",
    OR(VLOOKUP(E90,[1]Material!F$5:U$90000,16,0)="PUR",VLOOKUP(E90,[1]Material!F$5:U$90000,16,0)="HLO"),"PURE",
    VLOOKUP(E90,[1]Material!F$5:U$90000,16,0)="AIC","AIC",
    OR(VLOOKUP(E90,[1]Material!F$5:U$90000,16,0)="AGI",VLOOKUP(E90,[1]Material!F$5:U$90000,16,0)="AGIGA"),"AGIGA",
    OR(LEFT(VLOOKUP(E90,[1]Material!F$5:U$90000,16,0),3)="EF-",VLOOKUP(E90,[1]Material!F$5:U$90000,16,0)="EFI"),"EFI",
    AND(ISNUMBER(VLOOKUP(E90,[1]Material!F$5:U$90000,16,0)),VLOOKUP(E90,[1]Material!F$5:U$90000,16,0)&gt;=100,VLOOKUP(E90,[1]Material!F$5:U$90000,16,0)&lt;=999,VLOOKUP(E90,[1]Material!F$5:U$90000,16,0)=INT(VLOOKUP(E90,[1]Material!F$5:U$90000,16,0))),"OEM",
    TRUE,""
  ),
  "không tìm thấy trong file Import"
)</f>
        <v>PURE</v>
      </c>
      <c r="V90" s="235">
        <f>IFERROR(_xlfn.XLOOKUP(E:E,VVMV!B:B,VVMV!J:J),0)</f>
        <v>15.116015418335726</v>
      </c>
      <c r="W90" s="590">
        <f t="shared" si="1"/>
        <v>56.855188572292342</v>
      </c>
      <c r="X90" s="590"/>
    </row>
    <row r="91" spans="1:24" s="235" customFormat="1" ht="48">
      <c r="A91" s="702"/>
      <c r="B91" s="703" t="s">
        <v>2158</v>
      </c>
      <c r="C91" s="703">
        <v>734101625</v>
      </c>
      <c r="D91" s="704">
        <v>46199</v>
      </c>
      <c r="E91" s="705">
        <v>381821868217</v>
      </c>
      <c r="F91" s="704">
        <v>46178</v>
      </c>
      <c r="G91" s="706" t="s">
        <v>804</v>
      </c>
      <c r="H91" s="706" t="s">
        <v>1593</v>
      </c>
      <c r="I91" s="706" t="s">
        <v>937</v>
      </c>
      <c r="J91" s="706" t="s">
        <v>971</v>
      </c>
      <c r="K91" s="703" t="s">
        <v>1151</v>
      </c>
      <c r="L91" s="703">
        <v>7.8</v>
      </c>
      <c r="M91" s="707">
        <v>703054</v>
      </c>
      <c r="N91" s="707">
        <v>0</v>
      </c>
      <c r="O91" s="707">
        <v>346254</v>
      </c>
      <c r="P91" s="707">
        <v>55194</v>
      </c>
      <c r="Q91" s="707">
        <v>1104502</v>
      </c>
      <c r="R91" s="708">
        <f>Q91/'Logistics record '!$AD$1</f>
        <v>41.739173153956614</v>
      </c>
      <c r="S91" s="265" t="s">
        <v>1155</v>
      </c>
      <c r="T91" s="232"/>
      <c r="U91" s="235" t="str" cm="1">
        <f t="array" ref="U91">IFERROR(
  _xlfn.IFS(
    VLOOKUP(E91,[1]Material!F$5:U$90000,16,0)="LUC","Lucid",
    VLOOKUP(E91,[1]Material!F$5:U$90000,16,0)="FMC","FORD",
    OR(VLOOKUP(E91,[1]Material!F$5:U$90000,16,0)="PUR",VLOOKUP(E91,[1]Material!F$5:U$90000,16,0)="HLO"),"PURE",
    VLOOKUP(E91,[1]Material!F$5:U$90000,16,0)="AIC","AIC",
    OR(VLOOKUP(E91,[1]Material!F$5:U$90000,16,0)="AGI",VLOOKUP(E91,[1]Material!F$5:U$90000,16,0)="AGIGA"),"AGIGA",
    OR(LEFT(VLOOKUP(E91,[1]Material!F$5:U$90000,16,0),3)="EF-",VLOOKUP(E91,[1]Material!F$5:U$90000,16,0)="EFI"),"EFI",
    AND(ISNUMBER(VLOOKUP(E91,[1]Material!F$5:U$90000,16,0)),VLOOKUP(E91,[1]Material!F$5:U$90000,16,0)&gt;=100,VLOOKUP(E91,[1]Material!F$5:U$90000,16,0)&lt;=999,VLOOKUP(E91,[1]Material!F$5:U$90000,16,0)=INT(VLOOKUP(E91,[1]Material!F$5:U$90000,16,0))),"OEM",
    TRUE,""
  ),
  "không tìm thấy trong file Import"
)</f>
        <v>PURE</v>
      </c>
      <c r="V91" s="235">
        <f>IFERROR(_xlfn.XLOOKUP(E:E,VVMV!B:B,VVMV!J:J),0)</f>
        <v>15.116015418335726</v>
      </c>
      <c r="W91" s="590">
        <f t="shared" si="1"/>
        <v>56.855188572292342</v>
      </c>
      <c r="X91" s="590"/>
    </row>
    <row r="92" spans="1:24" s="235" customFormat="1" ht="36">
      <c r="A92" s="702"/>
      <c r="B92" s="703" t="s">
        <v>2158</v>
      </c>
      <c r="C92" s="703">
        <v>734101625</v>
      </c>
      <c r="D92" s="704">
        <v>46199</v>
      </c>
      <c r="E92" s="705">
        <v>510007364362</v>
      </c>
      <c r="F92" s="704">
        <v>46178</v>
      </c>
      <c r="G92" s="706" t="s">
        <v>810</v>
      </c>
      <c r="H92" s="706" t="s">
        <v>1599</v>
      </c>
      <c r="I92" s="706" t="s">
        <v>927</v>
      </c>
      <c r="J92" s="706" t="s">
        <v>971</v>
      </c>
      <c r="K92" s="703" t="s">
        <v>1137</v>
      </c>
      <c r="L92" s="703">
        <v>72.7</v>
      </c>
      <c r="M92" s="707">
        <v>3280985</v>
      </c>
      <c r="N92" s="707">
        <v>0</v>
      </c>
      <c r="O92" s="707">
        <v>1615885</v>
      </c>
      <c r="P92" s="707">
        <v>257575</v>
      </c>
      <c r="Q92" s="707">
        <v>5154445</v>
      </c>
      <c r="R92" s="708">
        <f>Q92/'Logistics record '!$AD$1</f>
        <v>194.78667523240873</v>
      </c>
      <c r="S92" s="265" t="s">
        <v>1155</v>
      </c>
      <c r="T92" s="232"/>
      <c r="U92" s="235" t="str" cm="1">
        <f t="array" ref="U92">IFERROR(
  _xlfn.IFS(
    VLOOKUP(E92,[1]Material!F$5:U$90000,16,0)="LUC","Lucid",
    VLOOKUP(E92,[1]Material!F$5:U$90000,16,0)="FMC","FORD",
    OR(VLOOKUP(E92,[1]Material!F$5:U$90000,16,0)="PUR",VLOOKUP(E92,[1]Material!F$5:U$90000,16,0)="HLO"),"PURE",
    VLOOKUP(E92,[1]Material!F$5:U$90000,16,0)="AIC","AIC",
    OR(VLOOKUP(E92,[1]Material!F$5:U$90000,16,0)="AGI",VLOOKUP(E92,[1]Material!F$5:U$90000,16,0)="AGIGA"),"AGIGA",
    OR(LEFT(VLOOKUP(E92,[1]Material!F$5:U$90000,16,0),3)="EF-",VLOOKUP(E92,[1]Material!F$5:U$90000,16,0)="EFI"),"EFI",
    AND(ISNUMBER(VLOOKUP(E92,[1]Material!F$5:U$90000,16,0)),VLOOKUP(E92,[1]Material!F$5:U$90000,16,0)&gt;=100,VLOOKUP(E92,[1]Material!F$5:U$90000,16,0)&lt;=999,VLOOKUP(E92,[1]Material!F$5:U$90000,16,0)=INT(VLOOKUP(E92,[1]Material!F$5:U$90000,16,0))),"OEM",
    TRUE,""
  ),
  "không tìm thấy trong file Import"
)</f>
        <v>PURE</v>
      </c>
      <c r="V92" s="235">
        <f>IFERROR(_xlfn.XLOOKUP(E:E,VVMV!B:B,VVMV!J:J),0)</f>
        <v>15.116015418335726</v>
      </c>
      <c r="W92" s="590">
        <f t="shared" si="1"/>
        <v>209.90269065074446</v>
      </c>
      <c r="X92" s="590"/>
    </row>
    <row r="93" spans="1:24" s="235" customFormat="1" ht="48">
      <c r="A93" s="702"/>
      <c r="B93" s="703" t="s">
        <v>2158</v>
      </c>
      <c r="C93" s="703">
        <v>734101625</v>
      </c>
      <c r="D93" s="704">
        <v>46199</v>
      </c>
      <c r="E93" s="705">
        <v>381823618757</v>
      </c>
      <c r="F93" s="704">
        <v>46179</v>
      </c>
      <c r="G93" s="706" t="s">
        <v>1617</v>
      </c>
      <c r="H93" s="706" t="s">
        <v>1593</v>
      </c>
      <c r="I93" s="706" t="s">
        <v>937</v>
      </c>
      <c r="J93" s="706" t="s">
        <v>971</v>
      </c>
      <c r="K93" s="703" t="s">
        <v>1151</v>
      </c>
      <c r="L93" s="703">
        <v>3.8</v>
      </c>
      <c r="M93" s="707">
        <v>479520</v>
      </c>
      <c r="N93" s="707">
        <v>0</v>
      </c>
      <c r="O93" s="707">
        <v>236164</v>
      </c>
      <c r="P93" s="707">
        <v>37645</v>
      </c>
      <c r="Q93" s="707">
        <v>753329</v>
      </c>
      <c r="R93" s="708">
        <f>Q93/'Logistics record '!$AD$1</f>
        <v>28.468331947698587</v>
      </c>
      <c r="S93" s="265" t="s">
        <v>1155</v>
      </c>
      <c r="T93" s="232"/>
      <c r="U93" s="235" t="str" cm="1">
        <f t="array" ref="U93">IFERROR(
  _xlfn.IFS(
    VLOOKUP(E93,[1]Material!F$5:U$90000,16,0)="LUC","Lucid",
    VLOOKUP(E93,[1]Material!F$5:U$90000,16,0)="FMC","FORD",
    OR(VLOOKUP(E93,[1]Material!F$5:U$90000,16,0)="PUR",VLOOKUP(E93,[1]Material!F$5:U$90000,16,0)="HLO"),"PURE",
    VLOOKUP(E93,[1]Material!F$5:U$90000,16,0)="AIC","AIC",
    OR(VLOOKUP(E93,[1]Material!F$5:U$90000,16,0)="AGI",VLOOKUP(E93,[1]Material!F$5:U$90000,16,0)="AGIGA"),"AGIGA",
    OR(LEFT(VLOOKUP(E93,[1]Material!F$5:U$90000,16,0),3)="EF-",VLOOKUP(E93,[1]Material!F$5:U$90000,16,0)="EFI"),"EFI",
    AND(ISNUMBER(VLOOKUP(E93,[1]Material!F$5:U$90000,16,0)),VLOOKUP(E93,[1]Material!F$5:U$90000,16,0)&gt;=100,VLOOKUP(E93,[1]Material!F$5:U$90000,16,0)&lt;=999,VLOOKUP(E93,[1]Material!F$5:U$90000,16,0)=INT(VLOOKUP(E93,[1]Material!F$5:U$90000,16,0))),"OEM",
    TRUE,""
  ),
  "không tìm thấy trong file Import"
)</f>
        <v>FORD</v>
      </c>
      <c r="V93" s="235">
        <f>IFERROR(_xlfn.XLOOKUP(E:E,VVMV!B:B,VVMV!J:J),0)</f>
        <v>15.116015418335726</v>
      </c>
      <c r="W93" s="590">
        <f t="shared" si="1"/>
        <v>43.584347366034315</v>
      </c>
      <c r="X93" s="590"/>
    </row>
    <row r="94" spans="1:24" s="235" customFormat="1" ht="48">
      <c r="A94" s="702"/>
      <c r="B94" s="703" t="s">
        <v>2158</v>
      </c>
      <c r="C94" s="703">
        <v>734101625</v>
      </c>
      <c r="D94" s="704">
        <v>46199</v>
      </c>
      <c r="E94" s="705">
        <v>494686585801</v>
      </c>
      <c r="F94" s="704">
        <v>46179</v>
      </c>
      <c r="G94" s="706" t="s">
        <v>523</v>
      </c>
      <c r="H94" s="706" t="s">
        <v>1150</v>
      </c>
      <c r="I94" s="706" t="s">
        <v>931</v>
      </c>
      <c r="J94" s="706" t="s">
        <v>971</v>
      </c>
      <c r="K94" s="703" t="s">
        <v>1137</v>
      </c>
      <c r="L94" s="703">
        <v>19.2</v>
      </c>
      <c r="M94" s="707">
        <v>1109993</v>
      </c>
      <c r="N94" s="707">
        <v>0</v>
      </c>
      <c r="O94" s="707">
        <v>546672</v>
      </c>
      <c r="P94" s="707">
        <v>87141</v>
      </c>
      <c r="Q94" s="707">
        <v>1743806</v>
      </c>
      <c r="R94" s="708">
        <f>Q94/'Logistics record '!$AD$1</f>
        <v>65.898495956465879</v>
      </c>
      <c r="S94" s="265" t="s">
        <v>1155</v>
      </c>
      <c r="T94" s="232"/>
      <c r="U94" s="235" t="str" cm="1">
        <f t="array" ref="U94">IFERROR(
  _xlfn.IFS(
    VLOOKUP(E94,[1]Material!F$5:U$90000,16,0)="LUC","Lucid",
    VLOOKUP(E94,[1]Material!F$5:U$90000,16,0)="FMC","FORD",
    OR(VLOOKUP(E94,[1]Material!F$5:U$90000,16,0)="PUR",VLOOKUP(E94,[1]Material!F$5:U$90000,16,0)="HLO"),"PURE",
    VLOOKUP(E94,[1]Material!F$5:U$90000,16,0)="AIC","AIC",
    OR(VLOOKUP(E94,[1]Material!F$5:U$90000,16,0)="AGI",VLOOKUP(E94,[1]Material!F$5:U$90000,16,0)="AGIGA"),"AGIGA",
    OR(LEFT(VLOOKUP(E94,[1]Material!F$5:U$90000,16,0),3)="EF-",VLOOKUP(E94,[1]Material!F$5:U$90000,16,0)="EFI"),"EFI",
    AND(ISNUMBER(VLOOKUP(E94,[1]Material!F$5:U$90000,16,0)),VLOOKUP(E94,[1]Material!F$5:U$90000,16,0)&gt;=100,VLOOKUP(E94,[1]Material!F$5:U$90000,16,0)&lt;=999,VLOOKUP(E94,[1]Material!F$5:U$90000,16,0)=INT(VLOOKUP(E94,[1]Material!F$5:U$90000,16,0))),"OEM",
    TRUE,""
  ),
  "không tìm thấy trong file Import"
)</f>
        <v>EFI</v>
      </c>
      <c r="V94" s="235">
        <f>IFERROR(_xlfn.XLOOKUP(E:E,VVMV!B:B,VVMV!J:J),0)</f>
        <v>15.116015418335726</v>
      </c>
      <c r="W94" s="590">
        <f t="shared" si="1"/>
        <v>81.0145113748016</v>
      </c>
      <c r="X94" s="590"/>
    </row>
    <row r="95" spans="1:24" s="235" customFormat="1" ht="36">
      <c r="A95" s="702"/>
      <c r="B95" s="703" t="s">
        <v>2158</v>
      </c>
      <c r="C95" s="703">
        <v>734101625</v>
      </c>
      <c r="D95" s="704">
        <v>46199</v>
      </c>
      <c r="E95" s="705">
        <v>381800914174</v>
      </c>
      <c r="F95" s="704">
        <v>46179</v>
      </c>
      <c r="G95" s="706" t="s">
        <v>802</v>
      </c>
      <c r="H95" s="706" t="s">
        <v>1593</v>
      </c>
      <c r="I95" s="706" t="s">
        <v>931</v>
      </c>
      <c r="J95" s="706" t="s">
        <v>971</v>
      </c>
      <c r="K95" s="703" t="s">
        <v>1137</v>
      </c>
      <c r="L95" s="703">
        <v>1.1000000000000001</v>
      </c>
      <c r="M95" s="707">
        <v>326115</v>
      </c>
      <c r="N95" s="707">
        <v>0</v>
      </c>
      <c r="O95" s="707">
        <v>160612</v>
      </c>
      <c r="P95" s="707">
        <v>25602</v>
      </c>
      <c r="Q95" s="707">
        <v>512329</v>
      </c>
      <c r="R95" s="708">
        <f>Q95/'Logistics record '!$AD$1</f>
        <v>19.360932658151313</v>
      </c>
      <c r="S95" s="265" t="s">
        <v>1155</v>
      </c>
      <c r="T95" s="232"/>
      <c r="U95" s="235" t="str" cm="1">
        <f t="array" ref="U95">IFERROR(
  _xlfn.IFS(
    VLOOKUP(E95,[1]Material!F$5:U$90000,16,0)="LUC","Lucid",
    VLOOKUP(E95,[1]Material!F$5:U$90000,16,0)="FMC","FORD",
    OR(VLOOKUP(E95,[1]Material!F$5:U$90000,16,0)="PUR",VLOOKUP(E95,[1]Material!F$5:U$90000,16,0)="HLO"),"PURE",
    VLOOKUP(E95,[1]Material!F$5:U$90000,16,0)="AIC","AIC",
    OR(VLOOKUP(E95,[1]Material!F$5:U$90000,16,0)="AGI",VLOOKUP(E95,[1]Material!F$5:U$90000,16,0)="AGIGA"),"AGIGA",
    OR(LEFT(VLOOKUP(E95,[1]Material!F$5:U$90000,16,0),3)="EF-",VLOOKUP(E95,[1]Material!F$5:U$90000,16,0)="EFI"),"EFI",
    AND(ISNUMBER(VLOOKUP(E95,[1]Material!F$5:U$90000,16,0)),VLOOKUP(E95,[1]Material!F$5:U$90000,16,0)&gt;=100,VLOOKUP(E95,[1]Material!F$5:U$90000,16,0)&lt;=999,VLOOKUP(E95,[1]Material!F$5:U$90000,16,0)=INT(VLOOKUP(E95,[1]Material!F$5:U$90000,16,0))),"OEM",
    TRUE,""
  ),
  "không tìm thấy trong file Import"
)</f>
        <v>OEM</v>
      </c>
      <c r="V95" s="235">
        <f>IFERROR(_xlfn.XLOOKUP(E:E,VVMV!B:B,VVMV!J:J),0)</f>
        <v>15.116015418335726</v>
      </c>
      <c r="W95" s="590">
        <f t="shared" ref="W95:W98" si="2">V95+R95</f>
        <v>34.476948076487041</v>
      </c>
      <c r="X95" s="590"/>
    </row>
    <row r="96" spans="1:24" s="235" customFormat="1" ht="36">
      <c r="A96" s="702"/>
      <c r="B96" s="703" t="s">
        <v>2158</v>
      </c>
      <c r="C96" s="703">
        <v>734101625</v>
      </c>
      <c r="D96" s="704">
        <v>46199</v>
      </c>
      <c r="E96" s="705">
        <v>818547865244</v>
      </c>
      <c r="F96" s="704">
        <v>46180</v>
      </c>
      <c r="G96" s="706" t="s">
        <v>2165</v>
      </c>
      <c r="H96" s="706" t="s">
        <v>2166</v>
      </c>
      <c r="I96" s="706" t="s">
        <v>937</v>
      </c>
      <c r="J96" s="706" t="s">
        <v>971</v>
      </c>
      <c r="K96" s="703" t="s">
        <v>1151</v>
      </c>
      <c r="L96" s="703">
        <v>9.6</v>
      </c>
      <c r="M96" s="707">
        <v>796605</v>
      </c>
      <c r="N96" s="707">
        <v>0</v>
      </c>
      <c r="O96" s="707">
        <v>392328</v>
      </c>
      <c r="P96" s="707">
        <v>62538</v>
      </c>
      <c r="Q96" s="707">
        <v>1251471</v>
      </c>
      <c r="R96" s="708">
        <f>Q96/'Logistics record '!$AD$1</f>
        <v>47.293137329000075</v>
      </c>
      <c r="S96" s="265" t="s">
        <v>1155</v>
      </c>
      <c r="T96" s="232"/>
      <c r="U96" s="235" t="str" cm="1">
        <f t="array" ref="U96">IFERROR(
  _xlfn.IFS(
    VLOOKUP(E96,[1]Material!F$5:U$90000,16,0)="LUC","Lucid",
    VLOOKUP(E96,[1]Material!F$5:U$90000,16,0)="FMC","FORD",
    OR(VLOOKUP(E96,[1]Material!F$5:U$90000,16,0)="PUR",VLOOKUP(E96,[1]Material!F$5:U$90000,16,0)="HLO"),"PURE",
    VLOOKUP(E96,[1]Material!F$5:U$90000,16,0)="AIC","AIC",
    OR(VLOOKUP(E96,[1]Material!F$5:U$90000,16,0)="AGI",VLOOKUP(E96,[1]Material!F$5:U$90000,16,0)="AGIGA"),"AGIGA",
    OR(LEFT(VLOOKUP(E96,[1]Material!F$5:U$90000,16,0),3)="EF-",VLOOKUP(E96,[1]Material!F$5:U$90000,16,0)="EFI"),"EFI",
    AND(ISNUMBER(VLOOKUP(E96,[1]Material!F$5:U$90000,16,0)),VLOOKUP(E96,[1]Material!F$5:U$90000,16,0)&gt;=100,VLOOKUP(E96,[1]Material!F$5:U$90000,16,0)&lt;=999,VLOOKUP(E96,[1]Material!F$5:U$90000,16,0)=INT(VLOOKUP(E96,[1]Material!F$5:U$90000,16,0))),"OEM",
    TRUE,""
  ),
  "không tìm thấy trong file Import"
)</f>
        <v>Lucid</v>
      </c>
      <c r="V96" s="235">
        <f>IFERROR(_xlfn.XLOOKUP(E:E,VVMV!B:B,VVMV!J:J),0)</f>
        <v>15.116015418335726</v>
      </c>
      <c r="W96" s="590">
        <f t="shared" si="2"/>
        <v>62.409152747335803</v>
      </c>
      <c r="X96" s="590"/>
    </row>
    <row r="97" spans="1:24" s="235" customFormat="1" ht="36">
      <c r="A97" s="702"/>
      <c r="B97" s="703" t="s">
        <v>2158</v>
      </c>
      <c r="C97" s="703">
        <v>734101625</v>
      </c>
      <c r="D97" s="704">
        <v>46199</v>
      </c>
      <c r="E97" s="705">
        <v>818547865266</v>
      </c>
      <c r="F97" s="704">
        <v>46180</v>
      </c>
      <c r="G97" s="706" t="s">
        <v>2165</v>
      </c>
      <c r="H97" s="706" t="s">
        <v>2166</v>
      </c>
      <c r="I97" s="706" t="s">
        <v>937</v>
      </c>
      <c r="J97" s="706" t="s">
        <v>971</v>
      </c>
      <c r="K97" s="703" t="s">
        <v>1151</v>
      </c>
      <c r="L97" s="703">
        <v>3.8</v>
      </c>
      <c r="M97" s="707">
        <v>479520</v>
      </c>
      <c r="N97" s="707">
        <v>0</v>
      </c>
      <c r="O97" s="707">
        <v>236164</v>
      </c>
      <c r="P97" s="707">
        <v>37645</v>
      </c>
      <c r="Q97" s="707">
        <v>753329</v>
      </c>
      <c r="R97" s="708">
        <f>Q97/'Logistics record '!$AD$1</f>
        <v>28.468331947698587</v>
      </c>
      <c r="S97" s="265" t="s">
        <v>1155</v>
      </c>
      <c r="T97" s="232"/>
      <c r="U97" s="235" t="str" cm="1">
        <f t="array" ref="U97">IFERROR(
  _xlfn.IFS(
    VLOOKUP(E97,[1]Material!F$5:U$90000,16,0)="LUC","Lucid",
    VLOOKUP(E97,[1]Material!F$5:U$90000,16,0)="FMC","FORD",
    OR(VLOOKUP(E97,[1]Material!F$5:U$90000,16,0)="PUR",VLOOKUP(E97,[1]Material!F$5:U$90000,16,0)="HLO"),"PURE",
    VLOOKUP(E97,[1]Material!F$5:U$90000,16,0)="AIC","AIC",
    OR(VLOOKUP(E97,[1]Material!F$5:U$90000,16,0)="AGI",VLOOKUP(E97,[1]Material!F$5:U$90000,16,0)="AGIGA"),"AGIGA",
    OR(LEFT(VLOOKUP(E97,[1]Material!F$5:U$90000,16,0),3)="EF-",VLOOKUP(E97,[1]Material!F$5:U$90000,16,0)="EFI"),"EFI",
    AND(ISNUMBER(VLOOKUP(E97,[1]Material!F$5:U$90000,16,0)),VLOOKUP(E97,[1]Material!F$5:U$90000,16,0)&gt;=100,VLOOKUP(E97,[1]Material!F$5:U$90000,16,0)&lt;=999,VLOOKUP(E97,[1]Material!F$5:U$90000,16,0)=INT(VLOOKUP(E97,[1]Material!F$5:U$90000,16,0))),"OEM",
    TRUE,""
  ),
  "không tìm thấy trong file Import"
)</f>
        <v>Lucid</v>
      </c>
      <c r="V97" s="235">
        <f>IFERROR(_xlfn.XLOOKUP(E:E,VVMV!B:B,VVMV!J:J),0)</f>
        <v>15.116015418335726</v>
      </c>
      <c r="W97" s="590">
        <f t="shared" si="2"/>
        <v>43.584347366034315</v>
      </c>
      <c r="X97" s="590"/>
    </row>
    <row r="98" spans="1:24" s="235" customFormat="1" ht="36">
      <c r="A98" s="702"/>
      <c r="B98" s="703" t="s">
        <v>2158</v>
      </c>
      <c r="C98" s="703">
        <v>734101625</v>
      </c>
      <c r="D98" s="704">
        <v>46199</v>
      </c>
      <c r="E98" s="705">
        <v>501720330447</v>
      </c>
      <c r="F98" s="704">
        <v>46180</v>
      </c>
      <c r="G98" s="706" t="s">
        <v>2165</v>
      </c>
      <c r="H98" s="706" t="s">
        <v>2166</v>
      </c>
      <c r="I98" s="706" t="s">
        <v>937</v>
      </c>
      <c r="J98" s="706" t="s">
        <v>971</v>
      </c>
      <c r="K98" s="703" t="s">
        <v>1151</v>
      </c>
      <c r="L98" s="703">
        <v>2.8</v>
      </c>
      <c r="M98" s="707">
        <v>423450</v>
      </c>
      <c r="N98" s="707">
        <v>0</v>
      </c>
      <c r="O98" s="707">
        <v>208549</v>
      </c>
      <c r="P98" s="707">
        <v>33243</v>
      </c>
      <c r="Q98" s="707">
        <v>665242</v>
      </c>
      <c r="R98" s="708">
        <f>Q98/'Logistics record '!$AD$1</f>
        <v>25.139520822311241</v>
      </c>
      <c r="S98" s="265" t="s">
        <v>1155</v>
      </c>
      <c r="T98" s="232"/>
      <c r="U98" s="235" t="str" cm="1">
        <f t="array" ref="U98">IFERROR(
  _xlfn.IFS(
    VLOOKUP(E98,[1]Material!F$5:U$90000,16,0)="LUC","Lucid",
    VLOOKUP(E98,[1]Material!F$5:U$90000,16,0)="FMC","FORD",
    OR(VLOOKUP(E98,[1]Material!F$5:U$90000,16,0)="PUR",VLOOKUP(E98,[1]Material!F$5:U$90000,16,0)="HLO"),"PURE",
    VLOOKUP(E98,[1]Material!F$5:U$90000,16,0)="AIC","AIC",
    OR(VLOOKUP(E98,[1]Material!F$5:U$90000,16,0)="AGI",VLOOKUP(E98,[1]Material!F$5:U$90000,16,0)="AGIGA"),"AGIGA",
    OR(LEFT(VLOOKUP(E98,[1]Material!F$5:U$90000,16,0),3)="EF-",VLOOKUP(E98,[1]Material!F$5:U$90000,16,0)="EFI"),"EFI",
    AND(ISNUMBER(VLOOKUP(E98,[1]Material!F$5:U$90000,16,0)),VLOOKUP(E98,[1]Material!F$5:U$90000,16,0)&gt;=100,VLOOKUP(E98,[1]Material!F$5:U$90000,16,0)&lt;=999,VLOOKUP(E98,[1]Material!F$5:U$90000,16,0)=INT(VLOOKUP(E98,[1]Material!F$5:U$90000,16,0))),"OEM",
    TRUE,""
  ),
  "không tìm thấy trong file Import"
)</f>
        <v>Lucid</v>
      </c>
      <c r="V98" s="235">
        <f>IFERROR(_xlfn.XLOOKUP(E:E,VVMV!B:B,VVMV!J:J),0)</f>
        <v>15.116015418335726</v>
      </c>
      <c r="W98" s="590">
        <f t="shared" si="2"/>
        <v>40.255536240646968</v>
      </c>
      <c r="X98" s="590"/>
    </row>
    <row r="99" spans="1:24" s="235" customFormat="1" ht="36">
      <c r="A99" s="702"/>
      <c r="B99" s="703" t="s">
        <v>2158</v>
      </c>
      <c r="C99" s="703">
        <v>734101625</v>
      </c>
      <c r="D99" s="704">
        <v>46199</v>
      </c>
      <c r="E99" s="705">
        <v>409298925295</v>
      </c>
      <c r="F99" s="704">
        <v>46181</v>
      </c>
      <c r="G99" s="706" t="s">
        <v>378</v>
      </c>
      <c r="H99" s="706" t="s">
        <v>1600</v>
      </c>
      <c r="I99" s="706" t="s">
        <v>937</v>
      </c>
      <c r="J99" s="706" t="s">
        <v>971</v>
      </c>
      <c r="K99" s="703" t="s">
        <v>1137</v>
      </c>
      <c r="L99" s="703">
        <v>32.799999999999997</v>
      </c>
      <c r="M99" s="707">
        <v>1715939</v>
      </c>
      <c r="N99" s="707">
        <v>0</v>
      </c>
      <c r="O99" s="707">
        <v>729274</v>
      </c>
      <c r="P99" s="707">
        <v>128618</v>
      </c>
      <c r="Q99" s="707">
        <v>2573831</v>
      </c>
      <c r="R99" s="708">
        <f>Q99/'Logistics record '!$AD$1</f>
        <v>97.265172700476157</v>
      </c>
      <c r="S99" s="265" t="s">
        <v>1155</v>
      </c>
      <c r="T99" s="232"/>
      <c r="U99" s="235" t="str" cm="1">
        <f t="array" ref="U99">IFERROR(
  _xlfn.IFS(
    VLOOKUP(E99,[1]Material!F$5:U$90000,16,0)="LUC","Lucid",
    VLOOKUP(E99,[1]Material!F$5:U$90000,16,0)="FMC","FORD",
    OR(VLOOKUP(E99,[1]Material!F$5:U$90000,16,0)="PUR",VLOOKUP(E99,[1]Material!F$5:U$90000,16,0)="HLO"),"PURE",
    VLOOKUP(E99,[1]Material!F$5:U$90000,16,0)="AIC","AIC",
    OR(VLOOKUP(E99,[1]Material!F$5:U$90000,16,0)="AGI",VLOOKUP(E99,[1]Material!F$5:U$90000,16,0)="AGIGA"),"AGIGA",
    OR(LEFT(VLOOKUP(E99,[1]Material!F$5:U$90000,16,0),3)="EF-",VLOOKUP(E99,[1]Material!F$5:U$90000,16,0)="EFI"),"EFI",
    AND(ISNUMBER(VLOOKUP(E99,[1]Material!F$5:U$90000,16,0)),VLOOKUP(E99,[1]Material!F$5:U$90000,16,0)&gt;=100,VLOOKUP(E99,[1]Material!F$5:U$90000,16,0)&lt;=999,VLOOKUP(E99,[1]Material!F$5:U$90000,16,0)=INT(VLOOKUP(E99,[1]Material!F$5:U$90000,16,0))),"OEM",
    TRUE,""
  ),
  "không tìm thấy trong file Import"
)</f>
        <v>Lucid</v>
      </c>
      <c r="V99" s="235">
        <f>IFERROR(_xlfn.XLOOKUP(E:E,VVMV!B:B,VVMV!J:J),0)</f>
        <v>15.116015418335726</v>
      </c>
      <c r="W99" s="590">
        <f>V99+R99</f>
        <v>112.38118811881188</v>
      </c>
      <c r="X99" s="590"/>
    </row>
    <row r="100" spans="1:24" s="235" customFormat="1" ht="36">
      <c r="A100" s="702"/>
      <c r="B100" s="703" t="s">
        <v>2158</v>
      </c>
      <c r="C100" s="703">
        <v>734101625</v>
      </c>
      <c r="D100" s="704">
        <v>46199</v>
      </c>
      <c r="E100" s="705">
        <v>469369346976</v>
      </c>
      <c r="F100" s="704">
        <v>46181</v>
      </c>
      <c r="G100" s="706" t="s">
        <v>819</v>
      </c>
      <c r="H100" s="706" t="s">
        <v>1875</v>
      </c>
      <c r="I100" s="706" t="s">
        <v>932</v>
      </c>
      <c r="J100" s="706" t="s">
        <v>971</v>
      </c>
      <c r="K100" s="703" t="s">
        <v>1137</v>
      </c>
      <c r="L100" s="703">
        <v>2.2999999999999998</v>
      </c>
      <c r="M100" s="707">
        <v>460132</v>
      </c>
      <c r="N100" s="707">
        <v>0</v>
      </c>
      <c r="O100" s="707">
        <v>195556</v>
      </c>
      <c r="P100" s="707">
        <v>34489</v>
      </c>
      <c r="Q100" s="707">
        <v>690177</v>
      </c>
      <c r="R100" s="708">
        <f>Q100/'Logistics record '!$AD$1</f>
        <v>26.081815433451741</v>
      </c>
      <c r="S100" s="265" t="s">
        <v>1155</v>
      </c>
      <c r="T100" s="232"/>
      <c r="U100" s="235" t="str" cm="1">
        <f t="array" ref="U100">IFERROR(
  _xlfn.IFS(
    VLOOKUP(E100,[1]Material!F$5:U$90000,16,0)="LUC","Lucid",
    VLOOKUP(E100,[1]Material!F$5:U$90000,16,0)="FMC","FORD",
    OR(VLOOKUP(E100,[1]Material!F$5:U$90000,16,0)="PUR",VLOOKUP(E100,[1]Material!F$5:U$90000,16,0)="HLO"),"PURE",
    VLOOKUP(E100,[1]Material!F$5:U$90000,16,0)="AIC","AIC",
    OR(VLOOKUP(E100,[1]Material!F$5:U$90000,16,0)="AGI",VLOOKUP(E100,[1]Material!F$5:U$90000,16,0)="AGIGA"),"AGIGA",
    OR(LEFT(VLOOKUP(E100,[1]Material!F$5:U$90000,16,0),3)="EF-",VLOOKUP(E100,[1]Material!F$5:U$90000,16,0)="EFI"),"EFI",
    AND(ISNUMBER(VLOOKUP(E100,[1]Material!F$5:U$90000,16,0)),VLOOKUP(E100,[1]Material!F$5:U$90000,16,0)&gt;=100,VLOOKUP(E100,[1]Material!F$5:U$90000,16,0)&lt;=999,VLOOKUP(E100,[1]Material!F$5:U$90000,16,0)=INT(VLOOKUP(E100,[1]Material!F$5:U$90000,16,0))),"OEM",
    TRUE,""
  ),
  "không tìm thấy trong file Import"
)</f>
        <v>EFI</v>
      </c>
      <c r="V100" s="235">
        <f>IFERROR(_xlfn.XLOOKUP(E:E,VVMV!B:B,VVMV!J:J),0)</f>
        <v>15.116015418335726</v>
      </c>
      <c r="W100" s="590">
        <f t="shared" ref="W100:W139" si="3">V100+R100</f>
        <v>41.197830851787465</v>
      </c>
    </row>
    <row r="101" spans="1:24" s="235" customFormat="1" ht="48">
      <c r="A101" s="702"/>
      <c r="B101" s="703" t="s">
        <v>2158</v>
      </c>
      <c r="C101" s="703">
        <v>734101625</v>
      </c>
      <c r="D101" s="704">
        <v>46199</v>
      </c>
      <c r="E101" s="705">
        <v>381860195105</v>
      </c>
      <c r="F101" s="704">
        <v>46181</v>
      </c>
      <c r="G101" s="706" t="s">
        <v>804</v>
      </c>
      <c r="H101" s="706" t="s">
        <v>1593</v>
      </c>
      <c r="I101" s="706" t="s">
        <v>937</v>
      </c>
      <c r="J101" s="706" t="s">
        <v>971</v>
      </c>
      <c r="K101" s="703" t="s">
        <v>1151</v>
      </c>
      <c r="L101" s="703">
        <v>1.1000000000000001</v>
      </c>
      <c r="M101" s="707">
        <v>299060</v>
      </c>
      <c r="N101" s="707">
        <v>0</v>
      </c>
      <c r="O101" s="707">
        <v>127101</v>
      </c>
      <c r="P101" s="707">
        <v>22416</v>
      </c>
      <c r="Q101" s="707">
        <v>448577</v>
      </c>
      <c r="R101" s="708">
        <f>Q101/'Logistics record '!$AD$1</f>
        <v>16.951742120776963</v>
      </c>
      <c r="S101" s="265" t="s">
        <v>1155</v>
      </c>
      <c r="T101" s="232"/>
      <c r="U101" s="235" t="str" cm="1">
        <f t="array" ref="U101">IFERROR(
  _xlfn.IFS(
    VLOOKUP(E101,[1]Material!F$5:U$90000,16,0)="LUC","Lucid",
    VLOOKUP(E101,[1]Material!F$5:U$90000,16,0)="FMC","FORD",
    OR(VLOOKUP(E101,[1]Material!F$5:U$90000,16,0)="PUR",VLOOKUP(E101,[1]Material!F$5:U$90000,16,0)="HLO"),"PURE",
    VLOOKUP(E101,[1]Material!F$5:U$90000,16,0)="AIC","AIC",
    OR(VLOOKUP(E101,[1]Material!F$5:U$90000,16,0)="AGI",VLOOKUP(E101,[1]Material!F$5:U$90000,16,0)="AGIGA"),"AGIGA",
    OR(LEFT(VLOOKUP(E101,[1]Material!F$5:U$90000,16,0),3)="EF-",VLOOKUP(E101,[1]Material!F$5:U$90000,16,0)="EFI"),"EFI",
    AND(ISNUMBER(VLOOKUP(E101,[1]Material!F$5:U$90000,16,0)),VLOOKUP(E101,[1]Material!F$5:U$90000,16,0)&gt;=100,VLOOKUP(E101,[1]Material!F$5:U$90000,16,0)&lt;=999,VLOOKUP(E101,[1]Material!F$5:U$90000,16,0)=INT(VLOOKUP(E101,[1]Material!F$5:U$90000,16,0))),"OEM",
    TRUE,""
  ),
  "không tìm thấy trong file Import"
)</f>
        <v>EFI</v>
      </c>
      <c r="V101" s="235">
        <f>IFERROR(_xlfn.XLOOKUP(E:E,VVMV!B:B,VVMV!J:J),0)</f>
        <v>15.116015418335726</v>
      </c>
      <c r="W101" s="590">
        <f t="shared" si="3"/>
        <v>32.067757539112691</v>
      </c>
    </row>
    <row r="102" spans="1:24" s="235" customFormat="1" ht="48">
      <c r="A102" s="702"/>
      <c r="B102" s="703" t="s">
        <v>2158</v>
      </c>
      <c r="C102" s="703">
        <v>734101625</v>
      </c>
      <c r="D102" s="704">
        <v>46199</v>
      </c>
      <c r="E102" s="705">
        <v>381894026946</v>
      </c>
      <c r="F102" s="704">
        <v>46182</v>
      </c>
      <c r="G102" s="706" t="s">
        <v>804</v>
      </c>
      <c r="H102" s="706" t="s">
        <v>1593</v>
      </c>
      <c r="I102" s="706" t="s">
        <v>937</v>
      </c>
      <c r="J102" s="706" t="s">
        <v>971</v>
      </c>
      <c r="K102" s="703" t="s">
        <v>1151</v>
      </c>
      <c r="L102" s="703">
        <v>3.8</v>
      </c>
      <c r="M102" s="707">
        <v>479520</v>
      </c>
      <c r="N102" s="707">
        <v>0</v>
      </c>
      <c r="O102" s="707">
        <v>203796</v>
      </c>
      <c r="P102" s="707">
        <v>35942</v>
      </c>
      <c r="Q102" s="707">
        <v>719258</v>
      </c>
      <c r="R102" s="708">
        <f>Q102/'Logistics record '!$AD$1</f>
        <v>27.180787544403294</v>
      </c>
      <c r="S102" s="265" t="s">
        <v>1155</v>
      </c>
      <c r="T102" s="232"/>
      <c r="U102" s="235" t="str" cm="1">
        <f t="array" ref="U102">IFERROR(
  _xlfn.IFS(
    VLOOKUP(E102,[1]Material!F$5:U$90000,16,0)="LUC","Lucid",
    VLOOKUP(E102,[1]Material!F$5:U$90000,16,0)="FMC","FORD",
    OR(VLOOKUP(E102,[1]Material!F$5:U$90000,16,0)="PUR",VLOOKUP(E102,[1]Material!F$5:U$90000,16,0)="HLO"),"PURE",
    VLOOKUP(E102,[1]Material!F$5:U$90000,16,0)="AIC","AIC",
    OR(VLOOKUP(E102,[1]Material!F$5:U$90000,16,0)="AGI",VLOOKUP(E102,[1]Material!F$5:U$90000,16,0)="AGIGA"),"AGIGA",
    OR(LEFT(VLOOKUP(E102,[1]Material!F$5:U$90000,16,0),3)="EF-",VLOOKUP(E102,[1]Material!F$5:U$90000,16,0)="EFI"),"EFI",
    AND(ISNUMBER(VLOOKUP(E102,[1]Material!F$5:U$90000,16,0)),VLOOKUP(E102,[1]Material!F$5:U$90000,16,0)&gt;=100,VLOOKUP(E102,[1]Material!F$5:U$90000,16,0)&lt;=999,VLOOKUP(E102,[1]Material!F$5:U$90000,16,0)=INT(VLOOKUP(E102,[1]Material!F$5:U$90000,16,0))),"OEM",
    TRUE,""
  ),
  "không tìm thấy trong file Import"
)</f>
        <v>FORD</v>
      </c>
      <c r="V102" s="235">
        <f>IFERROR(_xlfn.XLOOKUP(E:E,VVMV!B:B,VVMV!J:J),0)</f>
        <v>15.116015418335726</v>
      </c>
      <c r="W102" s="590">
        <f t="shared" si="3"/>
        <v>42.296802962739022</v>
      </c>
    </row>
    <row r="103" spans="1:24" s="235" customFormat="1" ht="24">
      <c r="A103" s="702"/>
      <c r="B103" s="703" t="s">
        <v>2158</v>
      </c>
      <c r="C103" s="703">
        <v>734101625</v>
      </c>
      <c r="D103" s="704">
        <v>46199</v>
      </c>
      <c r="E103" s="705">
        <v>872753640780</v>
      </c>
      <c r="F103" s="704">
        <v>46182</v>
      </c>
      <c r="G103" s="706" t="s">
        <v>2170</v>
      </c>
      <c r="H103" s="706" t="s">
        <v>1150</v>
      </c>
      <c r="I103" s="706" t="s">
        <v>931</v>
      </c>
      <c r="J103" s="706" t="s">
        <v>971</v>
      </c>
      <c r="K103" s="703" t="s">
        <v>1151</v>
      </c>
      <c r="L103" s="703">
        <v>65.900000000000006</v>
      </c>
      <c r="M103" s="707">
        <v>4207896</v>
      </c>
      <c r="N103" s="707">
        <v>0</v>
      </c>
      <c r="O103" s="707">
        <v>1788356</v>
      </c>
      <c r="P103" s="707">
        <v>315403</v>
      </c>
      <c r="Q103" s="707">
        <v>6311655</v>
      </c>
      <c r="R103" s="708">
        <f>Q103/'Logistics record '!$AD$1</f>
        <v>238.51768573803946</v>
      </c>
      <c r="S103" s="265" t="s">
        <v>1155</v>
      </c>
      <c r="T103" s="232"/>
      <c r="U103" s="235" t="str" cm="1">
        <f t="array" ref="U103">IFERROR(
  _xlfn.IFS(
    VLOOKUP(E103,[1]Material!F$5:U$90000,16,0)="LUC","Lucid",
    VLOOKUP(E103,[1]Material!F$5:U$90000,16,0)="FMC","FORD",
    OR(VLOOKUP(E103,[1]Material!F$5:U$90000,16,0)="PUR",VLOOKUP(E103,[1]Material!F$5:U$90000,16,0)="HLO"),"PURE",
    VLOOKUP(E103,[1]Material!F$5:U$90000,16,0)="AIC","AIC",
    OR(VLOOKUP(E103,[1]Material!F$5:U$90000,16,0)="AGI",VLOOKUP(E103,[1]Material!F$5:U$90000,16,0)="AGIGA"),"AGIGA",
    OR(LEFT(VLOOKUP(E103,[1]Material!F$5:U$90000,16,0),3)="EF-",VLOOKUP(E103,[1]Material!F$5:U$90000,16,0)="EFI"),"EFI",
    AND(ISNUMBER(VLOOKUP(E103,[1]Material!F$5:U$90000,16,0)),VLOOKUP(E103,[1]Material!F$5:U$90000,16,0)&gt;=100,VLOOKUP(E103,[1]Material!F$5:U$90000,16,0)&lt;=999,VLOOKUP(E103,[1]Material!F$5:U$90000,16,0)=INT(VLOOKUP(E103,[1]Material!F$5:U$90000,16,0))),"OEM",
    TRUE,""
  ),
  "không tìm thấy trong file Import"
)</f>
        <v>OEM</v>
      </c>
      <c r="V103" s="235">
        <f>IFERROR(_xlfn.XLOOKUP(E:E,VVMV!B:B,VVMV!J:J),0)</f>
        <v>15.116015418335726</v>
      </c>
      <c r="W103" s="590">
        <f t="shared" si="3"/>
        <v>253.6337011563752</v>
      </c>
    </row>
    <row r="104" spans="1:24" s="235" customFormat="1" ht="36">
      <c r="A104" s="702"/>
      <c r="B104" s="703" t="s">
        <v>2158</v>
      </c>
      <c r="C104" s="703">
        <v>734101625</v>
      </c>
      <c r="D104" s="704">
        <v>46199</v>
      </c>
      <c r="E104" s="705">
        <v>381847534714</v>
      </c>
      <c r="F104" s="704">
        <v>46182</v>
      </c>
      <c r="G104" s="706" t="s">
        <v>802</v>
      </c>
      <c r="H104" s="706" t="s">
        <v>1593</v>
      </c>
      <c r="I104" s="706" t="s">
        <v>931</v>
      </c>
      <c r="J104" s="706" t="s">
        <v>971</v>
      </c>
      <c r="K104" s="703" t="s">
        <v>1137</v>
      </c>
      <c r="L104" s="703">
        <v>1.1000000000000001</v>
      </c>
      <c r="M104" s="707">
        <v>359912</v>
      </c>
      <c r="N104" s="707">
        <v>0</v>
      </c>
      <c r="O104" s="707">
        <v>152963</v>
      </c>
      <c r="P104" s="707">
        <v>26977</v>
      </c>
      <c r="Q104" s="707">
        <v>539852</v>
      </c>
      <c r="R104" s="708">
        <f>Q104/'Logistics record '!$AD$1</f>
        <v>20.401027889048446</v>
      </c>
      <c r="S104" s="265" t="s">
        <v>1155</v>
      </c>
      <c r="T104" s="232"/>
      <c r="U104" s="235" t="str" cm="1">
        <f t="array" ref="U104">IFERROR(
  _xlfn.IFS(
    VLOOKUP(E104,[1]Material!F$5:U$90000,16,0)="LUC","Lucid",
    VLOOKUP(E104,[1]Material!F$5:U$90000,16,0)="FMC","FORD",
    OR(VLOOKUP(E104,[1]Material!F$5:U$90000,16,0)="PUR",VLOOKUP(E104,[1]Material!F$5:U$90000,16,0)="HLO"),"PURE",
    VLOOKUP(E104,[1]Material!F$5:U$90000,16,0)="AIC","AIC",
    OR(VLOOKUP(E104,[1]Material!F$5:U$90000,16,0)="AGI",VLOOKUP(E104,[1]Material!F$5:U$90000,16,0)="AGIGA"),"AGIGA",
    OR(LEFT(VLOOKUP(E104,[1]Material!F$5:U$90000,16,0),3)="EF-",VLOOKUP(E104,[1]Material!F$5:U$90000,16,0)="EFI"),"EFI",
    AND(ISNUMBER(VLOOKUP(E104,[1]Material!F$5:U$90000,16,0)),VLOOKUP(E104,[1]Material!F$5:U$90000,16,0)&gt;=100,VLOOKUP(E104,[1]Material!F$5:U$90000,16,0)&lt;=999,VLOOKUP(E104,[1]Material!F$5:U$90000,16,0)=INT(VLOOKUP(E104,[1]Material!F$5:U$90000,16,0))),"OEM",
    TRUE,""
  ),
  "không tìm thấy trong file Import"
)</f>
        <v>EFI</v>
      </c>
      <c r="V104" s="235">
        <f>IFERROR(_xlfn.XLOOKUP(E:E,VVMV!B:B,VVMV!J:J),0)</f>
        <v>15.116015418335726</v>
      </c>
      <c r="W104" s="590">
        <f t="shared" si="3"/>
        <v>35.517043307384171</v>
      </c>
    </row>
    <row r="105" spans="1:24" s="235" customFormat="1" ht="48">
      <c r="A105" s="702"/>
      <c r="B105" s="703" t="s">
        <v>2158</v>
      </c>
      <c r="C105" s="703">
        <v>734101625</v>
      </c>
      <c r="D105" s="704">
        <v>46199</v>
      </c>
      <c r="E105" s="705">
        <v>381895018874</v>
      </c>
      <c r="F105" s="704">
        <v>46182</v>
      </c>
      <c r="G105" s="706" t="s">
        <v>804</v>
      </c>
      <c r="H105" s="706" t="s">
        <v>1593</v>
      </c>
      <c r="I105" s="706" t="s">
        <v>937</v>
      </c>
      <c r="J105" s="706" t="s">
        <v>971</v>
      </c>
      <c r="K105" s="703" t="s">
        <v>1151</v>
      </c>
      <c r="L105" s="703">
        <v>3.4</v>
      </c>
      <c r="M105" s="707">
        <v>451485</v>
      </c>
      <c r="N105" s="707">
        <v>0</v>
      </c>
      <c r="O105" s="707">
        <v>191881</v>
      </c>
      <c r="P105" s="707">
        <v>33841</v>
      </c>
      <c r="Q105" s="707">
        <v>677207</v>
      </c>
      <c r="R105" s="708">
        <f>Q105/'Logistics record '!$AD$1</f>
        <v>25.591678633512206</v>
      </c>
      <c r="S105" s="265" t="s">
        <v>1155</v>
      </c>
      <c r="T105" s="232"/>
      <c r="U105" s="235" t="str" cm="1">
        <f t="array" ref="U105">IFERROR(
  _xlfn.IFS(
    VLOOKUP(E105,[1]Material!F$5:U$90000,16,0)="LUC","Lucid",
    VLOOKUP(E105,[1]Material!F$5:U$90000,16,0)="FMC","FORD",
    OR(VLOOKUP(E105,[1]Material!F$5:U$90000,16,0)="PUR",VLOOKUP(E105,[1]Material!F$5:U$90000,16,0)="HLO"),"PURE",
    VLOOKUP(E105,[1]Material!F$5:U$90000,16,0)="AIC","AIC",
    OR(VLOOKUP(E105,[1]Material!F$5:U$90000,16,0)="AGI",VLOOKUP(E105,[1]Material!F$5:U$90000,16,0)="AGIGA"),"AGIGA",
    OR(LEFT(VLOOKUP(E105,[1]Material!F$5:U$90000,16,0),3)="EF-",VLOOKUP(E105,[1]Material!F$5:U$90000,16,0)="EFI"),"EFI",
    AND(ISNUMBER(VLOOKUP(E105,[1]Material!F$5:U$90000,16,0)),VLOOKUP(E105,[1]Material!F$5:U$90000,16,0)&gt;=100,VLOOKUP(E105,[1]Material!F$5:U$90000,16,0)&lt;=999,VLOOKUP(E105,[1]Material!F$5:U$90000,16,0)=INT(VLOOKUP(E105,[1]Material!F$5:U$90000,16,0))),"OEM",
    TRUE,""
  ),
  "không tìm thấy trong file Import"
)</f>
        <v>PURE</v>
      </c>
      <c r="V105" s="235">
        <f>IFERROR(_xlfn.XLOOKUP(E:E,VVMV!B:B,VVMV!J:J),0)</f>
        <v>15.116015418335726</v>
      </c>
      <c r="W105" s="590">
        <f t="shared" si="3"/>
        <v>40.70769405184793</v>
      </c>
    </row>
    <row r="106" spans="1:24" s="235" customFormat="1" ht="36">
      <c r="A106" s="702"/>
      <c r="B106" s="703" t="s">
        <v>2158</v>
      </c>
      <c r="C106" s="703">
        <v>734101625</v>
      </c>
      <c r="D106" s="704">
        <v>46199</v>
      </c>
      <c r="E106" s="705">
        <v>872690078492</v>
      </c>
      <c r="F106" s="704">
        <v>46182</v>
      </c>
      <c r="G106" s="706" t="s">
        <v>799</v>
      </c>
      <c r="H106" s="706" t="s">
        <v>1597</v>
      </c>
      <c r="I106" s="706" t="s">
        <v>939</v>
      </c>
      <c r="J106" s="706" t="s">
        <v>971</v>
      </c>
      <c r="K106" s="703" t="s">
        <v>1137</v>
      </c>
      <c r="L106" s="703">
        <v>40.9</v>
      </c>
      <c r="M106" s="707">
        <v>2068202</v>
      </c>
      <c r="N106" s="707">
        <v>0</v>
      </c>
      <c r="O106" s="707">
        <v>878986</v>
      </c>
      <c r="P106" s="707">
        <v>155022</v>
      </c>
      <c r="Q106" s="707">
        <v>3102210</v>
      </c>
      <c r="R106" s="708">
        <f>Q106/'Logistics record '!$AD$1</f>
        <v>117.23263547728818</v>
      </c>
      <c r="S106" s="265" t="s">
        <v>1155</v>
      </c>
      <c r="T106" s="232"/>
      <c r="U106" s="235" t="str" cm="1">
        <f t="array" ref="U106">IFERROR(
  _xlfn.IFS(
    VLOOKUP(E106,[1]Material!F$5:U$90000,16,0)="LUC","Lucid",
    VLOOKUP(E106,[1]Material!F$5:U$90000,16,0)="FMC","FORD",
    OR(VLOOKUP(E106,[1]Material!F$5:U$90000,16,0)="PUR",VLOOKUP(E106,[1]Material!F$5:U$90000,16,0)="HLO"),"PURE",
    VLOOKUP(E106,[1]Material!F$5:U$90000,16,0)="AIC","AIC",
    OR(VLOOKUP(E106,[1]Material!F$5:U$90000,16,0)="AGI",VLOOKUP(E106,[1]Material!F$5:U$90000,16,0)="AGIGA"),"AGIGA",
    OR(LEFT(VLOOKUP(E106,[1]Material!F$5:U$90000,16,0),3)="EF-",VLOOKUP(E106,[1]Material!F$5:U$90000,16,0)="EFI"),"EFI",
    AND(ISNUMBER(VLOOKUP(E106,[1]Material!F$5:U$90000,16,0)),VLOOKUP(E106,[1]Material!F$5:U$90000,16,0)&gt;=100,VLOOKUP(E106,[1]Material!F$5:U$90000,16,0)&lt;=999,VLOOKUP(E106,[1]Material!F$5:U$90000,16,0)=INT(VLOOKUP(E106,[1]Material!F$5:U$90000,16,0))),"OEM",
    TRUE,""
  ),
  "không tìm thấy trong file Import"
)</f>
        <v>OEM</v>
      </c>
      <c r="V106" s="235">
        <f>IFERROR(_xlfn.XLOOKUP(E:E,VVMV!B:B,VVMV!J:J),0)</f>
        <v>15.116015418335726</v>
      </c>
      <c r="W106" s="590">
        <f t="shared" si="3"/>
        <v>132.3486508956239</v>
      </c>
    </row>
    <row r="107" spans="1:24" s="235" customFormat="1" ht="36">
      <c r="A107" s="702"/>
      <c r="B107" s="703" t="s">
        <v>2158</v>
      </c>
      <c r="C107" s="703">
        <v>734101625</v>
      </c>
      <c r="D107" s="704">
        <v>46199</v>
      </c>
      <c r="E107" s="705">
        <v>381854847416</v>
      </c>
      <c r="F107" s="704">
        <v>46182</v>
      </c>
      <c r="G107" s="706" t="s">
        <v>802</v>
      </c>
      <c r="H107" s="706" t="s">
        <v>1593</v>
      </c>
      <c r="I107" s="706" t="s">
        <v>931</v>
      </c>
      <c r="J107" s="706" t="s">
        <v>971</v>
      </c>
      <c r="K107" s="703" t="s">
        <v>1137</v>
      </c>
      <c r="L107" s="703">
        <v>28.7</v>
      </c>
      <c r="M107" s="707">
        <v>1958544</v>
      </c>
      <c r="N107" s="707">
        <v>0</v>
      </c>
      <c r="O107" s="707">
        <v>832381</v>
      </c>
      <c r="P107" s="707">
        <v>146803</v>
      </c>
      <c r="Q107" s="707">
        <v>2937728</v>
      </c>
      <c r="R107" s="708">
        <f>Q107/'Logistics record '!$AD$1</f>
        <v>111.01685435719145</v>
      </c>
      <c r="S107" s="265" t="s">
        <v>1155</v>
      </c>
      <c r="T107" s="232"/>
      <c r="U107" s="235" t="str" cm="1">
        <f t="array" ref="U107">IFERROR(
  _xlfn.IFS(
    VLOOKUP(E107,[1]Material!F$5:U$90000,16,0)="LUC","Lucid",
    VLOOKUP(E107,[1]Material!F$5:U$90000,16,0)="FMC","FORD",
    OR(VLOOKUP(E107,[1]Material!F$5:U$90000,16,0)="PUR",VLOOKUP(E107,[1]Material!F$5:U$90000,16,0)="HLO"),"PURE",
    VLOOKUP(E107,[1]Material!F$5:U$90000,16,0)="AIC","AIC",
    OR(VLOOKUP(E107,[1]Material!F$5:U$90000,16,0)="AGI",VLOOKUP(E107,[1]Material!F$5:U$90000,16,0)="AGIGA"),"AGIGA",
    OR(LEFT(VLOOKUP(E107,[1]Material!F$5:U$90000,16,0),3)="EF-",VLOOKUP(E107,[1]Material!F$5:U$90000,16,0)="EFI"),"EFI",
    AND(ISNUMBER(VLOOKUP(E107,[1]Material!F$5:U$90000,16,0)),VLOOKUP(E107,[1]Material!F$5:U$90000,16,0)&gt;=100,VLOOKUP(E107,[1]Material!F$5:U$90000,16,0)&lt;=999,VLOOKUP(E107,[1]Material!F$5:U$90000,16,0)=INT(VLOOKUP(E107,[1]Material!F$5:U$90000,16,0))),"OEM",
    TRUE,""
  ),
  "không tìm thấy trong file Import"
)</f>
        <v>Lucid</v>
      </c>
      <c r="V107" s="235">
        <f>IFERROR(_xlfn.XLOOKUP(E:E,VVMV!B:B,VVMV!J:J),0)</f>
        <v>15.116015418335726</v>
      </c>
      <c r="W107" s="590">
        <f t="shared" si="3"/>
        <v>126.13286977552717</v>
      </c>
    </row>
    <row r="108" spans="1:24" s="235" customFormat="1" ht="36">
      <c r="A108" s="702"/>
      <c r="B108" s="703" t="s">
        <v>2158</v>
      </c>
      <c r="C108" s="703">
        <v>734101625</v>
      </c>
      <c r="D108" s="704">
        <v>46199</v>
      </c>
      <c r="E108" s="705">
        <v>464002431884</v>
      </c>
      <c r="F108" s="704">
        <v>46182</v>
      </c>
      <c r="G108" s="706" t="s">
        <v>2171</v>
      </c>
      <c r="H108" s="706" t="s">
        <v>1593</v>
      </c>
      <c r="I108" s="706" t="s">
        <v>937</v>
      </c>
      <c r="J108" s="706" t="s">
        <v>971</v>
      </c>
      <c r="K108" s="703" t="s">
        <v>1137</v>
      </c>
      <c r="L108" s="703">
        <v>5.7</v>
      </c>
      <c r="M108" s="707">
        <v>597556</v>
      </c>
      <c r="N108" s="707">
        <v>0</v>
      </c>
      <c r="O108" s="707">
        <v>253961</v>
      </c>
      <c r="P108" s="707">
        <v>44790</v>
      </c>
      <c r="Q108" s="707">
        <v>896307</v>
      </c>
      <c r="R108" s="708">
        <f>Q108/'Logistics record '!$AD$1</f>
        <v>33.871476078905602</v>
      </c>
      <c r="S108" s="265" t="s">
        <v>1155</v>
      </c>
      <c r="T108" s="232"/>
      <c r="U108" s="235" t="str" cm="1">
        <f t="array" ref="U108">IFERROR(
  _xlfn.IFS(
    VLOOKUP(E108,[1]Material!F$5:U$90000,16,0)="LUC","Lucid",
    VLOOKUP(E108,[1]Material!F$5:U$90000,16,0)="FMC","FORD",
    OR(VLOOKUP(E108,[1]Material!F$5:U$90000,16,0)="PUR",VLOOKUP(E108,[1]Material!F$5:U$90000,16,0)="HLO"),"PURE",
    VLOOKUP(E108,[1]Material!F$5:U$90000,16,0)="AIC","AIC",
    OR(VLOOKUP(E108,[1]Material!F$5:U$90000,16,0)="AGI",VLOOKUP(E108,[1]Material!F$5:U$90000,16,0)="AGIGA"),"AGIGA",
    OR(LEFT(VLOOKUP(E108,[1]Material!F$5:U$90000,16,0),3)="EF-",VLOOKUP(E108,[1]Material!F$5:U$90000,16,0)="EFI"),"EFI",
    AND(ISNUMBER(VLOOKUP(E108,[1]Material!F$5:U$90000,16,0)),VLOOKUP(E108,[1]Material!F$5:U$90000,16,0)&gt;=100,VLOOKUP(E108,[1]Material!F$5:U$90000,16,0)&lt;=999,VLOOKUP(E108,[1]Material!F$5:U$90000,16,0)=INT(VLOOKUP(E108,[1]Material!F$5:U$90000,16,0))),"OEM",
    TRUE,""
  ),
  "không tìm thấy trong file Import"
)</f>
        <v>FORD</v>
      </c>
      <c r="V108" s="235">
        <f>IFERROR(_xlfn.XLOOKUP(E:E,VVMV!B:B,VVMV!J:J),0)</f>
        <v>15.116015418335726</v>
      </c>
      <c r="W108" s="590">
        <f t="shared" si="3"/>
        <v>48.987491497241329</v>
      </c>
    </row>
    <row r="109" spans="1:24" s="235" customFormat="1" ht="48">
      <c r="A109" s="702"/>
      <c r="B109" s="703" t="s">
        <v>2158</v>
      </c>
      <c r="C109" s="703">
        <v>734101625</v>
      </c>
      <c r="D109" s="704">
        <v>46199</v>
      </c>
      <c r="E109" s="705">
        <v>381897161090</v>
      </c>
      <c r="F109" s="704">
        <v>46182</v>
      </c>
      <c r="G109" s="706" t="s">
        <v>804</v>
      </c>
      <c r="H109" s="706" t="s">
        <v>1593</v>
      </c>
      <c r="I109" s="706" t="s">
        <v>937</v>
      </c>
      <c r="J109" s="706" t="s">
        <v>971</v>
      </c>
      <c r="K109" s="703" t="s">
        <v>1151</v>
      </c>
      <c r="L109" s="703">
        <v>1.4</v>
      </c>
      <c r="M109" s="707">
        <v>299060</v>
      </c>
      <c r="N109" s="707">
        <v>0</v>
      </c>
      <c r="O109" s="707">
        <v>127101</v>
      </c>
      <c r="P109" s="707">
        <v>22416</v>
      </c>
      <c r="Q109" s="707">
        <v>448577</v>
      </c>
      <c r="R109" s="708">
        <f>Q109/'Logistics record '!$AD$1</f>
        <v>16.951742120776963</v>
      </c>
      <c r="S109" s="265" t="s">
        <v>1155</v>
      </c>
      <c r="T109" s="232"/>
      <c r="U109" s="235" t="str" cm="1">
        <f t="array" ref="U109">IFERROR(
  _xlfn.IFS(
    VLOOKUP(E109,[1]Material!F$5:U$90000,16,0)="LUC","Lucid",
    VLOOKUP(E109,[1]Material!F$5:U$90000,16,0)="FMC","FORD",
    OR(VLOOKUP(E109,[1]Material!F$5:U$90000,16,0)="PUR",VLOOKUP(E109,[1]Material!F$5:U$90000,16,0)="HLO"),"PURE",
    VLOOKUP(E109,[1]Material!F$5:U$90000,16,0)="AIC","AIC",
    OR(VLOOKUP(E109,[1]Material!F$5:U$90000,16,0)="AGI",VLOOKUP(E109,[1]Material!F$5:U$90000,16,0)="AGIGA"),"AGIGA",
    OR(LEFT(VLOOKUP(E109,[1]Material!F$5:U$90000,16,0),3)="EF-",VLOOKUP(E109,[1]Material!F$5:U$90000,16,0)="EFI"),"EFI",
    AND(ISNUMBER(VLOOKUP(E109,[1]Material!F$5:U$90000,16,0)),VLOOKUP(E109,[1]Material!F$5:U$90000,16,0)&gt;=100,VLOOKUP(E109,[1]Material!F$5:U$90000,16,0)&lt;=999,VLOOKUP(E109,[1]Material!F$5:U$90000,16,0)=INT(VLOOKUP(E109,[1]Material!F$5:U$90000,16,0))),"OEM",
    TRUE,""
  ),
  "không tìm thấy trong file Import"
)</f>
        <v>PURE</v>
      </c>
      <c r="V109" s="235">
        <f>IFERROR(_xlfn.XLOOKUP(E:E,VVMV!B:B,VVMV!J:J),0)</f>
        <v>15.116015418335726</v>
      </c>
      <c r="W109" s="590">
        <f t="shared" si="3"/>
        <v>32.067757539112691</v>
      </c>
    </row>
    <row r="110" spans="1:24" s="235" customFormat="1" ht="36">
      <c r="A110" s="702"/>
      <c r="B110" s="703" t="s">
        <v>2158</v>
      </c>
      <c r="C110" s="703">
        <v>734101625</v>
      </c>
      <c r="D110" s="704">
        <v>46199</v>
      </c>
      <c r="E110" s="705">
        <v>510007366917</v>
      </c>
      <c r="F110" s="704">
        <v>46183</v>
      </c>
      <c r="G110" s="706" t="s">
        <v>810</v>
      </c>
      <c r="H110" s="706" t="s">
        <v>1599</v>
      </c>
      <c r="I110" s="706" t="s">
        <v>927</v>
      </c>
      <c r="J110" s="706" t="s">
        <v>971</v>
      </c>
      <c r="K110" s="703" t="s">
        <v>1151</v>
      </c>
      <c r="L110" s="703">
        <v>52.3</v>
      </c>
      <c r="M110" s="707">
        <v>3136243</v>
      </c>
      <c r="N110" s="707">
        <v>0</v>
      </c>
      <c r="O110" s="707">
        <v>1332903</v>
      </c>
      <c r="P110" s="707">
        <v>235077</v>
      </c>
      <c r="Q110" s="707">
        <v>4704223</v>
      </c>
      <c r="R110" s="708">
        <f>Q110/'Logistics record '!$AD$1</f>
        <v>177.77276849822385</v>
      </c>
      <c r="S110" s="265" t="s">
        <v>1155</v>
      </c>
      <c r="T110" s="232"/>
      <c r="U110" s="235" t="str" cm="1">
        <f t="array" ref="U110">IFERROR(
  _xlfn.IFS(
    VLOOKUP(E110,[1]Material!F$5:U$90000,16,0)="LUC","Lucid",
    VLOOKUP(E110,[1]Material!F$5:U$90000,16,0)="FMC","FORD",
    OR(VLOOKUP(E110,[1]Material!F$5:U$90000,16,0)="PUR",VLOOKUP(E110,[1]Material!F$5:U$90000,16,0)="HLO"),"PURE",
    VLOOKUP(E110,[1]Material!F$5:U$90000,16,0)="AIC","AIC",
    OR(VLOOKUP(E110,[1]Material!F$5:U$90000,16,0)="AGI",VLOOKUP(E110,[1]Material!F$5:U$90000,16,0)="AGIGA"),"AGIGA",
    OR(LEFT(VLOOKUP(E110,[1]Material!F$5:U$90000,16,0),3)="EF-",VLOOKUP(E110,[1]Material!F$5:U$90000,16,0)="EFI"),"EFI",
    AND(ISNUMBER(VLOOKUP(E110,[1]Material!F$5:U$90000,16,0)),VLOOKUP(E110,[1]Material!F$5:U$90000,16,0)&gt;=100,VLOOKUP(E110,[1]Material!F$5:U$90000,16,0)&lt;=999,VLOOKUP(E110,[1]Material!F$5:U$90000,16,0)=INT(VLOOKUP(E110,[1]Material!F$5:U$90000,16,0))),"OEM",
    TRUE,""
  ),
  "không tìm thấy trong file Import"
)</f>
        <v>OEM</v>
      </c>
      <c r="V110" s="235">
        <f>IFERROR(_xlfn.XLOOKUP(E:E,VVMV!B:B,VVMV!J:J),0)</f>
        <v>15.116015418335726</v>
      </c>
      <c r="W110" s="590">
        <f t="shared" si="3"/>
        <v>192.88878391655959</v>
      </c>
    </row>
    <row r="111" spans="1:24" s="235" customFormat="1" ht="36">
      <c r="A111" s="702"/>
      <c r="B111" s="703" t="s">
        <v>2158</v>
      </c>
      <c r="C111" s="703">
        <v>734101625</v>
      </c>
      <c r="D111" s="704">
        <v>46199</v>
      </c>
      <c r="E111" s="705">
        <v>872881089343</v>
      </c>
      <c r="F111" s="704">
        <v>46183</v>
      </c>
      <c r="G111" s="706" t="s">
        <v>805</v>
      </c>
      <c r="H111" s="706" t="s">
        <v>1150</v>
      </c>
      <c r="I111" s="706" t="s">
        <v>937</v>
      </c>
      <c r="J111" s="706" t="s">
        <v>971</v>
      </c>
      <c r="K111" s="703" t="s">
        <v>1151</v>
      </c>
      <c r="L111" s="703">
        <v>2.6</v>
      </c>
      <c r="M111" s="707">
        <v>423450</v>
      </c>
      <c r="N111" s="707">
        <v>0</v>
      </c>
      <c r="O111" s="707">
        <v>179966</v>
      </c>
      <c r="P111" s="707">
        <v>31740</v>
      </c>
      <c r="Q111" s="707">
        <v>635156</v>
      </c>
      <c r="R111" s="708">
        <f>Q111/'Logistics record '!$AD$1</f>
        <v>24.002569722621118</v>
      </c>
      <c r="S111" s="265" t="s">
        <v>1155</v>
      </c>
      <c r="T111" s="232"/>
      <c r="U111" s="235" t="str" cm="1">
        <f t="array" ref="U111">IFERROR(
  _xlfn.IFS(
    VLOOKUP(E111,[1]Material!F$5:U$90000,16,0)="LUC","Lucid",
    VLOOKUP(E111,[1]Material!F$5:U$90000,16,0)="FMC","FORD",
    OR(VLOOKUP(E111,[1]Material!F$5:U$90000,16,0)="PUR",VLOOKUP(E111,[1]Material!F$5:U$90000,16,0)="HLO"),"PURE",
    VLOOKUP(E111,[1]Material!F$5:U$90000,16,0)="AIC","AIC",
    OR(VLOOKUP(E111,[1]Material!F$5:U$90000,16,0)="AGI",VLOOKUP(E111,[1]Material!F$5:U$90000,16,0)="AGIGA"),"AGIGA",
    OR(LEFT(VLOOKUP(E111,[1]Material!F$5:U$90000,16,0),3)="EF-",VLOOKUP(E111,[1]Material!F$5:U$90000,16,0)="EFI"),"EFI",
    AND(ISNUMBER(VLOOKUP(E111,[1]Material!F$5:U$90000,16,0)),VLOOKUP(E111,[1]Material!F$5:U$90000,16,0)&gt;=100,VLOOKUP(E111,[1]Material!F$5:U$90000,16,0)&lt;=999,VLOOKUP(E111,[1]Material!F$5:U$90000,16,0)=INT(VLOOKUP(E111,[1]Material!F$5:U$90000,16,0))),"OEM",
    TRUE,""
  ),
  "không tìm thấy trong file Import"
)</f>
        <v>OEM</v>
      </c>
      <c r="V111" s="235">
        <f>IFERROR(_xlfn.XLOOKUP(E:E,VVMV!B:B,VVMV!J:J),0)</f>
        <v>15.116015418335726</v>
      </c>
      <c r="W111" s="590">
        <f t="shared" si="3"/>
        <v>39.118585140956846</v>
      </c>
    </row>
    <row r="112" spans="1:24" s="235" customFormat="1" ht="36">
      <c r="A112" s="702"/>
      <c r="B112" s="703" t="s">
        <v>2158</v>
      </c>
      <c r="C112" s="703">
        <v>734101625</v>
      </c>
      <c r="D112" s="704">
        <v>46199</v>
      </c>
      <c r="E112" s="705">
        <v>527529888610</v>
      </c>
      <c r="F112" s="704">
        <v>46183</v>
      </c>
      <c r="G112" s="706" t="s">
        <v>809</v>
      </c>
      <c r="H112" s="706" t="s">
        <v>1595</v>
      </c>
      <c r="I112" s="706" t="s">
        <v>954</v>
      </c>
      <c r="J112" s="706" t="s">
        <v>971</v>
      </c>
      <c r="K112" s="703" t="s">
        <v>1137</v>
      </c>
      <c r="L112" s="703">
        <v>30.3</v>
      </c>
      <c r="M112" s="707">
        <v>2044066</v>
      </c>
      <c r="N112" s="707">
        <v>0</v>
      </c>
      <c r="O112" s="707">
        <v>868728</v>
      </c>
      <c r="P112" s="707">
        <v>153213</v>
      </c>
      <c r="Q112" s="707">
        <v>3066007</v>
      </c>
      <c r="R112" s="708">
        <f>Q112/'Logistics record '!$AD$1</f>
        <v>115.86452271181317</v>
      </c>
      <c r="S112" s="265" t="s">
        <v>1155</v>
      </c>
      <c r="T112" s="232"/>
      <c r="U112" s="235" t="str" cm="1">
        <f t="array" ref="U112">IFERROR(
  _xlfn.IFS(
    VLOOKUP(E112,[1]Material!F$5:U$90000,16,0)="LUC","Lucid",
    VLOOKUP(E112,[1]Material!F$5:U$90000,16,0)="FMC","FORD",
    OR(VLOOKUP(E112,[1]Material!F$5:U$90000,16,0)="PUR",VLOOKUP(E112,[1]Material!F$5:U$90000,16,0)="HLO"),"PURE",
    VLOOKUP(E112,[1]Material!F$5:U$90000,16,0)="AIC","AIC",
    OR(VLOOKUP(E112,[1]Material!F$5:U$90000,16,0)="AGI",VLOOKUP(E112,[1]Material!F$5:U$90000,16,0)="AGIGA"),"AGIGA",
    OR(LEFT(VLOOKUP(E112,[1]Material!F$5:U$90000,16,0),3)="EF-",VLOOKUP(E112,[1]Material!F$5:U$90000,16,0)="EFI"),"EFI",
    AND(ISNUMBER(VLOOKUP(E112,[1]Material!F$5:U$90000,16,0)),VLOOKUP(E112,[1]Material!F$5:U$90000,16,0)&gt;=100,VLOOKUP(E112,[1]Material!F$5:U$90000,16,0)&lt;=999,VLOOKUP(E112,[1]Material!F$5:U$90000,16,0)=INT(VLOOKUP(E112,[1]Material!F$5:U$90000,16,0))),"OEM",
    TRUE,""
  ),
  "không tìm thấy trong file Import"
)</f>
        <v>PURE</v>
      </c>
      <c r="V112" s="235">
        <f>IFERROR(_xlfn.XLOOKUP(E:E,VVMV!B:B,VVMV!J:J),0)</f>
        <v>15.116015418335726</v>
      </c>
      <c r="W112" s="590">
        <f t="shared" si="3"/>
        <v>130.98053813014889</v>
      </c>
    </row>
    <row r="113" spans="1:23" s="235" customFormat="1" ht="24">
      <c r="A113" s="702"/>
      <c r="B113" s="703" t="s">
        <v>2158</v>
      </c>
      <c r="C113" s="703">
        <v>734101625</v>
      </c>
      <c r="D113" s="704">
        <v>46199</v>
      </c>
      <c r="E113" s="705">
        <v>872873986800</v>
      </c>
      <c r="F113" s="704">
        <v>46183</v>
      </c>
      <c r="G113" s="706" t="s">
        <v>375</v>
      </c>
      <c r="H113" s="706" t="s">
        <v>110</v>
      </c>
      <c r="I113" s="706" t="s">
        <v>937</v>
      </c>
      <c r="J113" s="706" t="s">
        <v>971</v>
      </c>
      <c r="K113" s="703" t="s">
        <v>1151</v>
      </c>
      <c r="L113" s="703">
        <v>39.6</v>
      </c>
      <c r="M113" s="707">
        <v>2220246</v>
      </c>
      <c r="N113" s="707">
        <v>0</v>
      </c>
      <c r="O113" s="707">
        <v>943605</v>
      </c>
      <c r="P113" s="707">
        <v>166419</v>
      </c>
      <c r="Q113" s="707">
        <v>3330270</v>
      </c>
      <c r="R113" s="708">
        <f>Q113/'Logistics record '!$AD$1</f>
        <v>125.8510316680523</v>
      </c>
      <c r="S113" s="265" t="s">
        <v>1155</v>
      </c>
      <c r="T113" s="232"/>
      <c r="U113" s="235" t="str" cm="1">
        <f t="array" ref="U113">IFERROR(
  _xlfn.IFS(
    VLOOKUP(E113,[1]Material!F$5:U$90000,16,0)="LUC","Lucid",
    VLOOKUP(E113,[1]Material!F$5:U$90000,16,0)="FMC","FORD",
    OR(VLOOKUP(E113,[1]Material!F$5:U$90000,16,0)="PUR",VLOOKUP(E113,[1]Material!F$5:U$90000,16,0)="HLO"),"PURE",
    VLOOKUP(E113,[1]Material!F$5:U$90000,16,0)="AIC","AIC",
    OR(VLOOKUP(E113,[1]Material!F$5:U$90000,16,0)="AGI",VLOOKUP(E113,[1]Material!F$5:U$90000,16,0)="AGIGA"),"AGIGA",
    OR(LEFT(VLOOKUP(E113,[1]Material!F$5:U$90000,16,0),3)="EF-",VLOOKUP(E113,[1]Material!F$5:U$90000,16,0)="EFI"),"EFI",
    AND(ISNUMBER(VLOOKUP(E113,[1]Material!F$5:U$90000,16,0)),VLOOKUP(E113,[1]Material!F$5:U$90000,16,0)&gt;=100,VLOOKUP(E113,[1]Material!F$5:U$90000,16,0)&lt;=999,VLOOKUP(E113,[1]Material!F$5:U$90000,16,0)=INT(VLOOKUP(E113,[1]Material!F$5:U$90000,16,0))),"OEM",
    TRUE,""
  ),
  "không tìm thấy trong file Import"
)</f>
        <v>PURE</v>
      </c>
      <c r="V113" s="235">
        <f>IFERROR(_xlfn.XLOOKUP(E:E,VVMV!B:B,VVMV!J:J),0)</f>
        <v>15.116015418335726</v>
      </c>
      <c r="W113" s="590">
        <f t="shared" si="3"/>
        <v>140.96704708638802</v>
      </c>
    </row>
    <row r="114" spans="1:23" s="235" customFormat="1" ht="24">
      <c r="A114" s="702"/>
      <c r="B114" s="703" t="s">
        <v>2158</v>
      </c>
      <c r="C114" s="703">
        <v>734101625</v>
      </c>
      <c r="D114" s="704">
        <v>46199</v>
      </c>
      <c r="E114" s="705">
        <v>872930667108</v>
      </c>
      <c r="F114" s="704">
        <v>46184</v>
      </c>
      <c r="G114" s="706" t="s">
        <v>1620</v>
      </c>
      <c r="H114" s="706" t="s">
        <v>1150</v>
      </c>
      <c r="I114" s="706" t="s">
        <v>932</v>
      </c>
      <c r="J114" s="706" t="s">
        <v>971</v>
      </c>
      <c r="K114" s="703" t="s">
        <v>1137</v>
      </c>
      <c r="L114" s="703">
        <v>10.199999999999999</v>
      </c>
      <c r="M114" s="707">
        <v>860665</v>
      </c>
      <c r="N114" s="707">
        <v>0</v>
      </c>
      <c r="O114" s="707">
        <v>365783</v>
      </c>
      <c r="P114" s="707">
        <v>64511</v>
      </c>
      <c r="Q114" s="707">
        <v>1290959</v>
      </c>
      <c r="R114" s="708">
        <f>Q114/'Logistics record '!$AD$1</f>
        <v>48.785390371098181</v>
      </c>
      <c r="S114" s="265" t="s">
        <v>1155</v>
      </c>
      <c r="T114" s="232"/>
      <c r="U114" s="235" t="str" cm="1">
        <f t="array" ref="U114">IFERROR(
  _xlfn.IFS(
    VLOOKUP(E114,[1]Material!F$5:U$90000,16,0)="LUC","Lucid",
    VLOOKUP(E114,[1]Material!F$5:U$90000,16,0)="FMC","FORD",
    OR(VLOOKUP(E114,[1]Material!F$5:U$90000,16,0)="PUR",VLOOKUP(E114,[1]Material!F$5:U$90000,16,0)="HLO"),"PURE",
    VLOOKUP(E114,[1]Material!F$5:U$90000,16,0)="AIC","AIC",
    OR(VLOOKUP(E114,[1]Material!F$5:U$90000,16,0)="AGI",VLOOKUP(E114,[1]Material!F$5:U$90000,16,0)="AGIGA"),"AGIGA",
    OR(LEFT(VLOOKUP(E114,[1]Material!F$5:U$90000,16,0),3)="EF-",VLOOKUP(E114,[1]Material!F$5:U$90000,16,0)="EFI"),"EFI",
    AND(ISNUMBER(VLOOKUP(E114,[1]Material!F$5:U$90000,16,0)),VLOOKUP(E114,[1]Material!F$5:U$90000,16,0)&gt;=100,VLOOKUP(E114,[1]Material!F$5:U$90000,16,0)&lt;=999,VLOOKUP(E114,[1]Material!F$5:U$90000,16,0)=INT(VLOOKUP(E114,[1]Material!F$5:U$90000,16,0))),"OEM",
    TRUE,""
  ),
  "không tìm thấy trong file Import"
)</f>
        <v>EFI</v>
      </c>
      <c r="V114" s="235">
        <f>IFERROR(_xlfn.XLOOKUP(E:E,VVMV!B:B,VVMV!J:J),0)</f>
        <v>15.116015418335726</v>
      </c>
      <c r="W114" s="590">
        <f t="shared" si="3"/>
        <v>63.901405789433909</v>
      </c>
    </row>
    <row r="115" spans="1:23" s="235" customFormat="1" ht="36">
      <c r="A115" s="702"/>
      <c r="B115" s="703" t="s">
        <v>2158</v>
      </c>
      <c r="C115" s="703">
        <v>734101625</v>
      </c>
      <c r="D115" s="704">
        <v>46199</v>
      </c>
      <c r="E115" s="705">
        <v>381903937096</v>
      </c>
      <c r="F115" s="704">
        <v>46184</v>
      </c>
      <c r="G115" s="706" t="s">
        <v>802</v>
      </c>
      <c r="H115" s="706" t="s">
        <v>1593</v>
      </c>
      <c r="I115" s="706" t="s">
        <v>931</v>
      </c>
      <c r="J115" s="706" t="s">
        <v>971</v>
      </c>
      <c r="K115" s="703" t="s">
        <v>1137</v>
      </c>
      <c r="L115" s="703">
        <v>1.1000000000000001</v>
      </c>
      <c r="M115" s="707">
        <v>359912</v>
      </c>
      <c r="N115" s="707">
        <v>0</v>
      </c>
      <c r="O115" s="707">
        <v>152963</v>
      </c>
      <c r="P115" s="707">
        <v>26977</v>
      </c>
      <c r="Q115" s="707">
        <v>539852</v>
      </c>
      <c r="R115" s="708">
        <f>Q115/'Logistics record '!$AD$1</f>
        <v>20.401027889048446</v>
      </c>
      <c r="S115" s="265" t="s">
        <v>1155</v>
      </c>
      <c r="T115" s="232"/>
      <c r="U115" s="235" t="str" cm="1">
        <f t="array" ref="U115">IFERROR(
  _xlfn.IFS(
    VLOOKUP(E115,[1]Material!F$5:U$90000,16,0)="LUC","Lucid",
    VLOOKUP(E115,[1]Material!F$5:U$90000,16,0)="FMC","FORD",
    OR(VLOOKUP(E115,[1]Material!F$5:U$90000,16,0)="PUR",VLOOKUP(E115,[1]Material!F$5:U$90000,16,0)="HLO"),"PURE",
    VLOOKUP(E115,[1]Material!F$5:U$90000,16,0)="AIC","AIC",
    OR(VLOOKUP(E115,[1]Material!F$5:U$90000,16,0)="AGI",VLOOKUP(E115,[1]Material!F$5:U$90000,16,0)="AGIGA"),"AGIGA",
    OR(LEFT(VLOOKUP(E115,[1]Material!F$5:U$90000,16,0),3)="EF-",VLOOKUP(E115,[1]Material!F$5:U$90000,16,0)="EFI"),"EFI",
    AND(ISNUMBER(VLOOKUP(E115,[1]Material!F$5:U$90000,16,0)),VLOOKUP(E115,[1]Material!F$5:U$90000,16,0)&gt;=100,VLOOKUP(E115,[1]Material!F$5:U$90000,16,0)&lt;=999,VLOOKUP(E115,[1]Material!F$5:U$90000,16,0)=INT(VLOOKUP(E115,[1]Material!F$5:U$90000,16,0))),"OEM",
    TRUE,""
  ),
  "không tìm thấy trong file Import"
)</f>
        <v>Lucid</v>
      </c>
      <c r="V115" s="235">
        <f>IFERROR(_xlfn.XLOOKUP(E:E,VVMV!B:B,VVMV!J:J),0)</f>
        <v>15.116015418335726</v>
      </c>
      <c r="W115" s="590">
        <f t="shared" si="3"/>
        <v>35.517043307384171</v>
      </c>
    </row>
    <row r="116" spans="1:23" s="235" customFormat="1" ht="36">
      <c r="A116" s="702"/>
      <c r="B116" s="703" t="s">
        <v>2158</v>
      </c>
      <c r="C116" s="703">
        <v>734101625</v>
      </c>
      <c r="D116" s="704">
        <v>46199</v>
      </c>
      <c r="E116" s="705">
        <v>872931345031</v>
      </c>
      <c r="F116" s="704">
        <v>46184</v>
      </c>
      <c r="G116" s="706" t="s">
        <v>2172</v>
      </c>
      <c r="H116" s="706" t="s">
        <v>2173</v>
      </c>
      <c r="I116" s="706" t="s">
        <v>927</v>
      </c>
      <c r="J116" s="706" t="s">
        <v>971</v>
      </c>
      <c r="K116" s="703" t="s">
        <v>1151</v>
      </c>
      <c r="L116" s="703">
        <v>0.9</v>
      </c>
      <c r="M116" s="707">
        <v>260949</v>
      </c>
      <c r="N116" s="707">
        <v>0</v>
      </c>
      <c r="O116" s="707">
        <v>110903</v>
      </c>
      <c r="P116" s="707">
        <v>19559</v>
      </c>
      <c r="Q116" s="707">
        <v>391411</v>
      </c>
      <c r="R116" s="708">
        <f>Q116/'Logistics record '!$AD$1</f>
        <v>14.791436777265513</v>
      </c>
      <c r="S116" s="265" t="s">
        <v>1155</v>
      </c>
      <c r="T116" s="232"/>
      <c r="U116" s="235" t="str" cm="1">
        <f t="array" ref="U116">IFERROR(
  _xlfn.IFS(
    VLOOKUP(E116,[1]Material!F$5:U$90000,16,0)="LUC","Lucid",
    VLOOKUP(E116,[1]Material!F$5:U$90000,16,0)="FMC","FORD",
    OR(VLOOKUP(E116,[1]Material!F$5:U$90000,16,0)="PUR",VLOOKUP(E116,[1]Material!F$5:U$90000,16,0)="HLO"),"PURE",
    VLOOKUP(E116,[1]Material!F$5:U$90000,16,0)="AIC","AIC",
    OR(VLOOKUP(E116,[1]Material!F$5:U$90000,16,0)="AGI",VLOOKUP(E116,[1]Material!F$5:U$90000,16,0)="AGIGA"),"AGIGA",
    OR(LEFT(VLOOKUP(E116,[1]Material!F$5:U$90000,16,0),3)="EF-",VLOOKUP(E116,[1]Material!F$5:U$90000,16,0)="EFI"),"EFI",
    AND(ISNUMBER(VLOOKUP(E116,[1]Material!F$5:U$90000,16,0)),VLOOKUP(E116,[1]Material!F$5:U$90000,16,0)&gt;=100,VLOOKUP(E116,[1]Material!F$5:U$90000,16,0)&lt;=999,VLOOKUP(E116,[1]Material!F$5:U$90000,16,0)=INT(VLOOKUP(E116,[1]Material!F$5:U$90000,16,0))),"OEM",
    TRUE,""
  ),
  "không tìm thấy trong file Import"
)</f>
        <v>OEM</v>
      </c>
      <c r="V116" s="235">
        <f>IFERROR(_xlfn.XLOOKUP(E:E,VVMV!B:B,VVMV!J:J),0)</f>
        <v>15.116015418335726</v>
      </c>
      <c r="W116" s="590">
        <f t="shared" si="3"/>
        <v>29.907452195601238</v>
      </c>
    </row>
    <row r="117" spans="1:23" s="235" customFormat="1" ht="36">
      <c r="A117" s="702"/>
      <c r="B117" s="703" t="s">
        <v>2158</v>
      </c>
      <c r="C117" s="703">
        <v>734101625</v>
      </c>
      <c r="D117" s="704">
        <v>46199</v>
      </c>
      <c r="E117" s="705">
        <v>872926227843</v>
      </c>
      <c r="F117" s="704">
        <v>46184</v>
      </c>
      <c r="G117" s="706" t="s">
        <v>336</v>
      </c>
      <c r="H117" s="706" t="s">
        <v>1595</v>
      </c>
      <c r="I117" s="706" t="s">
        <v>932</v>
      </c>
      <c r="J117" s="706" t="s">
        <v>971</v>
      </c>
      <c r="K117" s="703" t="s">
        <v>1137</v>
      </c>
      <c r="L117" s="703">
        <v>7.9</v>
      </c>
      <c r="M117" s="707">
        <v>749957</v>
      </c>
      <c r="N117" s="707">
        <v>0</v>
      </c>
      <c r="O117" s="707">
        <v>318732</v>
      </c>
      <c r="P117" s="707">
        <v>56213</v>
      </c>
      <c r="Q117" s="707">
        <v>1124902</v>
      </c>
      <c r="R117" s="708">
        <f>Q117/'Logistics record '!$AD$1</f>
        <v>42.510089940291742</v>
      </c>
      <c r="S117" s="265" t="s">
        <v>1155</v>
      </c>
      <c r="T117" s="232"/>
      <c r="U117" s="235" t="str" cm="1">
        <f t="array" ref="U117">IFERROR(
  _xlfn.IFS(
    VLOOKUP(E117,[1]Material!F$5:U$90000,16,0)="LUC","Lucid",
    VLOOKUP(E117,[1]Material!F$5:U$90000,16,0)="FMC","FORD",
    OR(VLOOKUP(E117,[1]Material!F$5:U$90000,16,0)="PUR",VLOOKUP(E117,[1]Material!F$5:U$90000,16,0)="HLO"),"PURE",
    VLOOKUP(E117,[1]Material!F$5:U$90000,16,0)="AIC","AIC",
    OR(VLOOKUP(E117,[1]Material!F$5:U$90000,16,0)="AGI",VLOOKUP(E117,[1]Material!F$5:U$90000,16,0)="AGIGA"),"AGIGA",
    OR(LEFT(VLOOKUP(E117,[1]Material!F$5:U$90000,16,0),3)="EF-",VLOOKUP(E117,[1]Material!F$5:U$90000,16,0)="EFI"),"EFI",
    AND(ISNUMBER(VLOOKUP(E117,[1]Material!F$5:U$90000,16,0)),VLOOKUP(E117,[1]Material!F$5:U$90000,16,0)&gt;=100,VLOOKUP(E117,[1]Material!F$5:U$90000,16,0)&lt;=999,VLOOKUP(E117,[1]Material!F$5:U$90000,16,0)=INT(VLOOKUP(E117,[1]Material!F$5:U$90000,16,0))),"OEM",
    TRUE,""
  ),
  "không tìm thấy trong file Import"
)</f>
        <v>PURE</v>
      </c>
      <c r="V117" s="235">
        <f>IFERROR(_xlfn.XLOOKUP(E:E,VVMV!B:B,VVMV!J:J),0)</f>
        <v>15.116015418335726</v>
      </c>
      <c r="W117" s="590">
        <f t="shared" si="3"/>
        <v>57.62610535862747</v>
      </c>
    </row>
    <row r="118" spans="1:23" s="235" customFormat="1" ht="48">
      <c r="A118" s="702"/>
      <c r="B118" s="703" t="s">
        <v>2158</v>
      </c>
      <c r="C118" s="703">
        <v>734101625</v>
      </c>
      <c r="D118" s="704">
        <v>46199</v>
      </c>
      <c r="E118" s="705">
        <v>872881440674</v>
      </c>
      <c r="F118" s="704">
        <v>46184</v>
      </c>
      <c r="G118" s="706" t="s">
        <v>2174</v>
      </c>
      <c r="H118" s="706" t="s">
        <v>1593</v>
      </c>
      <c r="I118" s="706" t="s">
        <v>931</v>
      </c>
      <c r="J118" s="706" t="s">
        <v>971</v>
      </c>
      <c r="K118" s="703" t="s">
        <v>1137</v>
      </c>
      <c r="L118" s="703">
        <v>39.200000000000003</v>
      </c>
      <c r="M118" s="707">
        <v>2559690</v>
      </c>
      <c r="N118" s="707">
        <v>0</v>
      </c>
      <c r="O118" s="707">
        <v>1087868</v>
      </c>
      <c r="P118" s="707">
        <v>191862</v>
      </c>
      <c r="Q118" s="707">
        <v>3839420</v>
      </c>
      <c r="R118" s="708">
        <f>Q118/'Logistics record '!$AD$1</f>
        <v>145.09182979366639</v>
      </c>
      <c r="S118" s="265" t="s">
        <v>1155</v>
      </c>
      <c r="T118" s="232"/>
      <c r="U118" s="235" t="str" cm="1">
        <f t="array" ref="U118">IFERROR(
  _xlfn.IFS(
    VLOOKUP(E118,[1]Material!F$5:U$90000,16,0)="LUC","Lucid",
    VLOOKUP(E118,[1]Material!F$5:U$90000,16,0)="FMC","FORD",
    OR(VLOOKUP(E118,[1]Material!F$5:U$90000,16,0)="PUR",VLOOKUP(E118,[1]Material!F$5:U$90000,16,0)="HLO"),"PURE",
    VLOOKUP(E118,[1]Material!F$5:U$90000,16,0)="AIC","AIC",
    OR(VLOOKUP(E118,[1]Material!F$5:U$90000,16,0)="AGI",VLOOKUP(E118,[1]Material!F$5:U$90000,16,0)="AGIGA"),"AGIGA",
    OR(LEFT(VLOOKUP(E118,[1]Material!F$5:U$90000,16,0),3)="EF-",VLOOKUP(E118,[1]Material!F$5:U$90000,16,0)="EFI"),"EFI",
    AND(ISNUMBER(VLOOKUP(E118,[1]Material!F$5:U$90000,16,0)),VLOOKUP(E118,[1]Material!F$5:U$90000,16,0)&gt;=100,VLOOKUP(E118,[1]Material!F$5:U$90000,16,0)&lt;=999,VLOOKUP(E118,[1]Material!F$5:U$90000,16,0)=INT(VLOOKUP(E118,[1]Material!F$5:U$90000,16,0))),"OEM",
    TRUE,""
  ),
  "không tìm thấy trong file Import"
)</f>
        <v>FORD</v>
      </c>
      <c r="V118" s="235">
        <f>IFERROR(_xlfn.XLOOKUP(E:E,VVMV!B:B,VVMV!J:J),0)</f>
        <v>15.116015418335726</v>
      </c>
      <c r="W118" s="590">
        <f t="shared" si="3"/>
        <v>160.20784521200213</v>
      </c>
    </row>
    <row r="119" spans="1:23" s="235" customFormat="1" ht="36">
      <c r="A119" s="702"/>
      <c r="B119" s="703" t="s">
        <v>2158</v>
      </c>
      <c r="C119" s="703">
        <v>734101625</v>
      </c>
      <c r="D119" s="704">
        <v>46199</v>
      </c>
      <c r="E119" s="705">
        <v>872979130829</v>
      </c>
      <c r="F119" s="704">
        <v>46185</v>
      </c>
      <c r="G119" s="706" t="s">
        <v>1898</v>
      </c>
      <c r="H119" s="706" t="s">
        <v>1595</v>
      </c>
      <c r="I119" s="706" t="s">
        <v>937</v>
      </c>
      <c r="J119" s="706" t="s">
        <v>971</v>
      </c>
      <c r="K119" s="703" t="s">
        <v>1137</v>
      </c>
      <c r="L119" s="703">
        <v>0.5</v>
      </c>
      <c r="M119" s="707">
        <v>317009</v>
      </c>
      <c r="N119" s="707">
        <v>0</v>
      </c>
      <c r="O119" s="707">
        <v>134729</v>
      </c>
      <c r="P119" s="707">
        <v>23761</v>
      </c>
      <c r="Q119" s="707">
        <v>475499</v>
      </c>
      <c r="R119" s="708">
        <f>Q119/'Logistics record '!$AD$1</f>
        <v>17.969125538508049</v>
      </c>
      <c r="S119" s="265" t="s">
        <v>1155</v>
      </c>
      <c r="T119" s="232"/>
      <c r="U119" s="235" t="str" cm="1">
        <f t="array" ref="U119">IFERROR(
  _xlfn.IFS(
    VLOOKUP(E119,[1]Material!F$5:U$90000,16,0)="LUC","Lucid",
    VLOOKUP(E119,[1]Material!F$5:U$90000,16,0)="FMC","FORD",
    OR(VLOOKUP(E119,[1]Material!F$5:U$90000,16,0)="PUR",VLOOKUP(E119,[1]Material!F$5:U$90000,16,0)="HLO"),"PURE",
    VLOOKUP(E119,[1]Material!F$5:U$90000,16,0)="AIC","AIC",
    OR(VLOOKUP(E119,[1]Material!F$5:U$90000,16,0)="AGI",VLOOKUP(E119,[1]Material!F$5:U$90000,16,0)="AGIGA"),"AGIGA",
    OR(LEFT(VLOOKUP(E119,[1]Material!F$5:U$90000,16,0),3)="EF-",VLOOKUP(E119,[1]Material!F$5:U$90000,16,0)="EFI"),"EFI",
    AND(ISNUMBER(VLOOKUP(E119,[1]Material!F$5:U$90000,16,0)),VLOOKUP(E119,[1]Material!F$5:U$90000,16,0)&gt;=100,VLOOKUP(E119,[1]Material!F$5:U$90000,16,0)&lt;=999,VLOOKUP(E119,[1]Material!F$5:U$90000,16,0)=INT(VLOOKUP(E119,[1]Material!F$5:U$90000,16,0))),"OEM",
    TRUE,""
  ),
  "không tìm thấy trong file Import"
)</f>
        <v>OEM</v>
      </c>
      <c r="V119" s="235">
        <f>IFERROR(_xlfn.XLOOKUP(E:E,VVMV!B:B,VVMV!J:J),0)</f>
        <v>15.116015418335726</v>
      </c>
      <c r="W119" s="590">
        <f t="shared" si="3"/>
        <v>33.085140956843773</v>
      </c>
    </row>
    <row r="120" spans="1:23" s="235" customFormat="1" ht="36">
      <c r="A120" s="702"/>
      <c r="B120" s="703" t="s">
        <v>2158</v>
      </c>
      <c r="C120" s="703">
        <v>734101625</v>
      </c>
      <c r="D120" s="704">
        <v>46199</v>
      </c>
      <c r="E120" s="705">
        <v>872881246346</v>
      </c>
      <c r="F120" s="704">
        <v>46185</v>
      </c>
      <c r="G120" s="706" t="s">
        <v>2175</v>
      </c>
      <c r="H120" s="706" t="s">
        <v>1136</v>
      </c>
      <c r="I120" s="706" t="s">
        <v>931</v>
      </c>
      <c r="J120" s="706" t="s">
        <v>971</v>
      </c>
      <c r="K120" s="703" t="s">
        <v>1137</v>
      </c>
      <c r="L120" s="703">
        <v>1</v>
      </c>
      <c r="M120" s="707">
        <v>295365</v>
      </c>
      <c r="N120" s="707">
        <v>0</v>
      </c>
      <c r="O120" s="707">
        <v>125530</v>
      </c>
      <c r="P120" s="707">
        <v>22139</v>
      </c>
      <c r="Q120" s="707">
        <v>443034</v>
      </c>
      <c r="R120" s="708">
        <f>Q120/'Logistics record '!$AD$1</f>
        <v>16.742271937117376</v>
      </c>
      <c r="S120" s="265" t="s">
        <v>1155</v>
      </c>
      <c r="T120" s="232"/>
      <c r="U120" s="235" t="str" cm="1">
        <f t="array" ref="U120">IFERROR(
  _xlfn.IFS(
    VLOOKUP(E120,[1]Material!F$5:U$90000,16,0)="LUC","Lucid",
    VLOOKUP(E120,[1]Material!F$5:U$90000,16,0)="FMC","FORD",
    OR(VLOOKUP(E120,[1]Material!F$5:U$90000,16,0)="PUR",VLOOKUP(E120,[1]Material!F$5:U$90000,16,0)="HLO"),"PURE",
    VLOOKUP(E120,[1]Material!F$5:U$90000,16,0)="AIC","AIC",
    OR(VLOOKUP(E120,[1]Material!F$5:U$90000,16,0)="AGI",VLOOKUP(E120,[1]Material!F$5:U$90000,16,0)="AGIGA"),"AGIGA",
    OR(LEFT(VLOOKUP(E120,[1]Material!F$5:U$90000,16,0),3)="EF-",VLOOKUP(E120,[1]Material!F$5:U$90000,16,0)="EFI"),"EFI",
    AND(ISNUMBER(VLOOKUP(E120,[1]Material!F$5:U$90000,16,0)),VLOOKUP(E120,[1]Material!F$5:U$90000,16,0)&gt;=100,VLOOKUP(E120,[1]Material!F$5:U$90000,16,0)&lt;=999,VLOOKUP(E120,[1]Material!F$5:U$90000,16,0)=INT(VLOOKUP(E120,[1]Material!F$5:U$90000,16,0))),"OEM",
    TRUE,""
  ),
  "không tìm thấy trong file Import"
)</f>
        <v>OEM</v>
      </c>
      <c r="V120" s="235">
        <f>IFERROR(_xlfn.XLOOKUP(E:E,VVMV!B:B,VVMV!J:J),0)</f>
        <v>15.116015418335726</v>
      </c>
      <c r="W120" s="590">
        <f t="shared" si="3"/>
        <v>31.858287355453101</v>
      </c>
    </row>
    <row r="121" spans="1:23" s="235" customFormat="1" ht="36">
      <c r="A121" s="702"/>
      <c r="B121" s="703" t="s">
        <v>2158</v>
      </c>
      <c r="C121" s="703">
        <v>734101625</v>
      </c>
      <c r="D121" s="704">
        <v>46199</v>
      </c>
      <c r="E121" s="705">
        <v>409298926317</v>
      </c>
      <c r="F121" s="704">
        <v>46185</v>
      </c>
      <c r="G121" s="706" t="s">
        <v>378</v>
      </c>
      <c r="H121" s="706" t="s">
        <v>1600</v>
      </c>
      <c r="I121" s="706" t="s">
        <v>937</v>
      </c>
      <c r="J121" s="706" t="s">
        <v>971</v>
      </c>
      <c r="K121" s="703" t="s">
        <v>1137</v>
      </c>
      <c r="L121" s="703">
        <v>15</v>
      </c>
      <c r="M121" s="707">
        <v>842742</v>
      </c>
      <c r="N121" s="707">
        <v>0</v>
      </c>
      <c r="O121" s="707">
        <v>358165</v>
      </c>
      <c r="P121" s="707">
        <v>63168</v>
      </c>
      <c r="Q121" s="707">
        <v>1264075</v>
      </c>
      <c r="R121" s="708">
        <f>Q121/'Logistics record '!$AD$1</f>
        <v>47.769442974831833</v>
      </c>
      <c r="S121" s="265" t="s">
        <v>1155</v>
      </c>
      <c r="T121" s="232"/>
      <c r="U121" s="235" t="str" cm="1">
        <f t="array" ref="U121">IFERROR(
  _xlfn.IFS(
    VLOOKUP(E121,[1]Material!F$5:U$90000,16,0)="LUC","Lucid",
    VLOOKUP(E121,[1]Material!F$5:U$90000,16,0)="FMC","FORD",
    OR(VLOOKUP(E121,[1]Material!F$5:U$90000,16,0)="PUR",VLOOKUP(E121,[1]Material!F$5:U$90000,16,0)="HLO"),"PURE",
    VLOOKUP(E121,[1]Material!F$5:U$90000,16,0)="AIC","AIC",
    OR(VLOOKUP(E121,[1]Material!F$5:U$90000,16,0)="AGI",VLOOKUP(E121,[1]Material!F$5:U$90000,16,0)="AGIGA"),"AGIGA",
    OR(LEFT(VLOOKUP(E121,[1]Material!F$5:U$90000,16,0),3)="EF-",VLOOKUP(E121,[1]Material!F$5:U$90000,16,0)="EFI"),"EFI",
    AND(ISNUMBER(VLOOKUP(E121,[1]Material!F$5:U$90000,16,0)),VLOOKUP(E121,[1]Material!F$5:U$90000,16,0)&gt;=100,VLOOKUP(E121,[1]Material!F$5:U$90000,16,0)&lt;=999,VLOOKUP(E121,[1]Material!F$5:U$90000,16,0)=INT(VLOOKUP(E121,[1]Material!F$5:U$90000,16,0))),"OEM",
    TRUE,""
  ),
  "không tìm thấy trong file Import"
)</f>
        <v>Lucid</v>
      </c>
      <c r="V121" s="235">
        <f>IFERROR(_xlfn.XLOOKUP(E:E,VVMV!B:B,VVMV!J:J),0)</f>
        <v>15.116015418335726</v>
      </c>
      <c r="W121" s="590">
        <f t="shared" si="3"/>
        <v>62.885458393167561</v>
      </c>
    </row>
    <row r="122" spans="1:23" s="235" customFormat="1" ht="48">
      <c r="A122" s="702"/>
      <c r="B122" s="703" t="s">
        <v>2158</v>
      </c>
      <c r="C122" s="703">
        <v>734101625</v>
      </c>
      <c r="D122" s="704">
        <v>46199</v>
      </c>
      <c r="E122" s="705">
        <v>381950432431</v>
      </c>
      <c r="F122" s="704">
        <v>46185</v>
      </c>
      <c r="G122" s="706" t="s">
        <v>804</v>
      </c>
      <c r="H122" s="706" t="s">
        <v>1593</v>
      </c>
      <c r="I122" s="706" t="s">
        <v>937</v>
      </c>
      <c r="J122" s="706" t="s">
        <v>971</v>
      </c>
      <c r="K122" s="703" t="s">
        <v>1151</v>
      </c>
      <c r="L122" s="703">
        <v>15.6</v>
      </c>
      <c r="M122" s="707">
        <v>997971</v>
      </c>
      <c r="N122" s="707">
        <v>0</v>
      </c>
      <c r="O122" s="707">
        <v>424138</v>
      </c>
      <c r="P122" s="707">
        <v>74803</v>
      </c>
      <c r="Q122" s="707">
        <v>1496912</v>
      </c>
      <c r="R122" s="708">
        <f>Q122/'Logistics record '!$AD$1</f>
        <v>56.568362179729426</v>
      </c>
      <c r="S122" s="265" t="s">
        <v>1155</v>
      </c>
      <c r="T122" s="232"/>
      <c r="U122" s="235" t="str" cm="1">
        <f t="array" ref="U122">IFERROR(
  _xlfn.IFS(
    VLOOKUP(E122,[1]Material!F$5:U$90000,16,0)="LUC","Lucid",
    VLOOKUP(E122,[1]Material!F$5:U$90000,16,0)="FMC","FORD",
    OR(VLOOKUP(E122,[1]Material!F$5:U$90000,16,0)="PUR",VLOOKUP(E122,[1]Material!F$5:U$90000,16,0)="HLO"),"PURE",
    VLOOKUP(E122,[1]Material!F$5:U$90000,16,0)="AIC","AIC",
    OR(VLOOKUP(E122,[1]Material!F$5:U$90000,16,0)="AGI",VLOOKUP(E122,[1]Material!F$5:U$90000,16,0)="AGIGA"),"AGIGA",
    OR(LEFT(VLOOKUP(E122,[1]Material!F$5:U$90000,16,0),3)="EF-",VLOOKUP(E122,[1]Material!F$5:U$90000,16,0)="EFI"),"EFI",
    AND(ISNUMBER(VLOOKUP(E122,[1]Material!F$5:U$90000,16,0)),VLOOKUP(E122,[1]Material!F$5:U$90000,16,0)&gt;=100,VLOOKUP(E122,[1]Material!F$5:U$90000,16,0)&lt;=999,VLOOKUP(E122,[1]Material!F$5:U$90000,16,0)=INT(VLOOKUP(E122,[1]Material!F$5:U$90000,16,0))),"OEM",
    TRUE,""
  ),
  "không tìm thấy trong file Import"
)</f>
        <v>PURE</v>
      </c>
      <c r="V122" s="235">
        <f>IFERROR(_xlfn.XLOOKUP(E:E,VVMV!B:B,VVMV!J:J),0)</f>
        <v>15.116015418335726</v>
      </c>
      <c r="W122" s="590">
        <f t="shared" si="3"/>
        <v>71.684377598065154</v>
      </c>
    </row>
    <row r="123" spans="1:23" s="235" customFormat="1" ht="36">
      <c r="A123" s="702"/>
      <c r="B123" s="703" t="s">
        <v>2158</v>
      </c>
      <c r="C123" s="703">
        <v>734101625</v>
      </c>
      <c r="D123" s="704">
        <v>46199</v>
      </c>
      <c r="E123" s="705">
        <v>527390683775</v>
      </c>
      <c r="F123" s="704">
        <v>46185</v>
      </c>
      <c r="G123" s="706" t="s">
        <v>806</v>
      </c>
      <c r="H123" s="706" t="s">
        <v>1604</v>
      </c>
      <c r="I123" s="706" t="s">
        <v>939</v>
      </c>
      <c r="J123" s="706" t="s">
        <v>971</v>
      </c>
      <c r="K123" s="703" t="s">
        <v>1137</v>
      </c>
      <c r="L123" s="703">
        <v>12.2</v>
      </c>
      <c r="M123" s="707">
        <v>890720</v>
      </c>
      <c r="N123" s="707">
        <v>0</v>
      </c>
      <c r="O123" s="707">
        <v>378556</v>
      </c>
      <c r="P123" s="707">
        <v>66764</v>
      </c>
      <c r="Q123" s="707">
        <v>1336040</v>
      </c>
      <c r="R123" s="708">
        <f>Q123/'Logistics record '!$AD$1</f>
        <v>50.489003098783158</v>
      </c>
      <c r="S123" s="265" t="s">
        <v>1155</v>
      </c>
      <c r="T123" s="232"/>
      <c r="U123" s="235" t="str" cm="1">
        <f t="array" ref="U123">IFERROR(
  _xlfn.IFS(
    VLOOKUP(E123,[1]Material!F$5:U$90000,16,0)="LUC","Lucid",
    VLOOKUP(E123,[1]Material!F$5:U$90000,16,0)="FMC","FORD",
    OR(VLOOKUP(E123,[1]Material!F$5:U$90000,16,0)="PUR",VLOOKUP(E123,[1]Material!F$5:U$90000,16,0)="HLO"),"PURE",
    VLOOKUP(E123,[1]Material!F$5:U$90000,16,0)="AIC","AIC",
    OR(VLOOKUP(E123,[1]Material!F$5:U$90000,16,0)="AGI",VLOOKUP(E123,[1]Material!F$5:U$90000,16,0)="AGIGA"),"AGIGA",
    OR(LEFT(VLOOKUP(E123,[1]Material!F$5:U$90000,16,0),3)="EF-",VLOOKUP(E123,[1]Material!F$5:U$90000,16,0)="EFI"),"EFI",
    AND(ISNUMBER(VLOOKUP(E123,[1]Material!F$5:U$90000,16,0)),VLOOKUP(E123,[1]Material!F$5:U$90000,16,0)&gt;=100,VLOOKUP(E123,[1]Material!F$5:U$90000,16,0)&lt;=999,VLOOKUP(E123,[1]Material!F$5:U$90000,16,0)=INT(VLOOKUP(E123,[1]Material!F$5:U$90000,16,0))),"OEM",
    TRUE,""
  ),
  "không tìm thấy trong file Import"
)</f>
        <v>PURE</v>
      </c>
      <c r="V123" s="235">
        <f>IFERROR(_xlfn.XLOOKUP(E:E,VVMV!B:B,VVMV!J:J),0)</f>
        <v>15.116015418335726</v>
      </c>
      <c r="W123" s="590">
        <f t="shared" si="3"/>
        <v>65.605018517118879</v>
      </c>
    </row>
    <row r="124" spans="1:23" s="235" customFormat="1" ht="48">
      <c r="A124" s="702"/>
      <c r="B124" s="703" t="s">
        <v>2158</v>
      </c>
      <c r="C124" s="703">
        <v>734101625</v>
      </c>
      <c r="D124" s="704">
        <v>46199</v>
      </c>
      <c r="E124" s="705">
        <v>381939344552</v>
      </c>
      <c r="F124" s="704">
        <v>46186</v>
      </c>
      <c r="G124" s="706" t="s">
        <v>804</v>
      </c>
      <c r="H124" s="706" t="s">
        <v>1593</v>
      </c>
      <c r="I124" s="706" t="s">
        <v>937</v>
      </c>
      <c r="J124" s="706" t="s">
        <v>971</v>
      </c>
      <c r="K124" s="703" t="s">
        <v>1151</v>
      </c>
      <c r="L124" s="703">
        <v>1.4</v>
      </c>
      <c r="M124" s="707">
        <v>299060</v>
      </c>
      <c r="N124" s="707">
        <v>0</v>
      </c>
      <c r="O124" s="707">
        <v>127101</v>
      </c>
      <c r="P124" s="707">
        <v>22416</v>
      </c>
      <c r="Q124" s="707">
        <v>448577</v>
      </c>
      <c r="R124" s="708">
        <f>Q124/'Logistics record '!$AD$1</f>
        <v>16.951742120776963</v>
      </c>
      <c r="S124" s="265" t="s">
        <v>1155</v>
      </c>
      <c r="T124" s="232"/>
      <c r="U124" s="235" t="str" cm="1">
        <f t="array" ref="U124">IFERROR(
  _xlfn.IFS(
    VLOOKUP(E124,[1]Material!F$5:U$90000,16,0)="LUC","Lucid",
    VLOOKUP(E124,[1]Material!F$5:U$90000,16,0)="FMC","FORD",
    OR(VLOOKUP(E124,[1]Material!F$5:U$90000,16,0)="PUR",VLOOKUP(E124,[1]Material!F$5:U$90000,16,0)="HLO"),"PURE",
    VLOOKUP(E124,[1]Material!F$5:U$90000,16,0)="AIC","AIC",
    OR(VLOOKUP(E124,[1]Material!F$5:U$90000,16,0)="AGI",VLOOKUP(E124,[1]Material!F$5:U$90000,16,0)="AGIGA"),"AGIGA",
    OR(LEFT(VLOOKUP(E124,[1]Material!F$5:U$90000,16,0),3)="EF-",VLOOKUP(E124,[1]Material!F$5:U$90000,16,0)="EFI"),"EFI",
    AND(ISNUMBER(VLOOKUP(E124,[1]Material!F$5:U$90000,16,0)),VLOOKUP(E124,[1]Material!F$5:U$90000,16,0)&gt;=100,VLOOKUP(E124,[1]Material!F$5:U$90000,16,0)&lt;=999,VLOOKUP(E124,[1]Material!F$5:U$90000,16,0)=INT(VLOOKUP(E124,[1]Material!F$5:U$90000,16,0))),"OEM",
    TRUE,""
  ),
  "không tìm thấy trong file Import"
)</f>
        <v>EFI</v>
      </c>
      <c r="V124" s="235">
        <f>IFERROR(_xlfn.XLOOKUP(E:E,VVMV!B:B,VVMV!J:J),0)</f>
        <v>15.116015418335726</v>
      </c>
      <c r="W124" s="590">
        <f t="shared" si="3"/>
        <v>32.067757539112691</v>
      </c>
    </row>
    <row r="125" spans="1:23" s="235" customFormat="1" ht="36">
      <c r="A125" s="702"/>
      <c r="B125" s="703" t="s">
        <v>2158</v>
      </c>
      <c r="C125" s="703">
        <v>734101625</v>
      </c>
      <c r="D125" s="704">
        <v>46199</v>
      </c>
      <c r="E125" s="705">
        <v>515199060732</v>
      </c>
      <c r="F125" s="704">
        <v>46186</v>
      </c>
      <c r="G125" s="706" t="s">
        <v>801</v>
      </c>
      <c r="H125" s="706" t="s">
        <v>1600</v>
      </c>
      <c r="I125" s="706" t="s">
        <v>937</v>
      </c>
      <c r="J125" s="706" t="s">
        <v>971</v>
      </c>
      <c r="K125" s="703" t="s">
        <v>1137</v>
      </c>
      <c r="L125" s="703">
        <v>95.1</v>
      </c>
      <c r="M125" s="707">
        <v>4149344</v>
      </c>
      <c r="N125" s="707">
        <v>0</v>
      </c>
      <c r="O125" s="707">
        <v>1763471</v>
      </c>
      <c r="P125" s="707">
        <v>311014</v>
      </c>
      <c r="Q125" s="707">
        <v>6223829</v>
      </c>
      <c r="R125" s="708">
        <f>Q125/'Logistics record '!$AD$1</f>
        <v>235.19873781271258</v>
      </c>
      <c r="S125" s="265" t="s">
        <v>1155</v>
      </c>
      <c r="T125" s="232"/>
      <c r="U125" s="235" t="str" cm="1">
        <f t="array" ref="U125">IFERROR(
  _xlfn.IFS(
    VLOOKUP(E125,[1]Material!F$5:U$90000,16,0)="LUC","Lucid",
    VLOOKUP(E125,[1]Material!F$5:U$90000,16,0)="FMC","FORD",
    OR(VLOOKUP(E125,[1]Material!F$5:U$90000,16,0)="PUR",VLOOKUP(E125,[1]Material!F$5:U$90000,16,0)="HLO"),"PURE",
    VLOOKUP(E125,[1]Material!F$5:U$90000,16,0)="AIC","AIC",
    OR(VLOOKUP(E125,[1]Material!F$5:U$90000,16,0)="AGI",VLOOKUP(E125,[1]Material!F$5:U$90000,16,0)="AGIGA"),"AGIGA",
    OR(LEFT(VLOOKUP(E125,[1]Material!F$5:U$90000,16,0),3)="EF-",VLOOKUP(E125,[1]Material!F$5:U$90000,16,0)="EFI"),"EFI",
    AND(ISNUMBER(VLOOKUP(E125,[1]Material!F$5:U$90000,16,0)),VLOOKUP(E125,[1]Material!F$5:U$90000,16,0)&gt;=100,VLOOKUP(E125,[1]Material!F$5:U$90000,16,0)&lt;=999,VLOOKUP(E125,[1]Material!F$5:U$90000,16,0)=INT(VLOOKUP(E125,[1]Material!F$5:U$90000,16,0))),"OEM",
    TRUE,""
  ),
  "không tìm thấy trong file Import"
)</f>
        <v>EFI</v>
      </c>
      <c r="V125" s="235">
        <f>IFERROR(_xlfn.XLOOKUP(E:E,VVMV!B:B,VVMV!J:J),0)</f>
        <v>15.116015418335726</v>
      </c>
      <c r="W125" s="590">
        <f t="shared" si="3"/>
        <v>250.31475323104831</v>
      </c>
    </row>
    <row r="126" spans="1:23" s="235" customFormat="1" ht="24">
      <c r="A126" s="702"/>
      <c r="B126" s="703" t="s">
        <v>2158</v>
      </c>
      <c r="C126" s="703">
        <v>734101625</v>
      </c>
      <c r="D126" s="704">
        <v>46199</v>
      </c>
      <c r="E126" s="705">
        <v>517485682164</v>
      </c>
      <c r="F126" s="704">
        <v>46188</v>
      </c>
      <c r="G126" s="706" t="s">
        <v>381</v>
      </c>
      <c r="H126" s="706" t="s">
        <v>1150</v>
      </c>
      <c r="I126" s="706" t="s">
        <v>927</v>
      </c>
      <c r="J126" s="706" t="s">
        <v>971</v>
      </c>
      <c r="K126" s="703" t="s">
        <v>1137</v>
      </c>
      <c r="L126" s="703">
        <v>69.599999999999994</v>
      </c>
      <c r="M126" s="707">
        <v>3488088</v>
      </c>
      <c r="N126" s="707">
        <v>0</v>
      </c>
      <c r="O126" s="707">
        <v>1499878</v>
      </c>
      <c r="P126" s="707">
        <v>262367</v>
      </c>
      <c r="Q126" s="707">
        <v>5250333</v>
      </c>
      <c r="R126" s="708">
        <f>Q126/'Logistics record '!$AD$1</f>
        <v>198.41028644849217</v>
      </c>
      <c r="S126" s="265" t="s">
        <v>1155</v>
      </c>
      <c r="T126" s="232"/>
      <c r="U126" s="235" t="str" cm="1">
        <f t="array" ref="U126">IFERROR(
  _xlfn.IFS(
    VLOOKUP(E126,[1]Material!F$5:U$90000,16,0)="LUC","Lucid",
    VLOOKUP(E126,[1]Material!F$5:U$90000,16,0)="FMC","FORD",
    OR(VLOOKUP(E126,[1]Material!F$5:U$90000,16,0)="PUR",VLOOKUP(E126,[1]Material!F$5:U$90000,16,0)="HLO"),"PURE",
    VLOOKUP(E126,[1]Material!F$5:U$90000,16,0)="AIC","AIC",
    OR(VLOOKUP(E126,[1]Material!F$5:U$90000,16,0)="AGI",VLOOKUP(E126,[1]Material!F$5:U$90000,16,0)="AGIGA"),"AGIGA",
    OR(LEFT(VLOOKUP(E126,[1]Material!F$5:U$90000,16,0),3)="EF-",VLOOKUP(E126,[1]Material!F$5:U$90000,16,0)="EFI"),"EFI",
    AND(ISNUMBER(VLOOKUP(E126,[1]Material!F$5:U$90000,16,0)),VLOOKUP(E126,[1]Material!F$5:U$90000,16,0)&gt;=100,VLOOKUP(E126,[1]Material!F$5:U$90000,16,0)&lt;=999,VLOOKUP(E126,[1]Material!F$5:U$90000,16,0)=INT(VLOOKUP(E126,[1]Material!F$5:U$90000,16,0))),"OEM",
    TRUE,""
  ),
  "không tìm thấy trong file Import"
)</f>
        <v>PURE</v>
      </c>
      <c r="V126" s="235">
        <f>IFERROR(_xlfn.XLOOKUP(E:E,VVMV!B:B,VVMV!J:J),0)</f>
        <v>15.116015418335726</v>
      </c>
      <c r="W126" s="590">
        <f t="shared" si="3"/>
        <v>213.52630186682791</v>
      </c>
    </row>
    <row r="127" spans="1:23" s="235" customFormat="1" ht="48">
      <c r="A127" s="702"/>
      <c r="B127" s="703" t="s">
        <v>2158</v>
      </c>
      <c r="C127" s="703">
        <v>734101625</v>
      </c>
      <c r="D127" s="704">
        <v>46199</v>
      </c>
      <c r="E127" s="705">
        <v>382006139168</v>
      </c>
      <c r="F127" s="704">
        <v>46188</v>
      </c>
      <c r="G127" s="706" t="s">
        <v>804</v>
      </c>
      <c r="H127" s="706" t="s">
        <v>1593</v>
      </c>
      <c r="I127" s="706" t="s">
        <v>937</v>
      </c>
      <c r="J127" s="706" t="s">
        <v>971</v>
      </c>
      <c r="K127" s="703" t="s">
        <v>1151</v>
      </c>
      <c r="L127" s="703">
        <v>12.2</v>
      </c>
      <c r="M127" s="707">
        <v>884930</v>
      </c>
      <c r="N127" s="707">
        <v>0</v>
      </c>
      <c r="O127" s="707">
        <v>380520</v>
      </c>
      <c r="P127" s="707">
        <v>66563</v>
      </c>
      <c r="Q127" s="707">
        <v>1332013</v>
      </c>
      <c r="R127" s="708">
        <f>Q127/'Logistics record '!$AD$1</f>
        <v>50.336822613559065</v>
      </c>
      <c r="S127" s="265" t="s">
        <v>1155</v>
      </c>
      <c r="T127" s="232"/>
      <c r="U127" s="235" t="str" cm="1">
        <f t="array" ref="U127">IFERROR(
  _xlfn.IFS(
    VLOOKUP(E127,[1]Material!F$5:U$90000,16,0)="LUC","Lucid",
    VLOOKUP(E127,[1]Material!F$5:U$90000,16,0)="FMC","FORD",
    OR(VLOOKUP(E127,[1]Material!F$5:U$90000,16,0)="PUR",VLOOKUP(E127,[1]Material!F$5:U$90000,16,0)="HLO"),"PURE",
    VLOOKUP(E127,[1]Material!F$5:U$90000,16,0)="AIC","AIC",
    OR(VLOOKUP(E127,[1]Material!F$5:U$90000,16,0)="AGI",VLOOKUP(E127,[1]Material!F$5:U$90000,16,0)="AGIGA"),"AGIGA",
    OR(LEFT(VLOOKUP(E127,[1]Material!F$5:U$90000,16,0),3)="EF-",VLOOKUP(E127,[1]Material!F$5:U$90000,16,0)="EFI"),"EFI",
    AND(ISNUMBER(VLOOKUP(E127,[1]Material!F$5:U$90000,16,0)),VLOOKUP(E127,[1]Material!F$5:U$90000,16,0)&gt;=100,VLOOKUP(E127,[1]Material!F$5:U$90000,16,0)&lt;=999,VLOOKUP(E127,[1]Material!F$5:U$90000,16,0)=INT(VLOOKUP(E127,[1]Material!F$5:U$90000,16,0))),"OEM",
    TRUE,""
  ),
  "không tìm thấy trong file Import"
)</f>
        <v>PURE</v>
      </c>
      <c r="V127" s="235">
        <f>IFERROR(_xlfn.XLOOKUP(E:E,VVMV!B:B,VVMV!J:J),0)</f>
        <v>15.116015418335726</v>
      </c>
      <c r="W127" s="590">
        <f t="shared" si="3"/>
        <v>65.452838031894785</v>
      </c>
    </row>
    <row r="128" spans="1:23" s="235" customFormat="1" ht="36">
      <c r="A128" s="702"/>
      <c r="B128" s="703" t="s">
        <v>2158</v>
      </c>
      <c r="C128" s="703">
        <v>734101625</v>
      </c>
      <c r="D128" s="704">
        <v>46199</v>
      </c>
      <c r="E128" s="705">
        <v>873058145825</v>
      </c>
      <c r="F128" s="704">
        <v>46188</v>
      </c>
      <c r="G128" s="706" t="s">
        <v>807</v>
      </c>
      <c r="H128" s="706" t="s">
        <v>1595</v>
      </c>
      <c r="I128" s="706" t="s">
        <v>937</v>
      </c>
      <c r="J128" s="706" t="s">
        <v>971</v>
      </c>
      <c r="K128" s="703" t="s">
        <v>1137</v>
      </c>
      <c r="L128" s="703">
        <v>39.9</v>
      </c>
      <c r="M128" s="707">
        <v>1937794</v>
      </c>
      <c r="N128" s="707">
        <v>0</v>
      </c>
      <c r="O128" s="707">
        <v>833251</v>
      </c>
      <c r="P128" s="707">
        <v>145757</v>
      </c>
      <c r="Q128" s="707">
        <v>2916802</v>
      </c>
      <c r="R128" s="708">
        <f>Q128/'Logistics record '!$AD$1</f>
        <v>110.22606001058121</v>
      </c>
      <c r="S128" s="265" t="s">
        <v>1155</v>
      </c>
      <c r="T128" s="232"/>
      <c r="U128" s="235" t="str" cm="1">
        <f t="array" ref="U128">IFERROR(
  _xlfn.IFS(
    VLOOKUP(E128,[1]Material!F$5:U$90000,16,0)="LUC","Lucid",
    VLOOKUP(E128,[1]Material!F$5:U$90000,16,0)="FMC","FORD",
    OR(VLOOKUP(E128,[1]Material!F$5:U$90000,16,0)="PUR",VLOOKUP(E128,[1]Material!F$5:U$90000,16,0)="HLO"),"PURE",
    VLOOKUP(E128,[1]Material!F$5:U$90000,16,0)="AIC","AIC",
    OR(VLOOKUP(E128,[1]Material!F$5:U$90000,16,0)="AGI",VLOOKUP(E128,[1]Material!F$5:U$90000,16,0)="AGIGA"),"AGIGA",
    OR(LEFT(VLOOKUP(E128,[1]Material!F$5:U$90000,16,0),3)="EF-",VLOOKUP(E128,[1]Material!F$5:U$90000,16,0)="EFI"),"EFI",
    AND(ISNUMBER(VLOOKUP(E128,[1]Material!F$5:U$90000,16,0)),VLOOKUP(E128,[1]Material!F$5:U$90000,16,0)&gt;=100,VLOOKUP(E128,[1]Material!F$5:U$90000,16,0)&lt;=999,VLOOKUP(E128,[1]Material!F$5:U$90000,16,0)=INT(VLOOKUP(E128,[1]Material!F$5:U$90000,16,0))),"OEM",
    TRUE,""
  ),
  "không tìm thấy trong file Import"
)</f>
        <v>PURE</v>
      </c>
      <c r="V128" s="235">
        <f>IFERROR(_xlfn.XLOOKUP(E:E,VVMV!B:B,VVMV!J:J),0)</f>
        <v>15.116015418335726</v>
      </c>
      <c r="W128" s="590">
        <f t="shared" si="3"/>
        <v>125.34207542891693</v>
      </c>
    </row>
    <row r="129" spans="1:23" s="235" customFormat="1" ht="36">
      <c r="A129" s="702"/>
      <c r="B129" s="703" t="s">
        <v>2158</v>
      </c>
      <c r="C129" s="703">
        <v>734101625</v>
      </c>
      <c r="D129" s="704">
        <v>46199</v>
      </c>
      <c r="E129" s="705">
        <v>873058440876</v>
      </c>
      <c r="F129" s="704">
        <v>46189</v>
      </c>
      <c r="G129" s="706" t="s">
        <v>802</v>
      </c>
      <c r="H129" s="706" t="s">
        <v>1593</v>
      </c>
      <c r="I129" s="706" t="s">
        <v>931</v>
      </c>
      <c r="J129" s="706" t="s">
        <v>971</v>
      </c>
      <c r="K129" s="703" t="s">
        <v>1151</v>
      </c>
      <c r="L129" s="703">
        <v>17.100000000000001</v>
      </c>
      <c r="M129" s="707">
        <v>1413286</v>
      </c>
      <c r="N129" s="707">
        <v>0</v>
      </c>
      <c r="O129" s="707">
        <v>607713</v>
      </c>
      <c r="P129" s="707">
        <v>106305</v>
      </c>
      <c r="Q129" s="707">
        <v>2127304</v>
      </c>
      <c r="R129" s="708">
        <f>Q129/'Logistics record '!$AD$1</f>
        <v>80.390900158718168</v>
      </c>
      <c r="S129" s="265" t="s">
        <v>1155</v>
      </c>
      <c r="T129" s="232"/>
      <c r="U129" s="235" t="str" cm="1">
        <f t="array" ref="U129">IFERROR(
  _xlfn.IFS(
    VLOOKUP(E129,[1]Material!F$5:U$90000,16,0)="LUC","Lucid",
    VLOOKUP(E129,[1]Material!F$5:U$90000,16,0)="FMC","FORD",
    OR(VLOOKUP(E129,[1]Material!F$5:U$90000,16,0)="PUR",VLOOKUP(E129,[1]Material!F$5:U$90000,16,0)="HLO"),"PURE",
    VLOOKUP(E129,[1]Material!F$5:U$90000,16,0)="AIC","AIC",
    OR(VLOOKUP(E129,[1]Material!F$5:U$90000,16,0)="AGI",VLOOKUP(E129,[1]Material!F$5:U$90000,16,0)="AGIGA"),"AGIGA",
    OR(LEFT(VLOOKUP(E129,[1]Material!F$5:U$90000,16,0),3)="EF-",VLOOKUP(E129,[1]Material!F$5:U$90000,16,0)="EFI"),"EFI",
    AND(ISNUMBER(VLOOKUP(E129,[1]Material!F$5:U$90000,16,0)),VLOOKUP(E129,[1]Material!F$5:U$90000,16,0)&gt;=100,VLOOKUP(E129,[1]Material!F$5:U$90000,16,0)&lt;=999,VLOOKUP(E129,[1]Material!F$5:U$90000,16,0)=INT(VLOOKUP(E129,[1]Material!F$5:U$90000,16,0))),"OEM",
    TRUE,""
  ),
  "không tìm thấy trong file Import"
)</f>
        <v>Lucid</v>
      </c>
      <c r="V129" s="235">
        <f>IFERROR(_xlfn.XLOOKUP(E:E,VVMV!B:B,VVMV!J:J),0)</f>
        <v>15.116015418335726</v>
      </c>
      <c r="W129" s="590">
        <f t="shared" si="3"/>
        <v>95.506915577053888</v>
      </c>
    </row>
    <row r="130" spans="1:23" s="235" customFormat="1" ht="48">
      <c r="A130" s="702"/>
      <c r="B130" s="703" t="s">
        <v>2158</v>
      </c>
      <c r="C130" s="703">
        <v>734101625</v>
      </c>
      <c r="D130" s="704">
        <v>46199</v>
      </c>
      <c r="E130" s="705">
        <v>382041697681</v>
      </c>
      <c r="F130" s="704">
        <v>46189</v>
      </c>
      <c r="G130" s="706" t="s">
        <v>804</v>
      </c>
      <c r="H130" s="706" t="s">
        <v>1593</v>
      </c>
      <c r="I130" s="706" t="s">
        <v>937</v>
      </c>
      <c r="J130" s="706" t="s">
        <v>971</v>
      </c>
      <c r="K130" s="703" t="s">
        <v>1151</v>
      </c>
      <c r="L130" s="703">
        <v>8</v>
      </c>
      <c r="M130" s="707">
        <v>703054</v>
      </c>
      <c r="N130" s="707">
        <v>0</v>
      </c>
      <c r="O130" s="707">
        <v>302313</v>
      </c>
      <c r="P130" s="707">
        <v>52882</v>
      </c>
      <c r="Q130" s="707">
        <v>1058249</v>
      </c>
      <c r="R130" s="708">
        <f>Q130/'Logistics record '!$AD$1</f>
        <v>39.991270501095912</v>
      </c>
      <c r="S130" s="265" t="s">
        <v>1155</v>
      </c>
      <c r="T130" s="232"/>
      <c r="U130" s="235" t="str" cm="1">
        <f t="array" ref="U130">IFERROR(
  _xlfn.IFS(
    VLOOKUP(E130,[1]Material!F$5:U$90000,16,0)="LUC","Lucid",
    VLOOKUP(E130,[1]Material!F$5:U$90000,16,0)="FMC","FORD",
    OR(VLOOKUP(E130,[1]Material!F$5:U$90000,16,0)="PUR",VLOOKUP(E130,[1]Material!F$5:U$90000,16,0)="HLO"),"PURE",
    VLOOKUP(E130,[1]Material!F$5:U$90000,16,0)="AIC","AIC",
    OR(VLOOKUP(E130,[1]Material!F$5:U$90000,16,0)="AGI",VLOOKUP(E130,[1]Material!F$5:U$90000,16,0)="AGIGA"),"AGIGA",
    OR(LEFT(VLOOKUP(E130,[1]Material!F$5:U$90000,16,0),3)="EF-",VLOOKUP(E130,[1]Material!F$5:U$90000,16,0)="EFI"),"EFI",
    AND(ISNUMBER(VLOOKUP(E130,[1]Material!F$5:U$90000,16,0)),VLOOKUP(E130,[1]Material!F$5:U$90000,16,0)&gt;=100,VLOOKUP(E130,[1]Material!F$5:U$90000,16,0)&lt;=999,VLOOKUP(E130,[1]Material!F$5:U$90000,16,0)=INT(VLOOKUP(E130,[1]Material!F$5:U$90000,16,0))),"OEM",
    TRUE,""
  ),
  "không tìm thấy trong file Import"
)</f>
        <v>Lucid</v>
      </c>
      <c r="V130" s="235">
        <f>IFERROR(_xlfn.XLOOKUP(E:E,VVMV!B:B,VVMV!J:J),0)</f>
        <v>15.116015418335726</v>
      </c>
      <c r="W130" s="590">
        <f t="shared" si="3"/>
        <v>55.107285919431639</v>
      </c>
    </row>
    <row r="131" spans="1:23" s="235" customFormat="1" ht="36">
      <c r="A131" s="702"/>
      <c r="B131" s="703" t="s">
        <v>2158</v>
      </c>
      <c r="C131" s="703">
        <v>734101625</v>
      </c>
      <c r="D131" s="704">
        <v>46199</v>
      </c>
      <c r="E131" s="705">
        <v>471797732077</v>
      </c>
      <c r="F131" s="704">
        <v>46189</v>
      </c>
      <c r="G131" s="706" t="s">
        <v>956</v>
      </c>
      <c r="H131" s="706" t="s">
        <v>1594</v>
      </c>
      <c r="I131" s="706" t="s">
        <v>932</v>
      </c>
      <c r="J131" s="706" t="s">
        <v>971</v>
      </c>
      <c r="K131" s="703" t="s">
        <v>1137</v>
      </c>
      <c r="L131" s="703">
        <v>17.600000000000001</v>
      </c>
      <c r="M131" s="707">
        <v>1036789</v>
      </c>
      <c r="N131" s="707">
        <v>0</v>
      </c>
      <c r="O131" s="707">
        <v>445819</v>
      </c>
      <c r="P131" s="707">
        <v>77985</v>
      </c>
      <c r="Q131" s="707">
        <v>1560593</v>
      </c>
      <c r="R131" s="708">
        <f>Q131/'Logistics record '!$AD$1</f>
        <v>58.974869624367017</v>
      </c>
      <c r="S131" s="265" t="s">
        <v>1155</v>
      </c>
      <c r="T131" s="232"/>
      <c r="U131" s="235" t="str" cm="1">
        <f t="array" ref="U131">IFERROR(
  _xlfn.IFS(
    VLOOKUP(E131,[1]Material!F$5:U$90000,16,0)="LUC","Lucid",
    VLOOKUP(E131,[1]Material!F$5:U$90000,16,0)="FMC","FORD",
    OR(VLOOKUP(E131,[1]Material!F$5:U$90000,16,0)="PUR",VLOOKUP(E131,[1]Material!F$5:U$90000,16,0)="HLO"),"PURE",
    VLOOKUP(E131,[1]Material!F$5:U$90000,16,0)="AIC","AIC",
    OR(VLOOKUP(E131,[1]Material!F$5:U$90000,16,0)="AGI",VLOOKUP(E131,[1]Material!F$5:U$90000,16,0)="AGIGA"),"AGIGA",
    OR(LEFT(VLOOKUP(E131,[1]Material!F$5:U$90000,16,0),3)="EF-",VLOOKUP(E131,[1]Material!F$5:U$90000,16,0)="EFI"),"EFI",
    AND(ISNUMBER(VLOOKUP(E131,[1]Material!F$5:U$90000,16,0)),VLOOKUP(E131,[1]Material!F$5:U$90000,16,0)&gt;=100,VLOOKUP(E131,[1]Material!F$5:U$90000,16,0)&lt;=999,VLOOKUP(E131,[1]Material!F$5:U$90000,16,0)=INT(VLOOKUP(E131,[1]Material!F$5:U$90000,16,0))),"OEM",
    TRUE,""
  ),
  "không tìm thấy trong file Import"
)</f>
        <v>PURE</v>
      </c>
      <c r="V131" s="235">
        <f>IFERROR(_xlfn.XLOOKUP(E:E,VVMV!B:B,VVMV!J:J),0)</f>
        <v>15.116015418335726</v>
      </c>
      <c r="W131" s="590">
        <f t="shared" si="3"/>
        <v>74.090885042702737</v>
      </c>
    </row>
    <row r="132" spans="1:23" s="235" customFormat="1" ht="36">
      <c r="A132" s="702"/>
      <c r="B132" s="703" t="s">
        <v>2158</v>
      </c>
      <c r="C132" s="703">
        <v>734101625</v>
      </c>
      <c r="D132" s="704">
        <v>46199</v>
      </c>
      <c r="E132" s="705">
        <v>872983141244</v>
      </c>
      <c r="F132" s="704">
        <v>46189</v>
      </c>
      <c r="G132" s="706" t="s">
        <v>2176</v>
      </c>
      <c r="H132" s="706" t="s">
        <v>1602</v>
      </c>
      <c r="I132" s="706" t="s">
        <v>932</v>
      </c>
      <c r="J132" s="706" t="s">
        <v>971</v>
      </c>
      <c r="K132" s="703" t="s">
        <v>1151</v>
      </c>
      <c r="L132" s="703">
        <v>0.9</v>
      </c>
      <c r="M132" s="707">
        <v>2796128</v>
      </c>
      <c r="N132" s="707">
        <v>99862</v>
      </c>
      <c r="O132" s="707">
        <v>1202283</v>
      </c>
      <c r="P132" s="707">
        <v>215569</v>
      </c>
      <c r="Q132" s="707">
        <v>504288</v>
      </c>
      <c r="R132" s="708">
        <f>Q132/'Logistics record '!$AD$1</f>
        <v>19.057062958204217</v>
      </c>
      <c r="S132" s="265" t="s">
        <v>1155</v>
      </c>
      <c r="T132" s="232"/>
      <c r="U132" s="235" t="str" cm="1">
        <f t="array" ref="U132">IFERROR(
  _xlfn.IFS(
    VLOOKUP(E132,[1]Material!F$5:U$90000,16,0)="LUC","Lucid",
    VLOOKUP(E132,[1]Material!F$5:U$90000,16,0)="FMC","FORD",
    OR(VLOOKUP(E132,[1]Material!F$5:U$90000,16,0)="PUR",VLOOKUP(E132,[1]Material!F$5:U$90000,16,0)="HLO"),"PURE",
    VLOOKUP(E132,[1]Material!F$5:U$90000,16,0)="AIC","AIC",
    OR(VLOOKUP(E132,[1]Material!F$5:U$90000,16,0)="AGI",VLOOKUP(E132,[1]Material!F$5:U$90000,16,0)="AGIGA"),"AGIGA",
    OR(LEFT(VLOOKUP(E132,[1]Material!F$5:U$90000,16,0),3)="EF-",VLOOKUP(E132,[1]Material!F$5:U$90000,16,0)="EFI"),"EFI",
    AND(ISNUMBER(VLOOKUP(E132,[1]Material!F$5:U$90000,16,0)),VLOOKUP(E132,[1]Material!F$5:U$90000,16,0)&gt;=100,VLOOKUP(E132,[1]Material!F$5:U$90000,16,0)&lt;=999,VLOOKUP(E132,[1]Material!F$5:U$90000,16,0)=INT(VLOOKUP(E132,[1]Material!F$5:U$90000,16,0))),"OEM",
    TRUE,""
  ),
  "không tìm thấy trong file Import"
)</f>
        <v>AIC</v>
      </c>
      <c r="V132" s="235">
        <f>IFERROR(_xlfn.XLOOKUP(E:E,VVMV!B:B,VVMV!J:J),0)</f>
        <v>15.116015418335726</v>
      </c>
      <c r="W132" s="590">
        <f t="shared" si="3"/>
        <v>34.173078376539941</v>
      </c>
    </row>
    <row r="133" spans="1:23" s="235" customFormat="1" ht="24">
      <c r="A133" s="702"/>
      <c r="B133" s="703" t="s">
        <v>2158</v>
      </c>
      <c r="C133" s="703">
        <v>734101625</v>
      </c>
      <c r="D133" s="704">
        <v>46199</v>
      </c>
      <c r="E133" s="705">
        <v>873074376995</v>
      </c>
      <c r="F133" s="704">
        <v>46189</v>
      </c>
      <c r="G133" s="706" t="s">
        <v>844</v>
      </c>
      <c r="H133" s="706" t="s">
        <v>110</v>
      </c>
      <c r="I133" s="706" t="s">
        <v>937</v>
      </c>
      <c r="J133" s="706" t="s">
        <v>971</v>
      </c>
      <c r="K133" s="703" t="s">
        <v>1137</v>
      </c>
      <c r="L133" s="703">
        <v>3.8</v>
      </c>
      <c r="M133" s="707">
        <v>470100</v>
      </c>
      <c r="N133" s="707">
        <v>0</v>
      </c>
      <c r="O133" s="707">
        <v>202143</v>
      </c>
      <c r="P133" s="707">
        <v>35360</v>
      </c>
      <c r="Q133" s="707">
        <v>707603</v>
      </c>
      <c r="R133" s="708">
        <f>Q133/'Logistics record '!$AD$1</f>
        <v>26.740344645151538</v>
      </c>
      <c r="S133" s="265" t="s">
        <v>1155</v>
      </c>
      <c r="T133" s="232"/>
      <c r="U133" s="235" t="str" cm="1">
        <f t="array" ref="U133">IFERROR(
  _xlfn.IFS(
    VLOOKUP(E133,[1]Material!F$5:U$90000,16,0)="LUC","Lucid",
    VLOOKUP(E133,[1]Material!F$5:U$90000,16,0)="FMC","FORD",
    OR(VLOOKUP(E133,[1]Material!F$5:U$90000,16,0)="PUR",VLOOKUP(E133,[1]Material!F$5:U$90000,16,0)="HLO"),"PURE",
    VLOOKUP(E133,[1]Material!F$5:U$90000,16,0)="AIC","AIC",
    OR(VLOOKUP(E133,[1]Material!F$5:U$90000,16,0)="AGI",VLOOKUP(E133,[1]Material!F$5:U$90000,16,0)="AGIGA"),"AGIGA",
    OR(LEFT(VLOOKUP(E133,[1]Material!F$5:U$90000,16,0),3)="EF-",VLOOKUP(E133,[1]Material!F$5:U$90000,16,0)="EFI"),"EFI",
    AND(ISNUMBER(VLOOKUP(E133,[1]Material!F$5:U$90000,16,0)),VLOOKUP(E133,[1]Material!F$5:U$90000,16,0)&gt;=100,VLOOKUP(E133,[1]Material!F$5:U$90000,16,0)&lt;=999,VLOOKUP(E133,[1]Material!F$5:U$90000,16,0)=INT(VLOOKUP(E133,[1]Material!F$5:U$90000,16,0))),"OEM",
    TRUE,""
  ),
  "không tìm thấy trong file Import"
)</f>
        <v>OEM</v>
      </c>
      <c r="V133" s="235">
        <f>IFERROR(_xlfn.XLOOKUP(E:E,VVMV!B:B,VVMV!J:J),0)</f>
        <v>15.116015418335726</v>
      </c>
      <c r="W133" s="590">
        <f t="shared" si="3"/>
        <v>41.856360063487266</v>
      </c>
    </row>
    <row r="134" spans="1:23" s="235" customFormat="1" ht="36">
      <c r="A134" s="702"/>
      <c r="B134" s="703" t="s">
        <v>2158</v>
      </c>
      <c r="C134" s="703">
        <v>734101625</v>
      </c>
      <c r="D134" s="704">
        <v>46199</v>
      </c>
      <c r="E134" s="705">
        <v>873128715288</v>
      </c>
      <c r="F134" s="704">
        <v>46190</v>
      </c>
      <c r="G134" s="706" t="s">
        <v>811</v>
      </c>
      <c r="H134" s="706" t="s">
        <v>1593</v>
      </c>
      <c r="I134" s="706" t="s">
        <v>927</v>
      </c>
      <c r="J134" s="706" t="s">
        <v>971</v>
      </c>
      <c r="K134" s="703" t="s">
        <v>1137</v>
      </c>
      <c r="L134" s="703">
        <v>44.3</v>
      </c>
      <c r="M134" s="707">
        <v>2379672</v>
      </c>
      <c r="N134" s="707">
        <v>0</v>
      </c>
      <c r="O134" s="707">
        <v>1023259</v>
      </c>
      <c r="P134" s="707">
        <v>178994</v>
      </c>
      <c r="Q134" s="707">
        <v>3581925</v>
      </c>
      <c r="R134" s="708">
        <f>Q134/'Logistics record '!$AD$1</f>
        <v>135.3610838183055</v>
      </c>
      <c r="S134" s="265" t="s">
        <v>1155</v>
      </c>
      <c r="T134" s="232"/>
      <c r="U134" s="235" t="str" cm="1">
        <f t="array" ref="U134">IFERROR(
  _xlfn.IFS(
    VLOOKUP(E134,[1]Material!F$5:U$90000,16,0)="LUC","Lucid",
    VLOOKUP(E134,[1]Material!F$5:U$90000,16,0)="FMC","FORD",
    OR(VLOOKUP(E134,[1]Material!F$5:U$90000,16,0)="PUR",VLOOKUP(E134,[1]Material!F$5:U$90000,16,0)="HLO"),"PURE",
    VLOOKUP(E134,[1]Material!F$5:U$90000,16,0)="AIC","AIC",
    OR(VLOOKUP(E134,[1]Material!F$5:U$90000,16,0)="AGI",VLOOKUP(E134,[1]Material!F$5:U$90000,16,0)="AGIGA"),"AGIGA",
    OR(LEFT(VLOOKUP(E134,[1]Material!F$5:U$90000,16,0),3)="EF-",VLOOKUP(E134,[1]Material!F$5:U$90000,16,0)="EFI"),"EFI",
    AND(ISNUMBER(VLOOKUP(E134,[1]Material!F$5:U$90000,16,0)),VLOOKUP(E134,[1]Material!F$5:U$90000,16,0)&gt;=100,VLOOKUP(E134,[1]Material!F$5:U$90000,16,0)&lt;=999,VLOOKUP(E134,[1]Material!F$5:U$90000,16,0)=INT(VLOOKUP(E134,[1]Material!F$5:U$90000,16,0))),"OEM",
    TRUE,""
  ),
  "không tìm thấy trong file Import"
)</f>
        <v>PURE</v>
      </c>
      <c r="V134" s="235">
        <f>IFERROR(_xlfn.XLOOKUP(E:E,VVMV!B:B,VVMV!J:J),0)</f>
        <v>15.116015418335726</v>
      </c>
      <c r="W134" s="590">
        <f t="shared" si="3"/>
        <v>150.47709923664124</v>
      </c>
    </row>
    <row r="135" spans="1:23" s="235" customFormat="1" ht="36">
      <c r="A135" s="702"/>
      <c r="B135" s="703" t="s">
        <v>2158</v>
      </c>
      <c r="C135" s="703">
        <v>734101625</v>
      </c>
      <c r="D135" s="704">
        <v>46199</v>
      </c>
      <c r="E135" s="705">
        <v>873131729718</v>
      </c>
      <c r="F135" s="704">
        <v>46190</v>
      </c>
      <c r="G135" s="706" t="s">
        <v>807</v>
      </c>
      <c r="H135" s="706" t="s">
        <v>1595</v>
      </c>
      <c r="I135" s="706" t="s">
        <v>937</v>
      </c>
      <c r="J135" s="706" t="s">
        <v>971</v>
      </c>
      <c r="K135" s="703" t="s">
        <v>1137</v>
      </c>
      <c r="L135" s="703">
        <v>34.6</v>
      </c>
      <c r="M135" s="707">
        <v>1819936</v>
      </c>
      <c r="N135" s="707">
        <v>0</v>
      </c>
      <c r="O135" s="707">
        <v>782572</v>
      </c>
      <c r="P135" s="707">
        <v>136892</v>
      </c>
      <c r="Q135" s="707">
        <v>2739400</v>
      </c>
      <c r="R135" s="708">
        <f>Q135/'Logistics record '!$AD$1</f>
        <v>103.52203159247223</v>
      </c>
      <c r="S135" s="265" t="s">
        <v>1155</v>
      </c>
      <c r="T135" s="232"/>
      <c r="U135" s="235" t="str" cm="1">
        <f t="array" ref="U135">IFERROR(
  _xlfn.IFS(
    VLOOKUP(E135,[1]Material!F$5:U$90000,16,0)="LUC","Lucid",
    VLOOKUP(E135,[1]Material!F$5:U$90000,16,0)="FMC","FORD",
    OR(VLOOKUP(E135,[1]Material!F$5:U$90000,16,0)="PUR",VLOOKUP(E135,[1]Material!F$5:U$90000,16,0)="HLO"),"PURE",
    VLOOKUP(E135,[1]Material!F$5:U$90000,16,0)="AIC","AIC",
    OR(VLOOKUP(E135,[1]Material!F$5:U$90000,16,0)="AGI",VLOOKUP(E135,[1]Material!F$5:U$90000,16,0)="AGIGA"),"AGIGA",
    OR(LEFT(VLOOKUP(E135,[1]Material!F$5:U$90000,16,0),3)="EF-",VLOOKUP(E135,[1]Material!F$5:U$90000,16,0)="EFI"),"EFI",
    AND(ISNUMBER(VLOOKUP(E135,[1]Material!F$5:U$90000,16,0)),VLOOKUP(E135,[1]Material!F$5:U$90000,16,0)&gt;=100,VLOOKUP(E135,[1]Material!F$5:U$90000,16,0)&lt;=999,VLOOKUP(E135,[1]Material!F$5:U$90000,16,0)=INT(VLOOKUP(E135,[1]Material!F$5:U$90000,16,0))),"OEM",
    TRUE,""
  ),
  "không tìm thấy trong file Import"
)</f>
        <v>PURE</v>
      </c>
      <c r="V135" s="235">
        <f>IFERROR(_xlfn.XLOOKUP(E:E,VVMV!B:B,VVMV!J:J),0)</f>
        <v>15.116015418335726</v>
      </c>
      <c r="W135" s="590">
        <f t="shared" si="3"/>
        <v>118.63804701080795</v>
      </c>
    </row>
    <row r="136" spans="1:23" s="235" customFormat="1" ht="24">
      <c r="A136" s="702"/>
      <c r="B136" s="703" t="s">
        <v>2158</v>
      </c>
      <c r="C136" s="703">
        <v>734101625</v>
      </c>
      <c r="D136" s="704">
        <v>46199</v>
      </c>
      <c r="E136" s="705">
        <v>873178336511</v>
      </c>
      <c r="F136" s="704">
        <v>46190</v>
      </c>
      <c r="G136" s="706" t="s">
        <v>375</v>
      </c>
      <c r="H136" s="706" t="s">
        <v>110</v>
      </c>
      <c r="I136" s="706" t="s">
        <v>937</v>
      </c>
      <c r="J136" s="706" t="s">
        <v>971</v>
      </c>
      <c r="K136" s="703" t="s">
        <v>1151</v>
      </c>
      <c r="L136" s="703">
        <v>22.5</v>
      </c>
      <c r="M136" s="707">
        <v>1369796</v>
      </c>
      <c r="N136" s="707">
        <v>0</v>
      </c>
      <c r="O136" s="707">
        <v>589012</v>
      </c>
      <c r="P136" s="707">
        <v>103033</v>
      </c>
      <c r="Q136" s="707">
        <v>2061841</v>
      </c>
      <c r="R136" s="708">
        <f>Q136/'Logistics record '!$AD$1</f>
        <v>77.917050865391886</v>
      </c>
      <c r="S136" s="265" t="s">
        <v>1155</v>
      </c>
      <c r="T136" s="232"/>
      <c r="U136" s="235" t="str" cm="1">
        <f t="array" ref="U136">IFERROR(
  _xlfn.IFS(
    VLOOKUP(E136,[1]Material!F$5:U$90000,16,0)="LUC","Lucid",
    VLOOKUP(E136,[1]Material!F$5:U$90000,16,0)="FMC","FORD",
    OR(VLOOKUP(E136,[1]Material!F$5:U$90000,16,0)="PUR",VLOOKUP(E136,[1]Material!F$5:U$90000,16,0)="HLO"),"PURE",
    VLOOKUP(E136,[1]Material!F$5:U$90000,16,0)="AIC","AIC",
    OR(VLOOKUP(E136,[1]Material!F$5:U$90000,16,0)="AGI",VLOOKUP(E136,[1]Material!F$5:U$90000,16,0)="AGIGA"),"AGIGA",
    OR(LEFT(VLOOKUP(E136,[1]Material!F$5:U$90000,16,0),3)="EF-",VLOOKUP(E136,[1]Material!F$5:U$90000,16,0)="EFI"),"EFI",
    AND(ISNUMBER(VLOOKUP(E136,[1]Material!F$5:U$90000,16,0)),VLOOKUP(E136,[1]Material!F$5:U$90000,16,0)&gt;=100,VLOOKUP(E136,[1]Material!F$5:U$90000,16,0)&lt;=999,VLOOKUP(E136,[1]Material!F$5:U$90000,16,0)=INT(VLOOKUP(E136,[1]Material!F$5:U$90000,16,0))),"OEM",
    TRUE,""
  ),
  "không tìm thấy trong file Import"
)</f>
        <v>PURE</v>
      </c>
      <c r="V136" s="235">
        <f>IFERROR(_xlfn.XLOOKUP(E:E,VVMV!B:B,VVMV!J:J),0)</f>
        <v>15.116015418335726</v>
      </c>
      <c r="W136" s="590">
        <f t="shared" si="3"/>
        <v>93.033066283727607</v>
      </c>
    </row>
    <row r="137" spans="1:23" s="235" customFormat="1" ht="48">
      <c r="A137" s="702"/>
      <c r="B137" s="703" t="s">
        <v>2158</v>
      </c>
      <c r="C137" s="703">
        <v>734101625</v>
      </c>
      <c r="D137" s="704">
        <v>46199</v>
      </c>
      <c r="E137" s="705">
        <v>382102213488</v>
      </c>
      <c r="F137" s="704">
        <v>46191</v>
      </c>
      <c r="G137" s="706" t="s">
        <v>804</v>
      </c>
      <c r="H137" s="706" t="s">
        <v>1593</v>
      </c>
      <c r="I137" s="706" t="s">
        <v>937</v>
      </c>
      <c r="J137" s="706" t="s">
        <v>971</v>
      </c>
      <c r="K137" s="703" t="s">
        <v>1151</v>
      </c>
      <c r="L137" s="703">
        <v>6.8</v>
      </c>
      <c r="M137" s="707">
        <v>656278</v>
      </c>
      <c r="N137" s="707">
        <v>0</v>
      </c>
      <c r="O137" s="707">
        <v>282200</v>
      </c>
      <c r="P137" s="707">
        <v>49364</v>
      </c>
      <c r="Q137" s="707">
        <v>987842</v>
      </c>
      <c r="R137" s="708">
        <f>Q137/'Logistics record '!$AD$1</f>
        <v>37.330587257198999</v>
      </c>
      <c r="S137" s="265" t="s">
        <v>1155</v>
      </c>
      <c r="T137" s="232"/>
      <c r="U137" s="235" t="str" cm="1">
        <f t="array" ref="U137">IFERROR(
  _xlfn.IFS(
    VLOOKUP(E137,[1]Material!F$5:U$90000,16,0)="LUC","Lucid",
    VLOOKUP(E137,[1]Material!F$5:U$90000,16,0)="FMC","FORD",
    OR(VLOOKUP(E137,[1]Material!F$5:U$90000,16,0)="PUR",VLOOKUP(E137,[1]Material!F$5:U$90000,16,0)="HLO"),"PURE",
    VLOOKUP(E137,[1]Material!F$5:U$90000,16,0)="AIC","AIC",
    OR(VLOOKUP(E137,[1]Material!F$5:U$90000,16,0)="AGI",VLOOKUP(E137,[1]Material!F$5:U$90000,16,0)="AGIGA"),"AGIGA",
    OR(LEFT(VLOOKUP(E137,[1]Material!F$5:U$90000,16,0),3)="EF-",VLOOKUP(E137,[1]Material!F$5:U$90000,16,0)="EFI"),"EFI",
    AND(ISNUMBER(VLOOKUP(E137,[1]Material!F$5:U$90000,16,0)),VLOOKUP(E137,[1]Material!F$5:U$90000,16,0)&gt;=100,VLOOKUP(E137,[1]Material!F$5:U$90000,16,0)&lt;=999,VLOOKUP(E137,[1]Material!F$5:U$90000,16,0)=INT(VLOOKUP(E137,[1]Material!F$5:U$90000,16,0))),"OEM",
    TRUE,""
  ),
  "không tìm thấy trong file Import"
)</f>
        <v>PURE</v>
      </c>
      <c r="V137" s="235">
        <f>IFERROR(_xlfn.XLOOKUP(E:E,VVMV!B:B,VVMV!J:J),0)</f>
        <v>15.116015418335726</v>
      </c>
      <c r="W137" s="590">
        <f t="shared" si="3"/>
        <v>52.446602675534727</v>
      </c>
    </row>
    <row r="138" spans="1:23" s="235" customFormat="1" ht="24">
      <c r="A138" s="702"/>
      <c r="B138" s="703" t="s">
        <v>2158</v>
      </c>
      <c r="C138" s="703">
        <v>734101625</v>
      </c>
      <c r="D138" s="704">
        <v>46199</v>
      </c>
      <c r="E138" s="705">
        <v>512718302319</v>
      </c>
      <c r="F138" s="704">
        <v>46191</v>
      </c>
      <c r="G138" s="706" t="s">
        <v>1607</v>
      </c>
      <c r="H138" s="706" t="s">
        <v>1150</v>
      </c>
      <c r="I138" s="706" t="s">
        <v>932</v>
      </c>
      <c r="J138" s="706" t="s">
        <v>971</v>
      </c>
      <c r="K138" s="703" t="s">
        <v>1151</v>
      </c>
      <c r="L138" s="703">
        <v>7.2</v>
      </c>
      <c r="M138" s="707">
        <v>727980</v>
      </c>
      <c r="N138" s="707">
        <v>26025</v>
      </c>
      <c r="O138" s="707">
        <v>313031</v>
      </c>
      <c r="P138" s="707">
        <v>56126</v>
      </c>
      <c r="Q138" s="707">
        <v>1123162</v>
      </c>
      <c r="R138" s="708">
        <f>Q138/'Logistics record '!$AD$1</f>
        <v>42.444335273221981</v>
      </c>
      <c r="S138" s="265" t="s">
        <v>1155</v>
      </c>
      <c r="T138" s="232"/>
      <c r="U138" s="235" t="str" cm="1">
        <f t="array" ref="U138">IFERROR(
  _xlfn.IFS(
    VLOOKUP(E138,[1]Material!F$5:U$90000,16,0)="LUC","Lucid",
    VLOOKUP(E138,[1]Material!F$5:U$90000,16,0)="FMC","FORD",
    OR(VLOOKUP(E138,[1]Material!F$5:U$90000,16,0)="PUR",VLOOKUP(E138,[1]Material!F$5:U$90000,16,0)="HLO"),"PURE",
    VLOOKUP(E138,[1]Material!F$5:U$90000,16,0)="AIC","AIC",
    OR(VLOOKUP(E138,[1]Material!F$5:U$90000,16,0)="AGI",VLOOKUP(E138,[1]Material!F$5:U$90000,16,0)="AGIGA"),"AGIGA",
    OR(LEFT(VLOOKUP(E138,[1]Material!F$5:U$90000,16,0),3)="EF-",VLOOKUP(E138,[1]Material!F$5:U$90000,16,0)="EFI"),"EFI",
    AND(ISNUMBER(VLOOKUP(E138,[1]Material!F$5:U$90000,16,0)),VLOOKUP(E138,[1]Material!F$5:U$90000,16,0)&gt;=100,VLOOKUP(E138,[1]Material!F$5:U$90000,16,0)&lt;=999,VLOOKUP(E138,[1]Material!F$5:U$90000,16,0)=INT(VLOOKUP(E138,[1]Material!F$5:U$90000,16,0))),"OEM",
    TRUE,""
  ),
  "không tìm thấy trong file Import"
)</f>
        <v>PURE</v>
      </c>
      <c r="V138" s="235">
        <f>IFERROR(_xlfn.XLOOKUP(E:E,VVMV!B:B,VVMV!J:J),0)</f>
        <v>15.116015418335726</v>
      </c>
      <c r="W138" s="590">
        <f t="shared" si="3"/>
        <v>57.560350691557709</v>
      </c>
    </row>
    <row r="139" spans="1:23" s="235" customFormat="1" ht="48">
      <c r="A139" s="702"/>
      <c r="B139" s="703" t="s">
        <v>2158</v>
      </c>
      <c r="C139" s="703">
        <v>734101625</v>
      </c>
      <c r="D139" s="704">
        <v>46199</v>
      </c>
      <c r="E139" s="705">
        <v>382085402744</v>
      </c>
      <c r="F139" s="704">
        <v>46191</v>
      </c>
      <c r="G139" s="706" t="s">
        <v>804</v>
      </c>
      <c r="H139" s="706" t="s">
        <v>1593</v>
      </c>
      <c r="I139" s="706" t="s">
        <v>937</v>
      </c>
      <c r="J139" s="706" t="s">
        <v>971</v>
      </c>
      <c r="K139" s="703" t="s">
        <v>1151</v>
      </c>
      <c r="L139" s="703">
        <v>3.4</v>
      </c>
      <c r="M139" s="707">
        <v>451485</v>
      </c>
      <c r="N139" s="707">
        <v>0</v>
      </c>
      <c r="O139" s="707">
        <v>194139</v>
      </c>
      <c r="P139" s="707">
        <v>33960</v>
      </c>
      <c r="Q139" s="707">
        <v>679584</v>
      </c>
      <c r="R139" s="708">
        <f>Q139/'Logistics record '!$AD$1</f>
        <v>25.681505555135665</v>
      </c>
      <c r="S139" s="265" t="s">
        <v>1155</v>
      </c>
      <c r="T139" s="232"/>
      <c r="U139" s="235" t="str" cm="1">
        <f t="array" ref="U139">IFERROR(
  _xlfn.IFS(
    VLOOKUP(E139,[1]Material!F$5:U$90000,16,0)="LUC","Lucid",
    VLOOKUP(E139,[1]Material!F$5:U$90000,16,0)="FMC","FORD",
    OR(VLOOKUP(E139,[1]Material!F$5:U$90000,16,0)="PUR",VLOOKUP(E139,[1]Material!F$5:U$90000,16,0)="HLO"),"PURE",
    VLOOKUP(E139,[1]Material!F$5:U$90000,16,0)="AIC","AIC",
    OR(VLOOKUP(E139,[1]Material!F$5:U$90000,16,0)="AGI",VLOOKUP(E139,[1]Material!F$5:U$90000,16,0)="AGIGA"),"AGIGA",
    OR(LEFT(VLOOKUP(E139,[1]Material!F$5:U$90000,16,0),3)="EF-",VLOOKUP(E139,[1]Material!F$5:U$90000,16,0)="EFI"),"EFI",
    AND(ISNUMBER(VLOOKUP(E139,[1]Material!F$5:U$90000,16,0)),VLOOKUP(E139,[1]Material!F$5:U$90000,16,0)&gt;=100,VLOOKUP(E139,[1]Material!F$5:U$90000,16,0)&lt;=999,VLOOKUP(E139,[1]Material!F$5:U$90000,16,0)=INT(VLOOKUP(E139,[1]Material!F$5:U$90000,16,0))),"OEM",
    TRUE,""
  ),
  "không tìm thấy trong file Import"
)</f>
        <v>PURE</v>
      </c>
      <c r="V139" s="235">
        <f>IFERROR(_xlfn.XLOOKUP(E:E,VVMV!B:B,VVMV!J:J),0)</f>
        <v>15.116015418335726</v>
      </c>
      <c r="W139" s="590">
        <f t="shared" si="3"/>
        <v>40.797520973471393</v>
      </c>
    </row>
    <row r="140" spans="1:23" s="235" customFormat="1">
      <c r="A140" s="702"/>
      <c r="B140" s="703"/>
      <c r="C140" s="703"/>
      <c r="D140" s="704"/>
      <c r="E140" s="705"/>
      <c r="F140" s="704"/>
      <c r="G140" s="706"/>
      <c r="H140" s="706"/>
      <c r="I140" s="706"/>
      <c r="J140" s="706"/>
      <c r="K140" s="703"/>
      <c r="L140" s="703"/>
      <c r="M140" s="707"/>
      <c r="N140" s="707"/>
      <c r="O140" s="707"/>
      <c r="P140" s="707"/>
      <c r="Q140" s="707"/>
      <c r="R140" s="708"/>
      <c r="S140" s="265"/>
      <c r="T140" s="232"/>
    </row>
    <row r="141" spans="1:23" s="235" customFormat="1">
      <c r="A141" s="702"/>
      <c r="B141" s="703"/>
      <c r="C141" s="703"/>
      <c r="D141" s="704"/>
      <c r="E141" s="705"/>
      <c r="F141" s="704"/>
      <c r="G141" s="706"/>
      <c r="H141" s="706"/>
      <c r="I141" s="706"/>
      <c r="J141" s="706"/>
      <c r="K141" s="703"/>
      <c r="L141" s="703"/>
      <c r="M141" s="707"/>
      <c r="N141" s="707"/>
      <c r="O141" s="707"/>
      <c r="P141" s="707"/>
      <c r="Q141" s="707"/>
      <c r="R141" s="708"/>
      <c r="S141" s="265"/>
      <c r="T141" s="232"/>
    </row>
    <row r="142" spans="1:23" s="235" customFormat="1" ht="35.450000000000003" customHeight="1">
      <c r="A142" s="702"/>
      <c r="B142" s="702"/>
      <c r="C142" s="702"/>
      <c r="D142" s="703"/>
      <c r="E142" s="705"/>
      <c r="F142" s="703"/>
      <c r="G142" s="706"/>
      <c r="H142" s="706"/>
      <c r="I142" s="703"/>
      <c r="J142" s="703"/>
      <c r="K142" s="703"/>
      <c r="L142" s="703"/>
      <c r="M142" s="703"/>
      <c r="N142" s="703"/>
      <c r="O142" s="703"/>
      <c r="P142" s="703"/>
      <c r="Q142" s="232"/>
      <c r="R142" s="264"/>
    </row>
    <row r="143" spans="1:23" s="235" customFormat="1" ht="14.1" customHeight="1">
      <c r="A143" s="608"/>
      <c r="B143" s="233"/>
      <c r="C143" s="233"/>
      <c r="D143" s="233"/>
      <c r="E143" s="234"/>
      <c r="F143" s="233"/>
      <c r="G143" s="609"/>
      <c r="H143" s="233"/>
      <c r="I143" s="233"/>
      <c r="J143" s="233"/>
      <c r="K143" s="610"/>
      <c r="L143" s="610"/>
      <c r="M143" s="610"/>
      <c r="N143" s="610"/>
      <c r="O143" s="709"/>
      <c r="P143" s="709"/>
      <c r="Q143" s="240"/>
      <c r="R143" s="240"/>
      <c r="T143" s="241"/>
    </row>
    <row r="144" spans="1:23" s="235" customFormat="1" ht="14.1" customHeight="1">
      <c r="A144" s="232"/>
      <c r="B144" s="242"/>
      <c r="C144" s="242"/>
      <c r="D144" s="232"/>
      <c r="E144" s="243"/>
      <c r="F144" s="232"/>
      <c r="G144" s="232"/>
      <c r="H144" s="232"/>
      <c r="I144" s="232"/>
      <c r="J144" s="232"/>
      <c r="K144" s="232"/>
      <c r="L144" s="232"/>
      <c r="M144" s="232"/>
      <c r="N144" s="232"/>
      <c r="O144" s="232"/>
      <c r="P144" s="232"/>
      <c r="Q144" s="232"/>
      <c r="R144" s="232"/>
      <c r="T144" s="232"/>
    </row>
    <row r="145" spans="1:24" s="716" customFormat="1" ht="14.1" customHeight="1">
      <c r="A145" s="710"/>
      <c r="B145" s="711"/>
      <c r="C145" s="710"/>
      <c r="D145" s="710"/>
      <c r="E145" s="712"/>
      <c r="F145" s="710"/>
      <c r="G145" s="710"/>
      <c r="H145" s="710"/>
      <c r="I145" s="710"/>
      <c r="J145" s="710"/>
      <c r="K145" s="713"/>
      <c r="L145" s="713"/>
      <c r="M145" s="713"/>
      <c r="N145" s="710"/>
      <c r="O145" s="710"/>
      <c r="P145" s="714" t="s">
        <v>1140</v>
      </c>
      <c r="Q145" s="715">
        <f>SUM(Q2:Q141)</f>
        <v>257825954</v>
      </c>
      <c r="R145" s="715"/>
      <c r="T145" s="710"/>
      <c r="W145" s="235"/>
      <c r="X145" s="235"/>
    </row>
    <row r="146" spans="1:24" s="716" customFormat="1" ht="14.1" customHeight="1">
      <c r="A146" s="710"/>
      <c r="B146" s="710"/>
      <c r="C146" s="710"/>
      <c r="D146" s="710"/>
      <c r="E146" s="712"/>
      <c r="F146" s="710"/>
      <c r="G146" s="710"/>
      <c r="H146" s="710"/>
      <c r="I146" s="710"/>
      <c r="J146" s="710"/>
      <c r="K146" s="710"/>
      <c r="L146" s="710"/>
      <c r="M146" s="710"/>
      <c r="N146" s="710"/>
      <c r="O146" s="710"/>
      <c r="P146" s="710"/>
      <c r="Q146" s="710">
        <f>+Q145/'Logistics record '!AD1</f>
        <v>9743.252739777794</v>
      </c>
      <c r="R146" s="710"/>
      <c r="W146" s="235"/>
      <c r="X146" s="235"/>
    </row>
    <row r="147" spans="1:24" s="716" customFormat="1" ht="14.1" customHeight="1">
      <c r="A147" s="710"/>
      <c r="B147" s="710"/>
      <c r="C147" s="710"/>
      <c r="D147" s="710"/>
      <c r="E147" s="712"/>
      <c r="F147" s="710"/>
      <c r="G147" s="710"/>
      <c r="H147" s="710"/>
      <c r="I147" s="710"/>
      <c r="J147" s="710"/>
      <c r="K147" s="710"/>
      <c r="L147" s="710"/>
      <c r="M147" s="710"/>
      <c r="N147" s="710"/>
      <c r="O147" s="710"/>
      <c r="P147" s="710"/>
      <c r="Q147" s="710"/>
      <c r="R147" s="710"/>
      <c r="W147" s="235"/>
      <c r="X147" s="235"/>
    </row>
    <row r="148" spans="1:24" s="716" customFormat="1" ht="15" customHeight="1">
      <c r="A148" s="710"/>
      <c r="B148" s="710"/>
      <c r="C148" s="710"/>
      <c r="D148" s="710"/>
      <c r="E148" s="712"/>
      <c r="F148" s="710"/>
      <c r="G148" s="710"/>
      <c r="H148" s="710"/>
      <c r="I148" s="710"/>
      <c r="J148" s="710"/>
      <c r="K148" s="710"/>
      <c r="L148" s="710"/>
      <c r="M148" s="710"/>
      <c r="N148" s="710"/>
      <c r="O148" s="710"/>
      <c r="P148" s="710"/>
      <c r="Q148" s="710"/>
      <c r="R148" s="710"/>
      <c r="W148" s="235"/>
      <c r="X148" s="235"/>
    </row>
    <row r="149" spans="1:24" s="716" customFormat="1" ht="15" customHeight="1">
      <c r="A149" s="717" t="s">
        <v>1141</v>
      </c>
      <c r="E149" s="718"/>
      <c r="I149" s="719"/>
      <c r="J149" s="791"/>
      <c r="K149" s="791"/>
      <c r="L149" s="791"/>
      <c r="M149" s="791"/>
      <c r="N149" s="791"/>
      <c r="O149" s="791"/>
      <c r="P149" s="710"/>
      <c r="Q149" s="710"/>
      <c r="R149" s="710"/>
      <c r="W149" s="235"/>
      <c r="X149" s="235"/>
    </row>
    <row r="150" spans="1:24" ht="15" customHeight="1">
      <c r="A150" s="253" t="s">
        <v>1142</v>
      </c>
      <c r="B150" s="253"/>
      <c r="C150" s="253"/>
      <c r="D150" s="253"/>
      <c r="E150" s="253"/>
      <c r="F150" s="253"/>
      <c r="G150" s="253"/>
      <c r="H150" s="253"/>
      <c r="I150" s="254"/>
      <c r="J150" s="789"/>
      <c r="K150" s="789"/>
      <c r="L150" s="789"/>
      <c r="M150" s="789"/>
      <c r="N150" s="789"/>
      <c r="O150" s="789"/>
      <c r="W150" s="235"/>
      <c r="X150" s="235"/>
    </row>
    <row r="151" spans="1:24" ht="15" customHeight="1">
      <c r="A151" s="253" t="s">
        <v>1143</v>
      </c>
      <c r="B151" s="253"/>
      <c r="C151" s="253"/>
      <c r="D151" s="253"/>
      <c r="E151" s="253"/>
      <c r="F151" s="253"/>
      <c r="G151" s="253"/>
      <c r="H151" s="253"/>
      <c r="I151" s="255"/>
      <c r="J151" s="789"/>
      <c r="K151" s="789"/>
      <c r="L151" s="789"/>
      <c r="M151" s="789"/>
      <c r="N151" s="789"/>
      <c r="O151" s="789"/>
    </row>
    <row r="152" spans="1:24" ht="15" customHeight="1">
      <c r="A152" s="253" t="s">
        <v>1144</v>
      </c>
      <c r="B152" s="253"/>
      <c r="C152" s="253"/>
      <c r="D152" s="253"/>
      <c r="E152" s="253"/>
      <c r="F152" s="253"/>
      <c r="G152" s="253"/>
      <c r="H152" s="253"/>
      <c r="I152" s="255"/>
      <c r="J152" s="789"/>
      <c r="K152" s="789"/>
      <c r="L152" s="789"/>
      <c r="M152" s="789"/>
      <c r="N152" s="789"/>
      <c r="O152" s="789"/>
    </row>
    <row r="153" spans="1:24" ht="15" customHeight="1">
      <c r="A153" s="256" t="s">
        <v>1145</v>
      </c>
      <c r="B153" s="256"/>
      <c r="C153" s="256"/>
      <c r="D153" s="256"/>
      <c r="E153" s="257"/>
      <c r="F153" s="258"/>
      <c r="G153" s="258"/>
      <c r="H153" s="258"/>
      <c r="I153" s="255"/>
      <c r="J153" s="789"/>
      <c r="K153" s="789"/>
      <c r="L153" s="789"/>
      <c r="M153" s="789"/>
      <c r="N153" s="789"/>
      <c r="O153" s="789"/>
    </row>
    <row r="154" spans="1:24" s="244" customFormat="1" ht="15" customHeight="1">
      <c r="A154" s="256" t="s">
        <v>1146</v>
      </c>
      <c r="B154" s="256"/>
      <c r="C154" s="258"/>
      <c r="D154" s="258"/>
      <c r="E154" s="257"/>
      <c r="F154" s="258"/>
      <c r="G154" s="258"/>
      <c r="H154" s="258"/>
      <c r="S154" s="251"/>
      <c r="T154" s="251"/>
      <c r="U154" s="251"/>
      <c r="V154" s="251"/>
    </row>
    <row r="155" spans="1:24" s="244" customFormat="1" ht="14.1" customHeight="1">
      <c r="A155" s="253" t="s">
        <v>1147</v>
      </c>
      <c r="B155" s="253"/>
      <c r="C155" s="253"/>
      <c r="D155" s="253"/>
      <c r="E155" s="253"/>
      <c r="F155" s="253"/>
      <c r="G155" s="253"/>
      <c r="H155" s="253"/>
      <c r="L155" s="790"/>
      <c r="M155" s="790"/>
      <c r="N155" s="259"/>
      <c r="S155" s="251"/>
      <c r="T155" s="251"/>
      <c r="U155" s="251"/>
      <c r="V155" s="251"/>
    </row>
    <row r="156" spans="1:24" s="244" customFormat="1">
      <c r="A156" s="263" t="s">
        <v>1148</v>
      </c>
      <c r="B156" s="251"/>
      <c r="C156" s="251"/>
      <c r="D156" s="251"/>
      <c r="E156" s="252"/>
      <c r="F156" s="251"/>
      <c r="G156" s="251"/>
      <c r="H156" s="251"/>
      <c r="S156" s="251"/>
      <c r="T156" s="251"/>
      <c r="U156" s="251"/>
      <c r="V156" s="251"/>
    </row>
    <row r="157" spans="1:24" s="244" customFormat="1" ht="17.25" customHeight="1">
      <c r="E157" s="246"/>
      <c r="L157" s="514"/>
      <c r="M157" s="514"/>
      <c r="N157" s="259"/>
      <c r="S157" s="251"/>
      <c r="T157" s="251"/>
      <c r="U157" s="251"/>
      <c r="V157" s="251"/>
    </row>
    <row r="158" spans="1:24" s="244" customFormat="1" ht="102.75" customHeight="1">
      <c r="E158" s="246"/>
      <c r="S158" s="251"/>
      <c r="T158" s="251"/>
      <c r="U158" s="251"/>
      <c r="V158" s="251"/>
    </row>
    <row r="159" spans="1:24" s="244" customFormat="1" ht="15" customHeight="1">
      <c r="A159" s="514"/>
      <c r="B159" s="514"/>
      <c r="C159" s="514"/>
      <c r="D159" s="514"/>
      <c r="E159" s="514"/>
      <c r="O159" s="239"/>
      <c r="S159" s="251"/>
      <c r="T159" s="251"/>
      <c r="U159" s="251"/>
      <c r="V159" s="251"/>
    </row>
  </sheetData>
  <autoFilter ref="A1:W139" xr:uid="{9C64F9C4-C71F-4DD4-BD95-08109CE31C42}"/>
  <mergeCells count="5">
    <mergeCell ref="J152:O153"/>
    <mergeCell ref="L155:M155"/>
    <mergeCell ref="J149:O149"/>
    <mergeCell ref="J150:O150"/>
    <mergeCell ref="J151:O151"/>
  </mergeCells>
  <pageMargins left="0.27013888888888887" right="0.12013888888888889" top="0.5" bottom="0.25" header="0" footer="0"/>
  <pageSetup paperSize="9" fitToWidth="0"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7DAF-3322-4AE6-A875-125B2513055C}">
  <sheetPr codeName="Sheet4">
    <tabColor rgb="FF92D050"/>
  </sheetPr>
  <dimension ref="A1:HN613"/>
  <sheetViews>
    <sheetView topLeftCell="Q1" zoomScaleNormal="100" zoomScaleSheetLayoutView="85" workbookViewId="0">
      <pane ySplit="3" topLeftCell="A584" activePane="bottomLeft" state="frozen"/>
      <selection activeCell="N29" sqref="A26:N29"/>
      <selection pane="bottomLeft" activeCell="N29" sqref="A26:N29"/>
    </sheetView>
  </sheetViews>
  <sheetFormatPr defaultColWidth="9.140625" defaultRowHeight="15"/>
  <cols>
    <col min="1" max="1" width="5.85546875" style="174" customWidth="1"/>
    <col min="2" max="2" width="15.7109375" style="553" customWidth="1"/>
    <col min="3" max="3" width="20" style="174" customWidth="1"/>
    <col min="4" max="4" width="47.28515625" style="176" customWidth="1"/>
    <col min="5" max="5" width="16.85546875" style="176" customWidth="1"/>
    <col min="6" max="6" width="22.140625" style="631" customWidth="1"/>
    <col min="7" max="7" width="26.5703125" style="176" bestFit="1" customWidth="1"/>
    <col min="8" max="8" width="34" style="176" customWidth="1"/>
    <col min="9" max="15" width="14.5703125" style="176" customWidth="1"/>
    <col min="16" max="16" width="6.5703125" style="174" customWidth="1"/>
    <col min="17" max="17" width="15" style="174" customWidth="1"/>
    <col min="18" max="18" width="8.7109375" style="177" customWidth="1"/>
    <col min="19" max="19" width="12" style="174" bestFit="1" customWidth="1"/>
    <col min="20" max="20" width="10.7109375" style="174" customWidth="1"/>
    <col min="21" max="21" width="7.42578125" style="175" customWidth="1"/>
    <col min="22" max="22" width="15.85546875" style="174" customWidth="1"/>
    <col min="23" max="23" width="12.5703125" style="174" customWidth="1"/>
    <col min="24" max="24" width="11.7109375" style="174" customWidth="1"/>
    <col min="25" max="27" width="12.7109375" style="174" customWidth="1"/>
    <col min="28" max="28" width="13" style="174" customWidth="1"/>
    <col min="29" max="29" width="11.5703125" style="174" customWidth="1"/>
    <col min="30" max="30" width="12" style="174" customWidth="1"/>
    <col min="31" max="31" width="11.42578125" style="174" customWidth="1"/>
    <col min="32" max="33" width="12.85546875" style="174" customWidth="1"/>
    <col min="34" max="35" width="14" style="174" customWidth="1"/>
    <col min="36" max="16384" width="9.140625" style="174"/>
  </cols>
  <sheetData>
    <row r="1" spans="1:222" ht="15.75" customHeight="1">
      <c r="A1" s="799" t="s">
        <v>907</v>
      </c>
      <c r="B1" s="832" t="s">
        <v>908</v>
      </c>
      <c r="C1" s="799" t="s">
        <v>909</v>
      </c>
      <c r="D1" s="835" t="s">
        <v>910</v>
      </c>
      <c r="E1" s="793" t="s">
        <v>1154</v>
      </c>
      <c r="F1" s="796" t="s">
        <v>1154</v>
      </c>
      <c r="G1" s="793" t="s">
        <v>1110</v>
      </c>
      <c r="H1" s="793" t="s">
        <v>1111</v>
      </c>
      <c r="I1" s="793" t="s">
        <v>90</v>
      </c>
      <c r="J1" s="793" t="s">
        <v>1157</v>
      </c>
      <c r="K1" s="793" t="s">
        <v>1158</v>
      </c>
      <c r="L1" s="793" t="s">
        <v>1156</v>
      </c>
      <c r="M1" s="793" t="s">
        <v>924</v>
      </c>
      <c r="N1" s="793" t="s">
        <v>27</v>
      </c>
      <c r="O1" s="793" t="s">
        <v>1264</v>
      </c>
      <c r="P1" s="838" t="s">
        <v>911</v>
      </c>
      <c r="Q1" s="799" t="s">
        <v>912</v>
      </c>
      <c r="R1" s="802" t="s">
        <v>913</v>
      </c>
      <c r="S1" s="805" t="s">
        <v>914</v>
      </c>
      <c r="T1" s="806"/>
      <c r="U1" s="806"/>
      <c r="V1" s="820" t="s">
        <v>915</v>
      </c>
      <c r="W1" s="821"/>
      <c r="X1" s="821"/>
      <c r="Y1" s="821"/>
      <c r="Z1" s="828" t="s">
        <v>916</v>
      </c>
      <c r="AA1" s="829"/>
      <c r="AB1" s="830"/>
      <c r="AC1" s="826" t="s">
        <v>917</v>
      </c>
      <c r="AD1" s="827"/>
      <c r="AE1" s="827"/>
      <c r="AF1" s="809" t="s">
        <v>918</v>
      </c>
      <c r="AG1" s="812" t="s">
        <v>919</v>
      </c>
      <c r="AH1" s="815"/>
    </row>
    <row r="2" spans="1:222" ht="27" customHeight="1">
      <c r="A2" s="800"/>
      <c r="B2" s="833"/>
      <c r="C2" s="800"/>
      <c r="D2" s="836"/>
      <c r="E2" s="794"/>
      <c r="F2" s="797"/>
      <c r="G2" s="794"/>
      <c r="H2" s="794"/>
      <c r="I2" s="794"/>
      <c r="J2" s="794"/>
      <c r="K2" s="794"/>
      <c r="L2" s="794"/>
      <c r="M2" s="794"/>
      <c r="N2" s="794"/>
      <c r="O2" s="794"/>
      <c r="P2" s="839"/>
      <c r="Q2" s="800"/>
      <c r="R2" s="803" t="s">
        <v>913</v>
      </c>
      <c r="S2" s="807"/>
      <c r="T2" s="808"/>
      <c r="U2" s="808"/>
      <c r="V2" s="816" t="s">
        <v>26</v>
      </c>
      <c r="W2" s="799" t="s">
        <v>25</v>
      </c>
      <c r="X2" s="799" t="s">
        <v>921</v>
      </c>
      <c r="Y2" s="799" t="s">
        <v>922</v>
      </c>
      <c r="Z2" s="831" t="s">
        <v>875</v>
      </c>
      <c r="AA2" s="831" t="s">
        <v>1401</v>
      </c>
      <c r="AB2" s="831" t="s">
        <v>1402</v>
      </c>
      <c r="AC2" s="818" t="s">
        <v>923</v>
      </c>
      <c r="AD2" s="822" t="s">
        <v>924</v>
      </c>
      <c r="AE2" s="824" t="s">
        <v>925</v>
      </c>
      <c r="AF2" s="810"/>
      <c r="AG2" s="813"/>
      <c r="AH2" s="810"/>
      <c r="AI2" s="174" t="s">
        <v>926</v>
      </c>
    </row>
    <row r="3" spans="1:222" ht="19.5" customHeight="1">
      <c r="A3" s="801"/>
      <c r="B3" s="834"/>
      <c r="C3" s="801"/>
      <c r="D3" s="837"/>
      <c r="E3" s="795"/>
      <c r="F3" s="798"/>
      <c r="G3" s="795"/>
      <c r="H3" s="795"/>
      <c r="I3" s="795"/>
      <c r="J3" s="795"/>
      <c r="K3" s="795"/>
      <c r="L3" s="795"/>
      <c r="M3" s="795"/>
      <c r="N3" s="795"/>
      <c r="O3" s="795"/>
      <c r="P3" s="840"/>
      <c r="Q3" s="801"/>
      <c r="R3" s="804"/>
      <c r="S3" s="178" t="s">
        <v>27</v>
      </c>
      <c r="T3" s="179" t="s">
        <v>28</v>
      </c>
      <c r="U3" s="180" t="s">
        <v>29</v>
      </c>
      <c r="V3" s="817"/>
      <c r="W3" s="801"/>
      <c r="X3" s="801"/>
      <c r="Y3" s="801"/>
      <c r="Z3" s="831"/>
      <c r="AA3" s="831"/>
      <c r="AB3" s="831"/>
      <c r="AC3" s="819"/>
      <c r="AD3" s="823"/>
      <c r="AE3" s="825"/>
      <c r="AF3" s="811"/>
      <c r="AG3" s="814"/>
      <c r="AH3" s="811"/>
    </row>
    <row r="4" spans="1:222" ht="16.5" customHeight="1">
      <c r="A4" s="181">
        <v>1</v>
      </c>
      <c r="B4" s="182" t="s">
        <v>2177</v>
      </c>
      <c r="C4" s="598" t="s">
        <v>2178</v>
      </c>
      <c r="D4" s="184" t="s">
        <v>327</v>
      </c>
      <c r="E4" s="184" t="str">
        <f>IF(OR(AI4="E11", AI4="E13", AI4="E15", AI4="G13"), "Import", "Export")</f>
        <v>Import</v>
      </c>
      <c r="F4" s="720" t="str" cm="1">
        <f t="array" ref="F4">_xlfn.IFS(
  OR(AI4="E11", AI4="E15"), "Raw materials",
  OR(AI4="E13", AI4="G13"), "Equipments + Toolings",
  TRUE, RIGHT(C4, 8)
)</f>
        <v>Raw materials</v>
      </c>
      <c r="G4" s="541" t="str" cm="1">
        <f t="array" ref="G4">IF(E4="Import",
  IFERROR(
    _xlfn.IFS(
      VLOOKUP(B4,[1]Material!F$5:U$90000,16,0)="LUC","Lucid",
      VLOOKUP(B4,[1]Material!F$5:U$90000,16,0)="FMC","FORD",
      OR(VLOOKUP(B4,[1]Material!F$5:U$90000,16,0)="PUR",VLOOKUP(B4,[1]Material!F$5:U$90000,16,0)="HLO"),"PURE",
      VLOOKUP(B4,[1]Material!F$5:U$90000,16,0)="AIC","AIC",
      OR(VLOOKUP(B4,[1]Material!F$5:U$90000,16,0)="AGI",VLOOKUP(B4,[1]Material!F$5:U$90000,16,0)="AGIGA"),"AGIGA",
      OR(LEFT(VLOOKUP(B4,[1]Material!F$5:U$90000,16,0),3)="EF-",VLOOKUP(B4,[1]Material!F$5:U$90000,16,0)="EFI"),"EFI",
      AND(ISNUMBER(VLOOKUP(B4,[1]Material!F$5:U$90000,16,0)),VLOOKUP(B4,[1]Material!F$5:U$90000,16,0)&gt;=100,VLOOKUP(B4,[1]Material!F$5:U$90000,16,0)&lt;=999,VLOOKUP(B4,[1]Material!F$5:U$90000,16,0)=INT(VLOOKUP(B4,[1]Material!F$5:U$90000,16,0))),"OEM",
      TRUE,""
    ),
    "không tìm thấy trong file Import"
  ),
  VLOOKUP(F4,'[2]Export shipment'!B:Y,24,0)
)</f>
        <v>PURE</v>
      </c>
      <c r="H4" s="184"/>
      <c r="I4" s="184"/>
      <c r="J4" s="260">
        <f>(V4+X4+AA4)/'Logistics record '!$AD$1</f>
        <v>15.116015418335726</v>
      </c>
      <c r="K4" s="260">
        <f>W4/'Logistics record '!$AD$1</f>
        <v>143.6021464741894</v>
      </c>
      <c r="L4" s="260">
        <f>Y4/'Logistics record '!$AD$1</f>
        <v>1418.7973777492252</v>
      </c>
      <c r="M4" s="260">
        <f>AF4/'Logistics record '!$AD$1</f>
        <v>179.11964326203613</v>
      </c>
      <c r="N4" s="260" t="str" cm="1">
        <f t="array" ref="N4">_xlfn.IFS(
    OR(UPPER(S4)="AIR", UPPER(S4)="CPN"), "AIR",
    UPPER(S4)="TC", "LOCAL",
    TRUE, "SEA"
)</f>
        <v>SEA</v>
      </c>
      <c r="O4" s="260">
        <f>M4+L4+K4+J4</f>
        <v>1756.6351829037865</v>
      </c>
      <c r="P4" s="184" t="s">
        <v>932</v>
      </c>
      <c r="Q4" s="185">
        <v>108262405640</v>
      </c>
      <c r="R4" s="186">
        <v>46163</v>
      </c>
      <c r="S4" s="187" t="s">
        <v>933</v>
      </c>
      <c r="T4" s="188">
        <v>1941.5</v>
      </c>
      <c r="U4" s="188">
        <v>11.73</v>
      </c>
      <c r="V4" s="189">
        <v>400000</v>
      </c>
      <c r="W4" s="190">
        <v>3800000</v>
      </c>
      <c r="X4" s="190"/>
      <c r="Y4" s="190">
        <v>37544216.210000001</v>
      </c>
      <c r="Z4" s="189">
        <f t="shared" ref="Z4:Z67" si="0">SUM(V4:Y4)</f>
        <v>41744216.210000001</v>
      </c>
      <c r="AA4" s="189">
        <v>0</v>
      </c>
      <c r="AB4" s="189">
        <f>+AA4+Z4</f>
        <v>41744216.210000001</v>
      </c>
      <c r="AC4" s="189">
        <v>31064</v>
      </c>
      <c r="AD4" s="190"/>
      <c r="AE4" s="190">
        <v>4708800</v>
      </c>
      <c r="AF4" s="191">
        <f t="shared" ref="AF4:AF67" si="1">+SUM(AC4:AE4)</f>
        <v>4739864</v>
      </c>
      <c r="AG4" s="190">
        <f t="shared" ref="AG4:AG67" si="2">+AF4+AB4</f>
        <v>46484080.210000001</v>
      </c>
      <c r="AH4" s="190"/>
      <c r="AI4" s="192" t="str">
        <f>VLOOKUP(Q4,[3]Sheet1!B$11:G$1489,6,0)</f>
        <v>E11</v>
      </c>
      <c r="GK4" s="194"/>
      <c r="GL4" s="195"/>
      <c r="GM4" s="196"/>
      <c r="GN4" s="197"/>
      <c r="GO4" s="198"/>
      <c r="GP4" s="199"/>
      <c r="GQ4" s="200"/>
      <c r="GR4" s="201"/>
      <c r="GS4" s="60"/>
      <c r="GT4" s="202"/>
      <c r="GU4" s="202"/>
      <c r="GV4" s="202"/>
      <c r="GW4" s="202"/>
      <c r="GX4" s="203"/>
      <c r="HA4" s="194"/>
      <c r="HB4" s="195"/>
      <c r="HC4" s="196"/>
      <c r="HD4" s="197"/>
      <c r="HE4" s="198"/>
      <c r="HF4" s="199"/>
      <c r="HG4" s="200"/>
      <c r="HH4" s="201"/>
      <c r="HI4" s="60"/>
      <c r="HJ4" s="202"/>
      <c r="HK4" s="202"/>
      <c r="HL4" s="202"/>
      <c r="HM4" s="202"/>
      <c r="HN4" s="203"/>
    </row>
    <row r="5" spans="1:222" ht="16.5" customHeight="1">
      <c r="A5" s="181">
        <v>2</v>
      </c>
      <c r="B5" s="182" t="s">
        <v>2179</v>
      </c>
      <c r="C5" s="183" t="s">
        <v>2180</v>
      </c>
      <c r="D5" s="184" t="s">
        <v>2181</v>
      </c>
      <c r="E5" s="184" t="str">
        <f t="shared" ref="E5:E68" si="3">IF(OR(AI5="E11", AI5="E13", AI5="E15", AI5="G13"), "Import", "Export")</f>
        <v>Import</v>
      </c>
      <c r="F5" s="720" t="str" cm="1">
        <f t="array" ref="F5">_xlfn.IFS(
  OR(AI5="E11", AI5="E15"), "Raw materials",
  OR(AI5="E13", AI5="G13"), "Equipments + Toolings",
  TRUE, RIGHT(C5, 8)
)</f>
        <v>Raw materials</v>
      </c>
      <c r="G5" s="541" t="str" cm="1">
        <f t="array" ref="G5">IF(E5="Import",
  IFERROR(
    _xlfn.IFS(
      VLOOKUP(B5,[1]Material!F$5:U$90000,16,0)="LUC","Lucid",
      VLOOKUP(B5,[1]Material!F$5:U$90000,16,0)="FMC","FORD",
      OR(VLOOKUP(B5,[1]Material!F$5:U$90000,16,0)="PUR",VLOOKUP(B5,[1]Material!F$5:U$90000,16,0)="HLO"),"PURE",
      VLOOKUP(B5,[1]Material!F$5:U$90000,16,0)="AIC","AIC",
      OR(VLOOKUP(B5,[1]Material!F$5:U$90000,16,0)="AGI",VLOOKUP(B5,[1]Material!F$5:U$90000,16,0)="AGIGA"),"AGIGA",
      OR(LEFT(VLOOKUP(B5,[1]Material!F$5:U$90000,16,0),3)="EF-",VLOOKUP(B5,[1]Material!F$5:U$90000,16,0)="EFI"),"EFI",
      AND(ISNUMBER(VLOOKUP(B5,[1]Material!F$5:U$90000,16,0)),VLOOKUP(B5,[1]Material!F$5:U$90000,16,0)&gt;=100,VLOOKUP(B5,[1]Material!F$5:U$90000,16,0)&lt;=999,VLOOKUP(B5,[1]Material!F$5:U$90000,16,0)=INT(VLOOKUP(B5,[1]Material!F$5:U$90000,16,0))),"OEM",
      TRUE,""
    ),
    "không tìm thấy trong file Import"
  ),
  VLOOKUP(F5,'[2]Export shipment'!B:Y,24,0)
)</f>
        <v>OEM</v>
      </c>
      <c r="H5" s="184"/>
      <c r="I5" s="184"/>
      <c r="J5" s="260">
        <f>(V5+X5+AA5)/'Logistics record '!$AD$1</f>
        <v>15.116015418335726</v>
      </c>
      <c r="K5" s="260">
        <f>W5/'Logistics record '!$AD$1</f>
        <v>22.674023127503592</v>
      </c>
      <c r="L5" s="260">
        <f>Y5/'Logistics record '!$AD$1</f>
        <v>214.11325674552188</v>
      </c>
      <c r="M5" s="260">
        <f>AF5/'Logistics record '!$AD$1</f>
        <v>18.304738870833649</v>
      </c>
      <c r="N5" s="260" t="str" cm="1">
        <f t="array" ref="N5">_xlfn.IFS(
    OR(UPPER(S5)="AIR", UPPER(S5)="CPN"), "AIR",
    UPPER(S5)="TC", "LOCAL",
    TRUE, "SEA"
)</f>
        <v>AIR</v>
      </c>
      <c r="O5" s="260">
        <f t="shared" ref="O5:O68" si="4">M5+L5+K5+J5</f>
        <v>270.20803416219485</v>
      </c>
      <c r="P5" s="184" t="s">
        <v>931</v>
      </c>
      <c r="Q5" s="185">
        <v>108269406010</v>
      </c>
      <c r="R5" s="186">
        <v>46164</v>
      </c>
      <c r="S5" s="187" t="s">
        <v>65</v>
      </c>
      <c r="T5" s="188">
        <v>37</v>
      </c>
      <c r="U5" s="188"/>
      <c r="V5" s="189">
        <v>400000</v>
      </c>
      <c r="W5" s="190">
        <v>600000</v>
      </c>
      <c r="X5" s="190"/>
      <c r="Y5" s="190">
        <v>5665865</v>
      </c>
      <c r="Z5" s="189">
        <f t="shared" si="0"/>
        <v>6665865</v>
      </c>
      <c r="AA5" s="189">
        <v>0</v>
      </c>
      <c r="AB5" s="189">
        <f t="shared" ref="AB5:AB68" si="5">+AA5+Z5</f>
        <v>6665865</v>
      </c>
      <c r="AC5" s="189"/>
      <c r="AD5" s="190"/>
      <c r="AE5" s="190">
        <v>484380</v>
      </c>
      <c r="AF5" s="191">
        <f t="shared" si="1"/>
        <v>484380</v>
      </c>
      <c r="AG5" s="190">
        <f t="shared" si="2"/>
        <v>7150245</v>
      </c>
      <c r="AH5" s="190"/>
      <c r="AI5" s="192" t="str">
        <f>VLOOKUP(Q5,[3]Sheet1!B$11:G$1489,6,0)</f>
        <v>E11</v>
      </c>
      <c r="GK5" s="194"/>
      <c r="GL5" s="195"/>
      <c r="GM5" s="196"/>
      <c r="GN5" s="197"/>
      <c r="GO5" s="198"/>
      <c r="GP5" s="199"/>
      <c r="GQ5" s="200"/>
      <c r="GR5" s="201"/>
      <c r="GS5" s="60"/>
      <c r="GT5" s="202"/>
      <c r="GU5" s="202"/>
      <c r="GV5" s="202"/>
      <c r="GW5" s="202"/>
      <c r="GX5" s="203"/>
      <c r="HA5" s="194"/>
      <c r="HB5" s="195"/>
      <c r="HC5" s="196"/>
      <c r="HD5" s="197"/>
      <c r="HE5" s="198"/>
      <c r="HF5" s="199"/>
      <c r="HG5" s="200"/>
      <c r="HH5" s="201"/>
      <c r="HI5" s="60"/>
      <c r="HJ5" s="202"/>
      <c r="HK5" s="202"/>
      <c r="HL5" s="202"/>
      <c r="HM5" s="202"/>
      <c r="HN5" s="203"/>
    </row>
    <row r="6" spans="1:222" ht="16.5" customHeight="1">
      <c r="A6" s="181">
        <v>3</v>
      </c>
      <c r="B6" s="182">
        <v>871789217180</v>
      </c>
      <c r="C6" s="183" t="s">
        <v>2182</v>
      </c>
      <c r="D6" s="184" t="s">
        <v>2035</v>
      </c>
      <c r="E6" s="184" t="str">
        <f t="shared" si="3"/>
        <v>Import</v>
      </c>
      <c r="F6" s="720" t="str" cm="1">
        <f t="array" ref="F6">_xlfn.IFS(
  OR(AI6="E11", AI6="E15"), "Raw materials",
  OR(AI6="E13", AI6="G13"), "Equipments + Toolings",
  TRUE, RIGHT(C6, 8)
)</f>
        <v>Raw materials</v>
      </c>
      <c r="G6" s="541" t="str" cm="1">
        <f t="array" ref="G6">IF(E6="Import",
  IFERROR(
    _xlfn.IFS(
      VLOOKUP(B6,[1]Material!F$5:U$90000,16,0)="LUC","Lucid",
      VLOOKUP(B6,[1]Material!F$5:U$90000,16,0)="FMC","FORD",
      OR(VLOOKUP(B6,[1]Material!F$5:U$90000,16,0)="PUR",VLOOKUP(B6,[1]Material!F$5:U$90000,16,0)="HLO"),"PURE",
      VLOOKUP(B6,[1]Material!F$5:U$90000,16,0)="AIC","AIC",
      OR(VLOOKUP(B6,[1]Material!F$5:U$90000,16,0)="AGI",VLOOKUP(B6,[1]Material!F$5:U$90000,16,0)="AGIGA"),"AGIGA",
      OR(LEFT(VLOOKUP(B6,[1]Material!F$5:U$90000,16,0),3)="EF-",VLOOKUP(B6,[1]Material!F$5:U$90000,16,0)="EFI"),"EFI",
      AND(ISNUMBER(VLOOKUP(B6,[1]Material!F$5:U$90000,16,0)),VLOOKUP(B6,[1]Material!F$5:U$90000,16,0)&gt;=100,VLOOKUP(B6,[1]Material!F$5:U$90000,16,0)&lt;=999,VLOOKUP(B6,[1]Material!F$5:U$90000,16,0)=INT(VLOOKUP(B6,[1]Material!F$5:U$90000,16,0))),"OEM",
      TRUE,""
    ),
    "không tìm thấy trong file Import"
  ),
  VLOOKUP(F6,'[2]Export shipment'!B:Y,24,0)
)</f>
        <v>EFI</v>
      </c>
      <c r="H6" s="184"/>
      <c r="I6" s="184"/>
      <c r="J6" s="260">
        <f>(V6+X6+AA6)/'Logistics record '!$AD$1</f>
        <v>15.116015418335726</v>
      </c>
      <c r="K6" s="260">
        <f>W6/'Logistics record '!$AD$1</f>
        <v>0</v>
      </c>
      <c r="L6" s="260">
        <f>Y6/'Logistics record '!$AD$1</f>
        <v>0</v>
      </c>
      <c r="M6" s="260">
        <f>AF6/'Logistics record '!$AD$1</f>
        <v>0</v>
      </c>
      <c r="N6" s="260" t="str" cm="1">
        <f t="array" ref="N6">_xlfn.IFS(
    OR(UPPER(S6)="AIR", UPPER(S6)="CPN"), "AIR",
    UPPER(S6)="TC", "LOCAL",
    TRUE, "SEA"
)</f>
        <v>AIR</v>
      </c>
      <c r="O6" s="260">
        <f t="shared" si="4"/>
        <v>15.116015418335726</v>
      </c>
      <c r="P6" s="184" t="s">
        <v>937</v>
      </c>
      <c r="Q6" s="185">
        <v>108269465950</v>
      </c>
      <c r="R6" s="186">
        <v>46167</v>
      </c>
      <c r="S6" s="187" t="s">
        <v>928</v>
      </c>
      <c r="T6" s="188">
        <v>1.5</v>
      </c>
      <c r="U6" s="188"/>
      <c r="V6" s="189">
        <v>400000</v>
      </c>
      <c r="W6" s="190"/>
      <c r="X6" s="190"/>
      <c r="Y6" s="190"/>
      <c r="Z6" s="189">
        <f t="shared" si="0"/>
        <v>400000</v>
      </c>
      <c r="AA6" s="189">
        <v>0</v>
      </c>
      <c r="AB6" s="189">
        <f t="shared" si="5"/>
        <v>400000</v>
      </c>
      <c r="AC6" s="189"/>
      <c r="AD6" s="190"/>
      <c r="AE6" s="190"/>
      <c r="AF6" s="191">
        <f t="shared" si="1"/>
        <v>0</v>
      </c>
      <c r="AG6" s="190">
        <f t="shared" si="2"/>
        <v>400000</v>
      </c>
      <c r="AH6" s="190"/>
      <c r="AI6" s="192" t="str">
        <f>VLOOKUP(Q6,[3]Sheet1!B$11:G$1489,6,0)</f>
        <v>E11</v>
      </c>
      <c r="GK6" s="194"/>
      <c r="GL6" s="195"/>
      <c r="GM6" s="196"/>
      <c r="GN6" s="197"/>
      <c r="GO6" s="198"/>
      <c r="GP6" s="199"/>
      <c r="GQ6" s="200"/>
      <c r="GR6" s="201"/>
      <c r="GS6" s="60"/>
      <c r="GT6" s="202"/>
      <c r="GU6" s="202"/>
      <c r="GV6" s="202"/>
      <c r="GW6" s="202"/>
      <c r="GX6" s="203"/>
      <c r="HA6" s="194"/>
      <c r="HB6" s="195"/>
      <c r="HC6" s="196"/>
      <c r="HD6" s="197"/>
      <c r="HE6" s="198"/>
      <c r="HF6" s="199"/>
      <c r="HG6" s="200"/>
      <c r="HH6" s="201"/>
      <c r="HI6" s="60"/>
      <c r="HJ6" s="202"/>
      <c r="HK6" s="202"/>
      <c r="HL6" s="202"/>
      <c r="HM6" s="202"/>
      <c r="HN6" s="203"/>
    </row>
    <row r="7" spans="1:222" ht="16.5" customHeight="1">
      <c r="A7" s="181">
        <v>4</v>
      </c>
      <c r="B7" s="182">
        <v>492830077795</v>
      </c>
      <c r="C7" s="598" t="s">
        <v>2183</v>
      </c>
      <c r="D7" s="184" t="s">
        <v>968</v>
      </c>
      <c r="E7" s="184" t="str">
        <f t="shared" si="3"/>
        <v>Import</v>
      </c>
      <c r="F7" s="720" t="str" cm="1">
        <f t="array" ref="F7">_xlfn.IFS(
  OR(AI7="E11", AI7="E15"), "Raw materials",
  OR(AI7="E13", AI7="G13"), "Equipments + Toolings",
  TRUE, RIGHT(C7, 8)
)</f>
        <v>Raw materials</v>
      </c>
      <c r="G7" s="541" t="str" cm="1">
        <f t="array" ref="G7">IF(E7="Import",
  IFERROR(
    _xlfn.IFS(
      VLOOKUP(B7,[1]Material!F$5:U$90000,16,0)="LUC","Lucid",
      VLOOKUP(B7,[1]Material!F$5:U$90000,16,0)="FMC","FORD",
      OR(VLOOKUP(B7,[1]Material!F$5:U$90000,16,0)="PUR",VLOOKUP(B7,[1]Material!F$5:U$90000,16,0)="HLO"),"PURE",
      VLOOKUP(B7,[1]Material!F$5:U$90000,16,0)="AIC","AIC",
      OR(VLOOKUP(B7,[1]Material!F$5:U$90000,16,0)="AGI",VLOOKUP(B7,[1]Material!F$5:U$90000,16,0)="AGIGA"),"AGIGA",
      OR(LEFT(VLOOKUP(B7,[1]Material!F$5:U$90000,16,0),3)="EF-",VLOOKUP(B7,[1]Material!F$5:U$90000,16,0)="EFI"),"EFI",
      AND(ISNUMBER(VLOOKUP(B7,[1]Material!F$5:U$90000,16,0)),VLOOKUP(B7,[1]Material!F$5:U$90000,16,0)&gt;=100,VLOOKUP(B7,[1]Material!F$5:U$90000,16,0)&lt;=999,VLOOKUP(B7,[1]Material!F$5:U$90000,16,0)=INT(VLOOKUP(B7,[1]Material!F$5:U$90000,16,0))),"OEM",
      TRUE,""
    ),
    "không tìm thấy trong file Import"
  ),
  VLOOKUP(F7,'[2]Export shipment'!B:Y,24,0)
)</f>
        <v>EFI</v>
      </c>
      <c r="H7" s="184"/>
      <c r="I7" s="184"/>
      <c r="J7" s="260">
        <f>(V7+X7+AA7)/'Logistics record '!$AD$1</f>
        <v>15.116015418335726</v>
      </c>
      <c r="K7" s="260">
        <f>W7/'Logistics record '!$AD$1</f>
        <v>0</v>
      </c>
      <c r="L7" s="260">
        <f>Y7/'Logistics record '!$AD$1</f>
        <v>0</v>
      </c>
      <c r="M7" s="260">
        <f>AF7/'Logistics record '!$AD$1</f>
        <v>0</v>
      </c>
      <c r="N7" s="260" t="str" cm="1">
        <f t="array" ref="N7">_xlfn.IFS(
    OR(UPPER(S7)="AIR", UPPER(S7)="CPN"), "AIR",
    UPPER(S7)="TC", "LOCAL",
    TRUE, "SEA"
)</f>
        <v>AIR</v>
      </c>
      <c r="O7" s="260">
        <f t="shared" si="4"/>
        <v>15.116015418335726</v>
      </c>
      <c r="P7" s="184" t="s">
        <v>935</v>
      </c>
      <c r="Q7" s="185">
        <v>108271894950</v>
      </c>
      <c r="R7" s="186">
        <v>46167</v>
      </c>
      <c r="S7" s="187" t="s">
        <v>928</v>
      </c>
      <c r="T7" s="188">
        <v>4.0999999999999996</v>
      </c>
      <c r="U7" s="188"/>
      <c r="V7" s="189">
        <v>400000</v>
      </c>
      <c r="W7" s="190"/>
      <c r="X7" s="190"/>
      <c r="Y7" s="190"/>
      <c r="Z7" s="189">
        <f t="shared" si="0"/>
        <v>400000</v>
      </c>
      <c r="AA7" s="189">
        <v>0</v>
      </c>
      <c r="AB7" s="189">
        <f t="shared" si="5"/>
        <v>400000</v>
      </c>
      <c r="AC7" s="189"/>
      <c r="AD7" s="190"/>
      <c r="AE7" s="190"/>
      <c r="AF7" s="191">
        <f t="shared" si="1"/>
        <v>0</v>
      </c>
      <c r="AG7" s="190">
        <f t="shared" si="2"/>
        <v>400000</v>
      </c>
      <c r="AH7" s="190"/>
      <c r="AI7" s="192" t="str">
        <f>VLOOKUP(Q7,[3]Sheet1!B$11:G$1489,6,0)</f>
        <v>E11</v>
      </c>
      <c r="GK7" s="194"/>
      <c r="GL7" s="195"/>
      <c r="GM7" s="196"/>
      <c r="GN7" s="197"/>
      <c r="GO7" s="198"/>
      <c r="GP7" s="199"/>
      <c r="GQ7" s="200"/>
      <c r="GR7" s="201"/>
      <c r="GS7" s="60"/>
      <c r="GT7" s="202"/>
      <c r="GU7" s="202"/>
      <c r="GV7" s="202"/>
      <c r="GW7" s="202"/>
      <c r="GX7" s="203"/>
      <c r="HA7" s="194"/>
      <c r="HB7" s="195"/>
      <c r="HC7" s="196"/>
      <c r="HD7" s="197"/>
      <c r="HE7" s="198"/>
      <c r="HF7" s="199"/>
      <c r="HG7" s="200"/>
      <c r="HH7" s="201"/>
      <c r="HI7" s="60"/>
      <c r="HJ7" s="202"/>
      <c r="HK7" s="202"/>
      <c r="HL7" s="202"/>
      <c r="HM7" s="202"/>
      <c r="HN7" s="203"/>
    </row>
    <row r="8" spans="1:222" ht="16.5" customHeight="1">
      <c r="A8" s="181">
        <v>5</v>
      </c>
      <c r="B8" s="182">
        <v>3254330553</v>
      </c>
      <c r="C8" s="183" t="s">
        <v>2184</v>
      </c>
      <c r="D8" s="184" t="s">
        <v>934</v>
      </c>
      <c r="E8" s="184" t="str">
        <f t="shared" si="3"/>
        <v>Import</v>
      </c>
      <c r="F8" s="720" t="str" cm="1">
        <f t="array" ref="F8">_xlfn.IFS(
  OR(AI8="E11", AI8="E15"), "Raw materials",
  OR(AI8="E13", AI8="G13"), "Equipments + Toolings",
  TRUE, RIGHT(C8, 8)
)</f>
        <v>Raw materials</v>
      </c>
      <c r="G8" s="541" t="str" cm="1">
        <f t="array" ref="G8">IF(E8="Import",
  IFERROR(
    _xlfn.IFS(
      VLOOKUP(B8,[1]Material!F$5:U$90000,16,0)="LUC","Lucid",
      VLOOKUP(B8,[1]Material!F$5:U$90000,16,0)="FMC","FORD",
      OR(VLOOKUP(B8,[1]Material!F$5:U$90000,16,0)="PUR",VLOOKUP(B8,[1]Material!F$5:U$90000,16,0)="HLO"),"PURE",
      VLOOKUP(B8,[1]Material!F$5:U$90000,16,0)="AIC","AIC",
      OR(VLOOKUP(B8,[1]Material!F$5:U$90000,16,0)="AGI",VLOOKUP(B8,[1]Material!F$5:U$90000,16,0)="AGIGA"),"AGIGA",
      OR(LEFT(VLOOKUP(B8,[1]Material!F$5:U$90000,16,0),3)="EF-",VLOOKUP(B8,[1]Material!F$5:U$90000,16,0)="EFI"),"EFI",
      AND(ISNUMBER(VLOOKUP(B8,[1]Material!F$5:U$90000,16,0)),VLOOKUP(B8,[1]Material!F$5:U$90000,16,0)&gt;=100,VLOOKUP(B8,[1]Material!F$5:U$90000,16,0)&lt;=999,VLOOKUP(B8,[1]Material!F$5:U$90000,16,0)=INT(VLOOKUP(B8,[1]Material!F$5:U$90000,16,0))),"OEM",
      TRUE,""
    ),
    "không tìm thấy trong file Import"
  ),
  VLOOKUP(F8,'[2]Export shipment'!B:Y,24,0)
)</f>
        <v>FORD</v>
      </c>
      <c r="H8" s="184"/>
      <c r="I8" s="184"/>
      <c r="J8" s="260">
        <f>(V8+X8+AA8)/'Logistics record '!$AD$1</f>
        <v>15.116015418335726</v>
      </c>
      <c r="K8" s="260">
        <f>W8/'Logistics record '!$AD$1</f>
        <v>0</v>
      </c>
      <c r="L8" s="260">
        <f>Y8/'Logistics record '!$AD$1</f>
        <v>0</v>
      </c>
      <c r="M8" s="260">
        <f>AF8/'Logistics record '!$AD$1</f>
        <v>0</v>
      </c>
      <c r="N8" s="260" t="str" cm="1">
        <f t="array" ref="N8">_xlfn.IFS(
    OR(UPPER(S8)="AIR", UPPER(S8)="CPN"), "AIR",
    UPPER(S8)="TC", "LOCAL",
    TRUE, "SEA"
)</f>
        <v>AIR</v>
      </c>
      <c r="O8" s="260">
        <f t="shared" si="4"/>
        <v>15.116015418335726</v>
      </c>
      <c r="P8" s="184" t="s">
        <v>935</v>
      </c>
      <c r="Q8" s="185">
        <v>108272217760</v>
      </c>
      <c r="R8" s="186">
        <v>46167</v>
      </c>
      <c r="S8" s="187" t="s">
        <v>928</v>
      </c>
      <c r="T8" s="188">
        <v>3.1</v>
      </c>
      <c r="U8" s="188"/>
      <c r="V8" s="189">
        <v>400000</v>
      </c>
      <c r="W8" s="190"/>
      <c r="X8" s="190"/>
      <c r="Y8" s="190"/>
      <c r="Z8" s="189">
        <f t="shared" si="0"/>
        <v>400000</v>
      </c>
      <c r="AA8" s="189">
        <v>0</v>
      </c>
      <c r="AB8" s="189">
        <f t="shared" si="5"/>
        <v>400000</v>
      </c>
      <c r="AC8" s="189"/>
      <c r="AD8" s="190"/>
      <c r="AE8" s="190"/>
      <c r="AF8" s="191">
        <f t="shared" si="1"/>
        <v>0</v>
      </c>
      <c r="AG8" s="190">
        <f t="shared" si="2"/>
        <v>400000</v>
      </c>
      <c r="AH8" s="190"/>
      <c r="AI8" s="192" t="str">
        <f>VLOOKUP(Q8,[3]Sheet1!B$11:G$1489,6,0)</f>
        <v>E11</v>
      </c>
      <c r="GK8" s="194"/>
      <c r="GL8" s="195"/>
      <c r="GM8" s="196"/>
      <c r="GN8" s="197"/>
      <c r="GO8" s="198"/>
      <c r="GP8" s="199"/>
      <c r="GQ8" s="200"/>
      <c r="GR8" s="201"/>
      <c r="GS8" s="60"/>
      <c r="GT8" s="202"/>
      <c r="GU8" s="202"/>
      <c r="GV8" s="202"/>
      <c r="GW8" s="202"/>
      <c r="GX8" s="203"/>
      <c r="HA8" s="194"/>
      <c r="HB8" s="195"/>
      <c r="HC8" s="196"/>
      <c r="HD8" s="197"/>
      <c r="HE8" s="198"/>
      <c r="HF8" s="199"/>
      <c r="HG8" s="200"/>
      <c r="HH8" s="201"/>
      <c r="HI8" s="60"/>
      <c r="HJ8" s="202"/>
      <c r="HK8" s="202"/>
      <c r="HL8" s="202"/>
      <c r="HM8" s="202"/>
      <c r="HN8" s="203"/>
    </row>
    <row r="9" spans="1:222" ht="16.5" customHeight="1">
      <c r="A9" s="181">
        <v>6</v>
      </c>
      <c r="B9" s="182" t="s">
        <v>2185</v>
      </c>
      <c r="C9" s="183" t="s">
        <v>2186</v>
      </c>
      <c r="D9" s="184" t="s">
        <v>940</v>
      </c>
      <c r="E9" s="184" t="str">
        <f t="shared" si="3"/>
        <v>Import</v>
      </c>
      <c r="F9" s="720" t="str" cm="1">
        <f t="array" ref="F9">_xlfn.IFS(
  OR(AI9="E11", AI9="E15"), "Raw materials",
  OR(AI9="E13", AI9="G13"), "Equipments + Toolings",
  TRUE, RIGHT(C9, 8)
)</f>
        <v>Raw materials</v>
      </c>
      <c r="G9" s="541" t="str" cm="1">
        <f t="array" ref="G9">IF(E9="Import",
  IFERROR(
    _xlfn.IFS(
      VLOOKUP(B9,[1]Material!F$5:U$90000,16,0)="LUC","Lucid",
      VLOOKUP(B9,[1]Material!F$5:U$90000,16,0)="FMC","FORD",
      OR(VLOOKUP(B9,[1]Material!F$5:U$90000,16,0)="PUR",VLOOKUP(B9,[1]Material!F$5:U$90000,16,0)="HLO"),"PURE",
      VLOOKUP(B9,[1]Material!F$5:U$90000,16,0)="AIC","AIC",
      OR(VLOOKUP(B9,[1]Material!F$5:U$90000,16,0)="AGI",VLOOKUP(B9,[1]Material!F$5:U$90000,16,0)="AGIGA"),"AGIGA",
      OR(LEFT(VLOOKUP(B9,[1]Material!F$5:U$90000,16,0),3)="EF-",VLOOKUP(B9,[1]Material!F$5:U$90000,16,0)="EFI"),"EFI",
      AND(ISNUMBER(VLOOKUP(B9,[1]Material!F$5:U$90000,16,0)),VLOOKUP(B9,[1]Material!F$5:U$90000,16,0)&gt;=100,VLOOKUP(B9,[1]Material!F$5:U$90000,16,0)&lt;=999,VLOOKUP(B9,[1]Material!F$5:U$90000,16,0)=INT(VLOOKUP(B9,[1]Material!F$5:U$90000,16,0))),"OEM",
      TRUE,""
    ),
    "không tìm thấy trong file Import"
  ),
  VLOOKUP(F9,'[2]Export shipment'!B:Y,24,0)
)</f>
        <v>PURE</v>
      </c>
      <c r="H9" s="184" t="e">
        <f>VLOOKUP(B9,[4]Export!I$3627:J$3898,2,0)</f>
        <v>#N/A</v>
      </c>
      <c r="I9" s="184" t="s">
        <v>2089</v>
      </c>
      <c r="J9" s="260">
        <f>(V9+X9+AA9)/'Logistics record '!$AD$1</f>
        <v>15.116015418335726</v>
      </c>
      <c r="K9" s="260">
        <f>W9/'Logistics record '!$AD$1</f>
        <v>0</v>
      </c>
      <c r="L9" s="260">
        <f>Y9/'Logistics record '!$AD$1</f>
        <v>0</v>
      </c>
      <c r="M9" s="260">
        <f>AF9/'Logistics record '!$AD$1</f>
        <v>60.750510165520367</v>
      </c>
      <c r="N9" s="260" t="str" cm="1">
        <f t="array" ref="N9">_xlfn.IFS(
    OR(UPPER(S9)="AIR", UPPER(S9)="CPN"), "AIR",
    UPPER(S9)="TC", "LOCAL",
    TRUE, "SEA"
)</f>
        <v>AIR</v>
      </c>
      <c r="O9" s="260">
        <f t="shared" si="4"/>
        <v>75.866525583856088</v>
      </c>
      <c r="P9" s="184" t="s">
        <v>949</v>
      </c>
      <c r="Q9" s="185">
        <v>108275044140</v>
      </c>
      <c r="R9" s="186">
        <v>46167</v>
      </c>
      <c r="S9" s="187" t="s">
        <v>65</v>
      </c>
      <c r="T9" s="188">
        <v>3.4</v>
      </c>
      <c r="U9" s="188"/>
      <c r="V9" s="189">
        <v>400000</v>
      </c>
      <c r="W9" s="190"/>
      <c r="X9" s="190"/>
      <c r="Y9" s="190"/>
      <c r="Z9" s="189">
        <f t="shared" si="0"/>
        <v>400000</v>
      </c>
      <c r="AA9" s="189">
        <v>0</v>
      </c>
      <c r="AB9" s="189">
        <f t="shared" si="5"/>
        <v>400000</v>
      </c>
      <c r="AC9" s="189"/>
      <c r="AD9" s="190">
        <v>1220400</v>
      </c>
      <c r="AE9" s="190">
        <v>387180</v>
      </c>
      <c r="AF9" s="191">
        <f t="shared" si="1"/>
        <v>1607580</v>
      </c>
      <c r="AG9" s="190">
        <f t="shared" si="2"/>
        <v>2007580</v>
      </c>
      <c r="AH9" s="190"/>
      <c r="AI9" s="192" t="str">
        <f>VLOOKUP(Q9,[3]Sheet1!B$11:G$1489,6,0)</f>
        <v>E11</v>
      </c>
      <c r="GK9" s="194"/>
      <c r="GL9" s="195"/>
      <c r="GM9" s="196"/>
      <c r="GN9" s="197"/>
      <c r="GO9" s="198"/>
      <c r="GP9" s="199"/>
      <c r="GQ9" s="200"/>
      <c r="GR9" s="201"/>
      <c r="GS9" s="60"/>
      <c r="GT9" s="202"/>
      <c r="GU9" s="202"/>
      <c r="GV9" s="202"/>
      <c r="GW9" s="202"/>
      <c r="GX9" s="203"/>
      <c r="HA9" s="194"/>
      <c r="HB9" s="195"/>
      <c r="HC9" s="196"/>
      <c r="HD9" s="197"/>
      <c r="HE9" s="198"/>
      <c r="HF9" s="199"/>
      <c r="HG9" s="200"/>
      <c r="HH9" s="201"/>
      <c r="HI9" s="60"/>
      <c r="HJ9" s="202"/>
      <c r="HK9" s="202"/>
      <c r="HL9" s="202"/>
      <c r="HM9" s="202"/>
      <c r="HN9" s="203"/>
    </row>
    <row r="10" spans="1:222" ht="16.5" customHeight="1">
      <c r="A10" s="181">
        <v>7</v>
      </c>
      <c r="B10" s="182" t="s">
        <v>2187</v>
      </c>
      <c r="C10" s="598" t="s">
        <v>2188</v>
      </c>
      <c r="D10" s="184" t="s">
        <v>940</v>
      </c>
      <c r="E10" s="184" t="str">
        <f t="shared" si="3"/>
        <v>Import</v>
      </c>
      <c r="F10" s="720" t="str" cm="1">
        <f t="array" ref="F10">_xlfn.IFS(
  OR(AI10="E11", AI10="E15"), "Raw materials",
  OR(AI10="E13", AI10="G13"), "Equipments + Toolings",
  TRUE, RIGHT(C10, 8)
)</f>
        <v>Raw materials</v>
      </c>
      <c r="G10" s="541" t="str" cm="1">
        <f t="array" ref="G10">IF(E10="Import",
  IFERROR(
    _xlfn.IFS(
      VLOOKUP(B10,[1]Material!F$5:U$90000,16,0)="LUC","Lucid",
      VLOOKUP(B10,[1]Material!F$5:U$90000,16,0)="FMC","FORD",
      OR(VLOOKUP(B10,[1]Material!F$5:U$90000,16,0)="PUR",VLOOKUP(B10,[1]Material!F$5:U$90000,16,0)="HLO"),"PURE",
      VLOOKUP(B10,[1]Material!F$5:U$90000,16,0)="AIC","AIC",
      OR(VLOOKUP(B10,[1]Material!F$5:U$90000,16,0)="AGI",VLOOKUP(B10,[1]Material!F$5:U$90000,16,0)="AGIGA"),"AGIGA",
      OR(LEFT(VLOOKUP(B10,[1]Material!F$5:U$90000,16,0),3)="EF-",VLOOKUP(B10,[1]Material!F$5:U$90000,16,0)="EFI"),"EFI",
      AND(ISNUMBER(VLOOKUP(B10,[1]Material!F$5:U$90000,16,0)),VLOOKUP(B10,[1]Material!F$5:U$90000,16,0)&gt;=100,VLOOKUP(B10,[1]Material!F$5:U$90000,16,0)&lt;=999,VLOOKUP(B10,[1]Material!F$5:U$90000,16,0)=INT(VLOOKUP(B10,[1]Material!F$5:U$90000,16,0))),"OEM",
      TRUE,""
    ),
    "không tìm thấy trong file Import"
  ),
  VLOOKUP(F10,'[2]Export shipment'!B:Y,24,0)
)</f>
        <v>PURE</v>
      </c>
      <c r="H10" s="184" t="e">
        <f>VLOOKUP(B10,[4]Export!I$3627:J$3898,2,0)</f>
        <v>#N/A</v>
      </c>
      <c r="I10" s="184" t="s">
        <v>2089</v>
      </c>
      <c r="J10" s="260">
        <f>(V10+X10+AA10)/'Logistics record '!$AD$1</f>
        <v>15.116015418335726</v>
      </c>
      <c r="K10" s="260">
        <f>W10/'Logistics record '!$AD$1</f>
        <v>0</v>
      </c>
      <c r="L10" s="260">
        <f>Y10/'Logistics record '!$AD$1</f>
        <v>0</v>
      </c>
      <c r="M10" s="260">
        <f>AF10/'Logistics record '!$AD$1</f>
        <v>60.750510165520367</v>
      </c>
      <c r="N10" s="260" t="str" cm="1">
        <f t="array" ref="N10">_xlfn.IFS(
    OR(UPPER(S10)="AIR", UPPER(S10)="CPN"), "AIR",
    UPPER(S10)="TC", "LOCAL",
    TRUE, "SEA"
)</f>
        <v>AIR</v>
      </c>
      <c r="O10" s="260">
        <f t="shared" si="4"/>
        <v>75.866525583856088</v>
      </c>
      <c r="P10" s="184" t="s">
        <v>949</v>
      </c>
      <c r="Q10" s="185">
        <v>108275053500</v>
      </c>
      <c r="R10" s="186">
        <v>46167</v>
      </c>
      <c r="S10" s="187" t="s">
        <v>65</v>
      </c>
      <c r="T10" s="188">
        <v>3.4</v>
      </c>
      <c r="U10" s="188"/>
      <c r="V10" s="189">
        <v>400000</v>
      </c>
      <c r="W10" s="190"/>
      <c r="X10" s="190"/>
      <c r="Y10" s="190"/>
      <c r="Z10" s="189">
        <f t="shared" si="0"/>
        <v>400000</v>
      </c>
      <c r="AA10" s="189">
        <v>0</v>
      </c>
      <c r="AB10" s="189">
        <f t="shared" si="5"/>
        <v>400000</v>
      </c>
      <c r="AC10" s="189"/>
      <c r="AD10" s="190">
        <v>1220400</v>
      </c>
      <c r="AE10" s="190">
        <v>387180</v>
      </c>
      <c r="AF10" s="191">
        <f t="shared" si="1"/>
        <v>1607580</v>
      </c>
      <c r="AG10" s="190">
        <f t="shared" si="2"/>
        <v>2007580</v>
      </c>
      <c r="AH10" s="190"/>
      <c r="AI10" s="192" t="str">
        <f>VLOOKUP(Q10,[3]Sheet1!B$11:G$1489,6,0)</f>
        <v>E11</v>
      </c>
      <c r="GK10" s="194"/>
      <c r="GL10" s="195"/>
      <c r="GM10" s="196"/>
      <c r="GN10" s="197"/>
      <c r="GO10" s="198"/>
      <c r="GP10" s="199"/>
      <c r="GQ10" s="200"/>
      <c r="GR10" s="201"/>
      <c r="GS10" s="60"/>
      <c r="GT10" s="202"/>
      <c r="GU10" s="202"/>
      <c r="GV10" s="202"/>
      <c r="GW10" s="202"/>
      <c r="GX10" s="203"/>
      <c r="HA10" s="194"/>
      <c r="HB10" s="195"/>
      <c r="HC10" s="196"/>
      <c r="HD10" s="197"/>
      <c r="HE10" s="198"/>
      <c r="HF10" s="199"/>
      <c r="HG10" s="200"/>
      <c r="HH10" s="201"/>
      <c r="HI10" s="60"/>
      <c r="HJ10" s="202"/>
      <c r="HK10" s="202"/>
      <c r="HL10" s="202"/>
      <c r="HM10" s="202"/>
      <c r="HN10" s="203"/>
    </row>
    <row r="11" spans="1:222" ht="16.5" customHeight="1">
      <c r="A11" s="181">
        <v>8</v>
      </c>
      <c r="B11" s="182" t="s">
        <v>2189</v>
      </c>
      <c r="C11" s="598" t="s">
        <v>2190</v>
      </c>
      <c r="D11" s="184" t="s">
        <v>940</v>
      </c>
      <c r="E11" s="184" t="str">
        <f t="shared" si="3"/>
        <v>Import</v>
      </c>
      <c r="F11" s="720" t="str" cm="1">
        <f t="array" ref="F11">_xlfn.IFS(
  OR(AI11="E11", AI11="E15"), "Raw materials",
  OR(AI11="E13", AI11="G13"), "Equipments + Toolings",
  TRUE, RIGHT(C11, 8)
)</f>
        <v>Raw materials</v>
      </c>
      <c r="G11" s="541" t="str" cm="1">
        <f t="array" ref="G11">IF(E11="Import",
  IFERROR(
    _xlfn.IFS(
      VLOOKUP(B11,[1]Material!F$5:U$90000,16,0)="LUC","Lucid",
      VLOOKUP(B11,[1]Material!F$5:U$90000,16,0)="FMC","FORD",
      OR(VLOOKUP(B11,[1]Material!F$5:U$90000,16,0)="PUR",VLOOKUP(B11,[1]Material!F$5:U$90000,16,0)="HLO"),"PURE",
      VLOOKUP(B11,[1]Material!F$5:U$90000,16,0)="AIC","AIC",
      OR(VLOOKUP(B11,[1]Material!F$5:U$90000,16,0)="AGI",VLOOKUP(B11,[1]Material!F$5:U$90000,16,0)="AGIGA"),"AGIGA",
      OR(LEFT(VLOOKUP(B11,[1]Material!F$5:U$90000,16,0),3)="EF-",VLOOKUP(B11,[1]Material!F$5:U$90000,16,0)="EFI"),"EFI",
      AND(ISNUMBER(VLOOKUP(B11,[1]Material!F$5:U$90000,16,0)),VLOOKUP(B11,[1]Material!F$5:U$90000,16,0)&gt;=100,VLOOKUP(B11,[1]Material!F$5:U$90000,16,0)&lt;=999,VLOOKUP(B11,[1]Material!F$5:U$90000,16,0)=INT(VLOOKUP(B11,[1]Material!F$5:U$90000,16,0))),"OEM",
      TRUE,""
    ),
    "không tìm thấy trong file Import"
  ),
  VLOOKUP(F11,'[2]Export shipment'!B:Y,24,0)
)</f>
        <v>PURE</v>
      </c>
      <c r="H11" s="184" t="e">
        <f>VLOOKUP(B11,[4]Export!I$3627:J$3898,2,0)</f>
        <v>#N/A</v>
      </c>
      <c r="I11" s="184" t="s">
        <v>2089</v>
      </c>
      <c r="J11" s="260">
        <f>(V11+X11+AA11)/'Logistics record '!$AD$1</f>
        <v>15.116015418335726</v>
      </c>
      <c r="K11" s="260">
        <f>W11/'Logistics record '!$AD$1</f>
        <v>0</v>
      </c>
      <c r="L11" s="260">
        <f>Y11/'Logistics record '!$AD$1</f>
        <v>0</v>
      </c>
      <c r="M11" s="260">
        <f>AF11/'Logistics record '!$AD$1</f>
        <v>60.750510165520367</v>
      </c>
      <c r="N11" s="260" t="str" cm="1">
        <f t="array" ref="N11">_xlfn.IFS(
    OR(UPPER(S11)="AIR", UPPER(S11)="CPN"), "AIR",
    UPPER(S11)="TC", "LOCAL",
    TRUE, "SEA"
)</f>
        <v>AIR</v>
      </c>
      <c r="O11" s="260">
        <f t="shared" si="4"/>
        <v>75.866525583856088</v>
      </c>
      <c r="P11" s="184" t="s">
        <v>949</v>
      </c>
      <c r="Q11" s="185">
        <v>108275208420</v>
      </c>
      <c r="R11" s="186">
        <v>46167</v>
      </c>
      <c r="S11" s="187" t="s">
        <v>65</v>
      </c>
      <c r="T11" s="188">
        <v>3.4</v>
      </c>
      <c r="U11" s="188"/>
      <c r="V11" s="189">
        <v>400000</v>
      </c>
      <c r="W11" s="190"/>
      <c r="X11" s="190"/>
      <c r="Y11" s="190"/>
      <c r="Z11" s="189">
        <f t="shared" si="0"/>
        <v>400000</v>
      </c>
      <c r="AA11" s="189">
        <v>0</v>
      </c>
      <c r="AB11" s="189">
        <f t="shared" si="5"/>
        <v>400000</v>
      </c>
      <c r="AC11" s="189"/>
      <c r="AD11" s="190">
        <v>1220400</v>
      </c>
      <c r="AE11" s="190">
        <v>387180</v>
      </c>
      <c r="AF11" s="191">
        <f t="shared" si="1"/>
        <v>1607580</v>
      </c>
      <c r="AG11" s="190">
        <f t="shared" si="2"/>
        <v>2007580</v>
      </c>
      <c r="AH11" s="190"/>
      <c r="AI11" s="192" t="str">
        <f>VLOOKUP(Q11,[3]Sheet1!B$11:G$1489,6,0)</f>
        <v>E11</v>
      </c>
      <c r="GK11" s="194"/>
      <c r="GL11" s="195"/>
      <c r="GM11" s="196"/>
      <c r="GN11" s="197"/>
      <c r="GO11" s="198"/>
      <c r="GP11" s="199"/>
      <c r="GQ11" s="200"/>
      <c r="GR11" s="201"/>
      <c r="GS11" s="60"/>
      <c r="GT11" s="202"/>
      <c r="GU11" s="202"/>
      <c r="GV11" s="202"/>
      <c r="GW11" s="202"/>
      <c r="GX11" s="203"/>
      <c r="HA11" s="194"/>
      <c r="HB11" s="195"/>
      <c r="HC11" s="196"/>
      <c r="HD11" s="197"/>
      <c r="HE11" s="198"/>
      <c r="HF11" s="199"/>
      <c r="HG11" s="200"/>
      <c r="HH11" s="201"/>
      <c r="HI11" s="60"/>
      <c r="HJ11" s="202"/>
      <c r="HK11" s="202"/>
      <c r="HL11" s="202"/>
      <c r="HM11" s="202"/>
      <c r="HN11" s="203"/>
    </row>
    <row r="12" spans="1:222" ht="16.5" customHeight="1">
      <c r="A12" s="181">
        <v>9</v>
      </c>
      <c r="B12" s="182" t="s">
        <v>2191</v>
      </c>
      <c r="C12" s="598" t="s">
        <v>2192</v>
      </c>
      <c r="D12" s="184" t="s">
        <v>940</v>
      </c>
      <c r="E12" s="184" t="str">
        <f t="shared" si="3"/>
        <v>Import</v>
      </c>
      <c r="F12" s="720" t="str" cm="1">
        <f t="array" ref="F12">_xlfn.IFS(
  OR(AI12="E11", AI12="E15"), "Raw materials",
  OR(AI12="E13", AI12="G13"), "Equipments + Toolings",
  TRUE, RIGHT(C12, 8)
)</f>
        <v>Raw materials</v>
      </c>
      <c r="G12" s="541" t="str" cm="1">
        <f t="array" ref="G12">IF(E12="Import",
  IFERROR(
    _xlfn.IFS(
      VLOOKUP(B12,[1]Material!F$5:U$90000,16,0)="LUC","Lucid",
      VLOOKUP(B12,[1]Material!F$5:U$90000,16,0)="FMC","FORD",
      OR(VLOOKUP(B12,[1]Material!F$5:U$90000,16,0)="PUR",VLOOKUP(B12,[1]Material!F$5:U$90000,16,0)="HLO"),"PURE",
      VLOOKUP(B12,[1]Material!F$5:U$90000,16,0)="AIC","AIC",
      OR(VLOOKUP(B12,[1]Material!F$5:U$90000,16,0)="AGI",VLOOKUP(B12,[1]Material!F$5:U$90000,16,0)="AGIGA"),"AGIGA",
      OR(LEFT(VLOOKUP(B12,[1]Material!F$5:U$90000,16,0),3)="EF-",VLOOKUP(B12,[1]Material!F$5:U$90000,16,0)="EFI"),"EFI",
      AND(ISNUMBER(VLOOKUP(B12,[1]Material!F$5:U$90000,16,0)),VLOOKUP(B12,[1]Material!F$5:U$90000,16,0)&gt;=100,VLOOKUP(B12,[1]Material!F$5:U$90000,16,0)&lt;=999,VLOOKUP(B12,[1]Material!F$5:U$90000,16,0)=INT(VLOOKUP(B12,[1]Material!F$5:U$90000,16,0))),"OEM",
      TRUE,""
    ),
    "không tìm thấy trong file Import"
  ),
  VLOOKUP(F12,'[2]Export shipment'!B:Y,24,0)
)</f>
        <v>PURE</v>
      </c>
      <c r="H12" s="184" t="e">
        <f>VLOOKUP(B12,[4]Export!I$3627:J$3898,2,0)</f>
        <v>#N/A</v>
      </c>
      <c r="I12" s="184" t="s">
        <v>2089</v>
      </c>
      <c r="J12" s="260">
        <f>(V12+X12+AA12)/'Logistics record '!$AD$1</f>
        <v>15.116015418335726</v>
      </c>
      <c r="K12" s="260">
        <f>W12/'Logistics record '!$AD$1</f>
        <v>0</v>
      </c>
      <c r="L12" s="260">
        <f>Y12/'Logistics record '!$AD$1</f>
        <v>0</v>
      </c>
      <c r="M12" s="260">
        <f>AF12/'Logistics record '!$AD$1</f>
        <v>60.750510165520367</v>
      </c>
      <c r="N12" s="260" t="str" cm="1">
        <f t="array" ref="N12">_xlfn.IFS(
    OR(UPPER(S12)="AIR", UPPER(S12)="CPN"), "AIR",
    UPPER(S12)="TC", "LOCAL",
    TRUE, "SEA"
)</f>
        <v>AIR</v>
      </c>
      <c r="O12" s="260">
        <f t="shared" si="4"/>
        <v>75.866525583856088</v>
      </c>
      <c r="P12" s="184" t="s">
        <v>949</v>
      </c>
      <c r="Q12" s="185">
        <v>108275280630</v>
      </c>
      <c r="R12" s="186">
        <v>46167</v>
      </c>
      <c r="S12" s="187" t="s">
        <v>65</v>
      </c>
      <c r="T12" s="188">
        <v>3.4</v>
      </c>
      <c r="U12" s="188"/>
      <c r="V12" s="189">
        <v>400000</v>
      </c>
      <c r="W12" s="190"/>
      <c r="X12" s="190"/>
      <c r="Y12" s="190"/>
      <c r="Z12" s="189">
        <f t="shared" si="0"/>
        <v>400000</v>
      </c>
      <c r="AA12" s="189">
        <v>0</v>
      </c>
      <c r="AB12" s="189">
        <f t="shared" si="5"/>
        <v>400000</v>
      </c>
      <c r="AC12" s="189"/>
      <c r="AD12" s="190">
        <v>1220400</v>
      </c>
      <c r="AE12" s="190">
        <v>387180</v>
      </c>
      <c r="AF12" s="191">
        <f t="shared" si="1"/>
        <v>1607580</v>
      </c>
      <c r="AG12" s="190">
        <f t="shared" si="2"/>
        <v>2007580</v>
      </c>
      <c r="AH12" s="190"/>
      <c r="AI12" s="192" t="str">
        <f>VLOOKUP(Q12,[3]Sheet1!B$11:G$1489,6,0)</f>
        <v>E11</v>
      </c>
      <c r="GK12" s="194"/>
      <c r="GL12" s="195"/>
      <c r="GM12" s="196"/>
      <c r="GN12" s="197"/>
      <c r="GO12" s="198"/>
      <c r="GP12" s="199"/>
      <c r="GQ12" s="200"/>
      <c r="GR12" s="201"/>
      <c r="GS12" s="60"/>
      <c r="GT12" s="202"/>
      <c r="GU12" s="202"/>
      <c r="GV12" s="202"/>
      <c r="GW12" s="202"/>
      <c r="GX12" s="203"/>
      <c r="HA12" s="194"/>
      <c r="HB12" s="195"/>
      <c r="HC12" s="196"/>
      <c r="HD12" s="197"/>
      <c r="HE12" s="198"/>
      <c r="HF12" s="199"/>
      <c r="HG12" s="200"/>
      <c r="HH12" s="201"/>
      <c r="HI12" s="60"/>
      <c r="HJ12" s="202"/>
      <c r="HK12" s="202"/>
      <c r="HL12" s="202"/>
      <c r="HM12" s="202"/>
      <c r="HN12" s="203"/>
    </row>
    <row r="13" spans="1:222" ht="16.5" customHeight="1">
      <c r="A13" s="181">
        <v>10</v>
      </c>
      <c r="B13" s="182" t="s">
        <v>2193</v>
      </c>
      <c r="C13" s="598" t="s">
        <v>2194</v>
      </c>
      <c r="D13" s="184" t="s">
        <v>940</v>
      </c>
      <c r="E13" s="184" t="str">
        <f t="shared" si="3"/>
        <v>Import</v>
      </c>
      <c r="F13" s="720" t="str" cm="1">
        <f t="array" ref="F13">_xlfn.IFS(
  OR(AI13="E11", AI13="E15"), "Raw materials",
  OR(AI13="E13", AI13="G13"), "Equipments + Toolings",
  TRUE, RIGHT(C13, 8)
)</f>
        <v>Raw materials</v>
      </c>
      <c r="G13" s="541" t="str" cm="1">
        <f t="array" ref="G13">IF(E13="Import",
  IFERROR(
    _xlfn.IFS(
      VLOOKUP(B13,[1]Material!F$5:U$90000,16,0)="LUC","Lucid",
      VLOOKUP(B13,[1]Material!F$5:U$90000,16,0)="FMC","FORD",
      OR(VLOOKUP(B13,[1]Material!F$5:U$90000,16,0)="PUR",VLOOKUP(B13,[1]Material!F$5:U$90000,16,0)="HLO"),"PURE",
      VLOOKUP(B13,[1]Material!F$5:U$90000,16,0)="AIC","AIC",
      OR(VLOOKUP(B13,[1]Material!F$5:U$90000,16,0)="AGI",VLOOKUP(B13,[1]Material!F$5:U$90000,16,0)="AGIGA"),"AGIGA",
      OR(LEFT(VLOOKUP(B13,[1]Material!F$5:U$90000,16,0),3)="EF-",VLOOKUP(B13,[1]Material!F$5:U$90000,16,0)="EFI"),"EFI",
      AND(ISNUMBER(VLOOKUP(B13,[1]Material!F$5:U$90000,16,0)),VLOOKUP(B13,[1]Material!F$5:U$90000,16,0)&gt;=100,VLOOKUP(B13,[1]Material!F$5:U$90000,16,0)&lt;=999,VLOOKUP(B13,[1]Material!F$5:U$90000,16,0)=INT(VLOOKUP(B13,[1]Material!F$5:U$90000,16,0))),"OEM",
      TRUE,""
    ),
    "không tìm thấy trong file Import"
  ),
  VLOOKUP(F13,'[2]Export shipment'!B:Y,24,0)
)</f>
        <v>PURE</v>
      </c>
      <c r="H13" s="184" t="e">
        <f>VLOOKUP(B13,[4]Export!I$3627:J$3898,2,0)</f>
        <v>#N/A</v>
      </c>
      <c r="I13" s="184" t="s">
        <v>2089</v>
      </c>
      <c r="J13" s="260">
        <f>(V13+X13+AA13)/'Logistics record '!$AD$1</f>
        <v>15.116015418335726</v>
      </c>
      <c r="K13" s="260">
        <f>W13/'Logistics record '!$AD$1</f>
        <v>0</v>
      </c>
      <c r="L13" s="260">
        <f>Y13/'Logistics record '!$AD$1</f>
        <v>0</v>
      </c>
      <c r="M13" s="260">
        <f>AF13/'Logistics record '!$AD$1</f>
        <v>60.750510165520367</v>
      </c>
      <c r="N13" s="260" t="str" cm="1">
        <f t="array" ref="N13">_xlfn.IFS(
    OR(UPPER(S13)="AIR", UPPER(S13)="CPN"), "AIR",
    UPPER(S13)="TC", "LOCAL",
    TRUE, "SEA"
)</f>
        <v>AIR</v>
      </c>
      <c r="O13" s="260">
        <f t="shared" si="4"/>
        <v>75.866525583856088</v>
      </c>
      <c r="P13" s="184" t="s">
        <v>949</v>
      </c>
      <c r="Q13" s="185">
        <v>108275293120</v>
      </c>
      <c r="R13" s="186">
        <v>46167</v>
      </c>
      <c r="S13" s="187" t="s">
        <v>65</v>
      </c>
      <c r="T13" s="188">
        <v>3.4</v>
      </c>
      <c r="U13" s="188"/>
      <c r="V13" s="189">
        <v>400000</v>
      </c>
      <c r="W13" s="190"/>
      <c r="X13" s="190"/>
      <c r="Y13" s="190"/>
      <c r="Z13" s="189">
        <f t="shared" si="0"/>
        <v>400000</v>
      </c>
      <c r="AA13" s="189">
        <v>0</v>
      </c>
      <c r="AB13" s="189">
        <f t="shared" si="5"/>
        <v>400000</v>
      </c>
      <c r="AC13" s="189"/>
      <c r="AD13" s="190">
        <v>1220400</v>
      </c>
      <c r="AE13" s="190">
        <v>387180</v>
      </c>
      <c r="AF13" s="191">
        <f t="shared" si="1"/>
        <v>1607580</v>
      </c>
      <c r="AG13" s="190">
        <f t="shared" si="2"/>
        <v>2007580</v>
      </c>
      <c r="AH13" s="190"/>
      <c r="AI13" s="192" t="str">
        <f>VLOOKUP(Q13,[3]Sheet1!B$11:G$1489,6,0)</f>
        <v>E11</v>
      </c>
      <c r="GK13" s="194"/>
      <c r="GL13" s="195"/>
      <c r="GM13" s="196"/>
      <c r="GN13" s="197"/>
      <c r="GO13" s="198"/>
      <c r="GP13" s="199"/>
      <c r="GQ13" s="200"/>
      <c r="GR13" s="201"/>
      <c r="GS13" s="60"/>
      <c r="GT13" s="202"/>
      <c r="GU13" s="202"/>
      <c r="GV13" s="202"/>
      <c r="GW13" s="202"/>
      <c r="GX13" s="203"/>
      <c r="HA13" s="194"/>
      <c r="HB13" s="195"/>
      <c r="HC13" s="196"/>
      <c r="HD13" s="197"/>
      <c r="HE13" s="198"/>
      <c r="HF13" s="199"/>
      <c r="HG13" s="200"/>
      <c r="HH13" s="201"/>
      <c r="HI13" s="60"/>
      <c r="HJ13" s="202"/>
      <c r="HK13" s="202"/>
      <c r="HL13" s="202"/>
      <c r="HM13" s="202"/>
      <c r="HN13" s="203"/>
    </row>
    <row r="14" spans="1:222" ht="16.5" customHeight="1">
      <c r="A14" s="181">
        <v>11</v>
      </c>
      <c r="B14" s="182" t="s">
        <v>2195</v>
      </c>
      <c r="C14" s="598" t="s">
        <v>2196</v>
      </c>
      <c r="D14" s="184" t="s">
        <v>940</v>
      </c>
      <c r="E14" s="184" t="str">
        <f t="shared" si="3"/>
        <v>Import</v>
      </c>
      <c r="F14" s="720" t="str" cm="1">
        <f t="array" ref="F14">_xlfn.IFS(
  OR(AI14="E11", AI14="E15"), "Raw materials",
  OR(AI14="E13", AI14="G13"), "Equipments + Toolings",
  TRUE, RIGHT(C14, 8)
)</f>
        <v>Raw materials</v>
      </c>
      <c r="G14" s="541" t="str" cm="1">
        <f t="array" ref="G14">IF(E14="Import",
  IFERROR(
    _xlfn.IFS(
      VLOOKUP(B14,[1]Material!F$5:U$90000,16,0)="LUC","Lucid",
      VLOOKUP(B14,[1]Material!F$5:U$90000,16,0)="FMC","FORD",
      OR(VLOOKUP(B14,[1]Material!F$5:U$90000,16,0)="PUR",VLOOKUP(B14,[1]Material!F$5:U$90000,16,0)="HLO"),"PURE",
      VLOOKUP(B14,[1]Material!F$5:U$90000,16,0)="AIC","AIC",
      OR(VLOOKUP(B14,[1]Material!F$5:U$90000,16,0)="AGI",VLOOKUP(B14,[1]Material!F$5:U$90000,16,0)="AGIGA"),"AGIGA",
      OR(LEFT(VLOOKUP(B14,[1]Material!F$5:U$90000,16,0),3)="EF-",VLOOKUP(B14,[1]Material!F$5:U$90000,16,0)="EFI"),"EFI",
      AND(ISNUMBER(VLOOKUP(B14,[1]Material!F$5:U$90000,16,0)),VLOOKUP(B14,[1]Material!F$5:U$90000,16,0)&gt;=100,VLOOKUP(B14,[1]Material!F$5:U$90000,16,0)&lt;=999,VLOOKUP(B14,[1]Material!F$5:U$90000,16,0)=INT(VLOOKUP(B14,[1]Material!F$5:U$90000,16,0))),"OEM",
      TRUE,""
    ),
    "không tìm thấy trong file Import"
  ),
  VLOOKUP(F14,'[2]Export shipment'!B:Y,24,0)
)</f>
        <v>PURE</v>
      </c>
      <c r="H14" s="184" t="e">
        <f>VLOOKUP(B14,[4]Export!I$3627:J$3898,2,0)</f>
        <v>#N/A</v>
      </c>
      <c r="I14" s="184" t="s">
        <v>2089</v>
      </c>
      <c r="J14" s="260">
        <f>(V14+X14+AA14)/'Logistics record '!$AD$1</f>
        <v>15.116015418335726</v>
      </c>
      <c r="K14" s="260">
        <f>W14/'Logistics record '!$AD$1</f>
        <v>0</v>
      </c>
      <c r="L14" s="260">
        <f>Y14/'Logistics record '!$AD$1</f>
        <v>0</v>
      </c>
      <c r="M14" s="260">
        <f>AF14/'Logistics record '!$AD$1</f>
        <v>60.750510165520367</v>
      </c>
      <c r="N14" s="260" t="str" cm="1">
        <f t="array" ref="N14">_xlfn.IFS(
    OR(UPPER(S14)="AIR", UPPER(S14)="CPN"), "AIR",
    UPPER(S14)="TC", "LOCAL",
    TRUE, "SEA"
)</f>
        <v>AIR</v>
      </c>
      <c r="O14" s="260">
        <f t="shared" si="4"/>
        <v>75.866525583856088</v>
      </c>
      <c r="P14" s="184" t="s">
        <v>949</v>
      </c>
      <c r="Q14" s="185">
        <v>108275340830</v>
      </c>
      <c r="R14" s="186">
        <v>46167</v>
      </c>
      <c r="S14" s="187" t="s">
        <v>65</v>
      </c>
      <c r="T14" s="188">
        <v>3.4</v>
      </c>
      <c r="U14" s="188"/>
      <c r="V14" s="189">
        <v>400000</v>
      </c>
      <c r="W14" s="190"/>
      <c r="X14" s="190"/>
      <c r="Y14" s="190"/>
      <c r="Z14" s="189">
        <f t="shared" si="0"/>
        <v>400000</v>
      </c>
      <c r="AA14" s="189">
        <v>0</v>
      </c>
      <c r="AB14" s="189">
        <f t="shared" si="5"/>
        <v>400000</v>
      </c>
      <c r="AC14" s="189"/>
      <c r="AD14" s="190">
        <v>1220400</v>
      </c>
      <c r="AE14" s="190">
        <v>387180</v>
      </c>
      <c r="AF14" s="191">
        <f t="shared" si="1"/>
        <v>1607580</v>
      </c>
      <c r="AG14" s="190">
        <f t="shared" si="2"/>
        <v>2007580</v>
      </c>
      <c r="AH14" s="190"/>
      <c r="AI14" s="192" t="str">
        <f>VLOOKUP(Q14,[3]Sheet1!B$11:G$1489,6,0)</f>
        <v>E11</v>
      </c>
      <c r="GK14" s="194"/>
      <c r="GL14" s="195"/>
      <c r="GM14" s="196"/>
      <c r="GN14" s="197"/>
      <c r="GO14" s="198"/>
      <c r="GP14" s="199"/>
      <c r="GQ14" s="200"/>
      <c r="GR14" s="201"/>
      <c r="GS14" s="60"/>
      <c r="GT14" s="202"/>
      <c r="GU14" s="202"/>
      <c r="GV14" s="202"/>
      <c r="GW14" s="202"/>
      <c r="GX14" s="203"/>
      <c r="HA14" s="194"/>
      <c r="HB14" s="195"/>
      <c r="HC14" s="196"/>
      <c r="HD14" s="197"/>
      <c r="HE14" s="198"/>
      <c r="HF14" s="199"/>
      <c r="HG14" s="200"/>
      <c r="HH14" s="201"/>
      <c r="HI14" s="60"/>
      <c r="HJ14" s="202"/>
      <c r="HK14" s="202"/>
      <c r="HL14" s="202"/>
      <c r="HM14" s="202"/>
      <c r="HN14" s="203"/>
    </row>
    <row r="15" spans="1:222" ht="16.5" customHeight="1">
      <c r="A15" s="181">
        <v>12</v>
      </c>
      <c r="B15" s="182" t="s">
        <v>2197</v>
      </c>
      <c r="C15" s="598" t="s">
        <v>2198</v>
      </c>
      <c r="D15" s="184" t="s">
        <v>940</v>
      </c>
      <c r="E15" s="184" t="str">
        <f t="shared" si="3"/>
        <v>Import</v>
      </c>
      <c r="F15" s="720" t="str" cm="1">
        <f t="array" ref="F15">_xlfn.IFS(
  OR(AI15="E11", AI15="E15"), "Raw materials",
  OR(AI15="E13", AI15="G13"), "Equipments + Toolings",
  TRUE, RIGHT(C15, 8)
)</f>
        <v>Raw materials</v>
      </c>
      <c r="G15" s="541" t="str" cm="1">
        <f t="array" ref="G15">IF(E15="Import",
  IFERROR(
    _xlfn.IFS(
      VLOOKUP(B15,[1]Material!F$5:U$90000,16,0)="LUC","Lucid",
      VLOOKUP(B15,[1]Material!F$5:U$90000,16,0)="FMC","FORD",
      OR(VLOOKUP(B15,[1]Material!F$5:U$90000,16,0)="PUR",VLOOKUP(B15,[1]Material!F$5:U$90000,16,0)="HLO"),"PURE",
      VLOOKUP(B15,[1]Material!F$5:U$90000,16,0)="AIC","AIC",
      OR(VLOOKUP(B15,[1]Material!F$5:U$90000,16,0)="AGI",VLOOKUP(B15,[1]Material!F$5:U$90000,16,0)="AGIGA"),"AGIGA",
      OR(LEFT(VLOOKUP(B15,[1]Material!F$5:U$90000,16,0),3)="EF-",VLOOKUP(B15,[1]Material!F$5:U$90000,16,0)="EFI"),"EFI",
      AND(ISNUMBER(VLOOKUP(B15,[1]Material!F$5:U$90000,16,0)),VLOOKUP(B15,[1]Material!F$5:U$90000,16,0)&gt;=100,VLOOKUP(B15,[1]Material!F$5:U$90000,16,0)&lt;=999,VLOOKUP(B15,[1]Material!F$5:U$90000,16,0)=INT(VLOOKUP(B15,[1]Material!F$5:U$90000,16,0))),"OEM",
      TRUE,""
    ),
    "không tìm thấy trong file Import"
  ),
  VLOOKUP(F15,'[2]Export shipment'!B:Y,24,0)
)</f>
        <v>PURE</v>
      </c>
      <c r="H15" s="184" t="e">
        <f>VLOOKUP(B15,[4]Export!I$3627:J$3898,2,0)</f>
        <v>#N/A</v>
      </c>
      <c r="I15" s="184" t="s">
        <v>2089</v>
      </c>
      <c r="J15" s="260">
        <f>(V15+X15+AA15)/'Logistics record '!$AD$1</f>
        <v>15.116015418335726</v>
      </c>
      <c r="K15" s="260">
        <f>W15/'Logistics record '!$AD$1</f>
        <v>0</v>
      </c>
      <c r="L15" s="260">
        <f>Y15/'Logistics record '!$AD$1</f>
        <v>0</v>
      </c>
      <c r="M15" s="260">
        <f>AF15/'Logistics record '!$AD$1</f>
        <v>60.750510165520367</v>
      </c>
      <c r="N15" s="260" t="str" cm="1">
        <f t="array" ref="N15">_xlfn.IFS(
    OR(UPPER(S15)="AIR", UPPER(S15)="CPN"), "AIR",
    UPPER(S15)="TC", "LOCAL",
    TRUE, "SEA"
)</f>
        <v>AIR</v>
      </c>
      <c r="O15" s="260">
        <f t="shared" si="4"/>
        <v>75.866525583856088</v>
      </c>
      <c r="P15" s="184" t="s">
        <v>949</v>
      </c>
      <c r="Q15" s="185">
        <v>108275392150</v>
      </c>
      <c r="R15" s="186">
        <v>46167</v>
      </c>
      <c r="S15" s="187" t="s">
        <v>65</v>
      </c>
      <c r="T15" s="188">
        <v>4.8</v>
      </c>
      <c r="U15" s="188"/>
      <c r="V15" s="189">
        <v>400000</v>
      </c>
      <c r="W15" s="190"/>
      <c r="X15" s="190"/>
      <c r="Y15" s="190"/>
      <c r="Z15" s="189">
        <f t="shared" si="0"/>
        <v>400000</v>
      </c>
      <c r="AA15" s="189">
        <v>0</v>
      </c>
      <c r="AB15" s="189">
        <f t="shared" si="5"/>
        <v>400000</v>
      </c>
      <c r="AC15" s="189"/>
      <c r="AD15" s="190">
        <v>1220400</v>
      </c>
      <c r="AE15" s="190">
        <v>387180</v>
      </c>
      <c r="AF15" s="191">
        <f t="shared" si="1"/>
        <v>1607580</v>
      </c>
      <c r="AG15" s="190">
        <f t="shared" si="2"/>
        <v>2007580</v>
      </c>
      <c r="AH15" s="190"/>
      <c r="AI15" s="192" t="str">
        <f>VLOOKUP(Q15,[3]Sheet1!B$11:G$1489,6,0)</f>
        <v>E11</v>
      </c>
      <c r="GK15" s="194"/>
      <c r="GL15" s="195"/>
      <c r="GM15" s="196"/>
      <c r="GN15" s="197"/>
      <c r="GO15" s="198"/>
      <c r="GP15" s="199"/>
      <c r="GQ15" s="200"/>
      <c r="GR15" s="201"/>
      <c r="GS15" s="60"/>
      <c r="GT15" s="202"/>
      <c r="GU15" s="202"/>
      <c r="GV15" s="202"/>
      <c r="GW15" s="202"/>
      <c r="GX15" s="203"/>
      <c r="HA15" s="194"/>
      <c r="HB15" s="195"/>
      <c r="HC15" s="196"/>
      <c r="HD15" s="197"/>
      <c r="HE15" s="198"/>
      <c r="HF15" s="199"/>
      <c r="HG15" s="200"/>
      <c r="HH15" s="201"/>
      <c r="HI15" s="60"/>
      <c r="HJ15" s="202"/>
      <c r="HK15" s="202"/>
      <c r="HL15" s="202"/>
      <c r="HM15" s="202"/>
      <c r="HN15" s="203"/>
    </row>
    <row r="16" spans="1:222" ht="16.5" customHeight="1">
      <c r="A16" s="181">
        <v>13</v>
      </c>
      <c r="B16" s="182" t="s">
        <v>2199</v>
      </c>
      <c r="C16" s="183" t="s">
        <v>2200</v>
      </c>
      <c r="D16" s="184" t="s">
        <v>940</v>
      </c>
      <c r="E16" s="184" t="str">
        <f t="shared" si="3"/>
        <v>Import</v>
      </c>
      <c r="F16" s="720" t="str" cm="1">
        <f t="array" ref="F16">_xlfn.IFS(
  OR(AI16="E11", AI16="E15"), "Raw materials",
  OR(AI16="E13", AI16="G13"), "Equipments + Toolings",
  TRUE, RIGHT(C16, 8)
)</f>
        <v>Raw materials</v>
      </c>
      <c r="G16" s="541" t="str" cm="1">
        <f t="array" ref="G16">IF(E16="Import",
  IFERROR(
    _xlfn.IFS(
      VLOOKUP(B16,[1]Material!F$5:U$90000,16,0)="LUC","Lucid",
      VLOOKUP(B16,[1]Material!F$5:U$90000,16,0)="FMC","FORD",
      OR(VLOOKUP(B16,[1]Material!F$5:U$90000,16,0)="PUR",VLOOKUP(B16,[1]Material!F$5:U$90000,16,0)="HLO"),"PURE",
      VLOOKUP(B16,[1]Material!F$5:U$90000,16,0)="AIC","AIC",
      OR(VLOOKUP(B16,[1]Material!F$5:U$90000,16,0)="AGI",VLOOKUP(B16,[1]Material!F$5:U$90000,16,0)="AGIGA"),"AGIGA",
      OR(LEFT(VLOOKUP(B16,[1]Material!F$5:U$90000,16,0),3)="EF-",VLOOKUP(B16,[1]Material!F$5:U$90000,16,0)="EFI"),"EFI",
      AND(ISNUMBER(VLOOKUP(B16,[1]Material!F$5:U$90000,16,0)),VLOOKUP(B16,[1]Material!F$5:U$90000,16,0)&gt;=100,VLOOKUP(B16,[1]Material!F$5:U$90000,16,0)&lt;=999,VLOOKUP(B16,[1]Material!F$5:U$90000,16,0)=INT(VLOOKUP(B16,[1]Material!F$5:U$90000,16,0))),"OEM",
      TRUE,""
    ),
    "không tìm thấy trong file Import"
  ),
  VLOOKUP(F16,'[2]Export shipment'!B:Y,24,0)
)</f>
        <v>PURE</v>
      </c>
      <c r="H16" s="184" t="e">
        <f>VLOOKUP(B16,[4]Export!I$3627:J$3898,2,0)</f>
        <v>#N/A</v>
      </c>
      <c r="I16" s="184" t="s">
        <v>2089</v>
      </c>
      <c r="J16" s="260">
        <f>(V16+X16+AA16)/'Logistics record '!$AD$1</f>
        <v>15.116015418335726</v>
      </c>
      <c r="K16" s="260">
        <f>W16/'Logistics record '!$AD$1</f>
        <v>0</v>
      </c>
      <c r="L16" s="260">
        <f>Y16/'Logistics record '!$AD$1</f>
        <v>0</v>
      </c>
      <c r="M16" s="260">
        <f>AF16/'Logistics record '!$AD$1</f>
        <v>60.750510165520367</v>
      </c>
      <c r="N16" s="260" t="str" cm="1">
        <f t="array" ref="N16">_xlfn.IFS(
    OR(UPPER(S16)="AIR", UPPER(S16)="CPN"), "AIR",
    UPPER(S16)="TC", "LOCAL",
    TRUE, "SEA"
)</f>
        <v>AIR</v>
      </c>
      <c r="O16" s="260">
        <f t="shared" si="4"/>
        <v>75.866525583856088</v>
      </c>
      <c r="P16" s="184" t="s">
        <v>949</v>
      </c>
      <c r="Q16" s="185">
        <v>108275443950</v>
      </c>
      <c r="R16" s="186">
        <v>46167</v>
      </c>
      <c r="S16" s="187" t="s">
        <v>65</v>
      </c>
      <c r="T16" s="188">
        <v>3.4</v>
      </c>
      <c r="U16" s="188"/>
      <c r="V16" s="189">
        <v>400000</v>
      </c>
      <c r="W16" s="190"/>
      <c r="X16" s="190"/>
      <c r="Y16" s="190"/>
      <c r="Z16" s="189">
        <f t="shared" si="0"/>
        <v>400000</v>
      </c>
      <c r="AA16" s="189">
        <v>0</v>
      </c>
      <c r="AB16" s="189">
        <f t="shared" si="5"/>
        <v>400000</v>
      </c>
      <c r="AC16" s="189"/>
      <c r="AD16" s="190">
        <v>1220400</v>
      </c>
      <c r="AE16" s="190">
        <v>387180</v>
      </c>
      <c r="AF16" s="191">
        <f t="shared" si="1"/>
        <v>1607580</v>
      </c>
      <c r="AG16" s="190">
        <f t="shared" si="2"/>
        <v>2007580</v>
      </c>
      <c r="AH16" s="190"/>
      <c r="AI16" s="192" t="str">
        <f>VLOOKUP(Q16,[3]Sheet1!B$11:G$1489,6,0)</f>
        <v>E11</v>
      </c>
      <c r="GK16" s="194"/>
      <c r="GL16" s="195"/>
      <c r="GM16" s="196"/>
      <c r="GN16" s="197"/>
      <c r="GO16" s="198"/>
      <c r="GP16" s="199"/>
      <c r="GQ16" s="200"/>
      <c r="GR16" s="201"/>
      <c r="GS16" s="60"/>
      <c r="GT16" s="202"/>
      <c r="GU16" s="202"/>
      <c r="GV16" s="202"/>
      <c r="GW16" s="202"/>
      <c r="GX16" s="203"/>
      <c r="HA16" s="194"/>
      <c r="HB16" s="195"/>
      <c r="HC16" s="196"/>
      <c r="HD16" s="197"/>
      <c r="HE16" s="198"/>
      <c r="HF16" s="199"/>
      <c r="HG16" s="200"/>
      <c r="HH16" s="201"/>
      <c r="HI16" s="60"/>
      <c r="HJ16" s="202"/>
      <c r="HK16" s="202"/>
      <c r="HL16" s="202"/>
      <c r="HM16" s="202"/>
      <c r="HN16" s="203"/>
    </row>
    <row r="17" spans="1:222" ht="16.5" customHeight="1">
      <c r="A17" s="181">
        <v>14</v>
      </c>
      <c r="B17" s="182" t="s">
        <v>2201</v>
      </c>
      <c r="C17" s="183" t="s">
        <v>2202</v>
      </c>
      <c r="D17" s="184" t="s">
        <v>940</v>
      </c>
      <c r="E17" s="184" t="str">
        <f t="shared" si="3"/>
        <v>Import</v>
      </c>
      <c r="F17" s="720" t="str" cm="1">
        <f t="array" ref="F17">_xlfn.IFS(
  OR(AI17="E11", AI17="E15"), "Raw materials",
  OR(AI17="E13", AI17="G13"), "Equipments + Toolings",
  TRUE, RIGHT(C17, 8)
)</f>
        <v>Raw materials</v>
      </c>
      <c r="G17" s="541" t="str" cm="1">
        <f t="array" ref="G17">IF(E17="Import",
  IFERROR(
    _xlfn.IFS(
      VLOOKUP(B17,[1]Material!F$5:U$90000,16,0)="LUC","Lucid",
      VLOOKUP(B17,[1]Material!F$5:U$90000,16,0)="FMC","FORD",
      OR(VLOOKUP(B17,[1]Material!F$5:U$90000,16,0)="PUR",VLOOKUP(B17,[1]Material!F$5:U$90000,16,0)="HLO"),"PURE",
      VLOOKUP(B17,[1]Material!F$5:U$90000,16,0)="AIC","AIC",
      OR(VLOOKUP(B17,[1]Material!F$5:U$90000,16,0)="AGI",VLOOKUP(B17,[1]Material!F$5:U$90000,16,0)="AGIGA"),"AGIGA",
      OR(LEFT(VLOOKUP(B17,[1]Material!F$5:U$90000,16,0),3)="EF-",VLOOKUP(B17,[1]Material!F$5:U$90000,16,0)="EFI"),"EFI",
      AND(ISNUMBER(VLOOKUP(B17,[1]Material!F$5:U$90000,16,0)),VLOOKUP(B17,[1]Material!F$5:U$90000,16,0)&gt;=100,VLOOKUP(B17,[1]Material!F$5:U$90000,16,0)&lt;=999,VLOOKUP(B17,[1]Material!F$5:U$90000,16,0)=INT(VLOOKUP(B17,[1]Material!F$5:U$90000,16,0))),"OEM",
      TRUE,""
    ),
    "không tìm thấy trong file Import"
  ),
  VLOOKUP(F17,'[2]Export shipment'!B:Y,24,0)
)</f>
        <v>PURE</v>
      </c>
      <c r="H17" s="184" t="e">
        <f>VLOOKUP(B17,[4]Export!I$3627:J$3898,2,0)</f>
        <v>#N/A</v>
      </c>
      <c r="I17" s="184" t="s">
        <v>2089</v>
      </c>
      <c r="J17" s="260">
        <f>(V17+X17+AA17)/'Logistics record '!$AD$1</f>
        <v>15.116015418335726</v>
      </c>
      <c r="K17" s="260">
        <f>W17/'Logistics record '!$AD$1</f>
        <v>0</v>
      </c>
      <c r="L17" s="260">
        <f>Y17/'Logistics record '!$AD$1</f>
        <v>0</v>
      </c>
      <c r="M17" s="260">
        <f>AF17/'Logistics record '!$AD$1</f>
        <v>60.750510165520367</v>
      </c>
      <c r="N17" s="260" t="str" cm="1">
        <f t="array" ref="N17">_xlfn.IFS(
    OR(UPPER(S17)="AIR", UPPER(S17)="CPN"), "AIR",
    UPPER(S17)="TC", "LOCAL",
    TRUE, "SEA"
)</f>
        <v>AIR</v>
      </c>
      <c r="O17" s="260">
        <f t="shared" si="4"/>
        <v>75.866525583856088</v>
      </c>
      <c r="P17" s="184" t="s">
        <v>949</v>
      </c>
      <c r="Q17" s="185">
        <v>108275447120</v>
      </c>
      <c r="R17" s="186">
        <v>46167</v>
      </c>
      <c r="S17" s="187" t="s">
        <v>65</v>
      </c>
      <c r="T17" s="188">
        <v>3.4</v>
      </c>
      <c r="U17" s="188"/>
      <c r="V17" s="189">
        <v>400000</v>
      </c>
      <c r="W17" s="190"/>
      <c r="X17" s="190"/>
      <c r="Y17" s="190"/>
      <c r="Z17" s="189">
        <f t="shared" si="0"/>
        <v>400000</v>
      </c>
      <c r="AA17" s="189">
        <v>0</v>
      </c>
      <c r="AB17" s="189">
        <f t="shared" si="5"/>
        <v>400000</v>
      </c>
      <c r="AC17" s="189"/>
      <c r="AD17" s="190">
        <v>1220400</v>
      </c>
      <c r="AE17" s="190">
        <v>387180</v>
      </c>
      <c r="AF17" s="191">
        <f t="shared" si="1"/>
        <v>1607580</v>
      </c>
      <c r="AG17" s="190">
        <f t="shared" si="2"/>
        <v>2007580</v>
      </c>
      <c r="AH17" s="190"/>
      <c r="AI17" s="192" t="str">
        <f>VLOOKUP(Q17,[3]Sheet1!B$11:G$1489,6,0)</f>
        <v>E11</v>
      </c>
      <c r="GK17" s="194"/>
      <c r="GL17" s="195"/>
      <c r="GM17" s="196"/>
      <c r="GN17" s="197"/>
      <c r="GO17" s="198"/>
      <c r="GP17" s="199"/>
      <c r="GQ17" s="200"/>
      <c r="GR17" s="201"/>
      <c r="GS17" s="60"/>
      <c r="GT17" s="202"/>
      <c r="GU17" s="202"/>
      <c r="GV17" s="202"/>
      <c r="GW17" s="202"/>
      <c r="GX17" s="203"/>
      <c r="HA17" s="194"/>
      <c r="HB17" s="195"/>
      <c r="HC17" s="196"/>
      <c r="HD17" s="197"/>
      <c r="HE17" s="198"/>
      <c r="HF17" s="199"/>
      <c r="HG17" s="200"/>
      <c r="HH17" s="201"/>
      <c r="HI17" s="60"/>
      <c r="HJ17" s="202"/>
      <c r="HK17" s="202"/>
      <c r="HL17" s="202"/>
      <c r="HM17" s="202"/>
      <c r="HN17" s="203"/>
    </row>
    <row r="18" spans="1:222" ht="16.5" customHeight="1">
      <c r="A18" s="181">
        <v>15</v>
      </c>
      <c r="B18" s="182" t="s">
        <v>2203</v>
      </c>
      <c r="C18" s="183" t="s">
        <v>2204</v>
      </c>
      <c r="D18" s="184" t="s">
        <v>940</v>
      </c>
      <c r="E18" s="184" t="str">
        <f t="shared" si="3"/>
        <v>Import</v>
      </c>
      <c r="F18" s="720" t="str" cm="1">
        <f t="array" ref="F18">_xlfn.IFS(
  OR(AI18="E11", AI18="E15"), "Raw materials",
  OR(AI18="E13", AI18="G13"), "Equipments + Toolings",
  TRUE, RIGHT(C18, 8)
)</f>
        <v>Raw materials</v>
      </c>
      <c r="G18" s="541" t="str" cm="1">
        <f t="array" ref="G18">IF(E18="Import",
  IFERROR(
    _xlfn.IFS(
      VLOOKUP(B18,[1]Material!F$5:U$90000,16,0)="LUC","Lucid",
      VLOOKUP(B18,[1]Material!F$5:U$90000,16,0)="FMC","FORD",
      OR(VLOOKUP(B18,[1]Material!F$5:U$90000,16,0)="PUR",VLOOKUP(B18,[1]Material!F$5:U$90000,16,0)="HLO"),"PURE",
      VLOOKUP(B18,[1]Material!F$5:U$90000,16,0)="AIC","AIC",
      OR(VLOOKUP(B18,[1]Material!F$5:U$90000,16,0)="AGI",VLOOKUP(B18,[1]Material!F$5:U$90000,16,0)="AGIGA"),"AGIGA",
      OR(LEFT(VLOOKUP(B18,[1]Material!F$5:U$90000,16,0),3)="EF-",VLOOKUP(B18,[1]Material!F$5:U$90000,16,0)="EFI"),"EFI",
      AND(ISNUMBER(VLOOKUP(B18,[1]Material!F$5:U$90000,16,0)),VLOOKUP(B18,[1]Material!F$5:U$90000,16,0)&gt;=100,VLOOKUP(B18,[1]Material!F$5:U$90000,16,0)&lt;=999,VLOOKUP(B18,[1]Material!F$5:U$90000,16,0)=INT(VLOOKUP(B18,[1]Material!F$5:U$90000,16,0))),"OEM",
      TRUE,""
    ),
    "không tìm thấy trong file Import"
  ),
  VLOOKUP(F18,'[2]Export shipment'!B:Y,24,0)
)</f>
        <v>PURE</v>
      </c>
      <c r="H18" s="184" t="e">
        <f>VLOOKUP(B18,[4]Export!I$3627:J$3898,2,0)</f>
        <v>#N/A</v>
      </c>
      <c r="I18" s="184" t="s">
        <v>2089</v>
      </c>
      <c r="J18" s="260">
        <f>(V18+X18+AA18)/'Logistics record '!$AD$1</f>
        <v>15.116015418335726</v>
      </c>
      <c r="K18" s="260">
        <f>W18/'Logistics record '!$AD$1</f>
        <v>0</v>
      </c>
      <c r="L18" s="260">
        <f>Y18/'Logistics record '!$AD$1</f>
        <v>0</v>
      </c>
      <c r="M18" s="260">
        <f>AF18/'Logistics record '!$AD$1</f>
        <v>60.750510165520367</v>
      </c>
      <c r="N18" s="260" t="str" cm="1">
        <f t="array" ref="N18">_xlfn.IFS(
    OR(UPPER(S18)="AIR", UPPER(S18)="CPN"), "AIR",
    UPPER(S18)="TC", "LOCAL",
    TRUE, "SEA"
)</f>
        <v>AIR</v>
      </c>
      <c r="O18" s="260">
        <f t="shared" si="4"/>
        <v>75.866525583856088</v>
      </c>
      <c r="P18" s="184" t="s">
        <v>949</v>
      </c>
      <c r="Q18" s="185">
        <v>108275454120</v>
      </c>
      <c r="R18" s="186">
        <v>46167</v>
      </c>
      <c r="S18" s="187" t="s">
        <v>65</v>
      </c>
      <c r="T18" s="188">
        <v>3.4</v>
      </c>
      <c r="U18" s="188"/>
      <c r="V18" s="189">
        <v>400000</v>
      </c>
      <c r="W18" s="190"/>
      <c r="X18" s="190"/>
      <c r="Y18" s="190"/>
      <c r="Z18" s="189">
        <f t="shared" si="0"/>
        <v>400000</v>
      </c>
      <c r="AA18" s="189">
        <v>0</v>
      </c>
      <c r="AB18" s="189">
        <f t="shared" si="5"/>
        <v>400000</v>
      </c>
      <c r="AC18" s="189"/>
      <c r="AD18" s="190">
        <v>1220400</v>
      </c>
      <c r="AE18" s="190">
        <v>387180</v>
      </c>
      <c r="AF18" s="191">
        <f t="shared" si="1"/>
        <v>1607580</v>
      </c>
      <c r="AG18" s="190">
        <f t="shared" si="2"/>
        <v>2007580</v>
      </c>
      <c r="AH18" s="190"/>
      <c r="AI18" s="192" t="str">
        <f>VLOOKUP(Q18,[3]Sheet1!B$11:G$1489,6,0)</f>
        <v>E11</v>
      </c>
      <c r="GK18" s="194"/>
      <c r="GL18" s="195"/>
      <c r="GM18" s="196"/>
      <c r="GN18" s="197"/>
      <c r="GO18" s="198"/>
      <c r="GP18" s="199"/>
      <c r="GQ18" s="200"/>
      <c r="GR18" s="201"/>
      <c r="GS18" s="60"/>
      <c r="GT18" s="202"/>
      <c r="GU18" s="202"/>
      <c r="GV18" s="202"/>
      <c r="GW18" s="202"/>
      <c r="GX18" s="203"/>
      <c r="HA18" s="194"/>
      <c r="HB18" s="195"/>
      <c r="HC18" s="196"/>
      <c r="HD18" s="197"/>
      <c r="HE18" s="198"/>
      <c r="HF18" s="199"/>
      <c r="HG18" s="200"/>
      <c r="HH18" s="201"/>
      <c r="HI18" s="60"/>
      <c r="HJ18" s="202"/>
      <c r="HK18" s="202"/>
      <c r="HL18" s="202"/>
      <c r="HM18" s="202"/>
      <c r="HN18" s="203"/>
    </row>
    <row r="19" spans="1:222" ht="16.5" customHeight="1">
      <c r="A19" s="181">
        <v>16</v>
      </c>
      <c r="B19" s="182" t="s">
        <v>2205</v>
      </c>
      <c r="C19" s="598" t="s">
        <v>2206</v>
      </c>
      <c r="D19" s="184" t="s">
        <v>940</v>
      </c>
      <c r="E19" s="184" t="str">
        <f t="shared" si="3"/>
        <v>Import</v>
      </c>
      <c r="F19" s="720" t="str" cm="1">
        <f t="array" ref="F19">_xlfn.IFS(
  OR(AI19="E11", AI19="E15"), "Raw materials",
  OR(AI19="E13", AI19="G13"), "Equipments + Toolings",
  TRUE, RIGHT(C19, 8)
)</f>
        <v>Raw materials</v>
      </c>
      <c r="G19" s="541" t="str" cm="1">
        <f t="array" ref="G19">IF(E19="Import",
  IFERROR(
    _xlfn.IFS(
      VLOOKUP(B19,[1]Material!F$5:U$90000,16,0)="LUC","Lucid",
      VLOOKUP(B19,[1]Material!F$5:U$90000,16,0)="FMC","FORD",
      OR(VLOOKUP(B19,[1]Material!F$5:U$90000,16,0)="PUR",VLOOKUP(B19,[1]Material!F$5:U$90000,16,0)="HLO"),"PURE",
      VLOOKUP(B19,[1]Material!F$5:U$90000,16,0)="AIC","AIC",
      OR(VLOOKUP(B19,[1]Material!F$5:U$90000,16,0)="AGI",VLOOKUP(B19,[1]Material!F$5:U$90000,16,0)="AGIGA"),"AGIGA",
      OR(LEFT(VLOOKUP(B19,[1]Material!F$5:U$90000,16,0),3)="EF-",VLOOKUP(B19,[1]Material!F$5:U$90000,16,0)="EFI"),"EFI",
      AND(ISNUMBER(VLOOKUP(B19,[1]Material!F$5:U$90000,16,0)),VLOOKUP(B19,[1]Material!F$5:U$90000,16,0)&gt;=100,VLOOKUP(B19,[1]Material!F$5:U$90000,16,0)&lt;=999,VLOOKUP(B19,[1]Material!F$5:U$90000,16,0)=INT(VLOOKUP(B19,[1]Material!F$5:U$90000,16,0))),"OEM",
      TRUE,""
    ),
    "không tìm thấy trong file Import"
  ),
  VLOOKUP(F19,'[2]Export shipment'!B:Y,24,0)
)</f>
        <v>PURE</v>
      </c>
      <c r="H19" s="184" t="e">
        <f>VLOOKUP(B19,[4]Export!I$3627:J$3898,2,0)</f>
        <v>#N/A</v>
      </c>
      <c r="I19" s="184" t="s">
        <v>2089</v>
      </c>
      <c r="J19" s="260">
        <f>(V19+X19+AA19)/'Logistics record '!$AD$1</f>
        <v>15.116015418335726</v>
      </c>
      <c r="K19" s="260">
        <f>W19/'Logistics record '!$AD$1</f>
        <v>0</v>
      </c>
      <c r="L19" s="260">
        <f>Y19/'Logistics record '!$AD$1</f>
        <v>0</v>
      </c>
      <c r="M19" s="260">
        <f>AF19/'Logistics record '!$AD$1</f>
        <v>60.750510165520367</v>
      </c>
      <c r="N19" s="260" t="str" cm="1">
        <f t="array" ref="N19">_xlfn.IFS(
    OR(UPPER(S19)="AIR", UPPER(S19)="CPN"), "AIR",
    UPPER(S19)="TC", "LOCAL",
    TRUE, "SEA"
)</f>
        <v>AIR</v>
      </c>
      <c r="O19" s="260">
        <f t="shared" si="4"/>
        <v>75.866525583856088</v>
      </c>
      <c r="P19" s="184" t="s">
        <v>949</v>
      </c>
      <c r="Q19" s="185">
        <v>108275486100</v>
      </c>
      <c r="R19" s="186">
        <v>46167</v>
      </c>
      <c r="S19" s="187" t="s">
        <v>65</v>
      </c>
      <c r="T19" s="188">
        <v>2.7</v>
      </c>
      <c r="U19" s="188"/>
      <c r="V19" s="189">
        <v>400000</v>
      </c>
      <c r="W19" s="190"/>
      <c r="X19" s="190"/>
      <c r="Y19" s="190"/>
      <c r="Z19" s="189">
        <f t="shared" si="0"/>
        <v>400000</v>
      </c>
      <c r="AA19" s="189">
        <v>0</v>
      </c>
      <c r="AB19" s="189">
        <f t="shared" si="5"/>
        <v>400000</v>
      </c>
      <c r="AC19" s="189"/>
      <c r="AD19" s="190">
        <v>1220400</v>
      </c>
      <c r="AE19" s="190">
        <v>387180</v>
      </c>
      <c r="AF19" s="191">
        <f t="shared" si="1"/>
        <v>1607580</v>
      </c>
      <c r="AG19" s="190">
        <f t="shared" si="2"/>
        <v>2007580</v>
      </c>
      <c r="AH19" s="190"/>
      <c r="AI19" s="192" t="str">
        <f>VLOOKUP(Q19,[3]Sheet1!B$11:G$1489,6,0)</f>
        <v>E11</v>
      </c>
      <c r="GK19" s="194"/>
      <c r="GL19" s="195"/>
      <c r="GM19" s="196"/>
      <c r="GN19" s="197"/>
      <c r="GO19" s="198"/>
      <c r="GP19" s="199"/>
      <c r="GQ19" s="200"/>
      <c r="GR19" s="201"/>
      <c r="GS19" s="60"/>
      <c r="GT19" s="202"/>
      <c r="GU19" s="202"/>
      <c r="GV19" s="202"/>
      <c r="GW19" s="202"/>
      <c r="GX19" s="203"/>
      <c r="HA19" s="194"/>
      <c r="HB19" s="195"/>
      <c r="HC19" s="196"/>
      <c r="HD19" s="197"/>
      <c r="HE19" s="198"/>
      <c r="HF19" s="199"/>
      <c r="HG19" s="200"/>
      <c r="HH19" s="201"/>
      <c r="HI19" s="60"/>
      <c r="HJ19" s="202"/>
      <c r="HK19" s="202"/>
      <c r="HL19" s="202"/>
      <c r="HM19" s="202"/>
      <c r="HN19" s="203"/>
    </row>
    <row r="20" spans="1:222" ht="16.5" customHeight="1">
      <c r="A20" s="181">
        <v>17</v>
      </c>
      <c r="B20" s="182" t="s">
        <v>2207</v>
      </c>
      <c r="C20" s="183" t="s">
        <v>2208</v>
      </c>
      <c r="D20" s="184" t="s">
        <v>940</v>
      </c>
      <c r="E20" s="184" t="str">
        <f t="shared" si="3"/>
        <v>Import</v>
      </c>
      <c r="F20" s="720" t="str" cm="1">
        <f t="array" ref="F20">_xlfn.IFS(
  OR(AI20="E11", AI20="E15"), "Raw materials",
  OR(AI20="E13", AI20="G13"), "Equipments + Toolings",
  TRUE, RIGHT(C20, 8)
)</f>
        <v>Raw materials</v>
      </c>
      <c r="G20" s="541" t="str" cm="1">
        <f t="array" ref="G20">IF(E20="Import",
  IFERROR(
    _xlfn.IFS(
      VLOOKUP(B20,[1]Material!F$5:U$90000,16,0)="LUC","Lucid",
      VLOOKUP(B20,[1]Material!F$5:U$90000,16,0)="FMC","FORD",
      OR(VLOOKUP(B20,[1]Material!F$5:U$90000,16,0)="PUR",VLOOKUP(B20,[1]Material!F$5:U$90000,16,0)="HLO"),"PURE",
      VLOOKUP(B20,[1]Material!F$5:U$90000,16,0)="AIC","AIC",
      OR(VLOOKUP(B20,[1]Material!F$5:U$90000,16,0)="AGI",VLOOKUP(B20,[1]Material!F$5:U$90000,16,0)="AGIGA"),"AGIGA",
      OR(LEFT(VLOOKUP(B20,[1]Material!F$5:U$90000,16,0),3)="EF-",VLOOKUP(B20,[1]Material!F$5:U$90000,16,0)="EFI"),"EFI",
      AND(ISNUMBER(VLOOKUP(B20,[1]Material!F$5:U$90000,16,0)),VLOOKUP(B20,[1]Material!F$5:U$90000,16,0)&gt;=100,VLOOKUP(B20,[1]Material!F$5:U$90000,16,0)&lt;=999,VLOOKUP(B20,[1]Material!F$5:U$90000,16,0)=INT(VLOOKUP(B20,[1]Material!F$5:U$90000,16,0))),"OEM",
      TRUE,""
    ),
    "không tìm thấy trong file Import"
  ),
  VLOOKUP(F20,'[2]Export shipment'!B:Y,24,0)
)</f>
        <v>PURE</v>
      </c>
      <c r="H20" s="184" t="e">
        <f>VLOOKUP(B20,[4]Export!I$3627:J$3898,2,0)</f>
        <v>#N/A</v>
      </c>
      <c r="I20" s="184" t="s">
        <v>2089</v>
      </c>
      <c r="J20" s="260">
        <f>(V20+X20+AA20)/'Logistics record '!$AD$1</f>
        <v>15.116015418335726</v>
      </c>
      <c r="K20" s="260">
        <f>W20/'Logistics record '!$AD$1</f>
        <v>0</v>
      </c>
      <c r="L20" s="260">
        <f>Y20/'Logistics record '!$AD$1</f>
        <v>0</v>
      </c>
      <c r="M20" s="260">
        <f>AF20/'Logistics record '!$AD$1</f>
        <v>60.750510165520367</v>
      </c>
      <c r="N20" s="260" t="str" cm="1">
        <f t="array" ref="N20">_xlfn.IFS(
    OR(UPPER(S20)="AIR", UPPER(S20)="CPN"), "AIR",
    UPPER(S20)="TC", "LOCAL",
    TRUE, "SEA"
)</f>
        <v>AIR</v>
      </c>
      <c r="O20" s="260">
        <f t="shared" si="4"/>
        <v>75.866525583856088</v>
      </c>
      <c r="P20" s="184" t="s">
        <v>949</v>
      </c>
      <c r="Q20" s="185">
        <v>108275492360</v>
      </c>
      <c r="R20" s="186">
        <v>46167</v>
      </c>
      <c r="S20" s="187" t="s">
        <v>65</v>
      </c>
      <c r="T20" s="188">
        <v>3.4</v>
      </c>
      <c r="U20" s="188"/>
      <c r="V20" s="189">
        <v>400000</v>
      </c>
      <c r="W20" s="190"/>
      <c r="X20" s="190"/>
      <c r="Y20" s="190"/>
      <c r="Z20" s="189">
        <f t="shared" si="0"/>
        <v>400000</v>
      </c>
      <c r="AA20" s="189">
        <v>0</v>
      </c>
      <c r="AB20" s="189">
        <f t="shared" si="5"/>
        <v>400000</v>
      </c>
      <c r="AC20" s="189"/>
      <c r="AD20" s="190">
        <v>1220400</v>
      </c>
      <c r="AE20" s="190">
        <v>387180</v>
      </c>
      <c r="AF20" s="191">
        <f t="shared" si="1"/>
        <v>1607580</v>
      </c>
      <c r="AG20" s="190">
        <f t="shared" si="2"/>
        <v>2007580</v>
      </c>
      <c r="AH20" s="190"/>
      <c r="AI20" s="192" t="str">
        <f>VLOOKUP(Q20,[3]Sheet1!B$11:G$1489,6,0)</f>
        <v>E11</v>
      </c>
      <c r="GK20" s="194"/>
      <c r="GL20" s="195"/>
      <c r="GM20" s="196"/>
      <c r="GN20" s="197"/>
      <c r="GO20" s="198"/>
      <c r="GP20" s="199"/>
      <c r="GQ20" s="200"/>
      <c r="GR20" s="201"/>
      <c r="GS20" s="60"/>
      <c r="GT20" s="202"/>
      <c r="GU20" s="202"/>
      <c r="GV20" s="202"/>
      <c r="GW20" s="202"/>
      <c r="GX20" s="203"/>
      <c r="HA20" s="194"/>
      <c r="HB20" s="195"/>
      <c r="HC20" s="196"/>
      <c r="HD20" s="197"/>
      <c r="HE20" s="198"/>
      <c r="HF20" s="199"/>
      <c r="HG20" s="200"/>
      <c r="HH20" s="201"/>
      <c r="HI20" s="60"/>
      <c r="HJ20" s="202"/>
      <c r="HK20" s="202"/>
      <c r="HL20" s="202"/>
      <c r="HM20" s="202"/>
      <c r="HN20" s="203"/>
    </row>
    <row r="21" spans="1:222" ht="16.5" customHeight="1">
      <c r="A21" s="181">
        <v>18</v>
      </c>
      <c r="B21" s="182" t="s">
        <v>2209</v>
      </c>
      <c r="C21" s="183" t="s">
        <v>2210</v>
      </c>
      <c r="D21" s="184" t="s">
        <v>940</v>
      </c>
      <c r="E21" s="184" t="str">
        <f t="shared" si="3"/>
        <v>Import</v>
      </c>
      <c r="F21" s="720" t="str" cm="1">
        <f t="array" ref="F21">_xlfn.IFS(
  OR(AI21="E11", AI21="E15"), "Raw materials",
  OR(AI21="E13", AI21="G13"), "Equipments + Toolings",
  TRUE, RIGHT(C21, 8)
)</f>
        <v>Raw materials</v>
      </c>
      <c r="G21" s="541" t="str" cm="1">
        <f t="array" ref="G21">IF(E21="Import",
  IFERROR(
    _xlfn.IFS(
      VLOOKUP(B21,[1]Material!F$5:U$90000,16,0)="LUC","Lucid",
      VLOOKUP(B21,[1]Material!F$5:U$90000,16,0)="FMC","FORD",
      OR(VLOOKUP(B21,[1]Material!F$5:U$90000,16,0)="PUR",VLOOKUP(B21,[1]Material!F$5:U$90000,16,0)="HLO"),"PURE",
      VLOOKUP(B21,[1]Material!F$5:U$90000,16,0)="AIC","AIC",
      OR(VLOOKUP(B21,[1]Material!F$5:U$90000,16,0)="AGI",VLOOKUP(B21,[1]Material!F$5:U$90000,16,0)="AGIGA"),"AGIGA",
      OR(LEFT(VLOOKUP(B21,[1]Material!F$5:U$90000,16,0),3)="EF-",VLOOKUP(B21,[1]Material!F$5:U$90000,16,0)="EFI"),"EFI",
      AND(ISNUMBER(VLOOKUP(B21,[1]Material!F$5:U$90000,16,0)),VLOOKUP(B21,[1]Material!F$5:U$90000,16,0)&gt;=100,VLOOKUP(B21,[1]Material!F$5:U$90000,16,0)&lt;=999,VLOOKUP(B21,[1]Material!F$5:U$90000,16,0)=INT(VLOOKUP(B21,[1]Material!F$5:U$90000,16,0))),"OEM",
      TRUE,""
    ),
    "không tìm thấy trong file Import"
  ),
  VLOOKUP(F21,'[2]Export shipment'!B:Y,24,0)
)</f>
        <v>PURE</v>
      </c>
      <c r="H21" s="184" t="e">
        <f>VLOOKUP(B21,[4]Export!I$3627:J$3898,2,0)</f>
        <v>#N/A</v>
      </c>
      <c r="I21" s="184" t="s">
        <v>2089</v>
      </c>
      <c r="J21" s="260">
        <f>(V21+X21+AA21)/'Logistics record '!$AD$1</f>
        <v>15.116015418335726</v>
      </c>
      <c r="K21" s="260">
        <f>W21/'Logistics record '!$AD$1</f>
        <v>0</v>
      </c>
      <c r="L21" s="260">
        <f>Y21/'Logistics record '!$AD$1</f>
        <v>0</v>
      </c>
      <c r="M21" s="260">
        <f>AF21/'Logistics record '!$AD$1</f>
        <v>60.750510165520367</v>
      </c>
      <c r="N21" s="260" t="str" cm="1">
        <f t="array" ref="N21">_xlfn.IFS(
    OR(UPPER(S21)="AIR", UPPER(S21)="CPN"), "AIR",
    UPPER(S21)="TC", "LOCAL",
    TRUE, "SEA"
)</f>
        <v>AIR</v>
      </c>
      <c r="O21" s="260">
        <f t="shared" si="4"/>
        <v>75.866525583856088</v>
      </c>
      <c r="P21" s="184" t="s">
        <v>949</v>
      </c>
      <c r="Q21" s="185">
        <v>108275509160</v>
      </c>
      <c r="R21" s="186">
        <v>46167</v>
      </c>
      <c r="S21" s="187" t="s">
        <v>65</v>
      </c>
      <c r="T21" s="188">
        <v>3.4</v>
      </c>
      <c r="U21" s="188"/>
      <c r="V21" s="189">
        <v>400000</v>
      </c>
      <c r="W21" s="190"/>
      <c r="X21" s="190"/>
      <c r="Y21" s="190"/>
      <c r="Z21" s="189">
        <f t="shared" si="0"/>
        <v>400000</v>
      </c>
      <c r="AA21" s="189">
        <v>0</v>
      </c>
      <c r="AB21" s="189">
        <f t="shared" si="5"/>
        <v>400000</v>
      </c>
      <c r="AC21" s="189"/>
      <c r="AD21" s="190">
        <v>1220400</v>
      </c>
      <c r="AE21" s="190">
        <v>387180</v>
      </c>
      <c r="AF21" s="191">
        <f t="shared" si="1"/>
        <v>1607580</v>
      </c>
      <c r="AG21" s="190">
        <f t="shared" si="2"/>
        <v>2007580</v>
      </c>
      <c r="AH21" s="190"/>
      <c r="AI21" s="192" t="str">
        <f>VLOOKUP(Q21,[3]Sheet1!B$11:G$1489,6,0)</f>
        <v>E11</v>
      </c>
      <c r="GK21" s="194"/>
      <c r="GL21" s="195"/>
      <c r="GM21" s="196"/>
      <c r="GN21" s="197"/>
      <c r="GO21" s="198"/>
      <c r="GP21" s="199"/>
      <c r="GQ21" s="200"/>
      <c r="GR21" s="201"/>
      <c r="GS21" s="60"/>
      <c r="GT21" s="202"/>
      <c r="GU21" s="202"/>
      <c r="GV21" s="202"/>
      <c r="GW21" s="202"/>
      <c r="GX21" s="203"/>
      <c r="HA21" s="194"/>
      <c r="HB21" s="195"/>
      <c r="HC21" s="196"/>
      <c r="HD21" s="197"/>
      <c r="HE21" s="198"/>
      <c r="HF21" s="199"/>
      <c r="HG21" s="200"/>
      <c r="HH21" s="201"/>
      <c r="HI21" s="60"/>
      <c r="HJ21" s="202"/>
      <c r="HK21" s="202"/>
      <c r="HL21" s="202"/>
      <c r="HM21" s="202"/>
      <c r="HN21" s="203"/>
    </row>
    <row r="22" spans="1:222" ht="16.5" customHeight="1">
      <c r="A22" s="181">
        <v>19</v>
      </c>
      <c r="B22" s="182" t="s">
        <v>2211</v>
      </c>
      <c r="C22" s="598" t="s">
        <v>2212</v>
      </c>
      <c r="D22" s="184" t="s">
        <v>940</v>
      </c>
      <c r="E22" s="184" t="str">
        <f t="shared" si="3"/>
        <v>Import</v>
      </c>
      <c r="F22" s="720" t="str" cm="1">
        <f t="array" ref="F22">_xlfn.IFS(
  OR(AI22="E11", AI22="E15"), "Raw materials",
  OR(AI22="E13", AI22="G13"), "Equipments + Toolings",
  TRUE, RIGHT(C22, 8)
)</f>
        <v>Raw materials</v>
      </c>
      <c r="G22" s="541" t="str" cm="1">
        <f t="array" ref="G22">IF(E22="Import",
  IFERROR(
    _xlfn.IFS(
      VLOOKUP(B22,[1]Material!F$5:U$90000,16,0)="LUC","Lucid",
      VLOOKUP(B22,[1]Material!F$5:U$90000,16,0)="FMC","FORD",
      OR(VLOOKUP(B22,[1]Material!F$5:U$90000,16,0)="PUR",VLOOKUP(B22,[1]Material!F$5:U$90000,16,0)="HLO"),"PURE",
      VLOOKUP(B22,[1]Material!F$5:U$90000,16,0)="AIC","AIC",
      OR(VLOOKUP(B22,[1]Material!F$5:U$90000,16,0)="AGI",VLOOKUP(B22,[1]Material!F$5:U$90000,16,0)="AGIGA"),"AGIGA",
      OR(LEFT(VLOOKUP(B22,[1]Material!F$5:U$90000,16,0),3)="EF-",VLOOKUP(B22,[1]Material!F$5:U$90000,16,0)="EFI"),"EFI",
      AND(ISNUMBER(VLOOKUP(B22,[1]Material!F$5:U$90000,16,0)),VLOOKUP(B22,[1]Material!F$5:U$90000,16,0)&gt;=100,VLOOKUP(B22,[1]Material!F$5:U$90000,16,0)&lt;=999,VLOOKUP(B22,[1]Material!F$5:U$90000,16,0)=INT(VLOOKUP(B22,[1]Material!F$5:U$90000,16,0))),"OEM",
      TRUE,""
    ),
    "không tìm thấy trong file Import"
  ),
  VLOOKUP(F22,'[2]Export shipment'!B:Y,24,0)
)</f>
        <v>PURE</v>
      </c>
      <c r="H22" s="184" t="e">
        <f>VLOOKUP(B22,[4]Export!I$3627:J$3898,2,0)</f>
        <v>#N/A</v>
      </c>
      <c r="I22" s="184" t="s">
        <v>2089</v>
      </c>
      <c r="J22" s="260">
        <f>(V22+X22+AA22)/'Logistics record '!$AD$1</f>
        <v>15.116015418335726</v>
      </c>
      <c r="K22" s="260">
        <f>W22/'Logistics record '!$AD$1</f>
        <v>0</v>
      </c>
      <c r="L22" s="260">
        <f>Y22/'Logistics record '!$AD$1</f>
        <v>0</v>
      </c>
      <c r="M22" s="260">
        <f>AF22/'Logistics record '!$AD$1</f>
        <v>60.750510165520367</v>
      </c>
      <c r="N22" s="260" t="str" cm="1">
        <f t="array" ref="N22">_xlfn.IFS(
    OR(UPPER(S22)="AIR", UPPER(S22)="CPN"), "AIR",
    UPPER(S22)="TC", "LOCAL",
    TRUE, "SEA"
)</f>
        <v>AIR</v>
      </c>
      <c r="O22" s="260">
        <f t="shared" si="4"/>
        <v>75.866525583856088</v>
      </c>
      <c r="P22" s="184" t="s">
        <v>949</v>
      </c>
      <c r="Q22" s="185">
        <v>108275530420</v>
      </c>
      <c r="R22" s="186">
        <v>46167</v>
      </c>
      <c r="S22" s="187" t="s">
        <v>65</v>
      </c>
      <c r="T22" s="188">
        <v>3.4</v>
      </c>
      <c r="U22" s="188"/>
      <c r="V22" s="189">
        <v>400000</v>
      </c>
      <c r="W22" s="190"/>
      <c r="X22" s="190"/>
      <c r="Y22" s="190"/>
      <c r="Z22" s="189">
        <f t="shared" si="0"/>
        <v>400000</v>
      </c>
      <c r="AA22" s="189">
        <v>0</v>
      </c>
      <c r="AB22" s="189">
        <f t="shared" si="5"/>
        <v>400000</v>
      </c>
      <c r="AC22" s="189"/>
      <c r="AD22" s="190">
        <v>1220400</v>
      </c>
      <c r="AE22" s="190">
        <v>387180</v>
      </c>
      <c r="AF22" s="191">
        <f t="shared" si="1"/>
        <v>1607580</v>
      </c>
      <c r="AG22" s="190">
        <f t="shared" si="2"/>
        <v>2007580</v>
      </c>
      <c r="AH22" s="190"/>
      <c r="AI22" s="192" t="str">
        <f>VLOOKUP(Q22,[3]Sheet1!B$11:G$1489,6,0)</f>
        <v>E11</v>
      </c>
      <c r="GK22" s="194"/>
      <c r="GL22" s="195"/>
      <c r="GM22" s="196"/>
      <c r="GN22" s="197"/>
      <c r="GO22" s="198"/>
      <c r="GP22" s="199"/>
      <c r="GQ22" s="200"/>
      <c r="GR22" s="201"/>
      <c r="GS22" s="60"/>
      <c r="GT22" s="202"/>
      <c r="GU22" s="202"/>
      <c r="GV22" s="202"/>
      <c r="GW22" s="202"/>
      <c r="GX22" s="203"/>
      <c r="HA22" s="194"/>
      <c r="HB22" s="195"/>
      <c r="HC22" s="196"/>
      <c r="HD22" s="197"/>
      <c r="HE22" s="198"/>
      <c r="HF22" s="199"/>
      <c r="HG22" s="200"/>
      <c r="HH22" s="201"/>
      <c r="HI22" s="60"/>
      <c r="HJ22" s="202"/>
      <c r="HK22" s="202"/>
      <c r="HL22" s="202"/>
      <c r="HM22" s="202"/>
      <c r="HN22" s="203"/>
    </row>
    <row r="23" spans="1:222" ht="16.5" customHeight="1">
      <c r="A23" s="181">
        <v>20</v>
      </c>
      <c r="B23" s="182" t="s">
        <v>2213</v>
      </c>
      <c r="C23" s="183" t="s">
        <v>2214</v>
      </c>
      <c r="D23" s="184" t="s">
        <v>940</v>
      </c>
      <c r="E23" s="184" t="str">
        <f t="shared" si="3"/>
        <v>Import</v>
      </c>
      <c r="F23" s="720" t="str" cm="1">
        <f t="array" ref="F23">_xlfn.IFS(
  OR(AI23="E11", AI23="E15"), "Raw materials",
  OR(AI23="E13", AI23="G13"), "Equipments + Toolings",
  TRUE, RIGHT(C23, 8)
)</f>
        <v>Raw materials</v>
      </c>
      <c r="G23" s="541" t="str" cm="1">
        <f t="array" ref="G23">IF(E23="Import",
  IFERROR(
    _xlfn.IFS(
      VLOOKUP(B23,[1]Material!F$5:U$90000,16,0)="LUC","Lucid",
      VLOOKUP(B23,[1]Material!F$5:U$90000,16,0)="FMC","FORD",
      OR(VLOOKUP(B23,[1]Material!F$5:U$90000,16,0)="PUR",VLOOKUP(B23,[1]Material!F$5:U$90000,16,0)="HLO"),"PURE",
      VLOOKUP(B23,[1]Material!F$5:U$90000,16,0)="AIC","AIC",
      OR(VLOOKUP(B23,[1]Material!F$5:U$90000,16,0)="AGI",VLOOKUP(B23,[1]Material!F$5:U$90000,16,0)="AGIGA"),"AGIGA",
      OR(LEFT(VLOOKUP(B23,[1]Material!F$5:U$90000,16,0),3)="EF-",VLOOKUP(B23,[1]Material!F$5:U$90000,16,0)="EFI"),"EFI",
      AND(ISNUMBER(VLOOKUP(B23,[1]Material!F$5:U$90000,16,0)),VLOOKUP(B23,[1]Material!F$5:U$90000,16,0)&gt;=100,VLOOKUP(B23,[1]Material!F$5:U$90000,16,0)&lt;=999,VLOOKUP(B23,[1]Material!F$5:U$90000,16,0)=INT(VLOOKUP(B23,[1]Material!F$5:U$90000,16,0))),"OEM",
      TRUE,""
    ),
    "không tìm thấy trong file Import"
  ),
  VLOOKUP(F23,'[2]Export shipment'!B:Y,24,0)
)</f>
        <v>PURE</v>
      </c>
      <c r="H23" s="184" t="e">
        <f>VLOOKUP(B23,[4]Export!I$3627:J$3898,2,0)</f>
        <v>#N/A</v>
      </c>
      <c r="I23" s="184" t="s">
        <v>2089</v>
      </c>
      <c r="J23" s="260">
        <f>(V23+X23+AA23)/'Logistics record '!$AD$1</f>
        <v>15.116015418335726</v>
      </c>
      <c r="K23" s="260">
        <f>W23/'Logistics record '!$AD$1</f>
        <v>0</v>
      </c>
      <c r="L23" s="260">
        <f>Y23/'Logistics record '!$AD$1</f>
        <v>0</v>
      </c>
      <c r="M23" s="260">
        <f>AF23/'Logistics record '!$AD$1</f>
        <v>60.750510165520367</v>
      </c>
      <c r="N23" s="260" t="str" cm="1">
        <f t="array" ref="N23">_xlfn.IFS(
    OR(UPPER(S23)="AIR", UPPER(S23)="CPN"), "AIR",
    UPPER(S23)="TC", "LOCAL",
    TRUE, "SEA"
)</f>
        <v>AIR</v>
      </c>
      <c r="O23" s="260">
        <f t="shared" si="4"/>
        <v>75.866525583856088</v>
      </c>
      <c r="P23" s="184" t="s">
        <v>949</v>
      </c>
      <c r="Q23" s="185">
        <v>108275574740</v>
      </c>
      <c r="R23" s="186">
        <v>46167</v>
      </c>
      <c r="S23" s="187" t="s">
        <v>65</v>
      </c>
      <c r="T23" s="188">
        <v>3.8</v>
      </c>
      <c r="U23" s="188"/>
      <c r="V23" s="189">
        <v>400000</v>
      </c>
      <c r="W23" s="190"/>
      <c r="X23" s="190"/>
      <c r="Y23" s="190"/>
      <c r="Z23" s="189">
        <f t="shared" si="0"/>
        <v>400000</v>
      </c>
      <c r="AA23" s="189">
        <v>0</v>
      </c>
      <c r="AB23" s="189">
        <f t="shared" si="5"/>
        <v>400000</v>
      </c>
      <c r="AC23" s="189"/>
      <c r="AD23" s="190">
        <v>1220400</v>
      </c>
      <c r="AE23" s="190">
        <v>387180</v>
      </c>
      <c r="AF23" s="191">
        <f t="shared" si="1"/>
        <v>1607580</v>
      </c>
      <c r="AG23" s="190">
        <f t="shared" si="2"/>
        <v>2007580</v>
      </c>
      <c r="AH23" s="190"/>
      <c r="AI23" s="192" t="str">
        <f>VLOOKUP(Q23,[3]Sheet1!B$11:G$1489,6,0)</f>
        <v>E11</v>
      </c>
      <c r="GK23" s="194"/>
      <c r="GL23" s="195"/>
      <c r="GM23" s="196"/>
      <c r="GN23" s="197"/>
      <c r="GO23" s="198"/>
      <c r="GP23" s="199"/>
      <c r="GQ23" s="200"/>
      <c r="GR23" s="201"/>
      <c r="GS23" s="60"/>
      <c r="GT23" s="202"/>
      <c r="GU23" s="202"/>
      <c r="GV23" s="202"/>
      <c r="GW23" s="202"/>
      <c r="GX23" s="203"/>
      <c r="HA23" s="194"/>
      <c r="HB23" s="195"/>
      <c r="HC23" s="196"/>
      <c r="HD23" s="197"/>
      <c r="HE23" s="198"/>
      <c r="HF23" s="199"/>
      <c r="HG23" s="200"/>
      <c r="HH23" s="201"/>
      <c r="HI23" s="60"/>
      <c r="HJ23" s="202"/>
      <c r="HK23" s="202"/>
      <c r="HL23" s="202"/>
      <c r="HM23" s="202"/>
      <c r="HN23" s="203"/>
    </row>
    <row r="24" spans="1:222" ht="16.5" customHeight="1">
      <c r="A24" s="181">
        <v>21</v>
      </c>
      <c r="B24" s="182" t="s">
        <v>2215</v>
      </c>
      <c r="C24" s="183" t="s">
        <v>2216</v>
      </c>
      <c r="D24" s="184" t="s">
        <v>940</v>
      </c>
      <c r="E24" s="184" t="str">
        <f t="shared" si="3"/>
        <v>Import</v>
      </c>
      <c r="F24" s="720" t="str" cm="1">
        <f t="array" ref="F24">_xlfn.IFS(
  OR(AI24="E11", AI24="E15"), "Raw materials",
  OR(AI24="E13", AI24="G13"), "Equipments + Toolings",
  TRUE, RIGHT(C24, 8)
)</f>
        <v>Raw materials</v>
      </c>
      <c r="G24" s="541" t="str" cm="1">
        <f t="array" ref="G24">IF(E24="Import",
  IFERROR(
    _xlfn.IFS(
      VLOOKUP(B24,[1]Material!F$5:U$90000,16,0)="LUC","Lucid",
      VLOOKUP(B24,[1]Material!F$5:U$90000,16,0)="FMC","FORD",
      OR(VLOOKUP(B24,[1]Material!F$5:U$90000,16,0)="PUR",VLOOKUP(B24,[1]Material!F$5:U$90000,16,0)="HLO"),"PURE",
      VLOOKUP(B24,[1]Material!F$5:U$90000,16,0)="AIC","AIC",
      OR(VLOOKUP(B24,[1]Material!F$5:U$90000,16,0)="AGI",VLOOKUP(B24,[1]Material!F$5:U$90000,16,0)="AGIGA"),"AGIGA",
      OR(LEFT(VLOOKUP(B24,[1]Material!F$5:U$90000,16,0),3)="EF-",VLOOKUP(B24,[1]Material!F$5:U$90000,16,0)="EFI"),"EFI",
      AND(ISNUMBER(VLOOKUP(B24,[1]Material!F$5:U$90000,16,0)),VLOOKUP(B24,[1]Material!F$5:U$90000,16,0)&gt;=100,VLOOKUP(B24,[1]Material!F$5:U$90000,16,0)&lt;=999,VLOOKUP(B24,[1]Material!F$5:U$90000,16,0)=INT(VLOOKUP(B24,[1]Material!F$5:U$90000,16,0))),"OEM",
      TRUE,""
    ),
    "không tìm thấy trong file Import"
  ),
  VLOOKUP(F24,'[2]Export shipment'!B:Y,24,0)
)</f>
        <v>PURE</v>
      </c>
      <c r="H24" s="184" t="e">
        <f>VLOOKUP(B24,[4]Export!I$3627:J$3898,2,0)</f>
        <v>#N/A</v>
      </c>
      <c r="I24" s="184" t="s">
        <v>2089</v>
      </c>
      <c r="J24" s="260">
        <f>(V24+X24+AA24)/'Logistics record '!$AD$1</f>
        <v>15.116015418335726</v>
      </c>
      <c r="K24" s="260">
        <f>W24/'Logistics record '!$AD$1</f>
        <v>0</v>
      </c>
      <c r="L24" s="260">
        <f>Y24/'Logistics record '!$AD$1</f>
        <v>0</v>
      </c>
      <c r="M24" s="260">
        <f>AF24/'Logistics record '!$AD$1</f>
        <v>60.750510165520367</v>
      </c>
      <c r="N24" s="260" t="str" cm="1">
        <f t="array" ref="N24">_xlfn.IFS(
    OR(UPPER(S24)="AIR", UPPER(S24)="CPN"), "AIR",
    UPPER(S24)="TC", "LOCAL",
    TRUE, "SEA"
)</f>
        <v>AIR</v>
      </c>
      <c r="O24" s="260">
        <f t="shared" si="4"/>
        <v>75.866525583856088</v>
      </c>
      <c r="P24" s="184" t="s">
        <v>949</v>
      </c>
      <c r="Q24" s="185">
        <v>108275582660</v>
      </c>
      <c r="R24" s="186">
        <v>46167</v>
      </c>
      <c r="S24" s="187" t="s">
        <v>65</v>
      </c>
      <c r="T24" s="188">
        <v>3.4</v>
      </c>
      <c r="U24" s="188"/>
      <c r="V24" s="189">
        <v>400000</v>
      </c>
      <c r="W24" s="190"/>
      <c r="X24" s="190"/>
      <c r="Y24" s="190"/>
      <c r="Z24" s="189">
        <f t="shared" si="0"/>
        <v>400000</v>
      </c>
      <c r="AA24" s="189">
        <v>0</v>
      </c>
      <c r="AB24" s="189">
        <f t="shared" si="5"/>
        <v>400000</v>
      </c>
      <c r="AC24" s="189"/>
      <c r="AD24" s="190">
        <v>1220400</v>
      </c>
      <c r="AE24" s="190">
        <v>387180</v>
      </c>
      <c r="AF24" s="191">
        <f t="shared" si="1"/>
        <v>1607580</v>
      </c>
      <c r="AG24" s="190">
        <f t="shared" si="2"/>
        <v>2007580</v>
      </c>
      <c r="AH24" s="190"/>
      <c r="AI24" s="192" t="str">
        <f>VLOOKUP(Q24,[3]Sheet1!B$11:G$1489,6,0)</f>
        <v>E11</v>
      </c>
      <c r="GK24" s="194"/>
      <c r="GL24" s="195"/>
      <c r="GM24" s="196"/>
      <c r="GN24" s="197"/>
      <c r="GO24" s="198"/>
      <c r="GP24" s="199"/>
      <c r="GQ24" s="200"/>
      <c r="GR24" s="201"/>
      <c r="GS24" s="60"/>
      <c r="GT24" s="202"/>
      <c r="GU24" s="202"/>
      <c r="GV24" s="202"/>
      <c r="GW24" s="202"/>
      <c r="GX24" s="203"/>
      <c r="HA24" s="194"/>
      <c r="HB24" s="195"/>
      <c r="HC24" s="196"/>
      <c r="HD24" s="197"/>
      <c r="HE24" s="198"/>
      <c r="HF24" s="199"/>
      <c r="HG24" s="200"/>
      <c r="HH24" s="201"/>
      <c r="HI24" s="60"/>
      <c r="HJ24" s="202"/>
      <c r="HK24" s="202"/>
      <c r="HL24" s="202"/>
      <c r="HM24" s="202"/>
      <c r="HN24" s="203"/>
    </row>
    <row r="25" spans="1:222" ht="16.5" customHeight="1">
      <c r="A25" s="181">
        <v>22</v>
      </c>
      <c r="B25" s="182" t="s">
        <v>2217</v>
      </c>
      <c r="C25" s="183" t="s">
        <v>2218</v>
      </c>
      <c r="D25" s="184" t="s">
        <v>940</v>
      </c>
      <c r="E25" s="184" t="str">
        <f t="shared" si="3"/>
        <v>Import</v>
      </c>
      <c r="F25" s="720" t="str" cm="1">
        <f t="array" ref="F25">_xlfn.IFS(
  OR(AI25="E11", AI25="E15"), "Raw materials",
  OR(AI25="E13", AI25="G13"), "Equipments + Toolings",
  TRUE, RIGHT(C25, 8)
)</f>
        <v>Raw materials</v>
      </c>
      <c r="G25" s="541" t="str" cm="1">
        <f t="array" ref="G25">IF(E25="Import",
  IFERROR(
    _xlfn.IFS(
      VLOOKUP(B25,[1]Material!F$5:U$90000,16,0)="LUC","Lucid",
      VLOOKUP(B25,[1]Material!F$5:U$90000,16,0)="FMC","FORD",
      OR(VLOOKUP(B25,[1]Material!F$5:U$90000,16,0)="PUR",VLOOKUP(B25,[1]Material!F$5:U$90000,16,0)="HLO"),"PURE",
      VLOOKUP(B25,[1]Material!F$5:U$90000,16,0)="AIC","AIC",
      OR(VLOOKUP(B25,[1]Material!F$5:U$90000,16,0)="AGI",VLOOKUP(B25,[1]Material!F$5:U$90000,16,0)="AGIGA"),"AGIGA",
      OR(LEFT(VLOOKUP(B25,[1]Material!F$5:U$90000,16,0),3)="EF-",VLOOKUP(B25,[1]Material!F$5:U$90000,16,0)="EFI"),"EFI",
      AND(ISNUMBER(VLOOKUP(B25,[1]Material!F$5:U$90000,16,0)),VLOOKUP(B25,[1]Material!F$5:U$90000,16,0)&gt;=100,VLOOKUP(B25,[1]Material!F$5:U$90000,16,0)&lt;=999,VLOOKUP(B25,[1]Material!F$5:U$90000,16,0)=INT(VLOOKUP(B25,[1]Material!F$5:U$90000,16,0))),"OEM",
      TRUE,""
    ),
    "không tìm thấy trong file Import"
  ),
  VLOOKUP(F25,'[2]Export shipment'!B:Y,24,0)
)</f>
        <v>PURE</v>
      </c>
      <c r="H25" s="184" t="e">
        <f>VLOOKUP(B25,[4]Export!I$3627:J$3898,2,0)</f>
        <v>#N/A</v>
      </c>
      <c r="I25" s="184" t="s">
        <v>2089</v>
      </c>
      <c r="J25" s="260">
        <f>(V25+X25+AA25)/'Logistics record '!$AD$1</f>
        <v>15.116015418335726</v>
      </c>
      <c r="K25" s="260">
        <f>W25/'Logistics record '!$AD$1</f>
        <v>0</v>
      </c>
      <c r="L25" s="260">
        <f>Y25/'Logistics record '!$AD$1</f>
        <v>0</v>
      </c>
      <c r="M25" s="260">
        <f>AF25/'Logistics record '!$AD$1</f>
        <v>60.750510165520367</v>
      </c>
      <c r="N25" s="260" t="str" cm="1">
        <f t="array" ref="N25">_xlfn.IFS(
    OR(UPPER(S25)="AIR", UPPER(S25)="CPN"), "AIR",
    UPPER(S25)="TC", "LOCAL",
    TRUE, "SEA"
)</f>
        <v>AIR</v>
      </c>
      <c r="O25" s="260">
        <f t="shared" si="4"/>
        <v>75.866525583856088</v>
      </c>
      <c r="P25" s="184" t="s">
        <v>949</v>
      </c>
      <c r="Q25" s="185">
        <v>108275605540</v>
      </c>
      <c r="R25" s="186">
        <v>46167</v>
      </c>
      <c r="S25" s="187" t="s">
        <v>65</v>
      </c>
      <c r="T25" s="188">
        <v>3.4</v>
      </c>
      <c r="U25" s="188"/>
      <c r="V25" s="189">
        <v>400000</v>
      </c>
      <c r="W25" s="190"/>
      <c r="X25" s="190"/>
      <c r="Y25" s="190"/>
      <c r="Z25" s="189">
        <f t="shared" si="0"/>
        <v>400000</v>
      </c>
      <c r="AA25" s="189">
        <v>0</v>
      </c>
      <c r="AB25" s="189">
        <f t="shared" si="5"/>
        <v>400000</v>
      </c>
      <c r="AC25" s="189"/>
      <c r="AD25" s="190">
        <v>1220400</v>
      </c>
      <c r="AE25" s="190">
        <v>387180</v>
      </c>
      <c r="AF25" s="191">
        <f t="shared" si="1"/>
        <v>1607580</v>
      </c>
      <c r="AG25" s="190">
        <f t="shared" si="2"/>
        <v>2007580</v>
      </c>
      <c r="AH25" s="190"/>
      <c r="AI25" s="192" t="str">
        <f>VLOOKUP(Q25,[3]Sheet1!B$11:G$1489,6,0)</f>
        <v>E11</v>
      </c>
      <c r="GK25" s="194"/>
      <c r="GL25" s="195"/>
      <c r="GM25" s="196"/>
      <c r="GN25" s="197"/>
      <c r="GO25" s="198"/>
      <c r="GP25" s="199"/>
      <c r="GQ25" s="200"/>
      <c r="GR25" s="201"/>
      <c r="GS25" s="60"/>
      <c r="GT25" s="202"/>
      <c r="GU25" s="202"/>
      <c r="GV25" s="202"/>
      <c r="GW25" s="202"/>
      <c r="GX25" s="203"/>
      <c r="HA25" s="194"/>
      <c r="HB25" s="195"/>
      <c r="HC25" s="196"/>
      <c r="HD25" s="197"/>
      <c r="HE25" s="198"/>
      <c r="HF25" s="199"/>
      <c r="HG25" s="200"/>
      <c r="HH25" s="201"/>
      <c r="HI25" s="60"/>
      <c r="HJ25" s="202"/>
      <c r="HK25" s="202"/>
      <c r="HL25" s="202"/>
      <c r="HM25" s="202"/>
      <c r="HN25" s="203"/>
    </row>
    <row r="26" spans="1:222" ht="16.5" customHeight="1">
      <c r="A26" s="181">
        <v>23</v>
      </c>
      <c r="B26" s="182" t="s">
        <v>2219</v>
      </c>
      <c r="C26" s="598" t="s">
        <v>2220</v>
      </c>
      <c r="D26" s="184" t="s">
        <v>940</v>
      </c>
      <c r="E26" s="184" t="str">
        <f t="shared" si="3"/>
        <v>Import</v>
      </c>
      <c r="F26" s="720" t="str" cm="1">
        <f t="array" ref="F26">_xlfn.IFS(
  OR(AI26="E11", AI26="E15"), "Raw materials",
  OR(AI26="E13", AI26="G13"), "Equipments + Toolings",
  TRUE, RIGHT(C26, 8)
)</f>
        <v>Raw materials</v>
      </c>
      <c r="G26" s="541" t="str" cm="1">
        <f t="array" ref="G26">IF(E26="Import",
  IFERROR(
    _xlfn.IFS(
      VLOOKUP(B26,[1]Material!F$5:U$90000,16,0)="LUC","Lucid",
      VLOOKUP(B26,[1]Material!F$5:U$90000,16,0)="FMC","FORD",
      OR(VLOOKUP(B26,[1]Material!F$5:U$90000,16,0)="PUR",VLOOKUP(B26,[1]Material!F$5:U$90000,16,0)="HLO"),"PURE",
      VLOOKUP(B26,[1]Material!F$5:U$90000,16,0)="AIC","AIC",
      OR(VLOOKUP(B26,[1]Material!F$5:U$90000,16,0)="AGI",VLOOKUP(B26,[1]Material!F$5:U$90000,16,0)="AGIGA"),"AGIGA",
      OR(LEFT(VLOOKUP(B26,[1]Material!F$5:U$90000,16,0),3)="EF-",VLOOKUP(B26,[1]Material!F$5:U$90000,16,0)="EFI"),"EFI",
      AND(ISNUMBER(VLOOKUP(B26,[1]Material!F$5:U$90000,16,0)),VLOOKUP(B26,[1]Material!F$5:U$90000,16,0)&gt;=100,VLOOKUP(B26,[1]Material!F$5:U$90000,16,0)&lt;=999,VLOOKUP(B26,[1]Material!F$5:U$90000,16,0)=INT(VLOOKUP(B26,[1]Material!F$5:U$90000,16,0))),"OEM",
      TRUE,""
    ),
    "không tìm thấy trong file Import"
  ),
  VLOOKUP(F26,'[2]Export shipment'!B:Y,24,0)
)</f>
        <v>PURE</v>
      </c>
      <c r="H26" s="184" t="e">
        <f>VLOOKUP(B26,[4]Export!I$3627:J$3898,2,0)</f>
        <v>#N/A</v>
      </c>
      <c r="I26" s="184" t="s">
        <v>2089</v>
      </c>
      <c r="J26" s="260">
        <f>(V26+X26+AA26)/'Logistics record '!$AD$1</f>
        <v>15.116015418335726</v>
      </c>
      <c r="K26" s="260">
        <f>W26/'Logistics record '!$AD$1</f>
        <v>0</v>
      </c>
      <c r="L26" s="260">
        <f>Y26/'Logistics record '!$AD$1</f>
        <v>0</v>
      </c>
      <c r="M26" s="260">
        <f>AF26/'Logistics record '!$AD$1</f>
        <v>60.750510165520367</v>
      </c>
      <c r="N26" s="260" t="str" cm="1">
        <f t="array" ref="N26">_xlfn.IFS(
    OR(UPPER(S26)="AIR", UPPER(S26)="CPN"), "AIR",
    UPPER(S26)="TC", "LOCAL",
    TRUE, "SEA"
)</f>
        <v>AIR</v>
      </c>
      <c r="O26" s="260">
        <f t="shared" si="4"/>
        <v>75.866525583856088</v>
      </c>
      <c r="P26" s="184" t="s">
        <v>949</v>
      </c>
      <c r="Q26" s="185">
        <v>108275623740</v>
      </c>
      <c r="R26" s="186">
        <v>46167</v>
      </c>
      <c r="S26" s="187" t="s">
        <v>65</v>
      </c>
      <c r="T26" s="188">
        <v>3.4</v>
      </c>
      <c r="U26" s="188"/>
      <c r="V26" s="189">
        <v>400000</v>
      </c>
      <c r="W26" s="190"/>
      <c r="X26" s="190"/>
      <c r="Y26" s="190"/>
      <c r="Z26" s="189">
        <f t="shared" si="0"/>
        <v>400000</v>
      </c>
      <c r="AA26" s="189">
        <v>0</v>
      </c>
      <c r="AB26" s="189">
        <f t="shared" si="5"/>
        <v>400000</v>
      </c>
      <c r="AC26" s="189"/>
      <c r="AD26" s="190">
        <v>1220400</v>
      </c>
      <c r="AE26" s="190">
        <v>387180</v>
      </c>
      <c r="AF26" s="191">
        <f t="shared" si="1"/>
        <v>1607580</v>
      </c>
      <c r="AG26" s="190">
        <f t="shared" si="2"/>
        <v>2007580</v>
      </c>
      <c r="AH26" s="190"/>
      <c r="AI26" s="192" t="str">
        <f>VLOOKUP(Q26,[3]Sheet1!B$11:G$1489,6,0)</f>
        <v>E11</v>
      </c>
      <c r="GK26" s="194"/>
      <c r="GL26" s="195"/>
      <c r="GM26" s="196"/>
      <c r="GN26" s="197"/>
      <c r="GO26" s="198"/>
      <c r="GP26" s="199"/>
      <c r="GQ26" s="200"/>
      <c r="GR26" s="201"/>
      <c r="GS26" s="60"/>
      <c r="GT26" s="202"/>
      <c r="GU26" s="202"/>
      <c r="GV26" s="202"/>
      <c r="GW26" s="202"/>
      <c r="GX26" s="203"/>
      <c r="HA26" s="194"/>
      <c r="HB26" s="195"/>
      <c r="HC26" s="196"/>
      <c r="HD26" s="197"/>
      <c r="HE26" s="198"/>
      <c r="HF26" s="199"/>
      <c r="HG26" s="200"/>
      <c r="HH26" s="201"/>
      <c r="HI26" s="60"/>
      <c r="HJ26" s="202"/>
      <c r="HK26" s="202"/>
      <c r="HL26" s="202"/>
      <c r="HM26" s="202"/>
      <c r="HN26" s="203"/>
    </row>
    <row r="27" spans="1:222" ht="16.5" customHeight="1">
      <c r="A27" s="181">
        <v>24</v>
      </c>
      <c r="B27" s="182" t="s">
        <v>2221</v>
      </c>
      <c r="C27" s="183" t="s">
        <v>2222</v>
      </c>
      <c r="D27" s="184" t="s">
        <v>940</v>
      </c>
      <c r="E27" s="184" t="str">
        <f t="shared" si="3"/>
        <v>Import</v>
      </c>
      <c r="F27" s="720" t="str" cm="1">
        <f t="array" ref="F27">_xlfn.IFS(
  OR(AI27="E11", AI27="E15"), "Raw materials",
  OR(AI27="E13", AI27="G13"), "Equipments + Toolings",
  TRUE, RIGHT(C27, 8)
)</f>
        <v>Raw materials</v>
      </c>
      <c r="G27" s="541" t="str" cm="1">
        <f t="array" ref="G27">IF(E27="Import",
  IFERROR(
    _xlfn.IFS(
      VLOOKUP(B27,[1]Material!F$5:U$90000,16,0)="LUC","Lucid",
      VLOOKUP(B27,[1]Material!F$5:U$90000,16,0)="FMC","FORD",
      OR(VLOOKUP(B27,[1]Material!F$5:U$90000,16,0)="PUR",VLOOKUP(B27,[1]Material!F$5:U$90000,16,0)="HLO"),"PURE",
      VLOOKUP(B27,[1]Material!F$5:U$90000,16,0)="AIC","AIC",
      OR(VLOOKUP(B27,[1]Material!F$5:U$90000,16,0)="AGI",VLOOKUP(B27,[1]Material!F$5:U$90000,16,0)="AGIGA"),"AGIGA",
      OR(LEFT(VLOOKUP(B27,[1]Material!F$5:U$90000,16,0),3)="EF-",VLOOKUP(B27,[1]Material!F$5:U$90000,16,0)="EFI"),"EFI",
      AND(ISNUMBER(VLOOKUP(B27,[1]Material!F$5:U$90000,16,0)),VLOOKUP(B27,[1]Material!F$5:U$90000,16,0)&gt;=100,VLOOKUP(B27,[1]Material!F$5:U$90000,16,0)&lt;=999,VLOOKUP(B27,[1]Material!F$5:U$90000,16,0)=INT(VLOOKUP(B27,[1]Material!F$5:U$90000,16,0))),"OEM",
      TRUE,""
    ),
    "không tìm thấy trong file Import"
  ),
  VLOOKUP(F27,'[2]Export shipment'!B:Y,24,0)
)</f>
        <v>PURE</v>
      </c>
      <c r="H27" s="184" t="e">
        <f>VLOOKUP(B27,[4]Export!I$3627:J$3898,2,0)</f>
        <v>#N/A</v>
      </c>
      <c r="I27" s="184" t="s">
        <v>2089</v>
      </c>
      <c r="J27" s="260">
        <f>(V27+X27+AA27)/'Logistics record '!$AD$1</f>
        <v>15.116015418335726</v>
      </c>
      <c r="K27" s="260">
        <f>W27/'Logistics record '!$AD$1</f>
        <v>0</v>
      </c>
      <c r="L27" s="260">
        <f>Y27/'Logistics record '!$AD$1</f>
        <v>0</v>
      </c>
      <c r="M27" s="260">
        <f>AF27/'Logistics record '!$AD$1</f>
        <v>60.750510165520367</v>
      </c>
      <c r="N27" s="260" t="str" cm="1">
        <f t="array" ref="N27">_xlfn.IFS(
    OR(UPPER(S27)="AIR", UPPER(S27)="CPN"), "AIR",
    UPPER(S27)="TC", "LOCAL",
    TRUE, "SEA"
)</f>
        <v>AIR</v>
      </c>
      <c r="O27" s="260">
        <f t="shared" si="4"/>
        <v>75.866525583856088</v>
      </c>
      <c r="P27" s="184" t="s">
        <v>949</v>
      </c>
      <c r="Q27" s="185">
        <v>108275640430</v>
      </c>
      <c r="R27" s="186">
        <v>46167</v>
      </c>
      <c r="S27" s="187" t="s">
        <v>65</v>
      </c>
      <c r="T27" s="188">
        <v>3.4</v>
      </c>
      <c r="U27" s="188"/>
      <c r="V27" s="189">
        <v>400000</v>
      </c>
      <c r="W27" s="190"/>
      <c r="X27" s="190"/>
      <c r="Y27" s="190"/>
      <c r="Z27" s="189">
        <f t="shared" si="0"/>
        <v>400000</v>
      </c>
      <c r="AA27" s="189">
        <v>0</v>
      </c>
      <c r="AB27" s="189">
        <f t="shared" si="5"/>
        <v>400000</v>
      </c>
      <c r="AC27" s="189"/>
      <c r="AD27" s="190">
        <v>1220400</v>
      </c>
      <c r="AE27" s="190">
        <v>387180</v>
      </c>
      <c r="AF27" s="191">
        <f t="shared" si="1"/>
        <v>1607580</v>
      </c>
      <c r="AG27" s="190">
        <f t="shared" si="2"/>
        <v>2007580</v>
      </c>
      <c r="AH27" s="190"/>
      <c r="AI27" s="192" t="str">
        <f>VLOOKUP(Q27,[3]Sheet1!B$11:G$1489,6,0)</f>
        <v>E11</v>
      </c>
      <c r="GK27" s="194"/>
      <c r="GL27" s="195"/>
      <c r="GM27" s="196"/>
      <c r="GN27" s="197"/>
      <c r="GO27" s="198"/>
      <c r="GP27" s="199"/>
      <c r="GQ27" s="200"/>
      <c r="GR27" s="201"/>
      <c r="GS27" s="60"/>
      <c r="GT27" s="202"/>
      <c r="GU27" s="202"/>
      <c r="GV27" s="202"/>
      <c r="GW27" s="202"/>
      <c r="GX27" s="203"/>
      <c r="HA27" s="194"/>
      <c r="HB27" s="195"/>
      <c r="HC27" s="196"/>
      <c r="HD27" s="197"/>
      <c r="HE27" s="198"/>
      <c r="HF27" s="199"/>
      <c r="HG27" s="200"/>
      <c r="HH27" s="201"/>
      <c r="HI27" s="60"/>
      <c r="HJ27" s="202"/>
      <c r="HK27" s="202"/>
      <c r="HL27" s="202"/>
      <c r="HM27" s="202"/>
      <c r="HN27" s="203"/>
    </row>
    <row r="28" spans="1:222" ht="16.5" customHeight="1">
      <c r="A28" s="181">
        <v>25</v>
      </c>
      <c r="B28" s="182" t="s">
        <v>2223</v>
      </c>
      <c r="C28" s="183" t="s">
        <v>2224</v>
      </c>
      <c r="D28" s="184" t="s">
        <v>940</v>
      </c>
      <c r="E28" s="184" t="str">
        <f t="shared" si="3"/>
        <v>Import</v>
      </c>
      <c r="F28" s="720" t="str" cm="1">
        <f t="array" ref="F28">_xlfn.IFS(
  OR(AI28="E11", AI28="E15"), "Raw materials",
  OR(AI28="E13", AI28="G13"), "Equipments + Toolings",
  TRUE, RIGHT(C28, 8)
)</f>
        <v>Raw materials</v>
      </c>
      <c r="G28" s="541" t="str" cm="1">
        <f t="array" ref="G28">IF(E28="Import",
  IFERROR(
    _xlfn.IFS(
      VLOOKUP(B28,[1]Material!F$5:U$90000,16,0)="LUC","Lucid",
      VLOOKUP(B28,[1]Material!F$5:U$90000,16,0)="FMC","FORD",
      OR(VLOOKUP(B28,[1]Material!F$5:U$90000,16,0)="PUR",VLOOKUP(B28,[1]Material!F$5:U$90000,16,0)="HLO"),"PURE",
      VLOOKUP(B28,[1]Material!F$5:U$90000,16,0)="AIC","AIC",
      OR(VLOOKUP(B28,[1]Material!F$5:U$90000,16,0)="AGI",VLOOKUP(B28,[1]Material!F$5:U$90000,16,0)="AGIGA"),"AGIGA",
      OR(LEFT(VLOOKUP(B28,[1]Material!F$5:U$90000,16,0),3)="EF-",VLOOKUP(B28,[1]Material!F$5:U$90000,16,0)="EFI"),"EFI",
      AND(ISNUMBER(VLOOKUP(B28,[1]Material!F$5:U$90000,16,0)),VLOOKUP(B28,[1]Material!F$5:U$90000,16,0)&gt;=100,VLOOKUP(B28,[1]Material!F$5:U$90000,16,0)&lt;=999,VLOOKUP(B28,[1]Material!F$5:U$90000,16,0)=INT(VLOOKUP(B28,[1]Material!F$5:U$90000,16,0))),"OEM",
      TRUE,""
    ),
    "không tìm thấy trong file Import"
  ),
  VLOOKUP(F28,'[2]Export shipment'!B:Y,24,0)
)</f>
        <v>PURE</v>
      </c>
      <c r="H28" s="184" t="e">
        <f>VLOOKUP(B28,[4]Export!I$3627:J$3898,2,0)</f>
        <v>#N/A</v>
      </c>
      <c r="I28" s="184" t="s">
        <v>2089</v>
      </c>
      <c r="J28" s="260">
        <f>(V28+X28+AA28)/'Logistics record '!$AD$1</f>
        <v>15.116015418335726</v>
      </c>
      <c r="K28" s="260">
        <f>W28/'Logistics record '!$AD$1</f>
        <v>0</v>
      </c>
      <c r="L28" s="260">
        <f>Y28/'Logistics record '!$AD$1</f>
        <v>0</v>
      </c>
      <c r="M28" s="260">
        <f>AF28/'Logistics record '!$AD$1</f>
        <v>60.750510165520367</v>
      </c>
      <c r="N28" s="260" t="str" cm="1">
        <f t="array" ref="N28">_xlfn.IFS(
    OR(UPPER(S28)="AIR", UPPER(S28)="CPN"), "AIR",
    UPPER(S28)="TC", "LOCAL",
    TRUE, "SEA"
)</f>
        <v>AIR</v>
      </c>
      <c r="O28" s="260">
        <f t="shared" si="4"/>
        <v>75.866525583856088</v>
      </c>
      <c r="P28" s="184" t="s">
        <v>949</v>
      </c>
      <c r="Q28" s="185">
        <v>108275655020</v>
      </c>
      <c r="R28" s="186">
        <v>46167</v>
      </c>
      <c r="S28" s="187" t="s">
        <v>65</v>
      </c>
      <c r="T28" s="188">
        <v>3.4</v>
      </c>
      <c r="U28" s="188"/>
      <c r="V28" s="189">
        <v>400000</v>
      </c>
      <c r="W28" s="190"/>
      <c r="X28" s="190"/>
      <c r="Y28" s="190"/>
      <c r="Z28" s="189">
        <f t="shared" si="0"/>
        <v>400000</v>
      </c>
      <c r="AA28" s="189">
        <v>0</v>
      </c>
      <c r="AB28" s="189">
        <f t="shared" si="5"/>
        <v>400000</v>
      </c>
      <c r="AC28" s="189"/>
      <c r="AD28" s="190">
        <v>1220400</v>
      </c>
      <c r="AE28" s="190">
        <v>387180</v>
      </c>
      <c r="AF28" s="191">
        <f t="shared" si="1"/>
        <v>1607580</v>
      </c>
      <c r="AG28" s="190">
        <f t="shared" si="2"/>
        <v>2007580</v>
      </c>
      <c r="AH28" s="190"/>
      <c r="AI28" s="192" t="str">
        <f>VLOOKUP(Q28,[3]Sheet1!B$11:G$1489,6,0)</f>
        <v>E11</v>
      </c>
      <c r="GK28" s="194"/>
      <c r="GL28" s="195"/>
      <c r="GM28" s="196"/>
      <c r="GN28" s="197"/>
      <c r="GO28" s="198"/>
      <c r="GP28" s="199"/>
      <c r="GQ28" s="200"/>
      <c r="GR28" s="201"/>
      <c r="GS28" s="60"/>
      <c r="GT28" s="202"/>
      <c r="GU28" s="202"/>
      <c r="GV28" s="202"/>
      <c r="GW28" s="202"/>
      <c r="GX28" s="203"/>
      <c r="HA28" s="194"/>
      <c r="HB28" s="195"/>
      <c r="HC28" s="196"/>
      <c r="HD28" s="197"/>
      <c r="HE28" s="198"/>
      <c r="HF28" s="199"/>
      <c r="HG28" s="200"/>
      <c r="HH28" s="201"/>
      <c r="HI28" s="60"/>
      <c r="HJ28" s="202"/>
      <c r="HK28" s="202"/>
      <c r="HL28" s="202"/>
      <c r="HM28" s="202"/>
      <c r="HN28" s="203"/>
    </row>
    <row r="29" spans="1:222" ht="16.5" customHeight="1">
      <c r="A29" s="181">
        <v>26</v>
      </c>
      <c r="B29" s="182" t="s">
        <v>2225</v>
      </c>
      <c r="C29" s="598" t="s">
        <v>2226</v>
      </c>
      <c r="D29" s="184" t="s">
        <v>940</v>
      </c>
      <c r="E29" s="184" t="str">
        <f t="shared" si="3"/>
        <v>Import</v>
      </c>
      <c r="F29" s="720" t="str" cm="1">
        <f t="array" ref="F29">_xlfn.IFS(
  OR(AI29="E11", AI29="E15"), "Raw materials",
  OR(AI29="E13", AI29="G13"), "Equipments + Toolings",
  TRUE, RIGHT(C29, 8)
)</f>
        <v>Raw materials</v>
      </c>
      <c r="G29" s="541" t="str" cm="1">
        <f t="array" ref="G29">IF(E29="Import",
  IFERROR(
    _xlfn.IFS(
      VLOOKUP(B29,[1]Material!F$5:U$90000,16,0)="LUC","Lucid",
      VLOOKUP(B29,[1]Material!F$5:U$90000,16,0)="FMC","FORD",
      OR(VLOOKUP(B29,[1]Material!F$5:U$90000,16,0)="PUR",VLOOKUP(B29,[1]Material!F$5:U$90000,16,0)="HLO"),"PURE",
      VLOOKUP(B29,[1]Material!F$5:U$90000,16,0)="AIC","AIC",
      OR(VLOOKUP(B29,[1]Material!F$5:U$90000,16,0)="AGI",VLOOKUP(B29,[1]Material!F$5:U$90000,16,0)="AGIGA"),"AGIGA",
      OR(LEFT(VLOOKUP(B29,[1]Material!F$5:U$90000,16,0),3)="EF-",VLOOKUP(B29,[1]Material!F$5:U$90000,16,0)="EFI"),"EFI",
      AND(ISNUMBER(VLOOKUP(B29,[1]Material!F$5:U$90000,16,0)),VLOOKUP(B29,[1]Material!F$5:U$90000,16,0)&gt;=100,VLOOKUP(B29,[1]Material!F$5:U$90000,16,0)&lt;=999,VLOOKUP(B29,[1]Material!F$5:U$90000,16,0)=INT(VLOOKUP(B29,[1]Material!F$5:U$90000,16,0))),"OEM",
      TRUE,""
    ),
    "không tìm thấy trong file Import"
  ),
  VLOOKUP(F29,'[2]Export shipment'!B:Y,24,0)
)</f>
        <v>PURE</v>
      </c>
      <c r="H29" s="184" t="e">
        <f>VLOOKUP(B29,[4]Export!I$3627:J$3898,2,0)</f>
        <v>#N/A</v>
      </c>
      <c r="I29" s="184" t="s">
        <v>2089</v>
      </c>
      <c r="J29" s="260">
        <f>(V29+X29+AA29)/'Logistics record '!$AD$1</f>
        <v>15.116015418335726</v>
      </c>
      <c r="K29" s="260">
        <f>W29/'Logistics record '!$AD$1</f>
        <v>0</v>
      </c>
      <c r="L29" s="260">
        <f>Y29/'Logistics record '!$AD$1</f>
        <v>0</v>
      </c>
      <c r="M29" s="260">
        <f>AF29/'Logistics record '!$AD$1</f>
        <v>60.750510165520367</v>
      </c>
      <c r="N29" s="260" t="str" cm="1">
        <f t="array" ref="N29">_xlfn.IFS(
    OR(UPPER(S29)="AIR", UPPER(S29)="CPN"), "AIR",
    UPPER(S29)="TC", "LOCAL",
    TRUE, "SEA"
)</f>
        <v>AIR</v>
      </c>
      <c r="O29" s="260">
        <f t="shared" si="4"/>
        <v>75.866525583856088</v>
      </c>
      <c r="P29" s="184" t="s">
        <v>949</v>
      </c>
      <c r="Q29" s="185">
        <v>108275660360</v>
      </c>
      <c r="R29" s="186">
        <v>46167</v>
      </c>
      <c r="S29" s="187" t="s">
        <v>65</v>
      </c>
      <c r="T29" s="188">
        <v>3.4</v>
      </c>
      <c r="U29" s="188"/>
      <c r="V29" s="189">
        <v>400000</v>
      </c>
      <c r="W29" s="190"/>
      <c r="X29" s="190"/>
      <c r="Y29" s="190"/>
      <c r="Z29" s="189">
        <f t="shared" si="0"/>
        <v>400000</v>
      </c>
      <c r="AA29" s="189">
        <v>0</v>
      </c>
      <c r="AB29" s="189">
        <f t="shared" si="5"/>
        <v>400000</v>
      </c>
      <c r="AC29" s="189"/>
      <c r="AD29" s="190">
        <v>1220400</v>
      </c>
      <c r="AE29" s="190">
        <v>387180</v>
      </c>
      <c r="AF29" s="191">
        <f t="shared" si="1"/>
        <v>1607580</v>
      </c>
      <c r="AG29" s="190">
        <f t="shared" si="2"/>
        <v>2007580</v>
      </c>
      <c r="AH29" s="190"/>
      <c r="AI29" s="192" t="str">
        <f>VLOOKUP(Q29,[3]Sheet1!B$11:G$1489,6,0)</f>
        <v>E11</v>
      </c>
      <c r="GK29" s="194"/>
      <c r="GL29" s="195"/>
      <c r="GM29" s="196"/>
      <c r="GN29" s="197"/>
      <c r="GO29" s="198"/>
      <c r="GP29" s="199"/>
      <c r="GQ29" s="200"/>
      <c r="GR29" s="201"/>
      <c r="GS29" s="60"/>
      <c r="GT29" s="202"/>
      <c r="GU29" s="202"/>
      <c r="GV29" s="202"/>
      <c r="GW29" s="202"/>
      <c r="GX29" s="203"/>
      <c r="HA29" s="194"/>
      <c r="HB29" s="195"/>
      <c r="HC29" s="196"/>
      <c r="HD29" s="197"/>
      <c r="HE29" s="198"/>
      <c r="HF29" s="199"/>
      <c r="HG29" s="200"/>
      <c r="HH29" s="201"/>
      <c r="HI29" s="60"/>
      <c r="HJ29" s="202"/>
      <c r="HK29" s="202"/>
      <c r="HL29" s="202"/>
      <c r="HM29" s="202"/>
      <c r="HN29" s="203"/>
    </row>
    <row r="30" spans="1:222" ht="16.5" customHeight="1">
      <c r="A30" s="181">
        <v>27</v>
      </c>
      <c r="B30" s="182" t="s">
        <v>2227</v>
      </c>
      <c r="C30" s="183" t="s">
        <v>2228</v>
      </c>
      <c r="D30" s="184" t="s">
        <v>940</v>
      </c>
      <c r="E30" s="184" t="str">
        <f t="shared" si="3"/>
        <v>Import</v>
      </c>
      <c r="F30" s="720" t="str" cm="1">
        <f t="array" ref="F30">_xlfn.IFS(
  OR(AI30="E11", AI30="E15"), "Raw materials",
  OR(AI30="E13", AI30="G13"), "Equipments + Toolings",
  TRUE, RIGHT(C30, 8)
)</f>
        <v>Raw materials</v>
      </c>
      <c r="G30" s="541" t="str" cm="1">
        <f t="array" ref="G30">IF(E30="Import",
  IFERROR(
    _xlfn.IFS(
      VLOOKUP(B30,[1]Material!F$5:U$90000,16,0)="LUC","Lucid",
      VLOOKUP(B30,[1]Material!F$5:U$90000,16,0)="FMC","FORD",
      OR(VLOOKUP(B30,[1]Material!F$5:U$90000,16,0)="PUR",VLOOKUP(B30,[1]Material!F$5:U$90000,16,0)="HLO"),"PURE",
      VLOOKUP(B30,[1]Material!F$5:U$90000,16,0)="AIC","AIC",
      OR(VLOOKUP(B30,[1]Material!F$5:U$90000,16,0)="AGI",VLOOKUP(B30,[1]Material!F$5:U$90000,16,0)="AGIGA"),"AGIGA",
      OR(LEFT(VLOOKUP(B30,[1]Material!F$5:U$90000,16,0),3)="EF-",VLOOKUP(B30,[1]Material!F$5:U$90000,16,0)="EFI"),"EFI",
      AND(ISNUMBER(VLOOKUP(B30,[1]Material!F$5:U$90000,16,0)),VLOOKUP(B30,[1]Material!F$5:U$90000,16,0)&gt;=100,VLOOKUP(B30,[1]Material!F$5:U$90000,16,0)&lt;=999,VLOOKUP(B30,[1]Material!F$5:U$90000,16,0)=INT(VLOOKUP(B30,[1]Material!F$5:U$90000,16,0))),"OEM",
      TRUE,""
    ),
    "không tìm thấy trong file Import"
  ),
  VLOOKUP(F30,'[2]Export shipment'!B:Y,24,0)
)</f>
        <v>PURE</v>
      </c>
      <c r="H30" s="184" t="e">
        <f>VLOOKUP(B30,[4]Export!I$3627:J$3898,2,0)</f>
        <v>#N/A</v>
      </c>
      <c r="I30" s="184" t="s">
        <v>2089</v>
      </c>
      <c r="J30" s="260">
        <f>(V30+X30+AA30)/'Logistics record '!$AD$1</f>
        <v>15.116015418335726</v>
      </c>
      <c r="K30" s="260">
        <f>W30/'Logistics record '!$AD$1</f>
        <v>0</v>
      </c>
      <c r="L30" s="260">
        <f>Y30/'Logistics record '!$AD$1</f>
        <v>0</v>
      </c>
      <c r="M30" s="260">
        <f>AF30/'Logistics record '!$AD$1</f>
        <v>60.750510165520367</v>
      </c>
      <c r="N30" s="260" t="str" cm="1">
        <f t="array" ref="N30">_xlfn.IFS(
    OR(UPPER(S30)="AIR", UPPER(S30)="CPN"), "AIR",
    UPPER(S30)="TC", "LOCAL",
    TRUE, "SEA"
)</f>
        <v>AIR</v>
      </c>
      <c r="O30" s="260">
        <f t="shared" si="4"/>
        <v>75.866525583856088</v>
      </c>
      <c r="P30" s="184" t="s">
        <v>949</v>
      </c>
      <c r="Q30" s="185">
        <v>108275668760</v>
      </c>
      <c r="R30" s="186">
        <v>46167</v>
      </c>
      <c r="S30" s="187" t="s">
        <v>65</v>
      </c>
      <c r="T30" s="188">
        <v>3.4</v>
      </c>
      <c r="U30" s="188"/>
      <c r="V30" s="189">
        <v>400000</v>
      </c>
      <c r="W30" s="190"/>
      <c r="X30" s="190"/>
      <c r="Y30" s="190"/>
      <c r="Z30" s="189">
        <f t="shared" si="0"/>
        <v>400000</v>
      </c>
      <c r="AA30" s="189">
        <v>0</v>
      </c>
      <c r="AB30" s="189">
        <f t="shared" si="5"/>
        <v>400000</v>
      </c>
      <c r="AC30" s="189"/>
      <c r="AD30" s="190">
        <v>1220400</v>
      </c>
      <c r="AE30" s="190">
        <v>387180</v>
      </c>
      <c r="AF30" s="191">
        <f t="shared" si="1"/>
        <v>1607580</v>
      </c>
      <c r="AG30" s="190">
        <f t="shared" si="2"/>
        <v>2007580</v>
      </c>
      <c r="AH30" s="190"/>
      <c r="AI30" s="192" t="str">
        <f>VLOOKUP(Q30,[3]Sheet1!B$11:G$1489,6,0)</f>
        <v>E11</v>
      </c>
      <c r="GK30" s="194"/>
      <c r="GL30" s="195"/>
      <c r="GM30" s="196"/>
      <c r="GN30" s="197"/>
      <c r="GO30" s="198"/>
      <c r="GP30" s="199"/>
      <c r="GQ30" s="200"/>
      <c r="GR30" s="201"/>
      <c r="GS30" s="60"/>
      <c r="GT30" s="202"/>
      <c r="GU30" s="202"/>
      <c r="GV30" s="202"/>
      <c r="GW30" s="202"/>
      <c r="GX30" s="203"/>
      <c r="HA30" s="194"/>
      <c r="HB30" s="195"/>
      <c r="HC30" s="196"/>
      <c r="HD30" s="197"/>
      <c r="HE30" s="198"/>
      <c r="HF30" s="199"/>
      <c r="HG30" s="200"/>
      <c r="HH30" s="201"/>
      <c r="HI30" s="60"/>
      <c r="HJ30" s="202"/>
      <c r="HK30" s="202"/>
      <c r="HL30" s="202"/>
      <c r="HM30" s="202"/>
      <c r="HN30" s="203"/>
    </row>
    <row r="31" spans="1:222" ht="16.5" customHeight="1">
      <c r="A31" s="181">
        <v>28</v>
      </c>
      <c r="B31" s="182" t="s">
        <v>2229</v>
      </c>
      <c r="C31" s="598" t="s">
        <v>2230</v>
      </c>
      <c r="D31" s="184" t="s">
        <v>940</v>
      </c>
      <c r="E31" s="184" t="str">
        <f t="shared" si="3"/>
        <v>Import</v>
      </c>
      <c r="F31" s="720" t="str" cm="1">
        <f t="array" ref="F31">_xlfn.IFS(
  OR(AI31="E11", AI31="E15"), "Raw materials",
  OR(AI31="E13", AI31="G13"), "Equipments + Toolings",
  TRUE, RIGHT(C31, 8)
)</f>
        <v>Raw materials</v>
      </c>
      <c r="G31" s="541" t="str" cm="1">
        <f t="array" ref="G31">IF(E31="Import",
  IFERROR(
    _xlfn.IFS(
      VLOOKUP(B31,[1]Material!F$5:U$90000,16,0)="LUC","Lucid",
      VLOOKUP(B31,[1]Material!F$5:U$90000,16,0)="FMC","FORD",
      OR(VLOOKUP(B31,[1]Material!F$5:U$90000,16,0)="PUR",VLOOKUP(B31,[1]Material!F$5:U$90000,16,0)="HLO"),"PURE",
      VLOOKUP(B31,[1]Material!F$5:U$90000,16,0)="AIC","AIC",
      OR(VLOOKUP(B31,[1]Material!F$5:U$90000,16,0)="AGI",VLOOKUP(B31,[1]Material!F$5:U$90000,16,0)="AGIGA"),"AGIGA",
      OR(LEFT(VLOOKUP(B31,[1]Material!F$5:U$90000,16,0),3)="EF-",VLOOKUP(B31,[1]Material!F$5:U$90000,16,0)="EFI"),"EFI",
      AND(ISNUMBER(VLOOKUP(B31,[1]Material!F$5:U$90000,16,0)),VLOOKUP(B31,[1]Material!F$5:U$90000,16,0)&gt;=100,VLOOKUP(B31,[1]Material!F$5:U$90000,16,0)&lt;=999,VLOOKUP(B31,[1]Material!F$5:U$90000,16,0)=INT(VLOOKUP(B31,[1]Material!F$5:U$90000,16,0))),"OEM",
      TRUE,""
    ),
    "không tìm thấy trong file Import"
  ),
  VLOOKUP(F31,'[2]Export shipment'!B:Y,24,0)
)</f>
        <v>PURE</v>
      </c>
      <c r="H31" s="184" t="e">
        <f>VLOOKUP(B31,[4]Export!I$3627:J$3898,2,0)</f>
        <v>#N/A</v>
      </c>
      <c r="I31" s="184" t="s">
        <v>2089</v>
      </c>
      <c r="J31" s="260">
        <f>(V31+X31+AA31)/'Logistics record '!$AD$1</f>
        <v>15.116015418335726</v>
      </c>
      <c r="K31" s="260">
        <f>W31/'Logistics record '!$AD$1</f>
        <v>0</v>
      </c>
      <c r="L31" s="260">
        <f>Y31/'Logistics record '!$AD$1</f>
        <v>0</v>
      </c>
      <c r="M31" s="260">
        <f>AF31/'Logistics record '!$AD$1</f>
        <v>60.750510165520367</v>
      </c>
      <c r="N31" s="260" t="str" cm="1">
        <f t="array" ref="N31">_xlfn.IFS(
    OR(UPPER(S31)="AIR", UPPER(S31)="CPN"), "AIR",
    UPPER(S31)="TC", "LOCAL",
    TRUE, "SEA"
)</f>
        <v>AIR</v>
      </c>
      <c r="O31" s="260">
        <f t="shared" si="4"/>
        <v>75.866525583856088</v>
      </c>
      <c r="P31" s="184" t="s">
        <v>949</v>
      </c>
      <c r="Q31" s="185">
        <v>108275696320</v>
      </c>
      <c r="R31" s="186">
        <v>46167</v>
      </c>
      <c r="S31" s="187" t="s">
        <v>65</v>
      </c>
      <c r="T31" s="188">
        <v>3.4</v>
      </c>
      <c r="U31" s="188"/>
      <c r="V31" s="189">
        <v>400000</v>
      </c>
      <c r="W31" s="190"/>
      <c r="X31" s="190"/>
      <c r="Y31" s="190"/>
      <c r="Z31" s="189">
        <f t="shared" si="0"/>
        <v>400000</v>
      </c>
      <c r="AA31" s="189">
        <v>0</v>
      </c>
      <c r="AB31" s="189">
        <f t="shared" si="5"/>
        <v>400000</v>
      </c>
      <c r="AC31" s="189"/>
      <c r="AD31" s="190">
        <v>1220400</v>
      </c>
      <c r="AE31" s="190">
        <v>387180</v>
      </c>
      <c r="AF31" s="191">
        <f t="shared" si="1"/>
        <v>1607580</v>
      </c>
      <c r="AG31" s="190">
        <f t="shared" si="2"/>
        <v>2007580</v>
      </c>
      <c r="AH31" s="190"/>
      <c r="AI31" s="192" t="str">
        <f>VLOOKUP(Q31,[3]Sheet1!B$11:G$1489,6,0)</f>
        <v>E11</v>
      </c>
      <c r="GK31" s="194"/>
      <c r="GL31" s="195"/>
      <c r="GM31" s="196"/>
      <c r="GN31" s="197"/>
      <c r="GO31" s="198"/>
      <c r="GP31" s="199"/>
      <c r="GQ31" s="200"/>
      <c r="GR31" s="201"/>
      <c r="GS31" s="60"/>
      <c r="GT31" s="202"/>
      <c r="GU31" s="202"/>
      <c r="GV31" s="202"/>
      <c r="GW31" s="202"/>
      <c r="GX31" s="203"/>
      <c r="HA31" s="194"/>
      <c r="HB31" s="195"/>
      <c r="HC31" s="196"/>
      <c r="HD31" s="197"/>
      <c r="HE31" s="198"/>
      <c r="HF31" s="199"/>
      <c r="HG31" s="200"/>
      <c r="HH31" s="201"/>
      <c r="HI31" s="60"/>
      <c r="HJ31" s="202"/>
      <c r="HK31" s="202"/>
      <c r="HL31" s="202"/>
      <c r="HM31" s="202"/>
      <c r="HN31" s="203"/>
    </row>
    <row r="32" spans="1:222" ht="16.5" customHeight="1">
      <c r="A32" s="181">
        <v>29</v>
      </c>
      <c r="B32" s="182" t="s">
        <v>2231</v>
      </c>
      <c r="C32" s="598" t="s">
        <v>2232</v>
      </c>
      <c r="D32" s="184" t="s">
        <v>940</v>
      </c>
      <c r="E32" s="184" t="str">
        <f t="shared" si="3"/>
        <v>Import</v>
      </c>
      <c r="F32" s="720" t="str" cm="1">
        <f t="array" ref="F32">_xlfn.IFS(
  OR(AI32="E11", AI32="E15"), "Raw materials",
  OR(AI32="E13", AI32="G13"), "Equipments + Toolings",
  TRUE, RIGHT(C32, 8)
)</f>
        <v>Raw materials</v>
      </c>
      <c r="G32" s="541" t="str" cm="1">
        <f t="array" ref="G32">IF(E32="Import",
  IFERROR(
    _xlfn.IFS(
      VLOOKUP(B32,[1]Material!F$5:U$90000,16,0)="LUC","Lucid",
      VLOOKUP(B32,[1]Material!F$5:U$90000,16,0)="FMC","FORD",
      OR(VLOOKUP(B32,[1]Material!F$5:U$90000,16,0)="PUR",VLOOKUP(B32,[1]Material!F$5:U$90000,16,0)="HLO"),"PURE",
      VLOOKUP(B32,[1]Material!F$5:U$90000,16,0)="AIC","AIC",
      OR(VLOOKUP(B32,[1]Material!F$5:U$90000,16,0)="AGI",VLOOKUP(B32,[1]Material!F$5:U$90000,16,0)="AGIGA"),"AGIGA",
      OR(LEFT(VLOOKUP(B32,[1]Material!F$5:U$90000,16,0),3)="EF-",VLOOKUP(B32,[1]Material!F$5:U$90000,16,0)="EFI"),"EFI",
      AND(ISNUMBER(VLOOKUP(B32,[1]Material!F$5:U$90000,16,0)),VLOOKUP(B32,[1]Material!F$5:U$90000,16,0)&gt;=100,VLOOKUP(B32,[1]Material!F$5:U$90000,16,0)&lt;=999,VLOOKUP(B32,[1]Material!F$5:U$90000,16,0)=INT(VLOOKUP(B32,[1]Material!F$5:U$90000,16,0))),"OEM",
      TRUE,""
    ),
    "không tìm thấy trong file Import"
  ),
  VLOOKUP(F32,'[2]Export shipment'!B:Y,24,0)
)</f>
        <v>PURE</v>
      </c>
      <c r="H32" s="184" t="e">
        <f>VLOOKUP(B32,[4]Export!I$3627:J$3898,2,0)</f>
        <v>#N/A</v>
      </c>
      <c r="I32" s="184" t="s">
        <v>2089</v>
      </c>
      <c r="J32" s="260">
        <f>(V32+X32+AA32)/'Logistics record '!$AD$1</f>
        <v>15.116015418335726</v>
      </c>
      <c r="K32" s="260">
        <f>W32/'Logistics record '!$AD$1</f>
        <v>0</v>
      </c>
      <c r="L32" s="260">
        <f>Y32/'Logistics record '!$AD$1</f>
        <v>0</v>
      </c>
      <c r="M32" s="260">
        <f>AF32/'Logistics record '!$AD$1</f>
        <v>60.750510165520367</v>
      </c>
      <c r="N32" s="260" t="str" cm="1">
        <f t="array" ref="N32">_xlfn.IFS(
    OR(UPPER(S32)="AIR", UPPER(S32)="CPN"), "AIR",
    UPPER(S32)="TC", "LOCAL",
    TRUE, "SEA"
)</f>
        <v>AIR</v>
      </c>
      <c r="O32" s="260">
        <f t="shared" si="4"/>
        <v>75.866525583856088</v>
      </c>
      <c r="P32" s="184" t="s">
        <v>949</v>
      </c>
      <c r="Q32" s="185">
        <v>108275703100</v>
      </c>
      <c r="R32" s="186">
        <v>46167</v>
      </c>
      <c r="S32" s="187" t="s">
        <v>65</v>
      </c>
      <c r="T32" s="188">
        <v>3.4</v>
      </c>
      <c r="U32" s="188"/>
      <c r="V32" s="189">
        <v>400000</v>
      </c>
      <c r="W32" s="190"/>
      <c r="X32" s="190"/>
      <c r="Y32" s="190"/>
      <c r="Z32" s="189">
        <f t="shared" si="0"/>
        <v>400000</v>
      </c>
      <c r="AA32" s="189">
        <v>0</v>
      </c>
      <c r="AB32" s="189">
        <f t="shared" si="5"/>
        <v>400000</v>
      </c>
      <c r="AC32" s="189"/>
      <c r="AD32" s="190">
        <v>1220400</v>
      </c>
      <c r="AE32" s="190">
        <v>387180</v>
      </c>
      <c r="AF32" s="191">
        <f t="shared" si="1"/>
        <v>1607580</v>
      </c>
      <c r="AG32" s="190">
        <f t="shared" si="2"/>
        <v>2007580</v>
      </c>
      <c r="AH32" s="190"/>
      <c r="AI32" s="192" t="str">
        <f>VLOOKUP(Q32,[3]Sheet1!B$11:G$1489,6,0)</f>
        <v>E11</v>
      </c>
      <c r="GK32" s="194"/>
      <c r="GL32" s="195"/>
      <c r="GM32" s="196"/>
      <c r="GN32" s="197"/>
      <c r="GO32" s="198"/>
      <c r="GP32" s="199"/>
      <c r="GQ32" s="200"/>
      <c r="GR32" s="201"/>
      <c r="GS32" s="60"/>
      <c r="GT32" s="202"/>
      <c r="GU32" s="202"/>
      <c r="GV32" s="202"/>
      <c r="GW32" s="202"/>
      <c r="GX32" s="203"/>
      <c r="HA32" s="194"/>
      <c r="HB32" s="195"/>
      <c r="HC32" s="196"/>
      <c r="HD32" s="197"/>
      <c r="HE32" s="198"/>
      <c r="HF32" s="199"/>
      <c r="HG32" s="200"/>
      <c r="HH32" s="201"/>
      <c r="HI32" s="60"/>
      <c r="HJ32" s="202"/>
      <c r="HK32" s="202"/>
      <c r="HL32" s="202"/>
      <c r="HM32" s="202"/>
      <c r="HN32" s="203"/>
    </row>
    <row r="33" spans="1:222" ht="17.25" customHeight="1">
      <c r="A33" s="181">
        <v>30</v>
      </c>
      <c r="B33" s="182" t="s">
        <v>2233</v>
      </c>
      <c r="C33" s="598" t="s">
        <v>2234</v>
      </c>
      <c r="D33" s="184" t="s">
        <v>940</v>
      </c>
      <c r="E33" s="184" t="str">
        <f t="shared" si="3"/>
        <v>Import</v>
      </c>
      <c r="F33" s="720" t="str" cm="1">
        <f t="array" ref="F33">_xlfn.IFS(
  OR(AI33="E11", AI33="E15"), "Raw materials",
  OR(AI33="E13", AI33="G13"), "Equipments + Toolings",
  TRUE, RIGHT(C33, 8)
)</f>
        <v>Raw materials</v>
      </c>
      <c r="G33" s="541" t="str" cm="1">
        <f t="array" ref="G33">IF(E33="Import",
  IFERROR(
    _xlfn.IFS(
      VLOOKUP(B33,[1]Material!F$5:U$90000,16,0)="LUC","Lucid",
      VLOOKUP(B33,[1]Material!F$5:U$90000,16,0)="FMC","FORD",
      OR(VLOOKUP(B33,[1]Material!F$5:U$90000,16,0)="PUR",VLOOKUP(B33,[1]Material!F$5:U$90000,16,0)="HLO"),"PURE",
      VLOOKUP(B33,[1]Material!F$5:U$90000,16,0)="AIC","AIC",
      OR(VLOOKUP(B33,[1]Material!F$5:U$90000,16,0)="AGI",VLOOKUP(B33,[1]Material!F$5:U$90000,16,0)="AGIGA"),"AGIGA",
      OR(LEFT(VLOOKUP(B33,[1]Material!F$5:U$90000,16,0),3)="EF-",VLOOKUP(B33,[1]Material!F$5:U$90000,16,0)="EFI"),"EFI",
      AND(ISNUMBER(VLOOKUP(B33,[1]Material!F$5:U$90000,16,0)),VLOOKUP(B33,[1]Material!F$5:U$90000,16,0)&gt;=100,VLOOKUP(B33,[1]Material!F$5:U$90000,16,0)&lt;=999,VLOOKUP(B33,[1]Material!F$5:U$90000,16,0)=INT(VLOOKUP(B33,[1]Material!F$5:U$90000,16,0))),"OEM",
      TRUE,""
    ),
    "không tìm thấy trong file Import"
  ),
  VLOOKUP(F33,'[2]Export shipment'!B:Y,24,0)
)</f>
        <v>PURE</v>
      </c>
      <c r="H33" s="184" t="e">
        <f>VLOOKUP(B33,[4]Export!I$3627:J$3898,2,0)</f>
        <v>#N/A</v>
      </c>
      <c r="I33" s="184" t="s">
        <v>2089</v>
      </c>
      <c r="J33" s="260">
        <f>(V33+X33+AA33)/'Logistics record '!$AD$1</f>
        <v>15.116015418335726</v>
      </c>
      <c r="K33" s="260">
        <f>W33/'Logistics record '!$AD$1</f>
        <v>0</v>
      </c>
      <c r="L33" s="260">
        <f>Y33/'Logistics record '!$AD$1</f>
        <v>0</v>
      </c>
      <c r="M33" s="260">
        <f>AF33/'Logistics record '!$AD$1</f>
        <v>60.750510165520367</v>
      </c>
      <c r="N33" s="260" t="str" cm="1">
        <f t="array" ref="N33">_xlfn.IFS(
    OR(UPPER(S33)="AIR", UPPER(S33)="CPN"), "AIR",
    UPPER(S33)="TC", "LOCAL",
    TRUE, "SEA"
)</f>
        <v>AIR</v>
      </c>
      <c r="O33" s="260">
        <f t="shared" si="4"/>
        <v>75.866525583856088</v>
      </c>
      <c r="P33" s="184" t="s">
        <v>949</v>
      </c>
      <c r="Q33" s="185">
        <v>108275730510</v>
      </c>
      <c r="R33" s="186">
        <v>46167</v>
      </c>
      <c r="S33" s="187" t="s">
        <v>65</v>
      </c>
      <c r="T33" s="188">
        <v>3.4</v>
      </c>
      <c r="U33" s="188"/>
      <c r="V33" s="189">
        <v>400000</v>
      </c>
      <c r="W33" s="190"/>
      <c r="X33" s="190"/>
      <c r="Y33" s="190"/>
      <c r="Z33" s="189">
        <f t="shared" si="0"/>
        <v>400000</v>
      </c>
      <c r="AA33" s="189">
        <v>0</v>
      </c>
      <c r="AB33" s="189">
        <f t="shared" si="5"/>
        <v>400000</v>
      </c>
      <c r="AC33" s="189"/>
      <c r="AD33" s="190">
        <v>1220400</v>
      </c>
      <c r="AE33" s="190">
        <v>387180</v>
      </c>
      <c r="AF33" s="191">
        <f t="shared" si="1"/>
        <v>1607580</v>
      </c>
      <c r="AG33" s="190">
        <f t="shared" si="2"/>
        <v>2007580</v>
      </c>
      <c r="AH33" s="190"/>
      <c r="AI33" s="192" t="str">
        <f>VLOOKUP(Q33,[3]Sheet1!B$11:G$1489,6,0)</f>
        <v>E11</v>
      </c>
      <c r="GK33" s="194"/>
      <c r="GL33" s="195"/>
      <c r="GM33" s="196"/>
      <c r="GN33" s="197"/>
      <c r="GO33" s="198"/>
      <c r="GP33" s="199"/>
      <c r="GQ33" s="200"/>
      <c r="GR33" s="201"/>
      <c r="GS33" s="60"/>
      <c r="GT33" s="202"/>
      <c r="GU33" s="202"/>
      <c r="GV33" s="202"/>
      <c r="GW33" s="202"/>
      <c r="GX33" s="203"/>
      <c r="HA33" s="194"/>
      <c r="HB33" s="195"/>
      <c r="HC33" s="196"/>
      <c r="HD33" s="197"/>
      <c r="HE33" s="198"/>
      <c r="HF33" s="199"/>
      <c r="HG33" s="200"/>
      <c r="HH33" s="201"/>
      <c r="HI33" s="60"/>
      <c r="HJ33" s="202"/>
      <c r="HK33" s="202"/>
      <c r="HL33" s="202"/>
      <c r="HM33" s="202"/>
      <c r="HN33" s="203"/>
    </row>
    <row r="34" spans="1:222" ht="16.5" customHeight="1">
      <c r="A34" s="181">
        <v>31</v>
      </c>
      <c r="B34" s="182" t="s">
        <v>2235</v>
      </c>
      <c r="C34" s="598" t="s">
        <v>2236</v>
      </c>
      <c r="D34" s="184" t="s">
        <v>940</v>
      </c>
      <c r="E34" s="184" t="str">
        <f t="shared" si="3"/>
        <v>Import</v>
      </c>
      <c r="F34" s="720" t="str" cm="1">
        <f t="array" ref="F34">_xlfn.IFS(
  OR(AI34="E11", AI34="E15"), "Raw materials",
  OR(AI34="E13", AI34="G13"), "Equipments + Toolings",
  TRUE, RIGHT(C34, 8)
)</f>
        <v>Raw materials</v>
      </c>
      <c r="G34" s="541" t="str" cm="1">
        <f t="array" ref="G34">IF(E34="Import",
  IFERROR(
    _xlfn.IFS(
      VLOOKUP(B34,[1]Material!F$5:U$90000,16,0)="LUC","Lucid",
      VLOOKUP(B34,[1]Material!F$5:U$90000,16,0)="FMC","FORD",
      OR(VLOOKUP(B34,[1]Material!F$5:U$90000,16,0)="PUR",VLOOKUP(B34,[1]Material!F$5:U$90000,16,0)="HLO"),"PURE",
      VLOOKUP(B34,[1]Material!F$5:U$90000,16,0)="AIC","AIC",
      OR(VLOOKUP(B34,[1]Material!F$5:U$90000,16,0)="AGI",VLOOKUP(B34,[1]Material!F$5:U$90000,16,0)="AGIGA"),"AGIGA",
      OR(LEFT(VLOOKUP(B34,[1]Material!F$5:U$90000,16,0),3)="EF-",VLOOKUP(B34,[1]Material!F$5:U$90000,16,0)="EFI"),"EFI",
      AND(ISNUMBER(VLOOKUP(B34,[1]Material!F$5:U$90000,16,0)),VLOOKUP(B34,[1]Material!F$5:U$90000,16,0)&gt;=100,VLOOKUP(B34,[1]Material!F$5:U$90000,16,0)&lt;=999,VLOOKUP(B34,[1]Material!F$5:U$90000,16,0)=INT(VLOOKUP(B34,[1]Material!F$5:U$90000,16,0))),"OEM",
      TRUE,""
    ),
    "không tìm thấy trong file Import"
  ),
  VLOOKUP(F34,'[2]Export shipment'!B:Y,24,0)
)</f>
        <v>PURE</v>
      </c>
      <c r="H34" s="184" t="e">
        <f>VLOOKUP(B34,[4]Export!I$3627:J$3898,2,0)</f>
        <v>#N/A</v>
      </c>
      <c r="I34" s="184" t="s">
        <v>2089</v>
      </c>
      <c r="J34" s="260">
        <f>(V34+X34+AA34)/'Logistics record '!$AD$1</f>
        <v>15.116015418335726</v>
      </c>
      <c r="K34" s="260">
        <f>W34/'Logistics record '!$AD$1</f>
        <v>0</v>
      </c>
      <c r="L34" s="260">
        <f>Y34/'Logistics record '!$AD$1</f>
        <v>0</v>
      </c>
      <c r="M34" s="260">
        <f>AF34/'Logistics record '!$AD$1</f>
        <v>60.750510165520367</v>
      </c>
      <c r="N34" s="260" t="str" cm="1">
        <f t="array" ref="N34">_xlfn.IFS(
    OR(UPPER(S34)="AIR", UPPER(S34)="CPN"), "AIR",
    UPPER(S34)="TC", "LOCAL",
    TRUE, "SEA"
)</f>
        <v>AIR</v>
      </c>
      <c r="O34" s="260">
        <f t="shared" si="4"/>
        <v>75.866525583856088</v>
      </c>
      <c r="P34" s="184" t="s">
        <v>949</v>
      </c>
      <c r="Q34" s="185">
        <v>108275741820</v>
      </c>
      <c r="R34" s="186">
        <v>46167</v>
      </c>
      <c r="S34" s="187" t="s">
        <v>65</v>
      </c>
      <c r="T34" s="188">
        <v>3.4</v>
      </c>
      <c r="U34" s="188"/>
      <c r="V34" s="189">
        <v>400000</v>
      </c>
      <c r="W34" s="190"/>
      <c r="X34" s="190"/>
      <c r="Y34" s="190"/>
      <c r="Z34" s="189">
        <f t="shared" si="0"/>
        <v>400000</v>
      </c>
      <c r="AA34" s="189">
        <v>0</v>
      </c>
      <c r="AB34" s="189">
        <f t="shared" si="5"/>
        <v>400000</v>
      </c>
      <c r="AC34" s="189"/>
      <c r="AD34" s="190">
        <v>1220400</v>
      </c>
      <c r="AE34" s="190">
        <v>387180</v>
      </c>
      <c r="AF34" s="191">
        <f t="shared" si="1"/>
        <v>1607580</v>
      </c>
      <c r="AG34" s="190">
        <f t="shared" si="2"/>
        <v>2007580</v>
      </c>
      <c r="AH34" s="190"/>
      <c r="AI34" s="192" t="str">
        <f>VLOOKUP(Q34,[3]Sheet1!B$11:G$1489,6,0)</f>
        <v>E11</v>
      </c>
      <c r="GK34" s="194"/>
      <c r="GL34" s="195"/>
      <c r="GM34" s="196"/>
      <c r="GN34" s="197"/>
      <c r="GO34" s="198"/>
      <c r="GP34" s="199"/>
      <c r="GQ34" s="200"/>
      <c r="GR34" s="201"/>
      <c r="GS34" s="60"/>
      <c r="GT34" s="202"/>
      <c r="GU34" s="202"/>
      <c r="GV34" s="202"/>
      <c r="GW34" s="202"/>
      <c r="GX34" s="203"/>
      <c r="HA34" s="194"/>
      <c r="HB34" s="195"/>
      <c r="HC34" s="196"/>
      <c r="HD34" s="197"/>
      <c r="HE34" s="198"/>
      <c r="HF34" s="199"/>
      <c r="HG34" s="200"/>
      <c r="HH34" s="201"/>
      <c r="HI34" s="60"/>
      <c r="HJ34" s="202"/>
      <c r="HK34" s="202"/>
      <c r="HL34" s="202"/>
      <c r="HM34" s="202"/>
      <c r="HN34" s="203"/>
    </row>
    <row r="35" spans="1:222" ht="16.5" customHeight="1">
      <c r="A35" s="181">
        <v>32</v>
      </c>
      <c r="B35" s="182" t="s">
        <v>2237</v>
      </c>
      <c r="C35" s="183" t="s">
        <v>2238</v>
      </c>
      <c r="D35" s="184" t="s">
        <v>940</v>
      </c>
      <c r="E35" s="184" t="str">
        <f t="shared" si="3"/>
        <v>Import</v>
      </c>
      <c r="F35" s="720" t="str" cm="1">
        <f t="array" ref="F35">_xlfn.IFS(
  OR(AI35="E11", AI35="E15"), "Raw materials",
  OR(AI35="E13", AI35="G13"), "Equipments + Toolings",
  TRUE, RIGHT(C35, 8)
)</f>
        <v>Raw materials</v>
      </c>
      <c r="G35" s="541" t="str" cm="1">
        <f t="array" ref="G35">IF(E35="Import",
  IFERROR(
    _xlfn.IFS(
      VLOOKUP(B35,[1]Material!F$5:U$90000,16,0)="LUC","Lucid",
      VLOOKUP(B35,[1]Material!F$5:U$90000,16,0)="FMC","FORD",
      OR(VLOOKUP(B35,[1]Material!F$5:U$90000,16,0)="PUR",VLOOKUP(B35,[1]Material!F$5:U$90000,16,0)="HLO"),"PURE",
      VLOOKUP(B35,[1]Material!F$5:U$90000,16,0)="AIC","AIC",
      OR(VLOOKUP(B35,[1]Material!F$5:U$90000,16,0)="AGI",VLOOKUP(B35,[1]Material!F$5:U$90000,16,0)="AGIGA"),"AGIGA",
      OR(LEFT(VLOOKUP(B35,[1]Material!F$5:U$90000,16,0),3)="EF-",VLOOKUP(B35,[1]Material!F$5:U$90000,16,0)="EFI"),"EFI",
      AND(ISNUMBER(VLOOKUP(B35,[1]Material!F$5:U$90000,16,0)),VLOOKUP(B35,[1]Material!F$5:U$90000,16,0)&gt;=100,VLOOKUP(B35,[1]Material!F$5:U$90000,16,0)&lt;=999,VLOOKUP(B35,[1]Material!F$5:U$90000,16,0)=INT(VLOOKUP(B35,[1]Material!F$5:U$90000,16,0))),"OEM",
      TRUE,""
    ),
    "không tìm thấy trong file Import"
  ),
  VLOOKUP(F35,'[2]Export shipment'!B:Y,24,0)
)</f>
        <v>PURE</v>
      </c>
      <c r="H35" s="184" t="e">
        <f>VLOOKUP(B35,[4]Export!I$3627:J$3898,2,0)</f>
        <v>#N/A</v>
      </c>
      <c r="I35" s="184" t="s">
        <v>2089</v>
      </c>
      <c r="J35" s="260">
        <f>(V35+X35+AA35)/'Logistics record '!$AD$1</f>
        <v>15.116015418335726</v>
      </c>
      <c r="K35" s="260">
        <f>W35/'Logistics record '!$AD$1</f>
        <v>0</v>
      </c>
      <c r="L35" s="260">
        <f>Y35/'Logistics record '!$AD$1</f>
        <v>0</v>
      </c>
      <c r="M35" s="260">
        <f>AF35/'Logistics record '!$AD$1</f>
        <v>60.750510165520367</v>
      </c>
      <c r="N35" s="260" t="str" cm="1">
        <f t="array" ref="N35">_xlfn.IFS(
    OR(UPPER(S35)="AIR", UPPER(S35)="CPN"), "AIR",
    UPPER(S35)="TC", "LOCAL",
    TRUE, "SEA"
)</f>
        <v>AIR</v>
      </c>
      <c r="O35" s="260">
        <f t="shared" si="4"/>
        <v>75.866525583856088</v>
      </c>
      <c r="P35" s="184" t="s">
        <v>949</v>
      </c>
      <c r="Q35" s="185">
        <v>108275745060</v>
      </c>
      <c r="R35" s="186">
        <v>46167</v>
      </c>
      <c r="S35" s="187" t="s">
        <v>65</v>
      </c>
      <c r="T35" s="188">
        <v>3.4</v>
      </c>
      <c r="U35" s="188"/>
      <c r="V35" s="189">
        <v>400000</v>
      </c>
      <c r="W35" s="190"/>
      <c r="X35" s="190"/>
      <c r="Y35" s="190"/>
      <c r="Z35" s="189">
        <f t="shared" si="0"/>
        <v>400000</v>
      </c>
      <c r="AA35" s="189">
        <v>0</v>
      </c>
      <c r="AB35" s="189">
        <f t="shared" si="5"/>
        <v>400000</v>
      </c>
      <c r="AC35" s="189"/>
      <c r="AD35" s="190">
        <v>1220400</v>
      </c>
      <c r="AE35" s="190">
        <v>387180</v>
      </c>
      <c r="AF35" s="191">
        <f t="shared" si="1"/>
        <v>1607580</v>
      </c>
      <c r="AG35" s="190">
        <f t="shared" si="2"/>
        <v>2007580</v>
      </c>
      <c r="AH35" s="190"/>
      <c r="AI35" s="192" t="str">
        <f>VLOOKUP(Q35,[3]Sheet1!B$11:G$1489,6,0)</f>
        <v>E11</v>
      </c>
      <c r="GK35" s="194"/>
      <c r="GL35" s="195"/>
      <c r="GM35" s="196"/>
      <c r="GN35" s="197"/>
      <c r="GO35" s="198"/>
      <c r="GP35" s="199"/>
      <c r="GQ35" s="200"/>
      <c r="GR35" s="201"/>
      <c r="GS35" s="60"/>
      <c r="GT35" s="202"/>
      <c r="GU35" s="202"/>
      <c r="GV35" s="202"/>
      <c r="GW35" s="202"/>
      <c r="GX35" s="203"/>
      <c r="HA35" s="194"/>
      <c r="HB35" s="195"/>
      <c r="HC35" s="196"/>
      <c r="HD35" s="197"/>
      <c r="HE35" s="198"/>
      <c r="HF35" s="199"/>
      <c r="HG35" s="200"/>
      <c r="HH35" s="201"/>
      <c r="HI35" s="60"/>
      <c r="HJ35" s="202"/>
      <c r="HK35" s="202"/>
      <c r="HL35" s="202"/>
      <c r="HM35" s="202"/>
      <c r="HN35" s="203"/>
    </row>
    <row r="36" spans="1:222" ht="16.5" customHeight="1">
      <c r="A36" s="181">
        <v>33</v>
      </c>
      <c r="B36" s="182" t="s">
        <v>2239</v>
      </c>
      <c r="C36" s="183" t="s">
        <v>2240</v>
      </c>
      <c r="D36" s="184" t="s">
        <v>940</v>
      </c>
      <c r="E36" s="184" t="str">
        <f t="shared" si="3"/>
        <v>Import</v>
      </c>
      <c r="F36" s="720" t="str" cm="1">
        <f t="array" ref="F36">_xlfn.IFS(
  OR(AI36="E11", AI36="E15"), "Raw materials",
  OR(AI36="E13", AI36="G13"), "Equipments + Toolings",
  TRUE, RIGHT(C36, 8)
)</f>
        <v>Raw materials</v>
      </c>
      <c r="G36" s="541" t="str" cm="1">
        <f t="array" ref="G36">IF(E36="Import",
  IFERROR(
    _xlfn.IFS(
      VLOOKUP(B36,[1]Material!F$5:U$90000,16,0)="LUC","Lucid",
      VLOOKUP(B36,[1]Material!F$5:U$90000,16,0)="FMC","FORD",
      OR(VLOOKUP(B36,[1]Material!F$5:U$90000,16,0)="PUR",VLOOKUP(B36,[1]Material!F$5:U$90000,16,0)="HLO"),"PURE",
      VLOOKUP(B36,[1]Material!F$5:U$90000,16,0)="AIC","AIC",
      OR(VLOOKUP(B36,[1]Material!F$5:U$90000,16,0)="AGI",VLOOKUP(B36,[1]Material!F$5:U$90000,16,0)="AGIGA"),"AGIGA",
      OR(LEFT(VLOOKUP(B36,[1]Material!F$5:U$90000,16,0),3)="EF-",VLOOKUP(B36,[1]Material!F$5:U$90000,16,0)="EFI"),"EFI",
      AND(ISNUMBER(VLOOKUP(B36,[1]Material!F$5:U$90000,16,0)),VLOOKUP(B36,[1]Material!F$5:U$90000,16,0)&gt;=100,VLOOKUP(B36,[1]Material!F$5:U$90000,16,0)&lt;=999,VLOOKUP(B36,[1]Material!F$5:U$90000,16,0)=INT(VLOOKUP(B36,[1]Material!F$5:U$90000,16,0))),"OEM",
      TRUE,""
    ),
    "không tìm thấy trong file Import"
  ),
  VLOOKUP(F36,'[2]Export shipment'!B:Y,24,0)
)</f>
        <v>PURE</v>
      </c>
      <c r="H36" s="184" t="e">
        <f>VLOOKUP(B36,[4]Export!I$3627:J$3898,2,0)</f>
        <v>#N/A</v>
      </c>
      <c r="I36" s="184" t="s">
        <v>2089</v>
      </c>
      <c r="J36" s="260">
        <f>(V36+X36+AA36)/'Logistics record '!$AD$1</f>
        <v>15.116015418335726</v>
      </c>
      <c r="K36" s="260">
        <f>W36/'Logistics record '!$AD$1</f>
        <v>0</v>
      </c>
      <c r="L36" s="260">
        <f>Y36/'Logistics record '!$AD$1</f>
        <v>0</v>
      </c>
      <c r="M36" s="260">
        <f>AF36/'Logistics record '!$AD$1</f>
        <v>60.750510165520367</v>
      </c>
      <c r="N36" s="260" t="str" cm="1">
        <f t="array" ref="N36">_xlfn.IFS(
    OR(UPPER(S36)="AIR", UPPER(S36)="CPN"), "AIR",
    UPPER(S36)="TC", "LOCAL",
    TRUE, "SEA"
)</f>
        <v>AIR</v>
      </c>
      <c r="O36" s="260">
        <f t="shared" si="4"/>
        <v>75.866525583856088</v>
      </c>
      <c r="P36" s="184" t="s">
        <v>949</v>
      </c>
      <c r="Q36" s="185">
        <v>108275769010</v>
      </c>
      <c r="R36" s="186">
        <v>46167</v>
      </c>
      <c r="S36" s="187" t="s">
        <v>65</v>
      </c>
      <c r="T36" s="188">
        <v>6.5</v>
      </c>
      <c r="U36" s="188"/>
      <c r="V36" s="189">
        <v>400000</v>
      </c>
      <c r="W36" s="190"/>
      <c r="X36" s="190"/>
      <c r="Y36" s="190"/>
      <c r="Z36" s="189">
        <f t="shared" si="0"/>
        <v>400000</v>
      </c>
      <c r="AA36" s="189">
        <v>0</v>
      </c>
      <c r="AB36" s="189">
        <f t="shared" si="5"/>
        <v>400000</v>
      </c>
      <c r="AC36" s="189"/>
      <c r="AD36" s="190">
        <v>1220400</v>
      </c>
      <c r="AE36" s="190">
        <v>387180</v>
      </c>
      <c r="AF36" s="191">
        <f t="shared" si="1"/>
        <v>1607580</v>
      </c>
      <c r="AG36" s="190">
        <f t="shared" si="2"/>
        <v>2007580</v>
      </c>
      <c r="AH36" s="190"/>
      <c r="AI36" s="192" t="str">
        <f>VLOOKUP(Q36,[3]Sheet1!B$11:G$1489,6,0)</f>
        <v>E11</v>
      </c>
      <c r="GK36" s="194"/>
      <c r="GL36" s="195"/>
      <c r="GM36" s="196"/>
      <c r="GN36" s="197"/>
      <c r="GO36" s="198"/>
      <c r="GP36" s="199"/>
      <c r="GQ36" s="200"/>
      <c r="GR36" s="201"/>
      <c r="GS36" s="60"/>
      <c r="GT36" s="202"/>
      <c r="GU36" s="202"/>
      <c r="GV36" s="202"/>
      <c r="GW36" s="202"/>
      <c r="GX36" s="203"/>
      <c r="HA36" s="194"/>
      <c r="HB36" s="195"/>
      <c r="HC36" s="196"/>
      <c r="HD36" s="197"/>
      <c r="HE36" s="198"/>
      <c r="HF36" s="199"/>
      <c r="HG36" s="200"/>
      <c r="HH36" s="201"/>
      <c r="HI36" s="60"/>
      <c r="HJ36" s="202"/>
      <c r="HK36" s="202"/>
      <c r="HL36" s="202"/>
      <c r="HM36" s="202"/>
      <c r="HN36" s="203"/>
    </row>
    <row r="37" spans="1:222" ht="16.5" customHeight="1">
      <c r="A37" s="181">
        <v>34</v>
      </c>
      <c r="B37" s="182" t="s">
        <v>2241</v>
      </c>
      <c r="C37" s="598" t="s">
        <v>2242</v>
      </c>
      <c r="D37" s="184" t="s">
        <v>940</v>
      </c>
      <c r="E37" s="184" t="str">
        <f t="shared" si="3"/>
        <v>Import</v>
      </c>
      <c r="F37" s="720" t="str" cm="1">
        <f t="array" ref="F37">_xlfn.IFS(
  OR(AI37="E11", AI37="E15"), "Raw materials",
  OR(AI37="E13", AI37="G13"), "Equipments + Toolings",
  TRUE, RIGHT(C37, 8)
)</f>
        <v>Raw materials</v>
      </c>
      <c r="G37" s="541" t="str" cm="1">
        <f t="array" ref="G37">IF(E37="Import",
  IFERROR(
    _xlfn.IFS(
      VLOOKUP(B37,[1]Material!F$5:U$90000,16,0)="LUC","Lucid",
      VLOOKUP(B37,[1]Material!F$5:U$90000,16,0)="FMC","FORD",
      OR(VLOOKUP(B37,[1]Material!F$5:U$90000,16,0)="PUR",VLOOKUP(B37,[1]Material!F$5:U$90000,16,0)="HLO"),"PURE",
      VLOOKUP(B37,[1]Material!F$5:U$90000,16,0)="AIC","AIC",
      OR(VLOOKUP(B37,[1]Material!F$5:U$90000,16,0)="AGI",VLOOKUP(B37,[1]Material!F$5:U$90000,16,0)="AGIGA"),"AGIGA",
      OR(LEFT(VLOOKUP(B37,[1]Material!F$5:U$90000,16,0),3)="EF-",VLOOKUP(B37,[1]Material!F$5:U$90000,16,0)="EFI"),"EFI",
      AND(ISNUMBER(VLOOKUP(B37,[1]Material!F$5:U$90000,16,0)),VLOOKUP(B37,[1]Material!F$5:U$90000,16,0)&gt;=100,VLOOKUP(B37,[1]Material!F$5:U$90000,16,0)&lt;=999,VLOOKUP(B37,[1]Material!F$5:U$90000,16,0)=INT(VLOOKUP(B37,[1]Material!F$5:U$90000,16,0))),"OEM",
      TRUE,""
    ),
    "không tìm thấy trong file Import"
  ),
  VLOOKUP(F37,'[2]Export shipment'!B:Y,24,0)
)</f>
        <v>PURE</v>
      </c>
      <c r="H37" s="184" t="e">
        <f>VLOOKUP(B37,[4]Export!I$3627:J$3898,2,0)</f>
        <v>#N/A</v>
      </c>
      <c r="I37" s="184" t="s">
        <v>2089</v>
      </c>
      <c r="J37" s="260">
        <f>(V37+X37+AA37)/'Logistics record '!$AD$1</f>
        <v>15.116015418335726</v>
      </c>
      <c r="K37" s="260">
        <f>W37/'Logistics record '!$AD$1</f>
        <v>0</v>
      </c>
      <c r="L37" s="260">
        <f>Y37/'Logistics record '!$AD$1</f>
        <v>0</v>
      </c>
      <c r="M37" s="260">
        <f>AF37/'Logistics record '!$AD$1</f>
        <v>60.750510165520367</v>
      </c>
      <c r="N37" s="260" t="str" cm="1">
        <f t="array" ref="N37">_xlfn.IFS(
    OR(UPPER(S37)="AIR", UPPER(S37)="CPN"), "AIR",
    UPPER(S37)="TC", "LOCAL",
    TRUE, "SEA"
)</f>
        <v>AIR</v>
      </c>
      <c r="O37" s="260">
        <f t="shared" si="4"/>
        <v>75.866525583856088</v>
      </c>
      <c r="P37" s="184" t="s">
        <v>949</v>
      </c>
      <c r="Q37" s="185">
        <v>108275788610</v>
      </c>
      <c r="R37" s="186">
        <v>46167</v>
      </c>
      <c r="S37" s="187" t="s">
        <v>65</v>
      </c>
      <c r="T37" s="188">
        <v>3.4</v>
      </c>
      <c r="U37" s="188"/>
      <c r="V37" s="189">
        <v>400000</v>
      </c>
      <c r="W37" s="190"/>
      <c r="X37" s="190"/>
      <c r="Y37" s="190"/>
      <c r="Z37" s="189">
        <f t="shared" si="0"/>
        <v>400000</v>
      </c>
      <c r="AA37" s="189">
        <v>0</v>
      </c>
      <c r="AB37" s="189">
        <f t="shared" si="5"/>
        <v>400000</v>
      </c>
      <c r="AC37" s="189"/>
      <c r="AD37" s="190">
        <v>1220400</v>
      </c>
      <c r="AE37" s="190">
        <v>387180</v>
      </c>
      <c r="AF37" s="191">
        <f t="shared" si="1"/>
        <v>1607580</v>
      </c>
      <c r="AG37" s="190">
        <f t="shared" si="2"/>
        <v>2007580</v>
      </c>
      <c r="AH37" s="190"/>
      <c r="AI37" s="192" t="str">
        <f>VLOOKUP(Q37,[3]Sheet1!B$11:G$1489,6,0)</f>
        <v>E11</v>
      </c>
      <c r="GK37" s="194"/>
      <c r="GL37" s="195"/>
      <c r="GM37" s="196"/>
      <c r="GN37" s="197"/>
      <c r="GO37" s="198"/>
      <c r="GP37" s="199"/>
      <c r="GQ37" s="200"/>
      <c r="GR37" s="201"/>
      <c r="GS37" s="60"/>
      <c r="GT37" s="202"/>
      <c r="GU37" s="202"/>
      <c r="GV37" s="202"/>
      <c r="GW37" s="202"/>
      <c r="GX37" s="203"/>
      <c r="HA37" s="194"/>
      <c r="HB37" s="195"/>
      <c r="HC37" s="196"/>
      <c r="HD37" s="197"/>
      <c r="HE37" s="198"/>
      <c r="HF37" s="199"/>
      <c r="HG37" s="200"/>
      <c r="HH37" s="201"/>
      <c r="HI37" s="60"/>
      <c r="HJ37" s="202"/>
      <c r="HK37" s="202"/>
      <c r="HL37" s="202"/>
      <c r="HM37" s="202"/>
      <c r="HN37" s="203"/>
    </row>
    <row r="38" spans="1:222" ht="16.5" customHeight="1">
      <c r="A38" s="181">
        <v>35</v>
      </c>
      <c r="B38" s="182" t="s">
        <v>2243</v>
      </c>
      <c r="C38" s="598" t="s">
        <v>2244</v>
      </c>
      <c r="D38" s="184" t="s">
        <v>940</v>
      </c>
      <c r="E38" s="184" t="str">
        <f t="shared" si="3"/>
        <v>Import</v>
      </c>
      <c r="F38" s="720" t="str" cm="1">
        <f t="array" ref="F38">_xlfn.IFS(
  OR(AI38="E11", AI38="E15"), "Raw materials",
  OR(AI38="E13", AI38="G13"), "Equipments + Toolings",
  TRUE, RIGHT(C38, 8)
)</f>
        <v>Raw materials</v>
      </c>
      <c r="G38" s="541" t="str" cm="1">
        <f t="array" ref="G38">IF(E38="Import",
  IFERROR(
    _xlfn.IFS(
      VLOOKUP(B38,[1]Material!F$5:U$90000,16,0)="LUC","Lucid",
      VLOOKUP(B38,[1]Material!F$5:U$90000,16,0)="FMC","FORD",
      OR(VLOOKUP(B38,[1]Material!F$5:U$90000,16,0)="PUR",VLOOKUP(B38,[1]Material!F$5:U$90000,16,0)="HLO"),"PURE",
      VLOOKUP(B38,[1]Material!F$5:U$90000,16,0)="AIC","AIC",
      OR(VLOOKUP(B38,[1]Material!F$5:U$90000,16,0)="AGI",VLOOKUP(B38,[1]Material!F$5:U$90000,16,0)="AGIGA"),"AGIGA",
      OR(LEFT(VLOOKUP(B38,[1]Material!F$5:U$90000,16,0),3)="EF-",VLOOKUP(B38,[1]Material!F$5:U$90000,16,0)="EFI"),"EFI",
      AND(ISNUMBER(VLOOKUP(B38,[1]Material!F$5:U$90000,16,0)),VLOOKUP(B38,[1]Material!F$5:U$90000,16,0)&gt;=100,VLOOKUP(B38,[1]Material!F$5:U$90000,16,0)&lt;=999,VLOOKUP(B38,[1]Material!F$5:U$90000,16,0)=INT(VLOOKUP(B38,[1]Material!F$5:U$90000,16,0))),"OEM",
      TRUE,""
    ),
    "không tìm thấy trong file Import"
  ),
  VLOOKUP(F38,'[2]Export shipment'!B:Y,24,0)
)</f>
        <v>PURE</v>
      </c>
      <c r="H38" s="184"/>
      <c r="I38" s="184" t="s">
        <v>2090</v>
      </c>
      <c r="J38" s="260">
        <f>(V38+X38+AA38)/'Logistics record '!$AD$1</f>
        <v>15.116015418335726</v>
      </c>
      <c r="K38" s="260">
        <f>W38/'Logistics record '!$AD$1</f>
        <v>0</v>
      </c>
      <c r="L38" s="260">
        <f>Y38/'Logistics record '!$AD$1</f>
        <v>0</v>
      </c>
      <c r="M38" s="260">
        <f>AF38/'Logistics record '!$AD$1</f>
        <v>0</v>
      </c>
      <c r="N38" s="260" t="str" cm="1">
        <f t="array" ref="N38">_xlfn.IFS(
    OR(UPPER(S38)="AIR", UPPER(S38)="CPN"), "AIR",
    UPPER(S38)="TC", "LOCAL",
    TRUE, "SEA"
)</f>
        <v>AIR</v>
      </c>
      <c r="O38" s="260">
        <f t="shared" si="4"/>
        <v>15.116015418335726</v>
      </c>
      <c r="P38" s="184" t="s">
        <v>949</v>
      </c>
      <c r="Q38" s="185">
        <v>108275794910</v>
      </c>
      <c r="R38" s="186">
        <v>46167</v>
      </c>
      <c r="S38" s="187" t="s">
        <v>65</v>
      </c>
      <c r="T38" s="188">
        <v>7.3</v>
      </c>
      <c r="U38" s="188"/>
      <c r="V38" s="189">
        <v>400000</v>
      </c>
      <c r="W38" s="190"/>
      <c r="X38" s="190"/>
      <c r="Y38" s="190"/>
      <c r="Z38" s="189">
        <f t="shared" si="0"/>
        <v>400000</v>
      </c>
      <c r="AA38" s="189">
        <v>0</v>
      </c>
      <c r="AB38" s="189">
        <f t="shared" si="5"/>
        <v>400000</v>
      </c>
      <c r="AC38" s="189"/>
      <c r="AD38" s="190"/>
      <c r="AE38" s="190"/>
      <c r="AF38" s="191">
        <f t="shared" si="1"/>
        <v>0</v>
      </c>
      <c r="AG38" s="190">
        <f t="shared" si="2"/>
        <v>400000</v>
      </c>
      <c r="AH38" s="190"/>
      <c r="AI38" s="192" t="str">
        <f>VLOOKUP(Q38,[3]Sheet1!B$11:G$1489,6,0)</f>
        <v>E11</v>
      </c>
      <c r="GK38" s="194"/>
      <c r="GL38" s="195"/>
      <c r="GM38" s="196"/>
      <c r="GN38" s="197"/>
      <c r="GO38" s="198"/>
      <c r="GP38" s="199"/>
      <c r="GQ38" s="200"/>
      <c r="GR38" s="201"/>
      <c r="GS38" s="60"/>
      <c r="GT38" s="202"/>
      <c r="GU38" s="202"/>
      <c r="GV38" s="202"/>
      <c r="GW38" s="202"/>
      <c r="GX38" s="203"/>
      <c r="HA38" s="194"/>
      <c r="HB38" s="195"/>
      <c r="HC38" s="196"/>
      <c r="HD38" s="197"/>
      <c r="HE38" s="198"/>
      <c r="HF38" s="199"/>
      <c r="HG38" s="200"/>
      <c r="HH38" s="201"/>
      <c r="HI38" s="60"/>
      <c r="HJ38" s="202"/>
      <c r="HK38" s="202"/>
      <c r="HL38" s="202"/>
      <c r="HM38" s="202"/>
      <c r="HN38" s="203"/>
    </row>
    <row r="39" spans="1:222" ht="16.5" customHeight="1">
      <c r="A39" s="181">
        <v>36</v>
      </c>
      <c r="B39" s="182" t="s">
        <v>2245</v>
      </c>
      <c r="C39" s="598" t="s">
        <v>2246</v>
      </c>
      <c r="D39" s="184" t="s">
        <v>940</v>
      </c>
      <c r="E39" s="184" t="str">
        <f t="shared" si="3"/>
        <v>Import</v>
      </c>
      <c r="F39" s="720" t="str" cm="1">
        <f t="array" ref="F39">_xlfn.IFS(
  OR(AI39="E11", AI39="E15"), "Raw materials",
  OR(AI39="E13", AI39="G13"), "Equipments + Toolings",
  TRUE, RIGHT(C39, 8)
)</f>
        <v>Raw materials</v>
      </c>
      <c r="G39" s="541" t="str" cm="1">
        <f t="array" ref="G39">IF(E39="Import",
  IFERROR(
    _xlfn.IFS(
      VLOOKUP(B39,[1]Material!F$5:U$90000,16,0)="LUC","Lucid",
      VLOOKUP(B39,[1]Material!F$5:U$90000,16,0)="FMC","FORD",
      OR(VLOOKUP(B39,[1]Material!F$5:U$90000,16,0)="PUR",VLOOKUP(B39,[1]Material!F$5:U$90000,16,0)="HLO"),"PURE",
      VLOOKUP(B39,[1]Material!F$5:U$90000,16,0)="AIC","AIC",
      OR(VLOOKUP(B39,[1]Material!F$5:U$90000,16,0)="AGI",VLOOKUP(B39,[1]Material!F$5:U$90000,16,0)="AGIGA"),"AGIGA",
      OR(LEFT(VLOOKUP(B39,[1]Material!F$5:U$90000,16,0),3)="EF-",VLOOKUP(B39,[1]Material!F$5:U$90000,16,0)="EFI"),"EFI",
      AND(ISNUMBER(VLOOKUP(B39,[1]Material!F$5:U$90000,16,0)),VLOOKUP(B39,[1]Material!F$5:U$90000,16,0)&gt;=100,VLOOKUP(B39,[1]Material!F$5:U$90000,16,0)&lt;=999,VLOOKUP(B39,[1]Material!F$5:U$90000,16,0)=INT(VLOOKUP(B39,[1]Material!F$5:U$90000,16,0))),"OEM",
      TRUE,""
    ),
    "không tìm thấy trong file Import"
  ),
  VLOOKUP(F39,'[2]Export shipment'!B:Y,24,0)
)</f>
        <v>PURE</v>
      </c>
      <c r="H39" s="184" t="e">
        <f>VLOOKUP(B39,[4]Export!I$3627:J$3668,2,0)</f>
        <v>#N/A</v>
      </c>
      <c r="I39" s="184" t="s">
        <v>2089</v>
      </c>
      <c r="J39" s="260">
        <f>(V39+X39+AA39)/'Logistics record '!$AD$1</f>
        <v>15.116015418335726</v>
      </c>
      <c r="K39" s="260">
        <f>W39/'Logistics record '!$AD$1</f>
        <v>0</v>
      </c>
      <c r="L39" s="260">
        <f>Y39/'Logistics record '!$AD$1</f>
        <v>0</v>
      </c>
      <c r="M39" s="260">
        <f>AF39/'Logistics record '!$AD$1</f>
        <v>60.750510165520367</v>
      </c>
      <c r="N39" s="260" t="str" cm="1">
        <f t="array" ref="N39">_xlfn.IFS(
    OR(UPPER(S39)="AIR", UPPER(S39)="CPN"), "AIR",
    UPPER(S39)="TC", "LOCAL",
    TRUE, "SEA"
)</f>
        <v>AIR</v>
      </c>
      <c r="O39" s="260">
        <f t="shared" si="4"/>
        <v>75.866525583856088</v>
      </c>
      <c r="P39" s="184" t="s">
        <v>949</v>
      </c>
      <c r="Q39" s="185">
        <v>108275821250</v>
      </c>
      <c r="R39" s="186">
        <v>46167</v>
      </c>
      <c r="S39" s="187" t="s">
        <v>65</v>
      </c>
      <c r="T39" s="188">
        <v>6.5</v>
      </c>
      <c r="U39" s="188"/>
      <c r="V39" s="189">
        <v>400000</v>
      </c>
      <c r="W39" s="190"/>
      <c r="X39" s="190"/>
      <c r="Y39" s="190"/>
      <c r="Z39" s="189">
        <f t="shared" si="0"/>
        <v>400000</v>
      </c>
      <c r="AA39" s="189">
        <v>0</v>
      </c>
      <c r="AB39" s="189">
        <f t="shared" si="5"/>
        <v>400000</v>
      </c>
      <c r="AC39" s="189"/>
      <c r="AD39" s="190">
        <v>1220400</v>
      </c>
      <c r="AE39" s="190">
        <v>387180</v>
      </c>
      <c r="AF39" s="191">
        <f t="shared" si="1"/>
        <v>1607580</v>
      </c>
      <c r="AG39" s="190">
        <f t="shared" si="2"/>
        <v>2007580</v>
      </c>
      <c r="AH39" s="190"/>
      <c r="AI39" s="192" t="str">
        <f>VLOOKUP(Q39,[3]Sheet1!B$11:G$1489,6,0)</f>
        <v>E11</v>
      </c>
      <c r="GK39" s="194"/>
      <c r="GL39" s="195"/>
      <c r="GM39" s="196"/>
      <c r="GN39" s="197"/>
      <c r="GO39" s="198"/>
      <c r="GP39" s="199"/>
      <c r="GQ39" s="200"/>
      <c r="GR39" s="201"/>
      <c r="GS39" s="60"/>
      <c r="GT39" s="202"/>
      <c r="GU39" s="202"/>
      <c r="GV39" s="202"/>
      <c r="GW39" s="202"/>
      <c r="GX39" s="203"/>
      <c r="HA39" s="194"/>
      <c r="HB39" s="195"/>
      <c r="HC39" s="196"/>
      <c r="HD39" s="197"/>
      <c r="HE39" s="198"/>
      <c r="HF39" s="199"/>
      <c r="HG39" s="200"/>
      <c r="HH39" s="201"/>
      <c r="HI39" s="60"/>
      <c r="HJ39" s="202"/>
      <c r="HK39" s="202"/>
      <c r="HL39" s="202"/>
      <c r="HM39" s="202"/>
      <c r="HN39" s="203"/>
    </row>
    <row r="40" spans="1:222" ht="16.5" customHeight="1">
      <c r="A40" s="181">
        <v>37</v>
      </c>
      <c r="B40" s="182" t="s">
        <v>2247</v>
      </c>
      <c r="C40" s="598" t="s">
        <v>2248</v>
      </c>
      <c r="D40" s="184" t="s">
        <v>940</v>
      </c>
      <c r="E40" s="184" t="str">
        <f t="shared" si="3"/>
        <v>Import</v>
      </c>
      <c r="F40" s="720" t="str" cm="1">
        <f t="array" ref="F40">_xlfn.IFS(
  OR(AI40="E11", AI40="E15"), "Raw materials",
  OR(AI40="E13", AI40="G13"), "Equipments + Toolings",
  TRUE, RIGHT(C40, 8)
)</f>
        <v>Raw materials</v>
      </c>
      <c r="G40" s="541" t="str" cm="1">
        <f t="array" ref="G40">IF(E40="Import",
  IFERROR(
    _xlfn.IFS(
      VLOOKUP(B40,[1]Material!F$5:U$90000,16,0)="LUC","Lucid",
      VLOOKUP(B40,[1]Material!F$5:U$90000,16,0)="FMC","FORD",
      OR(VLOOKUP(B40,[1]Material!F$5:U$90000,16,0)="PUR",VLOOKUP(B40,[1]Material!F$5:U$90000,16,0)="HLO"),"PURE",
      VLOOKUP(B40,[1]Material!F$5:U$90000,16,0)="AIC","AIC",
      OR(VLOOKUP(B40,[1]Material!F$5:U$90000,16,0)="AGI",VLOOKUP(B40,[1]Material!F$5:U$90000,16,0)="AGIGA"),"AGIGA",
      OR(LEFT(VLOOKUP(B40,[1]Material!F$5:U$90000,16,0),3)="EF-",VLOOKUP(B40,[1]Material!F$5:U$90000,16,0)="EFI"),"EFI",
      AND(ISNUMBER(VLOOKUP(B40,[1]Material!F$5:U$90000,16,0)),VLOOKUP(B40,[1]Material!F$5:U$90000,16,0)&gt;=100,VLOOKUP(B40,[1]Material!F$5:U$90000,16,0)&lt;=999,VLOOKUP(B40,[1]Material!F$5:U$90000,16,0)=INT(VLOOKUP(B40,[1]Material!F$5:U$90000,16,0))),"OEM",
      TRUE,""
    ),
    "không tìm thấy trong file Import"
  ),
  VLOOKUP(F40,'[2]Export shipment'!B:Y,24,0)
)</f>
        <v>PURE</v>
      </c>
      <c r="H40" s="184" t="e">
        <f>VLOOKUP(B40,[4]Export!I$3627:J$3668,2,0)</f>
        <v>#N/A</v>
      </c>
      <c r="I40" s="184" t="s">
        <v>2089</v>
      </c>
      <c r="J40" s="260">
        <f>(V40+X40+AA40)/'Logistics record '!$AD$1</f>
        <v>15.116015418335726</v>
      </c>
      <c r="K40" s="260">
        <f>W40/'Logistics record '!$AD$1</f>
        <v>0</v>
      </c>
      <c r="L40" s="260">
        <f>Y40/'Logistics record '!$AD$1</f>
        <v>0</v>
      </c>
      <c r="M40" s="260">
        <f>AF40/'Logistics record '!$AD$1</f>
        <v>60.750510165520367</v>
      </c>
      <c r="N40" s="260" t="str" cm="1">
        <f t="array" ref="N40">_xlfn.IFS(
    OR(UPPER(S40)="AIR", UPPER(S40)="CPN"), "AIR",
    UPPER(S40)="TC", "LOCAL",
    TRUE, "SEA"
)</f>
        <v>AIR</v>
      </c>
      <c r="O40" s="260">
        <f t="shared" si="4"/>
        <v>75.866525583856088</v>
      </c>
      <c r="P40" s="184" t="s">
        <v>949</v>
      </c>
      <c r="Q40" s="185">
        <v>108275861630</v>
      </c>
      <c r="R40" s="186">
        <v>46167</v>
      </c>
      <c r="S40" s="187" t="s">
        <v>65</v>
      </c>
      <c r="T40" s="188">
        <v>3.4</v>
      </c>
      <c r="U40" s="188"/>
      <c r="V40" s="189">
        <v>400000</v>
      </c>
      <c r="W40" s="190"/>
      <c r="X40" s="190"/>
      <c r="Y40" s="190"/>
      <c r="Z40" s="189">
        <f t="shared" si="0"/>
        <v>400000</v>
      </c>
      <c r="AA40" s="189">
        <v>0</v>
      </c>
      <c r="AB40" s="189">
        <f t="shared" si="5"/>
        <v>400000</v>
      </c>
      <c r="AC40" s="189"/>
      <c r="AD40" s="190">
        <v>1220400</v>
      </c>
      <c r="AE40" s="190">
        <v>387180</v>
      </c>
      <c r="AF40" s="191">
        <f t="shared" si="1"/>
        <v>1607580</v>
      </c>
      <c r="AG40" s="190">
        <f t="shared" si="2"/>
        <v>2007580</v>
      </c>
      <c r="AH40" s="190"/>
      <c r="AI40" s="192" t="str">
        <f>VLOOKUP(Q40,[3]Sheet1!B$11:G$1489,6,0)</f>
        <v>E11</v>
      </c>
      <c r="GK40" s="194"/>
      <c r="GL40" s="195"/>
      <c r="GM40" s="196"/>
      <c r="GN40" s="197"/>
      <c r="GO40" s="198"/>
      <c r="GP40" s="199"/>
      <c r="GQ40" s="200"/>
      <c r="GR40" s="201"/>
      <c r="GS40" s="60"/>
      <c r="GT40" s="202"/>
      <c r="GU40" s="202"/>
      <c r="GV40" s="202"/>
      <c r="GW40" s="202"/>
      <c r="GX40" s="203"/>
      <c r="HA40" s="194"/>
      <c r="HB40" s="195"/>
      <c r="HC40" s="196"/>
      <c r="HD40" s="197"/>
      <c r="HE40" s="198"/>
      <c r="HF40" s="199"/>
      <c r="HG40" s="200"/>
      <c r="HH40" s="201"/>
      <c r="HI40" s="60"/>
      <c r="HJ40" s="202"/>
      <c r="HK40" s="202"/>
      <c r="HL40" s="202"/>
      <c r="HM40" s="202"/>
      <c r="HN40" s="203"/>
    </row>
    <row r="41" spans="1:222" ht="16.5" customHeight="1">
      <c r="A41" s="181">
        <v>38</v>
      </c>
      <c r="B41" s="182" t="s">
        <v>2249</v>
      </c>
      <c r="C41" s="183" t="s">
        <v>2250</v>
      </c>
      <c r="D41" s="184" t="s">
        <v>940</v>
      </c>
      <c r="E41" s="184" t="str">
        <f t="shared" si="3"/>
        <v>Import</v>
      </c>
      <c r="F41" s="720" t="str" cm="1">
        <f t="array" ref="F41">_xlfn.IFS(
  OR(AI41="E11", AI41="E15"), "Raw materials",
  OR(AI41="E13", AI41="G13"), "Equipments + Toolings",
  TRUE, RIGHT(C41, 8)
)</f>
        <v>Raw materials</v>
      </c>
      <c r="G41" s="541" t="str" cm="1">
        <f t="array" ref="G41">IF(E41="Import",
  IFERROR(
    _xlfn.IFS(
      VLOOKUP(B41,[1]Material!F$5:U$90000,16,0)="LUC","Lucid",
      VLOOKUP(B41,[1]Material!F$5:U$90000,16,0)="FMC","FORD",
      OR(VLOOKUP(B41,[1]Material!F$5:U$90000,16,0)="PUR",VLOOKUP(B41,[1]Material!F$5:U$90000,16,0)="HLO"),"PURE",
      VLOOKUP(B41,[1]Material!F$5:U$90000,16,0)="AIC","AIC",
      OR(VLOOKUP(B41,[1]Material!F$5:U$90000,16,0)="AGI",VLOOKUP(B41,[1]Material!F$5:U$90000,16,0)="AGIGA"),"AGIGA",
      OR(LEFT(VLOOKUP(B41,[1]Material!F$5:U$90000,16,0),3)="EF-",VLOOKUP(B41,[1]Material!F$5:U$90000,16,0)="EFI"),"EFI",
      AND(ISNUMBER(VLOOKUP(B41,[1]Material!F$5:U$90000,16,0)),VLOOKUP(B41,[1]Material!F$5:U$90000,16,0)&gt;=100,VLOOKUP(B41,[1]Material!F$5:U$90000,16,0)&lt;=999,VLOOKUP(B41,[1]Material!F$5:U$90000,16,0)=INT(VLOOKUP(B41,[1]Material!F$5:U$90000,16,0))),"OEM",
      TRUE,""
    ),
    "không tìm thấy trong file Import"
  ),
  VLOOKUP(F41,'[2]Export shipment'!B:Y,24,0)
)</f>
        <v>PURE</v>
      </c>
      <c r="H41" s="184" t="e">
        <f>VLOOKUP(B41,[4]Export!I$3627:J$3668,2,0)</f>
        <v>#N/A</v>
      </c>
      <c r="I41" s="184" t="s">
        <v>2089</v>
      </c>
      <c r="J41" s="260">
        <f>(V41+X41+AA41)/'Logistics record '!$AD$1</f>
        <v>15.116015418335726</v>
      </c>
      <c r="K41" s="260">
        <f>W41/'Logistics record '!$AD$1</f>
        <v>0</v>
      </c>
      <c r="L41" s="260">
        <f>Y41/'Logistics record '!$AD$1</f>
        <v>0</v>
      </c>
      <c r="M41" s="260">
        <f>AF41/'Logistics record '!$AD$1</f>
        <v>60.750510165520367</v>
      </c>
      <c r="N41" s="260" t="str" cm="1">
        <f t="array" ref="N41">_xlfn.IFS(
    OR(UPPER(S41)="AIR", UPPER(S41)="CPN"), "AIR",
    UPPER(S41)="TC", "LOCAL",
    TRUE, "SEA"
)</f>
        <v>AIR</v>
      </c>
      <c r="O41" s="260">
        <f t="shared" si="4"/>
        <v>75.866525583856088</v>
      </c>
      <c r="P41" s="184" t="s">
        <v>949</v>
      </c>
      <c r="Q41" s="185">
        <v>108275872130</v>
      </c>
      <c r="R41" s="186">
        <v>46167</v>
      </c>
      <c r="S41" s="187" t="s">
        <v>65</v>
      </c>
      <c r="T41" s="188">
        <v>3.4</v>
      </c>
      <c r="U41" s="188"/>
      <c r="V41" s="189">
        <v>400000</v>
      </c>
      <c r="W41" s="190"/>
      <c r="X41" s="190"/>
      <c r="Y41" s="190"/>
      <c r="Z41" s="189">
        <f t="shared" si="0"/>
        <v>400000</v>
      </c>
      <c r="AA41" s="189">
        <v>0</v>
      </c>
      <c r="AB41" s="189">
        <f t="shared" si="5"/>
        <v>400000</v>
      </c>
      <c r="AC41" s="189"/>
      <c r="AD41" s="190">
        <v>1220400</v>
      </c>
      <c r="AE41" s="190">
        <v>387180</v>
      </c>
      <c r="AF41" s="191">
        <f t="shared" si="1"/>
        <v>1607580</v>
      </c>
      <c r="AG41" s="190">
        <f t="shared" si="2"/>
        <v>2007580</v>
      </c>
      <c r="AH41" s="190"/>
      <c r="AI41" s="192" t="str">
        <f>VLOOKUP(Q41,[3]Sheet1!B$11:G$1489,6,0)</f>
        <v>E11</v>
      </c>
      <c r="GK41" s="194"/>
      <c r="GL41" s="195"/>
      <c r="GM41" s="196"/>
      <c r="GN41" s="197"/>
      <c r="GO41" s="198"/>
      <c r="GP41" s="199"/>
      <c r="GQ41" s="200"/>
      <c r="GR41" s="201"/>
      <c r="GS41" s="60"/>
      <c r="GT41" s="202"/>
      <c r="GU41" s="202"/>
      <c r="GV41" s="202"/>
      <c r="GW41" s="202"/>
      <c r="GX41" s="203"/>
      <c r="HA41" s="194"/>
      <c r="HB41" s="195"/>
      <c r="HC41" s="196"/>
      <c r="HD41" s="197"/>
      <c r="HE41" s="198"/>
      <c r="HF41" s="199"/>
      <c r="HG41" s="200"/>
      <c r="HH41" s="201"/>
      <c r="HI41" s="60"/>
      <c r="HJ41" s="202"/>
      <c r="HK41" s="202"/>
      <c r="HL41" s="202"/>
      <c r="HM41" s="202"/>
      <c r="HN41" s="203"/>
    </row>
    <row r="42" spans="1:222" ht="16.5" customHeight="1">
      <c r="A42" s="181">
        <v>39</v>
      </c>
      <c r="B42" s="182" t="s">
        <v>2251</v>
      </c>
      <c r="C42" s="598" t="s">
        <v>2252</v>
      </c>
      <c r="D42" s="184" t="s">
        <v>940</v>
      </c>
      <c r="E42" s="184" t="str">
        <f t="shared" si="3"/>
        <v>Import</v>
      </c>
      <c r="F42" s="720" t="str" cm="1">
        <f t="array" ref="F42">_xlfn.IFS(
  OR(AI42="E11", AI42="E15"), "Raw materials",
  OR(AI42="E13", AI42="G13"), "Equipments + Toolings",
  TRUE, RIGHT(C42, 8)
)</f>
        <v>Raw materials</v>
      </c>
      <c r="G42" s="541" t="str" cm="1">
        <f t="array" ref="G42">IF(E42="Import",
  IFERROR(
    _xlfn.IFS(
      VLOOKUP(B42,[1]Material!F$5:U$90000,16,0)="LUC","Lucid",
      VLOOKUP(B42,[1]Material!F$5:U$90000,16,0)="FMC","FORD",
      OR(VLOOKUP(B42,[1]Material!F$5:U$90000,16,0)="PUR",VLOOKUP(B42,[1]Material!F$5:U$90000,16,0)="HLO"),"PURE",
      VLOOKUP(B42,[1]Material!F$5:U$90000,16,0)="AIC","AIC",
      OR(VLOOKUP(B42,[1]Material!F$5:U$90000,16,0)="AGI",VLOOKUP(B42,[1]Material!F$5:U$90000,16,0)="AGIGA"),"AGIGA",
      OR(LEFT(VLOOKUP(B42,[1]Material!F$5:U$90000,16,0),3)="EF-",VLOOKUP(B42,[1]Material!F$5:U$90000,16,0)="EFI"),"EFI",
      AND(ISNUMBER(VLOOKUP(B42,[1]Material!F$5:U$90000,16,0)),VLOOKUP(B42,[1]Material!F$5:U$90000,16,0)&gt;=100,VLOOKUP(B42,[1]Material!F$5:U$90000,16,0)&lt;=999,VLOOKUP(B42,[1]Material!F$5:U$90000,16,0)=INT(VLOOKUP(B42,[1]Material!F$5:U$90000,16,0))),"OEM",
      TRUE,""
    ),
    "không tìm thấy trong file Import"
  ),
  VLOOKUP(F42,'[2]Export shipment'!B:Y,24,0)
)</f>
        <v>PURE</v>
      </c>
      <c r="H42" s="184"/>
      <c r="I42" s="184" t="s">
        <v>2090</v>
      </c>
      <c r="J42" s="260">
        <f>(V42+X42+AA42)/'Logistics record '!$AD$1</f>
        <v>15.116015418335726</v>
      </c>
      <c r="K42" s="260">
        <f>W42/'Logistics record '!$AD$1</f>
        <v>0</v>
      </c>
      <c r="L42" s="260">
        <f>Y42/'Logistics record '!$AD$1</f>
        <v>0</v>
      </c>
      <c r="M42" s="260">
        <f>AF42/'Logistics record '!$AD$1</f>
        <v>0</v>
      </c>
      <c r="N42" s="260" t="str" cm="1">
        <f t="array" ref="N42">_xlfn.IFS(
    OR(UPPER(S42)="AIR", UPPER(S42)="CPN"), "AIR",
    UPPER(S42)="TC", "LOCAL",
    TRUE, "SEA"
)</f>
        <v>AIR</v>
      </c>
      <c r="O42" s="260">
        <f t="shared" si="4"/>
        <v>15.116015418335726</v>
      </c>
      <c r="P42" s="184" t="s">
        <v>949</v>
      </c>
      <c r="Q42" s="185">
        <v>108275887750</v>
      </c>
      <c r="R42" s="186">
        <v>46167</v>
      </c>
      <c r="S42" s="187" t="s">
        <v>65</v>
      </c>
      <c r="T42" s="188">
        <v>9.1999999999999993</v>
      </c>
      <c r="U42" s="188"/>
      <c r="V42" s="189">
        <v>400000</v>
      </c>
      <c r="W42" s="190"/>
      <c r="X42" s="190"/>
      <c r="Y42" s="190"/>
      <c r="Z42" s="189">
        <f t="shared" si="0"/>
        <v>400000</v>
      </c>
      <c r="AA42" s="189">
        <v>0</v>
      </c>
      <c r="AB42" s="189">
        <f t="shared" si="5"/>
        <v>400000</v>
      </c>
      <c r="AC42" s="189"/>
      <c r="AD42" s="190"/>
      <c r="AE42" s="190"/>
      <c r="AF42" s="191">
        <f t="shared" si="1"/>
        <v>0</v>
      </c>
      <c r="AG42" s="190">
        <f t="shared" si="2"/>
        <v>400000</v>
      </c>
      <c r="AH42" s="190"/>
      <c r="AI42" s="192" t="str">
        <f>VLOOKUP(Q42,[3]Sheet1!B$11:G$1489,6,0)</f>
        <v>E11</v>
      </c>
      <c r="GK42" s="194"/>
      <c r="GL42" s="195"/>
      <c r="GM42" s="196"/>
      <c r="GN42" s="197"/>
      <c r="GO42" s="198"/>
      <c r="GP42" s="199"/>
      <c r="GQ42" s="200"/>
      <c r="GR42" s="201"/>
      <c r="GS42" s="60"/>
      <c r="GT42" s="202"/>
      <c r="GU42" s="202"/>
      <c r="GV42" s="202"/>
      <c r="GW42" s="202"/>
      <c r="GX42" s="203"/>
      <c r="HA42" s="194"/>
      <c r="HB42" s="195"/>
      <c r="HC42" s="196"/>
      <c r="HD42" s="197"/>
      <c r="HE42" s="198"/>
      <c r="HF42" s="199"/>
      <c r="HG42" s="200"/>
      <c r="HH42" s="201"/>
      <c r="HI42" s="60"/>
      <c r="HJ42" s="202"/>
      <c r="HK42" s="202"/>
      <c r="HL42" s="202"/>
      <c r="HM42" s="202"/>
      <c r="HN42" s="203"/>
    </row>
    <row r="43" spans="1:222" ht="16.5" customHeight="1">
      <c r="A43" s="181">
        <v>40</v>
      </c>
      <c r="B43" s="182" t="s">
        <v>2253</v>
      </c>
      <c r="C43" s="598" t="s">
        <v>2254</v>
      </c>
      <c r="D43" s="184" t="s">
        <v>940</v>
      </c>
      <c r="E43" s="184" t="str">
        <f t="shared" si="3"/>
        <v>Import</v>
      </c>
      <c r="F43" s="720" t="str" cm="1">
        <f t="array" ref="F43">_xlfn.IFS(
  OR(AI43="E11", AI43="E15"), "Raw materials",
  OR(AI43="E13", AI43="G13"), "Equipments + Toolings",
  TRUE, RIGHT(C43, 8)
)</f>
        <v>Raw materials</v>
      </c>
      <c r="G43" s="541" t="str" cm="1">
        <f t="array" ref="G43">IF(E43="Import",
  IFERROR(
    _xlfn.IFS(
      VLOOKUP(B43,[1]Material!F$5:U$90000,16,0)="LUC","Lucid",
      VLOOKUP(B43,[1]Material!F$5:U$90000,16,0)="FMC","FORD",
      OR(VLOOKUP(B43,[1]Material!F$5:U$90000,16,0)="PUR",VLOOKUP(B43,[1]Material!F$5:U$90000,16,0)="HLO"),"PURE",
      VLOOKUP(B43,[1]Material!F$5:U$90000,16,0)="AIC","AIC",
      OR(VLOOKUP(B43,[1]Material!F$5:U$90000,16,0)="AGI",VLOOKUP(B43,[1]Material!F$5:U$90000,16,0)="AGIGA"),"AGIGA",
      OR(LEFT(VLOOKUP(B43,[1]Material!F$5:U$90000,16,0),3)="EF-",VLOOKUP(B43,[1]Material!F$5:U$90000,16,0)="EFI"),"EFI",
      AND(ISNUMBER(VLOOKUP(B43,[1]Material!F$5:U$90000,16,0)),VLOOKUP(B43,[1]Material!F$5:U$90000,16,0)&gt;=100,VLOOKUP(B43,[1]Material!F$5:U$90000,16,0)&lt;=999,VLOOKUP(B43,[1]Material!F$5:U$90000,16,0)=INT(VLOOKUP(B43,[1]Material!F$5:U$90000,16,0))),"OEM",
      TRUE,""
    ),
    "không tìm thấy trong file Import"
  ),
  VLOOKUP(F43,'[2]Export shipment'!B:Y,24,0)
)</f>
        <v>PURE</v>
      </c>
      <c r="H43" s="184" t="e">
        <f>VLOOKUP(B43,[4]Export!I$3627:J$3668,2,0)</f>
        <v>#N/A</v>
      </c>
      <c r="I43" s="184" t="s">
        <v>2089</v>
      </c>
      <c r="J43" s="260">
        <f>(V43+X43+AA43)/'Logistics record '!$AD$1</f>
        <v>15.116015418335726</v>
      </c>
      <c r="K43" s="260">
        <f>W43/'Logistics record '!$AD$1</f>
        <v>0</v>
      </c>
      <c r="L43" s="260">
        <f>Y43/'Logistics record '!$AD$1</f>
        <v>0</v>
      </c>
      <c r="M43" s="260">
        <f>AF43/'Logistics record '!$AD$1</f>
        <v>60.750510165520367</v>
      </c>
      <c r="N43" s="260" t="str" cm="1">
        <f t="array" ref="N43">_xlfn.IFS(
    OR(UPPER(S43)="AIR", UPPER(S43)="CPN"), "AIR",
    UPPER(S43)="TC", "LOCAL",
    TRUE, "SEA"
)</f>
        <v>AIR</v>
      </c>
      <c r="O43" s="260">
        <f t="shared" si="4"/>
        <v>75.866525583856088</v>
      </c>
      <c r="P43" s="184" t="s">
        <v>949</v>
      </c>
      <c r="Q43" s="185">
        <v>108275898250</v>
      </c>
      <c r="R43" s="186">
        <v>46167</v>
      </c>
      <c r="S43" s="187" t="s">
        <v>65</v>
      </c>
      <c r="T43" s="188">
        <v>3.4</v>
      </c>
      <c r="U43" s="188"/>
      <c r="V43" s="189">
        <v>400000</v>
      </c>
      <c r="W43" s="190"/>
      <c r="X43" s="190"/>
      <c r="Y43" s="190"/>
      <c r="Z43" s="189">
        <f t="shared" si="0"/>
        <v>400000</v>
      </c>
      <c r="AA43" s="189">
        <v>0</v>
      </c>
      <c r="AB43" s="189">
        <f t="shared" si="5"/>
        <v>400000</v>
      </c>
      <c r="AC43" s="189"/>
      <c r="AD43" s="190">
        <v>1220400</v>
      </c>
      <c r="AE43" s="190">
        <v>387180</v>
      </c>
      <c r="AF43" s="191">
        <f t="shared" si="1"/>
        <v>1607580</v>
      </c>
      <c r="AG43" s="190">
        <f t="shared" si="2"/>
        <v>2007580</v>
      </c>
      <c r="AH43" s="190"/>
      <c r="AI43" s="192" t="str">
        <f>VLOOKUP(Q43,[3]Sheet1!B$11:G$1489,6,0)</f>
        <v>E11</v>
      </c>
      <c r="GK43" s="194"/>
      <c r="GL43" s="195"/>
      <c r="GM43" s="196"/>
      <c r="GN43" s="197"/>
      <c r="GO43" s="198"/>
      <c r="GP43" s="199"/>
      <c r="GQ43" s="200"/>
      <c r="GR43" s="201"/>
      <c r="GS43" s="60"/>
      <c r="GT43" s="202"/>
      <c r="GU43" s="202"/>
      <c r="GV43" s="202"/>
      <c r="GW43" s="202"/>
      <c r="GX43" s="203"/>
      <c r="HA43" s="194"/>
      <c r="HB43" s="195"/>
      <c r="HC43" s="196"/>
      <c r="HD43" s="197"/>
      <c r="HE43" s="198"/>
      <c r="HF43" s="199"/>
      <c r="HG43" s="200"/>
      <c r="HH43" s="201"/>
      <c r="HI43" s="60"/>
      <c r="HJ43" s="202"/>
      <c r="HK43" s="202"/>
      <c r="HL43" s="202"/>
      <c r="HM43" s="202"/>
      <c r="HN43" s="203"/>
    </row>
    <row r="44" spans="1:222" ht="16.5" customHeight="1">
      <c r="A44" s="181">
        <v>41</v>
      </c>
      <c r="B44" s="182" t="s">
        <v>2255</v>
      </c>
      <c r="C44" s="598" t="s">
        <v>2256</v>
      </c>
      <c r="D44" s="184" t="s">
        <v>940</v>
      </c>
      <c r="E44" s="184" t="str">
        <f t="shared" si="3"/>
        <v>Import</v>
      </c>
      <c r="F44" s="720" t="str" cm="1">
        <f t="array" ref="F44">_xlfn.IFS(
  OR(AI44="E11", AI44="E15"), "Raw materials",
  OR(AI44="E13", AI44="G13"), "Equipments + Toolings",
  TRUE, RIGHT(C44, 8)
)</f>
        <v>Raw materials</v>
      </c>
      <c r="G44" s="541" t="str" cm="1">
        <f t="array" ref="G44">IF(E44="Import",
  IFERROR(
    _xlfn.IFS(
      VLOOKUP(B44,[1]Material!F$5:U$90000,16,0)="LUC","Lucid",
      VLOOKUP(B44,[1]Material!F$5:U$90000,16,0)="FMC","FORD",
      OR(VLOOKUP(B44,[1]Material!F$5:U$90000,16,0)="PUR",VLOOKUP(B44,[1]Material!F$5:U$90000,16,0)="HLO"),"PURE",
      VLOOKUP(B44,[1]Material!F$5:U$90000,16,0)="AIC","AIC",
      OR(VLOOKUP(B44,[1]Material!F$5:U$90000,16,0)="AGI",VLOOKUP(B44,[1]Material!F$5:U$90000,16,0)="AGIGA"),"AGIGA",
      OR(LEFT(VLOOKUP(B44,[1]Material!F$5:U$90000,16,0),3)="EF-",VLOOKUP(B44,[1]Material!F$5:U$90000,16,0)="EFI"),"EFI",
      AND(ISNUMBER(VLOOKUP(B44,[1]Material!F$5:U$90000,16,0)),VLOOKUP(B44,[1]Material!F$5:U$90000,16,0)&gt;=100,VLOOKUP(B44,[1]Material!F$5:U$90000,16,0)&lt;=999,VLOOKUP(B44,[1]Material!F$5:U$90000,16,0)=INT(VLOOKUP(B44,[1]Material!F$5:U$90000,16,0))),"OEM",
      TRUE,""
    ),
    "không tìm thấy trong file Import"
  ),
  VLOOKUP(F44,'[2]Export shipment'!B:Y,24,0)
)</f>
        <v>PURE</v>
      </c>
      <c r="H44" s="184" t="e">
        <f>VLOOKUP(B44,[4]Export!I$3627:J$3668,2,0)</f>
        <v>#N/A</v>
      </c>
      <c r="I44" s="184" t="s">
        <v>2089</v>
      </c>
      <c r="J44" s="260">
        <f>(V44+X44+AA44)/'Logistics record '!$AD$1</f>
        <v>15.116015418335726</v>
      </c>
      <c r="K44" s="260">
        <f>W44/'Logistics record '!$AD$1</f>
        <v>0</v>
      </c>
      <c r="L44" s="260">
        <f>Y44/'Logistics record '!$AD$1</f>
        <v>0</v>
      </c>
      <c r="M44" s="260">
        <f>AF44/'Logistics record '!$AD$1</f>
        <v>60.750510165520367</v>
      </c>
      <c r="N44" s="260" t="str" cm="1">
        <f t="array" ref="N44">_xlfn.IFS(
    OR(UPPER(S44)="AIR", UPPER(S44)="CPN"), "AIR",
    UPPER(S44)="TC", "LOCAL",
    TRUE, "SEA"
)</f>
        <v>AIR</v>
      </c>
      <c r="O44" s="260">
        <f t="shared" si="4"/>
        <v>75.866525583856088</v>
      </c>
      <c r="P44" s="184" t="s">
        <v>949</v>
      </c>
      <c r="Q44" s="185">
        <v>108276113960</v>
      </c>
      <c r="R44" s="186">
        <v>46167</v>
      </c>
      <c r="S44" s="187" t="s">
        <v>65</v>
      </c>
      <c r="T44" s="188">
        <v>6.5</v>
      </c>
      <c r="U44" s="188"/>
      <c r="V44" s="189">
        <v>400000</v>
      </c>
      <c r="W44" s="190"/>
      <c r="X44" s="190"/>
      <c r="Y44" s="190"/>
      <c r="Z44" s="189">
        <f t="shared" si="0"/>
        <v>400000</v>
      </c>
      <c r="AA44" s="189">
        <v>0</v>
      </c>
      <c r="AB44" s="189">
        <f t="shared" si="5"/>
        <v>400000</v>
      </c>
      <c r="AC44" s="189"/>
      <c r="AD44" s="190">
        <v>1220400</v>
      </c>
      <c r="AE44" s="190">
        <v>387180</v>
      </c>
      <c r="AF44" s="191">
        <f t="shared" si="1"/>
        <v>1607580</v>
      </c>
      <c r="AG44" s="190">
        <f t="shared" si="2"/>
        <v>2007580</v>
      </c>
      <c r="AH44" s="190"/>
      <c r="AI44" s="192" t="str">
        <f>VLOOKUP(Q44,[3]Sheet1!B$11:G$1489,6,0)</f>
        <v>E11</v>
      </c>
      <c r="GK44" s="194"/>
      <c r="GL44" s="195"/>
      <c r="GM44" s="196"/>
      <c r="GN44" s="197"/>
      <c r="GO44" s="198"/>
      <c r="GP44" s="199"/>
      <c r="GQ44" s="200"/>
      <c r="GR44" s="201"/>
      <c r="GS44" s="60"/>
      <c r="GT44" s="202"/>
      <c r="GU44" s="202"/>
      <c r="GV44" s="202"/>
      <c r="GW44" s="202"/>
      <c r="GX44" s="203"/>
      <c r="HA44" s="194"/>
      <c r="HB44" s="195"/>
      <c r="HC44" s="196"/>
      <c r="HD44" s="197"/>
      <c r="HE44" s="198"/>
      <c r="HF44" s="199"/>
      <c r="HG44" s="200"/>
      <c r="HH44" s="201"/>
      <c r="HI44" s="60"/>
      <c r="HJ44" s="202"/>
      <c r="HK44" s="202"/>
      <c r="HL44" s="202"/>
      <c r="HM44" s="202"/>
      <c r="HN44" s="203"/>
    </row>
    <row r="45" spans="1:222" ht="16.5" customHeight="1">
      <c r="A45" s="181">
        <v>42</v>
      </c>
      <c r="B45" s="182" t="s">
        <v>2257</v>
      </c>
      <c r="C45" s="598" t="s">
        <v>2258</v>
      </c>
      <c r="D45" s="184" t="s">
        <v>940</v>
      </c>
      <c r="E45" s="184" t="str">
        <f t="shared" si="3"/>
        <v>Import</v>
      </c>
      <c r="F45" s="720" t="str" cm="1">
        <f t="array" ref="F45">_xlfn.IFS(
  OR(AI45="E11", AI45="E15"), "Raw materials",
  OR(AI45="E13", AI45="G13"), "Equipments + Toolings",
  TRUE, RIGHT(C45, 8)
)</f>
        <v>Raw materials</v>
      </c>
      <c r="G45" s="541" t="str" cm="1">
        <f t="array" ref="G45">IF(E45="Import",
  IFERROR(
    _xlfn.IFS(
      VLOOKUP(B45,[1]Material!F$5:U$90000,16,0)="LUC","Lucid",
      VLOOKUP(B45,[1]Material!F$5:U$90000,16,0)="FMC","FORD",
      OR(VLOOKUP(B45,[1]Material!F$5:U$90000,16,0)="PUR",VLOOKUP(B45,[1]Material!F$5:U$90000,16,0)="HLO"),"PURE",
      VLOOKUP(B45,[1]Material!F$5:U$90000,16,0)="AIC","AIC",
      OR(VLOOKUP(B45,[1]Material!F$5:U$90000,16,0)="AGI",VLOOKUP(B45,[1]Material!F$5:U$90000,16,0)="AGIGA"),"AGIGA",
      OR(LEFT(VLOOKUP(B45,[1]Material!F$5:U$90000,16,0),3)="EF-",VLOOKUP(B45,[1]Material!F$5:U$90000,16,0)="EFI"),"EFI",
      AND(ISNUMBER(VLOOKUP(B45,[1]Material!F$5:U$90000,16,0)),VLOOKUP(B45,[1]Material!F$5:U$90000,16,0)&gt;=100,VLOOKUP(B45,[1]Material!F$5:U$90000,16,0)&lt;=999,VLOOKUP(B45,[1]Material!F$5:U$90000,16,0)=INT(VLOOKUP(B45,[1]Material!F$5:U$90000,16,0))),"OEM",
      TRUE,""
    ),
    "không tìm thấy trong file Import"
  ),
  VLOOKUP(F45,'[2]Export shipment'!B:Y,24,0)
)</f>
        <v>PURE</v>
      </c>
      <c r="H45" s="184" t="e">
        <f>VLOOKUP(B45,[4]Export!I$3627:J$3668,2,0)</f>
        <v>#N/A</v>
      </c>
      <c r="I45" s="184" t="s">
        <v>2089</v>
      </c>
      <c r="J45" s="260">
        <f>(V45+X45+AA45)/'Logistics record '!$AD$1</f>
        <v>15.116015418335726</v>
      </c>
      <c r="K45" s="260">
        <f>W45/'Logistics record '!$AD$1</f>
        <v>0</v>
      </c>
      <c r="L45" s="260">
        <f>Y45/'Logistics record '!$AD$1</f>
        <v>0</v>
      </c>
      <c r="M45" s="260">
        <f>AF45/'Logistics record '!$AD$1</f>
        <v>60.750510165520367</v>
      </c>
      <c r="N45" s="260" t="str" cm="1">
        <f t="array" ref="N45">_xlfn.IFS(
    OR(UPPER(S45)="AIR", UPPER(S45)="CPN"), "AIR",
    UPPER(S45)="TC", "LOCAL",
    TRUE, "SEA"
)</f>
        <v>AIR</v>
      </c>
      <c r="O45" s="260">
        <f t="shared" si="4"/>
        <v>75.866525583856088</v>
      </c>
      <c r="P45" s="184" t="s">
        <v>949</v>
      </c>
      <c r="Q45" s="185">
        <v>108276114700</v>
      </c>
      <c r="R45" s="186">
        <v>46167</v>
      </c>
      <c r="S45" s="187" t="s">
        <v>65</v>
      </c>
      <c r="T45" s="188">
        <v>2.2999999999999998</v>
      </c>
      <c r="U45" s="188"/>
      <c r="V45" s="189">
        <v>400000</v>
      </c>
      <c r="W45" s="190"/>
      <c r="X45" s="190"/>
      <c r="Y45" s="190"/>
      <c r="Z45" s="189">
        <f t="shared" si="0"/>
        <v>400000</v>
      </c>
      <c r="AA45" s="189">
        <v>0</v>
      </c>
      <c r="AB45" s="189">
        <f t="shared" si="5"/>
        <v>400000</v>
      </c>
      <c r="AC45" s="189"/>
      <c r="AD45" s="190">
        <v>1220400</v>
      </c>
      <c r="AE45" s="190">
        <v>387180</v>
      </c>
      <c r="AF45" s="191">
        <f t="shared" si="1"/>
        <v>1607580</v>
      </c>
      <c r="AG45" s="190">
        <f t="shared" si="2"/>
        <v>2007580</v>
      </c>
      <c r="AH45" s="190"/>
      <c r="AI45" s="192" t="str">
        <f>VLOOKUP(Q45,[3]Sheet1!B$11:G$1489,6,0)</f>
        <v>E11</v>
      </c>
      <c r="GK45" s="194"/>
      <c r="GL45" s="195"/>
      <c r="GM45" s="196"/>
      <c r="GN45" s="197"/>
      <c r="GO45" s="198"/>
      <c r="GP45" s="199"/>
      <c r="GQ45" s="200"/>
      <c r="GR45" s="201"/>
      <c r="GS45" s="60"/>
      <c r="GT45" s="202"/>
      <c r="GU45" s="202"/>
      <c r="GV45" s="202"/>
      <c r="GW45" s="202"/>
      <c r="GX45" s="203"/>
      <c r="HA45" s="194"/>
      <c r="HB45" s="195"/>
      <c r="HC45" s="196"/>
      <c r="HD45" s="197"/>
      <c r="HE45" s="198"/>
      <c r="HF45" s="199"/>
      <c r="HG45" s="200"/>
      <c r="HH45" s="201"/>
      <c r="HI45" s="60"/>
      <c r="HJ45" s="202"/>
      <c r="HK45" s="202"/>
      <c r="HL45" s="202"/>
      <c r="HM45" s="202"/>
      <c r="HN45" s="203"/>
    </row>
    <row r="46" spans="1:222" ht="16.5" customHeight="1">
      <c r="A46" s="181">
        <v>43</v>
      </c>
      <c r="B46" s="182" t="s">
        <v>2259</v>
      </c>
      <c r="C46" s="183" t="s">
        <v>2260</v>
      </c>
      <c r="D46" s="184" t="s">
        <v>940</v>
      </c>
      <c r="E46" s="184" t="str">
        <f t="shared" si="3"/>
        <v>Import</v>
      </c>
      <c r="F46" s="720" t="str" cm="1">
        <f t="array" ref="F46">_xlfn.IFS(
  OR(AI46="E11", AI46="E15"), "Raw materials",
  OR(AI46="E13", AI46="G13"), "Equipments + Toolings",
  TRUE, RIGHT(C46, 8)
)</f>
        <v>Raw materials</v>
      </c>
      <c r="G46" s="541" t="str" cm="1">
        <f t="array" ref="G46">IF(E46="Import",
  IFERROR(
    _xlfn.IFS(
      VLOOKUP(B46,[1]Material!F$5:U$90000,16,0)="LUC","Lucid",
      VLOOKUP(B46,[1]Material!F$5:U$90000,16,0)="FMC","FORD",
      OR(VLOOKUP(B46,[1]Material!F$5:U$90000,16,0)="PUR",VLOOKUP(B46,[1]Material!F$5:U$90000,16,0)="HLO"),"PURE",
      VLOOKUP(B46,[1]Material!F$5:U$90000,16,0)="AIC","AIC",
      OR(VLOOKUP(B46,[1]Material!F$5:U$90000,16,0)="AGI",VLOOKUP(B46,[1]Material!F$5:U$90000,16,0)="AGIGA"),"AGIGA",
      OR(LEFT(VLOOKUP(B46,[1]Material!F$5:U$90000,16,0),3)="EF-",VLOOKUP(B46,[1]Material!F$5:U$90000,16,0)="EFI"),"EFI",
      AND(ISNUMBER(VLOOKUP(B46,[1]Material!F$5:U$90000,16,0)),VLOOKUP(B46,[1]Material!F$5:U$90000,16,0)&gt;=100,VLOOKUP(B46,[1]Material!F$5:U$90000,16,0)&lt;=999,VLOOKUP(B46,[1]Material!F$5:U$90000,16,0)=INT(VLOOKUP(B46,[1]Material!F$5:U$90000,16,0))),"OEM",
      TRUE,""
    ),
    "không tìm thấy trong file Import"
  ),
  VLOOKUP(F46,'[2]Export shipment'!B:Y,24,0)
)</f>
        <v>PURE</v>
      </c>
      <c r="H46" s="184" t="e">
        <f>VLOOKUP(B46,[4]Export!I$3627:J$3668,2,0)</f>
        <v>#N/A</v>
      </c>
      <c r="I46" s="184" t="s">
        <v>2089</v>
      </c>
      <c r="J46" s="260">
        <f>(V46+X46+AA46)/'Logistics record '!$AD$1</f>
        <v>15.116015418335726</v>
      </c>
      <c r="K46" s="260">
        <f>W46/'Logistics record '!$AD$1</f>
        <v>0</v>
      </c>
      <c r="L46" s="260">
        <f>Y46/'Logistics record '!$AD$1</f>
        <v>0</v>
      </c>
      <c r="M46" s="260">
        <f>AF46/'Logistics record '!$AD$1</f>
        <v>60.750510165520367</v>
      </c>
      <c r="N46" s="260" t="str" cm="1">
        <f t="array" ref="N46">_xlfn.IFS(
    OR(UPPER(S46)="AIR", UPPER(S46)="CPN"), "AIR",
    UPPER(S46)="TC", "LOCAL",
    TRUE, "SEA"
)</f>
        <v>AIR</v>
      </c>
      <c r="O46" s="260">
        <f t="shared" si="4"/>
        <v>75.866525583856088</v>
      </c>
      <c r="P46" s="184" t="s">
        <v>949</v>
      </c>
      <c r="Q46" s="185">
        <v>108276136950</v>
      </c>
      <c r="R46" s="186">
        <v>46167</v>
      </c>
      <c r="S46" s="187" t="s">
        <v>65</v>
      </c>
      <c r="T46" s="188">
        <v>6.5</v>
      </c>
      <c r="U46" s="188"/>
      <c r="V46" s="189">
        <v>400000</v>
      </c>
      <c r="W46" s="190"/>
      <c r="X46" s="190"/>
      <c r="Y46" s="190"/>
      <c r="Z46" s="189">
        <f t="shared" si="0"/>
        <v>400000</v>
      </c>
      <c r="AA46" s="189">
        <v>0</v>
      </c>
      <c r="AB46" s="189">
        <f t="shared" si="5"/>
        <v>400000</v>
      </c>
      <c r="AC46" s="189"/>
      <c r="AD46" s="190">
        <v>1220400</v>
      </c>
      <c r="AE46" s="190">
        <v>387180</v>
      </c>
      <c r="AF46" s="191">
        <f t="shared" si="1"/>
        <v>1607580</v>
      </c>
      <c r="AG46" s="190">
        <f t="shared" si="2"/>
        <v>2007580</v>
      </c>
      <c r="AH46" s="190"/>
      <c r="AI46" s="192" t="str">
        <f>VLOOKUP(Q46,[3]Sheet1!B$11:G$1489,6,0)</f>
        <v>E11</v>
      </c>
      <c r="GK46" s="194"/>
      <c r="GL46" s="195"/>
      <c r="GM46" s="196"/>
      <c r="GN46" s="197"/>
      <c r="GO46" s="198"/>
      <c r="GP46" s="199"/>
      <c r="GQ46" s="200"/>
      <c r="GR46" s="201"/>
      <c r="GS46" s="60"/>
      <c r="GT46" s="202"/>
      <c r="GU46" s="202"/>
      <c r="GV46" s="202"/>
      <c r="GW46" s="202"/>
      <c r="GX46" s="203"/>
      <c r="HA46" s="194"/>
      <c r="HB46" s="195"/>
      <c r="HC46" s="196"/>
      <c r="HD46" s="197"/>
      <c r="HE46" s="198"/>
      <c r="HF46" s="199"/>
      <c r="HG46" s="200"/>
      <c r="HH46" s="201"/>
      <c r="HI46" s="60"/>
      <c r="HJ46" s="202"/>
      <c r="HK46" s="202"/>
      <c r="HL46" s="202"/>
      <c r="HM46" s="202"/>
      <c r="HN46" s="203"/>
    </row>
    <row r="47" spans="1:222" ht="16.5" customHeight="1">
      <c r="A47" s="181">
        <v>44</v>
      </c>
      <c r="B47" s="182" t="s">
        <v>2261</v>
      </c>
      <c r="C47" s="598" t="s">
        <v>2262</v>
      </c>
      <c r="D47" s="184" t="s">
        <v>940</v>
      </c>
      <c r="E47" s="184" t="str">
        <f t="shared" si="3"/>
        <v>Import</v>
      </c>
      <c r="F47" s="720" t="str" cm="1">
        <f t="array" ref="F47">_xlfn.IFS(
  OR(AI47="E11", AI47="E15"), "Raw materials",
  OR(AI47="E13", AI47="G13"), "Equipments + Toolings",
  TRUE, RIGHT(C47, 8)
)</f>
        <v>Raw materials</v>
      </c>
      <c r="G47" s="541" t="str" cm="1">
        <f t="array" ref="G47">IF(E47="Import",
  IFERROR(
    _xlfn.IFS(
      VLOOKUP(B47,[1]Material!F$5:U$90000,16,0)="LUC","Lucid",
      VLOOKUP(B47,[1]Material!F$5:U$90000,16,0)="FMC","FORD",
      OR(VLOOKUP(B47,[1]Material!F$5:U$90000,16,0)="PUR",VLOOKUP(B47,[1]Material!F$5:U$90000,16,0)="HLO"),"PURE",
      VLOOKUP(B47,[1]Material!F$5:U$90000,16,0)="AIC","AIC",
      OR(VLOOKUP(B47,[1]Material!F$5:U$90000,16,0)="AGI",VLOOKUP(B47,[1]Material!F$5:U$90000,16,0)="AGIGA"),"AGIGA",
      OR(LEFT(VLOOKUP(B47,[1]Material!F$5:U$90000,16,0),3)="EF-",VLOOKUP(B47,[1]Material!F$5:U$90000,16,0)="EFI"),"EFI",
      AND(ISNUMBER(VLOOKUP(B47,[1]Material!F$5:U$90000,16,0)),VLOOKUP(B47,[1]Material!F$5:U$90000,16,0)&gt;=100,VLOOKUP(B47,[1]Material!F$5:U$90000,16,0)&lt;=999,VLOOKUP(B47,[1]Material!F$5:U$90000,16,0)=INT(VLOOKUP(B47,[1]Material!F$5:U$90000,16,0))),"OEM",
      TRUE,""
    ),
    "không tìm thấy trong file Import"
  ),
  VLOOKUP(F47,'[2]Export shipment'!B:Y,24,0)
)</f>
        <v>PURE</v>
      </c>
      <c r="H47" s="184" t="e">
        <f>VLOOKUP(B47,[4]Export!I$3627:J$3668,2,0)</f>
        <v>#N/A</v>
      </c>
      <c r="I47" s="184" t="s">
        <v>2089</v>
      </c>
      <c r="J47" s="260">
        <f>(V47+X47+AA47)/'Logistics record '!$AD$1</f>
        <v>15.116015418335726</v>
      </c>
      <c r="K47" s="260">
        <f>W47/'Logistics record '!$AD$1</f>
        <v>0</v>
      </c>
      <c r="L47" s="260">
        <f>Y47/'Logistics record '!$AD$1</f>
        <v>0</v>
      </c>
      <c r="M47" s="260">
        <f>AF47/'Logistics record '!$AD$1</f>
        <v>60.750510165520367</v>
      </c>
      <c r="N47" s="260" t="str" cm="1">
        <f t="array" ref="N47">_xlfn.IFS(
    OR(UPPER(S47)="AIR", UPPER(S47)="CPN"), "AIR",
    UPPER(S47)="TC", "LOCAL",
    TRUE, "SEA"
)</f>
        <v>AIR</v>
      </c>
      <c r="O47" s="260">
        <f t="shared" si="4"/>
        <v>75.866525583856088</v>
      </c>
      <c r="P47" s="184" t="s">
        <v>949</v>
      </c>
      <c r="Q47" s="185">
        <v>108276159350</v>
      </c>
      <c r="R47" s="186">
        <v>46167</v>
      </c>
      <c r="S47" s="187" t="s">
        <v>65</v>
      </c>
      <c r="T47" s="188">
        <v>3.4</v>
      </c>
      <c r="U47" s="188"/>
      <c r="V47" s="189">
        <v>400000</v>
      </c>
      <c r="W47" s="190"/>
      <c r="X47" s="190"/>
      <c r="Y47" s="190"/>
      <c r="Z47" s="189">
        <f t="shared" si="0"/>
        <v>400000</v>
      </c>
      <c r="AA47" s="189">
        <v>0</v>
      </c>
      <c r="AB47" s="189">
        <f t="shared" si="5"/>
        <v>400000</v>
      </c>
      <c r="AC47" s="189"/>
      <c r="AD47" s="190">
        <v>1220400</v>
      </c>
      <c r="AE47" s="190">
        <v>387180</v>
      </c>
      <c r="AF47" s="191">
        <f t="shared" si="1"/>
        <v>1607580</v>
      </c>
      <c r="AG47" s="190">
        <f t="shared" si="2"/>
        <v>2007580</v>
      </c>
      <c r="AH47" s="190"/>
      <c r="AI47" s="192" t="str">
        <f>VLOOKUP(Q47,[3]Sheet1!B$11:G$1489,6,0)</f>
        <v>E11</v>
      </c>
      <c r="GK47" s="194"/>
      <c r="GL47" s="195"/>
      <c r="GM47" s="196"/>
      <c r="GN47" s="197"/>
      <c r="GO47" s="198"/>
      <c r="GP47" s="199"/>
      <c r="GQ47" s="200"/>
      <c r="GR47" s="201"/>
      <c r="GS47" s="60"/>
      <c r="GT47" s="202"/>
      <c r="GU47" s="202"/>
      <c r="GV47" s="202"/>
      <c r="GW47" s="202"/>
      <c r="GX47" s="203"/>
      <c r="HA47" s="194"/>
      <c r="HB47" s="195"/>
      <c r="HC47" s="196"/>
      <c r="HD47" s="197"/>
      <c r="HE47" s="198"/>
      <c r="HF47" s="199"/>
      <c r="HG47" s="200"/>
      <c r="HH47" s="201"/>
      <c r="HI47" s="60"/>
      <c r="HJ47" s="202"/>
      <c r="HK47" s="202"/>
      <c r="HL47" s="202"/>
      <c r="HM47" s="202"/>
      <c r="HN47" s="203"/>
    </row>
    <row r="48" spans="1:222" ht="16.5" customHeight="1">
      <c r="A48" s="181">
        <v>45</v>
      </c>
      <c r="B48" s="182" t="s">
        <v>2263</v>
      </c>
      <c r="C48" s="598" t="s">
        <v>2264</v>
      </c>
      <c r="D48" s="184" t="s">
        <v>940</v>
      </c>
      <c r="E48" s="184" t="str">
        <f t="shared" si="3"/>
        <v>Import</v>
      </c>
      <c r="F48" s="720" t="str" cm="1">
        <f t="array" ref="F48">_xlfn.IFS(
  OR(AI48="E11", AI48="E15"), "Raw materials",
  OR(AI48="E13", AI48="G13"), "Equipments + Toolings",
  TRUE, RIGHT(C48, 8)
)</f>
        <v>Raw materials</v>
      </c>
      <c r="G48" s="541" t="str" cm="1">
        <f t="array" ref="G48">IF(E48="Import",
  IFERROR(
    _xlfn.IFS(
      VLOOKUP(B48,[1]Material!F$5:U$90000,16,0)="LUC","Lucid",
      VLOOKUP(B48,[1]Material!F$5:U$90000,16,0)="FMC","FORD",
      OR(VLOOKUP(B48,[1]Material!F$5:U$90000,16,0)="PUR",VLOOKUP(B48,[1]Material!F$5:U$90000,16,0)="HLO"),"PURE",
      VLOOKUP(B48,[1]Material!F$5:U$90000,16,0)="AIC","AIC",
      OR(VLOOKUP(B48,[1]Material!F$5:U$90000,16,0)="AGI",VLOOKUP(B48,[1]Material!F$5:U$90000,16,0)="AGIGA"),"AGIGA",
      OR(LEFT(VLOOKUP(B48,[1]Material!F$5:U$90000,16,0),3)="EF-",VLOOKUP(B48,[1]Material!F$5:U$90000,16,0)="EFI"),"EFI",
      AND(ISNUMBER(VLOOKUP(B48,[1]Material!F$5:U$90000,16,0)),VLOOKUP(B48,[1]Material!F$5:U$90000,16,0)&gt;=100,VLOOKUP(B48,[1]Material!F$5:U$90000,16,0)&lt;=999,VLOOKUP(B48,[1]Material!F$5:U$90000,16,0)=INT(VLOOKUP(B48,[1]Material!F$5:U$90000,16,0))),"OEM",
      TRUE,""
    ),
    "không tìm thấy trong file Import"
  ),
  VLOOKUP(F48,'[2]Export shipment'!B:Y,24,0)
)</f>
        <v>PURE</v>
      </c>
      <c r="H48" s="184" t="e">
        <f>VLOOKUP(B48,[4]Export!I$3627:J$3668,2,0)</f>
        <v>#N/A</v>
      </c>
      <c r="I48" s="184" t="s">
        <v>2089</v>
      </c>
      <c r="J48" s="260">
        <f>(V48+X48+AA48)/'Logistics record '!$AD$1</f>
        <v>15.116015418335726</v>
      </c>
      <c r="K48" s="260">
        <f>W48/'Logistics record '!$AD$1</f>
        <v>0</v>
      </c>
      <c r="L48" s="260">
        <f>Y48/'Logistics record '!$AD$1</f>
        <v>0</v>
      </c>
      <c r="M48" s="260">
        <f>AF48/'Logistics record '!$AD$1</f>
        <v>60.750510165520367</v>
      </c>
      <c r="N48" s="260" t="str" cm="1">
        <f t="array" ref="N48">_xlfn.IFS(
    OR(UPPER(S48)="AIR", UPPER(S48)="CPN"), "AIR",
    UPPER(S48)="TC", "LOCAL",
    TRUE, "SEA"
)</f>
        <v>AIR</v>
      </c>
      <c r="O48" s="260">
        <f t="shared" si="4"/>
        <v>75.866525583856088</v>
      </c>
      <c r="P48" s="184" t="s">
        <v>949</v>
      </c>
      <c r="Q48" s="185">
        <v>108276175230</v>
      </c>
      <c r="R48" s="186">
        <v>46167</v>
      </c>
      <c r="S48" s="187" t="s">
        <v>65</v>
      </c>
      <c r="T48" s="188">
        <v>6.5</v>
      </c>
      <c r="U48" s="188"/>
      <c r="V48" s="189">
        <v>400000</v>
      </c>
      <c r="W48" s="190"/>
      <c r="X48" s="190"/>
      <c r="Y48" s="190"/>
      <c r="Z48" s="189">
        <f t="shared" si="0"/>
        <v>400000</v>
      </c>
      <c r="AA48" s="189">
        <v>0</v>
      </c>
      <c r="AB48" s="189">
        <f t="shared" si="5"/>
        <v>400000</v>
      </c>
      <c r="AC48" s="189"/>
      <c r="AD48" s="190">
        <v>1220400</v>
      </c>
      <c r="AE48" s="190">
        <v>387180</v>
      </c>
      <c r="AF48" s="191">
        <f t="shared" si="1"/>
        <v>1607580</v>
      </c>
      <c r="AG48" s="190">
        <f t="shared" si="2"/>
        <v>2007580</v>
      </c>
      <c r="AH48" s="190"/>
      <c r="AI48" s="192" t="str">
        <f>VLOOKUP(Q48,[3]Sheet1!B$11:G$1489,6,0)</f>
        <v>E11</v>
      </c>
      <c r="GK48" s="194"/>
      <c r="GL48" s="195"/>
      <c r="GM48" s="196"/>
      <c r="GN48" s="197"/>
      <c r="GO48" s="198"/>
      <c r="GP48" s="199"/>
      <c r="GQ48" s="200"/>
      <c r="GR48" s="201"/>
      <c r="GS48" s="60"/>
      <c r="GT48" s="202"/>
      <c r="GU48" s="202"/>
      <c r="GV48" s="202"/>
      <c r="GW48" s="202"/>
      <c r="GX48" s="203"/>
      <c r="HA48" s="194"/>
      <c r="HB48" s="195"/>
      <c r="HC48" s="196"/>
      <c r="HD48" s="197"/>
      <c r="HE48" s="198"/>
      <c r="HF48" s="199"/>
      <c r="HG48" s="200"/>
      <c r="HH48" s="201"/>
      <c r="HI48" s="60"/>
      <c r="HJ48" s="202"/>
      <c r="HK48" s="202"/>
      <c r="HL48" s="202"/>
      <c r="HM48" s="202"/>
      <c r="HN48" s="203"/>
    </row>
    <row r="49" spans="1:222" ht="16.5" customHeight="1">
      <c r="A49" s="181">
        <v>46</v>
      </c>
      <c r="B49" s="182" t="s">
        <v>2265</v>
      </c>
      <c r="C49" s="598" t="s">
        <v>2266</v>
      </c>
      <c r="D49" s="184" t="s">
        <v>940</v>
      </c>
      <c r="E49" s="184" t="str">
        <f t="shared" si="3"/>
        <v>Import</v>
      </c>
      <c r="F49" s="720" t="str" cm="1">
        <f t="array" ref="F49">_xlfn.IFS(
  OR(AI49="E11", AI49="E15"), "Raw materials",
  OR(AI49="E13", AI49="G13"), "Equipments + Toolings",
  TRUE, RIGHT(C49, 8)
)</f>
        <v>Raw materials</v>
      </c>
      <c r="G49" s="541" t="str" cm="1">
        <f t="array" ref="G49">IF(E49="Import",
  IFERROR(
    _xlfn.IFS(
      VLOOKUP(B49,[1]Material!F$5:U$90000,16,0)="LUC","Lucid",
      VLOOKUP(B49,[1]Material!F$5:U$90000,16,0)="FMC","FORD",
      OR(VLOOKUP(B49,[1]Material!F$5:U$90000,16,0)="PUR",VLOOKUP(B49,[1]Material!F$5:U$90000,16,0)="HLO"),"PURE",
      VLOOKUP(B49,[1]Material!F$5:U$90000,16,0)="AIC","AIC",
      OR(VLOOKUP(B49,[1]Material!F$5:U$90000,16,0)="AGI",VLOOKUP(B49,[1]Material!F$5:U$90000,16,0)="AGIGA"),"AGIGA",
      OR(LEFT(VLOOKUP(B49,[1]Material!F$5:U$90000,16,0),3)="EF-",VLOOKUP(B49,[1]Material!F$5:U$90000,16,0)="EFI"),"EFI",
      AND(ISNUMBER(VLOOKUP(B49,[1]Material!F$5:U$90000,16,0)),VLOOKUP(B49,[1]Material!F$5:U$90000,16,0)&gt;=100,VLOOKUP(B49,[1]Material!F$5:U$90000,16,0)&lt;=999,VLOOKUP(B49,[1]Material!F$5:U$90000,16,0)=INT(VLOOKUP(B49,[1]Material!F$5:U$90000,16,0))),"OEM",
      TRUE,""
    ),
    "không tìm thấy trong file Import"
  ),
  VLOOKUP(F49,'[2]Export shipment'!B:Y,24,0)
)</f>
        <v>PURE</v>
      </c>
      <c r="H49" s="184" t="e">
        <f>VLOOKUP(B49,[4]Export!I$3627:J$3668,2,0)</f>
        <v>#N/A</v>
      </c>
      <c r="I49" s="184" t="s">
        <v>2089</v>
      </c>
      <c r="J49" s="260">
        <f>(V49+X49+AA49)/'Logistics record '!$AD$1</f>
        <v>15.116015418335726</v>
      </c>
      <c r="K49" s="260">
        <f>W49/'Logistics record '!$AD$1</f>
        <v>0</v>
      </c>
      <c r="L49" s="260">
        <f>Y49/'Logistics record '!$AD$1</f>
        <v>0</v>
      </c>
      <c r="M49" s="260">
        <f>AF49/'Logistics record '!$AD$1</f>
        <v>60.750510165520367</v>
      </c>
      <c r="N49" s="260" t="str" cm="1">
        <f t="array" ref="N49">_xlfn.IFS(
    OR(UPPER(S49)="AIR", UPPER(S49)="CPN"), "AIR",
    UPPER(S49)="TC", "LOCAL",
    TRUE, "SEA"
)</f>
        <v>AIR</v>
      </c>
      <c r="O49" s="260">
        <f t="shared" si="4"/>
        <v>75.866525583856088</v>
      </c>
      <c r="P49" s="184" t="s">
        <v>949</v>
      </c>
      <c r="Q49" s="185">
        <v>108276176300</v>
      </c>
      <c r="R49" s="186">
        <v>46167</v>
      </c>
      <c r="S49" s="187" t="s">
        <v>65</v>
      </c>
      <c r="T49" s="188">
        <v>6.5</v>
      </c>
      <c r="U49" s="188"/>
      <c r="V49" s="189">
        <v>400000</v>
      </c>
      <c r="W49" s="190"/>
      <c r="X49" s="190"/>
      <c r="Y49" s="190"/>
      <c r="Z49" s="189">
        <f t="shared" si="0"/>
        <v>400000</v>
      </c>
      <c r="AA49" s="189">
        <v>0</v>
      </c>
      <c r="AB49" s="189">
        <f t="shared" si="5"/>
        <v>400000</v>
      </c>
      <c r="AC49" s="189"/>
      <c r="AD49" s="190">
        <v>1220400</v>
      </c>
      <c r="AE49" s="190">
        <v>387180</v>
      </c>
      <c r="AF49" s="191">
        <f t="shared" si="1"/>
        <v>1607580</v>
      </c>
      <c r="AG49" s="190">
        <f t="shared" si="2"/>
        <v>2007580</v>
      </c>
      <c r="AH49" s="190"/>
      <c r="AI49" s="192" t="str">
        <f>VLOOKUP(Q49,[3]Sheet1!B$11:G$1489,6,0)</f>
        <v>E11</v>
      </c>
      <c r="GK49" s="194"/>
      <c r="GL49" s="195"/>
      <c r="GM49" s="196"/>
      <c r="GN49" s="197"/>
      <c r="GO49" s="198"/>
      <c r="GP49" s="199"/>
      <c r="GQ49" s="200"/>
      <c r="GR49" s="201"/>
      <c r="GS49" s="60"/>
      <c r="GT49" s="202"/>
      <c r="GU49" s="202"/>
      <c r="GV49" s="202"/>
      <c r="GW49" s="202"/>
      <c r="GX49" s="203"/>
      <c r="HA49" s="194"/>
      <c r="HB49" s="195"/>
      <c r="HC49" s="196"/>
      <c r="HD49" s="197"/>
      <c r="HE49" s="198"/>
      <c r="HF49" s="199"/>
      <c r="HG49" s="200"/>
      <c r="HH49" s="201"/>
      <c r="HI49" s="60"/>
      <c r="HJ49" s="202"/>
      <c r="HK49" s="202"/>
      <c r="HL49" s="202"/>
      <c r="HM49" s="202"/>
      <c r="HN49" s="203"/>
    </row>
    <row r="50" spans="1:222" ht="16.5" customHeight="1">
      <c r="A50" s="181">
        <v>47</v>
      </c>
      <c r="B50" s="182" t="s">
        <v>2267</v>
      </c>
      <c r="C50" s="598" t="s">
        <v>2268</v>
      </c>
      <c r="D50" s="184" t="s">
        <v>940</v>
      </c>
      <c r="E50" s="184" t="str">
        <f t="shared" si="3"/>
        <v>Import</v>
      </c>
      <c r="F50" s="720" t="str" cm="1">
        <f t="array" ref="F50">_xlfn.IFS(
  OR(AI50="E11", AI50="E15"), "Raw materials",
  OR(AI50="E13", AI50="G13"), "Equipments + Toolings",
  TRUE, RIGHT(C50, 8)
)</f>
        <v>Raw materials</v>
      </c>
      <c r="G50" s="541" t="str" cm="1">
        <f t="array" ref="G50">IF(E50="Import",
  IFERROR(
    _xlfn.IFS(
      VLOOKUP(B50,[1]Material!F$5:U$90000,16,0)="LUC","Lucid",
      VLOOKUP(B50,[1]Material!F$5:U$90000,16,0)="FMC","FORD",
      OR(VLOOKUP(B50,[1]Material!F$5:U$90000,16,0)="PUR",VLOOKUP(B50,[1]Material!F$5:U$90000,16,0)="HLO"),"PURE",
      VLOOKUP(B50,[1]Material!F$5:U$90000,16,0)="AIC","AIC",
      OR(VLOOKUP(B50,[1]Material!F$5:U$90000,16,0)="AGI",VLOOKUP(B50,[1]Material!F$5:U$90000,16,0)="AGIGA"),"AGIGA",
      OR(LEFT(VLOOKUP(B50,[1]Material!F$5:U$90000,16,0),3)="EF-",VLOOKUP(B50,[1]Material!F$5:U$90000,16,0)="EFI"),"EFI",
      AND(ISNUMBER(VLOOKUP(B50,[1]Material!F$5:U$90000,16,0)),VLOOKUP(B50,[1]Material!F$5:U$90000,16,0)&gt;=100,VLOOKUP(B50,[1]Material!F$5:U$90000,16,0)&lt;=999,VLOOKUP(B50,[1]Material!F$5:U$90000,16,0)=INT(VLOOKUP(B50,[1]Material!F$5:U$90000,16,0))),"OEM",
      TRUE,""
    ),
    "không tìm thấy trong file Import"
  ),
  VLOOKUP(F50,'[2]Export shipment'!B:Y,24,0)
)</f>
        <v>PURE</v>
      </c>
      <c r="H50" s="184" t="e">
        <f>VLOOKUP(B50,[4]Export!I$3627:J$3668,2,0)</f>
        <v>#N/A</v>
      </c>
      <c r="I50" s="184" t="s">
        <v>2089</v>
      </c>
      <c r="J50" s="260">
        <f>(V50+X50+AA50)/'Logistics record '!$AD$1</f>
        <v>15.116015418335726</v>
      </c>
      <c r="K50" s="260">
        <f>W50/'Logistics record '!$AD$1</f>
        <v>0</v>
      </c>
      <c r="L50" s="260">
        <f>Y50/'Logistics record '!$AD$1</f>
        <v>0</v>
      </c>
      <c r="M50" s="260">
        <f>AF50/'Logistics record '!$AD$1</f>
        <v>60.750510165520367</v>
      </c>
      <c r="N50" s="260" t="str" cm="1">
        <f t="array" ref="N50">_xlfn.IFS(
    OR(UPPER(S50)="AIR", UPPER(S50)="CPN"), "AIR",
    UPPER(S50)="TC", "LOCAL",
    TRUE, "SEA"
)</f>
        <v>AIR</v>
      </c>
      <c r="O50" s="260">
        <f t="shared" si="4"/>
        <v>75.866525583856088</v>
      </c>
      <c r="P50" s="184" t="s">
        <v>949</v>
      </c>
      <c r="Q50" s="185">
        <v>108276180720</v>
      </c>
      <c r="R50" s="186">
        <v>46167</v>
      </c>
      <c r="S50" s="187" t="s">
        <v>65</v>
      </c>
      <c r="T50" s="188">
        <v>3.4</v>
      </c>
      <c r="U50" s="188"/>
      <c r="V50" s="189">
        <v>400000</v>
      </c>
      <c r="W50" s="190"/>
      <c r="X50" s="190"/>
      <c r="Y50" s="190"/>
      <c r="Z50" s="189">
        <f t="shared" si="0"/>
        <v>400000</v>
      </c>
      <c r="AA50" s="189">
        <v>0</v>
      </c>
      <c r="AB50" s="189">
        <f t="shared" si="5"/>
        <v>400000</v>
      </c>
      <c r="AC50" s="189"/>
      <c r="AD50" s="190">
        <v>1220400</v>
      </c>
      <c r="AE50" s="190">
        <v>387180</v>
      </c>
      <c r="AF50" s="191">
        <f t="shared" si="1"/>
        <v>1607580</v>
      </c>
      <c r="AG50" s="190">
        <f t="shared" si="2"/>
        <v>2007580</v>
      </c>
      <c r="AH50" s="190"/>
      <c r="AI50" s="192" t="str">
        <f>VLOOKUP(Q50,[3]Sheet1!B$11:G$1489,6,0)</f>
        <v>E11</v>
      </c>
      <c r="GK50" s="194"/>
      <c r="GL50" s="195"/>
      <c r="GM50" s="196"/>
      <c r="GN50" s="197"/>
      <c r="GO50" s="198"/>
      <c r="GP50" s="199"/>
      <c r="GQ50" s="200"/>
      <c r="GR50" s="201"/>
      <c r="GS50" s="60"/>
      <c r="GT50" s="202"/>
      <c r="GU50" s="202"/>
      <c r="GV50" s="202"/>
      <c r="GW50" s="202"/>
      <c r="GX50" s="203"/>
      <c r="HA50" s="194"/>
      <c r="HB50" s="195"/>
      <c r="HC50" s="196"/>
      <c r="HD50" s="197"/>
      <c r="HE50" s="198"/>
      <c r="HF50" s="199"/>
      <c r="HG50" s="200"/>
      <c r="HH50" s="201"/>
      <c r="HI50" s="60"/>
      <c r="HJ50" s="202"/>
      <c r="HK50" s="202"/>
      <c r="HL50" s="202"/>
      <c r="HM50" s="202"/>
      <c r="HN50" s="203"/>
    </row>
    <row r="51" spans="1:222" ht="16.5" customHeight="1">
      <c r="A51" s="181">
        <v>48</v>
      </c>
      <c r="B51" s="182" t="s">
        <v>2269</v>
      </c>
      <c r="C51" s="598" t="s">
        <v>2270</v>
      </c>
      <c r="D51" s="184" t="s">
        <v>940</v>
      </c>
      <c r="E51" s="184" t="str">
        <f t="shared" si="3"/>
        <v>Import</v>
      </c>
      <c r="F51" s="720" t="str" cm="1">
        <f t="array" ref="F51">_xlfn.IFS(
  OR(AI51="E11", AI51="E15"), "Raw materials",
  OR(AI51="E13", AI51="G13"), "Equipments + Toolings",
  TRUE, RIGHT(C51, 8)
)</f>
        <v>Raw materials</v>
      </c>
      <c r="G51" s="541" t="str" cm="1">
        <f t="array" ref="G51">IF(E51="Import",
  IFERROR(
    _xlfn.IFS(
      VLOOKUP(B51,[1]Material!F$5:U$90000,16,0)="LUC","Lucid",
      VLOOKUP(B51,[1]Material!F$5:U$90000,16,0)="FMC","FORD",
      OR(VLOOKUP(B51,[1]Material!F$5:U$90000,16,0)="PUR",VLOOKUP(B51,[1]Material!F$5:U$90000,16,0)="HLO"),"PURE",
      VLOOKUP(B51,[1]Material!F$5:U$90000,16,0)="AIC","AIC",
      OR(VLOOKUP(B51,[1]Material!F$5:U$90000,16,0)="AGI",VLOOKUP(B51,[1]Material!F$5:U$90000,16,0)="AGIGA"),"AGIGA",
      OR(LEFT(VLOOKUP(B51,[1]Material!F$5:U$90000,16,0),3)="EF-",VLOOKUP(B51,[1]Material!F$5:U$90000,16,0)="EFI"),"EFI",
      AND(ISNUMBER(VLOOKUP(B51,[1]Material!F$5:U$90000,16,0)),VLOOKUP(B51,[1]Material!F$5:U$90000,16,0)&gt;=100,VLOOKUP(B51,[1]Material!F$5:U$90000,16,0)&lt;=999,VLOOKUP(B51,[1]Material!F$5:U$90000,16,0)=INT(VLOOKUP(B51,[1]Material!F$5:U$90000,16,0))),"OEM",
      TRUE,""
    ),
    "không tìm thấy trong file Import"
  ),
  VLOOKUP(F51,'[2]Export shipment'!B:Y,24,0)
)</f>
        <v>PURE</v>
      </c>
      <c r="H51" s="184" t="e">
        <f>VLOOKUP(B51,[4]Export!I$3627:J$3668,2,0)</f>
        <v>#N/A</v>
      </c>
      <c r="I51" s="184" t="s">
        <v>2089</v>
      </c>
      <c r="J51" s="260">
        <f>(V51+X51+AA51)/'Logistics record '!$AD$1</f>
        <v>15.116015418335726</v>
      </c>
      <c r="K51" s="260">
        <f>W51/'Logistics record '!$AD$1</f>
        <v>22.674023127503592</v>
      </c>
      <c r="L51" s="260">
        <f>Y51/'Logistics record '!$AD$1</f>
        <v>0</v>
      </c>
      <c r="M51" s="260">
        <f>AF51/'Logistics record '!$AD$1</f>
        <v>60.750510165520367</v>
      </c>
      <c r="N51" s="260" t="str" cm="1">
        <f t="array" ref="N51">_xlfn.IFS(
    OR(UPPER(S51)="AIR", UPPER(S51)="CPN"), "AIR",
    UPPER(S51)="TC", "LOCAL",
    TRUE, "SEA"
)</f>
        <v>AIR</v>
      </c>
      <c r="O51" s="260">
        <f t="shared" si="4"/>
        <v>98.540548711359676</v>
      </c>
      <c r="P51" s="184" t="s">
        <v>949</v>
      </c>
      <c r="Q51" s="185">
        <v>108276189930</v>
      </c>
      <c r="R51" s="186">
        <v>46167</v>
      </c>
      <c r="S51" s="187" t="s">
        <v>65</v>
      </c>
      <c r="T51" s="188">
        <v>11.8</v>
      </c>
      <c r="U51" s="188"/>
      <c r="V51" s="189">
        <v>400000</v>
      </c>
      <c r="W51" s="190">
        <v>600000</v>
      </c>
      <c r="X51" s="190"/>
      <c r="Y51" s="190"/>
      <c r="Z51" s="189">
        <f t="shared" si="0"/>
        <v>1000000</v>
      </c>
      <c r="AA51" s="189">
        <v>0</v>
      </c>
      <c r="AB51" s="189">
        <f t="shared" si="5"/>
        <v>1000000</v>
      </c>
      <c r="AC51" s="189"/>
      <c r="AD51" s="190">
        <v>1220400</v>
      </c>
      <c r="AE51" s="190">
        <v>387180</v>
      </c>
      <c r="AF51" s="191">
        <f t="shared" si="1"/>
        <v>1607580</v>
      </c>
      <c r="AG51" s="190">
        <f t="shared" si="2"/>
        <v>2607580</v>
      </c>
      <c r="AH51" s="190"/>
      <c r="AI51" s="192" t="str">
        <f>VLOOKUP(Q51,[3]Sheet1!B$11:G$1489,6,0)</f>
        <v>E11</v>
      </c>
      <c r="GK51" s="194"/>
      <c r="GL51" s="195"/>
      <c r="GM51" s="196"/>
      <c r="GN51" s="197"/>
      <c r="GO51" s="198"/>
      <c r="GP51" s="199"/>
      <c r="GQ51" s="200"/>
      <c r="GR51" s="201"/>
      <c r="GS51" s="60"/>
      <c r="GT51" s="202"/>
      <c r="GU51" s="202"/>
      <c r="GV51" s="202"/>
      <c r="GW51" s="202"/>
      <c r="GX51" s="203"/>
      <c r="HA51" s="194"/>
      <c r="HB51" s="195"/>
      <c r="HC51" s="196"/>
      <c r="HD51" s="197"/>
      <c r="HE51" s="198"/>
      <c r="HF51" s="199"/>
      <c r="HG51" s="200"/>
      <c r="HH51" s="201"/>
      <c r="HI51" s="60"/>
      <c r="HJ51" s="202"/>
      <c r="HK51" s="202"/>
      <c r="HL51" s="202"/>
      <c r="HM51" s="202"/>
      <c r="HN51" s="203"/>
    </row>
    <row r="52" spans="1:222" ht="16.5" customHeight="1">
      <c r="A52" s="181">
        <v>49</v>
      </c>
      <c r="B52" s="182" t="s">
        <v>2271</v>
      </c>
      <c r="C52" s="598" t="s">
        <v>2272</v>
      </c>
      <c r="D52" s="184" t="s">
        <v>940</v>
      </c>
      <c r="E52" s="184" t="str">
        <f t="shared" si="3"/>
        <v>Import</v>
      </c>
      <c r="F52" s="720" t="str" cm="1">
        <f t="array" ref="F52">_xlfn.IFS(
  OR(AI52="E11", AI52="E15"), "Raw materials",
  OR(AI52="E13", AI52="G13"), "Equipments + Toolings",
  TRUE, RIGHT(C52, 8)
)</f>
        <v>Raw materials</v>
      </c>
      <c r="G52" s="541" t="str" cm="1">
        <f t="array" ref="G52">IF(E52="Import",
  IFERROR(
    _xlfn.IFS(
      VLOOKUP(B52,[1]Material!F$5:U$90000,16,0)="LUC","Lucid",
      VLOOKUP(B52,[1]Material!F$5:U$90000,16,0)="FMC","FORD",
      OR(VLOOKUP(B52,[1]Material!F$5:U$90000,16,0)="PUR",VLOOKUP(B52,[1]Material!F$5:U$90000,16,0)="HLO"),"PURE",
      VLOOKUP(B52,[1]Material!F$5:U$90000,16,0)="AIC","AIC",
      OR(VLOOKUP(B52,[1]Material!F$5:U$90000,16,0)="AGI",VLOOKUP(B52,[1]Material!F$5:U$90000,16,0)="AGIGA"),"AGIGA",
      OR(LEFT(VLOOKUP(B52,[1]Material!F$5:U$90000,16,0),3)="EF-",VLOOKUP(B52,[1]Material!F$5:U$90000,16,0)="EFI"),"EFI",
      AND(ISNUMBER(VLOOKUP(B52,[1]Material!F$5:U$90000,16,0)),VLOOKUP(B52,[1]Material!F$5:U$90000,16,0)&gt;=100,VLOOKUP(B52,[1]Material!F$5:U$90000,16,0)&lt;=999,VLOOKUP(B52,[1]Material!F$5:U$90000,16,0)=INT(VLOOKUP(B52,[1]Material!F$5:U$90000,16,0))),"OEM",
      TRUE,""
    ),
    "không tìm thấy trong file Import"
  ),
  VLOOKUP(F52,'[2]Export shipment'!B:Y,24,0)
)</f>
        <v>PURE</v>
      </c>
      <c r="H52" s="184" t="e">
        <f>VLOOKUP(B52,[4]Export!I$3627:J$3668,2,0)</f>
        <v>#N/A</v>
      </c>
      <c r="I52" s="184" t="s">
        <v>2089</v>
      </c>
      <c r="J52" s="260">
        <f>(V52+X52+AA52)/'Logistics record '!$AD$1</f>
        <v>15.116015418335726</v>
      </c>
      <c r="K52" s="260">
        <f>W52/'Logistics record '!$AD$1</f>
        <v>0</v>
      </c>
      <c r="L52" s="260">
        <f>Y52/'Logistics record '!$AD$1</f>
        <v>0</v>
      </c>
      <c r="M52" s="260">
        <f>AF52/'Logistics record '!$AD$1</f>
        <v>60.750510165520367</v>
      </c>
      <c r="N52" s="260" t="str" cm="1">
        <f t="array" ref="N52">_xlfn.IFS(
    OR(UPPER(S52)="AIR", UPPER(S52)="CPN"), "AIR",
    UPPER(S52)="TC", "LOCAL",
    TRUE, "SEA"
)</f>
        <v>AIR</v>
      </c>
      <c r="O52" s="260">
        <f t="shared" si="4"/>
        <v>75.866525583856088</v>
      </c>
      <c r="P52" s="184" t="s">
        <v>949</v>
      </c>
      <c r="Q52" s="185">
        <v>108276197040</v>
      </c>
      <c r="R52" s="186">
        <v>46167</v>
      </c>
      <c r="S52" s="187" t="s">
        <v>65</v>
      </c>
      <c r="T52" s="188">
        <v>3.4</v>
      </c>
      <c r="U52" s="188"/>
      <c r="V52" s="189">
        <v>400000</v>
      </c>
      <c r="W52" s="190"/>
      <c r="X52" s="190"/>
      <c r="Y52" s="190"/>
      <c r="Z52" s="189">
        <f t="shared" si="0"/>
        <v>400000</v>
      </c>
      <c r="AA52" s="189">
        <v>0</v>
      </c>
      <c r="AB52" s="189">
        <f t="shared" si="5"/>
        <v>400000</v>
      </c>
      <c r="AC52" s="189"/>
      <c r="AD52" s="190">
        <v>1220400</v>
      </c>
      <c r="AE52" s="190">
        <v>387180</v>
      </c>
      <c r="AF52" s="191">
        <f t="shared" si="1"/>
        <v>1607580</v>
      </c>
      <c r="AG52" s="190">
        <f t="shared" si="2"/>
        <v>2007580</v>
      </c>
      <c r="AH52" s="190"/>
      <c r="AI52" s="192" t="str">
        <f>VLOOKUP(Q52,[3]Sheet1!B$11:G$1489,6,0)</f>
        <v>E11</v>
      </c>
      <c r="GK52" s="194"/>
      <c r="GL52" s="195"/>
      <c r="GM52" s="196"/>
      <c r="GN52" s="197"/>
      <c r="GO52" s="198"/>
      <c r="GP52" s="199"/>
      <c r="GQ52" s="200"/>
      <c r="GR52" s="201"/>
      <c r="GS52" s="60"/>
      <c r="GT52" s="202"/>
      <c r="GU52" s="202"/>
      <c r="GV52" s="202"/>
      <c r="GW52" s="202"/>
      <c r="GX52" s="203"/>
      <c r="HA52" s="194"/>
      <c r="HB52" s="195"/>
      <c r="HC52" s="196"/>
      <c r="HD52" s="197"/>
      <c r="HE52" s="198"/>
      <c r="HF52" s="199"/>
      <c r="HG52" s="200"/>
      <c r="HH52" s="201"/>
      <c r="HI52" s="60"/>
      <c r="HJ52" s="202"/>
      <c r="HK52" s="202"/>
      <c r="HL52" s="202"/>
      <c r="HM52" s="202"/>
      <c r="HN52" s="203"/>
    </row>
    <row r="53" spans="1:222" ht="16.5" customHeight="1">
      <c r="A53" s="181">
        <v>50</v>
      </c>
      <c r="B53" s="182">
        <v>707296342982</v>
      </c>
      <c r="C53" s="183" t="s">
        <v>2273</v>
      </c>
      <c r="D53" s="184" t="s">
        <v>945</v>
      </c>
      <c r="E53" s="184" t="str">
        <f t="shared" si="3"/>
        <v>Import</v>
      </c>
      <c r="F53" s="720" t="str" cm="1">
        <f t="array" ref="F53">_xlfn.IFS(
  OR(AI53="E11", AI53="E15"), "Raw materials",
  OR(AI53="E13", AI53="G13"), "Equipments + Toolings",
  TRUE, RIGHT(C53, 8)
)</f>
        <v>Raw materials</v>
      </c>
      <c r="G53" s="541" t="str" cm="1">
        <f t="array" ref="G53">IF(E53="Import",
  IFERROR(
    _xlfn.IFS(
      VLOOKUP(B53,[1]Material!F$5:U$90000,16,0)="LUC","Lucid",
      VLOOKUP(B53,[1]Material!F$5:U$90000,16,0)="FMC","FORD",
      OR(VLOOKUP(B53,[1]Material!F$5:U$90000,16,0)="PUR",VLOOKUP(B53,[1]Material!F$5:U$90000,16,0)="HLO"),"PURE",
      VLOOKUP(B53,[1]Material!F$5:U$90000,16,0)="AIC","AIC",
      OR(VLOOKUP(B53,[1]Material!F$5:U$90000,16,0)="AGI",VLOOKUP(B53,[1]Material!F$5:U$90000,16,0)="AGIGA"),"AGIGA",
      OR(LEFT(VLOOKUP(B53,[1]Material!F$5:U$90000,16,0),3)="EF-",VLOOKUP(B53,[1]Material!F$5:U$90000,16,0)="EFI"),"EFI",
      AND(ISNUMBER(VLOOKUP(B53,[1]Material!F$5:U$90000,16,0)),VLOOKUP(B53,[1]Material!F$5:U$90000,16,0)&gt;=100,VLOOKUP(B53,[1]Material!F$5:U$90000,16,0)&lt;=999,VLOOKUP(B53,[1]Material!F$5:U$90000,16,0)=INT(VLOOKUP(B53,[1]Material!F$5:U$90000,16,0))),"OEM",
      TRUE,""
    ),
    "không tìm thấy trong file Import"
  ),
  VLOOKUP(F53,'[2]Export shipment'!B:Y,24,0)
)</f>
        <v>PURE</v>
      </c>
      <c r="H53" s="184"/>
      <c r="I53" s="184"/>
      <c r="J53" s="260">
        <f>(V53+X53+AA53)/'Logistics record '!$AD$1</f>
        <v>15.116015418335726</v>
      </c>
      <c r="K53" s="260">
        <f>W53/'Logistics record '!$AD$1</f>
        <v>0</v>
      </c>
      <c r="L53" s="260">
        <f>Y53/'Logistics record '!$AD$1</f>
        <v>0</v>
      </c>
      <c r="M53" s="260">
        <f>AF53/'Logistics record '!$AD$1</f>
        <v>0</v>
      </c>
      <c r="N53" s="260" t="str" cm="1">
        <f t="array" ref="N53">_xlfn.IFS(
    OR(UPPER(S53)="AIR", UPPER(S53)="CPN"), "AIR",
    UPPER(S53)="TC", "LOCAL",
    TRUE, "SEA"
)</f>
        <v>AIR</v>
      </c>
      <c r="O53" s="260">
        <f t="shared" si="4"/>
        <v>15.116015418335726</v>
      </c>
      <c r="P53" s="184" t="s">
        <v>946</v>
      </c>
      <c r="Q53" s="185">
        <v>108277141340</v>
      </c>
      <c r="R53" s="186">
        <v>46168</v>
      </c>
      <c r="S53" s="187" t="s">
        <v>928</v>
      </c>
      <c r="T53" s="188">
        <v>0.5</v>
      </c>
      <c r="U53" s="188"/>
      <c r="V53" s="189">
        <v>400000</v>
      </c>
      <c r="W53" s="190"/>
      <c r="X53" s="190"/>
      <c r="Y53" s="190"/>
      <c r="Z53" s="189">
        <f t="shared" si="0"/>
        <v>400000</v>
      </c>
      <c r="AA53" s="189">
        <v>0</v>
      </c>
      <c r="AB53" s="189">
        <f t="shared" si="5"/>
        <v>400000</v>
      </c>
      <c r="AC53" s="189"/>
      <c r="AD53" s="190"/>
      <c r="AE53" s="190"/>
      <c r="AF53" s="191">
        <f t="shared" si="1"/>
        <v>0</v>
      </c>
      <c r="AG53" s="190">
        <f t="shared" si="2"/>
        <v>400000</v>
      </c>
      <c r="AH53" s="190"/>
      <c r="AI53" s="192" t="str">
        <f>VLOOKUP(Q53,[3]Sheet1!B$11:G$1489,6,0)</f>
        <v>E11</v>
      </c>
      <c r="GK53" s="194"/>
      <c r="GL53" s="195"/>
      <c r="GM53" s="196"/>
      <c r="GN53" s="197"/>
      <c r="GO53" s="198"/>
      <c r="GP53" s="199"/>
      <c r="GQ53" s="200"/>
      <c r="GR53" s="201"/>
      <c r="GS53" s="60"/>
      <c r="GT53" s="202"/>
      <c r="GU53" s="202"/>
      <c r="GV53" s="202"/>
      <c r="GW53" s="202"/>
      <c r="GX53" s="203"/>
      <c r="HA53" s="194"/>
      <c r="HB53" s="195"/>
      <c r="HC53" s="196"/>
      <c r="HD53" s="197"/>
      <c r="HE53" s="198"/>
      <c r="HF53" s="199"/>
      <c r="HG53" s="200"/>
      <c r="HH53" s="201"/>
      <c r="HI53" s="60"/>
      <c r="HJ53" s="202"/>
      <c r="HK53" s="202"/>
      <c r="HL53" s="202"/>
      <c r="HM53" s="202"/>
      <c r="HN53" s="203"/>
    </row>
    <row r="54" spans="1:222" ht="16.5" customHeight="1">
      <c r="A54" s="181">
        <v>51</v>
      </c>
      <c r="B54" s="182">
        <v>872115753797</v>
      </c>
      <c r="C54" s="598" t="s">
        <v>2274</v>
      </c>
      <c r="D54" s="184" t="s">
        <v>1323</v>
      </c>
      <c r="E54" s="184" t="str">
        <f t="shared" si="3"/>
        <v>Import</v>
      </c>
      <c r="F54" s="720" t="str" cm="1">
        <f t="array" ref="F54">_xlfn.IFS(
  OR(AI54="E11", AI54="E15"), "Raw materials",
  OR(AI54="E13", AI54="G13"), "Equipments + Toolings",
  TRUE, RIGHT(C54, 8)
)</f>
        <v>Raw materials</v>
      </c>
      <c r="G54" s="541" t="str" cm="1">
        <f t="array" ref="G54">IF(E54="Import",
  IFERROR(
    _xlfn.IFS(
      VLOOKUP(B54,[1]Material!F$5:U$90000,16,0)="LUC","Lucid",
      VLOOKUP(B54,[1]Material!F$5:U$90000,16,0)="FMC","FORD",
      OR(VLOOKUP(B54,[1]Material!F$5:U$90000,16,0)="PUR",VLOOKUP(B54,[1]Material!F$5:U$90000,16,0)="HLO"),"PURE",
      VLOOKUP(B54,[1]Material!F$5:U$90000,16,0)="AIC","AIC",
      OR(VLOOKUP(B54,[1]Material!F$5:U$90000,16,0)="AGI",VLOOKUP(B54,[1]Material!F$5:U$90000,16,0)="AGIGA"),"AGIGA",
      OR(LEFT(VLOOKUP(B54,[1]Material!F$5:U$90000,16,0),3)="EF-",VLOOKUP(B54,[1]Material!F$5:U$90000,16,0)="EFI"),"EFI",
      AND(ISNUMBER(VLOOKUP(B54,[1]Material!F$5:U$90000,16,0)),VLOOKUP(B54,[1]Material!F$5:U$90000,16,0)&gt;=100,VLOOKUP(B54,[1]Material!F$5:U$90000,16,0)&lt;=999,VLOOKUP(B54,[1]Material!F$5:U$90000,16,0)=INT(VLOOKUP(B54,[1]Material!F$5:U$90000,16,0))),"OEM",
      TRUE,""
    ),
    "không tìm thấy trong file Import"
  ),
  VLOOKUP(F54,'[2]Export shipment'!B:Y,24,0)
)</f>
        <v>PURE</v>
      </c>
      <c r="H54" s="184"/>
      <c r="I54" s="184"/>
      <c r="J54" s="260">
        <f>(V54+X54+AA54)/'Logistics record '!$AD$1</f>
        <v>15.116015418335726</v>
      </c>
      <c r="K54" s="260">
        <f>W54/'Logistics record '!$AD$1</f>
        <v>0</v>
      </c>
      <c r="L54" s="260">
        <f>Y54/'Logistics record '!$AD$1</f>
        <v>0</v>
      </c>
      <c r="M54" s="260">
        <f>AF54/'Logistics record '!$AD$1</f>
        <v>0</v>
      </c>
      <c r="N54" s="260" t="str" cm="1">
        <f t="array" ref="N54">_xlfn.IFS(
    OR(UPPER(S54)="AIR", UPPER(S54)="CPN"), "AIR",
    UPPER(S54)="TC", "LOCAL",
    TRUE, "SEA"
)</f>
        <v>AIR</v>
      </c>
      <c r="O54" s="260">
        <f t="shared" si="4"/>
        <v>15.116015418335726</v>
      </c>
      <c r="P54" s="184" t="s">
        <v>931</v>
      </c>
      <c r="Q54" s="185">
        <v>108277159320</v>
      </c>
      <c r="R54" s="186">
        <v>46168</v>
      </c>
      <c r="S54" s="187" t="s">
        <v>928</v>
      </c>
      <c r="T54" s="188">
        <v>0.9</v>
      </c>
      <c r="U54" s="188"/>
      <c r="V54" s="189">
        <v>400000</v>
      </c>
      <c r="W54" s="190"/>
      <c r="X54" s="190"/>
      <c r="Y54" s="190"/>
      <c r="Z54" s="189">
        <f t="shared" si="0"/>
        <v>400000</v>
      </c>
      <c r="AA54" s="189">
        <v>0</v>
      </c>
      <c r="AB54" s="189">
        <f t="shared" si="5"/>
        <v>400000</v>
      </c>
      <c r="AC54" s="189"/>
      <c r="AD54" s="190"/>
      <c r="AE54" s="190"/>
      <c r="AF54" s="191">
        <f t="shared" si="1"/>
        <v>0</v>
      </c>
      <c r="AG54" s="190">
        <f t="shared" si="2"/>
        <v>400000</v>
      </c>
      <c r="AH54" s="190"/>
      <c r="AI54" s="192" t="str">
        <f>VLOOKUP(Q54,[3]Sheet1!B$11:G$1489,6,0)</f>
        <v>E11</v>
      </c>
      <c r="GK54" s="194"/>
      <c r="GL54" s="195"/>
      <c r="GM54" s="196"/>
      <c r="GN54" s="197"/>
      <c r="GO54" s="198"/>
      <c r="GP54" s="199"/>
      <c r="GQ54" s="200"/>
      <c r="GR54" s="201"/>
      <c r="GS54" s="60"/>
      <c r="GT54" s="202"/>
      <c r="GU54" s="202"/>
      <c r="GV54" s="202"/>
      <c r="GW54" s="202"/>
      <c r="GX54" s="203"/>
      <c r="HA54" s="194"/>
      <c r="HB54" s="195"/>
      <c r="HC54" s="196"/>
      <c r="HD54" s="197"/>
      <c r="HE54" s="198"/>
      <c r="HF54" s="199"/>
      <c r="HG54" s="200"/>
      <c r="HH54" s="201"/>
      <c r="HI54" s="60"/>
      <c r="HJ54" s="202"/>
      <c r="HK54" s="202"/>
      <c r="HL54" s="202"/>
      <c r="HM54" s="202"/>
      <c r="HN54" s="203"/>
    </row>
    <row r="55" spans="1:222" ht="16.5" customHeight="1">
      <c r="A55" s="181">
        <v>52</v>
      </c>
      <c r="B55" s="182">
        <v>492830230119</v>
      </c>
      <c r="C55" s="183" t="s">
        <v>2275</v>
      </c>
      <c r="D55" s="184" t="s">
        <v>968</v>
      </c>
      <c r="E55" s="184" t="str">
        <f t="shared" si="3"/>
        <v>Import</v>
      </c>
      <c r="F55" s="720" t="str" cm="1">
        <f t="array" ref="F55">_xlfn.IFS(
  OR(AI55="E11", AI55="E15"), "Raw materials",
  OR(AI55="E13", AI55="G13"), "Equipments + Toolings",
  TRUE, RIGHT(C55, 8)
)</f>
        <v>Raw materials</v>
      </c>
      <c r="G55" s="541" t="str" cm="1">
        <f t="array" ref="G55">IF(E55="Import",
  IFERROR(
    _xlfn.IFS(
      VLOOKUP(B55,[1]Material!F$5:U$90000,16,0)="LUC","Lucid",
      VLOOKUP(B55,[1]Material!F$5:U$90000,16,0)="FMC","FORD",
      OR(VLOOKUP(B55,[1]Material!F$5:U$90000,16,0)="PUR",VLOOKUP(B55,[1]Material!F$5:U$90000,16,0)="HLO"),"PURE",
      VLOOKUP(B55,[1]Material!F$5:U$90000,16,0)="AIC","AIC",
      OR(VLOOKUP(B55,[1]Material!F$5:U$90000,16,0)="AGI",VLOOKUP(B55,[1]Material!F$5:U$90000,16,0)="AGIGA"),"AGIGA",
      OR(LEFT(VLOOKUP(B55,[1]Material!F$5:U$90000,16,0),3)="EF-",VLOOKUP(B55,[1]Material!F$5:U$90000,16,0)="EFI"),"EFI",
      AND(ISNUMBER(VLOOKUP(B55,[1]Material!F$5:U$90000,16,0)),VLOOKUP(B55,[1]Material!F$5:U$90000,16,0)&gt;=100,VLOOKUP(B55,[1]Material!F$5:U$90000,16,0)&lt;=999,VLOOKUP(B55,[1]Material!F$5:U$90000,16,0)=INT(VLOOKUP(B55,[1]Material!F$5:U$90000,16,0))),"OEM",
      TRUE,""
    ),
    "không tìm thấy trong file Import"
  ),
  VLOOKUP(F55,'[2]Export shipment'!B:Y,24,0)
)</f>
        <v>FORD</v>
      </c>
      <c r="H55" s="184"/>
      <c r="I55" s="184"/>
      <c r="J55" s="260">
        <f>(V55+X55+AA55)/'Logistics record '!$AD$1</f>
        <v>15.116015418335726</v>
      </c>
      <c r="K55" s="260">
        <f>W55/'Logistics record '!$AD$1</f>
        <v>0</v>
      </c>
      <c r="L55" s="260">
        <f>Y55/'Logistics record '!$AD$1</f>
        <v>0</v>
      </c>
      <c r="M55" s="260">
        <f>AF55/'Logistics record '!$AD$1</f>
        <v>0</v>
      </c>
      <c r="N55" s="260" t="str" cm="1">
        <f t="array" ref="N55">_xlfn.IFS(
    OR(UPPER(S55)="AIR", UPPER(S55)="CPN"), "AIR",
    UPPER(S55)="TC", "LOCAL",
    TRUE, "SEA"
)</f>
        <v>AIR</v>
      </c>
      <c r="O55" s="260">
        <f t="shared" si="4"/>
        <v>15.116015418335726</v>
      </c>
      <c r="P55" s="184" t="s">
        <v>935</v>
      </c>
      <c r="Q55" s="185">
        <v>108277197450</v>
      </c>
      <c r="R55" s="186">
        <v>46168</v>
      </c>
      <c r="S55" s="187" t="s">
        <v>928</v>
      </c>
      <c r="T55" s="188">
        <v>5.9</v>
      </c>
      <c r="U55" s="188"/>
      <c r="V55" s="189">
        <v>400000</v>
      </c>
      <c r="W55" s="190"/>
      <c r="X55" s="190"/>
      <c r="Y55" s="190"/>
      <c r="Z55" s="189">
        <f t="shared" si="0"/>
        <v>400000</v>
      </c>
      <c r="AA55" s="189">
        <v>0</v>
      </c>
      <c r="AB55" s="189">
        <f t="shared" si="5"/>
        <v>400000</v>
      </c>
      <c r="AC55" s="189"/>
      <c r="AD55" s="190"/>
      <c r="AE55" s="190"/>
      <c r="AF55" s="191">
        <f t="shared" si="1"/>
        <v>0</v>
      </c>
      <c r="AG55" s="190">
        <f t="shared" si="2"/>
        <v>400000</v>
      </c>
      <c r="AH55" s="190"/>
      <c r="AI55" s="192" t="str">
        <f>VLOOKUP(Q55,[3]Sheet1!B$11:G$1489,6,0)</f>
        <v>E11</v>
      </c>
      <c r="GK55" s="194"/>
      <c r="GL55" s="195"/>
      <c r="GM55" s="196"/>
      <c r="GN55" s="197"/>
      <c r="GO55" s="198"/>
      <c r="GP55" s="199"/>
      <c r="GQ55" s="200"/>
      <c r="GR55" s="201"/>
      <c r="GS55" s="60"/>
      <c r="GT55" s="202"/>
      <c r="GU55" s="202"/>
      <c r="GV55" s="202"/>
      <c r="GW55" s="202"/>
      <c r="GX55" s="203"/>
      <c r="HA55" s="194"/>
      <c r="HB55" s="195"/>
      <c r="HC55" s="196"/>
      <c r="HD55" s="197"/>
      <c r="HE55" s="198"/>
      <c r="HF55" s="199"/>
      <c r="HG55" s="200"/>
      <c r="HH55" s="201"/>
      <c r="HI55" s="60"/>
      <c r="HJ55" s="202"/>
      <c r="HK55" s="202"/>
      <c r="HL55" s="202"/>
      <c r="HM55" s="202"/>
      <c r="HN55" s="203"/>
    </row>
    <row r="56" spans="1:222" ht="16.5" customHeight="1">
      <c r="A56" s="181">
        <v>53</v>
      </c>
      <c r="B56" s="182">
        <v>500292657094</v>
      </c>
      <c r="C56" s="598" t="s">
        <v>2276</v>
      </c>
      <c r="D56" s="184" t="s">
        <v>945</v>
      </c>
      <c r="E56" s="184" t="str">
        <f t="shared" si="3"/>
        <v>Import</v>
      </c>
      <c r="F56" s="720" t="str" cm="1">
        <f t="array" ref="F56">_xlfn.IFS(
  OR(AI56="E11", AI56="E15"), "Raw materials",
  OR(AI56="E13", AI56="G13"), "Equipments + Toolings",
  TRUE, RIGHT(C56, 8)
)</f>
        <v>Raw materials</v>
      </c>
      <c r="G56" s="541" t="str" cm="1">
        <f t="array" ref="G56">IF(E56="Import",
  IFERROR(
    _xlfn.IFS(
      VLOOKUP(B56,[1]Material!F$5:U$90000,16,0)="LUC","Lucid",
      VLOOKUP(B56,[1]Material!F$5:U$90000,16,0)="FMC","FORD",
      OR(VLOOKUP(B56,[1]Material!F$5:U$90000,16,0)="PUR",VLOOKUP(B56,[1]Material!F$5:U$90000,16,0)="HLO"),"PURE",
      VLOOKUP(B56,[1]Material!F$5:U$90000,16,0)="AIC","AIC",
      OR(VLOOKUP(B56,[1]Material!F$5:U$90000,16,0)="AGI",VLOOKUP(B56,[1]Material!F$5:U$90000,16,0)="AGIGA"),"AGIGA",
      OR(LEFT(VLOOKUP(B56,[1]Material!F$5:U$90000,16,0),3)="EF-",VLOOKUP(B56,[1]Material!F$5:U$90000,16,0)="EFI"),"EFI",
      AND(ISNUMBER(VLOOKUP(B56,[1]Material!F$5:U$90000,16,0)),VLOOKUP(B56,[1]Material!F$5:U$90000,16,0)&gt;=100,VLOOKUP(B56,[1]Material!F$5:U$90000,16,0)&lt;=999,VLOOKUP(B56,[1]Material!F$5:U$90000,16,0)=INT(VLOOKUP(B56,[1]Material!F$5:U$90000,16,0))),"OEM",
      TRUE,""
    ),
    "không tìm thấy trong file Import"
  ),
  VLOOKUP(F56,'[2]Export shipment'!B:Y,24,0)
)</f>
        <v>EFI</v>
      </c>
      <c r="H56" s="184"/>
      <c r="I56" s="184"/>
      <c r="J56" s="260">
        <f>(V56+X56+AA56)/'Logistics record '!$AD$1</f>
        <v>15.116015418335726</v>
      </c>
      <c r="K56" s="260">
        <f>W56/'Logistics record '!$AD$1</f>
        <v>0</v>
      </c>
      <c r="L56" s="260">
        <f>Y56/'Logistics record '!$AD$1</f>
        <v>0</v>
      </c>
      <c r="M56" s="260">
        <f>AF56/'Logistics record '!$AD$1</f>
        <v>0</v>
      </c>
      <c r="N56" s="260" t="str" cm="1">
        <f t="array" ref="N56">_xlfn.IFS(
    OR(UPPER(S56)="AIR", UPPER(S56)="CPN"), "AIR",
    UPPER(S56)="TC", "LOCAL",
    TRUE, "SEA"
)</f>
        <v>AIR</v>
      </c>
      <c r="O56" s="260">
        <f t="shared" si="4"/>
        <v>15.116015418335726</v>
      </c>
      <c r="P56" s="184" t="s">
        <v>946</v>
      </c>
      <c r="Q56" s="185">
        <v>108277316230</v>
      </c>
      <c r="R56" s="186">
        <v>46168</v>
      </c>
      <c r="S56" s="187" t="s">
        <v>928</v>
      </c>
      <c r="T56" s="188">
        <v>1.8</v>
      </c>
      <c r="U56" s="188"/>
      <c r="V56" s="189">
        <v>400000</v>
      </c>
      <c r="W56" s="190"/>
      <c r="X56" s="190"/>
      <c r="Y56" s="190"/>
      <c r="Z56" s="189">
        <f t="shared" si="0"/>
        <v>400000</v>
      </c>
      <c r="AA56" s="189">
        <v>0</v>
      </c>
      <c r="AB56" s="189">
        <f t="shared" si="5"/>
        <v>400000</v>
      </c>
      <c r="AC56" s="189"/>
      <c r="AD56" s="190"/>
      <c r="AE56" s="190"/>
      <c r="AF56" s="191">
        <f t="shared" si="1"/>
        <v>0</v>
      </c>
      <c r="AG56" s="190">
        <f t="shared" si="2"/>
        <v>400000</v>
      </c>
      <c r="AH56" s="190"/>
      <c r="AI56" s="192" t="str">
        <f>VLOOKUP(Q56,[3]Sheet1!B$11:G$1489,6,0)</f>
        <v>E11</v>
      </c>
      <c r="GK56" s="194"/>
      <c r="GL56" s="195"/>
      <c r="GM56" s="196"/>
      <c r="GN56" s="197"/>
      <c r="GO56" s="198"/>
      <c r="GP56" s="199"/>
      <c r="GQ56" s="200"/>
      <c r="GR56" s="201"/>
      <c r="GS56" s="60"/>
      <c r="GT56" s="202"/>
      <c r="GU56" s="202"/>
      <c r="GV56" s="202"/>
      <c r="GW56" s="202"/>
      <c r="GX56" s="203"/>
      <c r="HA56" s="194"/>
      <c r="HB56" s="195"/>
      <c r="HC56" s="196"/>
      <c r="HD56" s="197"/>
      <c r="HE56" s="198"/>
      <c r="HF56" s="199"/>
      <c r="HG56" s="200"/>
      <c r="HH56" s="201"/>
      <c r="HI56" s="60"/>
      <c r="HJ56" s="202"/>
      <c r="HK56" s="202"/>
      <c r="HL56" s="202"/>
      <c r="HM56" s="202"/>
      <c r="HN56" s="203"/>
    </row>
    <row r="57" spans="1:222" ht="16.5" customHeight="1">
      <c r="A57" s="181">
        <v>54</v>
      </c>
      <c r="B57" s="182">
        <v>500292656878</v>
      </c>
      <c r="C57" s="598" t="s">
        <v>2277</v>
      </c>
      <c r="D57" s="184" t="s">
        <v>945</v>
      </c>
      <c r="E57" s="184" t="str">
        <f t="shared" si="3"/>
        <v>Import</v>
      </c>
      <c r="F57" s="720" t="str" cm="1">
        <f t="array" ref="F57">_xlfn.IFS(
  OR(AI57="E11", AI57="E15"), "Raw materials",
  OR(AI57="E13", AI57="G13"), "Equipments + Toolings",
  TRUE, RIGHT(C57, 8)
)</f>
        <v>Raw materials</v>
      </c>
      <c r="G57" s="541" t="str" cm="1">
        <f t="array" ref="G57">IF(E57="Import",
  IFERROR(
    _xlfn.IFS(
      VLOOKUP(B57,[1]Material!F$5:U$90000,16,0)="LUC","Lucid",
      VLOOKUP(B57,[1]Material!F$5:U$90000,16,0)="FMC","FORD",
      OR(VLOOKUP(B57,[1]Material!F$5:U$90000,16,0)="PUR",VLOOKUP(B57,[1]Material!F$5:U$90000,16,0)="HLO"),"PURE",
      VLOOKUP(B57,[1]Material!F$5:U$90000,16,0)="AIC","AIC",
      OR(VLOOKUP(B57,[1]Material!F$5:U$90000,16,0)="AGI",VLOOKUP(B57,[1]Material!F$5:U$90000,16,0)="AGIGA"),"AGIGA",
      OR(LEFT(VLOOKUP(B57,[1]Material!F$5:U$90000,16,0),3)="EF-",VLOOKUP(B57,[1]Material!F$5:U$90000,16,0)="EFI"),"EFI",
      AND(ISNUMBER(VLOOKUP(B57,[1]Material!F$5:U$90000,16,0)),VLOOKUP(B57,[1]Material!F$5:U$90000,16,0)&gt;=100,VLOOKUP(B57,[1]Material!F$5:U$90000,16,0)&lt;=999,VLOOKUP(B57,[1]Material!F$5:U$90000,16,0)=INT(VLOOKUP(B57,[1]Material!F$5:U$90000,16,0))),"OEM",
      TRUE,""
    ),
    "không tìm thấy trong file Import"
  ),
  VLOOKUP(F57,'[2]Export shipment'!B:Y,24,0)
)</f>
        <v>EFI</v>
      </c>
      <c r="H57" s="184"/>
      <c r="I57" s="184"/>
      <c r="J57" s="260">
        <f>(V57+X57+AA57)/'Logistics record '!$AD$1</f>
        <v>15.116015418335726</v>
      </c>
      <c r="K57" s="260">
        <f>W57/'Logistics record '!$AD$1</f>
        <v>0</v>
      </c>
      <c r="L57" s="260">
        <f>Y57/'Logistics record '!$AD$1</f>
        <v>0</v>
      </c>
      <c r="M57" s="260">
        <f>AF57/'Logistics record '!$AD$1</f>
        <v>0</v>
      </c>
      <c r="N57" s="260" t="str" cm="1">
        <f t="array" ref="N57">_xlfn.IFS(
    OR(UPPER(S57)="AIR", UPPER(S57)="CPN"), "AIR",
    UPPER(S57)="TC", "LOCAL",
    TRUE, "SEA"
)</f>
        <v>AIR</v>
      </c>
      <c r="O57" s="260">
        <f t="shared" si="4"/>
        <v>15.116015418335726</v>
      </c>
      <c r="P57" s="184" t="s">
        <v>946</v>
      </c>
      <c r="Q57" s="185">
        <v>108277360110</v>
      </c>
      <c r="R57" s="186">
        <v>46168</v>
      </c>
      <c r="S57" s="187" t="s">
        <v>928</v>
      </c>
      <c r="T57" s="188">
        <v>0.5</v>
      </c>
      <c r="U57" s="188"/>
      <c r="V57" s="189">
        <v>400000</v>
      </c>
      <c r="W57" s="190"/>
      <c r="X57" s="190"/>
      <c r="Y57" s="190"/>
      <c r="Z57" s="189">
        <f t="shared" si="0"/>
        <v>400000</v>
      </c>
      <c r="AA57" s="189">
        <v>0</v>
      </c>
      <c r="AB57" s="189">
        <f t="shared" si="5"/>
        <v>400000</v>
      </c>
      <c r="AC57" s="189"/>
      <c r="AD57" s="190"/>
      <c r="AE57" s="190"/>
      <c r="AF57" s="191">
        <f t="shared" si="1"/>
        <v>0</v>
      </c>
      <c r="AG57" s="190">
        <f t="shared" si="2"/>
        <v>400000</v>
      </c>
      <c r="AH57" s="190"/>
      <c r="AI57" s="192" t="str">
        <f>VLOOKUP(Q57,[3]Sheet1!B$11:G$1489,6,0)</f>
        <v>E11</v>
      </c>
      <c r="GK57" s="194"/>
      <c r="GL57" s="195"/>
      <c r="GM57" s="196"/>
      <c r="GN57" s="197"/>
      <c r="GO57" s="198"/>
      <c r="GP57" s="199"/>
      <c r="GQ57" s="200"/>
      <c r="GR57" s="201"/>
      <c r="GS57" s="60"/>
      <c r="GT57" s="202"/>
      <c r="GU57" s="202"/>
      <c r="GV57" s="202"/>
      <c r="GW57" s="202"/>
      <c r="GX57" s="203"/>
      <c r="HA57" s="194"/>
      <c r="HB57" s="195"/>
      <c r="HC57" s="196"/>
      <c r="HD57" s="197"/>
      <c r="HE57" s="198"/>
      <c r="HF57" s="199"/>
      <c r="HG57" s="200"/>
      <c r="HH57" s="201"/>
      <c r="HI57" s="60"/>
      <c r="HJ57" s="202"/>
      <c r="HK57" s="202"/>
      <c r="HL57" s="202"/>
      <c r="HM57" s="202"/>
      <c r="HN57" s="203"/>
    </row>
    <row r="58" spans="1:222" ht="16.5" customHeight="1">
      <c r="A58" s="181">
        <v>55</v>
      </c>
      <c r="B58" s="182">
        <v>500292661362</v>
      </c>
      <c r="C58" s="598" t="s">
        <v>2278</v>
      </c>
      <c r="D58" s="184" t="s">
        <v>945</v>
      </c>
      <c r="E58" s="184" t="str">
        <f t="shared" si="3"/>
        <v>Import</v>
      </c>
      <c r="F58" s="720" t="str" cm="1">
        <f t="array" ref="F58">_xlfn.IFS(
  OR(AI58="E11", AI58="E15"), "Raw materials",
  OR(AI58="E13", AI58="G13"), "Equipments + Toolings",
  TRUE, RIGHT(C58, 8)
)</f>
        <v>Raw materials</v>
      </c>
      <c r="G58" s="541" t="str" cm="1">
        <f t="array" ref="G58">IF(E58="Import",
  IFERROR(
    _xlfn.IFS(
      VLOOKUP(B58,[1]Material!F$5:U$90000,16,0)="LUC","Lucid",
      VLOOKUP(B58,[1]Material!F$5:U$90000,16,0)="FMC","FORD",
      OR(VLOOKUP(B58,[1]Material!F$5:U$90000,16,0)="PUR",VLOOKUP(B58,[1]Material!F$5:U$90000,16,0)="HLO"),"PURE",
      VLOOKUP(B58,[1]Material!F$5:U$90000,16,0)="AIC","AIC",
      OR(VLOOKUP(B58,[1]Material!F$5:U$90000,16,0)="AGI",VLOOKUP(B58,[1]Material!F$5:U$90000,16,0)="AGIGA"),"AGIGA",
      OR(LEFT(VLOOKUP(B58,[1]Material!F$5:U$90000,16,0),3)="EF-",VLOOKUP(B58,[1]Material!F$5:U$90000,16,0)="EFI"),"EFI",
      AND(ISNUMBER(VLOOKUP(B58,[1]Material!F$5:U$90000,16,0)),VLOOKUP(B58,[1]Material!F$5:U$90000,16,0)&gt;=100,VLOOKUP(B58,[1]Material!F$5:U$90000,16,0)&lt;=999,VLOOKUP(B58,[1]Material!F$5:U$90000,16,0)=INT(VLOOKUP(B58,[1]Material!F$5:U$90000,16,0))),"OEM",
      TRUE,""
    ),
    "không tìm thấy trong file Import"
  ),
  VLOOKUP(F58,'[2]Export shipment'!B:Y,24,0)
)</f>
        <v>PURE</v>
      </c>
      <c r="H58" s="184"/>
      <c r="I58" s="184"/>
      <c r="J58" s="260">
        <f>(V58+X58+AA58)/'Logistics record '!$AD$1</f>
        <v>15.116015418335726</v>
      </c>
      <c r="K58" s="260">
        <f>W58/'Logistics record '!$AD$1</f>
        <v>0</v>
      </c>
      <c r="L58" s="260">
        <f>Y58/'Logistics record '!$AD$1</f>
        <v>0</v>
      </c>
      <c r="M58" s="260">
        <f>AF58/'Logistics record '!$AD$1</f>
        <v>0</v>
      </c>
      <c r="N58" s="260" t="str" cm="1">
        <f t="array" ref="N58">_xlfn.IFS(
    OR(UPPER(S58)="AIR", UPPER(S58)="CPN"), "AIR",
    UPPER(S58)="TC", "LOCAL",
    TRUE, "SEA"
)</f>
        <v>AIR</v>
      </c>
      <c r="O58" s="260">
        <f t="shared" si="4"/>
        <v>15.116015418335726</v>
      </c>
      <c r="P58" s="184" t="s">
        <v>946</v>
      </c>
      <c r="Q58" s="185">
        <v>108277380260</v>
      </c>
      <c r="R58" s="186">
        <v>46168</v>
      </c>
      <c r="S58" s="187" t="s">
        <v>928</v>
      </c>
      <c r="T58" s="188">
        <v>0.5</v>
      </c>
      <c r="U58" s="188"/>
      <c r="V58" s="189">
        <v>400000</v>
      </c>
      <c r="W58" s="190"/>
      <c r="X58" s="190"/>
      <c r="Y58" s="190"/>
      <c r="Z58" s="189">
        <f t="shared" si="0"/>
        <v>400000</v>
      </c>
      <c r="AA58" s="189">
        <v>0</v>
      </c>
      <c r="AB58" s="189">
        <f t="shared" si="5"/>
        <v>400000</v>
      </c>
      <c r="AC58" s="189"/>
      <c r="AD58" s="190"/>
      <c r="AE58" s="190"/>
      <c r="AF58" s="191">
        <f t="shared" si="1"/>
        <v>0</v>
      </c>
      <c r="AG58" s="190">
        <f t="shared" si="2"/>
        <v>400000</v>
      </c>
      <c r="AH58" s="190"/>
      <c r="AI58" s="192" t="str">
        <f>VLOOKUP(Q58,[3]Sheet1!B$11:G$1489,6,0)</f>
        <v>E11</v>
      </c>
      <c r="GK58" s="194"/>
      <c r="GL58" s="195"/>
      <c r="GM58" s="196"/>
      <c r="GN58" s="197"/>
      <c r="GO58" s="198"/>
      <c r="GP58" s="199"/>
      <c r="GQ58" s="200"/>
      <c r="GR58" s="201"/>
      <c r="GS58" s="60"/>
      <c r="GT58" s="202"/>
      <c r="GU58" s="202"/>
      <c r="GV58" s="202"/>
      <c r="GW58" s="202"/>
      <c r="GX58" s="203"/>
      <c r="HA58" s="194"/>
      <c r="HB58" s="195"/>
      <c r="HC58" s="196"/>
      <c r="HD58" s="197"/>
      <c r="HE58" s="198"/>
      <c r="HF58" s="199"/>
      <c r="HG58" s="200"/>
      <c r="HH58" s="201"/>
      <c r="HI58" s="60"/>
      <c r="HJ58" s="202"/>
      <c r="HK58" s="202"/>
      <c r="HL58" s="202"/>
      <c r="HM58" s="202"/>
      <c r="HN58" s="203"/>
    </row>
    <row r="59" spans="1:222" ht="16.5" customHeight="1">
      <c r="A59" s="181">
        <v>56</v>
      </c>
      <c r="B59" s="182">
        <v>526750324069</v>
      </c>
      <c r="C59" s="183" t="s">
        <v>2279</v>
      </c>
      <c r="D59" s="184" t="s">
        <v>957</v>
      </c>
      <c r="E59" s="184" t="str">
        <f t="shared" si="3"/>
        <v>Import</v>
      </c>
      <c r="F59" s="720" t="str" cm="1">
        <f t="array" ref="F59">_xlfn.IFS(
  OR(AI59="E11", AI59="E15"), "Raw materials",
  OR(AI59="E13", AI59="G13"), "Equipments + Toolings",
  TRUE, RIGHT(C59, 8)
)</f>
        <v>Raw materials</v>
      </c>
      <c r="G59" s="541" t="str" cm="1">
        <f t="array" ref="G59">IF(E59="Import",
  IFERROR(
    _xlfn.IFS(
      VLOOKUP(B59,[1]Material!F$5:U$90000,16,0)="LUC","Lucid",
      VLOOKUP(B59,[1]Material!F$5:U$90000,16,0)="FMC","FORD",
      OR(VLOOKUP(B59,[1]Material!F$5:U$90000,16,0)="PUR",VLOOKUP(B59,[1]Material!F$5:U$90000,16,0)="HLO"),"PURE",
      VLOOKUP(B59,[1]Material!F$5:U$90000,16,0)="AIC","AIC",
      OR(VLOOKUP(B59,[1]Material!F$5:U$90000,16,0)="AGI",VLOOKUP(B59,[1]Material!F$5:U$90000,16,0)="AGIGA"),"AGIGA",
      OR(LEFT(VLOOKUP(B59,[1]Material!F$5:U$90000,16,0),3)="EF-",VLOOKUP(B59,[1]Material!F$5:U$90000,16,0)="EFI"),"EFI",
      AND(ISNUMBER(VLOOKUP(B59,[1]Material!F$5:U$90000,16,0)),VLOOKUP(B59,[1]Material!F$5:U$90000,16,0)&gt;=100,VLOOKUP(B59,[1]Material!F$5:U$90000,16,0)&lt;=999,VLOOKUP(B59,[1]Material!F$5:U$90000,16,0)=INT(VLOOKUP(B59,[1]Material!F$5:U$90000,16,0))),"OEM",
      TRUE,""
    ),
    "không tìm thấy trong file Import"
  ),
  VLOOKUP(F59,'[2]Export shipment'!B:Y,24,0)
)</f>
        <v>EFI</v>
      </c>
      <c r="H59" s="184"/>
      <c r="I59" s="184"/>
      <c r="J59" s="260">
        <f>(V59+X59+AA59)/'Logistics record '!$AD$1</f>
        <v>15.116015418335726</v>
      </c>
      <c r="K59" s="260">
        <f>W59/'Logistics record '!$AD$1</f>
        <v>0</v>
      </c>
      <c r="L59" s="260">
        <f>Y59/'Logistics record '!$AD$1</f>
        <v>0</v>
      </c>
      <c r="M59" s="260">
        <f>AF59/'Logistics record '!$AD$1</f>
        <v>0</v>
      </c>
      <c r="N59" s="260" t="str" cm="1">
        <f t="array" ref="N59">_xlfn.IFS(
    OR(UPPER(S59)="AIR", UPPER(S59)="CPN"), "AIR",
    UPPER(S59)="TC", "LOCAL",
    TRUE, "SEA"
)</f>
        <v>AIR</v>
      </c>
      <c r="O59" s="260">
        <f t="shared" si="4"/>
        <v>15.116015418335726</v>
      </c>
      <c r="P59" s="184" t="s">
        <v>935</v>
      </c>
      <c r="Q59" s="185">
        <v>108278127640</v>
      </c>
      <c r="R59" s="186">
        <v>46168</v>
      </c>
      <c r="S59" s="187" t="s">
        <v>928</v>
      </c>
      <c r="T59" s="188">
        <v>0.2</v>
      </c>
      <c r="U59" s="188"/>
      <c r="V59" s="189">
        <v>400000</v>
      </c>
      <c r="W59" s="190"/>
      <c r="X59" s="190"/>
      <c r="Y59" s="190"/>
      <c r="Z59" s="189">
        <f t="shared" si="0"/>
        <v>400000</v>
      </c>
      <c r="AA59" s="189">
        <v>0</v>
      </c>
      <c r="AB59" s="189">
        <f t="shared" si="5"/>
        <v>400000</v>
      </c>
      <c r="AC59" s="189"/>
      <c r="AD59" s="190"/>
      <c r="AE59" s="190"/>
      <c r="AF59" s="191">
        <f t="shared" si="1"/>
        <v>0</v>
      </c>
      <c r="AG59" s="190">
        <f t="shared" si="2"/>
        <v>400000</v>
      </c>
      <c r="AH59" s="190"/>
      <c r="AI59" s="192" t="str">
        <f>VLOOKUP(Q59,[3]Sheet1!B$11:G$1489,6,0)</f>
        <v>E11</v>
      </c>
      <c r="GK59" s="194"/>
      <c r="GL59" s="195"/>
      <c r="GM59" s="196"/>
      <c r="GN59" s="197"/>
      <c r="GO59" s="198"/>
      <c r="GP59" s="199"/>
      <c r="GQ59" s="200"/>
      <c r="GR59" s="201"/>
      <c r="GS59" s="60"/>
      <c r="GT59" s="202"/>
      <c r="GU59" s="202"/>
      <c r="GV59" s="202"/>
      <c r="GW59" s="202"/>
      <c r="GX59" s="203"/>
      <c r="HA59" s="194"/>
      <c r="HB59" s="195"/>
      <c r="HC59" s="196"/>
      <c r="HD59" s="197"/>
      <c r="HE59" s="198"/>
      <c r="HF59" s="199"/>
      <c r="HG59" s="200"/>
      <c r="HH59" s="201"/>
      <c r="HI59" s="60"/>
      <c r="HJ59" s="202"/>
      <c r="HK59" s="202"/>
      <c r="HL59" s="202"/>
      <c r="HM59" s="202"/>
      <c r="HN59" s="203"/>
    </row>
    <row r="60" spans="1:222" ht="16.5" customHeight="1">
      <c r="A60" s="181">
        <v>57</v>
      </c>
      <c r="B60" s="182">
        <v>500292660572</v>
      </c>
      <c r="C60" s="598" t="s">
        <v>2280</v>
      </c>
      <c r="D60" s="184" t="s">
        <v>945</v>
      </c>
      <c r="E60" s="184" t="str">
        <f t="shared" si="3"/>
        <v>Import</v>
      </c>
      <c r="F60" s="720" t="str" cm="1">
        <f t="array" ref="F60">_xlfn.IFS(
  OR(AI60="E11", AI60="E15"), "Raw materials",
  OR(AI60="E13", AI60="G13"), "Equipments + Toolings",
  TRUE, RIGHT(C60, 8)
)</f>
        <v>Raw materials</v>
      </c>
      <c r="G60" s="541" t="str" cm="1">
        <f t="array" ref="G60">IF(E60="Import",
  IFERROR(
    _xlfn.IFS(
      VLOOKUP(B60,[1]Material!F$5:U$90000,16,0)="LUC","Lucid",
      VLOOKUP(B60,[1]Material!F$5:U$90000,16,0)="FMC","FORD",
      OR(VLOOKUP(B60,[1]Material!F$5:U$90000,16,0)="PUR",VLOOKUP(B60,[1]Material!F$5:U$90000,16,0)="HLO"),"PURE",
      VLOOKUP(B60,[1]Material!F$5:U$90000,16,0)="AIC","AIC",
      OR(VLOOKUP(B60,[1]Material!F$5:U$90000,16,0)="AGI",VLOOKUP(B60,[1]Material!F$5:U$90000,16,0)="AGIGA"),"AGIGA",
      OR(LEFT(VLOOKUP(B60,[1]Material!F$5:U$90000,16,0),3)="EF-",VLOOKUP(B60,[1]Material!F$5:U$90000,16,0)="EFI"),"EFI",
      AND(ISNUMBER(VLOOKUP(B60,[1]Material!F$5:U$90000,16,0)),VLOOKUP(B60,[1]Material!F$5:U$90000,16,0)&gt;=100,VLOOKUP(B60,[1]Material!F$5:U$90000,16,0)&lt;=999,VLOOKUP(B60,[1]Material!F$5:U$90000,16,0)=INT(VLOOKUP(B60,[1]Material!F$5:U$90000,16,0))),"OEM",
      TRUE,""
    ),
    "không tìm thấy trong file Import"
  ),
  VLOOKUP(F60,'[2]Export shipment'!B:Y,24,0)
)</f>
        <v>PURE</v>
      </c>
      <c r="H60" s="184"/>
      <c r="I60" s="184"/>
      <c r="J60" s="260">
        <f>(V60+X60+AA60)/'Logistics record '!$AD$1</f>
        <v>15.116015418335726</v>
      </c>
      <c r="K60" s="260">
        <f>W60/'Logistics record '!$AD$1</f>
        <v>0</v>
      </c>
      <c r="L60" s="260">
        <f>Y60/'Logistics record '!$AD$1</f>
        <v>0</v>
      </c>
      <c r="M60" s="260">
        <f>AF60/'Logistics record '!$AD$1</f>
        <v>0</v>
      </c>
      <c r="N60" s="260" t="str" cm="1">
        <f t="array" ref="N60">_xlfn.IFS(
    OR(UPPER(S60)="AIR", UPPER(S60)="CPN"), "AIR",
    UPPER(S60)="TC", "LOCAL",
    TRUE, "SEA"
)</f>
        <v>AIR</v>
      </c>
      <c r="O60" s="260">
        <f t="shared" si="4"/>
        <v>15.116015418335726</v>
      </c>
      <c r="P60" s="184" t="s">
        <v>946</v>
      </c>
      <c r="Q60" s="185">
        <v>108278214920</v>
      </c>
      <c r="R60" s="186">
        <v>46168</v>
      </c>
      <c r="S60" s="187" t="s">
        <v>928</v>
      </c>
      <c r="T60" s="188">
        <v>0.6</v>
      </c>
      <c r="U60" s="188"/>
      <c r="V60" s="189">
        <v>400000</v>
      </c>
      <c r="W60" s="190"/>
      <c r="X60" s="190"/>
      <c r="Y60" s="190"/>
      <c r="Z60" s="189">
        <f t="shared" si="0"/>
        <v>400000</v>
      </c>
      <c r="AA60" s="189">
        <v>0</v>
      </c>
      <c r="AB60" s="189">
        <f t="shared" si="5"/>
        <v>400000</v>
      </c>
      <c r="AC60" s="189"/>
      <c r="AD60" s="190"/>
      <c r="AE60" s="190"/>
      <c r="AF60" s="191">
        <f t="shared" si="1"/>
        <v>0</v>
      </c>
      <c r="AG60" s="190">
        <f t="shared" si="2"/>
        <v>400000</v>
      </c>
      <c r="AH60" s="190"/>
      <c r="AI60" s="192" t="str">
        <f>VLOOKUP(Q60,[3]Sheet1!B$11:G$1489,6,0)</f>
        <v>E11</v>
      </c>
      <c r="GK60" s="194"/>
      <c r="GL60" s="195"/>
      <c r="GM60" s="196"/>
      <c r="GN60" s="197"/>
      <c r="GO60" s="198"/>
      <c r="GP60" s="199"/>
      <c r="GQ60" s="200"/>
      <c r="GR60" s="201"/>
      <c r="GS60" s="60"/>
      <c r="GT60" s="202"/>
      <c r="GU60" s="202"/>
      <c r="GV60" s="202"/>
      <c r="GW60" s="202"/>
      <c r="GX60" s="203"/>
      <c r="HA60" s="194"/>
      <c r="HB60" s="195"/>
      <c r="HC60" s="196"/>
      <c r="HD60" s="197"/>
      <c r="HE60" s="198"/>
      <c r="HF60" s="199"/>
      <c r="HG60" s="200"/>
      <c r="HH60" s="201"/>
      <c r="HI60" s="60"/>
      <c r="HJ60" s="202"/>
      <c r="HK60" s="202"/>
      <c r="HL60" s="202"/>
      <c r="HM60" s="202"/>
      <c r="HN60" s="203"/>
    </row>
    <row r="61" spans="1:222" ht="16.5" customHeight="1">
      <c r="A61" s="181">
        <v>58</v>
      </c>
      <c r="B61" s="182">
        <v>381501224770</v>
      </c>
      <c r="C61" s="598" t="s">
        <v>2281</v>
      </c>
      <c r="D61" s="184" t="s">
        <v>2282</v>
      </c>
      <c r="E61" s="184" t="str">
        <f t="shared" si="3"/>
        <v>Import</v>
      </c>
      <c r="F61" s="720" t="str" cm="1">
        <f t="array" ref="F61">_xlfn.IFS(
  OR(AI61="E11", AI61="E15"), "Raw materials",
  OR(AI61="E13", AI61="G13"), "Equipments + Toolings",
  TRUE, RIGHT(C61, 8)
)</f>
        <v>Raw materials</v>
      </c>
      <c r="G61" s="541" t="str" cm="1">
        <f t="array" ref="G61">IF(E61="Import",
  IFERROR(
    _xlfn.IFS(
      VLOOKUP(B61,[1]Material!F$5:U$90000,16,0)="LUC","Lucid",
      VLOOKUP(B61,[1]Material!F$5:U$90000,16,0)="FMC","FORD",
      OR(VLOOKUP(B61,[1]Material!F$5:U$90000,16,0)="PUR",VLOOKUP(B61,[1]Material!F$5:U$90000,16,0)="HLO"),"PURE",
      VLOOKUP(B61,[1]Material!F$5:U$90000,16,0)="AIC","AIC",
      OR(VLOOKUP(B61,[1]Material!F$5:U$90000,16,0)="AGI",VLOOKUP(B61,[1]Material!F$5:U$90000,16,0)="AGIGA"),"AGIGA",
      OR(LEFT(VLOOKUP(B61,[1]Material!F$5:U$90000,16,0),3)="EF-",VLOOKUP(B61,[1]Material!F$5:U$90000,16,0)="EFI"),"EFI",
      AND(ISNUMBER(VLOOKUP(B61,[1]Material!F$5:U$90000,16,0)),VLOOKUP(B61,[1]Material!F$5:U$90000,16,0)&gt;=100,VLOOKUP(B61,[1]Material!F$5:U$90000,16,0)&lt;=999,VLOOKUP(B61,[1]Material!F$5:U$90000,16,0)=INT(VLOOKUP(B61,[1]Material!F$5:U$90000,16,0))),"OEM",
      TRUE,""
    ),
    "không tìm thấy trong file Import"
  ),
  VLOOKUP(F61,'[2]Export shipment'!B:Y,24,0)
)</f>
        <v>PURE</v>
      </c>
      <c r="H61" s="184"/>
      <c r="I61" s="184"/>
      <c r="J61" s="260">
        <f>(V61+X61+AA61)/'Logistics record '!$AD$1</f>
        <v>15.116015418335726</v>
      </c>
      <c r="K61" s="260">
        <f>W61/'Logistics record '!$AD$1</f>
        <v>0</v>
      </c>
      <c r="L61" s="260">
        <f>Y61/'Logistics record '!$AD$1</f>
        <v>0</v>
      </c>
      <c r="M61" s="260">
        <f>AF61/'Logistics record '!$AD$1</f>
        <v>0</v>
      </c>
      <c r="N61" s="260" t="str" cm="1">
        <f t="array" ref="N61">_xlfn.IFS(
    OR(UPPER(S61)="AIR", UPPER(S61)="CPN"), "AIR",
    UPPER(S61)="TC", "LOCAL",
    TRUE, "SEA"
)</f>
        <v>AIR</v>
      </c>
      <c r="O61" s="260">
        <f t="shared" si="4"/>
        <v>15.116015418335726</v>
      </c>
      <c r="P61" s="184" t="s">
        <v>943</v>
      </c>
      <c r="Q61" s="185">
        <v>108278448830</v>
      </c>
      <c r="R61" s="186">
        <v>46168</v>
      </c>
      <c r="S61" s="187" t="s">
        <v>928</v>
      </c>
      <c r="T61" s="188">
        <v>2.2000000000000002</v>
      </c>
      <c r="U61" s="188"/>
      <c r="V61" s="189">
        <v>400000</v>
      </c>
      <c r="W61" s="190"/>
      <c r="X61" s="190"/>
      <c r="Y61" s="190"/>
      <c r="Z61" s="189">
        <f t="shared" si="0"/>
        <v>400000</v>
      </c>
      <c r="AA61" s="189">
        <v>0</v>
      </c>
      <c r="AB61" s="189">
        <f t="shared" si="5"/>
        <v>400000</v>
      </c>
      <c r="AC61" s="189"/>
      <c r="AD61" s="190"/>
      <c r="AE61" s="190"/>
      <c r="AF61" s="191">
        <f t="shared" si="1"/>
        <v>0</v>
      </c>
      <c r="AG61" s="190">
        <f t="shared" si="2"/>
        <v>400000</v>
      </c>
      <c r="AH61" s="190"/>
      <c r="AI61" s="192" t="str">
        <f>VLOOKUP(Q61,[3]Sheet1!B$11:G$1489,6,0)</f>
        <v>E11</v>
      </c>
      <c r="GK61" s="194"/>
      <c r="GL61" s="195"/>
      <c r="GM61" s="196"/>
      <c r="GN61" s="197"/>
      <c r="GO61" s="198"/>
      <c r="GP61" s="199"/>
      <c r="GQ61" s="200"/>
      <c r="GR61" s="201"/>
      <c r="GS61" s="60"/>
      <c r="GT61" s="202"/>
      <c r="GU61" s="202"/>
      <c r="GV61" s="202"/>
      <c r="GW61" s="202"/>
      <c r="GX61" s="203"/>
      <c r="HA61" s="194"/>
      <c r="HB61" s="195"/>
      <c r="HC61" s="196"/>
      <c r="HD61" s="197"/>
      <c r="HE61" s="198"/>
      <c r="HF61" s="199"/>
      <c r="HG61" s="200"/>
      <c r="HH61" s="201"/>
      <c r="HI61" s="60"/>
      <c r="HJ61" s="202"/>
      <c r="HK61" s="202"/>
      <c r="HL61" s="202"/>
      <c r="HM61" s="202"/>
      <c r="HN61" s="203"/>
    </row>
    <row r="62" spans="1:222" ht="16.5" customHeight="1">
      <c r="A62" s="181">
        <v>59</v>
      </c>
      <c r="B62" s="182" t="s">
        <v>2283</v>
      </c>
      <c r="C62" s="598" t="s">
        <v>2284</v>
      </c>
      <c r="D62" s="184" t="s">
        <v>940</v>
      </c>
      <c r="E62" s="184" t="str">
        <f t="shared" si="3"/>
        <v>Import</v>
      </c>
      <c r="F62" s="720" t="str" cm="1">
        <f t="array" ref="F62">_xlfn.IFS(
  OR(AI62="E11", AI62="E15"), "Raw materials",
  OR(AI62="E13", AI62="G13"), "Equipments + Toolings",
  TRUE, RIGHT(C62, 8)
)</f>
        <v>Raw materials</v>
      </c>
      <c r="G62" s="541" t="str" cm="1">
        <f t="array" ref="G62">IF(E62="Import",
  IFERROR(
    _xlfn.IFS(
      VLOOKUP(B62,[1]Material!F$5:U$90000,16,0)="LUC","Lucid",
      VLOOKUP(B62,[1]Material!F$5:U$90000,16,0)="FMC","FORD",
      OR(VLOOKUP(B62,[1]Material!F$5:U$90000,16,0)="PUR",VLOOKUP(B62,[1]Material!F$5:U$90000,16,0)="HLO"),"PURE",
      VLOOKUP(B62,[1]Material!F$5:U$90000,16,0)="AIC","AIC",
      OR(VLOOKUP(B62,[1]Material!F$5:U$90000,16,0)="AGI",VLOOKUP(B62,[1]Material!F$5:U$90000,16,0)="AGIGA"),"AGIGA",
      OR(LEFT(VLOOKUP(B62,[1]Material!F$5:U$90000,16,0),3)="EF-",VLOOKUP(B62,[1]Material!F$5:U$90000,16,0)="EFI"),"EFI",
      AND(ISNUMBER(VLOOKUP(B62,[1]Material!F$5:U$90000,16,0)),VLOOKUP(B62,[1]Material!F$5:U$90000,16,0)&gt;=100,VLOOKUP(B62,[1]Material!F$5:U$90000,16,0)&lt;=999,VLOOKUP(B62,[1]Material!F$5:U$90000,16,0)=INT(VLOOKUP(B62,[1]Material!F$5:U$90000,16,0))),"OEM",
      TRUE,""
    ),
    "không tìm thấy trong file Import"
  ),
  VLOOKUP(F62,'[2]Export shipment'!B:Y,24,0)
)</f>
        <v>Lucid</v>
      </c>
      <c r="H62" s="184"/>
      <c r="I62" s="184"/>
      <c r="J62" s="260">
        <f>(V62+X62+AA62)/'Logistics record '!$AD$1</f>
        <v>15.116015418335726</v>
      </c>
      <c r="K62" s="260">
        <f>W62/'Logistics record '!$AD$1</f>
        <v>22.674023127503592</v>
      </c>
      <c r="L62" s="260">
        <f>Y62/'Logistics record '!$AD$1</f>
        <v>0</v>
      </c>
      <c r="M62" s="260">
        <f>AF62/'Logistics record '!$AD$1</f>
        <v>69.311087597309353</v>
      </c>
      <c r="N62" s="260" t="str" cm="1">
        <f t="array" ref="N62">_xlfn.IFS(
    OR(UPPER(S62)="AIR", UPPER(S62)="CPN"), "AIR",
    UPPER(S62)="TC", "LOCAL",
    TRUE, "SEA"
)</f>
        <v>AIR</v>
      </c>
      <c r="O62" s="260">
        <f t="shared" si="4"/>
        <v>107.10112614314866</v>
      </c>
      <c r="P62" s="184" t="s">
        <v>949</v>
      </c>
      <c r="Q62" s="185">
        <v>108278553830</v>
      </c>
      <c r="R62" s="186">
        <v>46168</v>
      </c>
      <c r="S62" s="187" t="s">
        <v>65</v>
      </c>
      <c r="T62" s="188">
        <v>129</v>
      </c>
      <c r="U62" s="188"/>
      <c r="V62" s="189">
        <v>400000</v>
      </c>
      <c r="W62" s="190">
        <v>600000</v>
      </c>
      <c r="X62" s="190"/>
      <c r="Y62" s="190"/>
      <c r="Z62" s="189">
        <f t="shared" si="0"/>
        <v>1000000</v>
      </c>
      <c r="AA62" s="189">
        <v>0</v>
      </c>
      <c r="AB62" s="189">
        <f t="shared" si="5"/>
        <v>1000000</v>
      </c>
      <c r="AC62" s="189"/>
      <c r="AD62" s="190">
        <v>997542</v>
      </c>
      <c r="AE62" s="190">
        <v>836568</v>
      </c>
      <c r="AF62" s="191">
        <f t="shared" si="1"/>
        <v>1834110</v>
      </c>
      <c r="AG62" s="190">
        <f t="shared" si="2"/>
        <v>2834110</v>
      </c>
      <c r="AH62" s="190"/>
      <c r="AI62" s="192" t="str">
        <f>VLOOKUP(Q62,[3]Sheet1!B$11:G$1489,6,0)</f>
        <v>E11</v>
      </c>
      <c r="GK62" s="194"/>
      <c r="GL62" s="195"/>
      <c r="GM62" s="196"/>
      <c r="GN62" s="197"/>
      <c r="GO62" s="198"/>
      <c r="GP62" s="199"/>
      <c r="GQ62" s="200"/>
      <c r="GR62" s="201"/>
      <c r="GS62" s="60"/>
      <c r="GT62" s="202"/>
      <c r="GU62" s="202"/>
      <c r="GV62" s="202"/>
      <c r="GW62" s="202"/>
      <c r="GX62" s="203"/>
      <c r="HA62" s="194"/>
      <c r="HB62" s="195"/>
      <c r="HC62" s="196"/>
      <c r="HD62" s="197"/>
      <c r="HE62" s="198"/>
      <c r="HF62" s="199"/>
      <c r="HG62" s="200"/>
      <c r="HH62" s="201"/>
      <c r="HI62" s="60"/>
      <c r="HJ62" s="202"/>
      <c r="HK62" s="202"/>
      <c r="HL62" s="202"/>
      <c r="HM62" s="202"/>
      <c r="HN62" s="203"/>
    </row>
    <row r="63" spans="1:222" ht="16.5" customHeight="1">
      <c r="A63" s="181">
        <v>60</v>
      </c>
      <c r="B63" s="182">
        <v>871965623931</v>
      </c>
      <c r="C63" s="598" t="s">
        <v>2285</v>
      </c>
      <c r="D63" s="184" t="s">
        <v>2286</v>
      </c>
      <c r="E63" s="184" t="str">
        <f t="shared" si="3"/>
        <v>Import</v>
      </c>
      <c r="F63" s="720" t="str" cm="1">
        <f t="array" ref="F63">_xlfn.IFS(
  OR(AI63="E11", AI63="E15"), "Raw materials",
  OR(AI63="E13", AI63="G13"), "Equipments + Toolings",
  TRUE, RIGHT(C63, 8)
)</f>
        <v>Raw materials</v>
      </c>
      <c r="G63" s="541" t="str" cm="1">
        <f t="array" ref="G63">IF(E63="Import",
  IFERROR(
    _xlfn.IFS(
      VLOOKUP(B63,[1]Material!F$5:U$90000,16,0)="LUC","Lucid",
      VLOOKUP(B63,[1]Material!F$5:U$90000,16,0)="FMC","FORD",
      OR(VLOOKUP(B63,[1]Material!F$5:U$90000,16,0)="PUR",VLOOKUP(B63,[1]Material!F$5:U$90000,16,0)="HLO"),"PURE",
      VLOOKUP(B63,[1]Material!F$5:U$90000,16,0)="AIC","AIC",
      OR(VLOOKUP(B63,[1]Material!F$5:U$90000,16,0)="AGI",VLOOKUP(B63,[1]Material!F$5:U$90000,16,0)="AGIGA"),"AGIGA",
      OR(LEFT(VLOOKUP(B63,[1]Material!F$5:U$90000,16,0),3)="EF-",VLOOKUP(B63,[1]Material!F$5:U$90000,16,0)="EFI"),"EFI",
      AND(ISNUMBER(VLOOKUP(B63,[1]Material!F$5:U$90000,16,0)),VLOOKUP(B63,[1]Material!F$5:U$90000,16,0)&gt;=100,VLOOKUP(B63,[1]Material!F$5:U$90000,16,0)&lt;=999,VLOOKUP(B63,[1]Material!F$5:U$90000,16,0)=INT(VLOOKUP(B63,[1]Material!F$5:U$90000,16,0))),"OEM",
      TRUE,""
    ),
    "không tìm thấy trong file Import"
  ),
  VLOOKUP(F63,'[2]Export shipment'!B:Y,24,0)
)</f>
        <v>PURE</v>
      </c>
      <c r="H63" s="184"/>
      <c r="I63" s="184"/>
      <c r="J63" s="260">
        <f>(V63+X63+AA63)/'Logistics record '!$AD$1</f>
        <v>15.116015418335726</v>
      </c>
      <c r="K63" s="260">
        <f>W63/'Logistics record '!$AD$1</f>
        <v>0</v>
      </c>
      <c r="L63" s="260">
        <f>Y63/'Logistics record '!$AD$1</f>
        <v>0</v>
      </c>
      <c r="M63" s="260">
        <f>AF63/'Logistics record '!$AD$1</f>
        <v>0</v>
      </c>
      <c r="N63" s="260" t="str" cm="1">
        <f t="array" ref="N63">_xlfn.IFS(
    OR(UPPER(S63)="AIR", UPPER(S63)="CPN"), "AIR",
    UPPER(S63)="TC", "LOCAL",
    TRUE, "SEA"
)</f>
        <v>AIR</v>
      </c>
      <c r="O63" s="260">
        <f t="shared" si="4"/>
        <v>15.116015418335726</v>
      </c>
      <c r="P63" s="184" t="s">
        <v>927</v>
      </c>
      <c r="Q63" s="185">
        <v>108279100750</v>
      </c>
      <c r="R63" s="186">
        <v>46168</v>
      </c>
      <c r="S63" s="187" t="s">
        <v>928</v>
      </c>
      <c r="T63" s="188">
        <v>57.1</v>
      </c>
      <c r="U63" s="188"/>
      <c r="V63" s="189">
        <v>400000</v>
      </c>
      <c r="W63" s="190"/>
      <c r="X63" s="190"/>
      <c r="Y63" s="190"/>
      <c r="Z63" s="189">
        <f t="shared" si="0"/>
        <v>400000</v>
      </c>
      <c r="AA63" s="189">
        <v>0</v>
      </c>
      <c r="AB63" s="189">
        <f t="shared" si="5"/>
        <v>400000</v>
      </c>
      <c r="AC63" s="189"/>
      <c r="AD63" s="190"/>
      <c r="AE63" s="190"/>
      <c r="AF63" s="191">
        <f t="shared" si="1"/>
        <v>0</v>
      </c>
      <c r="AG63" s="190">
        <f t="shared" si="2"/>
        <v>400000</v>
      </c>
      <c r="AH63" s="190"/>
      <c r="AI63" s="192" t="str">
        <f>VLOOKUP(Q63,[3]Sheet1!B$11:G$1489,6,0)</f>
        <v>E11</v>
      </c>
      <c r="GK63" s="194"/>
      <c r="GL63" s="195"/>
      <c r="GM63" s="196"/>
      <c r="GN63" s="197"/>
      <c r="GO63" s="198"/>
      <c r="GP63" s="199"/>
      <c r="GQ63" s="200"/>
      <c r="GR63" s="201"/>
      <c r="GS63" s="60"/>
      <c r="GT63" s="202"/>
      <c r="GU63" s="202"/>
      <c r="GV63" s="202"/>
      <c r="GW63" s="202"/>
      <c r="GX63" s="203"/>
      <c r="HA63" s="194"/>
      <c r="HB63" s="195"/>
      <c r="HC63" s="196"/>
      <c r="HD63" s="197"/>
      <c r="HE63" s="198"/>
      <c r="HF63" s="199"/>
      <c r="HG63" s="200"/>
      <c r="HH63" s="201"/>
      <c r="HI63" s="60"/>
      <c r="HJ63" s="202"/>
      <c r="HK63" s="202"/>
      <c r="HL63" s="202"/>
      <c r="HM63" s="202"/>
      <c r="HN63" s="203"/>
    </row>
    <row r="64" spans="1:222" ht="16.5" customHeight="1">
      <c r="A64" s="181">
        <v>61</v>
      </c>
      <c r="B64" s="182">
        <v>489101278063</v>
      </c>
      <c r="C64" s="598" t="s">
        <v>2287</v>
      </c>
      <c r="D64" s="184" t="s">
        <v>1711</v>
      </c>
      <c r="E64" s="184" t="str">
        <f t="shared" si="3"/>
        <v>Import</v>
      </c>
      <c r="F64" s="720" t="str" cm="1">
        <f t="array" ref="F64">_xlfn.IFS(
  OR(AI64="E11", AI64="E15"), "Raw materials",
  OR(AI64="E13", AI64="G13"), "Equipments + Toolings",
  TRUE, RIGHT(C64, 8)
)</f>
        <v>Raw materials</v>
      </c>
      <c r="G64" s="541" t="str" cm="1">
        <f t="array" ref="G64">IF(E64="Import",
  IFERROR(
    _xlfn.IFS(
      VLOOKUP(B64,[1]Material!F$5:U$90000,16,0)="LUC","Lucid",
      VLOOKUP(B64,[1]Material!F$5:U$90000,16,0)="FMC","FORD",
      OR(VLOOKUP(B64,[1]Material!F$5:U$90000,16,0)="PUR",VLOOKUP(B64,[1]Material!F$5:U$90000,16,0)="HLO"),"PURE",
      VLOOKUP(B64,[1]Material!F$5:U$90000,16,0)="AIC","AIC",
      OR(VLOOKUP(B64,[1]Material!F$5:U$90000,16,0)="AGI",VLOOKUP(B64,[1]Material!F$5:U$90000,16,0)="AGIGA"),"AGIGA",
      OR(LEFT(VLOOKUP(B64,[1]Material!F$5:U$90000,16,0),3)="EF-",VLOOKUP(B64,[1]Material!F$5:U$90000,16,0)="EFI"),"EFI",
      AND(ISNUMBER(VLOOKUP(B64,[1]Material!F$5:U$90000,16,0)),VLOOKUP(B64,[1]Material!F$5:U$90000,16,0)&gt;=100,VLOOKUP(B64,[1]Material!F$5:U$90000,16,0)&lt;=999,VLOOKUP(B64,[1]Material!F$5:U$90000,16,0)=INT(VLOOKUP(B64,[1]Material!F$5:U$90000,16,0))),"OEM",
      TRUE,""
    ),
    "không tìm thấy trong file Import"
  ),
  VLOOKUP(F64,'[2]Export shipment'!B:Y,24,0)
)</f>
        <v>EFI</v>
      </c>
      <c r="H64" s="184"/>
      <c r="I64" s="184"/>
      <c r="J64" s="260">
        <f>(V64+X64+AA64)/'Logistics record '!$AD$1</f>
        <v>15.116015418335726</v>
      </c>
      <c r="K64" s="260">
        <f>W64/'Logistics record '!$AD$1</f>
        <v>0</v>
      </c>
      <c r="L64" s="260">
        <f>Y64/'Logistics record '!$AD$1</f>
        <v>0</v>
      </c>
      <c r="M64" s="260">
        <f>AF64/'Logistics record '!$AD$1</f>
        <v>0</v>
      </c>
      <c r="N64" s="260" t="str" cm="1">
        <f t="array" ref="N64">_xlfn.IFS(
    OR(UPPER(S64)="AIR", UPPER(S64)="CPN"), "AIR",
    UPPER(S64)="TC", "LOCAL",
    TRUE, "SEA"
)</f>
        <v>AIR</v>
      </c>
      <c r="O64" s="260">
        <f t="shared" si="4"/>
        <v>15.116015418335726</v>
      </c>
      <c r="P64" s="184" t="s">
        <v>1992</v>
      </c>
      <c r="Q64" s="185">
        <v>108279137850</v>
      </c>
      <c r="R64" s="186">
        <v>46168</v>
      </c>
      <c r="S64" s="187" t="s">
        <v>928</v>
      </c>
      <c r="T64" s="188">
        <v>0.5</v>
      </c>
      <c r="U64" s="188"/>
      <c r="V64" s="189">
        <v>400000</v>
      </c>
      <c r="W64" s="190"/>
      <c r="X64" s="190"/>
      <c r="Y64" s="190"/>
      <c r="Z64" s="189">
        <f t="shared" si="0"/>
        <v>400000</v>
      </c>
      <c r="AA64" s="189">
        <v>0</v>
      </c>
      <c r="AB64" s="189">
        <f t="shared" si="5"/>
        <v>400000</v>
      </c>
      <c r="AC64" s="189"/>
      <c r="AD64" s="190"/>
      <c r="AE64" s="190"/>
      <c r="AF64" s="191">
        <f t="shared" si="1"/>
        <v>0</v>
      </c>
      <c r="AG64" s="190">
        <f t="shared" si="2"/>
        <v>400000</v>
      </c>
      <c r="AH64" s="190"/>
      <c r="AI64" s="192" t="str">
        <f>VLOOKUP(Q64,[3]Sheet1!B$11:G$1489,6,0)</f>
        <v>E11</v>
      </c>
      <c r="GK64" s="194"/>
      <c r="GL64" s="195"/>
      <c r="GM64" s="196"/>
      <c r="GN64" s="197"/>
      <c r="GO64" s="198"/>
      <c r="GP64" s="199"/>
      <c r="GQ64" s="200"/>
      <c r="GR64" s="201"/>
      <c r="GS64" s="60"/>
      <c r="GT64" s="202"/>
      <c r="GU64" s="202"/>
      <c r="GV64" s="202"/>
      <c r="GW64" s="202"/>
      <c r="GX64" s="203"/>
      <c r="HA64" s="194"/>
      <c r="HB64" s="195"/>
      <c r="HC64" s="196"/>
      <c r="HD64" s="197"/>
      <c r="HE64" s="198"/>
      <c r="HF64" s="199"/>
      <c r="HG64" s="200"/>
      <c r="HH64" s="201"/>
      <c r="HI64" s="60"/>
      <c r="HJ64" s="202"/>
      <c r="HK64" s="202"/>
      <c r="HL64" s="202"/>
      <c r="HM64" s="202"/>
      <c r="HN64" s="203"/>
    </row>
    <row r="65" spans="1:222" ht="16.5" customHeight="1">
      <c r="A65" s="181">
        <v>62</v>
      </c>
      <c r="B65" s="182">
        <v>500292607983</v>
      </c>
      <c r="C65" s="183" t="s">
        <v>2288</v>
      </c>
      <c r="D65" s="184" t="s">
        <v>945</v>
      </c>
      <c r="E65" s="184" t="str">
        <f t="shared" si="3"/>
        <v>Import</v>
      </c>
      <c r="F65" s="720" t="str" cm="1">
        <f t="array" ref="F65">_xlfn.IFS(
  OR(AI65="E11", AI65="E15"), "Raw materials",
  OR(AI65="E13", AI65="G13"), "Equipments + Toolings",
  TRUE, RIGHT(C65, 8)
)</f>
        <v>Raw materials</v>
      </c>
      <c r="G65" s="541" t="str" cm="1">
        <f t="array" ref="G65">IF(E65="Import",
  IFERROR(
    _xlfn.IFS(
      VLOOKUP(B65,[1]Material!F$5:U$90000,16,0)="LUC","Lucid",
      VLOOKUP(B65,[1]Material!F$5:U$90000,16,0)="FMC","FORD",
      OR(VLOOKUP(B65,[1]Material!F$5:U$90000,16,0)="PUR",VLOOKUP(B65,[1]Material!F$5:U$90000,16,0)="HLO"),"PURE",
      VLOOKUP(B65,[1]Material!F$5:U$90000,16,0)="AIC","AIC",
      OR(VLOOKUP(B65,[1]Material!F$5:U$90000,16,0)="AGI",VLOOKUP(B65,[1]Material!F$5:U$90000,16,0)="AGIGA"),"AGIGA",
      OR(LEFT(VLOOKUP(B65,[1]Material!F$5:U$90000,16,0),3)="EF-",VLOOKUP(B65,[1]Material!F$5:U$90000,16,0)="EFI"),"EFI",
      AND(ISNUMBER(VLOOKUP(B65,[1]Material!F$5:U$90000,16,0)),VLOOKUP(B65,[1]Material!F$5:U$90000,16,0)&gt;=100,VLOOKUP(B65,[1]Material!F$5:U$90000,16,0)&lt;=999,VLOOKUP(B65,[1]Material!F$5:U$90000,16,0)=INT(VLOOKUP(B65,[1]Material!F$5:U$90000,16,0))),"OEM",
      TRUE,""
    ),
    "không tìm thấy trong file Import"
  ),
  VLOOKUP(F65,'[2]Export shipment'!B:Y,24,0)
)</f>
        <v>EFI</v>
      </c>
      <c r="H65" s="184"/>
      <c r="I65" s="184"/>
      <c r="J65" s="260">
        <f>(V65+X65+AA65)/'Logistics record '!$AD$1</f>
        <v>15.116015418335726</v>
      </c>
      <c r="K65" s="260">
        <f>W65/'Logistics record '!$AD$1</f>
        <v>0</v>
      </c>
      <c r="L65" s="260">
        <f>Y65/'Logistics record '!$AD$1</f>
        <v>0</v>
      </c>
      <c r="M65" s="260">
        <f>AF65/'Logistics record '!$AD$1</f>
        <v>0</v>
      </c>
      <c r="N65" s="260" t="str" cm="1">
        <f t="array" ref="N65">_xlfn.IFS(
    OR(UPPER(S65)="AIR", UPPER(S65)="CPN"), "AIR",
    UPPER(S65)="TC", "LOCAL",
    TRUE, "SEA"
)</f>
        <v>AIR</v>
      </c>
      <c r="O65" s="260">
        <f>M65+L65+K65+J65</f>
        <v>15.116015418335726</v>
      </c>
      <c r="P65" s="184" t="s">
        <v>946</v>
      </c>
      <c r="Q65" s="185">
        <v>108279205050</v>
      </c>
      <c r="R65" s="186">
        <v>46168</v>
      </c>
      <c r="S65" s="187" t="s">
        <v>928</v>
      </c>
      <c r="T65" s="188">
        <v>2.7</v>
      </c>
      <c r="U65" s="188"/>
      <c r="V65" s="189">
        <v>400000</v>
      </c>
      <c r="W65" s="190"/>
      <c r="X65" s="190"/>
      <c r="Y65" s="190"/>
      <c r="Z65" s="189">
        <f t="shared" si="0"/>
        <v>400000</v>
      </c>
      <c r="AA65" s="189">
        <v>0</v>
      </c>
      <c r="AB65" s="189">
        <f t="shared" si="5"/>
        <v>400000</v>
      </c>
      <c r="AC65" s="189"/>
      <c r="AD65" s="190"/>
      <c r="AE65" s="190"/>
      <c r="AF65" s="191">
        <f t="shared" si="1"/>
        <v>0</v>
      </c>
      <c r="AG65" s="190">
        <f t="shared" si="2"/>
        <v>400000</v>
      </c>
      <c r="AH65" s="190"/>
      <c r="AI65" s="192" t="str">
        <f>VLOOKUP(Q65,[3]Sheet1!B$11:G$1489,6,0)</f>
        <v>E11</v>
      </c>
      <c r="GK65" s="194"/>
      <c r="GL65" s="195"/>
      <c r="GM65" s="196"/>
      <c r="GN65" s="197"/>
      <c r="GO65" s="198"/>
      <c r="GP65" s="199"/>
      <c r="GQ65" s="200"/>
      <c r="GR65" s="201"/>
      <c r="GS65" s="60"/>
      <c r="GT65" s="202"/>
      <c r="GU65" s="202"/>
      <c r="GV65" s="202"/>
      <c r="GW65" s="202"/>
      <c r="GX65" s="203"/>
      <c r="HA65" s="194"/>
      <c r="HB65" s="195"/>
      <c r="HC65" s="196"/>
      <c r="HD65" s="197"/>
      <c r="HE65" s="198"/>
      <c r="HF65" s="199"/>
      <c r="HG65" s="200"/>
      <c r="HH65" s="201"/>
      <c r="HI65" s="60"/>
      <c r="HJ65" s="202"/>
      <c r="HK65" s="202"/>
      <c r="HL65" s="202"/>
      <c r="HM65" s="202"/>
      <c r="HN65" s="203"/>
    </row>
    <row r="66" spans="1:222" ht="16.5" customHeight="1">
      <c r="A66" s="181">
        <v>63</v>
      </c>
      <c r="B66" s="182">
        <v>510007344202</v>
      </c>
      <c r="C66" s="183" t="s">
        <v>2289</v>
      </c>
      <c r="D66" s="184" t="s">
        <v>823</v>
      </c>
      <c r="E66" s="184" t="str">
        <f t="shared" si="3"/>
        <v>Import</v>
      </c>
      <c r="F66" s="720" t="str" cm="1">
        <f t="array" ref="F66">_xlfn.IFS(
  OR(AI66="E11", AI66="E15"), "Raw materials",
  OR(AI66="E13", AI66="G13"), "Equipments + Toolings",
  TRUE, RIGHT(C66, 8)
)</f>
        <v>Raw materials</v>
      </c>
      <c r="G66" s="541" t="str" cm="1">
        <f t="array" ref="G66">IF(E66="Import",
  IFERROR(
    _xlfn.IFS(
      VLOOKUP(B66,[1]Material!F$5:U$90000,16,0)="LUC","Lucid",
      VLOOKUP(B66,[1]Material!F$5:U$90000,16,0)="FMC","FORD",
      OR(VLOOKUP(B66,[1]Material!F$5:U$90000,16,0)="PUR",VLOOKUP(B66,[1]Material!F$5:U$90000,16,0)="HLO"),"PURE",
      VLOOKUP(B66,[1]Material!F$5:U$90000,16,0)="AIC","AIC",
      OR(VLOOKUP(B66,[1]Material!F$5:U$90000,16,0)="AGI",VLOOKUP(B66,[1]Material!F$5:U$90000,16,0)="AGIGA"),"AGIGA",
      OR(LEFT(VLOOKUP(B66,[1]Material!F$5:U$90000,16,0),3)="EF-",VLOOKUP(B66,[1]Material!F$5:U$90000,16,0)="EFI"),"EFI",
      AND(ISNUMBER(VLOOKUP(B66,[1]Material!F$5:U$90000,16,0)),VLOOKUP(B66,[1]Material!F$5:U$90000,16,0)&gt;=100,VLOOKUP(B66,[1]Material!F$5:U$90000,16,0)&lt;=999,VLOOKUP(B66,[1]Material!F$5:U$90000,16,0)=INT(VLOOKUP(B66,[1]Material!F$5:U$90000,16,0))),"OEM",
      TRUE,""
    ),
    "không tìm thấy trong file Import"
  ),
  VLOOKUP(F66,'[2]Export shipment'!B:Y,24,0)
)</f>
        <v>PURE</v>
      </c>
      <c r="H66" s="184"/>
      <c r="I66" s="184"/>
      <c r="J66" s="260">
        <f>(V66+X66+AA66)/'Logistics record '!$AD$1</f>
        <v>15.116015418335726</v>
      </c>
      <c r="K66" s="260">
        <f>W66/'Logistics record '!$AD$1</f>
        <v>0</v>
      </c>
      <c r="L66" s="260">
        <f>Y66/'Logistics record '!$AD$1</f>
        <v>0</v>
      </c>
      <c r="M66" s="260">
        <f>AF66/'Logistics record '!$AD$1</f>
        <v>0</v>
      </c>
      <c r="N66" s="260" t="str" cm="1">
        <f t="array" ref="N66">_xlfn.IFS(
    OR(UPPER(S66)="AIR", UPPER(S66)="CPN"), "AIR",
    UPPER(S66)="TC", "LOCAL",
    TRUE, "SEA"
)</f>
        <v>AIR</v>
      </c>
      <c r="O66" s="260">
        <f t="shared" si="4"/>
        <v>15.116015418335726</v>
      </c>
      <c r="P66" s="184" t="s">
        <v>927</v>
      </c>
      <c r="Q66" s="185">
        <v>108279340410</v>
      </c>
      <c r="R66" s="186">
        <v>46168</v>
      </c>
      <c r="S66" s="187" t="s">
        <v>928</v>
      </c>
      <c r="T66" s="188">
        <v>28</v>
      </c>
      <c r="U66" s="188"/>
      <c r="V66" s="189">
        <v>400000</v>
      </c>
      <c r="W66" s="190"/>
      <c r="X66" s="190"/>
      <c r="Y66" s="190"/>
      <c r="Z66" s="189">
        <f t="shared" si="0"/>
        <v>400000</v>
      </c>
      <c r="AA66" s="189">
        <v>0</v>
      </c>
      <c r="AB66" s="189">
        <f t="shared" si="5"/>
        <v>400000</v>
      </c>
      <c r="AC66" s="189"/>
      <c r="AD66" s="190"/>
      <c r="AE66" s="190"/>
      <c r="AF66" s="191">
        <f t="shared" si="1"/>
        <v>0</v>
      </c>
      <c r="AG66" s="190">
        <f t="shared" si="2"/>
        <v>400000</v>
      </c>
      <c r="AH66" s="190"/>
      <c r="AI66" s="192" t="str">
        <f>VLOOKUP(Q66,[3]Sheet1!B$11:G$1489,6,0)</f>
        <v>E11</v>
      </c>
      <c r="GK66" s="194"/>
      <c r="GL66" s="195"/>
      <c r="GM66" s="196"/>
      <c r="GN66" s="197"/>
      <c r="GO66" s="198"/>
      <c r="GP66" s="199"/>
      <c r="GQ66" s="200"/>
      <c r="GR66" s="201"/>
      <c r="GS66" s="60"/>
      <c r="GT66" s="202"/>
      <c r="GU66" s="202"/>
      <c r="GV66" s="202"/>
      <c r="GW66" s="202"/>
      <c r="GX66" s="203"/>
      <c r="HA66" s="194"/>
      <c r="HB66" s="195"/>
      <c r="HC66" s="196"/>
      <c r="HD66" s="197"/>
      <c r="HE66" s="198"/>
      <c r="HF66" s="199"/>
      <c r="HG66" s="200"/>
      <c r="HH66" s="201"/>
      <c r="HI66" s="60"/>
      <c r="HJ66" s="202"/>
      <c r="HK66" s="202"/>
      <c r="HL66" s="202"/>
      <c r="HM66" s="202"/>
      <c r="HN66" s="203"/>
    </row>
    <row r="67" spans="1:222" ht="16.5" customHeight="1">
      <c r="A67" s="181">
        <v>64</v>
      </c>
      <c r="B67" s="182">
        <v>380734997890</v>
      </c>
      <c r="C67" s="183" t="s">
        <v>2290</v>
      </c>
      <c r="D67" s="184" t="s">
        <v>1702</v>
      </c>
      <c r="E67" s="184" t="str">
        <f t="shared" si="3"/>
        <v>Import</v>
      </c>
      <c r="F67" s="720" t="str" cm="1">
        <f t="array" ref="F67">_xlfn.IFS(
  OR(AI67="E11", AI67="E15"), "Raw materials",
  OR(AI67="E13", AI67="G13"), "Equipments + Toolings",
  TRUE, RIGHT(C67, 8)
)</f>
        <v>Raw materials</v>
      </c>
      <c r="G67" s="541" t="str" cm="1">
        <f t="array" ref="G67">IF(E67="Import",
  IFERROR(
    _xlfn.IFS(
      VLOOKUP(B67,[1]Material!F$5:U$90000,16,0)="LUC","Lucid",
      VLOOKUP(B67,[1]Material!F$5:U$90000,16,0)="FMC","FORD",
      OR(VLOOKUP(B67,[1]Material!F$5:U$90000,16,0)="PUR",VLOOKUP(B67,[1]Material!F$5:U$90000,16,0)="HLO"),"PURE",
      VLOOKUP(B67,[1]Material!F$5:U$90000,16,0)="AIC","AIC",
      OR(VLOOKUP(B67,[1]Material!F$5:U$90000,16,0)="AGI",VLOOKUP(B67,[1]Material!F$5:U$90000,16,0)="AGIGA"),"AGIGA",
      OR(LEFT(VLOOKUP(B67,[1]Material!F$5:U$90000,16,0),3)="EF-",VLOOKUP(B67,[1]Material!F$5:U$90000,16,0)="EFI"),"EFI",
      AND(ISNUMBER(VLOOKUP(B67,[1]Material!F$5:U$90000,16,0)),VLOOKUP(B67,[1]Material!F$5:U$90000,16,0)&gt;=100,VLOOKUP(B67,[1]Material!F$5:U$90000,16,0)&lt;=999,VLOOKUP(B67,[1]Material!F$5:U$90000,16,0)=INT(VLOOKUP(B67,[1]Material!F$5:U$90000,16,0))),"OEM",
      TRUE,""
    ),
    "không tìm thấy trong file Import"
  ),
  VLOOKUP(F67,'[2]Export shipment'!B:Y,24,0)
)</f>
        <v>Lucid</v>
      </c>
      <c r="H67" s="184"/>
      <c r="I67" s="184"/>
      <c r="J67" s="260">
        <f>(V67+X67+AA67)/'Logistics record '!$AD$1</f>
        <v>15.116015418335726</v>
      </c>
      <c r="K67" s="260">
        <f>W67/'Logistics record '!$AD$1</f>
        <v>0</v>
      </c>
      <c r="L67" s="260">
        <f>Y67/'Logistics record '!$AD$1</f>
        <v>0</v>
      </c>
      <c r="M67" s="260">
        <f>AF67/'Logistics record '!$AD$1</f>
        <v>0</v>
      </c>
      <c r="N67" s="260" t="str" cm="1">
        <f t="array" ref="N67">_xlfn.IFS(
    OR(UPPER(S67)="AIR", UPPER(S67)="CPN"), "AIR",
    UPPER(S67)="TC", "LOCAL",
    TRUE, "SEA"
)</f>
        <v>AIR</v>
      </c>
      <c r="O67" s="260">
        <f t="shared" si="4"/>
        <v>15.116015418335726</v>
      </c>
      <c r="P67" s="184" t="s">
        <v>937</v>
      </c>
      <c r="Q67" s="185">
        <v>108279353560</v>
      </c>
      <c r="R67" s="186">
        <v>46168</v>
      </c>
      <c r="S67" s="187" t="s">
        <v>928</v>
      </c>
      <c r="T67" s="188">
        <v>1</v>
      </c>
      <c r="U67" s="188"/>
      <c r="V67" s="189">
        <v>400000</v>
      </c>
      <c r="W67" s="190"/>
      <c r="X67" s="190"/>
      <c r="Y67" s="190"/>
      <c r="Z67" s="189">
        <f t="shared" si="0"/>
        <v>400000</v>
      </c>
      <c r="AA67" s="189">
        <v>0</v>
      </c>
      <c r="AB67" s="189">
        <f t="shared" si="5"/>
        <v>400000</v>
      </c>
      <c r="AC67" s="189"/>
      <c r="AD67" s="190"/>
      <c r="AE67" s="190"/>
      <c r="AF67" s="191">
        <f t="shared" si="1"/>
        <v>0</v>
      </c>
      <c r="AG67" s="190">
        <f t="shared" si="2"/>
        <v>400000</v>
      </c>
      <c r="AH67" s="190"/>
      <c r="AI67" s="192" t="str">
        <f>VLOOKUP(Q67,[3]Sheet1!B$11:G$1489,6,0)</f>
        <v>E11</v>
      </c>
      <c r="GK67" s="194"/>
      <c r="GL67" s="195"/>
      <c r="GM67" s="196"/>
      <c r="GN67" s="197"/>
      <c r="GO67" s="198"/>
      <c r="GP67" s="199"/>
      <c r="GQ67" s="200"/>
      <c r="GR67" s="201"/>
      <c r="GS67" s="60"/>
      <c r="GT67" s="202"/>
      <c r="GU67" s="202"/>
      <c r="GV67" s="202"/>
      <c r="GW67" s="202"/>
      <c r="GX67" s="203"/>
      <c r="HA67" s="194"/>
      <c r="HB67" s="195"/>
      <c r="HC67" s="196"/>
      <c r="HD67" s="197"/>
      <c r="HE67" s="198"/>
      <c r="HF67" s="199"/>
      <c r="HG67" s="200"/>
      <c r="HH67" s="201"/>
      <c r="HI67" s="60"/>
      <c r="HJ67" s="202"/>
      <c r="HK67" s="202"/>
      <c r="HL67" s="202"/>
      <c r="HM67" s="202"/>
      <c r="HN67" s="203"/>
    </row>
    <row r="68" spans="1:222" ht="16.5" customHeight="1">
      <c r="A68" s="181">
        <v>65</v>
      </c>
      <c r="B68" s="182">
        <v>494686583305</v>
      </c>
      <c r="C68" s="183" t="s">
        <v>2291</v>
      </c>
      <c r="D68" s="184" t="s">
        <v>523</v>
      </c>
      <c r="E68" s="184" t="str">
        <f t="shared" si="3"/>
        <v>Import</v>
      </c>
      <c r="F68" s="720" t="str" cm="1">
        <f t="array" ref="F68">_xlfn.IFS(
  OR(AI68="E11", AI68="E15"), "Raw materials",
  OR(AI68="E13", AI68="G13"), "Equipments + Toolings",
  TRUE, RIGHT(C68, 8)
)</f>
        <v>Raw materials</v>
      </c>
      <c r="G68" s="541" t="str" cm="1">
        <f t="array" ref="G68">IF(E68="Import",
  IFERROR(
    _xlfn.IFS(
      VLOOKUP(B68,[1]Material!F$5:U$90000,16,0)="LUC","Lucid",
      VLOOKUP(B68,[1]Material!F$5:U$90000,16,0)="FMC","FORD",
      OR(VLOOKUP(B68,[1]Material!F$5:U$90000,16,0)="PUR",VLOOKUP(B68,[1]Material!F$5:U$90000,16,0)="HLO"),"PURE",
      VLOOKUP(B68,[1]Material!F$5:U$90000,16,0)="AIC","AIC",
      OR(VLOOKUP(B68,[1]Material!F$5:U$90000,16,0)="AGI",VLOOKUP(B68,[1]Material!F$5:U$90000,16,0)="AGIGA"),"AGIGA",
      OR(LEFT(VLOOKUP(B68,[1]Material!F$5:U$90000,16,0),3)="EF-",VLOOKUP(B68,[1]Material!F$5:U$90000,16,0)="EFI"),"EFI",
      AND(ISNUMBER(VLOOKUP(B68,[1]Material!F$5:U$90000,16,0)),VLOOKUP(B68,[1]Material!F$5:U$90000,16,0)&gt;=100,VLOOKUP(B68,[1]Material!F$5:U$90000,16,0)&lt;=999,VLOOKUP(B68,[1]Material!F$5:U$90000,16,0)=INT(VLOOKUP(B68,[1]Material!F$5:U$90000,16,0))),"OEM",
      TRUE,""
    ),
    "không tìm thấy trong file Import"
  ),
  VLOOKUP(F68,'[2]Export shipment'!B:Y,24,0)
)</f>
        <v>EFI</v>
      </c>
      <c r="H68" s="184"/>
      <c r="I68" s="184"/>
      <c r="J68" s="260">
        <f>(V68+X68+AA68)/'Logistics record '!$AD$1</f>
        <v>15.116015418335726</v>
      </c>
      <c r="K68" s="260">
        <f>W68/'Logistics record '!$AD$1</f>
        <v>0</v>
      </c>
      <c r="L68" s="260">
        <f>Y68/'Logistics record '!$AD$1</f>
        <v>0</v>
      </c>
      <c r="M68" s="260">
        <f>AF68/'Logistics record '!$AD$1</f>
        <v>0</v>
      </c>
      <c r="N68" s="260" t="str" cm="1">
        <f t="array" ref="N68">_xlfn.IFS(
    OR(UPPER(S68)="AIR", UPPER(S68)="CPN"), "AIR",
    UPPER(S68)="TC", "LOCAL",
    TRUE, "SEA"
)</f>
        <v>AIR</v>
      </c>
      <c r="O68" s="260">
        <f t="shared" si="4"/>
        <v>15.116015418335726</v>
      </c>
      <c r="P68" s="184" t="s">
        <v>931</v>
      </c>
      <c r="Q68" s="185">
        <v>108279462320</v>
      </c>
      <c r="R68" s="186">
        <v>46168</v>
      </c>
      <c r="S68" s="187" t="s">
        <v>928</v>
      </c>
      <c r="T68" s="188">
        <v>15.5</v>
      </c>
      <c r="U68" s="188"/>
      <c r="V68" s="189">
        <v>400000</v>
      </c>
      <c r="W68" s="190"/>
      <c r="X68" s="190"/>
      <c r="Y68" s="190"/>
      <c r="Z68" s="189">
        <f t="shared" ref="Z68:Z131" si="6">SUM(V68:Y68)</f>
        <v>400000</v>
      </c>
      <c r="AA68" s="189">
        <v>0</v>
      </c>
      <c r="AB68" s="189">
        <f t="shared" si="5"/>
        <v>400000</v>
      </c>
      <c r="AC68" s="189"/>
      <c r="AD68" s="190"/>
      <c r="AE68" s="190"/>
      <c r="AF68" s="191">
        <f t="shared" ref="AF68:AF131" si="7">+SUM(AC68:AE68)</f>
        <v>0</v>
      </c>
      <c r="AG68" s="190">
        <f t="shared" ref="AG68:AG131" si="8">+AF68+AB68</f>
        <v>400000</v>
      </c>
      <c r="AH68" s="190"/>
      <c r="AI68" s="192" t="str">
        <f>VLOOKUP(Q68,[3]Sheet1!B$11:G$1489,6,0)</f>
        <v>E11</v>
      </c>
      <c r="GK68" s="194"/>
      <c r="GL68" s="195"/>
      <c r="GM68" s="196"/>
      <c r="GN68" s="197"/>
      <c r="GO68" s="198"/>
      <c r="GP68" s="199"/>
      <c r="GQ68" s="200"/>
      <c r="GR68" s="201"/>
      <c r="GS68" s="60"/>
      <c r="GT68" s="202"/>
      <c r="GU68" s="202"/>
      <c r="GV68" s="202"/>
      <c r="GW68" s="202"/>
      <c r="GX68" s="203"/>
      <c r="HA68" s="194"/>
      <c r="HB68" s="195"/>
      <c r="HC68" s="196"/>
      <c r="HD68" s="197"/>
      <c r="HE68" s="198"/>
      <c r="HF68" s="199"/>
      <c r="HG68" s="200"/>
      <c r="HH68" s="201"/>
      <c r="HI68" s="60"/>
      <c r="HJ68" s="202"/>
      <c r="HK68" s="202"/>
      <c r="HL68" s="202"/>
      <c r="HM68" s="202"/>
      <c r="HN68" s="203"/>
    </row>
    <row r="69" spans="1:222" ht="16.5" customHeight="1">
      <c r="A69" s="181">
        <v>66</v>
      </c>
      <c r="B69" s="182">
        <v>483570646131</v>
      </c>
      <c r="C69" s="183" t="s">
        <v>2292</v>
      </c>
      <c r="D69" s="184" t="s">
        <v>110</v>
      </c>
      <c r="E69" s="184" t="str">
        <f t="shared" ref="E69:E132" si="9">IF(OR(AI69="E11", AI69="E13", AI69="E15", AI69="G13"), "Import", "Export")</f>
        <v>Import</v>
      </c>
      <c r="F69" s="720" t="str" cm="1">
        <f t="array" ref="F69">_xlfn.IFS(
  OR(AI69="E11", AI69="E15"), "Raw materials",
  OR(AI69="E13", AI69="G13"), "Equipments + Toolings",
  TRUE, RIGHT(C69, 8)
)</f>
        <v>Raw materials</v>
      </c>
      <c r="G69" s="541" t="s">
        <v>76</v>
      </c>
      <c r="H69" s="184"/>
      <c r="I69" s="184"/>
      <c r="J69" s="260">
        <f>(V69+X69+AA69)/'Logistics record '!$AD$1</f>
        <v>15.116015418335726</v>
      </c>
      <c r="K69" s="260">
        <f>W69/'Logistics record '!$AD$1</f>
        <v>0</v>
      </c>
      <c r="L69" s="260">
        <f>Y69/'Logistics record '!$AD$1</f>
        <v>0</v>
      </c>
      <c r="M69" s="260">
        <f>AF69/'Logistics record '!$AD$1</f>
        <v>0</v>
      </c>
      <c r="N69" s="260" t="str" cm="1">
        <f t="array" ref="N69">_xlfn.IFS(
    OR(UPPER(S69)="AIR", UPPER(S69)="CPN"), "AIR",
    UPPER(S69)="TC", "LOCAL",
    TRUE, "SEA"
)</f>
        <v>AIR</v>
      </c>
      <c r="O69" s="260">
        <f t="shared" ref="O69:O132" si="10">M69+L69+K69+J69</f>
        <v>15.116015418335726</v>
      </c>
      <c r="P69" s="184" t="s">
        <v>935</v>
      </c>
      <c r="Q69" s="185">
        <v>108279626340</v>
      </c>
      <c r="R69" s="186">
        <v>46168</v>
      </c>
      <c r="S69" s="187" t="s">
        <v>928</v>
      </c>
      <c r="T69" s="188">
        <v>50.3</v>
      </c>
      <c r="U69" s="188"/>
      <c r="V69" s="189">
        <v>400000</v>
      </c>
      <c r="W69" s="190"/>
      <c r="X69" s="190"/>
      <c r="Y69" s="190"/>
      <c r="Z69" s="189">
        <f t="shared" si="6"/>
        <v>400000</v>
      </c>
      <c r="AA69" s="189">
        <v>0</v>
      </c>
      <c r="AB69" s="189">
        <f t="shared" ref="AB69:AB132" si="11">+AA69+Z69</f>
        <v>400000</v>
      </c>
      <c r="AC69" s="189"/>
      <c r="AD69" s="190"/>
      <c r="AE69" s="190"/>
      <c r="AF69" s="191">
        <f t="shared" si="7"/>
        <v>0</v>
      </c>
      <c r="AG69" s="190">
        <f t="shared" si="8"/>
        <v>400000</v>
      </c>
      <c r="AH69" s="190"/>
      <c r="AI69" s="192" t="str">
        <f>VLOOKUP(Q69,[3]Sheet1!B$11:G$1489,6,0)</f>
        <v>E11</v>
      </c>
      <c r="GK69" s="194"/>
      <c r="GL69" s="195"/>
      <c r="GM69" s="196"/>
      <c r="GN69" s="197"/>
      <c r="GO69" s="198"/>
      <c r="GP69" s="199"/>
      <c r="GQ69" s="200"/>
      <c r="GR69" s="201"/>
      <c r="GS69" s="60"/>
      <c r="GT69" s="202"/>
      <c r="GU69" s="202"/>
      <c r="GV69" s="202"/>
      <c r="GW69" s="202"/>
      <c r="GX69" s="203"/>
      <c r="HA69" s="194"/>
      <c r="HB69" s="195"/>
      <c r="HC69" s="196"/>
      <c r="HD69" s="197"/>
      <c r="HE69" s="198"/>
      <c r="HF69" s="199"/>
      <c r="HG69" s="200"/>
      <c r="HH69" s="201"/>
      <c r="HI69" s="60"/>
      <c r="HJ69" s="202"/>
      <c r="HK69" s="202"/>
      <c r="HL69" s="202"/>
      <c r="HM69" s="202"/>
      <c r="HN69" s="203"/>
    </row>
    <row r="70" spans="1:222" ht="16.5" customHeight="1">
      <c r="A70" s="181">
        <v>67</v>
      </c>
      <c r="B70" s="182">
        <v>2189144263</v>
      </c>
      <c r="C70" s="598" t="s">
        <v>2293</v>
      </c>
      <c r="D70" s="184" t="s">
        <v>1810</v>
      </c>
      <c r="E70" s="184" t="str">
        <f t="shared" si="9"/>
        <v>Import</v>
      </c>
      <c r="F70" s="720" t="str" cm="1">
        <f t="array" ref="F70">_xlfn.IFS(
  OR(AI70="E11", AI70="E15"), "Raw materials",
  OR(AI70="E13", AI70="G13"), "Equipments + Toolings",
  TRUE, RIGHT(C70, 8)
)</f>
        <v>Raw materials</v>
      </c>
      <c r="G70" s="541" t="str" cm="1">
        <f t="array" ref="G70">IF(E70="Import",
  IFERROR(
    _xlfn.IFS(
      VLOOKUP(B70,[1]Material!F$5:U$90000,16,0)="LUC","Lucid",
      VLOOKUP(B70,[1]Material!F$5:U$90000,16,0)="FMC","FORD",
      OR(VLOOKUP(B70,[1]Material!F$5:U$90000,16,0)="PUR",VLOOKUP(B70,[1]Material!F$5:U$90000,16,0)="HLO"),"PURE",
      VLOOKUP(B70,[1]Material!F$5:U$90000,16,0)="AIC","AIC",
      OR(VLOOKUP(B70,[1]Material!F$5:U$90000,16,0)="AGI",VLOOKUP(B70,[1]Material!F$5:U$90000,16,0)="AGIGA"),"AGIGA",
      OR(LEFT(VLOOKUP(B70,[1]Material!F$5:U$90000,16,0),3)="EF-",VLOOKUP(B70,[1]Material!F$5:U$90000,16,0)="EFI"),"EFI",
      AND(ISNUMBER(VLOOKUP(B70,[1]Material!F$5:U$90000,16,0)),VLOOKUP(B70,[1]Material!F$5:U$90000,16,0)&gt;=100,VLOOKUP(B70,[1]Material!F$5:U$90000,16,0)&lt;=999,VLOOKUP(B70,[1]Material!F$5:U$90000,16,0)=INT(VLOOKUP(B70,[1]Material!F$5:U$90000,16,0))),"OEM",
      TRUE,""
    ),
    "không tìm thấy trong file Import"
  ),
  VLOOKUP(F70,'[2]Export shipment'!B:Y,24,0)
)</f>
        <v>EFI</v>
      </c>
      <c r="H70" s="184"/>
      <c r="I70" s="184"/>
      <c r="J70" s="260">
        <f>(V70+X70+AA70)/'Logistics record '!$AD$1</f>
        <v>15.116015418335726</v>
      </c>
      <c r="K70" s="260">
        <f>W70/'Logistics record '!$AD$1</f>
        <v>0</v>
      </c>
      <c r="L70" s="260">
        <f>Y70/'Logistics record '!$AD$1</f>
        <v>0</v>
      </c>
      <c r="M70" s="260">
        <f>AF70/'Logistics record '!$AD$1</f>
        <v>0</v>
      </c>
      <c r="N70" s="260" t="str" cm="1">
        <f t="array" ref="N70">_xlfn.IFS(
    OR(UPPER(S70)="AIR", UPPER(S70)="CPN"), "AIR",
    UPPER(S70)="TC", "LOCAL",
    TRUE, "SEA"
)</f>
        <v>AIR</v>
      </c>
      <c r="O70" s="260">
        <f t="shared" si="10"/>
        <v>15.116015418335726</v>
      </c>
      <c r="P70" s="184" t="s">
        <v>931</v>
      </c>
      <c r="Q70" s="185">
        <v>108279739520</v>
      </c>
      <c r="R70" s="186">
        <v>46168</v>
      </c>
      <c r="S70" s="187" t="s">
        <v>928</v>
      </c>
      <c r="T70" s="188">
        <v>0.70000000000000007</v>
      </c>
      <c r="U70" s="188"/>
      <c r="V70" s="189">
        <v>400000</v>
      </c>
      <c r="W70" s="190"/>
      <c r="X70" s="190"/>
      <c r="Y70" s="190"/>
      <c r="Z70" s="189">
        <f t="shared" si="6"/>
        <v>400000</v>
      </c>
      <c r="AA70" s="189">
        <v>0</v>
      </c>
      <c r="AB70" s="189">
        <f t="shared" si="11"/>
        <v>400000</v>
      </c>
      <c r="AC70" s="189"/>
      <c r="AD70" s="190"/>
      <c r="AE70" s="190"/>
      <c r="AF70" s="191">
        <f t="shared" si="7"/>
        <v>0</v>
      </c>
      <c r="AG70" s="190">
        <f t="shared" si="8"/>
        <v>400000</v>
      </c>
      <c r="AH70" s="190"/>
      <c r="AI70" s="192" t="str">
        <f>VLOOKUP(Q70,[3]Sheet1!B$11:G$1489,6,0)</f>
        <v>E11</v>
      </c>
      <c r="GK70" s="194"/>
      <c r="GL70" s="195"/>
      <c r="GM70" s="196"/>
      <c r="GN70" s="197"/>
      <c r="GO70" s="198"/>
      <c r="GP70" s="199"/>
      <c r="GQ70" s="200"/>
      <c r="GR70" s="201"/>
      <c r="GS70" s="60"/>
      <c r="GT70" s="202"/>
      <c r="GU70" s="202"/>
      <c r="GV70" s="202"/>
      <c r="GW70" s="202"/>
      <c r="GX70" s="203"/>
      <c r="HA70" s="194"/>
      <c r="HB70" s="195"/>
      <c r="HC70" s="196"/>
      <c r="HD70" s="197"/>
      <c r="HE70" s="198"/>
      <c r="HF70" s="199"/>
      <c r="HG70" s="200"/>
      <c r="HH70" s="201"/>
      <c r="HI70" s="60"/>
      <c r="HJ70" s="202"/>
      <c r="HK70" s="202"/>
      <c r="HL70" s="202"/>
      <c r="HM70" s="202"/>
      <c r="HN70" s="203"/>
    </row>
    <row r="71" spans="1:222" ht="16.5" customHeight="1">
      <c r="A71" s="181">
        <v>68</v>
      </c>
      <c r="B71" s="182" t="s">
        <v>2294</v>
      </c>
      <c r="C71" s="183" t="s">
        <v>2295</v>
      </c>
      <c r="D71" s="184" t="s">
        <v>973</v>
      </c>
      <c r="E71" s="184" t="str">
        <f t="shared" si="9"/>
        <v>Import</v>
      </c>
      <c r="F71" s="720" t="str" cm="1">
        <f t="array" ref="F71">_xlfn.IFS(
  OR(AI71="E11", AI71="E15"), "Raw materials",
  OR(AI71="E13", AI71="G13"), "Equipments + Toolings",
  TRUE, RIGHT(C71, 8)
)</f>
        <v>Raw materials</v>
      </c>
      <c r="G71" s="541" t="str" cm="1">
        <f t="array" ref="G71">IF(E71="Import",
  IFERROR(
    _xlfn.IFS(
      VLOOKUP(B71,[1]Material!F$5:U$90000,16,0)="LUC","Lucid",
      VLOOKUP(B71,[1]Material!F$5:U$90000,16,0)="FMC","FORD",
      OR(VLOOKUP(B71,[1]Material!F$5:U$90000,16,0)="PUR",VLOOKUP(B71,[1]Material!F$5:U$90000,16,0)="HLO"),"PURE",
      VLOOKUP(B71,[1]Material!F$5:U$90000,16,0)="AIC","AIC",
      OR(VLOOKUP(B71,[1]Material!F$5:U$90000,16,0)="AGI",VLOOKUP(B71,[1]Material!F$5:U$90000,16,0)="AGIGA"),"AGIGA",
      OR(LEFT(VLOOKUP(B71,[1]Material!F$5:U$90000,16,0),3)="EF-",VLOOKUP(B71,[1]Material!F$5:U$90000,16,0)="EFI"),"EFI",
      AND(ISNUMBER(VLOOKUP(B71,[1]Material!F$5:U$90000,16,0)),VLOOKUP(B71,[1]Material!F$5:U$90000,16,0)&gt;=100,VLOOKUP(B71,[1]Material!F$5:U$90000,16,0)&lt;=999,VLOOKUP(B71,[1]Material!F$5:U$90000,16,0)=INT(VLOOKUP(B71,[1]Material!F$5:U$90000,16,0))),"OEM",
      TRUE,""
    ),
    "không tìm thấy trong file Import"
  ),
  VLOOKUP(F71,'[2]Export shipment'!B:Y,24,0)
)</f>
        <v>PURE</v>
      </c>
      <c r="H71" s="184"/>
      <c r="I71" s="184"/>
      <c r="J71" s="260">
        <f>(V71+X71+AA71)/'Logistics record '!$AD$1</f>
        <v>15.116015418335726</v>
      </c>
      <c r="K71" s="260">
        <f>W71/'Logistics record '!$AD$1</f>
        <v>0</v>
      </c>
      <c r="L71" s="260">
        <f>Y71/'Logistics record '!$AD$1</f>
        <v>0</v>
      </c>
      <c r="M71" s="260">
        <f>AF71/'Logistics record '!$AD$1</f>
        <v>0</v>
      </c>
      <c r="N71" s="260" t="str" cm="1">
        <f t="array" ref="N71">_xlfn.IFS(
    OR(UPPER(S71)="AIR", UPPER(S71)="CPN"), "AIR",
    UPPER(S71)="TC", "LOCAL",
    TRUE, "SEA"
)</f>
        <v>AIR</v>
      </c>
      <c r="O71" s="260">
        <f t="shared" si="10"/>
        <v>15.116015418335726</v>
      </c>
      <c r="P71" s="184" t="s">
        <v>937</v>
      </c>
      <c r="Q71" s="185">
        <v>108280003900</v>
      </c>
      <c r="R71" s="186">
        <v>46168</v>
      </c>
      <c r="S71" s="187" t="s">
        <v>65</v>
      </c>
      <c r="T71" s="188">
        <v>67</v>
      </c>
      <c r="U71" s="188"/>
      <c r="V71" s="189">
        <v>400000</v>
      </c>
      <c r="W71" s="190"/>
      <c r="X71" s="190"/>
      <c r="Y71" s="190"/>
      <c r="Z71" s="189">
        <f t="shared" si="6"/>
        <v>400000</v>
      </c>
      <c r="AA71" s="189">
        <v>0</v>
      </c>
      <c r="AB71" s="189">
        <f t="shared" si="11"/>
        <v>400000</v>
      </c>
      <c r="AC71" s="189"/>
      <c r="AD71" s="190"/>
      <c r="AE71" s="190"/>
      <c r="AF71" s="191">
        <f t="shared" si="7"/>
        <v>0</v>
      </c>
      <c r="AG71" s="190">
        <f t="shared" si="8"/>
        <v>400000</v>
      </c>
      <c r="AH71" s="190"/>
      <c r="AI71" s="192" t="str">
        <f>VLOOKUP(Q71,[3]Sheet1!B$11:G$1489,6,0)</f>
        <v>E11</v>
      </c>
      <c r="GK71" s="194"/>
      <c r="GL71" s="195"/>
      <c r="GM71" s="196"/>
      <c r="GN71" s="197"/>
      <c r="GO71" s="198"/>
      <c r="GP71" s="199"/>
      <c r="GQ71" s="200"/>
      <c r="GR71" s="201"/>
      <c r="GS71" s="60"/>
      <c r="GT71" s="202"/>
      <c r="GU71" s="202"/>
      <c r="GV71" s="202"/>
      <c r="GW71" s="202"/>
      <c r="GX71" s="203"/>
      <c r="HA71" s="194"/>
      <c r="HB71" s="195"/>
      <c r="HC71" s="196"/>
      <c r="HD71" s="197"/>
      <c r="HE71" s="198"/>
      <c r="HF71" s="199"/>
      <c r="HG71" s="200"/>
      <c r="HH71" s="201"/>
      <c r="HI71" s="60"/>
      <c r="HJ71" s="202"/>
      <c r="HK71" s="202"/>
      <c r="HL71" s="202"/>
      <c r="HM71" s="202"/>
      <c r="HN71" s="203"/>
    </row>
    <row r="72" spans="1:222" ht="16.5" customHeight="1">
      <c r="A72" s="181">
        <v>69</v>
      </c>
      <c r="B72" s="182">
        <v>9779973022</v>
      </c>
      <c r="C72" s="183" t="s">
        <v>2296</v>
      </c>
      <c r="D72" s="184" t="s">
        <v>2297</v>
      </c>
      <c r="E72" s="184" t="str">
        <f t="shared" si="9"/>
        <v>Import</v>
      </c>
      <c r="F72" s="720" t="str" cm="1">
        <f t="array" ref="F72">_xlfn.IFS(
  OR(AI72="E11", AI72="E15"), "Raw materials",
  OR(AI72="E13", AI72="G13"), "Equipments + Toolings",
  TRUE, RIGHT(C72, 8)
)</f>
        <v>Raw materials</v>
      </c>
      <c r="G72" s="541" t="str" cm="1">
        <f t="array" ref="G72">IF(E72="Import",
  IFERROR(
    _xlfn.IFS(
      VLOOKUP(B72,[1]Material!F$5:U$90000,16,0)="LUC","Lucid",
      VLOOKUP(B72,[1]Material!F$5:U$90000,16,0)="FMC","FORD",
      OR(VLOOKUP(B72,[1]Material!F$5:U$90000,16,0)="PUR",VLOOKUP(B72,[1]Material!F$5:U$90000,16,0)="HLO"),"PURE",
      VLOOKUP(B72,[1]Material!F$5:U$90000,16,0)="AIC","AIC",
      OR(VLOOKUP(B72,[1]Material!F$5:U$90000,16,0)="AGI",VLOOKUP(B72,[1]Material!F$5:U$90000,16,0)="AGIGA"),"AGIGA",
      OR(LEFT(VLOOKUP(B72,[1]Material!F$5:U$90000,16,0),3)="EF-",VLOOKUP(B72,[1]Material!F$5:U$90000,16,0)="EFI"),"EFI",
      AND(ISNUMBER(VLOOKUP(B72,[1]Material!F$5:U$90000,16,0)),VLOOKUP(B72,[1]Material!F$5:U$90000,16,0)&gt;=100,VLOOKUP(B72,[1]Material!F$5:U$90000,16,0)&lt;=999,VLOOKUP(B72,[1]Material!F$5:U$90000,16,0)=INT(VLOOKUP(B72,[1]Material!F$5:U$90000,16,0))),"OEM",
      TRUE,""
    ),
    "không tìm thấy trong file Import"
  ),
  VLOOKUP(F72,'[2]Export shipment'!B:Y,24,0)
)</f>
        <v>OEM</v>
      </c>
      <c r="H72" s="184"/>
      <c r="I72" s="184"/>
      <c r="J72" s="260">
        <f>(V72+X72+AA72)/'Logistics record '!$AD$1</f>
        <v>15.116015418335726</v>
      </c>
      <c r="K72" s="260">
        <f>W72/'Logistics record '!$AD$1</f>
        <v>0</v>
      </c>
      <c r="L72" s="260">
        <f>Y72/'Logistics record '!$AD$1</f>
        <v>0</v>
      </c>
      <c r="M72" s="260">
        <f>AF72/'Logistics record '!$AD$1</f>
        <v>0</v>
      </c>
      <c r="N72" s="260" t="str" cm="1">
        <f t="array" ref="N72">_xlfn.IFS(
    OR(UPPER(S72)="AIR", UPPER(S72)="CPN"), "AIR",
    UPPER(S72)="TC", "LOCAL",
    TRUE, "SEA"
)</f>
        <v>AIR</v>
      </c>
      <c r="O72" s="260">
        <f t="shared" si="10"/>
        <v>15.116015418335726</v>
      </c>
      <c r="P72" s="184" t="s">
        <v>932</v>
      </c>
      <c r="Q72" s="185">
        <v>108280052160</v>
      </c>
      <c r="R72" s="186">
        <v>46168</v>
      </c>
      <c r="S72" s="187" t="s">
        <v>928</v>
      </c>
      <c r="T72" s="188">
        <v>46.1</v>
      </c>
      <c r="U72" s="188"/>
      <c r="V72" s="189">
        <v>400000</v>
      </c>
      <c r="W72" s="190"/>
      <c r="X72" s="190"/>
      <c r="Y72" s="190"/>
      <c r="Z72" s="189">
        <f t="shared" si="6"/>
        <v>400000</v>
      </c>
      <c r="AA72" s="189">
        <v>0</v>
      </c>
      <c r="AB72" s="189">
        <f t="shared" si="11"/>
        <v>400000</v>
      </c>
      <c r="AC72" s="189"/>
      <c r="AD72" s="190"/>
      <c r="AE72" s="190"/>
      <c r="AF72" s="191">
        <f t="shared" si="7"/>
        <v>0</v>
      </c>
      <c r="AG72" s="190">
        <f t="shared" si="8"/>
        <v>400000</v>
      </c>
      <c r="AH72" s="190"/>
      <c r="AI72" s="192" t="str">
        <f>VLOOKUP(Q72,[3]Sheet1!B$11:G$1489,6,0)</f>
        <v>E11</v>
      </c>
      <c r="GK72" s="194"/>
      <c r="GL72" s="195"/>
      <c r="GM72" s="196"/>
      <c r="GN72" s="197"/>
      <c r="GO72" s="198"/>
      <c r="GP72" s="199"/>
      <c r="GQ72" s="200"/>
      <c r="GR72" s="201"/>
      <c r="GS72" s="60"/>
      <c r="GT72" s="202"/>
      <c r="GU72" s="202"/>
      <c r="GV72" s="202"/>
      <c r="GW72" s="202"/>
      <c r="GX72" s="203"/>
      <c r="HA72" s="194"/>
      <c r="HB72" s="195"/>
      <c r="HC72" s="196"/>
      <c r="HD72" s="197"/>
      <c r="HE72" s="198"/>
      <c r="HF72" s="199"/>
      <c r="HG72" s="200"/>
      <c r="HH72" s="201"/>
      <c r="HI72" s="60"/>
      <c r="HJ72" s="202"/>
      <c r="HK72" s="202"/>
      <c r="HL72" s="202"/>
      <c r="HM72" s="202"/>
      <c r="HN72" s="203"/>
    </row>
    <row r="73" spans="1:222" ht="16.5" customHeight="1">
      <c r="A73" s="181">
        <v>70</v>
      </c>
      <c r="B73" s="182">
        <v>381371161854</v>
      </c>
      <c r="C73" s="598" t="s">
        <v>2298</v>
      </c>
      <c r="D73" s="184" t="s">
        <v>958</v>
      </c>
      <c r="E73" s="184" t="str">
        <f t="shared" si="9"/>
        <v>Import</v>
      </c>
      <c r="F73" s="720" t="str" cm="1">
        <f t="array" ref="F73">_xlfn.IFS(
  OR(AI73="E11", AI73="E15"), "Raw materials",
  OR(AI73="E13", AI73="G13"), "Equipments + Toolings",
  TRUE, RIGHT(C73, 8)
)</f>
        <v>Raw materials</v>
      </c>
      <c r="G73" s="541" t="str" cm="1">
        <f t="array" ref="G73">IF(E73="Import",
  IFERROR(
    _xlfn.IFS(
      VLOOKUP(B73,[1]Material!F$5:U$90000,16,0)="LUC","Lucid",
      VLOOKUP(B73,[1]Material!F$5:U$90000,16,0)="FMC","FORD",
      OR(VLOOKUP(B73,[1]Material!F$5:U$90000,16,0)="PUR",VLOOKUP(B73,[1]Material!F$5:U$90000,16,0)="HLO"),"PURE",
      VLOOKUP(B73,[1]Material!F$5:U$90000,16,0)="AIC","AIC",
      OR(VLOOKUP(B73,[1]Material!F$5:U$90000,16,0)="AGI",VLOOKUP(B73,[1]Material!F$5:U$90000,16,0)="AGIGA"),"AGIGA",
      OR(LEFT(VLOOKUP(B73,[1]Material!F$5:U$90000,16,0),3)="EF-",VLOOKUP(B73,[1]Material!F$5:U$90000,16,0)="EFI"),"EFI",
      AND(ISNUMBER(VLOOKUP(B73,[1]Material!F$5:U$90000,16,0)),VLOOKUP(B73,[1]Material!F$5:U$90000,16,0)&gt;=100,VLOOKUP(B73,[1]Material!F$5:U$90000,16,0)&lt;=999,VLOOKUP(B73,[1]Material!F$5:U$90000,16,0)=INT(VLOOKUP(B73,[1]Material!F$5:U$90000,16,0))),"OEM",
      TRUE,""
    ),
    "không tìm thấy trong file Import"
  ),
  VLOOKUP(F73,'[2]Export shipment'!B:Y,24,0)
)</f>
        <v>Lucid</v>
      </c>
      <c r="H73" s="184"/>
      <c r="I73" s="184"/>
      <c r="J73" s="260">
        <f>(V73+X73+AA73)/'Logistics record '!$AD$1</f>
        <v>15.116015418335726</v>
      </c>
      <c r="K73" s="260">
        <f>W73/'Logistics record '!$AD$1</f>
        <v>0</v>
      </c>
      <c r="L73" s="260">
        <f>Y73/'Logistics record '!$AD$1</f>
        <v>0</v>
      </c>
      <c r="M73" s="260">
        <f>AF73/'Logistics record '!$AD$1</f>
        <v>0</v>
      </c>
      <c r="N73" s="260" t="str" cm="1">
        <f t="array" ref="N73">_xlfn.IFS(
    OR(UPPER(S73)="AIR", UPPER(S73)="CPN"), "AIR",
    UPPER(S73)="TC", "LOCAL",
    TRUE, "SEA"
)</f>
        <v>AIR</v>
      </c>
      <c r="O73" s="260">
        <f t="shared" si="10"/>
        <v>15.116015418335726</v>
      </c>
      <c r="P73" s="184" t="s">
        <v>1993</v>
      </c>
      <c r="Q73" s="185">
        <v>108280071430</v>
      </c>
      <c r="R73" s="186">
        <v>46168</v>
      </c>
      <c r="S73" s="187" t="s">
        <v>928</v>
      </c>
      <c r="T73" s="188">
        <v>169</v>
      </c>
      <c r="U73" s="188"/>
      <c r="V73" s="189">
        <v>400000</v>
      </c>
      <c r="W73" s="190"/>
      <c r="X73" s="190"/>
      <c r="Y73" s="190"/>
      <c r="Z73" s="189">
        <f t="shared" si="6"/>
        <v>400000</v>
      </c>
      <c r="AA73" s="189">
        <v>0</v>
      </c>
      <c r="AB73" s="189">
        <f t="shared" si="11"/>
        <v>400000</v>
      </c>
      <c r="AC73" s="189"/>
      <c r="AD73" s="190"/>
      <c r="AE73" s="190"/>
      <c r="AF73" s="191">
        <f t="shared" si="7"/>
        <v>0</v>
      </c>
      <c r="AG73" s="190">
        <f t="shared" si="8"/>
        <v>400000</v>
      </c>
      <c r="AH73" s="190"/>
      <c r="AI73" s="192" t="str">
        <f>VLOOKUP(Q73,[3]Sheet1!B$11:G$1489,6,0)</f>
        <v>E11</v>
      </c>
      <c r="GK73" s="194"/>
      <c r="GL73" s="195"/>
      <c r="GM73" s="196"/>
      <c r="GN73" s="197"/>
      <c r="GO73" s="198"/>
      <c r="GP73" s="199"/>
      <c r="GQ73" s="200"/>
      <c r="GR73" s="201"/>
      <c r="GS73" s="60"/>
      <c r="GT73" s="202"/>
      <c r="GU73" s="202"/>
      <c r="GV73" s="202"/>
      <c r="GW73" s="202"/>
      <c r="GX73" s="203"/>
      <c r="HA73" s="194"/>
      <c r="HB73" s="195"/>
      <c r="HC73" s="196"/>
      <c r="HD73" s="197"/>
      <c r="HE73" s="198"/>
      <c r="HF73" s="199"/>
      <c r="HG73" s="200"/>
      <c r="HH73" s="201"/>
      <c r="HI73" s="60"/>
      <c r="HJ73" s="202"/>
      <c r="HK73" s="202"/>
      <c r="HL73" s="202"/>
      <c r="HM73" s="202"/>
      <c r="HN73" s="203"/>
    </row>
    <row r="74" spans="1:222" ht="16.5" customHeight="1">
      <c r="A74" s="181">
        <v>71</v>
      </c>
      <c r="B74" s="182">
        <v>525343868132</v>
      </c>
      <c r="C74" s="598" t="s">
        <v>2299</v>
      </c>
      <c r="D74" s="184" t="s">
        <v>1906</v>
      </c>
      <c r="E74" s="184" t="str">
        <f t="shared" si="9"/>
        <v>Import</v>
      </c>
      <c r="F74" s="720" t="str" cm="1">
        <f t="array" ref="F74">_xlfn.IFS(
  OR(AI74="E11", AI74="E15"), "Raw materials",
  OR(AI74="E13", AI74="G13"), "Equipments + Toolings",
  TRUE, RIGHT(C74, 8)
)</f>
        <v>Raw materials</v>
      </c>
      <c r="G74" s="541" t="str" cm="1">
        <f t="array" ref="G74">IF(E74="Import",
  IFERROR(
    _xlfn.IFS(
      VLOOKUP(B74,[1]Material!F$5:U$90000,16,0)="LUC","Lucid",
      VLOOKUP(B74,[1]Material!F$5:U$90000,16,0)="FMC","FORD",
      OR(VLOOKUP(B74,[1]Material!F$5:U$90000,16,0)="PUR",VLOOKUP(B74,[1]Material!F$5:U$90000,16,0)="HLO"),"PURE",
      VLOOKUP(B74,[1]Material!F$5:U$90000,16,0)="AIC","AIC",
      OR(VLOOKUP(B74,[1]Material!F$5:U$90000,16,0)="AGI",VLOOKUP(B74,[1]Material!F$5:U$90000,16,0)="AGIGA"),"AGIGA",
      OR(LEFT(VLOOKUP(B74,[1]Material!F$5:U$90000,16,0),3)="EF-",VLOOKUP(B74,[1]Material!F$5:U$90000,16,0)="EFI"),"EFI",
      AND(ISNUMBER(VLOOKUP(B74,[1]Material!F$5:U$90000,16,0)),VLOOKUP(B74,[1]Material!F$5:U$90000,16,0)&gt;=100,VLOOKUP(B74,[1]Material!F$5:U$90000,16,0)&lt;=999,VLOOKUP(B74,[1]Material!F$5:U$90000,16,0)=INT(VLOOKUP(B74,[1]Material!F$5:U$90000,16,0))),"OEM",
      TRUE,""
    ),
    "không tìm thấy trong file Import"
  ),
  VLOOKUP(F74,'[2]Export shipment'!B:Y,24,0)
)</f>
        <v>PURE</v>
      </c>
      <c r="H74" s="184"/>
      <c r="I74" s="184"/>
      <c r="J74" s="260">
        <f>(V74+X74+AA74)/'Logistics record '!$AD$1</f>
        <v>15.116015418335726</v>
      </c>
      <c r="K74" s="260">
        <f>W74/'Logistics record '!$AD$1</f>
        <v>0</v>
      </c>
      <c r="L74" s="260">
        <f>Y74/'Logistics record '!$AD$1</f>
        <v>0</v>
      </c>
      <c r="M74" s="260">
        <f>AF74/'Logistics record '!$AD$1</f>
        <v>0</v>
      </c>
      <c r="N74" s="260" t="str" cm="1">
        <f t="array" ref="N74">_xlfn.IFS(
    OR(UPPER(S74)="AIR", UPPER(S74)="CPN"), "AIR",
    UPPER(S74)="TC", "LOCAL",
    TRUE, "SEA"
)</f>
        <v>AIR</v>
      </c>
      <c r="O74" s="260">
        <f t="shared" si="10"/>
        <v>15.116015418335726</v>
      </c>
      <c r="P74" s="184" t="s">
        <v>939</v>
      </c>
      <c r="Q74" s="185">
        <v>108280081930</v>
      </c>
      <c r="R74" s="186">
        <v>46168</v>
      </c>
      <c r="S74" s="187" t="s">
        <v>928</v>
      </c>
      <c r="T74" s="188">
        <v>71.3</v>
      </c>
      <c r="U74" s="188"/>
      <c r="V74" s="189">
        <v>400000</v>
      </c>
      <c r="W74" s="190"/>
      <c r="X74" s="190"/>
      <c r="Y74" s="190"/>
      <c r="Z74" s="189">
        <f t="shared" si="6"/>
        <v>400000</v>
      </c>
      <c r="AA74" s="189">
        <v>0</v>
      </c>
      <c r="AB74" s="189">
        <f t="shared" si="11"/>
        <v>400000</v>
      </c>
      <c r="AC74" s="189"/>
      <c r="AD74" s="190"/>
      <c r="AE74" s="190"/>
      <c r="AF74" s="191">
        <f t="shared" si="7"/>
        <v>0</v>
      </c>
      <c r="AG74" s="190">
        <f t="shared" si="8"/>
        <v>400000</v>
      </c>
      <c r="AH74" s="190"/>
      <c r="AI74" s="192" t="str">
        <f>VLOOKUP(Q74,[3]Sheet1!B$11:G$1489,6,0)</f>
        <v>E11</v>
      </c>
      <c r="GK74" s="194"/>
      <c r="GL74" s="195"/>
      <c r="GM74" s="196"/>
      <c r="GN74" s="197"/>
      <c r="GO74" s="198"/>
      <c r="GP74" s="199"/>
      <c r="GQ74" s="200"/>
      <c r="GR74" s="201"/>
      <c r="GS74" s="60"/>
      <c r="GT74" s="202"/>
      <c r="GU74" s="202"/>
      <c r="GV74" s="202"/>
      <c r="GW74" s="202"/>
      <c r="GX74" s="203"/>
      <c r="HA74" s="194"/>
      <c r="HB74" s="195"/>
      <c r="HC74" s="196"/>
      <c r="HD74" s="197"/>
      <c r="HE74" s="198"/>
      <c r="HF74" s="199"/>
      <c r="HG74" s="200"/>
      <c r="HH74" s="201"/>
      <c r="HI74" s="60"/>
      <c r="HJ74" s="202"/>
      <c r="HK74" s="202"/>
      <c r="HL74" s="202"/>
      <c r="HM74" s="202"/>
      <c r="HN74" s="203"/>
    </row>
    <row r="75" spans="1:222" ht="16.5" customHeight="1">
      <c r="A75" s="181">
        <v>72</v>
      </c>
      <c r="B75" s="182">
        <v>381294284087</v>
      </c>
      <c r="C75" s="598" t="s">
        <v>2300</v>
      </c>
      <c r="D75" s="184" t="s">
        <v>958</v>
      </c>
      <c r="E75" s="184" t="str">
        <f t="shared" si="9"/>
        <v>Import</v>
      </c>
      <c r="F75" s="720" t="str" cm="1">
        <f t="array" ref="F75">_xlfn.IFS(
  OR(AI75="E11", AI75="E15"), "Raw materials",
  OR(AI75="E13", AI75="G13"), "Equipments + Toolings",
  TRUE, RIGHT(C75, 8)
)</f>
        <v>Raw materials</v>
      </c>
      <c r="G75" s="541" t="str" cm="1">
        <f t="array" ref="G75">IF(E75="Import",
  IFERROR(
    _xlfn.IFS(
      VLOOKUP(B75,[1]Material!F$5:U$90000,16,0)="LUC","Lucid",
      VLOOKUP(B75,[1]Material!F$5:U$90000,16,0)="FMC","FORD",
      OR(VLOOKUP(B75,[1]Material!F$5:U$90000,16,0)="PUR",VLOOKUP(B75,[1]Material!F$5:U$90000,16,0)="HLO"),"PURE",
      VLOOKUP(B75,[1]Material!F$5:U$90000,16,0)="AIC","AIC",
      OR(VLOOKUP(B75,[1]Material!F$5:U$90000,16,0)="AGI",VLOOKUP(B75,[1]Material!F$5:U$90000,16,0)="AGIGA"),"AGIGA",
      OR(LEFT(VLOOKUP(B75,[1]Material!F$5:U$90000,16,0),3)="EF-",VLOOKUP(B75,[1]Material!F$5:U$90000,16,0)="EFI"),"EFI",
      AND(ISNUMBER(VLOOKUP(B75,[1]Material!F$5:U$90000,16,0)),VLOOKUP(B75,[1]Material!F$5:U$90000,16,0)&gt;=100,VLOOKUP(B75,[1]Material!F$5:U$90000,16,0)&lt;=999,VLOOKUP(B75,[1]Material!F$5:U$90000,16,0)=INT(VLOOKUP(B75,[1]Material!F$5:U$90000,16,0))),"OEM",
      TRUE,""
    ),
    "không tìm thấy trong file Import"
  ),
  VLOOKUP(F75,'[2]Export shipment'!B:Y,24,0)
)</f>
        <v>Lucid</v>
      </c>
      <c r="H75" s="184"/>
      <c r="I75" s="184"/>
      <c r="J75" s="260">
        <f>(V75+X75+AA75)/'Logistics record '!$AD$1</f>
        <v>15.116015418335726</v>
      </c>
      <c r="K75" s="260">
        <f>W75/'Logistics record '!$AD$1</f>
        <v>0</v>
      </c>
      <c r="L75" s="260">
        <f>Y75/'Logistics record '!$AD$1</f>
        <v>0</v>
      </c>
      <c r="M75" s="260">
        <f>AF75/'Logistics record '!$AD$1</f>
        <v>0</v>
      </c>
      <c r="N75" s="260" t="str" cm="1">
        <f t="array" ref="N75">_xlfn.IFS(
    OR(UPPER(S75)="AIR", UPPER(S75)="CPN"), "AIR",
    UPPER(S75)="TC", "LOCAL",
    TRUE, "SEA"
)</f>
        <v>AIR</v>
      </c>
      <c r="O75" s="260">
        <f t="shared" si="10"/>
        <v>15.116015418335726</v>
      </c>
      <c r="P75" s="184" t="s">
        <v>959</v>
      </c>
      <c r="Q75" s="185">
        <v>108280084620</v>
      </c>
      <c r="R75" s="186">
        <v>46168</v>
      </c>
      <c r="S75" s="187" t="s">
        <v>928</v>
      </c>
      <c r="T75" s="188">
        <v>11.1</v>
      </c>
      <c r="U75" s="188"/>
      <c r="V75" s="189">
        <v>400000</v>
      </c>
      <c r="W75" s="190"/>
      <c r="X75" s="190"/>
      <c r="Y75" s="190"/>
      <c r="Z75" s="189">
        <f t="shared" si="6"/>
        <v>400000</v>
      </c>
      <c r="AA75" s="189">
        <v>0</v>
      </c>
      <c r="AB75" s="189">
        <f t="shared" si="11"/>
        <v>400000</v>
      </c>
      <c r="AC75" s="189"/>
      <c r="AD75" s="190"/>
      <c r="AE75" s="190"/>
      <c r="AF75" s="191">
        <f t="shared" si="7"/>
        <v>0</v>
      </c>
      <c r="AG75" s="190">
        <f t="shared" si="8"/>
        <v>400000</v>
      </c>
      <c r="AH75" s="190"/>
      <c r="AI75" s="192" t="str">
        <f>VLOOKUP(Q75,[3]Sheet1!B$11:G$1489,6,0)</f>
        <v>E11</v>
      </c>
      <c r="GK75" s="194"/>
      <c r="GL75" s="195"/>
      <c r="GM75" s="196"/>
      <c r="GN75" s="197"/>
      <c r="GO75" s="198"/>
      <c r="GP75" s="199"/>
      <c r="GQ75" s="200"/>
      <c r="GR75" s="201"/>
      <c r="GS75" s="60"/>
      <c r="GT75" s="202"/>
      <c r="GU75" s="202"/>
      <c r="GV75" s="202"/>
      <c r="GW75" s="202"/>
      <c r="GX75" s="203"/>
      <c r="HA75" s="194"/>
      <c r="HB75" s="195"/>
      <c r="HC75" s="196"/>
      <c r="HD75" s="197"/>
      <c r="HE75" s="198"/>
      <c r="HF75" s="199"/>
      <c r="HG75" s="200"/>
      <c r="HH75" s="201"/>
      <c r="HI75" s="60"/>
      <c r="HJ75" s="202"/>
      <c r="HK75" s="202"/>
      <c r="HL75" s="202"/>
      <c r="HM75" s="202"/>
      <c r="HN75" s="203"/>
    </row>
    <row r="76" spans="1:222" ht="16.5" customHeight="1">
      <c r="A76" s="181">
        <v>73</v>
      </c>
      <c r="B76" s="182">
        <v>4689431342</v>
      </c>
      <c r="C76" s="598" t="s">
        <v>2301</v>
      </c>
      <c r="D76" s="184" t="s">
        <v>232</v>
      </c>
      <c r="E76" s="184" t="str">
        <f t="shared" si="9"/>
        <v>Import</v>
      </c>
      <c r="F76" s="720" t="str" cm="1">
        <f t="array" ref="F76">_xlfn.IFS(
  OR(AI76="E11", AI76="E15"), "Raw materials",
  OR(AI76="E13", AI76="G13"), "Equipments + Toolings",
  TRUE, RIGHT(C76, 8)
)</f>
        <v>Raw materials</v>
      </c>
      <c r="G76" s="541" t="str" cm="1">
        <f t="array" ref="G76">IF(E76="Import",
  IFERROR(
    _xlfn.IFS(
      VLOOKUP(B76,[1]Material!F$5:U$90000,16,0)="LUC","Lucid",
      VLOOKUP(B76,[1]Material!F$5:U$90000,16,0)="FMC","FORD",
      OR(VLOOKUP(B76,[1]Material!F$5:U$90000,16,0)="PUR",VLOOKUP(B76,[1]Material!F$5:U$90000,16,0)="HLO"),"PURE",
      VLOOKUP(B76,[1]Material!F$5:U$90000,16,0)="AIC","AIC",
      OR(VLOOKUP(B76,[1]Material!F$5:U$90000,16,0)="AGI",VLOOKUP(B76,[1]Material!F$5:U$90000,16,0)="AGIGA"),"AGIGA",
      OR(LEFT(VLOOKUP(B76,[1]Material!F$5:U$90000,16,0),3)="EF-",VLOOKUP(B76,[1]Material!F$5:U$90000,16,0)="EFI"),"EFI",
      AND(ISNUMBER(VLOOKUP(B76,[1]Material!F$5:U$90000,16,0)),VLOOKUP(B76,[1]Material!F$5:U$90000,16,0)&gt;=100,VLOOKUP(B76,[1]Material!F$5:U$90000,16,0)&lt;=999,VLOOKUP(B76,[1]Material!F$5:U$90000,16,0)=INT(VLOOKUP(B76,[1]Material!F$5:U$90000,16,0))),"OEM",
      TRUE,""
    ),
    "không tìm thấy trong file Import"
  ),
  VLOOKUP(F76,'[2]Export shipment'!B:Y,24,0)
)</f>
        <v>AIC</v>
      </c>
      <c r="H76" s="184"/>
      <c r="I76" s="184"/>
      <c r="J76" s="260">
        <f>(V76+X76+AA76)/'Logistics record '!$AD$1</f>
        <v>15.116015418335726</v>
      </c>
      <c r="K76" s="260">
        <f>W76/'Logistics record '!$AD$1</f>
        <v>0</v>
      </c>
      <c r="L76" s="260">
        <f>Y76/'Logistics record '!$AD$1</f>
        <v>0</v>
      </c>
      <c r="M76" s="260">
        <f>AF76/'Logistics record '!$AD$1</f>
        <v>0</v>
      </c>
      <c r="N76" s="260" t="str" cm="1">
        <f t="array" ref="N76">_xlfn.IFS(
    OR(UPPER(S76)="AIR", UPPER(S76)="CPN"), "AIR",
    UPPER(S76)="TC", "LOCAL",
    TRUE, "SEA"
)</f>
        <v>AIR</v>
      </c>
      <c r="O76" s="260">
        <f t="shared" si="10"/>
        <v>15.116015418335726</v>
      </c>
      <c r="P76" s="184" t="s">
        <v>931</v>
      </c>
      <c r="Q76" s="185">
        <v>108280088930</v>
      </c>
      <c r="R76" s="186">
        <v>46168</v>
      </c>
      <c r="S76" s="187" t="s">
        <v>928</v>
      </c>
      <c r="T76" s="188">
        <v>110.6</v>
      </c>
      <c r="U76" s="188"/>
      <c r="V76" s="189">
        <v>400000</v>
      </c>
      <c r="W76" s="190"/>
      <c r="X76" s="190"/>
      <c r="Y76" s="190"/>
      <c r="Z76" s="189">
        <f t="shared" si="6"/>
        <v>400000</v>
      </c>
      <c r="AA76" s="189">
        <v>0</v>
      </c>
      <c r="AB76" s="189">
        <f t="shared" si="11"/>
        <v>400000</v>
      </c>
      <c r="AC76" s="189"/>
      <c r="AD76" s="190"/>
      <c r="AE76" s="190"/>
      <c r="AF76" s="191">
        <f t="shared" si="7"/>
        <v>0</v>
      </c>
      <c r="AG76" s="190">
        <f t="shared" si="8"/>
        <v>400000</v>
      </c>
      <c r="AH76" s="190"/>
      <c r="AI76" s="192" t="str">
        <f>VLOOKUP(Q76,[3]Sheet1!B$11:G$1489,6,0)</f>
        <v>E11</v>
      </c>
      <c r="GK76" s="194"/>
      <c r="GL76" s="195"/>
      <c r="GM76" s="196"/>
      <c r="GN76" s="197"/>
      <c r="GO76" s="198"/>
      <c r="GP76" s="199"/>
      <c r="GQ76" s="200"/>
      <c r="GR76" s="201"/>
      <c r="GS76" s="60"/>
      <c r="GT76" s="202"/>
      <c r="GU76" s="202"/>
      <c r="GV76" s="202"/>
      <c r="GW76" s="202"/>
      <c r="GX76" s="203"/>
      <c r="HA76" s="194"/>
      <c r="HB76" s="195"/>
      <c r="HC76" s="196"/>
      <c r="HD76" s="197"/>
      <c r="HE76" s="198"/>
      <c r="HF76" s="199"/>
      <c r="HG76" s="200"/>
      <c r="HH76" s="201"/>
      <c r="HI76" s="60"/>
      <c r="HJ76" s="202"/>
      <c r="HK76" s="202"/>
      <c r="HL76" s="202"/>
      <c r="HM76" s="202"/>
      <c r="HN76" s="203"/>
    </row>
    <row r="77" spans="1:222" ht="16.5" customHeight="1">
      <c r="A77" s="181">
        <v>74</v>
      </c>
      <c r="B77" s="182">
        <v>527390492292</v>
      </c>
      <c r="C77" s="598" t="s">
        <v>2302</v>
      </c>
      <c r="D77" s="184" t="s">
        <v>1963</v>
      </c>
      <c r="E77" s="184" t="str">
        <f t="shared" si="9"/>
        <v>Import</v>
      </c>
      <c r="F77" s="720" t="str" cm="1">
        <f t="array" ref="F77">_xlfn.IFS(
  OR(AI77="E11", AI77="E15"), "Raw materials",
  OR(AI77="E13", AI77="G13"), "Equipments + Toolings",
  TRUE, RIGHT(C77, 8)
)</f>
        <v>Raw materials</v>
      </c>
      <c r="G77" s="541" t="str" cm="1">
        <f t="array" ref="G77">IF(E77="Import",
  IFERROR(
    _xlfn.IFS(
      VLOOKUP(B77,[1]Material!F$5:U$90000,16,0)="LUC","Lucid",
      VLOOKUP(B77,[1]Material!F$5:U$90000,16,0)="FMC","FORD",
      OR(VLOOKUP(B77,[1]Material!F$5:U$90000,16,0)="PUR",VLOOKUP(B77,[1]Material!F$5:U$90000,16,0)="HLO"),"PURE",
      VLOOKUP(B77,[1]Material!F$5:U$90000,16,0)="AIC","AIC",
      OR(VLOOKUP(B77,[1]Material!F$5:U$90000,16,0)="AGI",VLOOKUP(B77,[1]Material!F$5:U$90000,16,0)="AGIGA"),"AGIGA",
      OR(LEFT(VLOOKUP(B77,[1]Material!F$5:U$90000,16,0),3)="EF-",VLOOKUP(B77,[1]Material!F$5:U$90000,16,0)="EFI"),"EFI",
      AND(ISNUMBER(VLOOKUP(B77,[1]Material!F$5:U$90000,16,0)),VLOOKUP(B77,[1]Material!F$5:U$90000,16,0)&gt;=100,VLOOKUP(B77,[1]Material!F$5:U$90000,16,0)&lt;=999,VLOOKUP(B77,[1]Material!F$5:U$90000,16,0)=INT(VLOOKUP(B77,[1]Material!F$5:U$90000,16,0))),"OEM",
      TRUE,""
    ),
    "không tìm thấy trong file Import"
  ),
  VLOOKUP(F77,'[2]Export shipment'!B:Y,24,0)
)</f>
        <v>PURE</v>
      </c>
      <c r="H77" s="184"/>
      <c r="I77" s="184"/>
      <c r="J77" s="260">
        <f>(V77+X77+AA77)/'Logistics record '!$AD$1</f>
        <v>15.116015418335726</v>
      </c>
      <c r="K77" s="260">
        <f>W77/'Logistics record '!$AD$1</f>
        <v>0</v>
      </c>
      <c r="L77" s="260">
        <f>Y77/'Logistics record '!$AD$1</f>
        <v>0</v>
      </c>
      <c r="M77" s="260">
        <f>AF77/'Logistics record '!$AD$1</f>
        <v>0</v>
      </c>
      <c r="N77" s="260" t="str" cm="1">
        <f t="array" ref="N77">_xlfn.IFS(
    OR(UPPER(S77)="AIR", UPPER(S77)="CPN"), "AIR",
    UPPER(S77)="TC", "LOCAL",
    TRUE, "SEA"
)</f>
        <v>AIR</v>
      </c>
      <c r="O77" s="260">
        <f t="shared" si="10"/>
        <v>15.116015418335726</v>
      </c>
      <c r="P77" s="184" t="s">
        <v>931</v>
      </c>
      <c r="Q77" s="185">
        <v>108283742710</v>
      </c>
      <c r="R77" s="186">
        <v>46169</v>
      </c>
      <c r="S77" s="187" t="s">
        <v>928</v>
      </c>
      <c r="T77" s="188">
        <v>1.6</v>
      </c>
      <c r="U77" s="188"/>
      <c r="V77" s="189">
        <v>400000</v>
      </c>
      <c r="W77" s="190"/>
      <c r="X77" s="190"/>
      <c r="Y77" s="190"/>
      <c r="Z77" s="189">
        <f t="shared" si="6"/>
        <v>400000</v>
      </c>
      <c r="AA77" s="189">
        <v>0</v>
      </c>
      <c r="AB77" s="189">
        <f t="shared" si="11"/>
        <v>400000</v>
      </c>
      <c r="AC77" s="189"/>
      <c r="AD77" s="190"/>
      <c r="AE77" s="190"/>
      <c r="AF77" s="191">
        <f t="shared" si="7"/>
        <v>0</v>
      </c>
      <c r="AG77" s="190">
        <f t="shared" si="8"/>
        <v>400000</v>
      </c>
      <c r="AH77" s="190"/>
      <c r="AI77" s="192" t="str">
        <f>VLOOKUP(Q77,[3]Sheet1!B$11:G$1489,6,0)</f>
        <v>E11</v>
      </c>
      <c r="GK77" s="194"/>
      <c r="GL77" s="195"/>
      <c r="GM77" s="196"/>
      <c r="GN77" s="197"/>
      <c r="GO77" s="198"/>
      <c r="GP77" s="199"/>
      <c r="GQ77" s="200"/>
      <c r="GR77" s="201"/>
      <c r="GS77" s="60"/>
      <c r="GT77" s="202"/>
      <c r="GU77" s="202"/>
      <c r="GV77" s="202"/>
      <c r="GW77" s="202"/>
      <c r="GX77" s="203"/>
      <c r="HA77" s="194"/>
      <c r="HB77" s="195"/>
      <c r="HC77" s="196"/>
      <c r="HD77" s="197"/>
      <c r="HE77" s="198"/>
      <c r="HF77" s="199"/>
      <c r="HG77" s="200"/>
      <c r="HH77" s="201"/>
      <c r="HI77" s="60"/>
      <c r="HJ77" s="202"/>
      <c r="HK77" s="202"/>
      <c r="HL77" s="202"/>
      <c r="HM77" s="202"/>
      <c r="HN77" s="203"/>
    </row>
    <row r="78" spans="1:222" ht="16.5" customHeight="1">
      <c r="A78" s="181">
        <v>75</v>
      </c>
      <c r="B78" s="182">
        <v>5774621694</v>
      </c>
      <c r="C78" s="598" t="s">
        <v>2303</v>
      </c>
      <c r="D78" s="184" t="s">
        <v>951</v>
      </c>
      <c r="E78" s="184" t="str">
        <f t="shared" si="9"/>
        <v>Import</v>
      </c>
      <c r="F78" s="720" t="str" cm="1">
        <f t="array" ref="F78">_xlfn.IFS(
  OR(AI78="E11", AI78="E15"), "Raw materials",
  OR(AI78="E13", AI78="G13"), "Equipments + Toolings",
  TRUE, RIGHT(C78, 8)
)</f>
        <v>Raw materials</v>
      </c>
      <c r="G78" s="541" t="str" cm="1">
        <f t="array" ref="G78">IF(E78="Import",
  IFERROR(
    _xlfn.IFS(
      VLOOKUP(B78,[1]Material!F$5:U$90000,16,0)="LUC","Lucid",
      VLOOKUP(B78,[1]Material!F$5:U$90000,16,0)="FMC","FORD",
      OR(VLOOKUP(B78,[1]Material!F$5:U$90000,16,0)="PUR",VLOOKUP(B78,[1]Material!F$5:U$90000,16,0)="HLO"),"PURE",
      VLOOKUP(B78,[1]Material!F$5:U$90000,16,0)="AIC","AIC",
      OR(VLOOKUP(B78,[1]Material!F$5:U$90000,16,0)="AGI",VLOOKUP(B78,[1]Material!F$5:U$90000,16,0)="AGIGA"),"AGIGA",
      OR(LEFT(VLOOKUP(B78,[1]Material!F$5:U$90000,16,0),3)="EF-",VLOOKUP(B78,[1]Material!F$5:U$90000,16,0)="EFI"),"EFI",
      AND(ISNUMBER(VLOOKUP(B78,[1]Material!F$5:U$90000,16,0)),VLOOKUP(B78,[1]Material!F$5:U$90000,16,0)&gt;=100,VLOOKUP(B78,[1]Material!F$5:U$90000,16,0)&lt;=999,VLOOKUP(B78,[1]Material!F$5:U$90000,16,0)=INT(VLOOKUP(B78,[1]Material!F$5:U$90000,16,0))),"OEM",
      TRUE,""
    ),
    "không tìm thấy trong file Import"
  ),
  VLOOKUP(F78,'[2]Export shipment'!B:Y,24,0)
)</f>
        <v>PURE</v>
      </c>
      <c r="H78" s="184"/>
      <c r="I78" s="184"/>
      <c r="J78" s="260">
        <f>(V78+X78+AA78)/'Logistics record '!$AD$1</f>
        <v>15.116015418335726</v>
      </c>
      <c r="K78" s="260">
        <f>W78/'Logistics record '!$AD$1</f>
        <v>0</v>
      </c>
      <c r="L78" s="260">
        <f>Y78/'Logistics record '!$AD$1</f>
        <v>0</v>
      </c>
      <c r="M78" s="260">
        <f>AF78/'Logistics record '!$AD$1</f>
        <v>0</v>
      </c>
      <c r="N78" s="260" t="str" cm="1">
        <f t="array" ref="N78">_xlfn.IFS(
    OR(UPPER(S78)="AIR", UPPER(S78)="CPN"), "AIR",
    UPPER(S78)="TC", "LOCAL",
    TRUE, "SEA"
)</f>
        <v>AIR</v>
      </c>
      <c r="O78" s="260">
        <f t="shared" si="10"/>
        <v>15.116015418335726</v>
      </c>
      <c r="P78" s="184" t="s">
        <v>937</v>
      </c>
      <c r="Q78" s="185">
        <v>108280584310</v>
      </c>
      <c r="R78" s="186">
        <v>46169</v>
      </c>
      <c r="S78" s="187" t="s">
        <v>928</v>
      </c>
      <c r="T78" s="188">
        <v>1.4</v>
      </c>
      <c r="U78" s="188"/>
      <c r="V78" s="189">
        <v>400000</v>
      </c>
      <c r="W78" s="190"/>
      <c r="X78" s="190"/>
      <c r="Y78" s="190"/>
      <c r="Z78" s="189">
        <f t="shared" si="6"/>
        <v>400000</v>
      </c>
      <c r="AA78" s="189">
        <v>0</v>
      </c>
      <c r="AB78" s="189">
        <f t="shared" si="11"/>
        <v>400000</v>
      </c>
      <c r="AC78" s="189"/>
      <c r="AD78" s="190"/>
      <c r="AE78" s="190"/>
      <c r="AF78" s="191">
        <f t="shared" si="7"/>
        <v>0</v>
      </c>
      <c r="AG78" s="190">
        <f t="shared" si="8"/>
        <v>400000</v>
      </c>
      <c r="AH78" s="190"/>
      <c r="AI78" s="192" t="str">
        <f>VLOOKUP(Q78,[3]Sheet1!B$11:G$1489,6,0)</f>
        <v>E11</v>
      </c>
      <c r="GK78" s="194"/>
      <c r="GL78" s="195"/>
      <c r="GM78" s="196"/>
      <c r="GN78" s="197"/>
      <c r="GO78" s="198"/>
      <c r="GP78" s="199"/>
      <c r="GQ78" s="200"/>
      <c r="GR78" s="201"/>
      <c r="GS78" s="60"/>
      <c r="GT78" s="202"/>
      <c r="GU78" s="202"/>
      <c r="GV78" s="202"/>
      <c r="GW78" s="202"/>
      <c r="GX78" s="203"/>
      <c r="HA78" s="194"/>
      <c r="HB78" s="195"/>
      <c r="HC78" s="196"/>
      <c r="HD78" s="197"/>
      <c r="HE78" s="198"/>
      <c r="HF78" s="199"/>
      <c r="HG78" s="200"/>
      <c r="HH78" s="201"/>
      <c r="HI78" s="60"/>
      <c r="HJ78" s="202"/>
      <c r="HK78" s="202"/>
      <c r="HL78" s="202"/>
      <c r="HM78" s="202"/>
      <c r="HN78" s="203"/>
    </row>
    <row r="79" spans="1:222" ht="16.5" customHeight="1">
      <c r="A79" s="181">
        <v>76</v>
      </c>
      <c r="B79" s="182">
        <v>39341598101</v>
      </c>
      <c r="C79" s="183" t="s">
        <v>2304</v>
      </c>
      <c r="D79" s="184" t="s">
        <v>1988</v>
      </c>
      <c r="E79" s="184" t="str">
        <f t="shared" si="9"/>
        <v>Import</v>
      </c>
      <c r="F79" s="720" t="str" cm="1">
        <f t="array" ref="F79">_xlfn.IFS(
  OR(AI79="E11", AI79="E15"), "Raw materials",
  OR(AI79="E13", AI79="G13"), "Equipments + Toolings",
  TRUE, RIGHT(C79, 8)
)</f>
        <v>Raw materials</v>
      </c>
      <c r="G79" s="541" t="str" cm="1">
        <f t="array" ref="G79">IF(E79="Import",
  IFERROR(
    _xlfn.IFS(
      VLOOKUP(B79,[1]Material!F$5:U$90000,16,0)="LUC","Lucid",
      VLOOKUP(B79,[1]Material!F$5:U$90000,16,0)="FMC","FORD",
      OR(VLOOKUP(B79,[1]Material!F$5:U$90000,16,0)="PUR",VLOOKUP(B79,[1]Material!F$5:U$90000,16,0)="HLO"),"PURE",
      VLOOKUP(B79,[1]Material!F$5:U$90000,16,0)="AIC","AIC",
      OR(VLOOKUP(B79,[1]Material!F$5:U$90000,16,0)="AGI",VLOOKUP(B79,[1]Material!F$5:U$90000,16,0)="AGIGA"),"AGIGA",
      OR(LEFT(VLOOKUP(B79,[1]Material!F$5:U$90000,16,0),3)="EF-",VLOOKUP(B79,[1]Material!F$5:U$90000,16,0)="EFI"),"EFI",
      AND(ISNUMBER(VLOOKUP(B79,[1]Material!F$5:U$90000,16,0)),VLOOKUP(B79,[1]Material!F$5:U$90000,16,0)&gt;=100,VLOOKUP(B79,[1]Material!F$5:U$90000,16,0)&lt;=999,VLOOKUP(B79,[1]Material!F$5:U$90000,16,0)=INT(VLOOKUP(B79,[1]Material!F$5:U$90000,16,0))),"OEM",
      TRUE,""
    ),
    "không tìm thấy trong file Import"
  ),
  VLOOKUP(F79,'[2]Export shipment'!B:Y,24,0)
)</f>
        <v>PURE</v>
      </c>
      <c r="H79" s="184"/>
      <c r="I79" s="184"/>
      <c r="J79" s="260">
        <f>(V79+X79+AA79)/'Logistics record '!$AD$1</f>
        <v>15.116015418335726</v>
      </c>
      <c r="K79" s="260">
        <f>W79/'Logistics record '!$AD$1</f>
        <v>0</v>
      </c>
      <c r="L79" s="260">
        <f>Y79/'Logistics record '!$AD$1</f>
        <v>0</v>
      </c>
      <c r="M79" s="260">
        <f>AF79/'Logistics record '!$AD$1</f>
        <v>0</v>
      </c>
      <c r="N79" s="260" t="str" cm="1">
        <f t="array" ref="N79">_xlfn.IFS(
    OR(UPPER(S79)="AIR", UPPER(S79)="CPN"), "AIR",
    UPPER(S79)="TC", "LOCAL",
    TRUE, "SEA"
)</f>
        <v>AIR</v>
      </c>
      <c r="O79" s="260">
        <f t="shared" si="10"/>
        <v>15.116015418335726</v>
      </c>
      <c r="P79" s="184" t="s">
        <v>932</v>
      </c>
      <c r="Q79" s="185">
        <v>108282461450</v>
      </c>
      <c r="R79" s="186">
        <v>46169</v>
      </c>
      <c r="S79" s="187" t="s">
        <v>928</v>
      </c>
      <c r="T79" s="188">
        <v>43.2</v>
      </c>
      <c r="U79" s="188"/>
      <c r="V79" s="189">
        <v>400000</v>
      </c>
      <c r="W79" s="190"/>
      <c r="X79" s="190"/>
      <c r="Y79" s="190"/>
      <c r="Z79" s="189">
        <f t="shared" si="6"/>
        <v>400000</v>
      </c>
      <c r="AA79" s="189">
        <v>0</v>
      </c>
      <c r="AB79" s="189">
        <f t="shared" si="11"/>
        <v>400000</v>
      </c>
      <c r="AC79" s="189"/>
      <c r="AD79" s="190"/>
      <c r="AE79" s="190"/>
      <c r="AF79" s="191">
        <f t="shared" si="7"/>
        <v>0</v>
      </c>
      <c r="AG79" s="190">
        <f t="shared" si="8"/>
        <v>400000</v>
      </c>
      <c r="AH79" s="190"/>
      <c r="AI79" s="192" t="str">
        <f>VLOOKUP(Q79,[3]Sheet1!B$11:G$1489,6,0)</f>
        <v>E11</v>
      </c>
      <c r="GK79" s="194"/>
      <c r="GL79" s="195"/>
      <c r="GM79" s="196"/>
      <c r="GN79" s="197"/>
      <c r="GO79" s="198"/>
      <c r="GP79" s="199"/>
      <c r="GQ79" s="200"/>
      <c r="GR79" s="201"/>
      <c r="GS79" s="60"/>
      <c r="GT79" s="202"/>
      <c r="GU79" s="202"/>
      <c r="GV79" s="202"/>
      <c r="GW79" s="202"/>
      <c r="GX79" s="203"/>
      <c r="HA79" s="194"/>
      <c r="HB79" s="195"/>
      <c r="HC79" s="196"/>
      <c r="HD79" s="197"/>
      <c r="HE79" s="198"/>
      <c r="HF79" s="199"/>
      <c r="HG79" s="200"/>
      <c r="HH79" s="201"/>
      <c r="HI79" s="60"/>
      <c r="HJ79" s="202"/>
      <c r="HK79" s="202"/>
      <c r="HL79" s="202"/>
      <c r="HM79" s="202"/>
      <c r="HN79" s="203"/>
    </row>
    <row r="80" spans="1:222" ht="16.5" customHeight="1">
      <c r="A80" s="181">
        <v>77</v>
      </c>
      <c r="B80" s="182">
        <v>4689943985</v>
      </c>
      <c r="C80" s="598" t="s">
        <v>2305</v>
      </c>
      <c r="D80" s="184" t="s">
        <v>2037</v>
      </c>
      <c r="E80" s="184" t="str">
        <f t="shared" si="9"/>
        <v>Import</v>
      </c>
      <c r="F80" s="720" t="str" cm="1">
        <f t="array" ref="F80">_xlfn.IFS(
  OR(AI80="E11", AI80="E15"), "Raw materials",
  OR(AI80="E13", AI80="G13"), "Equipments + Toolings",
  TRUE, RIGHT(C80, 8)
)</f>
        <v>Raw materials</v>
      </c>
      <c r="G80" s="541" t="str" cm="1">
        <f t="array" ref="G80">IF(E80="Import",
  IFERROR(
    _xlfn.IFS(
      VLOOKUP(B80,[1]Material!F$5:U$90000,16,0)="LUC","Lucid",
      VLOOKUP(B80,[1]Material!F$5:U$90000,16,0)="FMC","FORD",
      OR(VLOOKUP(B80,[1]Material!F$5:U$90000,16,0)="PUR",VLOOKUP(B80,[1]Material!F$5:U$90000,16,0)="HLO"),"PURE",
      VLOOKUP(B80,[1]Material!F$5:U$90000,16,0)="AIC","AIC",
      OR(VLOOKUP(B80,[1]Material!F$5:U$90000,16,0)="AGI",VLOOKUP(B80,[1]Material!F$5:U$90000,16,0)="AGIGA"),"AGIGA",
      OR(LEFT(VLOOKUP(B80,[1]Material!F$5:U$90000,16,0),3)="EF-",VLOOKUP(B80,[1]Material!F$5:U$90000,16,0)="EFI"),"EFI",
      AND(ISNUMBER(VLOOKUP(B80,[1]Material!F$5:U$90000,16,0)),VLOOKUP(B80,[1]Material!F$5:U$90000,16,0)&gt;=100,VLOOKUP(B80,[1]Material!F$5:U$90000,16,0)&lt;=999,VLOOKUP(B80,[1]Material!F$5:U$90000,16,0)=INT(VLOOKUP(B80,[1]Material!F$5:U$90000,16,0))),"OEM",
      TRUE,""
    ),
    "không tìm thấy trong file Import"
  ),
  VLOOKUP(F80,'[2]Export shipment'!B:Y,24,0)
)</f>
        <v>OEM</v>
      </c>
      <c r="H80" s="184"/>
      <c r="I80" s="184"/>
      <c r="J80" s="260">
        <f>(V80+X80+AA80)/'Logistics record '!$AD$1</f>
        <v>15.116015418335726</v>
      </c>
      <c r="K80" s="260">
        <f>W80/'Logistics record '!$AD$1</f>
        <v>0</v>
      </c>
      <c r="L80" s="260">
        <f>Y80/'Logistics record '!$AD$1</f>
        <v>0</v>
      </c>
      <c r="M80" s="260">
        <f>AF80/'Logistics record '!$AD$1</f>
        <v>0</v>
      </c>
      <c r="N80" s="260" t="str" cm="1">
        <f t="array" ref="N80">_xlfn.IFS(
    OR(UPPER(S80)="AIR", UPPER(S80)="CPN"), "AIR",
    UPPER(S80)="TC", "LOCAL",
    TRUE, "SEA"
)</f>
        <v>AIR</v>
      </c>
      <c r="O80" s="260">
        <f t="shared" si="10"/>
        <v>15.116015418335726</v>
      </c>
      <c r="P80" s="184" t="s">
        <v>931</v>
      </c>
      <c r="Q80" s="185">
        <v>108282760610</v>
      </c>
      <c r="R80" s="186">
        <v>46169</v>
      </c>
      <c r="S80" s="187" t="s">
        <v>928</v>
      </c>
      <c r="T80" s="188">
        <v>0.2</v>
      </c>
      <c r="U80" s="188"/>
      <c r="V80" s="189">
        <v>400000</v>
      </c>
      <c r="W80" s="190"/>
      <c r="X80" s="190"/>
      <c r="Y80" s="190"/>
      <c r="Z80" s="189">
        <f t="shared" si="6"/>
        <v>400000</v>
      </c>
      <c r="AA80" s="189">
        <v>0</v>
      </c>
      <c r="AB80" s="189">
        <f t="shared" si="11"/>
        <v>400000</v>
      </c>
      <c r="AC80" s="189"/>
      <c r="AD80" s="190"/>
      <c r="AE80" s="190"/>
      <c r="AF80" s="191">
        <f t="shared" si="7"/>
        <v>0</v>
      </c>
      <c r="AG80" s="190">
        <f t="shared" si="8"/>
        <v>400000</v>
      </c>
      <c r="AH80" s="190"/>
      <c r="AI80" s="192" t="str">
        <f>VLOOKUP(Q80,[3]Sheet1!B$11:G$1489,6,0)</f>
        <v>E11</v>
      </c>
      <c r="GK80" s="194"/>
      <c r="GL80" s="195"/>
      <c r="GM80" s="196"/>
      <c r="GN80" s="197"/>
      <c r="GO80" s="198"/>
      <c r="GP80" s="199"/>
      <c r="GQ80" s="200"/>
      <c r="GR80" s="201"/>
      <c r="GS80" s="60"/>
      <c r="GT80" s="202"/>
      <c r="GU80" s="202"/>
      <c r="GV80" s="202"/>
      <c r="GW80" s="202"/>
      <c r="GX80" s="203"/>
      <c r="HA80" s="194"/>
      <c r="HB80" s="195"/>
      <c r="HC80" s="196"/>
      <c r="HD80" s="197"/>
      <c r="HE80" s="198"/>
      <c r="HF80" s="199"/>
      <c r="HG80" s="200"/>
      <c r="HH80" s="201"/>
      <c r="HI80" s="60"/>
      <c r="HJ80" s="202"/>
      <c r="HK80" s="202"/>
      <c r="HL80" s="202"/>
      <c r="HM80" s="202"/>
      <c r="HN80" s="203"/>
    </row>
    <row r="81" spans="1:222" ht="16.5" customHeight="1">
      <c r="A81" s="181">
        <v>78</v>
      </c>
      <c r="B81" s="182">
        <v>483570646749</v>
      </c>
      <c r="C81" s="598" t="s">
        <v>2306</v>
      </c>
      <c r="D81" s="184" t="s">
        <v>110</v>
      </c>
      <c r="E81" s="184" t="str">
        <f t="shared" si="9"/>
        <v>Import</v>
      </c>
      <c r="F81" s="720" t="str" cm="1">
        <f t="array" ref="F81">_xlfn.IFS(
  OR(AI81="E11", AI81="E15"), "Raw materials",
  OR(AI81="E13", AI81="G13"), "Equipments + Toolings",
  TRUE, RIGHT(C81, 8)
)</f>
        <v>Raw materials</v>
      </c>
      <c r="G81" s="541" t="s">
        <v>21</v>
      </c>
      <c r="H81" s="184"/>
      <c r="I81" s="184"/>
      <c r="J81" s="260">
        <f>(V81+X81+AA81)/'Logistics record '!$AD$1</f>
        <v>15.116015418335726</v>
      </c>
      <c r="K81" s="260">
        <f>W81/'Logistics record '!$AD$1</f>
        <v>0</v>
      </c>
      <c r="L81" s="260">
        <f>Y81/'Logistics record '!$AD$1</f>
        <v>0</v>
      </c>
      <c r="M81" s="260">
        <f>AF81/'Logistics record '!$AD$1</f>
        <v>0</v>
      </c>
      <c r="N81" s="260" t="str" cm="1">
        <f t="array" ref="N81">_xlfn.IFS(
    OR(UPPER(S81)="AIR", UPPER(S81)="CPN"), "AIR",
    UPPER(S81)="TC", "LOCAL",
    TRUE, "SEA"
)</f>
        <v>AIR</v>
      </c>
      <c r="O81" s="260">
        <f t="shared" si="10"/>
        <v>15.116015418335726</v>
      </c>
      <c r="P81" s="184" t="s">
        <v>935</v>
      </c>
      <c r="Q81" s="185">
        <v>108283249060</v>
      </c>
      <c r="R81" s="186">
        <v>46169</v>
      </c>
      <c r="S81" s="187" t="s">
        <v>928</v>
      </c>
      <c r="T81" s="188">
        <v>4.0999999999999996</v>
      </c>
      <c r="U81" s="188"/>
      <c r="V81" s="189">
        <v>400000</v>
      </c>
      <c r="W81" s="190"/>
      <c r="X81" s="190"/>
      <c r="Y81" s="190"/>
      <c r="Z81" s="189">
        <f t="shared" si="6"/>
        <v>400000</v>
      </c>
      <c r="AA81" s="189">
        <v>0</v>
      </c>
      <c r="AB81" s="189">
        <f t="shared" si="11"/>
        <v>400000</v>
      </c>
      <c r="AC81" s="189"/>
      <c r="AD81" s="190"/>
      <c r="AE81" s="190"/>
      <c r="AF81" s="191">
        <f t="shared" si="7"/>
        <v>0</v>
      </c>
      <c r="AG81" s="190">
        <f t="shared" si="8"/>
        <v>400000</v>
      </c>
      <c r="AH81" s="190"/>
      <c r="AI81" s="192" t="str">
        <f>VLOOKUP(Q81,[3]Sheet1!B$11:G$1489,6,0)</f>
        <v>E11</v>
      </c>
      <c r="GK81" s="194"/>
      <c r="GL81" s="195"/>
      <c r="GM81" s="196"/>
      <c r="GN81" s="197"/>
      <c r="GO81" s="198"/>
      <c r="GP81" s="199"/>
      <c r="GQ81" s="200"/>
      <c r="GR81" s="201"/>
      <c r="GS81" s="60"/>
      <c r="GT81" s="202"/>
      <c r="GU81" s="202"/>
      <c r="GV81" s="202"/>
      <c r="GW81" s="202"/>
      <c r="GX81" s="203"/>
      <c r="HA81" s="194"/>
      <c r="HB81" s="195"/>
      <c r="HC81" s="196"/>
      <c r="HD81" s="197"/>
      <c r="HE81" s="198"/>
      <c r="HF81" s="199"/>
      <c r="HG81" s="200"/>
      <c r="HH81" s="201"/>
      <c r="HI81" s="60"/>
      <c r="HJ81" s="202"/>
      <c r="HK81" s="202"/>
      <c r="HL81" s="202"/>
      <c r="HM81" s="202"/>
      <c r="HN81" s="203"/>
    </row>
    <row r="82" spans="1:222" ht="16.5" customHeight="1">
      <c r="A82" s="181">
        <v>79</v>
      </c>
      <c r="B82" s="182" t="s">
        <v>2307</v>
      </c>
      <c r="C82" s="598" t="s">
        <v>2308</v>
      </c>
      <c r="D82" s="184" t="s">
        <v>801</v>
      </c>
      <c r="E82" s="184" t="str">
        <f t="shared" si="9"/>
        <v>Import</v>
      </c>
      <c r="F82" s="720" t="str" cm="1">
        <f t="array" ref="F82">_xlfn.IFS(
  OR(AI82="E11", AI82="E15"), "Raw materials",
  OR(AI82="E13", AI82="G13"), "Equipments + Toolings",
  TRUE, RIGHT(C82, 8)
)</f>
        <v>Raw materials</v>
      </c>
      <c r="G82" s="541" t="str" cm="1">
        <f t="array" ref="G82">IF(E82="Import",
  IFERROR(
    _xlfn.IFS(
      VLOOKUP(B82,[1]Material!F$5:U$90000,16,0)="LUC","Lucid",
      VLOOKUP(B82,[1]Material!F$5:U$90000,16,0)="FMC","FORD",
      OR(VLOOKUP(B82,[1]Material!F$5:U$90000,16,0)="PUR",VLOOKUP(B82,[1]Material!F$5:U$90000,16,0)="HLO"),"PURE",
      VLOOKUP(B82,[1]Material!F$5:U$90000,16,0)="AIC","AIC",
      OR(VLOOKUP(B82,[1]Material!F$5:U$90000,16,0)="AGI",VLOOKUP(B82,[1]Material!F$5:U$90000,16,0)="AGIGA"),"AGIGA",
      OR(LEFT(VLOOKUP(B82,[1]Material!F$5:U$90000,16,0),3)="EF-",VLOOKUP(B82,[1]Material!F$5:U$90000,16,0)="EFI"),"EFI",
      AND(ISNUMBER(VLOOKUP(B82,[1]Material!F$5:U$90000,16,0)),VLOOKUP(B82,[1]Material!F$5:U$90000,16,0)&gt;=100,VLOOKUP(B82,[1]Material!F$5:U$90000,16,0)&lt;=999,VLOOKUP(B82,[1]Material!F$5:U$90000,16,0)=INT(VLOOKUP(B82,[1]Material!F$5:U$90000,16,0))),"OEM",
      TRUE,""
    ),
    "không tìm thấy trong file Import"
  ),
  VLOOKUP(F82,'[2]Export shipment'!B:Y,24,0)
)</f>
        <v>Lucid</v>
      </c>
      <c r="H82" s="184"/>
      <c r="I82" s="184"/>
      <c r="J82" s="260">
        <f>(V82+X82+AA82)/'Logistics record '!$AD$1</f>
        <v>15.116015418335726</v>
      </c>
      <c r="K82" s="260">
        <f>W82/'Logistics record '!$AD$1</f>
        <v>0</v>
      </c>
      <c r="L82" s="260">
        <f>Y82/'Logistics record '!$AD$1</f>
        <v>326.26983599123275</v>
      </c>
      <c r="M82" s="260">
        <f>AF82/'Logistics record '!$AD$1</f>
        <v>24.773637669110421</v>
      </c>
      <c r="N82" s="260" t="str" cm="1">
        <f t="array" ref="N82">_xlfn.IFS(
    OR(UPPER(S82)="AIR", UPPER(S82)="CPN"), "AIR",
    UPPER(S82)="TC", "LOCAL",
    TRUE, "SEA"
)</f>
        <v>SEA</v>
      </c>
      <c r="O82" s="260">
        <f t="shared" si="10"/>
        <v>366.15948907867892</v>
      </c>
      <c r="P82" s="184" t="s">
        <v>937</v>
      </c>
      <c r="Q82" s="185">
        <v>108283587160</v>
      </c>
      <c r="R82" s="186">
        <v>46169</v>
      </c>
      <c r="S82" s="187" t="s">
        <v>933</v>
      </c>
      <c r="T82" s="188">
        <v>117.1</v>
      </c>
      <c r="U82" s="188">
        <v>1.44</v>
      </c>
      <c r="V82" s="189">
        <v>400000</v>
      </c>
      <c r="W82" s="190"/>
      <c r="X82" s="190"/>
      <c r="Y82" s="190">
        <v>8633752.4000000004</v>
      </c>
      <c r="Z82" s="189">
        <f t="shared" si="6"/>
        <v>9033752.4000000004</v>
      </c>
      <c r="AA82" s="189">
        <v>0</v>
      </c>
      <c r="AB82" s="189">
        <f t="shared" si="11"/>
        <v>9033752.4000000004</v>
      </c>
      <c r="AC82" s="189"/>
      <c r="AD82" s="190"/>
      <c r="AE82" s="190">
        <v>655560</v>
      </c>
      <c r="AF82" s="191">
        <f t="shared" si="7"/>
        <v>655560</v>
      </c>
      <c r="AG82" s="190">
        <f t="shared" si="8"/>
        <v>9689312.4000000004</v>
      </c>
      <c r="AH82" s="190"/>
      <c r="AI82" s="192" t="str">
        <f>VLOOKUP(Q82,[3]Sheet1!B$11:G$1489,6,0)</f>
        <v>E11</v>
      </c>
      <c r="GK82" s="194"/>
      <c r="GL82" s="195"/>
      <c r="GM82" s="196"/>
      <c r="GN82" s="197"/>
      <c r="GO82" s="198"/>
      <c r="GP82" s="199"/>
      <c r="GQ82" s="200"/>
      <c r="GR82" s="201"/>
      <c r="GS82" s="60"/>
      <c r="GT82" s="202"/>
      <c r="GU82" s="202"/>
      <c r="GV82" s="202"/>
      <c r="GW82" s="202"/>
      <c r="GX82" s="203"/>
      <c r="HA82" s="194"/>
      <c r="HB82" s="195"/>
      <c r="HC82" s="196"/>
      <c r="HD82" s="197"/>
      <c r="HE82" s="198"/>
      <c r="HF82" s="199"/>
      <c r="HG82" s="200"/>
      <c r="HH82" s="201"/>
      <c r="HI82" s="60"/>
      <c r="HJ82" s="202"/>
      <c r="HK82" s="202"/>
      <c r="HL82" s="202"/>
      <c r="HM82" s="202"/>
      <c r="HN82" s="203"/>
    </row>
    <row r="83" spans="1:222" ht="16.5" customHeight="1">
      <c r="A83" s="181">
        <v>80</v>
      </c>
      <c r="B83" s="182">
        <v>381526009264</v>
      </c>
      <c r="C83" s="183" t="s">
        <v>2309</v>
      </c>
      <c r="D83" s="184" t="s">
        <v>2310</v>
      </c>
      <c r="E83" s="184" t="str">
        <f t="shared" si="9"/>
        <v>Import</v>
      </c>
      <c r="F83" s="720" t="str" cm="1">
        <f t="array" ref="F83">_xlfn.IFS(
  OR(AI83="E11", AI83="E15"), "Raw materials",
  OR(AI83="E13", AI83="G13"), "Equipments + Toolings",
  TRUE, RIGHT(C83, 8)
)</f>
        <v>Raw materials</v>
      </c>
      <c r="G83" s="541" t="str" cm="1">
        <f t="array" ref="G83">IF(E83="Import",
  IFERROR(
    _xlfn.IFS(
      VLOOKUP(B83,[1]Material!F$5:U$90000,16,0)="LUC","Lucid",
      VLOOKUP(B83,[1]Material!F$5:U$90000,16,0)="FMC","FORD",
      OR(VLOOKUP(B83,[1]Material!F$5:U$90000,16,0)="PUR",VLOOKUP(B83,[1]Material!F$5:U$90000,16,0)="HLO"),"PURE",
      VLOOKUP(B83,[1]Material!F$5:U$90000,16,0)="AIC","AIC",
      OR(VLOOKUP(B83,[1]Material!F$5:U$90000,16,0)="AGI",VLOOKUP(B83,[1]Material!F$5:U$90000,16,0)="AGIGA"),"AGIGA",
      OR(LEFT(VLOOKUP(B83,[1]Material!F$5:U$90000,16,0),3)="EF-",VLOOKUP(B83,[1]Material!F$5:U$90000,16,0)="EFI"),"EFI",
      AND(ISNUMBER(VLOOKUP(B83,[1]Material!F$5:U$90000,16,0)),VLOOKUP(B83,[1]Material!F$5:U$90000,16,0)&gt;=100,VLOOKUP(B83,[1]Material!F$5:U$90000,16,0)&lt;=999,VLOOKUP(B83,[1]Material!F$5:U$90000,16,0)=INT(VLOOKUP(B83,[1]Material!F$5:U$90000,16,0))),"OEM",
      TRUE,""
    ),
    "không tìm thấy trong file Import"
  ),
  VLOOKUP(F83,'[2]Export shipment'!B:Y,24,0)
)</f>
        <v>PURE</v>
      </c>
      <c r="H83" s="184"/>
      <c r="I83" s="184"/>
      <c r="J83" s="260">
        <f>(V83+X83+AA83)/'Logistics record '!$AD$1</f>
        <v>15.116015418335726</v>
      </c>
      <c r="K83" s="260">
        <f>W83/'Logistics record '!$AD$1</f>
        <v>0</v>
      </c>
      <c r="L83" s="260">
        <f>Y83/'Logistics record '!$AD$1</f>
        <v>0</v>
      </c>
      <c r="M83" s="260">
        <f>AF83/'Logistics record '!$AD$1</f>
        <v>0</v>
      </c>
      <c r="N83" s="260" t="str" cm="1">
        <f t="array" ref="N83">_xlfn.IFS(
    OR(UPPER(S83)="AIR", UPPER(S83)="CPN"), "AIR",
    UPPER(S83)="TC", "LOCAL",
    TRUE, "SEA"
)</f>
        <v>AIR</v>
      </c>
      <c r="O83" s="260">
        <f t="shared" si="10"/>
        <v>15.116015418335726</v>
      </c>
      <c r="P83" s="184" t="s">
        <v>954</v>
      </c>
      <c r="Q83" s="185">
        <v>108283683800</v>
      </c>
      <c r="R83" s="186">
        <v>46169</v>
      </c>
      <c r="S83" s="187" t="s">
        <v>928</v>
      </c>
      <c r="T83" s="188">
        <v>0.8</v>
      </c>
      <c r="U83" s="188"/>
      <c r="V83" s="189">
        <v>400000</v>
      </c>
      <c r="W83" s="190"/>
      <c r="X83" s="190"/>
      <c r="Y83" s="190"/>
      <c r="Z83" s="189">
        <f t="shared" si="6"/>
        <v>400000</v>
      </c>
      <c r="AA83" s="189">
        <v>0</v>
      </c>
      <c r="AB83" s="189">
        <f t="shared" si="11"/>
        <v>400000</v>
      </c>
      <c r="AC83" s="189"/>
      <c r="AD83" s="190"/>
      <c r="AE83" s="190"/>
      <c r="AF83" s="191">
        <f t="shared" si="7"/>
        <v>0</v>
      </c>
      <c r="AG83" s="190">
        <f t="shared" si="8"/>
        <v>400000</v>
      </c>
      <c r="AH83" s="190"/>
      <c r="AI83" s="192" t="str">
        <f>VLOOKUP(Q83,[3]Sheet1!B$11:G$1489,6,0)</f>
        <v>E11</v>
      </c>
      <c r="GK83" s="194"/>
      <c r="GL83" s="195"/>
      <c r="GM83" s="196"/>
      <c r="GN83" s="197"/>
      <c r="GO83" s="198"/>
      <c r="GP83" s="199"/>
      <c r="GQ83" s="200"/>
      <c r="GR83" s="201"/>
      <c r="GS83" s="60"/>
      <c r="GT83" s="202"/>
      <c r="GU83" s="202"/>
      <c r="GV83" s="202"/>
      <c r="GW83" s="202"/>
      <c r="GX83" s="203"/>
      <c r="HA83" s="194"/>
      <c r="HB83" s="195"/>
      <c r="HC83" s="196"/>
      <c r="HD83" s="197"/>
      <c r="HE83" s="198"/>
      <c r="HF83" s="199"/>
      <c r="HG83" s="200"/>
      <c r="HH83" s="201"/>
      <c r="HI83" s="60"/>
      <c r="HJ83" s="202"/>
      <c r="HK83" s="202"/>
      <c r="HL83" s="202"/>
      <c r="HM83" s="202"/>
      <c r="HN83" s="203"/>
    </row>
    <row r="84" spans="1:222" ht="16.5" customHeight="1">
      <c r="A84" s="181">
        <v>81</v>
      </c>
      <c r="B84" s="182">
        <v>2263557170</v>
      </c>
      <c r="C84" s="598" t="s">
        <v>2311</v>
      </c>
      <c r="D84" s="184" t="s">
        <v>941</v>
      </c>
      <c r="E84" s="184" t="str">
        <f t="shared" si="9"/>
        <v>Import</v>
      </c>
      <c r="F84" s="720" t="str" cm="1">
        <f t="array" ref="F84">_xlfn.IFS(
  OR(AI84="E11", AI84="E15"), "Raw materials",
  OR(AI84="E13", AI84="G13"), "Equipments + Toolings",
  TRUE, RIGHT(C84, 8)
)</f>
        <v>Raw materials</v>
      </c>
      <c r="G84" s="541" t="str" cm="1">
        <f t="array" ref="G84">IF(E84="Import",
  IFERROR(
    _xlfn.IFS(
      VLOOKUP(B84,[1]Material!F$5:U$90000,16,0)="LUC","Lucid",
      VLOOKUP(B84,[1]Material!F$5:U$90000,16,0)="FMC","FORD",
      OR(VLOOKUP(B84,[1]Material!F$5:U$90000,16,0)="PUR",VLOOKUP(B84,[1]Material!F$5:U$90000,16,0)="HLO"),"PURE",
      VLOOKUP(B84,[1]Material!F$5:U$90000,16,0)="AIC","AIC",
      OR(VLOOKUP(B84,[1]Material!F$5:U$90000,16,0)="AGI",VLOOKUP(B84,[1]Material!F$5:U$90000,16,0)="AGIGA"),"AGIGA",
      OR(LEFT(VLOOKUP(B84,[1]Material!F$5:U$90000,16,0),3)="EF-",VLOOKUP(B84,[1]Material!F$5:U$90000,16,0)="EFI"),"EFI",
      AND(ISNUMBER(VLOOKUP(B84,[1]Material!F$5:U$90000,16,0)),VLOOKUP(B84,[1]Material!F$5:U$90000,16,0)&gt;=100,VLOOKUP(B84,[1]Material!F$5:U$90000,16,0)&lt;=999,VLOOKUP(B84,[1]Material!F$5:U$90000,16,0)=INT(VLOOKUP(B84,[1]Material!F$5:U$90000,16,0))),"OEM",
      TRUE,""
    ),
    "không tìm thấy trong file Import"
  ),
  VLOOKUP(F84,'[2]Export shipment'!B:Y,24,0)
)</f>
        <v>Lucid</v>
      </c>
      <c r="H84" s="184"/>
      <c r="I84" s="184"/>
      <c r="J84" s="260">
        <f>(V84+X84+AA84)/'Logistics record '!$AD$1</f>
        <v>15.116015418335726</v>
      </c>
      <c r="K84" s="260">
        <f>W84/'Logistics record '!$AD$1</f>
        <v>0</v>
      </c>
      <c r="L84" s="260">
        <f>Y84/'Logistics record '!$AD$1</f>
        <v>0</v>
      </c>
      <c r="M84" s="260">
        <f>AF84/'Logistics record '!$AD$1</f>
        <v>0</v>
      </c>
      <c r="N84" s="260" t="str" cm="1">
        <f t="array" ref="N84">_xlfn.IFS(
    OR(UPPER(S84)="AIR", UPPER(S84)="CPN"), "AIR",
    UPPER(S84)="TC", "LOCAL",
    TRUE, "SEA"
)</f>
        <v>AIR</v>
      </c>
      <c r="O84" s="260">
        <f t="shared" si="10"/>
        <v>15.116015418335726</v>
      </c>
      <c r="P84" s="184" t="s">
        <v>935</v>
      </c>
      <c r="Q84" s="185">
        <v>108284045440</v>
      </c>
      <c r="R84" s="186">
        <v>46169</v>
      </c>
      <c r="S84" s="187" t="s">
        <v>928</v>
      </c>
      <c r="T84" s="188">
        <v>56.7</v>
      </c>
      <c r="U84" s="188"/>
      <c r="V84" s="189">
        <v>400000</v>
      </c>
      <c r="W84" s="190"/>
      <c r="X84" s="190"/>
      <c r="Y84" s="190"/>
      <c r="Z84" s="189">
        <f t="shared" si="6"/>
        <v>400000</v>
      </c>
      <c r="AA84" s="189">
        <v>0</v>
      </c>
      <c r="AB84" s="189">
        <f t="shared" si="11"/>
        <v>400000</v>
      </c>
      <c r="AC84" s="189"/>
      <c r="AD84" s="190"/>
      <c r="AE84" s="190"/>
      <c r="AF84" s="191">
        <f t="shared" si="7"/>
        <v>0</v>
      </c>
      <c r="AG84" s="190">
        <f t="shared" si="8"/>
        <v>400000</v>
      </c>
      <c r="AH84" s="190"/>
      <c r="AI84" s="192" t="str">
        <f>VLOOKUP(Q84,[3]Sheet1!B$11:G$1489,6,0)</f>
        <v>E11</v>
      </c>
      <c r="GK84" s="194"/>
      <c r="GL84" s="195"/>
      <c r="GM84" s="196"/>
      <c r="GN84" s="197"/>
      <c r="GO84" s="198"/>
      <c r="GP84" s="199"/>
      <c r="GQ84" s="200"/>
      <c r="GR84" s="201"/>
      <c r="GS84" s="60"/>
      <c r="GT84" s="202"/>
      <c r="GU84" s="202"/>
      <c r="GV84" s="202"/>
      <c r="GW84" s="202"/>
      <c r="GX84" s="203"/>
      <c r="HA84" s="194"/>
      <c r="HB84" s="195"/>
      <c r="HC84" s="196"/>
      <c r="HD84" s="197"/>
      <c r="HE84" s="198"/>
      <c r="HF84" s="199"/>
      <c r="HG84" s="200"/>
      <c r="HH84" s="201"/>
      <c r="HI84" s="60"/>
      <c r="HJ84" s="202"/>
      <c r="HK84" s="202"/>
      <c r="HL84" s="202"/>
      <c r="HM84" s="202"/>
      <c r="HN84" s="203"/>
    </row>
    <row r="85" spans="1:222" ht="16.5" customHeight="1">
      <c r="A85" s="181">
        <v>82</v>
      </c>
      <c r="B85" s="182" t="s">
        <v>2312</v>
      </c>
      <c r="C85" s="598" t="s">
        <v>2313</v>
      </c>
      <c r="D85" s="184" t="s">
        <v>2314</v>
      </c>
      <c r="E85" s="184" t="str">
        <f t="shared" si="9"/>
        <v>Import</v>
      </c>
      <c r="F85" s="720" t="str" cm="1">
        <f t="array" ref="F85">_xlfn.IFS(
  OR(AI85="E11", AI85="E15"), "Raw materials",
  OR(AI85="E13", AI85="G13"), "Equipments + Toolings",
  TRUE, RIGHT(C85, 8)
)</f>
        <v>Raw materials</v>
      </c>
      <c r="G85" s="541" t="s">
        <v>76</v>
      </c>
      <c r="H85" s="184"/>
      <c r="I85" s="184"/>
      <c r="J85" s="260">
        <f>(V85+X85+AA85)/'Logistics record '!$AD$1</f>
        <v>15.116015418335726</v>
      </c>
      <c r="K85" s="260">
        <f>W85/'Logistics record '!$AD$1</f>
        <v>0</v>
      </c>
      <c r="L85" s="260">
        <f>Y85/'Logistics record '!$AD$1</f>
        <v>0</v>
      </c>
      <c r="M85" s="260">
        <f>AF85/'Logistics record '!$AD$1</f>
        <v>0</v>
      </c>
      <c r="N85" s="260" t="str" cm="1">
        <f t="array" ref="N85">_xlfn.IFS(
    OR(UPPER(S85)="AIR", UPPER(S85)="CPN"), "AIR",
    UPPER(S85)="TC", "LOCAL",
    TRUE, "SEA"
)</f>
        <v>AIR</v>
      </c>
      <c r="O85" s="260">
        <f t="shared" si="10"/>
        <v>15.116015418335726</v>
      </c>
      <c r="P85" s="184" t="s">
        <v>931</v>
      </c>
      <c r="Q85" s="185">
        <v>108284068430</v>
      </c>
      <c r="R85" s="186">
        <v>46169</v>
      </c>
      <c r="S85" s="187" t="s">
        <v>928</v>
      </c>
      <c r="T85" s="188">
        <v>5.7</v>
      </c>
      <c r="U85" s="188"/>
      <c r="V85" s="189">
        <v>400000</v>
      </c>
      <c r="W85" s="190"/>
      <c r="X85" s="190"/>
      <c r="Y85" s="190"/>
      <c r="Z85" s="189">
        <f t="shared" si="6"/>
        <v>400000</v>
      </c>
      <c r="AA85" s="189">
        <v>0</v>
      </c>
      <c r="AB85" s="189">
        <f t="shared" si="11"/>
        <v>400000</v>
      </c>
      <c r="AC85" s="189"/>
      <c r="AD85" s="190"/>
      <c r="AE85" s="190"/>
      <c r="AF85" s="191">
        <f t="shared" si="7"/>
        <v>0</v>
      </c>
      <c r="AG85" s="190">
        <f t="shared" si="8"/>
        <v>400000</v>
      </c>
      <c r="AH85" s="190"/>
      <c r="AI85" s="192" t="str">
        <f>VLOOKUP(Q85,[3]Sheet1!B$11:G$1489,6,0)</f>
        <v>E11</v>
      </c>
      <c r="GK85" s="194"/>
      <c r="GL85" s="195"/>
      <c r="GM85" s="196"/>
      <c r="GN85" s="197"/>
      <c r="GO85" s="198"/>
      <c r="GP85" s="199"/>
      <c r="GQ85" s="200"/>
      <c r="GR85" s="201"/>
      <c r="GS85" s="60"/>
      <c r="GT85" s="202"/>
      <c r="GU85" s="202"/>
      <c r="GV85" s="202"/>
      <c r="GW85" s="202"/>
      <c r="GX85" s="203"/>
      <c r="HA85" s="194"/>
      <c r="HB85" s="195"/>
      <c r="HC85" s="196"/>
      <c r="HD85" s="197"/>
      <c r="HE85" s="198"/>
      <c r="HF85" s="199"/>
      <c r="HG85" s="200"/>
      <c r="HH85" s="201"/>
      <c r="HI85" s="60"/>
      <c r="HJ85" s="202"/>
      <c r="HK85" s="202"/>
      <c r="HL85" s="202"/>
      <c r="HM85" s="202"/>
      <c r="HN85" s="203"/>
    </row>
    <row r="86" spans="1:222" ht="16.5" customHeight="1">
      <c r="A86" s="181">
        <v>83</v>
      </c>
      <c r="B86" s="182">
        <v>4812920786</v>
      </c>
      <c r="C86" s="598" t="s">
        <v>2315</v>
      </c>
      <c r="D86" s="184" t="s">
        <v>830</v>
      </c>
      <c r="E86" s="184" t="str">
        <f t="shared" si="9"/>
        <v>Import</v>
      </c>
      <c r="F86" s="720" t="str" cm="1">
        <f t="array" ref="F86">_xlfn.IFS(
  OR(AI86="E11", AI86="E15"), "Raw materials",
  OR(AI86="E13", AI86="G13"), "Equipments + Toolings",
  TRUE, RIGHT(C86, 8)
)</f>
        <v>Raw materials</v>
      </c>
      <c r="G86" s="541" t="str" cm="1">
        <f t="array" ref="G86">IF(E86="Import",
  IFERROR(
    _xlfn.IFS(
      VLOOKUP(B86,[1]Material!F$5:U$90000,16,0)="LUC","Lucid",
      VLOOKUP(B86,[1]Material!F$5:U$90000,16,0)="FMC","FORD",
      OR(VLOOKUP(B86,[1]Material!F$5:U$90000,16,0)="PUR",VLOOKUP(B86,[1]Material!F$5:U$90000,16,0)="HLO"),"PURE",
      VLOOKUP(B86,[1]Material!F$5:U$90000,16,0)="AIC","AIC",
      OR(VLOOKUP(B86,[1]Material!F$5:U$90000,16,0)="AGI",VLOOKUP(B86,[1]Material!F$5:U$90000,16,0)="AGIGA"),"AGIGA",
      OR(LEFT(VLOOKUP(B86,[1]Material!F$5:U$90000,16,0),3)="EF-",VLOOKUP(B86,[1]Material!F$5:U$90000,16,0)="EFI"),"EFI",
      AND(ISNUMBER(VLOOKUP(B86,[1]Material!F$5:U$90000,16,0)),VLOOKUP(B86,[1]Material!F$5:U$90000,16,0)&gt;=100,VLOOKUP(B86,[1]Material!F$5:U$90000,16,0)&lt;=999,VLOOKUP(B86,[1]Material!F$5:U$90000,16,0)=INT(VLOOKUP(B86,[1]Material!F$5:U$90000,16,0))),"OEM",
      TRUE,""
    ),
    "không tìm thấy trong file Import"
  ),
  VLOOKUP(F86,'[2]Export shipment'!B:Y,24,0)
)</f>
        <v>PURE</v>
      </c>
      <c r="H86" s="184"/>
      <c r="I86" s="184"/>
      <c r="J86" s="260">
        <f>(V86+X86+AA86)/'Logistics record '!$AD$1</f>
        <v>15.116015418335726</v>
      </c>
      <c r="K86" s="260">
        <f>W86/'Logistics record '!$AD$1</f>
        <v>0</v>
      </c>
      <c r="L86" s="260">
        <f>Y86/'Logistics record '!$AD$1</f>
        <v>0</v>
      </c>
      <c r="M86" s="260">
        <f>AF86/'Logistics record '!$AD$1</f>
        <v>16.942407981256142</v>
      </c>
      <c r="N86" s="260" t="str" cm="1">
        <f t="array" ref="N86">_xlfn.IFS(
    OR(UPPER(S86)="AIR", UPPER(S86)="CPN"), "AIR",
    UPPER(S86)="TC", "LOCAL",
    TRUE, "SEA"
)</f>
        <v>AIR</v>
      </c>
      <c r="O86" s="260">
        <f t="shared" si="10"/>
        <v>32.058423399591867</v>
      </c>
      <c r="P86" s="184" t="s">
        <v>932</v>
      </c>
      <c r="Q86" s="185">
        <v>108284114410</v>
      </c>
      <c r="R86" s="186">
        <v>46169</v>
      </c>
      <c r="S86" s="187" t="s">
        <v>65</v>
      </c>
      <c r="T86" s="188">
        <v>92</v>
      </c>
      <c r="U86" s="188"/>
      <c r="V86" s="189">
        <v>400000</v>
      </c>
      <c r="W86" s="190"/>
      <c r="X86" s="190"/>
      <c r="Y86" s="190"/>
      <c r="Z86" s="189">
        <f t="shared" si="6"/>
        <v>400000</v>
      </c>
      <c r="AA86" s="189">
        <v>0</v>
      </c>
      <c r="AB86" s="189">
        <f t="shared" si="11"/>
        <v>400000</v>
      </c>
      <c r="AC86" s="189"/>
      <c r="AD86" s="190"/>
      <c r="AE86" s="190">
        <v>448330</v>
      </c>
      <c r="AF86" s="191">
        <f t="shared" si="7"/>
        <v>448330</v>
      </c>
      <c r="AG86" s="190">
        <f t="shared" si="8"/>
        <v>848330</v>
      </c>
      <c r="AH86" s="190"/>
      <c r="AI86" s="192" t="str">
        <f>VLOOKUP(Q86,[3]Sheet1!B$11:G$1489,6,0)</f>
        <v>E11</v>
      </c>
      <c r="GK86" s="194"/>
      <c r="GL86" s="195"/>
      <c r="GM86" s="196"/>
      <c r="GN86" s="197"/>
      <c r="GO86" s="198"/>
      <c r="GP86" s="199"/>
      <c r="GQ86" s="200"/>
      <c r="GR86" s="201"/>
      <c r="GS86" s="60"/>
      <c r="GT86" s="202"/>
      <c r="GU86" s="202"/>
      <c r="GV86" s="202"/>
      <c r="GW86" s="202"/>
      <c r="GX86" s="203"/>
      <c r="HA86" s="194"/>
      <c r="HB86" s="195"/>
      <c r="HC86" s="196"/>
      <c r="HD86" s="197"/>
      <c r="HE86" s="198"/>
      <c r="HF86" s="199"/>
      <c r="HG86" s="200"/>
      <c r="HH86" s="201"/>
      <c r="HI86" s="60"/>
      <c r="HJ86" s="202"/>
      <c r="HK86" s="202"/>
      <c r="HL86" s="202"/>
      <c r="HM86" s="202"/>
      <c r="HN86" s="203"/>
    </row>
    <row r="87" spans="1:222" ht="16.5" customHeight="1">
      <c r="A87" s="181">
        <v>84</v>
      </c>
      <c r="B87" s="182" t="s">
        <v>2316</v>
      </c>
      <c r="C87" s="183" t="s">
        <v>2317</v>
      </c>
      <c r="D87" s="184" t="s">
        <v>378</v>
      </c>
      <c r="E87" s="184" t="str">
        <f t="shared" si="9"/>
        <v>Import</v>
      </c>
      <c r="F87" s="720" t="str" cm="1">
        <f t="array" ref="F87">_xlfn.IFS(
  OR(AI87="E11", AI87="E15"), "Raw materials",
  OR(AI87="E13", AI87="G13"), "Equipments + Toolings",
  TRUE, RIGHT(C87, 8)
)</f>
        <v>Raw materials</v>
      </c>
      <c r="G87" s="541" t="str" cm="1">
        <f t="array" ref="G87">IF(E87="Import",
  IFERROR(
    _xlfn.IFS(
      VLOOKUP(B87,[1]Material!F$5:U$90000,16,0)="LUC","Lucid",
      VLOOKUP(B87,[1]Material!F$5:U$90000,16,0)="FMC","FORD",
      OR(VLOOKUP(B87,[1]Material!F$5:U$90000,16,0)="PUR",VLOOKUP(B87,[1]Material!F$5:U$90000,16,0)="HLO"),"PURE",
      VLOOKUP(B87,[1]Material!F$5:U$90000,16,0)="AIC","AIC",
      OR(VLOOKUP(B87,[1]Material!F$5:U$90000,16,0)="AGI",VLOOKUP(B87,[1]Material!F$5:U$90000,16,0)="AGIGA"),"AGIGA",
      OR(LEFT(VLOOKUP(B87,[1]Material!F$5:U$90000,16,0),3)="EF-",VLOOKUP(B87,[1]Material!F$5:U$90000,16,0)="EFI"),"EFI",
      AND(ISNUMBER(VLOOKUP(B87,[1]Material!F$5:U$90000,16,0)),VLOOKUP(B87,[1]Material!F$5:U$90000,16,0)&gt;=100,VLOOKUP(B87,[1]Material!F$5:U$90000,16,0)&lt;=999,VLOOKUP(B87,[1]Material!F$5:U$90000,16,0)=INT(VLOOKUP(B87,[1]Material!F$5:U$90000,16,0))),"OEM",
      TRUE,""
    ),
    "không tìm thấy trong file Import"
  ),
  VLOOKUP(F87,'[2]Export shipment'!B:Y,24,0)
)</f>
        <v>Lucid</v>
      </c>
      <c r="H87" s="184"/>
      <c r="I87" s="184"/>
      <c r="J87" s="260">
        <f>(V87+X87+AA87)/'Logistics record '!$AD$1</f>
        <v>15.116015418335726</v>
      </c>
      <c r="K87" s="260">
        <f>W87/'Logistics record '!$AD$1</f>
        <v>0</v>
      </c>
      <c r="L87" s="260">
        <f>Y87/'Logistics record '!$AD$1</f>
        <v>422.84634570327262</v>
      </c>
      <c r="M87" s="260">
        <f>AF87/'Logistics record '!$AD$1</f>
        <v>17.876199833723831</v>
      </c>
      <c r="N87" s="260" t="str" cm="1">
        <f t="array" ref="N87">_xlfn.IFS(
    OR(UPPER(S87)="AIR", UPPER(S87)="CPN"), "AIR",
    UPPER(S87)="TC", "LOCAL",
    TRUE, "SEA"
)</f>
        <v>SEA</v>
      </c>
      <c r="O87" s="260">
        <f t="shared" si="10"/>
        <v>455.83856095533218</v>
      </c>
      <c r="P87" s="184" t="s">
        <v>937</v>
      </c>
      <c r="Q87" s="185">
        <v>108284349940</v>
      </c>
      <c r="R87" s="186">
        <v>46170</v>
      </c>
      <c r="S87" s="187" t="s">
        <v>933</v>
      </c>
      <c r="T87" s="188">
        <v>117</v>
      </c>
      <c r="U87" s="188">
        <v>1</v>
      </c>
      <c r="V87" s="189">
        <v>400000</v>
      </c>
      <c r="W87" s="190"/>
      <c r="X87" s="190"/>
      <c r="Y87" s="190">
        <v>11189360</v>
      </c>
      <c r="Z87" s="189">
        <f t="shared" si="6"/>
        <v>11589360</v>
      </c>
      <c r="AA87" s="189">
        <v>0</v>
      </c>
      <c r="AB87" s="189">
        <f t="shared" si="11"/>
        <v>11589360</v>
      </c>
      <c r="AC87" s="189"/>
      <c r="AD87" s="190"/>
      <c r="AE87" s="190">
        <v>473040</v>
      </c>
      <c r="AF87" s="191">
        <f t="shared" si="7"/>
        <v>473040</v>
      </c>
      <c r="AG87" s="190">
        <f t="shared" si="8"/>
        <v>12062400</v>
      </c>
      <c r="AH87" s="190"/>
      <c r="AI87" s="192" t="str">
        <f>VLOOKUP(Q87,[3]Sheet1!B$11:G$1489,6,0)</f>
        <v>E11</v>
      </c>
      <c r="GK87" s="194"/>
      <c r="GL87" s="195"/>
      <c r="GM87" s="196"/>
      <c r="GN87" s="197"/>
      <c r="GO87" s="198"/>
      <c r="GP87" s="199"/>
      <c r="GQ87" s="200"/>
      <c r="GR87" s="201"/>
      <c r="GS87" s="60"/>
      <c r="GT87" s="202"/>
      <c r="GU87" s="202"/>
      <c r="GV87" s="202"/>
      <c r="GW87" s="202"/>
      <c r="GX87" s="203"/>
      <c r="HA87" s="194"/>
      <c r="HB87" s="195"/>
      <c r="HC87" s="196"/>
      <c r="HD87" s="197"/>
      <c r="HE87" s="198"/>
      <c r="HF87" s="199"/>
      <c r="HG87" s="200"/>
      <c r="HH87" s="201"/>
      <c r="HI87" s="60"/>
      <c r="HJ87" s="202"/>
      <c r="HK87" s="202"/>
      <c r="HL87" s="202"/>
      <c r="HM87" s="202"/>
      <c r="HN87" s="203"/>
    </row>
    <row r="88" spans="1:222" ht="16.5" customHeight="1">
      <c r="A88" s="181">
        <v>85</v>
      </c>
      <c r="B88" s="182">
        <v>8010373066</v>
      </c>
      <c r="C88" s="183" t="s">
        <v>2318</v>
      </c>
      <c r="D88" s="184" t="s">
        <v>1697</v>
      </c>
      <c r="E88" s="184" t="str">
        <f t="shared" si="9"/>
        <v>Import</v>
      </c>
      <c r="F88" s="720" t="str" cm="1">
        <f t="array" ref="F88">_xlfn.IFS(
  OR(AI88="E11", AI88="E15"), "Raw materials",
  OR(AI88="E13", AI88="G13"), "Equipments + Toolings",
  TRUE, RIGHT(C88, 8)
)</f>
        <v>Raw materials</v>
      </c>
      <c r="G88" s="541" t="str" cm="1">
        <f t="array" ref="G88">IF(E88="Import",
  IFERROR(
    _xlfn.IFS(
      VLOOKUP(B88,[1]Material!F$5:U$90000,16,0)="LUC","Lucid",
      VLOOKUP(B88,[1]Material!F$5:U$90000,16,0)="FMC","FORD",
      OR(VLOOKUP(B88,[1]Material!F$5:U$90000,16,0)="PUR",VLOOKUP(B88,[1]Material!F$5:U$90000,16,0)="HLO"),"PURE",
      VLOOKUP(B88,[1]Material!F$5:U$90000,16,0)="AIC","AIC",
      OR(VLOOKUP(B88,[1]Material!F$5:U$90000,16,0)="AGI",VLOOKUP(B88,[1]Material!F$5:U$90000,16,0)="AGIGA"),"AGIGA",
      OR(LEFT(VLOOKUP(B88,[1]Material!F$5:U$90000,16,0),3)="EF-",VLOOKUP(B88,[1]Material!F$5:U$90000,16,0)="EFI"),"EFI",
      AND(ISNUMBER(VLOOKUP(B88,[1]Material!F$5:U$90000,16,0)),VLOOKUP(B88,[1]Material!F$5:U$90000,16,0)&gt;=100,VLOOKUP(B88,[1]Material!F$5:U$90000,16,0)&lt;=999,VLOOKUP(B88,[1]Material!F$5:U$90000,16,0)=INT(VLOOKUP(B88,[1]Material!F$5:U$90000,16,0))),"OEM",
      TRUE,""
    ),
    "không tìm thấy trong file Import"
  ),
  VLOOKUP(F88,'[2]Export shipment'!B:Y,24,0)
)</f>
        <v>FORD</v>
      </c>
      <c r="H88" s="184"/>
      <c r="I88" s="184"/>
      <c r="J88" s="260">
        <f>(V88+X88+AA88)/'Logistics record '!$AD$1</f>
        <v>15.116015418335726</v>
      </c>
      <c r="K88" s="260">
        <f>W88/'Logistics record '!$AD$1</f>
        <v>0</v>
      </c>
      <c r="L88" s="260">
        <f>Y88/'Logistics record '!$AD$1</f>
        <v>0</v>
      </c>
      <c r="M88" s="260">
        <f>AF88/'Logistics record '!$AD$1</f>
        <v>0</v>
      </c>
      <c r="N88" s="260" t="str" cm="1">
        <f t="array" ref="N88">_xlfn.IFS(
    OR(UPPER(S88)="AIR", UPPER(S88)="CPN"), "AIR",
    UPPER(S88)="TC", "LOCAL",
    TRUE, "SEA"
)</f>
        <v>AIR</v>
      </c>
      <c r="O88" s="260">
        <f t="shared" si="10"/>
        <v>15.116015418335726</v>
      </c>
      <c r="P88" s="184" t="s">
        <v>937</v>
      </c>
      <c r="Q88" s="185">
        <v>108284628320</v>
      </c>
      <c r="R88" s="186">
        <v>46170</v>
      </c>
      <c r="S88" s="187" t="s">
        <v>928</v>
      </c>
      <c r="T88" s="188">
        <v>0.2</v>
      </c>
      <c r="U88" s="188"/>
      <c r="V88" s="189">
        <v>400000</v>
      </c>
      <c r="W88" s="190"/>
      <c r="X88" s="190"/>
      <c r="Y88" s="190"/>
      <c r="Z88" s="189">
        <f t="shared" si="6"/>
        <v>400000</v>
      </c>
      <c r="AA88" s="189">
        <v>0</v>
      </c>
      <c r="AB88" s="189">
        <f t="shared" si="11"/>
        <v>400000</v>
      </c>
      <c r="AC88" s="189"/>
      <c r="AD88" s="190"/>
      <c r="AE88" s="190"/>
      <c r="AF88" s="191">
        <f t="shared" si="7"/>
        <v>0</v>
      </c>
      <c r="AG88" s="190">
        <f t="shared" si="8"/>
        <v>400000</v>
      </c>
      <c r="AH88" s="190"/>
      <c r="AI88" s="192" t="str">
        <f>VLOOKUP(Q88,[3]Sheet1!B$11:G$1489,6,0)</f>
        <v>E11</v>
      </c>
      <c r="GK88" s="194"/>
      <c r="GL88" s="195"/>
      <c r="GM88" s="196"/>
      <c r="GN88" s="197"/>
      <c r="GO88" s="198"/>
      <c r="GP88" s="199"/>
      <c r="GQ88" s="200"/>
      <c r="GR88" s="201"/>
      <c r="GS88" s="60"/>
      <c r="GT88" s="202"/>
      <c r="GU88" s="202"/>
      <c r="GV88" s="202"/>
      <c r="GW88" s="202"/>
      <c r="GX88" s="203"/>
      <c r="HA88" s="194"/>
      <c r="HB88" s="195"/>
      <c r="HC88" s="196"/>
      <c r="HD88" s="197"/>
      <c r="HE88" s="198"/>
      <c r="HF88" s="199"/>
      <c r="HG88" s="200"/>
      <c r="HH88" s="201"/>
      <c r="HI88" s="60"/>
      <c r="HJ88" s="202"/>
      <c r="HK88" s="202"/>
      <c r="HL88" s="202"/>
      <c r="HM88" s="202"/>
      <c r="HN88" s="203"/>
    </row>
    <row r="89" spans="1:222" ht="16.5" customHeight="1">
      <c r="A89" s="181">
        <v>86</v>
      </c>
      <c r="B89" s="182">
        <v>4711938288</v>
      </c>
      <c r="C89" s="598" t="s">
        <v>2319</v>
      </c>
      <c r="D89" s="184" t="s">
        <v>801</v>
      </c>
      <c r="E89" s="184" t="str">
        <f t="shared" si="9"/>
        <v>Import</v>
      </c>
      <c r="F89" s="720" t="str" cm="1">
        <f t="array" ref="F89">_xlfn.IFS(
  OR(AI89="E11", AI89="E15"), "Raw materials",
  OR(AI89="E13", AI89="G13"), "Equipments + Toolings",
  TRUE, RIGHT(C89, 8)
)</f>
        <v>Raw materials</v>
      </c>
      <c r="G89" s="541" t="str" cm="1">
        <f t="array" ref="G89">IF(E89="Import",
  IFERROR(
    _xlfn.IFS(
      VLOOKUP(B89,[1]Material!F$5:U$90000,16,0)="LUC","Lucid",
      VLOOKUP(B89,[1]Material!F$5:U$90000,16,0)="FMC","FORD",
      OR(VLOOKUP(B89,[1]Material!F$5:U$90000,16,0)="PUR",VLOOKUP(B89,[1]Material!F$5:U$90000,16,0)="HLO"),"PURE",
      VLOOKUP(B89,[1]Material!F$5:U$90000,16,0)="AIC","AIC",
      OR(VLOOKUP(B89,[1]Material!F$5:U$90000,16,0)="AGI",VLOOKUP(B89,[1]Material!F$5:U$90000,16,0)="AGIGA"),"AGIGA",
      OR(LEFT(VLOOKUP(B89,[1]Material!F$5:U$90000,16,0),3)="EF-",VLOOKUP(B89,[1]Material!F$5:U$90000,16,0)="EFI"),"EFI",
      AND(ISNUMBER(VLOOKUP(B89,[1]Material!F$5:U$90000,16,0)),VLOOKUP(B89,[1]Material!F$5:U$90000,16,0)&gt;=100,VLOOKUP(B89,[1]Material!F$5:U$90000,16,0)&lt;=999,VLOOKUP(B89,[1]Material!F$5:U$90000,16,0)=INT(VLOOKUP(B89,[1]Material!F$5:U$90000,16,0))),"OEM",
      TRUE,""
    ),
    "không tìm thấy trong file Import"
  ),
  VLOOKUP(F89,'[2]Export shipment'!B:Y,24,0)
)</f>
        <v>Lucid</v>
      </c>
      <c r="H89" s="184"/>
      <c r="I89" s="184"/>
      <c r="J89" s="260">
        <f>(V89+X89+AA89)/'Logistics record '!$AD$1</f>
        <v>15.116015418335726</v>
      </c>
      <c r="K89" s="260">
        <f>W89/'Logistics record '!$AD$1</f>
        <v>0</v>
      </c>
      <c r="L89" s="260">
        <f>Y89/'Logistics record '!$AD$1</f>
        <v>0</v>
      </c>
      <c r="M89" s="260">
        <f>AF89/'Logistics record '!$AD$1</f>
        <v>16.637102259844305</v>
      </c>
      <c r="N89" s="260" t="str" cm="1">
        <f t="array" ref="N89">_xlfn.IFS(
    OR(UPPER(S89)="AIR", UPPER(S89)="CPN"), "AIR",
    UPPER(S89)="TC", "LOCAL",
    TRUE, "SEA"
)</f>
        <v>AIR</v>
      </c>
      <c r="O89" s="260">
        <f t="shared" si="10"/>
        <v>31.753117678180033</v>
      </c>
      <c r="P89" s="184" t="s">
        <v>937</v>
      </c>
      <c r="Q89" s="185">
        <v>108284738440</v>
      </c>
      <c r="R89" s="186">
        <v>46170</v>
      </c>
      <c r="S89" s="187" t="s">
        <v>65</v>
      </c>
      <c r="T89" s="188">
        <v>85</v>
      </c>
      <c r="U89" s="188"/>
      <c r="V89" s="189">
        <v>400000</v>
      </c>
      <c r="W89" s="190"/>
      <c r="X89" s="190"/>
      <c r="Y89" s="190"/>
      <c r="Z89" s="189">
        <f t="shared" si="6"/>
        <v>400000</v>
      </c>
      <c r="AA89" s="189">
        <v>0</v>
      </c>
      <c r="AB89" s="189">
        <f t="shared" si="11"/>
        <v>400000</v>
      </c>
      <c r="AC89" s="189"/>
      <c r="AD89" s="190"/>
      <c r="AE89" s="190">
        <v>440251</v>
      </c>
      <c r="AF89" s="191">
        <f t="shared" si="7"/>
        <v>440251</v>
      </c>
      <c r="AG89" s="190">
        <f t="shared" si="8"/>
        <v>840251</v>
      </c>
      <c r="AH89" s="190"/>
      <c r="AI89" s="192" t="str">
        <f>VLOOKUP(Q89,[3]Sheet1!B$11:G$1489,6,0)</f>
        <v>E11</v>
      </c>
      <c r="GK89" s="194"/>
      <c r="GL89" s="195"/>
      <c r="GM89" s="196"/>
      <c r="GN89" s="197"/>
      <c r="GO89" s="198"/>
      <c r="GP89" s="199"/>
      <c r="GQ89" s="200"/>
      <c r="GR89" s="201"/>
      <c r="GS89" s="60"/>
      <c r="GT89" s="202"/>
      <c r="GU89" s="202"/>
      <c r="GV89" s="202"/>
      <c r="GW89" s="202"/>
      <c r="GX89" s="203"/>
      <c r="HA89" s="194"/>
      <c r="HB89" s="195"/>
      <c r="HC89" s="196"/>
      <c r="HD89" s="197"/>
      <c r="HE89" s="198"/>
      <c r="HF89" s="199"/>
      <c r="HG89" s="200"/>
      <c r="HH89" s="201"/>
      <c r="HI89" s="60"/>
      <c r="HJ89" s="202"/>
      <c r="HK89" s="202"/>
      <c r="HL89" s="202"/>
      <c r="HM89" s="202"/>
      <c r="HN89" s="203"/>
    </row>
    <row r="90" spans="1:222" ht="16.5" customHeight="1">
      <c r="A90" s="181">
        <v>87</v>
      </c>
      <c r="B90" s="182" t="s">
        <v>2320</v>
      </c>
      <c r="C90" s="183" t="s">
        <v>2321</v>
      </c>
      <c r="D90" s="184" t="s">
        <v>298</v>
      </c>
      <c r="E90" s="184" t="str">
        <f t="shared" si="9"/>
        <v>Import</v>
      </c>
      <c r="F90" s="720" t="str" cm="1">
        <f t="array" ref="F90">_xlfn.IFS(
  OR(AI90="E11", AI90="E15"), "Raw materials",
  OR(AI90="E13", AI90="G13"), "Equipments + Toolings",
  TRUE, RIGHT(C90, 8)
)</f>
        <v>Raw materials</v>
      </c>
      <c r="G90" s="541" t="str" cm="1">
        <f t="array" ref="G90">IF(E90="Import",
  IFERROR(
    _xlfn.IFS(
      VLOOKUP(B90,[1]Material!F$5:U$90000,16,0)="LUC","Lucid",
      VLOOKUP(B90,[1]Material!F$5:U$90000,16,0)="FMC","FORD",
      OR(VLOOKUP(B90,[1]Material!F$5:U$90000,16,0)="PUR",VLOOKUP(B90,[1]Material!F$5:U$90000,16,0)="HLO"),"PURE",
      VLOOKUP(B90,[1]Material!F$5:U$90000,16,0)="AIC","AIC",
      OR(VLOOKUP(B90,[1]Material!F$5:U$90000,16,0)="AGI",VLOOKUP(B90,[1]Material!F$5:U$90000,16,0)="AGIGA"),"AGIGA",
      OR(LEFT(VLOOKUP(B90,[1]Material!F$5:U$90000,16,0),3)="EF-",VLOOKUP(B90,[1]Material!F$5:U$90000,16,0)="EFI"),"EFI",
      AND(ISNUMBER(VLOOKUP(B90,[1]Material!F$5:U$90000,16,0)),VLOOKUP(B90,[1]Material!F$5:U$90000,16,0)&gt;=100,VLOOKUP(B90,[1]Material!F$5:U$90000,16,0)&lt;=999,VLOOKUP(B90,[1]Material!F$5:U$90000,16,0)=INT(VLOOKUP(B90,[1]Material!F$5:U$90000,16,0))),"OEM",
      TRUE,""
    ),
    "không tìm thấy trong file Import"
  ),
  VLOOKUP(F90,'[2]Export shipment'!B:Y,24,0)
)</f>
        <v>Lucid</v>
      </c>
      <c r="H90" s="184"/>
      <c r="I90" s="184"/>
      <c r="J90" s="260">
        <f>(V90+X90+AA90)/'Logistics record '!$AD$1</f>
        <v>15.116015418335726</v>
      </c>
      <c r="K90" s="260">
        <f>W90/'Logistics record '!$AD$1</f>
        <v>162.49716574710905</v>
      </c>
      <c r="L90" s="260">
        <f>Y90/'Logistics record '!$AD$1</f>
        <v>483.51755725190839</v>
      </c>
      <c r="M90" s="260">
        <f>AF90/'Logistics record '!$AD$1</f>
        <v>167.84445620134534</v>
      </c>
      <c r="N90" s="260" t="str" cm="1">
        <f t="array" ref="N90">_xlfn.IFS(
    OR(UPPER(S90)="AIR", UPPER(S90)="CPN"), "AIR",
    UPPER(S90)="TC", "LOCAL",
    TRUE, "SEA"
)</f>
        <v>SEA</v>
      </c>
      <c r="O90" s="260">
        <f t="shared" si="10"/>
        <v>828.97519461869842</v>
      </c>
      <c r="P90" s="184" t="s">
        <v>932</v>
      </c>
      <c r="Q90" s="185">
        <v>108284738810</v>
      </c>
      <c r="R90" s="186">
        <v>46170</v>
      </c>
      <c r="S90" s="187" t="s">
        <v>933</v>
      </c>
      <c r="T90" s="188">
        <v>933.5</v>
      </c>
      <c r="U90" s="188">
        <v>12.1</v>
      </c>
      <c r="V90" s="189">
        <v>400000</v>
      </c>
      <c r="W90" s="190">
        <v>4300000</v>
      </c>
      <c r="X90" s="190"/>
      <c r="Y90" s="190">
        <v>12794841.6</v>
      </c>
      <c r="Z90" s="189">
        <f t="shared" si="6"/>
        <v>17494841.600000001</v>
      </c>
      <c r="AA90" s="189">
        <v>0</v>
      </c>
      <c r="AB90" s="189">
        <f t="shared" si="11"/>
        <v>17494841.600000001</v>
      </c>
      <c r="AC90" s="189"/>
      <c r="AD90" s="190"/>
      <c r="AE90" s="190">
        <v>4441500</v>
      </c>
      <c r="AF90" s="191">
        <f t="shared" si="7"/>
        <v>4441500</v>
      </c>
      <c r="AG90" s="190">
        <f t="shared" si="8"/>
        <v>21936341.600000001</v>
      </c>
      <c r="AH90" s="190"/>
      <c r="AI90" s="192" t="str">
        <f>VLOOKUP(Q90,[3]Sheet1!B$11:G$1489,6,0)</f>
        <v>E11</v>
      </c>
      <c r="GK90" s="194"/>
      <c r="GL90" s="195"/>
      <c r="GM90" s="196"/>
      <c r="GN90" s="197"/>
      <c r="GO90" s="198"/>
      <c r="GP90" s="199"/>
      <c r="GQ90" s="200"/>
      <c r="GR90" s="201"/>
      <c r="GS90" s="60"/>
      <c r="GT90" s="202"/>
      <c r="GU90" s="202"/>
      <c r="GV90" s="202"/>
      <c r="GW90" s="202"/>
      <c r="GX90" s="203"/>
      <c r="HA90" s="194"/>
      <c r="HB90" s="195"/>
      <c r="HC90" s="196"/>
      <c r="HD90" s="197"/>
      <c r="HE90" s="198"/>
      <c r="HF90" s="199"/>
      <c r="HG90" s="200"/>
      <c r="HH90" s="201"/>
      <c r="HI90" s="60"/>
      <c r="HJ90" s="202"/>
      <c r="HK90" s="202"/>
      <c r="HL90" s="202"/>
      <c r="HM90" s="202"/>
      <c r="HN90" s="203"/>
    </row>
    <row r="91" spans="1:222" ht="16.5" customHeight="1">
      <c r="A91" s="181">
        <v>88</v>
      </c>
      <c r="B91" s="182">
        <v>4915119423</v>
      </c>
      <c r="C91" s="183" t="s">
        <v>2322</v>
      </c>
      <c r="D91" s="184" t="s">
        <v>522</v>
      </c>
      <c r="E91" s="184" t="str">
        <f t="shared" si="9"/>
        <v>Import</v>
      </c>
      <c r="F91" s="720" t="str" cm="1">
        <f t="array" ref="F91">_xlfn.IFS(
  OR(AI91="E11", AI91="E15"), "Raw materials",
  OR(AI91="E13", AI91="G13"), "Equipments + Toolings",
  TRUE, RIGHT(C91, 8)
)</f>
        <v>Raw materials</v>
      </c>
      <c r="G91" s="541" t="str" cm="1">
        <f t="array" ref="G91">IF(E91="Import",
  IFERROR(
    _xlfn.IFS(
      VLOOKUP(B91,[1]Material!F$5:U$90000,16,0)="LUC","Lucid",
      VLOOKUP(B91,[1]Material!F$5:U$90000,16,0)="FMC","FORD",
      OR(VLOOKUP(B91,[1]Material!F$5:U$90000,16,0)="PUR",VLOOKUP(B91,[1]Material!F$5:U$90000,16,0)="HLO"),"PURE",
      VLOOKUP(B91,[1]Material!F$5:U$90000,16,0)="AIC","AIC",
      OR(VLOOKUP(B91,[1]Material!F$5:U$90000,16,0)="AGI",VLOOKUP(B91,[1]Material!F$5:U$90000,16,0)="AGIGA"),"AGIGA",
      OR(LEFT(VLOOKUP(B91,[1]Material!F$5:U$90000,16,0),3)="EF-",VLOOKUP(B91,[1]Material!F$5:U$90000,16,0)="EFI"),"EFI",
      AND(ISNUMBER(VLOOKUP(B91,[1]Material!F$5:U$90000,16,0)),VLOOKUP(B91,[1]Material!F$5:U$90000,16,0)&gt;=100,VLOOKUP(B91,[1]Material!F$5:U$90000,16,0)&lt;=999,VLOOKUP(B91,[1]Material!F$5:U$90000,16,0)=INT(VLOOKUP(B91,[1]Material!F$5:U$90000,16,0))),"OEM",
      TRUE,""
    ),
    "không tìm thấy trong file Import"
  ),
  VLOOKUP(F91,'[2]Export shipment'!B:Y,24,0)
)</f>
        <v>PURE</v>
      </c>
      <c r="H91" s="184"/>
      <c r="I91" s="184"/>
      <c r="J91" s="260">
        <f>(V91+X91+AA91)/'Logistics record '!$AD$1</f>
        <v>15.116015418335726</v>
      </c>
      <c r="K91" s="260">
        <f>W91/'Logistics record '!$AD$1</f>
        <v>22.674023127503592</v>
      </c>
      <c r="L91" s="260">
        <f>Y91/'Logistics record '!$AD$1</f>
        <v>0</v>
      </c>
      <c r="M91" s="260">
        <f>AF91/'Logistics record '!$AD$1</f>
        <v>29.449210188194392</v>
      </c>
      <c r="N91" s="260" t="str" cm="1">
        <f t="array" ref="N91">_xlfn.IFS(
    OR(UPPER(S91)="AIR", UPPER(S91)="CPN"), "AIR",
    UPPER(S91)="TC", "LOCAL",
    TRUE, "SEA"
)</f>
        <v>AIR</v>
      </c>
      <c r="O91" s="260">
        <f t="shared" si="10"/>
        <v>67.239248734033708</v>
      </c>
      <c r="P91" s="184" t="s">
        <v>927</v>
      </c>
      <c r="Q91" s="185">
        <v>108285265100</v>
      </c>
      <c r="R91" s="186">
        <v>46170</v>
      </c>
      <c r="S91" s="187" t="s">
        <v>65</v>
      </c>
      <c r="T91" s="188">
        <v>288</v>
      </c>
      <c r="U91" s="188"/>
      <c r="V91" s="189">
        <v>400000</v>
      </c>
      <c r="W91" s="190">
        <v>600000</v>
      </c>
      <c r="X91" s="190"/>
      <c r="Y91" s="190"/>
      <c r="Z91" s="189">
        <f t="shared" si="6"/>
        <v>1000000</v>
      </c>
      <c r="AA91" s="189">
        <v>0</v>
      </c>
      <c r="AB91" s="189">
        <f t="shared" si="11"/>
        <v>1000000</v>
      </c>
      <c r="AC91" s="189"/>
      <c r="AD91" s="190"/>
      <c r="AE91" s="190">
        <v>779285</v>
      </c>
      <c r="AF91" s="191">
        <f t="shared" si="7"/>
        <v>779285</v>
      </c>
      <c r="AG91" s="190">
        <f t="shared" si="8"/>
        <v>1779285</v>
      </c>
      <c r="AH91" s="190"/>
      <c r="AI91" s="192" t="str">
        <f>VLOOKUP(Q91,[3]Sheet1!B$11:G$1489,6,0)</f>
        <v>E11</v>
      </c>
      <c r="GK91" s="194"/>
      <c r="GL91" s="195"/>
      <c r="GM91" s="196"/>
      <c r="GN91" s="197"/>
      <c r="GO91" s="198"/>
      <c r="GP91" s="199"/>
      <c r="GQ91" s="200"/>
      <c r="GR91" s="201"/>
      <c r="GS91" s="60"/>
      <c r="GT91" s="202"/>
      <c r="GU91" s="202"/>
      <c r="GV91" s="202"/>
      <c r="GW91" s="202"/>
      <c r="GX91" s="203"/>
      <c r="HA91" s="194"/>
      <c r="HB91" s="195"/>
      <c r="HC91" s="196"/>
      <c r="HD91" s="197"/>
      <c r="HE91" s="198"/>
      <c r="HF91" s="199"/>
      <c r="HG91" s="200"/>
      <c r="HH91" s="201"/>
      <c r="HI91" s="60"/>
      <c r="HJ91" s="202"/>
      <c r="HK91" s="202"/>
      <c r="HL91" s="202"/>
      <c r="HM91" s="202"/>
      <c r="HN91" s="203"/>
    </row>
    <row r="92" spans="1:222" ht="16.5" customHeight="1">
      <c r="A92" s="181">
        <v>89</v>
      </c>
      <c r="B92" s="182">
        <v>4915119421</v>
      </c>
      <c r="C92" s="183" t="s">
        <v>2323</v>
      </c>
      <c r="D92" s="184" t="s">
        <v>381</v>
      </c>
      <c r="E92" s="184" t="str">
        <f t="shared" si="9"/>
        <v>Import</v>
      </c>
      <c r="F92" s="720" t="str" cm="1">
        <f t="array" ref="F92">_xlfn.IFS(
  OR(AI92="E11", AI92="E15"), "Raw materials",
  OR(AI92="E13", AI92="G13"), "Equipments + Toolings",
  TRUE, RIGHT(C92, 8)
)</f>
        <v>Raw materials</v>
      </c>
      <c r="G92" s="541" t="str" cm="1">
        <f t="array" ref="G92">IF(E92="Import",
  IFERROR(
    _xlfn.IFS(
      VLOOKUP(B92,[1]Material!F$5:U$90000,16,0)="LUC","Lucid",
      VLOOKUP(B92,[1]Material!F$5:U$90000,16,0)="FMC","FORD",
      OR(VLOOKUP(B92,[1]Material!F$5:U$90000,16,0)="PUR",VLOOKUP(B92,[1]Material!F$5:U$90000,16,0)="HLO"),"PURE",
      VLOOKUP(B92,[1]Material!F$5:U$90000,16,0)="AIC","AIC",
      OR(VLOOKUP(B92,[1]Material!F$5:U$90000,16,0)="AGI",VLOOKUP(B92,[1]Material!F$5:U$90000,16,0)="AGIGA"),"AGIGA",
      OR(LEFT(VLOOKUP(B92,[1]Material!F$5:U$90000,16,0),3)="EF-",VLOOKUP(B92,[1]Material!F$5:U$90000,16,0)="EFI"),"EFI",
      AND(ISNUMBER(VLOOKUP(B92,[1]Material!F$5:U$90000,16,0)),VLOOKUP(B92,[1]Material!F$5:U$90000,16,0)&gt;=100,VLOOKUP(B92,[1]Material!F$5:U$90000,16,0)&lt;=999,VLOOKUP(B92,[1]Material!F$5:U$90000,16,0)=INT(VLOOKUP(B92,[1]Material!F$5:U$90000,16,0))),"OEM",
      TRUE,""
    ),
    "không tìm thấy trong file Import"
  ),
  VLOOKUP(F92,'[2]Export shipment'!B:Y,24,0)
)</f>
        <v>PURE</v>
      </c>
      <c r="H92" s="184"/>
      <c r="I92" s="184"/>
      <c r="J92" s="260">
        <f>(V92+X92+AA92)/'Logistics record '!$AD$1</f>
        <v>15.116015418335726</v>
      </c>
      <c r="K92" s="260">
        <f>W92/'Logistics record '!$AD$1</f>
        <v>0</v>
      </c>
      <c r="L92" s="260">
        <f>Y92/'Logistics record '!$AD$1</f>
        <v>0</v>
      </c>
      <c r="M92" s="260">
        <f>AF92/'Logistics record '!$AD$1</f>
        <v>17.182374726022221</v>
      </c>
      <c r="N92" s="260" t="str" cm="1">
        <f t="array" ref="N92">_xlfn.IFS(
    OR(UPPER(S92)="AIR", UPPER(S92)="CPN"), "AIR",
    UPPER(S92)="TC", "LOCAL",
    TRUE, "SEA"
)</f>
        <v>AIR</v>
      </c>
      <c r="O92" s="260">
        <f t="shared" si="10"/>
        <v>32.298390144357946</v>
      </c>
      <c r="P92" s="184" t="s">
        <v>927</v>
      </c>
      <c r="Q92" s="185">
        <v>108285268010</v>
      </c>
      <c r="R92" s="186">
        <v>46170</v>
      </c>
      <c r="S92" s="187" t="s">
        <v>65</v>
      </c>
      <c r="T92" s="188">
        <v>100</v>
      </c>
      <c r="U92" s="188"/>
      <c r="V92" s="189">
        <v>400000</v>
      </c>
      <c r="W92" s="190"/>
      <c r="X92" s="190"/>
      <c r="Y92" s="190"/>
      <c r="Z92" s="189">
        <f t="shared" si="6"/>
        <v>400000</v>
      </c>
      <c r="AA92" s="189">
        <v>0</v>
      </c>
      <c r="AB92" s="189">
        <f t="shared" si="11"/>
        <v>400000</v>
      </c>
      <c r="AC92" s="189"/>
      <c r="AD92" s="190"/>
      <c r="AE92" s="190">
        <v>454680</v>
      </c>
      <c r="AF92" s="191">
        <f t="shared" si="7"/>
        <v>454680</v>
      </c>
      <c r="AG92" s="190">
        <f t="shared" si="8"/>
        <v>854680</v>
      </c>
      <c r="AH92" s="190"/>
      <c r="AI92" s="192" t="str">
        <f>VLOOKUP(Q92,[3]Sheet1!B$11:G$1489,6,0)</f>
        <v>E11</v>
      </c>
      <c r="GK92" s="194"/>
      <c r="GL92" s="195"/>
      <c r="GM92" s="196"/>
      <c r="GN92" s="197"/>
      <c r="GO92" s="198"/>
      <c r="GP92" s="199"/>
      <c r="GQ92" s="200"/>
      <c r="GR92" s="201"/>
      <c r="GS92" s="60"/>
      <c r="GT92" s="202"/>
      <c r="GU92" s="202"/>
      <c r="GV92" s="202"/>
      <c r="GW92" s="202"/>
      <c r="GX92" s="203"/>
      <c r="HA92" s="194"/>
      <c r="HB92" s="195"/>
      <c r="HC92" s="196"/>
      <c r="HD92" s="197"/>
      <c r="HE92" s="198"/>
      <c r="HF92" s="199"/>
      <c r="HG92" s="200"/>
      <c r="HH92" s="201"/>
      <c r="HI92" s="60"/>
      <c r="HJ92" s="202"/>
      <c r="HK92" s="202"/>
      <c r="HL92" s="202"/>
      <c r="HM92" s="202"/>
      <c r="HN92" s="203"/>
    </row>
    <row r="93" spans="1:222" ht="16.5" customHeight="1">
      <c r="A93" s="181">
        <v>90</v>
      </c>
      <c r="B93" s="182">
        <v>3774718220</v>
      </c>
      <c r="C93" s="598" t="s">
        <v>2324</v>
      </c>
      <c r="D93" s="184" t="s">
        <v>648</v>
      </c>
      <c r="E93" s="184" t="str">
        <f t="shared" si="9"/>
        <v>Import</v>
      </c>
      <c r="F93" s="720" t="str" cm="1">
        <f t="array" ref="F93">_xlfn.IFS(
  OR(AI93="E11", AI93="E15"), "Raw materials",
  OR(AI93="E13", AI93="G13"), "Equipments + Toolings",
  TRUE, RIGHT(C93, 8)
)</f>
        <v>Raw materials</v>
      </c>
      <c r="G93" s="541" t="str" cm="1">
        <f t="array" ref="G93">IF(E93="Import",
  IFERROR(
    _xlfn.IFS(
      VLOOKUP(B93,[1]Material!F$5:U$90000,16,0)="LUC","Lucid",
      VLOOKUP(B93,[1]Material!F$5:U$90000,16,0)="FMC","FORD",
      OR(VLOOKUP(B93,[1]Material!F$5:U$90000,16,0)="PUR",VLOOKUP(B93,[1]Material!F$5:U$90000,16,0)="HLO"),"PURE",
      VLOOKUP(B93,[1]Material!F$5:U$90000,16,0)="AIC","AIC",
      OR(VLOOKUP(B93,[1]Material!F$5:U$90000,16,0)="AGI",VLOOKUP(B93,[1]Material!F$5:U$90000,16,0)="AGIGA"),"AGIGA",
      OR(LEFT(VLOOKUP(B93,[1]Material!F$5:U$90000,16,0),3)="EF-",VLOOKUP(B93,[1]Material!F$5:U$90000,16,0)="EFI"),"EFI",
      AND(ISNUMBER(VLOOKUP(B93,[1]Material!F$5:U$90000,16,0)),VLOOKUP(B93,[1]Material!F$5:U$90000,16,0)&gt;=100,VLOOKUP(B93,[1]Material!F$5:U$90000,16,0)&lt;=999,VLOOKUP(B93,[1]Material!F$5:U$90000,16,0)=INT(VLOOKUP(B93,[1]Material!F$5:U$90000,16,0))),"OEM",
      TRUE,""
    ),
    "không tìm thấy trong file Import"
  ),
  VLOOKUP(F93,'[2]Export shipment'!B:Y,24,0)
)</f>
        <v>OEM</v>
      </c>
      <c r="H93" s="184"/>
      <c r="I93" s="184"/>
      <c r="J93" s="260">
        <f>(V93+X93+AA93)/'Logistics record '!$AD$1</f>
        <v>15.116015418335726</v>
      </c>
      <c r="K93" s="260">
        <f>W93/'Logistics record '!$AD$1</f>
        <v>0</v>
      </c>
      <c r="L93" s="260">
        <f>Y93/'Logistics record '!$AD$1</f>
        <v>0</v>
      </c>
      <c r="M93" s="260">
        <f>AF93/'Logistics record '!$AD$1</f>
        <v>0</v>
      </c>
      <c r="N93" s="260" t="str" cm="1">
        <f t="array" ref="N93">_xlfn.IFS(
    OR(UPPER(S93)="AIR", UPPER(S93)="CPN"), "AIR",
    UPPER(S93)="TC", "LOCAL",
    TRUE, "SEA"
)</f>
        <v>AIR</v>
      </c>
      <c r="O93" s="260">
        <f t="shared" si="10"/>
        <v>15.116015418335726</v>
      </c>
      <c r="P93" s="184" t="s">
        <v>931</v>
      </c>
      <c r="Q93" s="185">
        <v>108286731010</v>
      </c>
      <c r="R93" s="186">
        <v>46170</v>
      </c>
      <c r="S93" s="187" t="s">
        <v>928</v>
      </c>
      <c r="T93" s="188">
        <v>28.5</v>
      </c>
      <c r="U93" s="188"/>
      <c r="V93" s="189">
        <v>400000</v>
      </c>
      <c r="W93" s="190"/>
      <c r="X93" s="190"/>
      <c r="Y93" s="190"/>
      <c r="Z93" s="189">
        <f t="shared" si="6"/>
        <v>400000</v>
      </c>
      <c r="AA93" s="189">
        <v>0</v>
      </c>
      <c r="AB93" s="189">
        <f t="shared" si="11"/>
        <v>400000</v>
      </c>
      <c r="AC93" s="189"/>
      <c r="AD93" s="190"/>
      <c r="AE93" s="190"/>
      <c r="AF93" s="191">
        <f t="shared" si="7"/>
        <v>0</v>
      </c>
      <c r="AG93" s="190">
        <f t="shared" si="8"/>
        <v>400000</v>
      </c>
      <c r="AH93" s="190"/>
      <c r="AI93" s="192" t="str">
        <f>VLOOKUP(Q93,[3]Sheet1!B$11:G$1489,6,0)</f>
        <v>E11</v>
      </c>
      <c r="GK93" s="194"/>
      <c r="GL93" s="195"/>
      <c r="GM93" s="196"/>
      <c r="GN93" s="197"/>
      <c r="GO93" s="198"/>
      <c r="GP93" s="199"/>
      <c r="GQ93" s="200"/>
      <c r="GR93" s="201"/>
      <c r="GS93" s="60"/>
      <c r="GT93" s="202"/>
      <c r="GU93" s="202"/>
      <c r="GV93" s="202"/>
      <c r="GW93" s="202"/>
      <c r="GX93" s="203"/>
      <c r="HA93" s="194"/>
      <c r="HB93" s="195"/>
      <c r="HC93" s="196"/>
      <c r="HD93" s="197"/>
      <c r="HE93" s="198"/>
      <c r="HF93" s="199"/>
      <c r="HG93" s="200"/>
      <c r="HH93" s="201"/>
      <c r="HI93" s="60"/>
      <c r="HJ93" s="202"/>
      <c r="HK93" s="202"/>
      <c r="HL93" s="202"/>
      <c r="HM93" s="202"/>
      <c r="HN93" s="203"/>
    </row>
    <row r="94" spans="1:222" ht="16.5" customHeight="1">
      <c r="A94" s="181">
        <v>91</v>
      </c>
      <c r="B94" s="182">
        <v>381600540944</v>
      </c>
      <c r="C94" s="598" t="s">
        <v>2325</v>
      </c>
      <c r="D94" s="184" t="s">
        <v>2326</v>
      </c>
      <c r="E94" s="184" t="str">
        <f t="shared" si="9"/>
        <v>Import</v>
      </c>
      <c r="F94" s="720" t="str" cm="1">
        <f t="array" ref="F94">_xlfn.IFS(
  OR(AI94="E11", AI94="E15"), "Raw materials",
  OR(AI94="E13", AI94="G13"), "Equipments + Toolings",
  TRUE, RIGHT(C94, 8)
)</f>
        <v>Raw materials</v>
      </c>
      <c r="G94" s="541" t="str" cm="1">
        <f t="array" ref="G94">IF(E94="Import",
  IFERROR(
    _xlfn.IFS(
      VLOOKUP(B94,[1]Material!F$5:U$90000,16,0)="LUC","Lucid",
      VLOOKUP(B94,[1]Material!F$5:U$90000,16,0)="FMC","FORD",
      OR(VLOOKUP(B94,[1]Material!F$5:U$90000,16,0)="PUR",VLOOKUP(B94,[1]Material!F$5:U$90000,16,0)="HLO"),"PURE",
      VLOOKUP(B94,[1]Material!F$5:U$90000,16,0)="AIC","AIC",
      OR(VLOOKUP(B94,[1]Material!F$5:U$90000,16,0)="AGI",VLOOKUP(B94,[1]Material!F$5:U$90000,16,0)="AGIGA"),"AGIGA",
      OR(LEFT(VLOOKUP(B94,[1]Material!F$5:U$90000,16,0),3)="EF-",VLOOKUP(B94,[1]Material!F$5:U$90000,16,0)="EFI"),"EFI",
      AND(ISNUMBER(VLOOKUP(B94,[1]Material!F$5:U$90000,16,0)),VLOOKUP(B94,[1]Material!F$5:U$90000,16,0)&gt;=100,VLOOKUP(B94,[1]Material!F$5:U$90000,16,0)&lt;=999,VLOOKUP(B94,[1]Material!F$5:U$90000,16,0)=INT(VLOOKUP(B94,[1]Material!F$5:U$90000,16,0))),"OEM",
      TRUE,""
    ),
    "không tìm thấy trong file Import"
  ),
  VLOOKUP(F94,'[2]Export shipment'!B:Y,24,0)
)</f>
        <v>EFI</v>
      </c>
      <c r="H94" s="184"/>
      <c r="I94" s="184"/>
      <c r="J94" s="260">
        <f>(V94+X94+AA94)/'Logistics record '!$AD$1</f>
        <v>15.116015418335726</v>
      </c>
      <c r="K94" s="260">
        <f>W94/'Logistics record '!$AD$1</f>
        <v>0</v>
      </c>
      <c r="L94" s="260">
        <f>Y94/'Logistics record '!$AD$1</f>
        <v>0</v>
      </c>
      <c r="M94" s="260">
        <f>AF94/'Logistics record '!$AD$1</f>
        <v>0</v>
      </c>
      <c r="N94" s="260" t="str" cm="1">
        <f t="array" ref="N94">_xlfn.IFS(
    OR(UPPER(S94)="AIR", UPPER(S94)="CPN"), "AIR",
    UPPER(S94)="TC", "LOCAL",
    TRUE, "SEA"
)</f>
        <v>AIR</v>
      </c>
      <c r="O94" s="260">
        <f t="shared" si="10"/>
        <v>15.116015418335726</v>
      </c>
      <c r="P94" s="184" t="s">
        <v>943</v>
      </c>
      <c r="Q94" s="185">
        <v>108287392510</v>
      </c>
      <c r="R94" s="186">
        <v>46170</v>
      </c>
      <c r="S94" s="187" t="s">
        <v>928</v>
      </c>
      <c r="T94" s="188">
        <v>2.7</v>
      </c>
      <c r="U94" s="188"/>
      <c r="V94" s="189">
        <v>400000</v>
      </c>
      <c r="W94" s="190"/>
      <c r="X94" s="190"/>
      <c r="Y94" s="190"/>
      <c r="Z94" s="189">
        <f t="shared" si="6"/>
        <v>400000</v>
      </c>
      <c r="AA94" s="189">
        <v>0</v>
      </c>
      <c r="AB94" s="189">
        <f t="shared" si="11"/>
        <v>400000</v>
      </c>
      <c r="AC94" s="189"/>
      <c r="AD94" s="190"/>
      <c r="AE94" s="190"/>
      <c r="AF94" s="191">
        <f t="shared" si="7"/>
        <v>0</v>
      </c>
      <c r="AG94" s="190">
        <f t="shared" si="8"/>
        <v>400000</v>
      </c>
      <c r="AH94" s="190"/>
      <c r="AI94" s="192" t="str">
        <f>VLOOKUP(Q94,[3]Sheet1!B$11:G$1489,6,0)</f>
        <v>E11</v>
      </c>
      <c r="GK94" s="194"/>
      <c r="GL94" s="195"/>
      <c r="GM94" s="196"/>
      <c r="GN94" s="197"/>
      <c r="GO94" s="198"/>
      <c r="GP94" s="199"/>
      <c r="GQ94" s="200"/>
      <c r="GR94" s="201"/>
      <c r="GS94" s="60"/>
      <c r="GT94" s="202"/>
      <c r="GU94" s="202"/>
      <c r="GV94" s="202"/>
      <c r="GW94" s="202"/>
      <c r="GX94" s="203"/>
      <c r="HA94" s="194"/>
      <c r="HB94" s="195"/>
      <c r="HC94" s="196"/>
      <c r="HD94" s="197"/>
      <c r="HE94" s="198"/>
      <c r="HF94" s="199"/>
      <c r="HG94" s="200"/>
      <c r="HH94" s="201"/>
      <c r="HI94" s="60"/>
      <c r="HJ94" s="202"/>
      <c r="HK94" s="202"/>
      <c r="HL94" s="202"/>
      <c r="HM94" s="202"/>
      <c r="HN94" s="203"/>
    </row>
    <row r="95" spans="1:222" ht="16.5" customHeight="1">
      <c r="A95" s="181">
        <v>92</v>
      </c>
      <c r="B95" s="182">
        <v>522962232219</v>
      </c>
      <c r="C95" s="598" t="s">
        <v>2327</v>
      </c>
      <c r="D95" s="184" t="s">
        <v>2328</v>
      </c>
      <c r="E95" s="184" t="str">
        <f t="shared" si="9"/>
        <v>Import</v>
      </c>
      <c r="F95" s="720" t="str" cm="1">
        <f t="array" ref="F95">_xlfn.IFS(
  OR(AI95="E11", AI95="E15"), "Raw materials",
  OR(AI95="E13", AI95="G13"), "Equipments + Toolings",
  TRUE, RIGHT(C95, 8)
)</f>
        <v>Raw materials</v>
      </c>
      <c r="G95" s="541" t="str" cm="1">
        <f t="array" ref="G95">IF(E95="Import",
  IFERROR(
    _xlfn.IFS(
      VLOOKUP(B95,[1]Material!F$5:U$90000,16,0)="LUC","Lucid",
      VLOOKUP(B95,[1]Material!F$5:U$90000,16,0)="FMC","FORD",
      OR(VLOOKUP(B95,[1]Material!F$5:U$90000,16,0)="PUR",VLOOKUP(B95,[1]Material!F$5:U$90000,16,0)="HLO"),"PURE",
      VLOOKUP(B95,[1]Material!F$5:U$90000,16,0)="AIC","AIC",
      OR(VLOOKUP(B95,[1]Material!F$5:U$90000,16,0)="AGI",VLOOKUP(B95,[1]Material!F$5:U$90000,16,0)="AGIGA"),"AGIGA",
      OR(LEFT(VLOOKUP(B95,[1]Material!F$5:U$90000,16,0),3)="EF-",VLOOKUP(B95,[1]Material!F$5:U$90000,16,0)="EFI"),"EFI",
      AND(ISNUMBER(VLOOKUP(B95,[1]Material!F$5:U$90000,16,0)),VLOOKUP(B95,[1]Material!F$5:U$90000,16,0)&gt;=100,VLOOKUP(B95,[1]Material!F$5:U$90000,16,0)&lt;=999,VLOOKUP(B95,[1]Material!F$5:U$90000,16,0)=INT(VLOOKUP(B95,[1]Material!F$5:U$90000,16,0))),"OEM",
      TRUE,""
    ),
    "không tìm thấy trong file Import"
  ),
  VLOOKUP(F95,'[2]Export shipment'!B:Y,24,0)
)</f>
        <v>Lucid</v>
      </c>
      <c r="H95" s="184"/>
      <c r="I95" s="184"/>
      <c r="J95" s="260">
        <f>(V95+X95+AA95)/'Logistics record '!$AD$1</f>
        <v>15.116015418335726</v>
      </c>
      <c r="K95" s="260">
        <f>W95/'Logistics record '!$AD$1</f>
        <v>0</v>
      </c>
      <c r="L95" s="260">
        <f>Y95/'Logistics record '!$AD$1</f>
        <v>0</v>
      </c>
      <c r="M95" s="260">
        <f>AF95/'Logistics record '!$AD$1</f>
        <v>0</v>
      </c>
      <c r="N95" s="260" t="str" cm="1">
        <f t="array" ref="N95">_xlfn.IFS(
    OR(UPPER(S95)="AIR", UPPER(S95)="CPN"), "AIR",
    UPPER(S95)="TC", "LOCAL",
    TRUE, "SEA"
)</f>
        <v>AIR</v>
      </c>
      <c r="O95" s="260">
        <f t="shared" si="10"/>
        <v>15.116015418335726</v>
      </c>
      <c r="P95" s="184" t="s">
        <v>1964</v>
      </c>
      <c r="Q95" s="185">
        <v>108287416860</v>
      </c>
      <c r="R95" s="186">
        <v>46170</v>
      </c>
      <c r="S95" s="187" t="s">
        <v>928</v>
      </c>
      <c r="T95" s="188">
        <v>11.4</v>
      </c>
      <c r="U95" s="188"/>
      <c r="V95" s="189">
        <v>400000</v>
      </c>
      <c r="W95" s="190"/>
      <c r="X95" s="190"/>
      <c r="Y95" s="190"/>
      <c r="Z95" s="189">
        <f t="shared" si="6"/>
        <v>400000</v>
      </c>
      <c r="AA95" s="189">
        <v>0</v>
      </c>
      <c r="AB95" s="189">
        <f t="shared" si="11"/>
        <v>400000</v>
      </c>
      <c r="AC95" s="189"/>
      <c r="AD95" s="190"/>
      <c r="AE95" s="190"/>
      <c r="AF95" s="191">
        <f t="shared" si="7"/>
        <v>0</v>
      </c>
      <c r="AG95" s="190">
        <f t="shared" si="8"/>
        <v>400000</v>
      </c>
      <c r="AH95" s="190"/>
      <c r="AI95" s="192" t="str">
        <f>VLOOKUP(Q95,[3]Sheet1!B$11:G$1489,6,0)</f>
        <v>E11</v>
      </c>
      <c r="GK95" s="194"/>
      <c r="GL95" s="195"/>
      <c r="GM95" s="196"/>
      <c r="GN95" s="197"/>
      <c r="GO95" s="198"/>
      <c r="GP95" s="199"/>
      <c r="GQ95" s="200"/>
      <c r="GR95" s="201"/>
      <c r="GS95" s="60"/>
      <c r="GT95" s="202"/>
      <c r="GU95" s="202"/>
      <c r="GV95" s="202"/>
      <c r="GW95" s="202"/>
      <c r="GX95" s="203"/>
      <c r="HA95" s="194"/>
      <c r="HB95" s="195"/>
      <c r="HC95" s="196"/>
      <c r="HD95" s="197"/>
      <c r="HE95" s="198"/>
      <c r="HF95" s="199"/>
      <c r="HG95" s="200"/>
      <c r="HH95" s="201"/>
      <c r="HI95" s="60"/>
      <c r="HJ95" s="202"/>
      <c r="HK95" s="202"/>
      <c r="HL95" s="202"/>
      <c r="HM95" s="202"/>
      <c r="HN95" s="203"/>
    </row>
    <row r="96" spans="1:222" ht="16.5" customHeight="1">
      <c r="A96" s="181">
        <v>93</v>
      </c>
      <c r="B96" s="182">
        <v>522962232193</v>
      </c>
      <c r="C96" s="598" t="s">
        <v>2329</v>
      </c>
      <c r="D96" s="184" t="s">
        <v>2330</v>
      </c>
      <c r="E96" s="184" t="str">
        <f t="shared" si="9"/>
        <v>Import</v>
      </c>
      <c r="F96" s="720" t="str" cm="1">
        <f t="array" ref="F96">_xlfn.IFS(
  OR(AI96="E11", AI96="E15"), "Raw materials",
  OR(AI96="E13", AI96="G13"), "Equipments + Toolings",
  TRUE, RIGHT(C96, 8)
)</f>
        <v>Raw materials</v>
      </c>
      <c r="G96" s="541" t="str" cm="1">
        <f t="array" ref="G96">IF(E96="Import",
  IFERROR(
    _xlfn.IFS(
      VLOOKUP(B96,[1]Material!F$5:U$90000,16,0)="LUC","Lucid",
      VLOOKUP(B96,[1]Material!F$5:U$90000,16,0)="FMC","FORD",
      OR(VLOOKUP(B96,[1]Material!F$5:U$90000,16,0)="PUR",VLOOKUP(B96,[1]Material!F$5:U$90000,16,0)="HLO"),"PURE",
      VLOOKUP(B96,[1]Material!F$5:U$90000,16,0)="AIC","AIC",
      OR(VLOOKUP(B96,[1]Material!F$5:U$90000,16,0)="AGI",VLOOKUP(B96,[1]Material!F$5:U$90000,16,0)="AGIGA"),"AGIGA",
      OR(LEFT(VLOOKUP(B96,[1]Material!F$5:U$90000,16,0),3)="EF-",VLOOKUP(B96,[1]Material!F$5:U$90000,16,0)="EFI"),"EFI",
      AND(ISNUMBER(VLOOKUP(B96,[1]Material!F$5:U$90000,16,0)),VLOOKUP(B96,[1]Material!F$5:U$90000,16,0)&gt;=100,VLOOKUP(B96,[1]Material!F$5:U$90000,16,0)&lt;=999,VLOOKUP(B96,[1]Material!F$5:U$90000,16,0)=INT(VLOOKUP(B96,[1]Material!F$5:U$90000,16,0))),"OEM",
      TRUE,""
    ),
    "không tìm thấy trong file Import"
  ),
  VLOOKUP(F96,'[2]Export shipment'!B:Y,24,0)
)</f>
        <v>Lucid</v>
      </c>
      <c r="H96" s="184"/>
      <c r="I96" s="184"/>
      <c r="J96" s="260">
        <f>(V96+X96+AA96)/'Logistics record '!$AD$1</f>
        <v>15.116015418335726</v>
      </c>
      <c r="K96" s="260">
        <f>W96/'Logistics record '!$AD$1</f>
        <v>0</v>
      </c>
      <c r="L96" s="260">
        <f>Y96/'Logistics record '!$AD$1</f>
        <v>0</v>
      </c>
      <c r="M96" s="260">
        <f>AF96/'Logistics record '!$AD$1</f>
        <v>0</v>
      </c>
      <c r="N96" s="260" t="str" cm="1">
        <f t="array" ref="N96">_xlfn.IFS(
    OR(UPPER(S96)="AIR", UPPER(S96)="CPN"), "AIR",
    UPPER(S96)="TC", "LOCAL",
    TRUE, "SEA"
)</f>
        <v>AIR</v>
      </c>
      <c r="O96" s="260">
        <f t="shared" si="10"/>
        <v>15.116015418335726</v>
      </c>
      <c r="P96" s="184" t="s">
        <v>1964</v>
      </c>
      <c r="Q96" s="185">
        <v>108287492020</v>
      </c>
      <c r="R96" s="186">
        <v>46170</v>
      </c>
      <c r="S96" s="187" t="s">
        <v>928</v>
      </c>
      <c r="T96" s="188">
        <v>3.9</v>
      </c>
      <c r="U96" s="188"/>
      <c r="V96" s="189">
        <v>400000</v>
      </c>
      <c r="W96" s="190"/>
      <c r="X96" s="190"/>
      <c r="Y96" s="190"/>
      <c r="Z96" s="189">
        <f t="shared" si="6"/>
        <v>400000</v>
      </c>
      <c r="AA96" s="189">
        <v>0</v>
      </c>
      <c r="AB96" s="189">
        <f t="shared" si="11"/>
        <v>400000</v>
      </c>
      <c r="AC96" s="189"/>
      <c r="AD96" s="190"/>
      <c r="AE96" s="190"/>
      <c r="AF96" s="191">
        <f t="shared" si="7"/>
        <v>0</v>
      </c>
      <c r="AG96" s="190">
        <f t="shared" si="8"/>
        <v>400000</v>
      </c>
      <c r="AH96" s="190"/>
      <c r="AI96" s="192" t="str">
        <f>VLOOKUP(Q96,[3]Sheet1!B$11:G$1489,6,0)</f>
        <v>E11</v>
      </c>
      <c r="GK96" s="194"/>
      <c r="GL96" s="195"/>
      <c r="GM96" s="196"/>
      <c r="GN96" s="197"/>
      <c r="GO96" s="198"/>
      <c r="GP96" s="199"/>
      <c r="GQ96" s="200"/>
      <c r="GR96" s="201"/>
      <c r="GS96" s="60"/>
      <c r="GT96" s="202"/>
      <c r="GU96" s="202"/>
      <c r="GV96" s="202"/>
      <c r="GW96" s="202"/>
      <c r="GX96" s="203"/>
      <c r="HA96" s="194"/>
      <c r="HB96" s="195"/>
      <c r="HC96" s="196"/>
      <c r="HD96" s="197"/>
      <c r="HE96" s="198"/>
      <c r="HF96" s="199"/>
      <c r="HG96" s="200"/>
      <c r="HH96" s="201"/>
      <c r="HI96" s="60"/>
      <c r="HJ96" s="202"/>
      <c r="HK96" s="202"/>
      <c r="HL96" s="202"/>
      <c r="HM96" s="202"/>
      <c r="HN96" s="203"/>
    </row>
    <row r="97" spans="1:222" ht="16.5" customHeight="1">
      <c r="A97" s="181">
        <v>94</v>
      </c>
      <c r="B97" s="182">
        <v>872177506511</v>
      </c>
      <c r="C97" s="183" t="s">
        <v>2331</v>
      </c>
      <c r="D97" s="184" t="s">
        <v>648</v>
      </c>
      <c r="E97" s="184" t="str">
        <f t="shared" si="9"/>
        <v>Import</v>
      </c>
      <c r="F97" s="720" t="str" cm="1">
        <f t="array" ref="F97">_xlfn.IFS(
  OR(AI97="E11", AI97="E15"), "Raw materials",
  OR(AI97="E13", AI97="G13"), "Equipments + Toolings",
  TRUE, RIGHT(C97, 8)
)</f>
        <v>Raw materials</v>
      </c>
      <c r="G97" s="541" t="str" cm="1">
        <f t="array" ref="G97">IF(E97="Import",
  IFERROR(
    _xlfn.IFS(
      VLOOKUP(B97,[1]Material!F$5:U$90000,16,0)="LUC","Lucid",
      VLOOKUP(B97,[1]Material!F$5:U$90000,16,0)="FMC","FORD",
      OR(VLOOKUP(B97,[1]Material!F$5:U$90000,16,0)="PUR",VLOOKUP(B97,[1]Material!F$5:U$90000,16,0)="HLO"),"PURE",
      VLOOKUP(B97,[1]Material!F$5:U$90000,16,0)="AIC","AIC",
      OR(VLOOKUP(B97,[1]Material!F$5:U$90000,16,0)="AGI",VLOOKUP(B97,[1]Material!F$5:U$90000,16,0)="AGIGA"),"AGIGA",
      OR(LEFT(VLOOKUP(B97,[1]Material!F$5:U$90000,16,0),3)="EF-",VLOOKUP(B97,[1]Material!F$5:U$90000,16,0)="EFI"),"EFI",
      AND(ISNUMBER(VLOOKUP(B97,[1]Material!F$5:U$90000,16,0)),VLOOKUP(B97,[1]Material!F$5:U$90000,16,0)&gt;=100,VLOOKUP(B97,[1]Material!F$5:U$90000,16,0)&lt;=999,VLOOKUP(B97,[1]Material!F$5:U$90000,16,0)=INT(VLOOKUP(B97,[1]Material!F$5:U$90000,16,0))),"OEM",
      TRUE,""
    ),
    "không tìm thấy trong file Import"
  ),
  VLOOKUP(F97,'[2]Export shipment'!B:Y,24,0)
)</f>
        <v>PURE</v>
      </c>
      <c r="H97" s="184"/>
      <c r="I97" s="184"/>
      <c r="J97" s="260">
        <f>(V97+X97+AA97)/'Logistics record '!$AD$1</f>
        <v>15.116015418335726</v>
      </c>
      <c r="K97" s="260">
        <f>W97/'Logistics record '!$AD$1</f>
        <v>0</v>
      </c>
      <c r="L97" s="260">
        <f>Y97/'Logistics record '!$AD$1</f>
        <v>0</v>
      </c>
      <c r="M97" s="260">
        <f>AF97/'Logistics record '!$AD$1</f>
        <v>0</v>
      </c>
      <c r="N97" s="260" t="str" cm="1">
        <f t="array" ref="N97">_xlfn.IFS(
    OR(UPPER(S97)="AIR", UPPER(S97)="CPN"), "AIR",
    UPPER(S97)="TC", "LOCAL",
    TRUE, "SEA"
)</f>
        <v>AIR</v>
      </c>
      <c r="O97" s="260">
        <f t="shared" si="10"/>
        <v>15.116015418335726</v>
      </c>
      <c r="P97" s="184" t="s">
        <v>937</v>
      </c>
      <c r="Q97" s="185">
        <v>108287496330</v>
      </c>
      <c r="R97" s="186">
        <v>46170</v>
      </c>
      <c r="S97" s="187" t="s">
        <v>928</v>
      </c>
      <c r="T97" s="188">
        <v>3.1</v>
      </c>
      <c r="U97" s="188"/>
      <c r="V97" s="189">
        <v>400000</v>
      </c>
      <c r="W97" s="190"/>
      <c r="X97" s="190"/>
      <c r="Y97" s="190"/>
      <c r="Z97" s="189">
        <f t="shared" si="6"/>
        <v>400000</v>
      </c>
      <c r="AA97" s="189">
        <v>0</v>
      </c>
      <c r="AB97" s="189">
        <f t="shared" si="11"/>
        <v>400000</v>
      </c>
      <c r="AC97" s="189"/>
      <c r="AD97" s="190"/>
      <c r="AE97" s="190"/>
      <c r="AF97" s="191">
        <f t="shared" si="7"/>
        <v>0</v>
      </c>
      <c r="AG97" s="190">
        <f t="shared" si="8"/>
        <v>400000</v>
      </c>
      <c r="AH97" s="190"/>
      <c r="AI97" s="192" t="str">
        <f>VLOOKUP(Q97,[3]Sheet1!B$11:G$1489,6,0)</f>
        <v>E11</v>
      </c>
      <c r="GK97" s="194"/>
      <c r="GL97" s="195"/>
      <c r="GM97" s="196"/>
      <c r="GN97" s="197"/>
      <c r="GO97" s="198"/>
      <c r="GP97" s="199"/>
      <c r="GQ97" s="200"/>
      <c r="GR97" s="201"/>
      <c r="GS97" s="60"/>
      <c r="GT97" s="202"/>
      <c r="GU97" s="202"/>
      <c r="GV97" s="202"/>
      <c r="GW97" s="202"/>
      <c r="GX97" s="203"/>
      <c r="HA97" s="194"/>
      <c r="HB97" s="195"/>
      <c r="HC97" s="196"/>
      <c r="HD97" s="197"/>
      <c r="HE97" s="198"/>
      <c r="HF97" s="199"/>
      <c r="HG97" s="200"/>
      <c r="HH97" s="201"/>
      <c r="HI97" s="60"/>
      <c r="HJ97" s="202"/>
      <c r="HK97" s="202"/>
      <c r="HL97" s="202"/>
      <c r="HM97" s="202"/>
      <c r="HN97" s="203"/>
    </row>
    <row r="98" spans="1:222" ht="16.5" customHeight="1">
      <c r="A98" s="181">
        <v>95</v>
      </c>
      <c r="B98" s="182">
        <v>872208878165</v>
      </c>
      <c r="C98" s="598" t="s">
        <v>2332</v>
      </c>
      <c r="D98" s="184" t="s">
        <v>650</v>
      </c>
      <c r="E98" s="184" t="str">
        <f t="shared" si="9"/>
        <v>Import</v>
      </c>
      <c r="F98" s="720" t="str" cm="1">
        <f t="array" ref="F98">_xlfn.IFS(
  OR(AI98="E11", AI98="E15"), "Raw materials",
  OR(AI98="E13", AI98="G13"), "Equipments + Toolings",
  TRUE, RIGHT(C98, 8)
)</f>
        <v>Raw materials</v>
      </c>
      <c r="G98" s="541" t="str" cm="1">
        <f t="array" ref="G98">IF(E98="Import",
  IFERROR(
    _xlfn.IFS(
      VLOOKUP(B98,[1]Material!F$5:U$90000,16,0)="LUC","Lucid",
      VLOOKUP(B98,[1]Material!F$5:U$90000,16,0)="FMC","FORD",
      OR(VLOOKUP(B98,[1]Material!F$5:U$90000,16,0)="PUR",VLOOKUP(B98,[1]Material!F$5:U$90000,16,0)="HLO"),"PURE",
      VLOOKUP(B98,[1]Material!F$5:U$90000,16,0)="AIC","AIC",
      OR(VLOOKUP(B98,[1]Material!F$5:U$90000,16,0)="AGI",VLOOKUP(B98,[1]Material!F$5:U$90000,16,0)="AGIGA"),"AGIGA",
      OR(LEFT(VLOOKUP(B98,[1]Material!F$5:U$90000,16,0),3)="EF-",VLOOKUP(B98,[1]Material!F$5:U$90000,16,0)="EFI"),"EFI",
      AND(ISNUMBER(VLOOKUP(B98,[1]Material!F$5:U$90000,16,0)),VLOOKUP(B98,[1]Material!F$5:U$90000,16,0)&gt;=100,VLOOKUP(B98,[1]Material!F$5:U$90000,16,0)&lt;=999,VLOOKUP(B98,[1]Material!F$5:U$90000,16,0)=INT(VLOOKUP(B98,[1]Material!F$5:U$90000,16,0))),"OEM",
      TRUE,""
    ),
    "không tìm thấy trong file Import"
  ),
  VLOOKUP(F98,'[2]Export shipment'!B:Y,24,0)
)</f>
        <v>OEM</v>
      </c>
      <c r="H98" s="184"/>
      <c r="I98" s="184"/>
      <c r="J98" s="260">
        <f>(V98+X98+AA98)/'Logistics record '!$AD$1</f>
        <v>15.116015418335726</v>
      </c>
      <c r="K98" s="260">
        <f>W98/'Logistics record '!$AD$1</f>
        <v>0</v>
      </c>
      <c r="L98" s="260">
        <f>Y98/'Logistics record '!$AD$1</f>
        <v>0</v>
      </c>
      <c r="M98" s="260">
        <f>AF98/'Logistics record '!$AD$1</f>
        <v>0</v>
      </c>
      <c r="N98" s="260" t="str" cm="1">
        <f t="array" ref="N98">_xlfn.IFS(
    OR(UPPER(S98)="AIR", UPPER(S98)="CPN"), "AIR",
    UPPER(S98)="TC", "LOCAL",
    TRUE, "SEA"
)</f>
        <v>AIR</v>
      </c>
      <c r="O98" s="260">
        <f t="shared" si="10"/>
        <v>15.116015418335726</v>
      </c>
      <c r="P98" s="184" t="s">
        <v>927</v>
      </c>
      <c r="Q98" s="185">
        <v>108287540060</v>
      </c>
      <c r="R98" s="186">
        <v>46170</v>
      </c>
      <c r="S98" s="187" t="s">
        <v>928</v>
      </c>
      <c r="T98" s="188">
        <v>2.4</v>
      </c>
      <c r="U98" s="188"/>
      <c r="V98" s="189">
        <v>400000</v>
      </c>
      <c r="W98" s="190"/>
      <c r="X98" s="190"/>
      <c r="Y98" s="190"/>
      <c r="Z98" s="189">
        <f t="shared" si="6"/>
        <v>400000</v>
      </c>
      <c r="AA98" s="189">
        <v>0</v>
      </c>
      <c r="AB98" s="189">
        <f t="shared" si="11"/>
        <v>400000</v>
      </c>
      <c r="AC98" s="189"/>
      <c r="AD98" s="190"/>
      <c r="AE98" s="190"/>
      <c r="AF98" s="191">
        <f t="shared" si="7"/>
        <v>0</v>
      </c>
      <c r="AG98" s="190">
        <f t="shared" si="8"/>
        <v>400000</v>
      </c>
      <c r="AH98" s="190"/>
      <c r="AI98" s="192" t="str">
        <f>VLOOKUP(Q98,[3]Sheet1!B$11:G$1489,6,0)</f>
        <v>E11</v>
      </c>
      <c r="GK98" s="194"/>
      <c r="GL98" s="195"/>
      <c r="GM98" s="196"/>
      <c r="GN98" s="197"/>
      <c r="GO98" s="198"/>
      <c r="GP98" s="199"/>
      <c r="GQ98" s="200"/>
      <c r="GR98" s="201"/>
      <c r="GS98" s="60"/>
      <c r="GT98" s="202"/>
      <c r="GU98" s="202"/>
      <c r="GV98" s="202"/>
      <c r="GW98" s="202"/>
      <c r="GX98" s="203"/>
      <c r="HA98" s="194"/>
      <c r="HB98" s="195"/>
      <c r="HC98" s="196"/>
      <c r="HD98" s="197"/>
      <c r="HE98" s="198"/>
      <c r="HF98" s="199"/>
      <c r="HG98" s="200"/>
      <c r="HH98" s="201"/>
      <c r="HI98" s="60"/>
      <c r="HJ98" s="202"/>
      <c r="HK98" s="202"/>
      <c r="HL98" s="202"/>
      <c r="HM98" s="202"/>
      <c r="HN98" s="203"/>
    </row>
    <row r="99" spans="1:222" ht="16.5" customHeight="1">
      <c r="A99" s="181">
        <v>96</v>
      </c>
      <c r="B99" s="182">
        <v>872180293048</v>
      </c>
      <c r="C99" s="598" t="s">
        <v>2333</v>
      </c>
      <c r="D99" s="184" t="s">
        <v>2334</v>
      </c>
      <c r="E99" s="184" t="str">
        <f t="shared" si="9"/>
        <v>Import</v>
      </c>
      <c r="F99" s="720" t="str" cm="1">
        <f t="array" ref="F99">_xlfn.IFS(
  OR(AI99="E11", AI99="E15"), "Raw materials",
  OR(AI99="E13", AI99="G13"), "Equipments + Toolings",
  TRUE, RIGHT(C99, 8)
)</f>
        <v>Raw materials</v>
      </c>
      <c r="G99" s="541" t="str" cm="1">
        <f t="array" ref="G99">IF(E99="Import",
  IFERROR(
    _xlfn.IFS(
      VLOOKUP(B99,[1]Material!F$5:U$90000,16,0)="LUC","Lucid",
      VLOOKUP(B99,[1]Material!F$5:U$90000,16,0)="FMC","FORD",
      OR(VLOOKUP(B99,[1]Material!F$5:U$90000,16,0)="PUR",VLOOKUP(B99,[1]Material!F$5:U$90000,16,0)="HLO"),"PURE",
      VLOOKUP(B99,[1]Material!F$5:U$90000,16,0)="AIC","AIC",
      OR(VLOOKUP(B99,[1]Material!F$5:U$90000,16,0)="AGI",VLOOKUP(B99,[1]Material!F$5:U$90000,16,0)="AGIGA"),"AGIGA",
      OR(LEFT(VLOOKUP(B99,[1]Material!F$5:U$90000,16,0),3)="EF-",VLOOKUP(B99,[1]Material!F$5:U$90000,16,0)="EFI"),"EFI",
      AND(ISNUMBER(VLOOKUP(B99,[1]Material!F$5:U$90000,16,0)),VLOOKUP(B99,[1]Material!F$5:U$90000,16,0)&gt;=100,VLOOKUP(B99,[1]Material!F$5:U$90000,16,0)&lt;=999,VLOOKUP(B99,[1]Material!F$5:U$90000,16,0)=INT(VLOOKUP(B99,[1]Material!F$5:U$90000,16,0))),"OEM",
      TRUE,""
    ),
    "không tìm thấy trong file Import"
  ),
  VLOOKUP(F99,'[2]Export shipment'!B:Y,24,0)
)</f>
        <v>EFI</v>
      </c>
      <c r="H99" s="184"/>
      <c r="I99" s="184"/>
      <c r="J99" s="260">
        <f>(V99+X99+AA99)/'Logistics record '!$AD$1</f>
        <v>15.116015418335726</v>
      </c>
      <c r="K99" s="260">
        <f>W99/'Logistics record '!$AD$1</f>
        <v>0</v>
      </c>
      <c r="L99" s="260">
        <f>Y99/'Logistics record '!$AD$1</f>
        <v>0</v>
      </c>
      <c r="M99" s="260">
        <f>AF99/'Logistics record '!$AD$1</f>
        <v>0</v>
      </c>
      <c r="N99" s="260" t="str" cm="1">
        <f t="array" ref="N99">_xlfn.IFS(
    OR(UPPER(S99)="AIR", UPPER(S99)="CPN"), "AIR",
    UPPER(S99)="TC", "LOCAL",
    TRUE, "SEA"
)</f>
        <v>AIR</v>
      </c>
      <c r="O99" s="260">
        <f t="shared" si="10"/>
        <v>15.116015418335726</v>
      </c>
      <c r="P99" s="184" t="s">
        <v>949</v>
      </c>
      <c r="Q99" s="185">
        <v>108287560250</v>
      </c>
      <c r="R99" s="186">
        <v>46170</v>
      </c>
      <c r="S99" s="187" t="s">
        <v>928</v>
      </c>
      <c r="T99" s="188">
        <v>3.2</v>
      </c>
      <c r="U99" s="188"/>
      <c r="V99" s="189">
        <v>400000</v>
      </c>
      <c r="W99" s="190"/>
      <c r="X99" s="190"/>
      <c r="Y99" s="190"/>
      <c r="Z99" s="189">
        <f t="shared" si="6"/>
        <v>400000</v>
      </c>
      <c r="AA99" s="189">
        <v>0</v>
      </c>
      <c r="AB99" s="189">
        <f t="shared" si="11"/>
        <v>400000</v>
      </c>
      <c r="AC99" s="189"/>
      <c r="AD99" s="190"/>
      <c r="AE99" s="190"/>
      <c r="AF99" s="191">
        <f t="shared" si="7"/>
        <v>0</v>
      </c>
      <c r="AG99" s="190">
        <f t="shared" si="8"/>
        <v>400000</v>
      </c>
      <c r="AH99" s="190"/>
      <c r="AI99" s="192" t="str">
        <f>VLOOKUP(Q99,[3]Sheet1!B$11:G$1489,6,0)</f>
        <v>E11</v>
      </c>
      <c r="GK99" s="194"/>
      <c r="GL99" s="195"/>
      <c r="GM99" s="196"/>
      <c r="GN99" s="197"/>
      <c r="GO99" s="198"/>
      <c r="GP99" s="199"/>
      <c r="GQ99" s="200"/>
      <c r="GR99" s="201"/>
      <c r="GS99" s="60"/>
      <c r="GT99" s="202"/>
      <c r="GU99" s="202"/>
      <c r="GV99" s="202"/>
      <c r="GW99" s="202"/>
      <c r="GX99" s="203"/>
      <c r="HA99" s="194"/>
      <c r="HB99" s="195"/>
      <c r="HC99" s="196"/>
      <c r="HD99" s="197"/>
      <c r="HE99" s="198"/>
      <c r="HF99" s="199"/>
      <c r="HG99" s="200"/>
      <c r="HH99" s="201"/>
      <c r="HI99" s="60"/>
      <c r="HJ99" s="202"/>
      <c r="HK99" s="202"/>
      <c r="HL99" s="202"/>
      <c r="HM99" s="202"/>
      <c r="HN99" s="203"/>
    </row>
    <row r="100" spans="1:222" ht="16.5" customHeight="1">
      <c r="A100" s="181">
        <v>97</v>
      </c>
      <c r="B100" s="182">
        <v>518337606988</v>
      </c>
      <c r="C100" s="598" t="s">
        <v>2335</v>
      </c>
      <c r="D100" s="184" t="s">
        <v>816</v>
      </c>
      <c r="E100" s="184" t="str">
        <f t="shared" si="9"/>
        <v>Import</v>
      </c>
      <c r="F100" s="720" t="str" cm="1">
        <f t="array" ref="F100">_xlfn.IFS(
  OR(AI100="E11", AI100="E15"), "Raw materials",
  OR(AI100="E13", AI100="G13"), "Equipments + Toolings",
  TRUE, RIGHT(C100, 8)
)</f>
        <v>Raw materials</v>
      </c>
      <c r="G100" s="541" t="str" cm="1">
        <f t="array" ref="G100">IF(E100="Import",
  IFERROR(
    _xlfn.IFS(
      VLOOKUP(B100,[1]Material!F$5:U$90000,16,0)="LUC","Lucid",
      VLOOKUP(B100,[1]Material!F$5:U$90000,16,0)="FMC","FORD",
      OR(VLOOKUP(B100,[1]Material!F$5:U$90000,16,0)="PUR",VLOOKUP(B100,[1]Material!F$5:U$90000,16,0)="HLO"),"PURE",
      VLOOKUP(B100,[1]Material!F$5:U$90000,16,0)="AIC","AIC",
      OR(VLOOKUP(B100,[1]Material!F$5:U$90000,16,0)="AGI",VLOOKUP(B100,[1]Material!F$5:U$90000,16,0)="AGIGA"),"AGIGA",
      OR(LEFT(VLOOKUP(B100,[1]Material!F$5:U$90000,16,0),3)="EF-",VLOOKUP(B100,[1]Material!F$5:U$90000,16,0)="EFI"),"EFI",
      AND(ISNUMBER(VLOOKUP(B100,[1]Material!F$5:U$90000,16,0)),VLOOKUP(B100,[1]Material!F$5:U$90000,16,0)&gt;=100,VLOOKUP(B100,[1]Material!F$5:U$90000,16,0)&lt;=999,VLOOKUP(B100,[1]Material!F$5:U$90000,16,0)=INT(VLOOKUP(B100,[1]Material!F$5:U$90000,16,0))),"OEM",
      TRUE,""
    ),
    "không tìm thấy trong file Import"
  ),
  VLOOKUP(F100,'[2]Export shipment'!B:Y,24,0)
)</f>
        <v>PURE</v>
      </c>
      <c r="H100" s="184"/>
      <c r="I100" s="184"/>
      <c r="J100" s="260">
        <f>(V100+X100+AA100)/'Logistics record '!$AD$1</f>
        <v>15.116015418335726</v>
      </c>
      <c r="K100" s="260">
        <f>W100/'Logistics record '!$AD$1</f>
        <v>0</v>
      </c>
      <c r="L100" s="260">
        <f>Y100/'Logistics record '!$AD$1</f>
        <v>0</v>
      </c>
      <c r="M100" s="260">
        <f>AF100/'Logistics record '!$AD$1</f>
        <v>0</v>
      </c>
      <c r="N100" s="260" t="str" cm="1">
        <f t="array" ref="N100">_xlfn.IFS(
    OR(UPPER(S100)="AIR", UPPER(S100)="CPN"), "AIR",
    UPPER(S100)="TC", "LOCAL",
    TRUE, "SEA"
)</f>
        <v>AIR</v>
      </c>
      <c r="O100" s="260">
        <f t="shared" si="10"/>
        <v>15.116015418335726</v>
      </c>
      <c r="P100" s="184" t="s">
        <v>943</v>
      </c>
      <c r="Q100" s="185">
        <v>108287600740</v>
      </c>
      <c r="R100" s="186">
        <v>46170</v>
      </c>
      <c r="S100" s="187" t="s">
        <v>928</v>
      </c>
      <c r="T100" s="188">
        <v>29.4</v>
      </c>
      <c r="U100" s="188"/>
      <c r="V100" s="189">
        <v>400000</v>
      </c>
      <c r="W100" s="190"/>
      <c r="X100" s="190"/>
      <c r="Y100" s="190"/>
      <c r="Z100" s="189">
        <f t="shared" si="6"/>
        <v>400000</v>
      </c>
      <c r="AA100" s="189">
        <v>0</v>
      </c>
      <c r="AB100" s="189">
        <f t="shared" si="11"/>
        <v>400000</v>
      </c>
      <c r="AC100" s="189"/>
      <c r="AD100" s="190"/>
      <c r="AE100" s="190"/>
      <c r="AF100" s="191">
        <f t="shared" si="7"/>
        <v>0</v>
      </c>
      <c r="AG100" s="190">
        <f t="shared" si="8"/>
        <v>400000</v>
      </c>
      <c r="AH100" s="190"/>
      <c r="AI100" s="192" t="str">
        <f>VLOOKUP(Q100,[3]Sheet1!B$11:G$1489,6,0)</f>
        <v>E11</v>
      </c>
      <c r="GK100" s="194"/>
      <c r="GL100" s="195"/>
      <c r="GM100" s="196"/>
      <c r="GN100" s="197"/>
      <c r="GO100" s="198"/>
      <c r="GP100" s="199"/>
      <c r="GQ100" s="200"/>
      <c r="GR100" s="201"/>
      <c r="GS100" s="60"/>
      <c r="GT100" s="202"/>
      <c r="GU100" s="202"/>
      <c r="GV100" s="202"/>
      <c r="GW100" s="202"/>
      <c r="GX100" s="203"/>
      <c r="HA100" s="194"/>
      <c r="HB100" s="195"/>
      <c r="HC100" s="196"/>
      <c r="HD100" s="197"/>
      <c r="HE100" s="198"/>
      <c r="HF100" s="199"/>
      <c r="HG100" s="200"/>
      <c r="HH100" s="201"/>
      <c r="HI100" s="60"/>
      <c r="HJ100" s="202"/>
      <c r="HK100" s="202"/>
      <c r="HL100" s="202"/>
      <c r="HM100" s="202"/>
      <c r="HN100" s="203"/>
    </row>
    <row r="101" spans="1:222" ht="16.5" customHeight="1">
      <c r="A101" s="181">
        <v>98</v>
      </c>
      <c r="B101" s="182">
        <v>872204578996</v>
      </c>
      <c r="C101" s="598" t="s">
        <v>2336</v>
      </c>
      <c r="D101" s="184" t="s">
        <v>1710</v>
      </c>
      <c r="E101" s="184" t="str">
        <f t="shared" si="9"/>
        <v>Import</v>
      </c>
      <c r="F101" s="720" t="str" cm="1">
        <f t="array" ref="F101">_xlfn.IFS(
  OR(AI101="E11", AI101="E15"), "Raw materials",
  OR(AI101="E13", AI101="G13"), "Equipments + Toolings",
  TRUE, RIGHT(C101, 8)
)</f>
        <v>Raw materials</v>
      </c>
      <c r="G101" s="541" t="str" cm="1">
        <f t="array" ref="G101">IF(E101="Import",
  IFERROR(
    _xlfn.IFS(
      VLOOKUP(B101,[1]Material!F$5:U$90000,16,0)="LUC","Lucid",
      VLOOKUP(B101,[1]Material!F$5:U$90000,16,0)="FMC","FORD",
      OR(VLOOKUP(B101,[1]Material!F$5:U$90000,16,0)="PUR",VLOOKUP(B101,[1]Material!F$5:U$90000,16,0)="HLO"),"PURE",
      VLOOKUP(B101,[1]Material!F$5:U$90000,16,0)="AIC","AIC",
      OR(VLOOKUP(B101,[1]Material!F$5:U$90000,16,0)="AGI",VLOOKUP(B101,[1]Material!F$5:U$90000,16,0)="AGIGA"),"AGIGA",
      OR(LEFT(VLOOKUP(B101,[1]Material!F$5:U$90000,16,0),3)="EF-",VLOOKUP(B101,[1]Material!F$5:U$90000,16,0)="EFI"),"EFI",
      AND(ISNUMBER(VLOOKUP(B101,[1]Material!F$5:U$90000,16,0)),VLOOKUP(B101,[1]Material!F$5:U$90000,16,0)&gt;=100,VLOOKUP(B101,[1]Material!F$5:U$90000,16,0)&lt;=999,VLOOKUP(B101,[1]Material!F$5:U$90000,16,0)=INT(VLOOKUP(B101,[1]Material!F$5:U$90000,16,0))),"OEM",
      TRUE,""
    ),
    "không tìm thấy trong file Import"
  ),
  VLOOKUP(F101,'[2]Export shipment'!B:Y,24,0)
)</f>
        <v>Lucid</v>
      </c>
      <c r="H101" s="184"/>
      <c r="I101" s="184"/>
      <c r="J101" s="260">
        <f>(V101+X101+AA101)/'Logistics record '!$AD$1</f>
        <v>15.116015418335726</v>
      </c>
      <c r="K101" s="260">
        <f>W101/'Logistics record '!$AD$1</f>
        <v>0</v>
      </c>
      <c r="L101" s="260">
        <f>Y101/'Logistics record '!$AD$1</f>
        <v>0</v>
      </c>
      <c r="M101" s="260">
        <f>AF101/'Logistics record '!$AD$1</f>
        <v>0</v>
      </c>
      <c r="N101" s="260" t="str" cm="1">
        <f t="array" ref="N101">_xlfn.IFS(
    OR(UPPER(S101)="AIR", UPPER(S101)="CPN"), "AIR",
    UPPER(S101)="TC", "LOCAL",
    TRUE, "SEA"
)</f>
        <v>AIR</v>
      </c>
      <c r="O101" s="260">
        <f t="shared" si="10"/>
        <v>15.116015418335726</v>
      </c>
      <c r="P101" s="184" t="s">
        <v>939</v>
      </c>
      <c r="Q101" s="185">
        <v>108287997900</v>
      </c>
      <c r="R101" s="186">
        <v>46170</v>
      </c>
      <c r="S101" s="187" t="s">
        <v>928</v>
      </c>
      <c r="T101" s="188">
        <v>9</v>
      </c>
      <c r="U101" s="188"/>
      <c r="V101" s="189">
        <v>400000</v>
      </c>
      <c r="W101" s="190"/>
      <c r="X101" s="190"/>
      <c r="Y101" s="190"/>
      <c r="Z101" s="189">
        <f t="shared" si="6"/>
        <v>400000</v>
      </c>
      <c r="AA101" s="189">
        <v>0</v>
      </c>
      <c r="AB101" s="189">
        <f t="shared" si="11"/>
        <v>400000</v>
      </c>
      <c r="AC101" s="189"/>
      <c r="AD101" s="190"/>
      <c r="AE101" s="190"/>
      <c r="AF101" s="191">
        <f t="shared" si="7"/>
        <v>0</v>
      </c>
      <c r="AG101" s="190">
        <f t="shared" si="8"/>
        <v>400000</v>
      </c>
      <c r="AH101" s="190"/>
      <c r="AI101" s="192" t="str">
        <f>VLOOKUP(Q101,[3]Sheet1!B$11:G$1489,6,0)</f>
        <v>E11</v>
      </c>
      <c r="GK101" s="194"/>
      <c r="GL101" s="195"/>
      <c r="GM101" s="196"/>
      <c r="GN101" s="197"/>
      <c r="GO101" s="198"/>
      <c r="GP101" s="199"/>
      <c r="GQ101" s="200"/>
      <c r="GR101" s="201"/>
      <c r="GS101" s="60"/>
      <c r="GT101" s="202"/>
      <c r="GU101" s="202"/>
      <c r="GV101" s="202"/>
      <c r="GW101" s="202"/>
      <c r="GX101" s="203"/>
      <c r="HA101" s="194"/>
      <c r="HB101" s="195"/>
      <c r="HC101" s="196"/>
      <c r="HD101" s="197"/>
      <c r="HE101" s="198"/>
      <c r="HF101" s="199"/>
      <c r="HG101" s="200"/>
      <c r="HH101" s="201"/>
      <c r="HI101" s="60"/>
      <c r="HJ101" s="202"/>
      <c r="HK101" s="202"/>
      <c r="HL101" s="202"/>
      <c r="HM101" s="202"/>
      <c r="HN101" s="203"/>
    </row>
    <row r="102" spans="1:222" ht="16.5" customHeight="1">
      <c r="A102" s="181">
        <v>99</v>
      </c>
      <c r="B102" s="182">
        <v>527390496666</v>
      </c>
      <c r="C102" s="183" t="s">
        <v>2337</v>
      </c>
      <c r="D102" s="184" t="s">
        <v>1906</v>
      </c>
      <c r="E102" s="184" t="str">
        <f t="shared" si="9"/>
        <v>Import</v>
      </c>
      <c r="F102" s="720" t="str" cm="1">
        <f t="array" ref="F102">_xlfn.IFS(
  OR(AI102="E11", AI102="E15"), "Raw materials",
  OR(AI102="E13", AI102="G13"), "Equipments + Toolings",
  TRUE, RIGHT(C102, 8)
)</f>
        <v>Raw materials</v>
      </c>
      <c r="G102" s="541" t="str" cm="1">
        <f t="array" ref="G102">IF(E102="Import",
  IFERROR(
    _xlfn.IFS(
      VLOOKUP(B102,[1]Material!F$5:U$90000,16,0)="LUC","Lucid",
      VLOOKUP(B102,[1]Material!F$5:U$90000,16,0)="FMC","FORD",
      OR(VLOOKUP(B102,[1]Material!F$5:U$90000,16,0)="PUR",VLOOKUP(B102,[1]Material!F$5:U$90000,16,0)="HLO"),"PURE",
      VLOOKUP(B102,[1]Material!F$5:U$90000,16,0)="AIC","AIC",
      OR(VLOOKUP(B102,[1]Material!F$5:U$90000,16,0)="AGI",VLOOKUP(B102,[1]Material!F$5:U$90000,16,0)="AGIGA"),"AGIGA",
      OR(LEFT(VLOOKUP(B102,[1]Material!F$5:U$90000,16,0),3)="EF-",VLOOKUP(B102,[1]Material!F$5:U$90000,16,0)="EFI"),"EFI",
      AND(ISNUMBER(VLOOKUP(B102,[1]Material!F$5:U$90000,16,0)),VLOOKUP(B102,[1]Material!F$5:U$90000,16,0)&gt;=100,VLOOKUP(B102,[1]Material!F$5:U$90000,16,0)&lt;=999,VLOOKUP(B102,[1]Material!F$5:U$90000,16,0)=INT(VLOOKUP(B102,[1]Material!F$5:U$90000,16,0))),"OEM",
      TRUE,""
    ),
    "không tìm thấy trong file Import"
  ),
  VLOOKUP(F102,'[2]Export shipment'!B:Y,24,0)
)</f>
        <v>PURE</v>
      </c>
      <c r="H102" s="184"/>
      <c r="I102" s="184"/>
      <c r="J102" s="260">
        <f>(V102+X102+AA102)/'Logistics record '!$AD$1</f>
        <v>15.116015418335726</v>
      </c>
      <c r="K102" s="260">
        <f>W102/'Logistics record '!$AD$1</f>
        <v>0</v>
      </c>
      <c r="L102" s="260">
        <f>Y102/'Logistics record '!$AD$1</f>
        <v>0</v>
      </c>
      <c r="M102" s="260">
        <f>AF102/'Logistics record '!$AD$1</f>
        <v>0</v>
      </c>
      <c r="N102" s="260" t="str" cm="1">
        <f t="array" ref="N102">_xlfn.IFS(
    OR(UPPER(S102)="AIR", UPPER(S102)="CPN"), "AIR",
    UPPER(S102)="TC", "LOCAL",
    TRUE, "SEA"
)</f>
        <v>AIR</v>
      </c>
      <c r="O102" s="260">
        <f t="shared" si="10"/>
        <v>15.116015418335726</v>
      </c>
      <c r="P102" s="184" t="s">
        <v>939</v>
      </c>
      <c r="Q102" s="185">
        <v>108288020040</v>
      </c>
      <c r="R102" s="186">
        <v>46170</v>
      </c>
      <c r="S102" s="187" t="s">
        <v>928</v>
      </c>
      <c r="T102" s="188">
        <v>9.4</v>
      </c>
      <c r="U102" s="188"/>
      <c r="V102" s="189">
        <v>400000</v>
      </c>
      <c r="W102" s="190"/>
      <c r="X102" s="190"/>
      <c r="Y102" s="190"/>
      <c r="Z102" s="189">
        <f t="shared" si="6"/>
        <v>400000</v>
      </c>
      <c r="AA102" s="189">
        <v>0</v>
      </c>
      <c r="AB102" s="189">
        <f t="shared" si="11"/>
        <v>400000</v>
      </c>
      <c r="AC102" s="189"/>
      <c r="AD102" s="190"/>
      <c r="AE102" s="190"/>
      <c r="AF102" s="191">
        <f t="shared" si="7"/>
        <v>0</v>
      </c>
      <c r="AG102" s="190">
        <f t="shared" si="8"/>
        <v>400000</v>
      </c>
      <c r="AH102" s="190"/>
      <c r="AI102" s="192" t="str">
        <f>VLOOKUP(Q102,[3]Sheet1!B$11:G$1489,6,0)</f>
        <v>E11</v>
      </c>
      <c r="GK102" s="194"/>
      <c r="GL102" s="195"/>
      <c r="GM102" s="196"/>
      <c r="GN102" s="197"/>
      <c r="GO102" s="198"/>
      <c r="GP102" s="199"/>
      <c r="GQ102" s="200"/>
      <c r="GR102" s="201"/>
      <c r="GS102" s="60"/>
      <c r="GT102" s="202"/>
      <c r="GU102" s="202"/>
      <c r="GV102" s="202"/>
      <c r="GW102" s="202"/>
      <c r="GX102" s="203"/>
      <c r="HA102" s="194"/>
      <c r="HB102" s="195"/>
      <c r="HC102" s="196"/>
      <c r="HD102" s="197"/>
      <c r="HE102" s="198"/>
      <c r="HF102" s="199"/>
      <c r="HG102" s="200"/>
      <c r="HH102" s="201"/>
      <c r="HI102" s="60"/>
      <c r="HJ102" s="202"/>
      <c r="HK102" s="202"/>
      <c r="HL102" s="202"/>
      <c r="HM102" s="202"/>
      <c r="HN102" s="203"/>
    </row>
    <row r="103" spans="1:222" ht="16.5" customHeight="1">
      <c r="A103" s="181">
        <v>100</v>
      </c>
      <c r="B103" s="182">
        <v>409298923568</v>
      </c>
      <c r="C103" s="598" t="s">
        <v>2338</v>
      </c>
      <c r="D103" s="184" t="s">
        <v>378</v>
      </c>
      <c r="E103" s="184" t="str">
        <f t="shared" si="9"/>
        <v>Import</v>
      </c>
      <c r="F103" s="720" t="str" cm="1">
        <f t="array" ref="F103">_xlfn.IFS(
  OR(AI103="E11", AI103="E15"), "Raw materials",
  OR(AI103="E13", AI103="G13"), "Equipments + Toolings",
  TRUE, RIGHT(C103, 8)
)</f>
        <v>Raw materials</v>
      </c>
      <c r="G103" s="541" t="str" cm="1">
        <f t="array" ref="G103">IF(E103="Import",
  IFERROR(
    _xlfn.IFS(
      VLOOKUP(B103,[1]Material!F$5:U$90000,16,0)="LUC","Lucid",
      VLOOKUP(B103,[1]Material!F$5:U$90000,16,0)="FMC","FORD",
      OR(VLOOKUP(B103,[1]Material!F$5:U$90000,16,0)="PUR",VLOOKUP(B103,[1]Material!F$5:U$90000,16,0)="HLO"),"PURE",
      VLOOKUP(B103,[1]Material!F$5:U$90000,16,0)="AIC","AIC",
      OR(VLOOKUP(B103,[1]Material!F$5:U$90000,16,0)="AGI",VLOOKUP(B103,[1]Material!F$5:U$90000,16,0)="AGIGA"),"AGIGA",
      OR(LEFT(VLOOKUP(B103,[1]Material!F$5:U$90000,16,0),3)="EF-",VLOOKUP(B103,[1]Material!F$5:U$90000,16,0)="EFI"),"EFI",
      AND(ISNUMBER(VLOOKUP(B103,[1]Material!F$5:U$90000,16,0)),VLOOKUP(B103,[1]Material!F$5:U$90000,16,0)&gt;=100,VLOOKUP(B103,[1]Material!F$5:U$90000,16,0)&lt;=999,VLOOKUP(B103,[1]Material!F$5:U$90000,16,0)=INT(VLOOKUP(B103,[1]Material!F$5:U$90000,16,0))),"OEM",
      TRUE,""
    ),
    "không tìm thấy trong file Import"
  ),
  VLOOKUP(F103,'[2]Export shipment'!B:Y,24,0)
)</f>
        <v>Lucid</v>
      </c>
      <c r="H103" s="184"/>
      <c r="I103" s="184"/>
      <c r="J103" s="260">
        <f>(V103+X103+AA103)/'Logistics record '!$AD$1</f>
        <v>15.116015418335726</v>
      </c>
      <c r="K103" s="260">
        <f>W103/'Logistics record '!$AD$1</f>
        <v>0</v>
      </c>
      <c r="L103" s="260">
        <f>Y103/'Logistics record '!$AD$1</f>
        <v>0</v>
      </c>
      <c r="M103" s="260">
        <f>AF103/'Logistics record '!$AD$1</f>
        <v>0</v>
      </c>
      <c r="N103" s="260" t="str" cm="1">
        <f t="array" ref="N103">_xlfn.IFS(
    OR(UPPER(S103)="AIR", UPPER(S103)="CPN"), "AIR",
    UPPER(S103)="TC", "LOCAL",
    TRUE, "SEA"
)</f>
        <v>AIR</v>
      </c>
      <c r="O103" s="260">
        <f t="shared" si="10"/>
        <v>15.116015418335726</v>
      </c>
      <c r="P103" s="184" t="s">
        <v>937</v>
      </c>
      <c r="Q103" s="185">
        <v>108288030100</v>
      </c>
      <c r="R103" s="186">
        <v>46170</v>
      </c>
      <c r="S103" s="187" t="s">
        <v>928</v>
      </c>
      <c r="T103" s="188">
        <v>10.3</v>
      </c>
      <c r="U103" s="188"/>
      <c r="V103" s="189">
        <v>400000</v>
      </c>
      <c r="W103" s="190"/>
      <c r="X103" s="190"/>
      <c r="Y103" s="190"/>
      <c r="Z103" s="189">
        <f t="shared" si="6"/>
        <v>400000</v>
      </c>
      <c r="AA103" s="189">
        <v>0</v>
      </c>
      <c r="AB103" s="189">
        <f t="shared" si="11"/>
        <v>400000</v>
      </c>
      <c r="AC103" s="189"/>
      <c r="AD103" s="190"/>
      <c r="AE103" s="190"/>
      <c r="AF103" s="191">
        <f t="shared" si="7"/>
        <v>0</v>
      </c>
      <c r="AG103" s="190">
        <f t="shared" si="8"/>
        <v>400000</v>
      </c>
      <c r="AH103" s="190"/>
      <c r="AI103" s="192" t="str">
        <f>VLOOKUP(Q103,[3]Sheet1!B$11:G$1489,6,0)</f>
        <v>E11</v>
      </c>
      <c r="GK103" s="194"/>
      <c r="GL103" s="195"/>
      <c r="GM103" s="196"/>
      <c r="GN103" s="197"/>
      <c r="GO103" s="198"/>
      <c r="GP103" s="199"/>
      <c r="GQ103" s="200"/>
      <c r="GR103" s="201"/>
      <c r="GS103" s="60"/>
      <c r="GT103" s="202"/>
      <c r="GU103" s="202"/>
      <c r="GV103" s="202"/>
      <c r="GW103" s="202"/>
      <c r="GX103" s="203"/>
      <c r="HA103" s="194"/>
      <c r="HB103" s="195"/>
      <c r="HC103" s="196"/>
      <c r="HD103" s="197"/>
      <c r="HE103" s="198"/>
      <c r="HF103" s="199"/>
      <c r="HG103" s="200"/>
      <c r="HH103" s="201"/>
      <c r="HI103" s="60"/>
      <c r="HJ103" s="202"/>
      <c r="HK103" s="202"/>
      <c r="HL103" s="202"/>
      <c r="HM103" s="202"/>
      <c r="HN103" s="203"/>
    </row>
    <row r="104" spans="1:222" ht="16.5" customHeight="1">
      <c r="A104" s="181">
        <v>101</v>
      </c>
      <c r="B104" s="182">
        <v>872167182452</v>
      </c>
      <c r="C104" s="598" t="s">
        <v>2339</v>
      </c>
      <c r="D104" s="184" t="s">
        <v>985</v>
      </c>
      <c r="E104" s="184" t="str">
        <f t="shared" si="9"/>
        <v>Import</v>
      </c>
      <c r="F104" s="720" t="str" cm="1">
        <f t="array" ref="F104">_xlfn.IFS(
  OR(AI104="E11", AI104="E15"), "Raw materials",
  OR(AI104="E13", AI104="G13"), "Equipments + Toolings",
  TRUE, RIGHT(C104, 8)
)</f>
        <v>Raw materials</v>
      </c>
      <c r="G104" s="541" t="str" cm="1">
        <f t="array" ref="G104">IF(E104="Import",
  IFERROR(
    _xlfn.IFS(
      VLOOKUP(B104,[1]Material!F$5:U$90000,16,0)="LUC","Lucid",
      VLOOKUP(B104,[1]Material!F$5:U$90000,16,0)="FMC","FORD",
      OR(VLOOKUP(B104,[1]Material!F$5:U$90000,16,0)="PUR",VLOOKUP(B104,[1]Material!F$5:U$90000,16,0)="HLO"),"PURE",
      VLOOKUP(B104,[1]Material!F$5:U$90000,16,0)="AIC","AIC",
      OR(VLOOKUP(B104,[1]Material!F$5:U$90000,16,0)="AGI",VLOOKUP(B104,[1]Material!F$5:U$90000,16,0)="AGIGA"),"AGIGA",
      OR(LEFT(VLOOKUP(B104,[1]Material!F$5:U$90000,16,0),3)="EF-",VLOOKUP(B104,[1]Material!F$5:U$90000,16,0)="EFI"),"EFI",
      AND(ISNUMBER(VLOOKUP(B104,[1]Material!F$5:U$90000,16,0)),VLOOKUP(B104,[1]Material!F$5:U$90000,16,0)&gt;=100,VLOOKUP(B104,[1]Material!F$5:U$90000,16,0)&lt;=999,VLOOKUP(B104,[1]Material!F$5:U$90000,16,0)=INT(VLOOKUP(B104,[1]Material!F$5:U$90000,16,0))),"OEM",
      TRUE,""
    ),
    "không tìm thấy trong file Import"
  ),
  VLOOKUP(F104,'[2]Export shipment'!B:Y,24,0)
)</f>
        <v>EFI</v>
      </c>
      <c r="H104" s="184"/>
      <c r="I104" s="184"/>
      <c r="J104" s="260">
        <f>(V104+X104+AA104)/'Logistics record '!$AD$1</f>
        <v>15.116015418335726</v>
      </c>
      <c r="K104" s="260">
        <f>W104/'Logistics record '!$AD$1</f>
        <v>0</v>
      </c>
      <c r="L104" s="260">
        <f>Y104/'Logistics record '!$AD$1</f>
        <v>0</v>
      </c>
      <c r="M104" s="260">
        <f>AF104/'Logistics record '!$AD$1</f>
        <v>0</v>
      </c>
      <c r="N104" s="260" t="str" cm="1">
        <f t="array" ref="N104">_xlfn.IFS(
    OR(UPPER(S104)="AIR", UPPER(S104)="CPN"), "AIR",
    UPPER(S104)="TC", "LOCAL",
    TRUE, "SEA"
)</f>
        <v>AIR</v>
      </c>
      <c r="O104" s="260">
        <f t="shared" si="10"/>
        <v>15.116015418335726</v>
      </c>
      <c r="P104" s="184" t="s">
        <v>1964</v>
      </c>
      <c r="Q104" s="185">
        <v>108288041630</v>
      </c>
      <c r="R104" s="186">
        <v>46170</v>
      </c>
      <c r="S104" s="187" t="s">
        <v>928</v>
      </c>
      <c r="T104" s="188">
        <v>0.30000000000000004</v>
      </c>
      <c r="U104" s="188"/>
      <c r="V104" s="189">
        <v>400000</v>
      </c>
      <c r="W104" s="190"/>
      <c r="X104" s="190"/>
      <c r="Y104" s="190"/>
      <c r="Z104" s="189">
        <f t="shared" si="6"/>
        <v>400000</v>
      </c>
      <c r="AA104" s="189">
        <v>0</v>
      </c>
      <c r="AB104" s="189">
        <f t="shared" si="11"/>
        <v>400000</v>
      </c>
      <c r="AC104" s="189"/>
      <c r="AD104" s="190"/>
      <c r="AE104" s="190"/>
      <c r="AF104" s="191">
        <f t="shared" si="7"/>
        <v>0</v>
      </c>
      <c r="AG104" s="190">
        <f t="shared" si="8"/>
        <v>400000</v>
      </c>
      <c r="AH104" s="190"/>
      <c r="AI104" s="192" t="str">
        <f>VLOOKUP(Q104,[3]Sheet1!B$11:G$1489,6,0)</f>
        <v>E11</v>
      </c>
      <c r="GK104" s="194"/>
      <c r="GL104" s="195"/>
      <c r="GM104" s="196"/>
      <c r="GN104" s="197"/>
      <c r="GO104" s="198"/>
      <c r="GP104" s="199"/>
      <c r="GQ104" s="200"/>
      <c r="GR104" s="201"/>
      <c r="GS104" s="60"/>
      <c r="GT104" s="202"/>
      <c r="GU104" s="202"/>
      <c r="GV104" s="202"/>
      <c r="GW104" s="202"/>
      <c r="GX104" s="203"/>
      <c r="HA104" s="194"/>
      <c r="HB104" s="195"/>
      <c r="HC104" s="196"/>
      <c r="HD104" s="197"/>
      <c r="HE104" s="198"/>
      <c r="HF104" s="199"/>
      <c r="HG104" s="200"/>
      <c r="HH104" s="201"/>
      <c r="HI104" s="60"/>
      <c r="HJ104" s="202"/>
      <c r="HK104" s="202"/>
      <c r="HL104" s="202"/>
      <c r="HM104" s="202"/>
      <c r="HN104" s="203"/>
    </row>
    <row r="105" spans="1:222" ht="16.5" customHeight="1">
      <c r="A105" s="181">
        <v>102</v>
      </c>
      <c r="B105" s="182">
        <v>526910755792</v>
      </c>
      <c r="C105" s="183" t="s">
        <v>2340</v>
      </c>
      <c r="D105" s="184" t="s">
        <v>968</v>
      </c>
      <c r="E105" s="184" t="str">
        <f t="shared" si="9"/>
        <v>Import</v>
      </c>
      <c r="F105" s="720" t="str" cm="1">
        <f t="array" ref="F105">_xlfn.IFS(
  OR(AI105="E11", AI105="E15"), "Raw materials",
  OR(AI105="E13", AI105="G13"), "Equipments + Toolings",
  TRUE, RIGHT(C105, 8)
)</f>
        <v>Raw materials</v>
      </c>
      <c r="G105" s="541" t="str" cm="1">
        <f t="array" ref="G105">IF(E105="Import",
  IFERROR(
    _xlfn.IFS(
      VLOOKUP(B105,[1]Material!F$5:U$90000,16,0)="LUC","Lucid",
      VLOOKUP(B105,[1]Material!F$5:U$90000,16,0)="FMC","FORD",
      OR(VLOOKUP(B105,[1]Material!F$5:U$90000,16,0)="PUR",VLOOKUP(B105,[1]Material!F$5:U$90000,16,0)="HLO"),"PURE",
      VLOOKUP(B105,[1]Material!F$5:U$90000,16,0)="AIC","AIC",
      OR(VLOOKUP(B105,[1]Material!F$5:U$90000,16,0)="AGI",VLOOKUP(B105,[1]Material!F$5:U$90000,16,0)="AGIGA"),"AGIGA",
      OR(LEFT(VLOOKUP(B105,[1]Material!F$5:U$90000,16,0),3)="EF-",VLOOKUP(B105,[1]Material!F$5:U$90000,16,0)="EFI"),"EFI",
      AND(ISNUMBER(VLOOKUP(B105,[1]Material!F$5:U$90000,16,0)),VLOOKUP(B105,[1]Material!F$5:U$90000,16,0)&gt;=100,VLOOKUP(B105,[1]Material!F$5:U$90000,16,0)&lt;=999,VLOOKUP(B105,[1]Material!F$5:U$90000,16,0)=INT(VLOOKUP(B105,[1]Material!F$5:U$90000,16,0))),"OEM",
      TRUE,""
    ),
    "không tìm thấy trong file Import"
  ),
  VLOOKUP(F105,'[2]Export shipment'!B:Y,24,0)
)</f>
        <v>PURE</v>
      </c>
      <c r="H105" s="184"/>
      <c r="I105" s="184"/>
      <c r="J105" s="260">
        <f>(V105+X105+AA105)/'Logistics record '!$AD$1</f>
        <v>15.116015418335726</v>
      </c>
      <c r="K105" s="260">
        <f>W105/'Logistics record '!$AD$1</f>
        <v>0</v>
      </c>
      <c r="L105" s="260">
        <f>Y105/'Logistics record '!$AD$1</f>
        <v>0</v>
      </c>
      <c r="M105" s="260">
        <f>AF105/'Logistics record '!$AD$1</f>
        <v>0</v>
      </c>
      <c r="N105" s="260" t="str" cm="1">
        <f t="array" ref="N105">_xlfn.IFS(
    OR(UPPER(S105)="AIR", UPPER(S105)="CPN"), "AIR",
    UPPER(S105)="TC", "LOCAL",
    TRUE, "SEA"
)</f>
        <v>AIR</v>
      </c>
      <c r="O105" s="260">
        <f t="shared" si="10"/>
        <v>15.116015418335726</v>
      </c>
      <c r="P105" s="184" t="s">
        <v>927</v>
      </c>
      <c r="Q105" s="185">
        <v>108288042660</v>
      </c>
      <c r="R105" s="186">
        <v>46170</v>
      </c>
      <c r="S105" s="187" t="s">
        <v>928</v>
      </c>
      <c r="T105" s="188">
        <v>0.2</v>
      </c>
      <c r="U105" s="188"/>
      <c r="V105" s="189">
        <v>400000</v>
      </c>
      <c r="W105" s="190"/>
      <c r="X105" s="190"/>
      <c r="Y105" s="190"/>
      <c r="Z105" s="189">
        <f t="shared" si="6"/>
        <v>400000</v>
      </c>
      <c r="AA105" s="189">
        <v>0</v>
      </c>
      <c r="AB105" s="189">
        <f t="shared" si="11"/>
        <v>400000</v>
      </c>
      <c r="AC105" s="189"/>
      <c r="AD105" s="190"/>
      <c r="AE105" s="190"/>
      <c r="AF105" s="191">
        <f t="shared" si="7"/>
        <v>0</v>
      </c>
      <c r="AG105" s="190">
        <f t="shared" si="8"/>
        <v>400000</v>
      </c>
      <c r="AH105" s="190"/>
      <c r="AI105" s="192" t="str">
        <f>VLOOKUP(Q105,[3]Sheet1!B$11:G$1489,6,0)</f>
        <v>E11</v>
      </c>
      <c r="GK105" s="194"/>
      <c r="GL105" s="195"/>
      <c r="GM105" s="196"/>
      <c r="GN105" s="197"/>
      <c r="GO105" s="198"/>
      <c r="GP105" s="199"/>
      <c r="GQ105" s="200"/>
      <c r="GR105" s="201"/>
      <c r="GS105" s="60"/>
      <c r="GT105" s="202"/>
      <c r="GU105" s="202"/>
      <c r="GV105" s="202"/>
      <c r="GW105" s="202"/>
      <c r="GX105" s="203"/>
      <c r="HA105" s="194"/>
      <c r="HB105" s="195"/>
      <c r="HC105" s="196"/>
      <c r="HD105" s="197"/>
      <c r="HE105" s="198"/>
      <c r="HF105" s="199"/>
      <c r="HG105" s="200"/>
      <c r="HH105" s="201"/>
      <c r="HI105" s="60"/>
      <c r="HJ105" s="202"/>
      <c r="HK105" s="202"/>
      <c r="HL105" s="202"/>
      <c r="HM105" s="202"/>
      <c r="HN105" s="203"/>
    </row>
    <row r="106" spans="1:222" ht="16.5" customHeight="1">
      <c r="A106" s="181">
        <v>103</v>
      </c>
      <c r="B106" s="182">
        <v>1725908612</v>
      </c>
      <c r="C106" s="598" t="s">
        <v>2341</v>
      </c>
      <c r="D106" s="184" t="s">
        <v>823</v>
      </c>
      <c r="E106" s="184" t="str">
        <f t="shared" si="9"/>
        <v>Import</v>
      </c>
      <c r="F106" s="720" t="str" cm="1">
        <f t="array" ref="F106">_xlfn.IFS(
  OR(AI106="E11", AI106="E15"), "Raw materials",
  OR(AI106="E13", AI106="G13"), "Equipments + Toolings",
  TRUE, RIGHT(C106, 8)
)</f>
        <v>Raw materials</v>
      </c>
      <c r="G106" s="541" t="s">
        <v>1271</v>
      </c>
      <c r="H106" s="184"/>
      <c r="I106" s="184"/>
      <c r="J106" s="260">
        <f>(V106+X106+AA106)/'Logistics record '!$AD$1</f>
        <v>15.116015418335726</v>
      </c>
      <c r="K106" s="260">
        <f>W106/'Logistics record '!$AD$1</f>
        <v>0</v>
      </c>
      <c r="L106" s="260">
        <f>Y106/'Logistics record '!$AD$1</f>
        <v>0</v>
      </c>
      <c r="M106" s="260">
        <f>AF106/'Logistics record '!$AD$1</f>
        <v>0</v>
      </c>
      <c r="N106" s="260" t="str" cm="1">
        <f t="array" ref="N106">_xlfn.IFS(
    OR(UPPER(S106)="AIR", UPPER(S106)="CPN"), "AIR",
    UPPER(S106)="TC", "LOCAL",
    TRUE, "SEA"
)</f>
        <v>AIR</v>
      </c>
      <c r="O106" s="260">
        <f t="shared" si="10"/>
        <v>15.116015418335726</v>
      </c>
      <c r="P106" s="184" t="s">
        <v>927</v>
      </c>
      <c r="Q106" s="185">
        <v>108288050840</v>
      </c>
      <c r="R106" s="186">
        <v>46170</v>
      </c>
      <c r="S106" s="187" t="s">
        <v>928</v>
      </c>
      <c r="T106" s="188">
        <v>27.9</v>
      </c>
      <c r="U106" s="188"/>
      <c r="V106" s="189">
        <v>400000</v>
      </c>
      <c r="W106" s="190"/>
      <c r="X106" s="190"/>
      <c r="Y106" s="190"/>
      <c r="Z106" s="189">
        <f t="shared" si="6"/>
        <v>400000</v>
      </c>
      <c r="AA106" s="189">
        <v>0</v>
      </c>
      <c r="AB106" s="189">
        <f t="shared" si="11"/>
        <v>400000</v>
      </c>
      <c r="AC106" s="189"/>
      <c r="AD106" s="190"/>
      <c r="AE106" s="190"/>
      <c r="AF106" s="191">
        <f t="shared" si="7"/>
        <v>0</v>
      </c>
      <c r="AG106" s="190">
        <f t="shared" si="8"/>
        <v>400000</v>
      </c>
      <c r="AH106" s="190"/>
      <c r="AI106" s="192" t="str">
        <f>VLOOKUP(Q106,[3]Sheet1!B$11:G$1489,6,0)</f>
        <v>E11</v>
      </c>
      <c r="GK106" s="194"/>
      <c r="GL106" s="195"/>
      <c r="GM106" s="196"/>
      <c r="GN106" s="197"/>
      <c r="GO106" s="198"/>
      <c r="GP106" s="199"/>
      <c r="GQ106" s="200"/>
      <c r="GR106" s="201"/>
      <c r="GS106" s="60"/>
      <c r="GT106" s="202"/>
      <c r="GU106" s="202"/>
      <c r="GV106" s="202"/>
      <c r="GW106" s="202"/>
      <c r="GX106" s="203"/>
      <c r="HA106" s="194"/>
      <c r="HB106" s="195"/>
      <c r="HC106" s="196"/>
      <c r="HD106" s="197"/>
      <c r="HE106" s="198"/>
      <c r="HF106" s="199"/>
      <c r="HG106" s="200"/>
      <c r="HH106" s="201"/>
      <c r="HI106" s="60"/>
      <c r="HJ106" s="202"/>
      <c r="HK106" s="202"/>
      <c r="HL106" s="202"/>
      <c r="HM106" s="202"/>
      <c r="HN106" s="203"/>
    </row>
    <row r="107" spans="1:222" ht="16.5" customHeight="1">
      <c r="A107" s="181">
        <v>104</v>
      </c>
      <c r="B107" s="182">
        <v>527158915040</v>
      </c>
      <c r="C107" s="183" t="s">
        <v>2342</v>
      </c>
      <c r="D107" s="184" t="s">
        <v>968</v>
      </c>
      <c r="E107" s="184" t="str">
        <f t="shared" si="9"/>
        <v>Import</v>
      </c>
      <c r="F107" s="720" t="str" cm="1">
        <f t="array" ref="F107">_xlfn.IFS(
  OR(AI107="E11", AI107="E15"), "Raw materials",
  OR(AI107="E13", AI107="G13"), "Equipments + Toolings",
  TRUE, RIGHT(C107, 8)
)</f>
        <v>Raw materials</v>
      </c>
      <c r="G107" s="541" t="str" cm="1">
        <f t="array" ref="G107">IF(E107="Import",
  IFERROR(
    _xlfn.IFS(
      VLOOKUP(B107,[1]Material!F$5:U$90000,16,0)="LUC","Lucid",
      VLOOKUP(B107,[1]Material!F$5:U$90000,16,0)="FMC","FORD",
      OR(VLOOKUP(B107,[1]Material!F$5:U$90000,16,0)="PUR",VLOOKUP(B107,[1]Material!F$5:U$90000,16,0)="HLO"),"PURE",
      VLOOKUP(B107,[1]Material!F$5:U$90000,16,0)="AIC","AIC",
      OR(VLOOKUP(B107,[1]Material!F$5:U$90000,16,0)="AGI",VLOOKUP(B107,[1]Material!F$5:U$90000,16,0)="AGIGA"),"AGIGA",
      OR(LEFT(VLOOKUP(B107,[1]Material!F$5:U$90000,16,0),3)="EF-",VLOOKUP(B107,[1]Material!F$5:U$90000,16,0)="EFI"),"EFI",
      AND(ISNUMBER(VLOOKUP(B107,[1]Material!F$5:U$90000,16,0)),VLOOKUP(B107,[1]Material!F$5:U$90000,16,0)&gt;=100,VLOOKUP(B107,[1]Material!F$5:U$90000,16,0)&lt;=999,VLOOKUP(B107,[1]Material!F$5:U$90000,16,0)=INT(VLOOKUP(B107,[1]Material!F$5:U$90000,16,0))),"OEM",
      TRUE,""
    ),
    "không tìm thấy trong file Import"
  ),
  VLOOKUP(F107,'[2]Export shipment'!B:Y,24,0)
)</f>
        <v>PURE</v>
      </c>
      <c r="H107" s="184"/>
      <c r="I107" s="184"/>
      <c r="J107" s="260">
        <f>(V107+X107+AA107)/'Logistics record '!$AD$1</f>
        <v>15.116015418335726</v>
      </c>
      <c r="K107" s="260">
        <f>W107/'Logistics record '!$AD$1</f>
        <v>0</v>
      </c>
      <c r="L107" s="260">
        <f>Y107/'Logistics record '!$AD$1</f>
        <v>0</v>
      </c>
      <c r="M107" s="260">
        <f>AF107/'Logistics record '!$AD$1</f>
        <v>0</v>
      </c>
      <c r="N107" s="260" t="str" cm="1">
        <f t="array" ref="N107">_xlfn.IFS(
    OR(UPPER(S107)="AIR", UPPER(S107)="CPN"), "AIR",
    UPPER(S107)="TC", "LOCAL",
    TRUE, "SEA"
)</f>
        <v>AIR</v>
      </c>
      <c r="O107" s="260">
        <f t="shared" si="10"/>
        <v>15.116015418335726</v>
      </c>
      <c r="P107" s="184" t="s">
        <v>935</v>
      </c>
      <c r="Q107" s="185">
        <v>108288062740</v>
      </c>
      <c r="R107" s="186">
        <v>46170</v>
      </c>
      <c r="S107" s="187" t="s">
        <v>928</v>
      </c>
      <c r="T107" s="188">
        <v>14.5</v>
      </c>
      <c r="U107" s="188"/>
      <c r="V107" s="189">
        <v>400000</v>
      </c>
      <c r="W107" s="190"/>
      <c r="X107" s="190"/>
      <c r="Y107" s="190"/>
      <c r="Z107" s="189">
        <f t="shared" si="6"/>
        <v>400000</v>
      </c>
      <c r="AA107" s="189">
        <v>0</v>
      </c>
      <c r="AB107" s="189">
        <f t="shared" si="11"/>
        <v>400000</v>
      </c>
      <c r="AC107" s="189"/>
      <c r="AD107" s="190"/>
      <c r="AE107" s="190"/>
      <c r="AF107" s="191">
        <f t="shared" si="7"/>
        <v>0</v>
      </c>
      <c r="AG107" s="190">
        <f t="shared" si="8"/>
        <v>400000</v>
      </c>
      <c r="AH107" s="190"/>
      <c r="AI107" s="192" t="str">
        <f>VLOOKUP(Q107,[3]Sheet1!B$11:G$1489,6,0)</f>
        <v>E11</v>
      </c>
      <c r="GK107" s="194"/>
      <c r="GL107" s="195"/>
      <c r="GM107" s="196"/>
      <c r="GN107" s="197"/>
      <c r="GO107" s="198"/>
      <c r="GP107" s="199"/>
      <c r="GQ107" s="200"/>
      <c r="GR107" s="201"/>
      <c r="GS107" s="60"/>
      <c r="GT107" s="202"/>
      <c r="GU107" s="202"/>
      <c r="GV107" s="202"/>
      <c r="GW107" s="202"/>
      <c r="GX107" s="203"/>
      <c r="HA107" s="194"/>
      <c r="HB107" s="195"/>
      <c r="HC107" s="196"/>
      <c r="HD107" s="197"/>
      <c r="HE107" s="198"/>
      <c r="HF107" s="199"/>
      <c r="HG107" s="200"/>
      <c r="HH107" s="201"/>
      <c r="HI107" s="60"/>
      <c r="HJ107" s="202"/>
      <c r="HK107" s="202"/>
      <c r="HL107" s="202"/>
      <c r="HM107" s="202"/>
      <c r="HN107" s="203"/>
    </row>
    <row r="108" spans="1:222" ht="16.5" customHeight="1">
      <c r="A108" s="181">
        <v>105</v>
      </c>
      <c r="B108" s="182" t="s">
        <v>2343</v>
      </c>
      <c r="C108" s="183" t="s">
        <v>2344</v>
      </c>
      <c r="D108" s="184" t="s">
        <v>528</v>
      </c>
      <c r="E108" s="184" t="str">
        <f t="shared" si="9"/>
        <v>Import</v>
      </c>
      <c r="F108" s="720" t="str" cm="1">
        <f t="array" ref="F108">_xlfn.IFS(
  OR(AI108="E11", AI108="E15"), "Raw materials",
  OR(AI108="E13", AI108="G13"), "Equipments + Toolings",
  TRUE, RIGHT(C108, 8)
)</f>
        <v>Raw materials</v>
      </c>
      <c r="G108" s="541" t="str" cm="1">
        <f t="array" ref="G108">IF(E108="Import",
  IFERROR(
    _xlfn.IFS(
      VLOOKUP(B108,[1]Material!F$5:U$90000,16,0)="LUC","Lucid",
      VLOOKUP(B108,[1]Material!F$5:U$90000,16,0)="FMC","FORD",
      OR(VLOOKUP(B108,[1]Material!F$5:U$90000,16,0)="PUR",VLOOKUP(B108,[1]Material!F$5:U$90000,16,0)="HLO"),"PURE",
      VLOOKUP(B108,[1]Material!F$5:U$90000,16,0)="AIC","AIC",
      OR(VLOOKUP(B108,[1]Material!F$5:U$90000,16,0)="AGI",VLOOKUP(B108,[1]Material!F$5:U$90000,16,0)="AGIGA"),"AGIGA",
      OR(LEFT(VLOOKUP(B108,[1]Material!F$5:U$90000,16,0),3)="EF-",VLOOKUP(B108,[1]Material!F$5:U$90000,16,0)="EFI"),"EFI",
      AND(ISNUMBER(VLOOKUP(B108,[1]Material!F$5:U$90000,16,0)),VLOOKUP(B108,[1]Material!F$5:U$90000,16,0)&gt;=100,VLOOKUP(B108,[1]Material!F$5:U$90000,16,0)&lt;=999,VLOOKUP(B108,[1]Material!F$5:U$90000,16,0)=INT(VLOOKUP(B108,[1]Material!F$5:U$90000,16,0))),"OEM",
      TRUE,""
    ),
    "không tìm thấy trong file Import"
  ),
  VLOOKUP(F108,'[2]Export shipment'!B:Y,24,0)
)</f>
        <v>Lucid</v>
      </c>
      <c r="H108" s="184"/>
      <c r="I108" s="184"/>
      <c r="J108" s="260">
        <f>(V108+X108+AA108)/'Logistics record '!$AD$1</f>
        <v>15.116015418335726</v>
      </c>
      <c r="K108" s="260">
        <f>W108/'Logistics record '!$AD$1</f>
        <v>0</v>
      </c>
      <c r="L108" s="260">
        <f>Y108/'Logistics record '!$AD$1</f>
        <v>582.29556647267782</v>
      </c>
      <c r="M108" s="260">
        <f>AF108/'Logistics record '!$AD$1</f>
        <v>23.732900007558008</v>
      </c>
      <c r="N108" s="260" t="str" cm="1">
        <f t="array" ref="N108">_xlfn.IFS(
    OR(UPPER(S108)="AIR", UPPER(S108)="CPN"), "AIR",
    UPPER(S108)="TC", "LOCAL",
    TRUE, "SEA"
)</f>
        <v>SEA</v>
      </c>
      <c r="O108" s="260">
        <f t="shared" si="10"/>
        <v>621.14448189857148</v>
      </c>
      <c r="P108" s="542" t="s">
        <v>932</v>
      </c>
      <c r="Q108" s="185">
        <v>108288532660</v>
      </c>
      <c r="R108" s="186">
        <v>46171</v>
      </c>
      <c r="S108" s="187" t="s">
        <v>933</v>
      </c>
      <c r="T108" s="188">
        <v>100.5</v>
      </c>
      <c r="U108" s="188">
        <v>1.04</v>
      </c>
      <c r="V108" s="189">
        <v>400000</v>
      </c>
      <c r="W108" s="190"/>
      <c r="X108" s="190"/>
      <c r="Y108" s="190">
        <v>15408705.280000001</v>
      </c>
      <c r="Z108" s="189">
        <f t="shared" si="6"/>
        <v>15808705.280000001</v>
      </c>
      <c r="AA108" s="189">
        <v>0</v>
      </c>
      <c r="AB108" s="189">
        <f t="shared" si="11"/>
        <v>15808705.280000001</v>
      </c>
      <c r="AC108" s="189"/>
      <c r="AD108" s="190"/>
      <c r="AE108" s="190">
        <v>628020</v>
      </c>
      <c r="AF108" s="191">
        <f t="shared" si="7"/>
        <v>628020</v>
      </c>
      <c r="AG108" s="190">
        <f t="shared" si="8"/>
        <v>16436725.280000001</v>
      </c>
      <c r="AH108" s="190"/>
      <c r="AI108" s="192" t="str">
        <f>VLOOKUP(Q108,[3]Sheet1!B$11:G$1489,6,0)</f>
        <v>E11</v>
      </c>
      <c r="GK108" s="194"/>
      <c r="GL108" s="195"/>
      <c r="GM108" s="196"/>
      <c r="GN108" s="197"/>
      <c r="GO108" s="198"/>
      <c r="GP108" s="199"/>
      <c r="GQ108" s="200"/>
      <c r="GR108" s="201"/>
      <c r="GS108" s="60"/>
      <c r="GT108" s="202"/>
      <c r="GU108" s="202"/>
      <c r="GV108" s="202"/>
      <c r="GW108" s="202"/>
      <c r="GX108" s="203"/>
      <c r="HA108" s="194"/>
      <c r="HB108" s="195"/>
      <c r="HC108" s="196"/>
      <c r="HD108" s="197"/>
      <c r="HE108" s="198"/>
      <c r="HF108" s="199"/>
      <c r="HG108" s="200"/>
      <c r="HH108" s="201"/>
      <c r="HI108" s="60"/>
      <c r="HJ108" s="202"/>
      <c r="HK108" s="202"/>
      <c r="HL108" s="202"/>
      <c r="HM108" s="202"/>
      <c r="HN108" s="203"/>
    </row>
    <row r="109" spans="1:222" ht="16.5" customHeight="1">
      <c r="A109" s="181">
        <v>106</v>
      </c>
      <c r="B109" s="182">
        <v>527390520469</v>
      </c>
      <c r="C109" s="598" t="s">
        <v>2345</v>
      </c>
      <c r="D109" s="184" t="s">
        <v>1906</v>
      </c>
      <c r="E109" s="184" t="str">
        <f t="shared" si="9"/>
        <v>Import</v>
      </c>
      <c r="F109" s="720" t="str" cm="1">
        <f t="array" ref="F109">_xlfn.IFS(
  OR(AI109="E11", AI109="E15"), "Raw materials",
  OR(AI109="E13", AI109="G13"), "Equipments + Toolings",
  TRUE, RIGHT(C109, 8)
)</f>
        <v>Raw materials</v>
      </c>
      <c r="G109" s="541" t="str" cm="1">
        <f t="array" ref="G109">IF(E109="Import",
  IFERROR(
    _xlfn.IFS(
      VLOOKUP(B109,[1]Material!F$5:U$90000,16,0)="LUC","Lucid",
      VLOOKUP(B109,[1]Material!F$5:U$90000,16,0)="FMC","FORD",
      OR(VLOOKUP(B109,[1]Material!F$5:U$90000,16,0)="PUR",VLOOKUP(B109,[1]Material!F$5:U$90000,16,0)="HLO"),"PURE",
      VLOOKUP(B109,[1]Material!F$5:U$90000,16,0)="AIC","AIC",
      OR(VLOOKUP(B109,[1]Material!F$5:U$90000,16,0)="AGI",VLOOKUP(B109,[1]Material!F$5:U$90000,16,0)="AGIGA"),"AGIGA",
      OR(LEFT(VLOOKUP(B109,[1]Material!F$5:U$90000,16,0),3)="EF-",VLOOKUP(B109,[1]Material!F$5:U$90000,16,0)="EFI"),"EFI",
      AND(ISNUMBER(VLOOKUP(B109,[1]Material!F$5:U$90000,16,0)),VLOOKUP(B109,[1]Material!F$5:U$90000,16,0)&gt;=100,VLOOKUP(B109,[1]Material!F$5:U$90000,16,0)&lt;=999,VLOOKUP(B109,[1]Material!F$5:U$90000,16,0)=INT(VLOOKUP(B109,[1]Material!F$5:U$90000,16,0))),"OEM",
      TRUE,""
    ),
    "không tìm thấy trong file Import"
  ),
  VLOOKUP(F109,'[2]Export shipment'!B:Y,24,0)
)</f>
        <v>PURE</v>
      </c>
      <c r="H109" s="184"/>
      <c r="I109" s="184"/>
      <c r="J109" s="260">
        <f>(V109+X109+AA109)/'Logistics record '!$AD$1</f>
        <v>15.116015418335726</v>
      </c>
      <c r="K109" s="260">
        <f>W109/'Logistics record '!$AD$1</f>
        <v>0</v>
      </c>
      <c r="L109" s="260">
        <f>Y109/'Logistics record '!$AD$1</f>
        <v>0</v>
      </c>
      <c r="M109" s="260">
        <f>AF109/'Logistics record '!$AD$1</f>
        <v>0</v>
      </c>
      <c r="N109" s="260" t="str" cm="1">
        <f t="array" ref="N109">_xlfn.IFS(
    OR(UPPER(S109)="AIR", UPPER(S109)="CPN"), "AIR",
    UPPER(S109)="TC", "LOCAL",
    TRUE, "SEA"
)</f>
        <v>AIR</v>
      </c>
      <c r="O109" s="260">
        <f t="shared" si="10"/>
        <v>15.116015418335726</v>
      </c>
      <c r="P109" s="184" t="s">
        <v>939</v>
      </c>
      <c r="Q109" s="185">
        <v>108289607530</v>
      </c>
      <c r="R109" s="186">
        <v>46171</v>
      </c>
      <c r="S109" s="187" t="s">
        <v>928</v>
      </c>
      <c r="T109" s="188">
        <v>88.7</v>
      </c>
      <c r="U109" s="188"/>
      <c r="V109" s="189">
        <v>400000</v>
      </c>
      <c r="W109" s="190"/>
      <c r="X109" s="190"/>
      <c r="Y109" s="190"/>
      <c r="Z109" s="189">
        <f t="shared" si="6"/>
        <v>400000</v>
      </c>
      <c r="AA109" s="189">
        <v>0</v>
      </c>
      <c r="AB109" s="189">
        <f t="shared" si="11"/>
        <v>400000</v>
      </c>
      <c r="AC109" s="189"/>
      <c r="AD109" s="190"/>
      <c r="AE109" s="190"/>
      <c r="AF109" s="191">
        <f t="shared" si="7"/>
        <v>0</v>
      </c>
      <c r="AG109" s="190">
        <f t="shared" si="8"/>
        <v>400000</v>
      </c>
      <c r="AH109" s="190"/>
      <c r="AI109" s="192" t="str">
        <f>VLOOKUP(Q109,[3]Sheet1!B$11:G$1489,6,0)</f>
        <v>E11</v>
      </c>
      <c r="GK109" s="194"/>
      <c r="GL109" s="195"/>
      <c r="GM109" s="196"/>
      <c r="GN109" s="197"/>
      <c r="GO109" s="198"/>
      <c r="GP109" s="199"/>
      <c r="GQ109" s="200"/>
      <c r="GR109" s="201"/>
      <c r="GS109" s="60"/>
      <c r="GT109" s="202"/>
      <c r="GU109" s="202"/>
      <c r="GV109" s="202"/>
      <c r="GW109" s="202"/>
      <c r="GX109" s="203"/>
      <c r="HA109" s="194"/>
      <c r="HB109" s="195"/>
      <c r="HC109" s="196"/>
      <c r="HD109" s="197"/>
      <c r="HE109" s="198"/>
      <c r="HF109" s="199"/>
      <c r="HG109" s="200"/>
      <c r="HH109" s="201"/>
      <c r="HI109" s="60"/>
      <c r="HJ109" s="202"/>
      <c r="HK109" s="202"/>
      <c r="HL109" s="202"/>
      <c r="HM109" s="202"/>
      <c r="HN109" s="203"/>
    </row>
    <row r="110" spans="1:222" ht="16.5" customHeight="1">
      <c r="A110" s="181">
        <v>107</v>
      </c>
      <c r="B110" s="182" t="s">
        <v>2346</v>
      </c>
      <c r="C110" s="598" t="s">
        <v>2347</v>
      </c>
      <c r="D110" s="184" t="s">
        <v>617</v>
      </c>
      <c r="E110" s="184" t="str">
        <f t="shared" si="9"/>
        <v>Import</v>
      </c>
      <c r="F110" s="720" t="str" cm="1">
        <f t="array" ref="F110">_xlfn.IFS(
  OR(AI110="E11", AI110="E15"), "Raw materials",
  OR(AI110="E13", AI110="G13"), "Equipments + Toolings",
  TRUE, RIGHT(C110, 8)
)</f>
        <v>Raw materials</v>
      </c>
      <c r="G110" s="541" t="str" cm="1">
        <f t="array" ref="G110">IF(E110="Import",
  IFERROR(
    _xlfn.IFS(
      VLOOKUP(B110,[1]Material!F$5:U$90000,16,0)="LUC","Lucid",
      VLOOKUP(B110,[1]Material!F$5:U$90000,16,0)="FMC","FORD",
      OR(VLOOKUP(B110,[1]Material!F$5:U$90000,16,0)="PUR",VLOOKUP(B110,[1]Material!F$5:U$90000,16,0)="HLO"),"PURE",
      VLOOKUP(B110,[1]Material!F$5:U$90000,16,0)="AIC","AIC",
      OR(VLOOKUP(B110,[1]Material!F$5:U$90000,16,0)="AGI",VLOOKUP(B110,[1]Material!F$5:U$90000,16,0)="AGIGA"),"AGIGA",
      OR(LEFT(VLOOKUP(B110,[1]Material!F$5:U$90000,16,0),3)="EF-",VLOOKUP(B110,[1]Material!F$5:U$90000,16,0)="EFI"),"EFI",
      AND(ISNUMBER(VLOOKUP(B110,[1]Material!F$5:U$90000,16,0)),VLOOKUP(B110,[1]Material!F$5:U$90000,16,0)&gt;=100,VLOOKUP(B110,[1]Material!F$5:U$90000,16,0)&lt;=999,VLOOKUP(B110,[1]Material!F$5:U$90000,16,0)=INT(VLOOKUP(B110,[1]Material!F$5:U$90000,16,0))),"OEM",
      TRUE,""
    ),
    "không tìm thấy trong file Import"
  ),
  VLOOKUP(F110,'[2]Export shipment'!B:Y,24,0)
)</f>
        <v>PURE</v>
      </c>
      <c r="H110" s="184"/>
      <c r="I110" s="184"/>
      <c r="J110" s="260">
        <f>(V110+X110+AA110)/'Logistics record '!$AD$1</f>
        <v>15.116015418335726</v>
      </c>
      <c r="K110" s="260">
        <f>W110/'Logistics record '!$AD$1</f>
        <v>0</v>
      </c>
      <c r="L110" s="260">
        <f>Y110/'Logistics record '!$AD$1</f>
        <v>74.810105056307151</v>
      </c>
      <c r="M110" s="260">
        <f>AF110/'Logistics record '!$AD$1</f>
        <v>24.814450910739929</v>
      </c>
      <c r="N110" s="260" t="str" cm="1">
        <f t="array" ref="N110">_xlfn.IFS(
    OR(UPPER(S110)="AIR", UPPER(S110)="CPN"), "AIR",
    UPPER(S110)="TC", "LOCAL",
    TRUE, "SEA"
)</f>
        <v>SEA</v>
      </c>
      <c r="O110" s="260">
        <f t="shared" si="10"/>
        <v>114.74057138538281</v>
      </c>
      <c r="P110" s="184" t="s">
        <v>927</v>
      </c>
      <c r="Q110" s="185">
        <v>108289740310</v>
      </c>
      <c r="R110" s="186">
        <v>46171</v>
      </c>
      <c r="S110" s="187" t="s">
        <v>933</v>
      </c>
      <c r="T110" s="188">
        <v>176.4</v>
      </c>
      <c r="U110" s="188">
        <v>0.89000000000000012</v>
      </c>
      <c r="V110" s="189">
        <v>400000</v>
      </c>
      <c r="W110" s="190"/>
      <c r="X110" s="190"/>
      <c r="Y110" s="190">
        <v>1979625</v>
      </c>
      <c r="Z110" s="189">
        <f t="shared" si="6"/>
        <v>2379625</v>
      </c>
      <c r="AA110" s="189">
        <v>0</v>
      </c>
      <c r="AB110" s="189">
        <f t="shared" si="11"/>
        <v>2379625</v>
      </c>
      <c r="AC110" s="189"/>
      <c r="AD110" s="190"/>
      <c r="AE110" s="190">
        <v>656640</v>
      </c>
      <c r="AF110" s="191">
        <f t="shared" si="7"/>
        <v>656640</v>
      </c>
      <c r="AG110" s="190">
        <f t="shared" si="8"/>
        <v>3036265</v>
      </c>
      <c r="AH110" s="190"/>
      <c r="AI110" s="192" t="str">
        <f>VLOOKUP(Q110,[3]Sheet1!B$11:G$1489,6,0)</f>
        <v>E11</v>
      </c>
      <c r="GK110" s="194"/>
      <c r="GL110" s="195"/>
      <c r="GM110" s="196"/>
      <c r="GN110" s="197"/>
      <c r="GO110" s="198"/>
      <c r="GP110" s="199"/>
      <c r="GQ110" s="200"/>
      <c r="GR110" s="201"/>
      <c r="GS110" s="60"/>
      <c r="GT110" s="202"/>
      <c r="GU110" s="202"/>
      <c r="GV110" s="202"/>
      <c r="GW110" s="202"/>
      <c r="GX110" s="203"/>
      <c r="HA110" s="194"/>
      <c r="HB110" s="195"/>
      <c r="HC110" s="196"/>
      <c r="HD110" s="197"/>
      <c r="HE110" s="198"/>
      <c r="HF110" s="199"/>
      <c r="HG110" s="200"/>
      <c r="HH110" s="201"/>
      <c r="HI110" s="60"/>
      <c r="HJ110" s="202"/>
      <c r="HK110" s="202"/>
      <c r="HL110" s="202"/>
      <c r="HM110" s="202"/>
      <c r="HN110" s="203"/>
    </row>
    <row r="111" spans="1:222" ht="16.5" customHeight="1">
      <c r="A111" s="181">
        <v>108</v>
      </c>
      <c r="B111" s="182" t="s">
        <v>2348</v>
      </c>
      <c r="C111" s="598" t="s">
        <v>2349</v>
      </c>
      <c r="D111" s="184" t="s">
        <v>319</v>
      </c>
      <c r="E111" s="184" t="str">
        <f t="shared" si="9"/>
        <v>Import</v>
      </c>
      <c r="F111" s="720" t="str" cm="1">
        <f t="array" ref="F111">_xlfn.IFS(
  OR(AI111="E11", AI111="E15"), "Raw materials",
  OR(AI111="E13", AI111="G13"), "Equipments + Toolings",
  TRUE, RIGHT(C111, 8)
)</f>
        <v>Raw materials</v>
      </c>
      <c r="G111" s="541" t="str" cm="1">
        <f t="array" ref="G111">IF(E111="Import",
  IFERROR(
    _xlfn.IFS(
      VLOOKUP(B111,[1]Material!F$5:U$90000,16,0)="LUC","Lucid",
      VLOOKUP(B111,[1]Material!F$5:U$90000,16,0)="FMC","FORD",
      OR(VLOOKUP(B111,[1]Material!F$5:U$90000,16,0)="PUR",VLOOKUP(B111,[1]Material!F$5:U$90000,16,0)="HLO"),"PURE",
      VLOOKUP(B111,[1]Material!F$5:U$90000,16,0)="AIC","AIC",
      OR(VLOOKUP(B111,[1]Material!F$5:U$90000,16,0)="AGI",VLOOKUP(B111,[1]Material!F$5:U$90000,16,0)="AGIGA"),"AGIGA",
      OR(LEFT(VLOOKUP(B111,[1]Material!F$5:U$90000,16,0),3)="EF-",VLOOKUP(B111,[1]Material!F$5:U$90000,16,0)="EFI"),"EFI",
      AND(ISNUMBER(VLOOKUP(B111,[1]Material!F$5:U$90000,16,0)),VLOOKUP(B111,[1]Material!F$5:U$90000,16,0)&gt;=100,VLOOKUP(B111,[1]Material!F$5:U$90000,16,0)&lt;=999,VLOOKUP(B111,[1]Material!F$5:U$90000,16,0)=INT(VLOOKUP(B111,[1]Material!F$5:U$90000,16,0))),"OEM",
      TRUE,""
    ),
    "không tìm thấy trong file Import"
  ),
  VLOOKUP(F111,'[2]Export shipment'!B:Y,24,0)
)</f>
        <v>PURE</v>
      </c>
      <c r="H111" s="184"/>
      <c r="I111" s="184"/>
      <c r="J111" s="260">
        <f>(V111+X111+AA111)/'Logistics record '!$AD$1</f>
        <v>15.116015418335726</v>
      </c>
      <c r="K111" s="260">
        <f>W111/'Logistics record '!$AD$1</f>
        <v>45.348046255007183</v>
      </c>
      <c r="L111" s="260">
        <f>Y111/'Logistics record '!$AD$1</f>
        <v>120.81954803113899</v>
      </c>
      <c r="M111" s="260">
        <f>AF111/'Logistics record '!$AD$1</f>
        <v>43.384475852165366</v>
      </c>
      <c r="N111" s="260" t="str" cm="1">
        <f t="array" ref="N111">_xlfn.IFS(
    OR(UPPER(S111)="AIR", UPPER(S111)="CPN"), "AIR",
    UPPER(S111)="TC", "LOCAL",
    TRUE, "SEA"
)</f>
        <v>SEA</v>
      </c>
      <c r="O111" s="260">
        <f t="shared" si="10"/>
        <v>224.66808555664727</v>
      </c>
      <c r="P111" s="184" t="s">
        <v>932</v>
      </c>
      <c r="Q111" s="185">
        <v>108290351040</v>
      </c>
      <c r="R111" s="186">
        <v>46171</v>
      </c>
      <c r="S111" s="187" t="s">
        <v>933</v>
      </c>
      <c r="T111" s="188">
        <v>633.55600000000004</v>
      </c>
      <c r="U111" s="188">
        <v>2.5300000000000002</v>
      </c>
      <c r="V111" s="189">
        <v>400000</v>
      </c>
      <c r="W111" s="190">
        <v>1200000</v>
      </c>
      <c r="X111" s="190"/>
      <c r="Y111" s="190">
        <v>3197126.88</v>
      </c>
      <c r="Z111" s="189">
        <f t="shared" si="6"/>
        <v>4797126.88</v>
      </c>
      <c r="AA111" s="189">
        <v>0</v>
      </c>
      <c r="AB111" s="189">
        <f t="shared" si="11"/>
        <v>4797126.88</v>
      </c>
      <c r="AC111" s="189"/>
      <c r="AD111" s="190"/>
      <c r="AE111" s="190">
        <v>1148040</v>
      </c>
      <c r="AF111" s="191">
        <f t="shared" si="7"/>
        <v>1148040</v>
      </c>
      <c r="AG111" s="190">
        <f t="shared" si="8"/>
        <v>5945166.8799999999</v>
      </c>
      <c r="AH111" s="190"/>
      <c r="AI111" s="192" t="str">
        <f>VLOOKUP(Q111,[3]Sheet1!B$11:G$1489,6,0)</f>
        <v>E11</v>
      </c>
      <c r="GK111" s="194"/>
      <c r="GL111" s="195"/>
      <c r="GM111" s="196"/>
      <c r="GN111" s="197"/>
      <c r="GO111" s="198"/>
      <c r="GP111" s="199"/>
      <c r="GQ111" s="200"/>
      <c r="GR111" s="201"/>
      <c r="GS111" s="60"/>
      <c r="GT111" s="202"/>
      <c r="GU111" s="202"/>
      <c r="GV111" s="202"/>
      <c r="GW111" s="202"/>
      <c r="GX111" s="203"/>
      <c r="HA111" s="194"/>
      <c r="HB111" s="195"/>
      <c r="HC111" s="196"/>
      <c r="HD111" s="197"/>
      <c r="HE111" s="198"/>
      <c r="HF111" s="199"/>
      <c r="HG111" s="200"/>
      <c r="HH111" s="201"/>
      <c r="HI111" s="60"/>
      <c r="HJ111" s="202"/>
      <c r="HK111" s="202"/>
      <c r="HL111" s="202"/>
      <c r="HM111" s="202"/>
      <c r="HN111" s="203"/>
    </row>
    <row r="112" spans="1:222" ht="16.5" customHeight="1">
      <c r="A112" s="181">
        <v>109</v>
      </c>
      <c r="B112" s="182">
        <v>1291245782</v>
      </c>
      <c r="C112" s="183" t="s">
        <v>2350</v>
      </c>
      <c r="D112" s="184" t="s">
        <v>934</v>
      </c>
      <c r="E112" s="184" t="str">
        <f t="shared" si="9"/>
        <v>Import</v>
      </c>
      <c r="F112" s="720" t="str" cm="1">
        <f t="array" ref="F112">_xlfn.IFS(
  OR(AI112="E11", AI112="E15"), "Raw materials",
  OR(AI112="E13", AI112="G13"), "Equipments + Toolings",
  TRUE, RIGHT(C112, 8)
)</f>
        <v>Raw materials</v>
      </c>
      <c r="G112" s="541" t="str" cm="1">
        <f t="array" ref="G112">IF(E112="Import",
  IFERROR(
    _xlfn.IFS(
      VLOOKUP(B112,[1]Material!F$5:U$90000,16,0)="LUC","Lucid",
      VLOOKUP(B112,[1]Material!F$5:U$90000,16,0)="FMC","FORD",
      OR(VLOOKUP(B112,[1]Material!F$5:U$90000,16,0)="PUR",VLOOKUP(B112,[1]Material!F$5:U$90000,16,0)="HLO"),"PURE",
      VLOOKUP(B112,[1]Material!F$5:U$90000,16,0)="AIC","AIC",
      OR(VLOOKUP(B112,[1]Material!F$5:U$90000,16,0)="AGI",VLOOKUP(B112,[1]Material!F$5:U$90000,16,0)="AGIGA"),"AGIGA",
      OR(LEFT(VLOOKUP(B112,[1]Material!F$5:U$90000,16,0),3)="EF-",VLOOKUP(B112,[1]Material!F$5:U$90000,16,0)="EFI"),"EFI",
      AND(ISNUMBER(VLOOKUP(B112,[1]Material!F$5:U$90000,16,0)),VLOOKUP(B112,[1]Material!F$5:U$90000,16,0)&gt;=100,VLOOKUP(B112,[1]Material!F$5:U$90000,16,0)&lt;=999,VLOOKUP(B112,[1]Material!F$5:U$90000,16,0)=INT(VLOOKUP(B112,[1]Material!F$5:U$90000,16,0))),"OEM",
      TRUE,""
    ),
    "không tìm thấy trong file Import"
  ),
  VLOOKUP(F112,'[2]Export shipment'!B:Y,24,0)
)</f>
        <v>Lucid</v>
      </c>
      <c r="H112" s="184"/>
      <c r="I112" s="184"/>
      <c r="J112" s="260">
        <f>(V112+X112+AA112)/'Logistics record '!$AD$1</f>
        <v>15.116015418335726</v>
      </c>
      <c r="K112" s="260">
        <f>W112/'Logistics record '!$AD$1</f>
        <v>0</v>
      </c>
      <c r="L112" s="260">
        <f>Y112/'Logistics record '!$AD$1</f>
        <v>0</v>
      </c>
      <c r="M112" s="260">
        <f>AF112/'Logistics record '!$AD$1</f>
        <v>0</v>
      </c>
      <c r="N112" s="260" t="str" cm="1">
        <f t="array" ref="N112">_xlfn.IFS(
    OR(UPPER(S112)="AIR", UPPER(S112)="CPN"), "AIR",
    UPPER(S112)="TC", "LOCAL",
    TRUE, "SEA"
)</f>
        <v>AIR</v>
      </c>
      <c r="O112" s="260">
        <f t="shared" si="10"/>
        <v>15.116015418335726</v>
      </c>
      <c r="P112" s="184" t="s">
        <v>935</v>
      </c>
      <c r="Q112" s="185">
        <v>108290724400</v>
      </c>
      <c r="R112" s="186">
        <v>46171</v>
      </c>
      <c r="S112" s="187" t="s">
        <v>928</v>
      </c>
      <c r="T112" s="188">
        <v>3.4</v>
      </c>
      <c r="U112" s="188"/>
      <c r="V112" s="189">
        <v>400000</v>
      </c>
      <c r="W112" s="190"/>
      <c r="X112" s="190"/>
      <c r="Y112" s="190"/>
      <c r="Z112" s="189">
        <f t="shared" si="6"/>
        <v>400000</v>
      </c>
      <c r="AA112" s="189">
        <v>0</v>
      </c>
      <c r="AB112" s="189">
        <f t="shared" si="11"/>
        <v>400000</v>
      </c>
      <c r="AC112" s="189"/>
      <c r="AD112" s="190"/>
      <c r="AE112" s="190"/>
      <c r="AF112" s="191">
        <f t="shared" si="7"/>
        <v>0</v>
      </c>
      <c r="AG112" s="190">
        <f t="shared" si="8"/>
        <v>400000</v>
      </c>
      <c r="AH112" s="190"/>
      <c r="AI112" s="192" t="str">
        <f>VLOOKUP(Q112,[3]Sheet1!B$11:G$1489,6,0)</f>
        <v>E11</v>
      </c>
      <c r="GK112" s="194"/>
      <c r="GL112" s="195"/>
      <c r="GM112" s="196"/>
      <c r="GN112" s="197"/>
      <c r="GO112" s="198"/>
      <c r="GP112" s="199"/>
      <c r="GQ112" s="200"/>
      <c r="GR112" s="201"/>
      <c r="GS112" s="60"/>
      <c r="GT112" s="202"/>
      <c r="GU112" s="202"/>
      <c r="GV112" s="202"/>
      <c r="GW112" s="202"/>
      <c r="GX112" s="203"/>
      <c r="HA112" s="194"/>
      <c r="HB112" s="195"/>
      <c r="HC112" s="196"/>
      <c r="HD112" s="197"/>
      <c r="HE112" s="198"/>
      <c r="HF112" s="199"/>
      <c r="HG112" s="200"/>
      <c r="HH112" s="201"/>
      <c r="HI112" s="60"/>
      <c r="HJ112" s="202"/>
      <c r="HK112" s="202"/>
      <c r="HL112" s="202"/>
      <c r="HM112" s="202"/>
      <c r="HN112" s="203"/>
    </row>
    <row r="113" spans="1:222" ht="16.5" customHeight="1">
      <c r="A113" s="181">
        <v>110</v>
      </c>
      <c r="B113" s="182">
        <v>872184919606</v>
      </c>
      <c r="C113" s="598" t="s">
        <v>2351</v>
      </c>
      <c r="D113" s="184" t="s">
        <v>2027</v>
      </c>
      <c r="E113" s="184" t="str">
        <f t="shared" si="9"/>
        <v>Import</v>
      </c>
      <c r="F113" s="720" t="str" cm="1">
        <f t="array" ref="F113">_xlfn.IFS(
  OR(AI113="E11", AI113="E15"), "Raw materials",
  OR(AI113="E13", AI113="G13"), "Equipments + Toolings",
  TRUE, RIGHT(C113, 8)
)</f>
        <v>Raw materials</v>
      </c>
      <c r="G113" s="541" t="str" cm="1">
        <f t="array" ref="G113">IF(E113="Import",
  IFERROR(
    _xlfn.IFS(
      VLOOKUP(B113,[1]Material!F$5:U$90000,16,0)="LUC","Lucid",
      VLOOKUP(B113,[1]Material!F$5:U$90000,16,0)="FMC","FORD",
      OR(VLOOKUP(B113,[1]Material!F$5:U$90000,16,0)="PUR",VLOOKUP(B113,[1]Material!F$5:U$90000,16,0)="HLO"),"PURE",
      VLOOKUP(B113,[1]Material!F$5:U$90000,16,0)="AIC","AIC",
      OR(VLOOKUP(B113,[1]Material!F$5:U$90000,16,0)="AGI",VLOOKUP(B113,[1]Material!F$5:U$90000,16,0)="AGIGA"),"AGIGA",
      OR(LEFT(VLOOKUP(B113,[1]Material!F$5:U$90000,16,0),3)="EF-",VLOOKUP(B113,[1]Material!F$5:U$90000,16,0)="EFI"),"EFI",
      AND(ISNUMBER(VLOOKUP(B113,[1]Material!F$5:U$90000,16,0)),VLOOKUP(B113,[1]Material!F$5:U$90000,16,0)&gt;=100,VLOOKUP(B113,[1]Material!F$5:U$90000,16,0)&lt;=999,VLOOKUP(B113,[1]Material!F$5:U$90000,16,0)=INT(VLOOKUP(B113,[1]Material!F$5:U$90000,16,0))),"OEM",
      TRUE,""
    ),
    "không tìm thấy trong file Import"
  ),
  VLOOKUP(F113,'[2]Export shipment'!B:Y,24,0)
)</f>
        <v>PURE</v>
      </c>
      <c r="H113" s="184"/>
      <c r="I113" s="184"/>
      <c r="J113" s="260">
        <f>(V113+X113+AA113)/'Logistics record '!$AD$1</f>
        <v>15.116015418335726</v>
      </c>
      <c r="K113" s="260">
        <f>W113/'Logistics record '!$AD$1</f>
        <v>0</v>
      </c>
      <c r="L113" s="260">
        <f>Y113/'Logistics record '!$AD$1</f>
        <v>0</v>
      </c>
      <c r="M113" s="260">
        <f>AF113/'Logistics record '!$AD$1</f>
        <v>0</v>
      </c>
      <c r="N113" s="260" t="str" cm="1">
        <f t="array" ref="N113">_xlfn.IFS(
    OR(UPPER(S113)="AIR", UPPER(S113)="CPN"), "AIR",
    UPPER(S113)="TC", "LOCAL",
    TRUE, "SEA"
)</f>
        <v>AIR</v>
      </c>
      <c r="O113" s="260">
        <f t="shared" si="10"/>
        <v>15.116015418335726</v>
      </c>
      <c r="P113" s="184" t="s">
        <v>937</v>
      </c>
      <c r="Q113" s="185">
        <v>108290773510</v>
      </c>
      <c r="R113" s="186">
        <v>46171</v>
      </c>
      <c r="S113" s="187" t="s">
        <v>928</v>
      </c>
      <c r="T113" s="188">
        <v>16</v>
      </c>
      <c r="U113" s="188"/>
      <c r="V113" s="189">
        <v>400000</v>
      </c>
      <c r="W113" s="190"/>
      <c r="X113" s="190"/>
      <c r="Y113" s="190"/>
      <c r="Z113" s="189">
        <f t="shared" si="6"/>
        <v>400000</v>
      </c>
      <c r="AA113" s="189">
        <v>0</v>
      </c>
      <c r="AB113" s="189">
        <f t="shared" si="11"/>
        <v>400000</v>
      </c>
      <c r="AC113" s="189"/>
      <c r="AD113" s="190"/>
      <c r="AE113" s="190"/>
      <c r="AF113" s="191">
        <f t="shared" si="7"/>
        <v>0</v>
      </c>
      <c r="AG113" s="190">
        <f t="shared" si="8"/>
        <v>400000</v>
      </c>
      <c r="AH113" s="190"/>
      <c r="AI113" s="192" t="str">
        <f>VLOOKUP(Q113,[3]Sheet1!B$11:G$1489,6,0)</f>
        <v>E11</v>
      </c>
      <c r="GK113" s="194"/>
      <c r="GL113" s="195"/>
      <c r="GM113" s="196"/>
      <c r="GN113" s="197"/>
      <c r="GO113" s="198"/>
      <c r="GP113" s="199"/>
      <c r="GQ113" s="200"/>
      <c r="GR113" s="201"/>
      <c r="GS113" s="60"/>
      <c r="GT113" s="202"/>
      <c r="GU113" s="202"/>
      <c r="GV113" s="202"/>
      <c r="GW113" s="202"/>
      <c r="GX113" s="203"/>
      <c r="HA113" s="194"/>
      <c r="HB113" s="195"/>
      <c r="HC113" s="196"/>
      <c r="HD113" s="197"/>
      <c r="HE113" s="198"/>
      <c r="HF113" s="199"/>
      <c r="HG113" s="200"/>
      <c r="HH113" s="201"/>
      <c r="HI113" s="60"/>
      <c r="HJ113" s="202"/>
      <c r="HK113" s="202"/>
      <c r="HL113" s="202"/>
      <c r="HM113" s="202"/>
      <c r="HN113" s="203"/>
    </row>
    <row r="114" spans="1:222" ht="16.5" customHeight="1">
      <c r="A114" s="181">
        <v>111</v>
      </c>
      <c r="B114" s="182">
        <v>488289385820</v>
      </c>
      <c r="C114" s="598" t="s">
        <v>2352</v>
      </c>
      <c r="D114" s="184" t="s">
        <v>2353</v>
      </c>
      <c r="E114" s="184" t="str">
        <f t="shared" si="9"/>
        <v>Import</v>
      </c>
      <c r="F114" s="720" t="str" cm="1">
        <f t="array" ref="F114">_xlfn.IFS(
  OR(AI114="E11", AI114="E15"), "Raw materials",
  OR(AI114="E13", AI114="G13"), "Equipments + Toolings",
  TRUE, RIGHT(C114, 8)
)</f>
        <v>Raw materials</v>
      </c>
      <c r="G114" s="541" t="str" cm="1">
        <f t="array" ref="G114">IF(E114="Import",
  IFERROR(
    _xlfn.IFS(
      VLOOKUP(B114,[1]Material!F$5:U$90000,16,0)="LUC","Lucid",
      VLOOKUP(B114,[1]Material!F$5:U$90000,16,0)="FMC","FORD",
      OR(VLOOKUP(B114,[1]Material!F$5:U$90000,16,0)="PUR",VLOOKUP(B114,[1]Material!F$5:U$90000,16,0)="HLO"),"PURE",
      VLOOKUP(B114,[1]Material!F$5:U$90000,16,0)="AIC","AIC",
      OR(VLOOKUP(B114,[1]Material!F$5:U$90000,16,0)="AGI",VLOOKUP(B114,[1]Material!F$5:U$90000,16,0)="AGIGA"),"AGIGA",
      OR(LEFT(VLOOKUP(B114,[1]Material!F$5:U$90000,16,0),3)="EF-",VLOOKUP(B114,[1]Material!F$5:U$90000,16,0)="EFI"),"EFI",
      AND(ISNUMBER(VLOOKUP(B114,[1]Material!F$5:U$90000,16,0)),VLOOKUP(B114,[1]Material!F$5:U$90000,16,0)&gt;=100,VLOOKUP(B114,[1]Material!F$5:U$90000,16,0)&lt;=999,VLOOKUP(B114,[1]Material!F$5:U$90000,16,0)=INT(VLOOKUP(B114,[1]Material!F$5:U$90000,16,0))),"OEM",
      TRUE,""
    ),
    "không tìm thấy trong file Import"
  ),
  VLOOKUP(F114,'[2]Export shipment'!B:Y,24,0)
)</f>
        <v>FORD</v>
      </c>
      <c r="H114" s="184"/>
      <c r="I114" s="184"/>
      <c r="J114" s="260">
        <f>(V114+X114+AA114)/'Logistics record '!$AD$1</f>
        <v>15.116015418335726</v>
      </c>
      <c r="K114" s="260">
        <f>W114/'Logistics record '!$AD$1</f>
        <v>0</v>
      </c>
      <c r="L114" s="260">
        <f>Y114/'Logistics record '!$AD$1</f>
        <v>0</v>
      </c>
      <c r="M114" s="260">
        <f>AF114/'Logistics record '!$AD$1</f>
        <v>0</v>
      </c>
      <c r="N114" s="260" t="str" cm="1">
        <f t="array" ref="N114">_xlfn.IFS(
    OR(UPPER(S114)="AIR", UPPER(S114)="CPN"), "AIR",
    UPPER(S114)="TC", "LOCAL",
    TRUE, "SEA"
)</f>
        <v>AIR</v>
      </c>
      <c r="O114" s="260">
        <f t="shared" si="10"/>
        <v>15.116015418335726</v>
      </c>
      <c r="P114" s="184" t="s">
        <v>935</v>
      </c>
      <c r="Q114" s="185">
        <v>108291010920</v>
      </c>
      <c r="R114" s="186">
        <v>46171</v>
      </c>
      <c r="S114" s="187" t="s">
        <v>928</v>
      </c>
      <c r="T114" s="188">
        <v>4.3</v>
      </c>
      <c r="U114" s="188"/>
      <c r="V114" s="189">
        <v>400000</v>
      </c>
      <c r="W114" s="190"/>
      <c r="X114" s="190"/>
      <c r="Y114" s="190"/>
      <c r="Z114" s="189">
        <f t="shared" si="6"/>
        <v>400000</v>
      </c>
      <c r="AA114" s="189">
        <v>0</v>
      </c>
      <c r="AB114" s="189">
        <f t="shared" si="11"/>
        <v>400000</v>
      </c>
      <c r="AC114" s="189"/>
      <c r="AD114" s="190"/>
      <c r="AE114" s="190"/>
      <c r="AF114" s="191">
        <f t="shared" si="7"/>
        <v>0</v>
      </c>
      <c r="AG114" s="190">
        <f t="shared" si="8"/>
        <v>400000</v>
      </c>
      <c r="AH114" s="190"/>
      <c r="AI114" s="192" t="str">
        <f>VLOOKUP(Q114,[3]Sheet1!B$11:G$1489,6,0)</f>
        <v>E11</v>
      </c>
      <c r="GK114" s="194"/>
      <c r="GL114" s="195"/>
      <c r="GM114" s="196"/>
      <c r="GN114" s="197"/>
      <c r="GO114" s="198"/>
      <c r="GP114" s="199"/>
      <c r="GQ114" s="200"/>
      <c r="GR114" s="201"/>
      <c r="GS114" s="60"/>
      <c r="GT114" s="202"/>
      <c r="GU114" s="202"/>
      <c r="GV114" s="202"/>
      <c r="GW114" s="202"/>
      <c r="GX114" s="203"/>
      <c r="HA114" s="194"/>
      <c r="HB114" s="195"/>
      <c r="HC114" s="196"/>
      <c r="HD114" s="197"/>
      <c r="HE114" s="198"/>
      <c r="HF114" s="199"/>
      <c r="HG114" s="200"/>
      <c r="HH114" s="201"/>
      <c r="HI114" s="60"/>
      <c r="HJ114" s="202"/>
      <c r="HK114" s="202"/>
      <c r="HL114" s="202"/>
      <c r="HM114" s="202"/>
      <c r="HN114" s="203"/>
    </row>
    <row r="115" spans="1:222" ht="16.5" customHeight="1">
      <c r="A115" s="181">
        <v>112</v>
      </c>
      <c r="B115" s="182">
        <v>527158954183</v>
      </c>
      <c r="C115" s="183" t="s">
        <v>2354</v>
      </c>
      <c r="D115" s="184" t="s">
        <v>968</v>
      </c>
      <c r="E115" s="184" t="str">
        <f t="shared" si="9"/>
        <v>Import</v>
      </c>
      <c r="F115" s="720" t="str" cm="1">
        <f t="array" ref="F115">_xlfn.IFS(
  OR(AI115="E11", AI115="E15"), "Raw materials",
  OR(AI115="E13", AI115="G13"), "Equipments + Toolings",
  TRUE, RIGHT(C115, 8)
)</f>
        <v>Raw materials</v>
      </c>
      <c r="G115" s="541" t="str" cm="1">
        <f t="array" ref="G115">IF(E115="Import",
  IFERROR(
    _xlfn.IFS(
      VLOOKUP(B115,[1]Material!F$5:U$90000,16,0)="LUC","Lucid",
      VLOOKUP(B115,[1]Material!F$5:U$90000,16,0)="FMC","FORD",
      OR(VLOOKUP(B115,[1]Material!F$5:U$90000,16,0)="PUR",VLOOKUP(B115,[1]Material!F$5:U$90000,16,0)="HLO"),"PURE",
      VLOOKUP(B115,[1]Material!F$5:U$90000,16,0)="AIC","AIC",
      OR(VLOOKUP(B115,[1]Material!F$5:U$90000,16,0)="AGI",VLOOKUP(B115,[1]Material!F$5:U$90000,16,0)="AGIGA"),"AGIGA",
      OR(LEFT(VLOOKUP(B115,[1]Material!F$5:U$90000,16,0),3)="EF-",VLOOKUP(B115,[1]Material!F$5:U$90000,16,0)="EFI"),"EFI",
      AND(ISNUMBER(VLOOKUP(B115,[1]Material!F$5:U$90000,16,0)),VLOOKUP(B115,[1]Material!F$5:U$90000,16,0)&gt;=100,VLOOKUP(B115,[1]Material!F$5:U$90000,16,0)&lt;=999,VLOOKUP(B115,[1]Material!F$5:U$90000,16,0)=INT(VLOOKUP(B115,[1]Material!F$5:U$90000,16,0))),"OEM",
      TRUE,""
    ),
    "không tìm thấy trong file Import"
  ),
  VLOOKUP(F115,'[2]Export shipment'!B:Y,24,0)
)</f>
        <v>PURE</v>
      </c>
      <c r="H115" s="184"/>
      <c r="I115" s="184"/>
      <c r="J115" s="260">
        <f>(V115+X115+AA115)/'Logistics record '!$AD$1</f>
        <v>15.116015418335726</v>
      </c>
      <c r="K115" s="260">
        <f>W115/'Logistics record '!$AD$1</f>
        <v>0</v>
      </c>
      <c r="L115" s="260">
        <f>Y115/'Logistics record '!$AD$1</f>
        <v>0</v>
      </c>
      <c r="M115" s="260">
        <f>AF115/'Logistics record '!$AD$1</f>
        <v>0</v>
      </c>
      <c r="N115" s="260" t="str" cm="1">
        <f t="array" ref="N115">_xlfn.IFS(
    OR(UPPER(S115)="AIR", UPPER(S115)="CPN"), "AIR",
    UPPER(S115)="TC", "LOCAL",
    TRUE, "SEA"
)</f>
        <v>AIR</v>
      </c>
      <c r="O115" s="260">
        <f t="shared" si="10"/>
        <v>15.116015418335726</v>
      </c>
      <c r="P115" s="184" t="s">
        <v>935</v>
      </c>
      <c r="Q115" s="185">
        <v>108291119900</v>
      </c>
      <c r="R115" s="186">
        <v>46171</v>
      </c>
      <c r="S115" s="187" t="s">
        <v>928</v>
      </c>
      <c r="T115" s="188">
        <v>6.6</v>
      </c>
      <c r="U115" s="188"/>
      <c r="V115" s="189">
        <v>400000</v>
      </c>
      <c r="W115" s="190"/>
      <c r="X115" s="190"/>
      <c r="Y115" s="190"/>
      <c r="Z115" s="189">
        <f t="shared" si="6"/>
        <v>400000</v>
      </c>
      <c r="AA115" s="189">
        <v>0</v>
      </c>
      <c r="AB115" s="189">
        <f t="shared" si="11"/>
        <v>400000</v>
      </c>
      <c r="AC115" s="189"/>
      <c r="AD115" s="190"/>
      <c r="AE115" s="190"/>
      <c r="AF115" s="191">
        <f t="shared" si="7"/>
        <v>0</v>
      </c>
      <c r="AG115" s="190">
        <f t="shared" si="8"/>
        <v>400000</v>
      </c>
      <c r="AH115" s="190"/>
      <c r="AI115" s="192" t="str">
        <f>VLOOKUP(Q115,[3]Sheet1!B$11:G$1489,6,0)</f>
        <v>E11</v>
      </c>
      <c r="GK115" s="194"/>
      <c r="GL115" s="195"/>
      <c r="GM115" s="196"/>
      <c r="GN115" s="197"/>
      <c r="GO115" s="198"/>
      <c r="GP115" s="199"/>
      <c r="GQ115" s="200"/>
      <c r="GR115" s="201"/>
      <c r="GS115" s="60"/>
      <c r="GT115" s="202"/>
      <c r="GU115" s="202"/>
      <c r="GV115" s="202"/>
      <c r="GW115" s="202"/>
      <c r="GX115" s="203"/>
      <c r="HA115" s="194"/>
      <c r="HB115" s="195"/>
      <c r="HC115" s="196"/>
      <c r="HD115" s="197"/>
      <c r="HE115" s="198"/>
      <c r="HF115" s="199"/>
      <c r="HG115" s="200"/>
      <c r="HH115" s="201"/>
      <c r="HI115" s="60"/>
      <c r="HJ115" s="202"/>
      <c r="HK115" s="202"/>
      <c r="HL115" s="202"/>
      <c r="HM115" s="202"/>
      <c r="HN115" s="203"/>
    </row>
    <row r="116" spans="1:222" ht="16.5" customHeight="1">
      <c r="A116" s="181">
        <v>113</v>
      </c>
      <c r="B116" s="182">
        <v>500292670780</v>
      </c>
      <c r="C116" s="183" t="s">
        <v>2355</v>
      </c>
      <c r="D116" s="184" t="s">
        <v>945</v>
      </c>
      <c r="E116" s="184" t="str">
        <f t="shared" si="9"/>
        <v>Import</v>
      </c>
      <c r="F116" s="720" t="str" cm="1">
        <f t="array" ref="F116">_xlfn.IFS(
  OR(AI116="E11", AI116="E15"), "Raw materials",
  OR(AI116="E13", AI116="G13"), "Equipments + Toolings",
  TRUE, RIGHT(C116, 8)
)</f>
        <v>Raw materials</v>
      </c>
      <c r="G116" s="541" t="str" cm="1">
        <f t="array" ref="G116">IF(E116="Import",
  IFERROR(
    _xlfn.IFS(
      VLOOKUP(B116,[1]Material!F$5:U$90000,16,0)="LUC","Lucid",
      VLOOKUP(B116,[1]Material!F$5:U$90000,16,0)="FMC","FORD",
      OR(VLOOKUP(B116,[1]Material!F$5:U$90000,16,0)="PUR",VLOOKUP(B116,[1]Material!F$5:U$90000,16,0)="HLO"),"PURE",
      VLOOKUP(B116,[1]Material!F$5:U$90000,16,0)="AIC","AIC",
      OR(VLOOKUP(B116,[1]Material!F$5:U$90000,16,0)="AGI",VLOOKUP(B116,[1]Material!F$5:U$90000,16,0)="AGIGA"),"AGIGA",
      OR(LEFT(VLOOKUP(B116,[1]Material!F$5:U$90000,16,0),3)="EF-",VLOOKUP(B116,[1]Material!F$5:U$90000,16,0)="EFI"),"EFI",
      AND(ISNUMBER(VLOOKUP(B116,[1]Material!F$5:U$90000,16,0)),VLOOKUP(B116,[1]Material!F$5:U$90000,16,0)&gt;=100,VLOOKUP(B116,[1]Material!F$5:U$90000,16,0)&lt;=999,VLOOKUP(B116,[1]Material!F$5:U$90000,16,0)=INT(VLOOKUP(B116,[1]Material!F$5:U$90000,16,0))),"OEM",
      TRUE,""
    ),
    "không tìm thấy trong file Import"
  ),
  VLOOKUP(F116,'[2]Export shipment'!B:Y,24,0)
)</f>
        <v>EFI</v>
      </c>
      <c r="H116" s="184"/>
      <c r="I116" s="184"/>
      <c r="J116" s="260">
        <f>(V116+X116+AA116)/'Logistics record '!$AD$1</f>
        <v>15.116015418335726</v>
      </c>
      <c r="K116" s="260">
        <f>W116/'Logistics record '!$AD$1</f>
        <v>0</v>
      </c>
      <c r="L116" s="260">
        <f>Y116/'Logistics record '!$AD$1</f>
        <v>0</v>
      </c>
      <c r="M116" s="260">
        <f>AF116/'Logistics record '!$AD$1</f>
        <v>0</v>
      </c>
      <c r="N116" s="260" t="str" cm="1">
        <f t="array" ref="N116">_xlfn.IFS(
    OR(UPPER(S116)="AIR", UPPER(S116)="CPN"), "AIR",
    UPPER(S116)="TC", "LOCAL",
    TRUE, "SEA"
)</f>
        <v>AIR</v>
      </c>
      <c r="O116" s="260">
        <f t="shared" si="10"/>
        <v>15.116015418335726</v>
      </c>
      <c r="P116" s="184" t="s">
        <v>946</v>
      </c>
      <c r="Q116" s="185">
        <v>108291238900</v>
      </c>
      <c r="R116" s="186">
        <v>46171</v>
      </c>
      <c r="S116" s="187" t="s">
        <v>928</v>
      </c>
      <c r="T116" s="188">
        <v>0.5</v>
      </c>
      <c r="U116" s="188"/>
      <c r="V116" s="189">
        <v>400000</v>
      </c>
      <c r="W116" s="190"/>
      <c r="X116" s="190"/>
      <c r="Y116" s="190"/>
      <c r="Z116" s="189">
        <f t="shared" si="6"/>
        <v>400000</v>
      </c>
      <c r="AA116" s="189">
        <v>0</v>
      </c>
      <c r="AB116" s="189">
        <f t="shared" si="11"/>
        <v>400000</v>
      </c>
      <c r="AC116" s="189"/>
      <c r="AD116" s="190"/>
      <c r="AE116" s="190"/>
      <c r="AF116" s="191">
        <f t="shared" si="7"/>
        <v>0</v>
      </c>
      <c r="AG116" s="190">
        <f t="shared" si="8"/>
        <v>400000</v>
      </c>
      <c r="AH116" s="190"/>
      <c r="AI116" s="192" t="str">
        <f>VLOOKUP(Q116,[3]Sheet1!B$11:G$1489,6,0)</f>
        <v>E11</v>
      </c>
      <c r="GK116" s="194"/>
      <c r="GL116" s="195"/>
      <c r="GM116" s="196"/>
      <c r="GN116" s="197"/>
      <c r="GO116" s="198"/>
      <c r="GP116" s="199"/>
      <c r="GQ116" s="200"/>
      <c r="GR116" s="201"/>
      <c r="GS116" s="60"/>
      <c r="GT116" s="202"/>
      <c r="GU116" s="202"/>
      <c r="GV116" s="202"/>
      <c r="GW116" s="202"/>
      <c r="GX116" s="203"/>
      <c r="HA116" s="194"/>
      <c r="HB116" s="195"/>
      <c r="HC116" s="196"/>
      <c r="HD116" s="197"/>
      <c r="HE116" s="198"/>
      <c r="HF116" s="199"/>
      <c r="HG116" s="200"/>
      <c r="HH116" s="201"/>
      <c r="HI116" s="60"/>
      <c r="HJ116" s="202"/>
      <c r="HK116" s="202"/>
      <c r="HL116" s="202"/>
      <c r="HM116" s="202"/>
      <c r="HN116" s="203"/>
    </row>
    <row r="117" spans="1:222" ht="16.5" customHeight="1">
      <c r="A117" s="181">
        <v>114</v>
      </c>
      <c r="B117" s="182">
        <v>872210066814</v>
      </c>
      <c r="C117" s="183" t="s">
        <v>2356</v>
      </c>
      <c r="D117" s="184" t="s">
        <v>2161</v>
      </c>
      <c r="E117" s="184" t="str">
        <f t="shared" si="9"/>
        <v>Import</v>
      </c>
      <c r="F117" s="720" t="str" cm="1">
        <f t="array" ref="F117">_xlfn.IFS(
  OR(AI117="E11", AI117="E15"), "Raw materials",
  OR(AI117="E13", AI117="G13"), "Equipments + Toolings",
  TRUE, RIGHT(C117, 8)
)</f>
        <v>Raw materials</v>
      </c>
      <c r="G117" s="541" t="str" cm="1">
        <f t="array" ref="G117">IF(E117="Import",
  IFERROR(
    _xlfn.IFS(
      VLOOKUP(B117,[1]Material!F$5:U$90000,16,0)="LUC","Lucid",
      VLOOKUP(B117,[1]Material!F$5:U$90000,16,0)="FMC","FORD",
      OR(VLOOKUP(B117,[1]Material!F$5:U$90000,16,0)="PUR",VLOOKUP(B117,[1]Material!F$5:U$90000,16,0)="HLO"),"PURE",
      VLOOKUP(B117,[1]Material!F$5:U$90000,16,0)="AIC","AIC",
      OR(VLOOKUP(B117,[1]Material!F$5:U$90000,16,0)="AGI",VLOOKUP(B117,[1]Material!F$5:U$90000,16,0)="AGIGA"),"AGIGA",
      OR(LEFT(VLOOKUP(B117,[1]Material!F$5:U$90000,16,0),3)="EF-",VLOOKUP(B117,[1]Material!F$5:U$90000,16,0)="EFI"),"EFI",
      AND(ISNUMBER(VLOOKUP(B117,[1]Material!F$5:U$90000,16,0)),VLOOKUP(B117,[1]Material!F$5:U$90000,16,0)&gt;=100,VLOOKUP(B117,[1]Material!F$5:U$90000,16,0)&lt;=999,VLOOKUP(B117,[1]Material!F$5:U$90000,16,0)=INT(VLOOKUP(B117,[1]Material!F$5:U$90000,16,0))),"OEM",
      TRUE,""
    ),
    "không tìm thấy trong file Import"
  ),
  VLOOKUP(F117,'[2]Export shipment'!B:Y,24,0)
)</f>
        <v>AIC</v>
      </c>
      <c r="H117" s="184"/>
      <c r="I117" s="184"/>
      <c r="J117" s="260">
        <f>(V117+X117+AA117)/'Logistics record '!$AD$1</f>
        <v>15.116015418335726</v>
      </c>
      <c r="K117" s="260">
        <f>W117/'Logistics record '!$AD$1</f>
        <v>0</v>
      </c>
      <c r="L117" s="260">
        <f>Y117/'Logistics record '!$AD$1</f>
        <v>0</v>
      </c>
      <c r="M117" s="260">
        <f>AF117/'Logistics record '!$AD$1</f>
        <v>0</v>
      </c>
      <c r="N117" s="260" t="str" cm="1">
        <f t="array" ref="N117">_xlfn.IFS(
    OR(UPPER(S117)="AIR", UPPER(S117)="CPN"), "AIR",
    UPPER(S117)="TC", "LOCAL",
    TRUE, "SEA"
)</f>
        <v>AIR</v>
      </c>
      <c r="O117" s="260">
        <f t="shared" si="10"/>
        <v>15.116015418335726</v>
      </c>
      <c r="P117" s="184" t="s">
        <v>932</v>
      </c>
      <c r="Q117" s="185">
        <v>108291286130</v>
      </c>
      <c r="R117" s="186">
        <v>46171</v>
      </c>
      <c r="S117" s="187" t="s">
        <v>928</v>
      </c>
      <c r="T117" s="188">
        <v>2.2000000000000002</v>
      </c>
      <c r="U117" s="188"/>
      <c r="V117" s="189">
        <v>400000</v>
      </c>
      <c r="W117" s="190"/>
      <c r="X117" s="190"/>
      <c r="Y117" s="190"/>
      <c r="Z117" s="189">
        <f t="shared" si="6"/>
        <v>400000</v>
      </c>
      <c r="AA117" s="189">
        <v>0</v>
      </c>
      <c r="AB117" s="189">
        <f t="shared" si="11"/>
        <v>400000</v>
      </c>
      <c r="AC117" s="189"/>
      <c r="AD117" s="190"/>
      <c r="AE117" s="190"/>
      <c r="AF117" s="191">
        <f t="shared" si="7"/>
        <v>0</v>
      </c>
      <c r="AG117" s="190">
        <f t="shared" si="8"/>
        <v>400000</v>
      </c>
      <c r="AH117" s="190"/>
      <c r="AI117" s="192" t="str">
        <f>VLOOKUP(Q117,[3]Sheet1!B$11:G$1489,6,0)</f>
        <v>E11</v>
      </c>
      <c r="GK117" s="194"/>
      <c r="GL117" s="195"/>
      <c r="GM117" s="196"/>
      <c r="GN117" s="197"/>
      <c r="GO117" s="198"/>
      <c r="GP117" s="199"/>
      <c r="GQ117" s="200"/>
      <c r="GR117" s="201"/>
      <c r="GS117" s="60"/>
      <c r="GT117" s="202"/>
      <c r="GU117" s="202"/>
      <c r="GV117" s="202"/>
      <c r="GW117" s="202"/>
      <c r="GX117" s="203"/>
      <c r="HA117" s="194"/>
      <c r="HB117" s="195"/>
      <c r="HC117" s="196"/>
      <c r="HD117" s="197"/>
      <c r="HE117" s="198"/>
      <c r="HF117" s="199"/>
      <c r="HG117" s="200"/>
      <c r="HH117" s="201"/>
      <c r="HI117" s="60"/>
      <c r="HJ117" s="202"/>
      <c r="HK117" s="202"/>
      <c r="HL117" s="202"/>
      <c r="HM117" s="202"/>
      <c r="HN117" s="203"/>
    </row>
    <row r="118" spans="1:222" ht="16.5" customHeight="1">
      <c r="A118" s="181">
        <v>115</v>
      </c>
      <c r="B118" s="182">
        <v>500292664020</v>
      </c>
      <c r="C118" s="598" t="s">
        <v>2357</v>
      </c>
      <c r="D118" s="184" t="s">
        <v>945</v>
      </c>
      <c r="E118" s="184" t="str">
        <f t="shared" si="9"/>
        <v>Import</v>
      </c>
      <c r="F118" s="720" t="str" cm="1">
        <f t="array" ref="F118">_xlfn.IFS(
  OR(AI118="E11", AI118="E15"), "Raw materials",
  OR(AI118="E13", AI118="G13"), "Equipments + Toolings",
  TRUE, RIGHT(C118, 8)
)</f>
        <v>Raw materials</v>
      </c>
      <c r="G118" s="541" t="str" cm="1">
        <f t="array" ref="G118">IF(E118="Import",
  IFERROR(
    _xlfn.IFS(
      VLOOKUP(B118,[1]Material!F$5:U$90000,16,0)="LUC","Lucid",
      VLOOKUP(B118,[1]Material!F$5:U$90000,16,0)="FMC","FORD",
      OR(VLOOKUP(B118,[1]Material!F$5:U$90000,16,0)="PUR",VLOOKUP(B118,[1]Material!F$5:U$90000,16,0)="HLO"),"PURE",
      VLOOKUP(B118,[1]Material!F$5:U$90000,16,0)="AIC","AIC",
      OR(VLOOKUP(B118,[1]Material!F$5:U$90000,16,0)="AGI",VLOOKUP(B118,[1]Material!F$5:U$90000,16,0)="AGIGA"),"AGIGA",
      OR(LEFT(VLOOKUP(B118,[1]Material!F$5:U$90000,16,0),3)="EF-",VLOOKUP(B118,[1]Material!F$5:U$90000,16,0)="EFI"),"EFI",
      AND(ISNUMBER(VLOOKUP(B118,[1]Material!F$5:U$90000,16,0)),VLOOKUP(B118,[1]Material!F$5:U$90000,16,0)&gt;=100,VLOOKUP(B118,[1]Material!F$5:U$90000,16,0)&lt;=999,VLOOKUP(B118,[1]Material!F$5:U$90000,16,0)=INT(VLOOKUP(B118,[1]Material!F$5:U$90000,16,0))),"OEM",
      TRUE,""
    ),
    "không tìm thấy trong file Import"
  ),
  VLOOKUP(F118,'[2]Export shipment'!B:Y,24,0)
)</f>
        <v>PURE</v>
      </c>
      <c r="H118" s="184"/>
      <c r="I118" s="184"/>
      <c r="J118" s="260">
        <f>(V118+X118+AA118)/'Logistics record '!$AD$1</f>
        <v>15.116015418335726</v>
      </c>
      <c r="K118" s="260">
        <f>W118/'Logistics record '!$AD$1</f>
        <v>0</v>
      </c>
      <c r="L118" s="260">
        <f>Y118/'Logistics record '!$AD$1</f>
        <v>0</v>
      </c>
      <c r="M118" s="260">
        <f>AF118/'Logistics record '!$AD$1</f>
        <v>0</v>
      </c>
      <c r="N118" s="260" t="str" cm="1">
        <f t="array" ref="N118">_xlfn.IFS(
    OR(UPPER(S118)="AIR", UPPER(S118)="CPN"), "AIR",
    UPPER(S118)="TC", "LOCAL",
    TRUE, "SEA"
)</f>
        <v>AIR</v>
      </c>
      <c r="O118" s="260">
        <f t="shared" si="10"/>
        <v>15.116015418335726</v>
      </c>
      <c r="P118" s="184" t="s">
        <v>946</v>
      </c>
      <c r="Q118" s="185">
        <v>108291373300</v>
      </c>
      <c r="R118" s="186">
        <v>46171</v>
      </c>
      <c r="S118" s="187" t="s">
        <v>928</v>
      </c>
      <c r="T118" s="188">
        <v>0.5</v>
      </c>
      <c r="U118" s="188"/>
      <c r="V118" s="189">
        <v>400000</v>
      </c>
      <c r="W118" s="190"/>
      <c r="X118" s="190"/>
      <c r="Y118" s="190"/>
      <c r="Z118" s="189">
        <f t="shared" si="6"/>
        <v>400000</v>
      </c>
      <c r="AA118" s="189">
        <v>0</v>
      </c>
      <c r="AB118" s="189">
        <f t="shared" si="11"/>
        <v>400000</v>
      </c>
      <c r="AC118" s="189"/>
      <c r="AD118" s="190"/>
      <c r="AE118" s="190"/>
      <c r="AF118" s="191">
        <f t="shared" si="7"/>
        <v>0</v>
      </c>
      <c r="AG118" s="190">
        <f t="shared" si="8"/>
        <v>400000</v>
      </c>
      <c r="AH118" s="190"/>
      <c r="AI118" s="192" t="str">
        <f>VLOOKUP(Q118,[3]Sheet1!B$11:G$1489,6,0)</f>
        <v>E11</v>
      </c>
      <c r="GK118" s="194"/>
      <c r="GL118" s="195"/>
      <c r="GM118" s="196"/>
      <c r="GN118" s="197"/>
      <c r="GO118" s="198"/>
      <c r="GP118" s="199"/>
      <c r="GQ118" s="200"/>
      <c r="GR118" s="201"/>
      <c r="GS118" s="60"/>
      <c r="GT118" s="202"/>
      <c r="GU118" s="202"/>
      <c r="GV118" s="202"/>
      <c r="GW118" s="202"/>
      <c r="GX118" s="203"/>
      <c r="HA118" s="194"/>
      <c r="HB118" s="195"/>
      <c r="HC118" s="196"/>
      <c r="HD118" s="197"/>
      <c r="HE118" s="198"/>
      <c r="HF118" s="199"/>
      <c r="HG118" s="200"/>
      <c r="HH118" s="201"/>
      <c r="HI118" s="60"/>
      <c r="HJ118" s="202"/>
      <c r="HK118" s="202"/>
      <c r="HL118" s="202"/>
      <c r="HM118" s="202"/>
      <c r="HN118" s="203"/>
    </row>
    <row r="119" spans="1:222" ht="16.5" customHeight="1">
      <c r="A119" s="181">
        <v>116</v>
      </c>
      <c r="B119" s="182">
        <v>381352210471</v>
      </c>
      <c r="C119" s="183" t="s">
        <v>2358</v>
      </c>
      <c r="D119" s="184" t="s">
        <v>2359</v>
      </c>
      <c r="E119" s="184" t="str">
        <f t="shared" si="9"/>
        <v>Import</v>
      </c>
      <c r="F119" s="720" t="str" cm="1">
        <f t="array" ref="F119">_xlfn.IFS(
  OR(AI119="E11", AI119="E15"), "Raw materials",
  OR(AI119="E13", AI119="G13"), "Equipments + Toolings",
  TRUE, RIGHT(C119, 8)
)</f>
        <v>Raw materials</v>
      </c>
      <c r="G119" s="541" t="str" cm="1">
        <f t="array" ref="G119">IF(E119="Import",
  IFERROR(
    _xlfn.IFS(
      VLOOKUP(B119,[1]Material!F$5:U$90000,16,0)="LUC","Lucid",
      VLOOKUP(B119,[1]Material!F$5:U$90000,16,0)="FMC","FORD",
      OR(VLOOKUP(B119,[1]Material!F$5:U$90000,16,0)="PUR",VLOOKUP(B119,[1]Material!F$5:U$90000,16,0)="HLO"),"PURE",
      VLOOKUP(B119,[1]Material!F$5:U$90000,16,0)="AIC","AIC",
      OR(VLOOKUP(B119,[1]Material!F$5:U$90000,16,0)="AGI",VLOOKUP(B119,[1]Material!F$5:U$90000,16,0)="AGIGA"),"AGIGA",
      OR(LEFT(VLOOKUP(B119,[1]Material!F$5:U$90000,16,0),3)="EF-",VLOOKUP(B119,[1]Material!F$5:U$90000,16,0)="EFI"),"EFI",
      AND(ISNUMBER(VLOOKUP(B119,[1]Material!F$5:U$90000,16,0)),VLOOKUP(B119,[1]Material!F$5:U$90000,16,0)&gt;=100,VLOOKUP(B119,[1]Material!F$5:U$90000,16,0)&lt;=999,VLOOKUP(B119,[1]Material!F$5:U$90000,16,0)=INT(VLOOKUP(B119,[1]Material!F$5:U$90000,16,0))),"OEM",
      TRUE,""
    ),
    "không tìm thấy trong file Import"
  ),
  VLOOKUP(F119,'[2]Export shipment'!B:Y,24,0)
)</f>
        <v>PURE</v>
      </c>
      <c r="H119" s="184"/>
      <c r="I119" s="184"/>
      <c r="J119" s="260">
        <f>(V119+X119+AA119)/'Logistics record '!$AD$1</f>
        <v>15.116015418335726</v>
      </c>
      <c r="K119" s="260">
        <f>W119/'Logistics record '!$AD$1</f>
        <v>0</v>
      </c>
      <c r="L119" s="260">
        <f>Y119/'Logistics record '!$AD$1</f>
        <v>0</v>
      </c>
      <c r="M119" s="260">
        <f>AF119/'Logistics record '!$AD$1</f>
        <v>0</v>
      </c>
      <c r="N119" s="260" t="str" cm="1">
        <f t="array" ref="N119">_xlfn.IFS(
    OR(UPPER(S119)="AIR", UPPER(S119)="CPN"), "AIR",
    UPPER(S119)="TC", "LOCAL",
    TRUE, "SEA"
)</f>
        <v>AIR</v>
      </c>
      <c r="O119" s="260">
        <f t="shared" si="10"/>
        <v>15.116015418335726</v>
      </c>
      <c r="P119" s="184" t="s">
        <v>954</v>
      </c>
      <c r="Q119" s="185">
        <v>108291395810</v>
      </c>
      <c r="R119" s="186">
        <v>46171</v>
      </c>
      <c r="S119" s="187" t="s">
        <v>928</v>
      </c>
      <c r="T119" s="188">
        <v>0.8</v>
      </c>
      <c r="U119" s="188"/>
      <c r="V119" s="189">
        <v>400000</v>
      </c>
      <c r="W119" s="190"/>
      <c r="X119" s="190"/>
      <c r="Y119" s="190"/>
      <c r="Z119" s="189">
        <f t="shared" si="6"/>
        <v>400000</v>
      </c>
      <c r="AA119" s="189">
        <v>0</v>
      </c>
      <c r="AB119" s="189">
        <f t="shared" si="11"/>
        <v>400000</v>
      </c>
      <c r="AC119" s="189"/>
      <c r="AD119" s="190"/>
      <c r="AE119" s="190"/>
      <c r="AF119" s="191">
        <f t="shared" si="7"/>
        <v>0</v>
      </c>
      <c r="AG119" s="190">
        <f t="shared" si="8"/>
        <v>400000</v>
      </c>
      <c r="AH119" s="190"/>
      <c r="AI119" s="192" t="str">
        <f>VLOOKUP(Q119,[3]Sheet1!B$11:G$1489,6,0)</f>
        <v>E11</v>
      </c>
      <c r="GK119" s="194"/>
      <c r="GL119" s="195"/>
      <c r="GM119" s="196"/>
      <c r="GN119" s="197"/>
      <c r="GO119" s="198"/>
      <c r="GP119" s="199"/>
      <c r="GQ119" s="200"/>
      <c r="GR119" s="201"/>
      <c r="GS119" s="60"/>
      <c r="GT119" s="202"/>
      <c r="GU119" s="202"/>
      <c r="GV119" s="202"/>
      <c r="GW119" s="202"/>
      <c r="GX119" s="203"/>
      <c r="HA119" s="194"/>
      <c r="HB119" s="195"/>
      <c r="HC119" s="196"/>
      <c r="HD119" s="197"/>
      <c r="HE119" s="198"/>
      <c r="HF119" s="199"/>
      <c r="HG119" s="200"/>
      <c r="HH119" s="201"/>
      <c r="HI119" s="60"/>
      <c r="HJ119" s="202"/>
      <c r="HK119" s="202"/>
      <c r="HL119" s="202"/>
      <c r="HM119" s="202"/>
      <c r="HN119" s="203"/>
    </row>
    <row r="120" spans="1:222" ht="16.5" customHeight="1">
      <c r="A120" s="181">
        <v>117</v>
      </c>
      <c r="B120" s="182">
        <v>872210635650</v>
      </c>
      <c r="C120" s="183" t="s">
        <v>2360</v>
      </c>
      <c r="D120" s="184" t="s">
        <v>807</v>
      </c>
      <c r="E120" s="184" t="str">
        <f t="shared" si="9"/>
        <v>Import</v>
      </c>
      <c r="F120" s="720" t="str" cm="1">
        <f t="array" ref="F120">_xlfn.IFS(
  OR(AI120="E11", AI120="E15"), "Raw materials",
  OR(AI120="E13", AI120="G13"), "Equipments + Toolings",
  TRUE, RIGHT(C120, 8)
)</f>
        <v>Raw materials</v>
      </c>
      <c r="G120" s="541" t="str" cm="1">
        <f t="array" ref="G120">IF(E120="Import",
  IFERROR(
    _xlfn.IFS(
      VLOOKUP(B120,[1]Material!F$5:U$90000,16,0)="LUC","Lucid",
      VLOOKUP(B120,[1]Material!F$5:U$90000,16,0)="FMC","FORD",
      OR(VLOOKUP(B120,[1]Material!F$5:U$90000,16,0)="PUR",VLOOKUP(B120,[1]Material!F$5:U$90000,16,0)="HLO"),"PURE",
      VLOOKUP(B120,[1]Material!F$5:U$90000,16,0)="AIC","AIC",
      OR(VLOOKUP(B120,[1]Material!F$5:U$90000,16,0)="AGI",VLOOKUP(B120,[1]Material!F$5:U$90000,16,0)="AGIGA"),"AGIGA",
      OR(LEFT(VLOOKUP(B120,[1]Material!F$5:U$90000,16,0),3)="EF-",VLOOKUP(B120,[1]Material!F$5:U$90000,16,0)="EFI"),"EFI",
      AND(ISNUMBER(VLOOKUP(B120,[1]Material!F$5:U$90000,16,0)),VLOOKUP(B120,[1]Material!F$5:U$90000,16,0)&gt;=100,VLOOKUP(B120,[1]Material!F$5:U$90000,16,0)&lt;=999,VLOOKUP(B120,[1]Material!F$5:U$90000,16,0)=INT(VLOOKUP(B120,[1]Material!F$5:U$90000,16,0))),"OEM",
      TRUE,""
    ),
    "không tìm thấy trong file Import"
  ),
  VLOOKUP(F120,'[2]Export shipment'!B:Y,24,0)
)</f>
        <v>PURE</v>
      </c>
      <c r="H120" s="184"/>
      <c r="I120" s="184"/>
      <c r="J120" s="260">
        <f>(V120+X120+AA120)/'Logistics record '!$AD$1</f>
        <v>15.116015418335726</v>
      </c>
      <c r="K120" s="260">
        <f>W120/'Logistics record '!$AD$1</f>
        <v>0</v>
      </c>
      <c r="L120" s="260">
        <f>Y120/'Logistics record '!$AD$1</f>
        <v>0</v>
      </c>
      <c r="M120" s="260">
        <f>AF120/'Logistics record '!$AD$1</f>
        <v>0</v>
      </c>
      <c r="N120" s="260" t="str" cm="1">
        <f t="array" ref="N120">_xlfn.IFS(
    OR(UPPER(S120)="AIR", UPPER(S120)="CPN"), "AIR",
    UPPER(S120)="TC", "LOCAL",
    TRUE, "SEA"
)</f>
        <v>AIR</v>
      </c>
      <c r="O120" s="260">
        <f t="shared" si="10"/>
        <v>15.116015418335726</v>
      </c>
      <c r="P120" s="184" t="s">
        <v>937</v>
      </c>
      <c r="Q120" s="185">
        <v>108291445730</v>
      </c>
      <c r="R120" s="186">
        <v>46171</v>
      </c>
      <c r="S120" s="187" t="s">
        <v>928</v>
      </c>
      <c r="T120" s="188">
        <v>7.2</v>
      </c>
      <c r="U120" s="188"/>
      <c r="V120" s="189">
        <v>400000</v>
      </c>
      <c r="W120" s="190"/>
      <c r="X120" s="190"/>
      <c r="Y120" s="190"/>
      <c r="Z120" s="189">
        <f t="shared" si="6"/>
        <v>400000</v>
      </c>
      <c r="AA120" s="189">
        <v>0</v>
      </c>
      <c r="AB120" s="189">
        <f t="shared" si="11"/>
        <v>400000</v>
      </c>
      <c r="AC120" s="189"/>
      <c r="AD120" s="190"/>
      <c r="AE120" s="190"/>
      <c r="AF120" s="191">
        <f t="shared" si="7"/>
        <v>0</v>
      </c>
      <c r="AG120" s="190">
        <f t="shared" si="8"/>
        <v>400000</v>
      </c>
      <c r="AH120" s="190"/>
      <c r="AI120" s="192" t="str">
        <f>VLOOKUP(Q120,[3]Sheet1!B$11:G$1489,6,0)</f>
        <v>E11</v>
      </c>
      <c r="GK120" s="194"/>
      <c r="GL120" s="195"/>
      <c r="GM120" s="196"/>
      <c r="GN120" s="197"/>
      <c r="GO120" s="198"/>
      <c r="GP120" s="199"/>
      <c r="GQ120" s="200"/>
      <c r="GR120" s="201"/>
      <c r="GS120" s="60"/>
      <c r="GT120" s="202"/>
      <c r="GU120" s="202"/>
      <c r="GV120" s="202"/>
      <c r="GW120" s="202"/>
      <c r="GX120" s="203"/>
      <c r="HA120" s="194"/>
      <c r="HB120" s="195"/>
      <c r="HC120" s="196"/>
      <c r="HD120" s="197"/>
      <c r="HE120" s="198"/>
      <c r="HF120" s="199"/>
      <c r="HG120" s="200"/>
      <c r="HH120" s="201"/>
      <c r="HI120" s="60"/>
      <c r="HJ120" s="202"/>
      <c r="HK120" s="202"/>
      <c r="HL120" s="202"/>
      <c r="HM120" s="202"/>
      <c r="HN120" s="203"/>
    </row>
    <row r="121" spans="1:222" ht="16.5" customHeight="1">
      <c r="A121" s="181">
        <v>118</v>
      </c>
      <c r="B121" s="182">
        <v>872212668459</v>
      </c>
      <c r="C121" s="598" t="s">
        <v>2361</v>
      </c>
      <c r="D121" s="184" t="s">
        <v>2286</v>
      </c>
      <c r="E121" s="184" t="str">
        <f t="shared" si="9"/>
        <v>Import</v>
      </c>
      <c r="F121" s="720" t="str" cm="1">
        <f t="array" ref="F121">_xlfn.IFS(
  OR(AI121="E11", AI121="E15"), "Raw materials",
  OR(AI121="E13", AI121="G13"), "Equipments + Toolings",
  TRUE, RIGHT(C121, 8)
)</f>
        <v>Raw materials</v>
      </c>
      <c r="G121" s="541" t="str" cm="1">
        <f t="array" ref="G121">IF(E121="Import",
  IFERROR(
    _xlfn.IFS(
      VLOOKUP(B121,[1]Material!F$5:U$90000,16,0)="LUC","Lucid",
      VLOOKUP(B121,[1]Material!F$5:U$90000,16,0)="FMC","FORD",
      OR(VLOOKUP(B121,[1]Material!F$5:U$90000,16,0)="PUR",VLOOKUP(B121,[1]Material!F$5:U$90000,16,0)="HLO"),"PURE",
      VLOOKUP(B121,[1]Material!F$5:U$90000,16,0)="AIC","AIC",
      OR(VLOOKUP(B121,[1]Material!F$5:U$90000,16,0)="AGI",VLOOKUP(B121,[1]Material!F$5:U$90000,16,0)="AGIGA"),"AGIGA",
      OR(LEFT(VLOOKUP(B121,[1]Material!F$5:U$90000,16,0),3)="EF-",VLOOKUP(B121,[1]Material!F$5:U$90000,16,0)="EFI"),"EFI",
      AND(ISNUMBER(VLOOKUP(B121,[1]Material!F$5:U$90000,16,0)),VLOOKUP(B121,[1]Material!F$5:U$90000,16,0)&gt;=100,VLOOKUP(B121,[1]Material!F$5:U$90000,16,0)&lt;=999,VLOOKUP(B121,[1]Material!F$5:U$90000,16,0)=INT(VLOOKUP(B121,[1]Material!F$5:U$90000,16,0))),"OEM",
      TRUE,""
    ),
    "không tìm thấy trong file Import"
  ),
  VLOOKUP(F121,'[2]Export shipment'!B:Y,24,0)
)</f>
        <v>PURE</v>
      </c>
      <c r="H121" s="184"/>
      <c r="I121" s="184"/>
      <c r="J121" s="260">
        <f>(V121+X121+AA121)/'Logistics record '!$AD$1</f>
        <v>15.116015418335726</v>
      </c>
      <c r="K121" s="260">
        <f>W121/'Logistics record '!$AD$1</f>
        <v>0</v>
      </c>
      <c r="L121" s="260">
        <f>Y121/'Logistics record '!$AD$1</f>
        <v>0</v>
      </c>
      <c r="M121" s="260">
        <f>AF121/'Logistics record '!$AD$1</f>
        <v>0</v>
      </c>
      <c r="N121" s="260" t="str" cm="1">
        <f t="array" ref="N121">_xlfn.IFS(
    OR(UPPER(S121)="AIR", UPPER(S121)="CPN"), "AIR",
    UPPER(S121)="TC", "LOCAL",
    TRUE, "SEA"
)</f>
        <v>AIR</v>
      </c>
      <c r="O121" s="260">
        <f t="shared" si="10"/>
        <v>15.116015418335726</v>
      </c>
      <c r="P121" s="184" t="s">
        <v>927</v>
      </c>
      <c r="Q121" s="185">
        <v>108291605440</v>
      </c>
      <c r="R121" s="186">
        <v>46171</v>
      </c>
      <c r="S121" s="187" t="s">
        <v>928</v>
      </c>
      <c r="T121" s="188">
        <v>27.5</v>
      </c>
      <c r="U121" s="188"/>
      <c r="V121" s="189">
        <v>400000</v>
      </c>
      <c r="W121" s="190"/>
      <c r="X121" s="190"/>
      <c r="Y121" s="190"/>
      <c r="Z121" s="189">
        <f t="shared" si="6"/>
        <v>400000</v>
      </c>
      <c r="AA121" s="189">
        <v>0</v>
      </c>
      <c r="AB121" s="189">
        <f t="shared" si="11"/>
        <v>400000</v>
      </c>
      <c r="AC121" s="189"/>
      <c r="AD121" s="190"/>
      <c r="AE121" s="190"/>
      <c r="AF121" s="191">
        <f t="shared" si="7"/>
        <v>0</v>
      </c>
      <c r="AG121" s="190">
        <f t="shared" si="8"/>
        <v>400000</v>
      </c>
      <c r="AH121" s="190"/>
      <c r="AI121" s="192" t="str">
        <f>VLOOKUP(Q121,[3]Sheet1!B$11:G$1489,6,0)</f>
        <v>E11</v>
      </c>
      <c r="GK121" s="194"/>
      <c r="GL121" s="195"/>
      <c r="GM121" s="196"/>
      <c r="GN121" s="197"/>
      <c r="GO121" s="198"/>
      <c r="GP121" s="199"/>
      <c r="GQ121" s="200"/>
      <c r="GR121" s="201"/>
      <c r="GS121" s="60"/>
      <c r="GT121" s="202"/>
      <c r="GU121" s="202"/>
      <c r="GV121" s="202"/>
      <c r="GW121" s="202"/>
      <c r="GX121" s="203"/>
      <c r="HA121" s="194"/>
      <c r="HB121" s="195"/>
      <c r="HC121" s="196"/>
      <c r="HD121" s="197"/>
      <c r="HE121" s="198"/>
      <c r="HF121" s="199"/>
      <c r="HG121" s="200"/>
      <c r="HH121" s="201"/>
      <c r="HI121" s="60"/>
      <c r="HJ121" s="202"/>
      <c r="HK121" s="202"/>
      <c r="HL121" s="202"/>
      <c r="HM121" s="202"/>
      <c r="HN121" s="203"/>
    </row>
    <row r="122" spans="1:222" ht="16.5" customHeight="1">
      <c r="A122" s="181">
        <v>119</v>
      </c>
      <c r="B122" s="182">
        <v>4110337329</v>
      </c>
      <c r="C122" s="598" t="s">
        <v>2362</v>
      </c>
      <c r="D122" s="184" t="s">
        <v>1990</v>
      </c>
      <c r="E122" s="184" t="str">
        <f t="shared" si="9"/>
        <v>Import</v>
      </c>
      <c r="F122" s="720" t="str" cm="1">
        <f t="array" ref="F122">_xlfn.IFS(
  OR(AI122="E11", AI122="E15"), "Raw materials",
  OR(AI122="E13", AI122="G13"), "Equipments + Toolings",
  TRUE, RIGHT(C122, 8)
)</f>
        <v>Raw materials</v>
      </c>
      <c r="G122" s="541" t="str" cm="1">
        <f t="array" ref="G122">IF(E122="Import",
  IFERROR(
    _xlfn.IFS(
      VLOOKUP(B122,[1]Material!F$5:U$90000,16,0)="LUC","Lucid",
      VLOOKUP(B122,[1]Material!F$5:U$90000,16,0)="FMC","FORD",
      OR(VLOOKUP(B122,[1]Material!F$5:U$90000,16,0)="PUR",VLOOKUP(B122,[1]Material!F$5:U$90000,16,0)="HLO"),"PURE",
      VLOOKUP(B122,[1]Material!F$5:U$90000,16,0)="AIC","AIC",
      OR(VLOOKUP(B122,[1]Material!F$5:U$90000,16,0)="AGI",VLOOKUP(B122,[1]Material!F$5:U$90000,16,0)="AGIGA"),"AGIGA",
      OR(LEFT(VLOOKUP(B122,[1]Material!F$5:U$90000,16,0),3)="EF-",VLOOKUP(B122,[1]Material!F$5:U$90000,16,0)="EFI"),"EFI",
      AND(ISNUMBER(VLOOKUP(B122,[1]Material!F$5:U$90000,16,0)),VLOOKUP(B122,[1]Material!F$5:U$90000,16,0)&gt;=100,VLOOKUP(B122,[1]Material!F$5:U$90000,16,0)&lt;=999,VLOOKUP(B122,[1]Material!F$5:U$90000,16,0)=INT(VLOOKUP(B122,[1]Material!F$5:U$90000,16,0))),"OEM",
      TRUE,""
    ),
    "không tìm thấy trong file Import"
  ),
  VLOOKUP(F122,'[2]Export shipment'!B:Y,24,0)
)</f>
        <v>Lucid</v>
      </c>
      <c r="H122" s="184"/>
      <c r="I122" s="184"/>
      <c r="J122" s="260">
        <f>(V122+X122+AA122)/'Logistics record '!$AD$1</f>
        <v>15.116015418335726</v>
      </c>
      <c r="K122" s="260">
        <f>W122/'Logistics record '!$AD$1</f>
        <v>0</v>
      </c>
      <c r="L122" s="260">
        <f>Y122/'Logistics record '!$AD$1</f>
        <v>0</v>
      </c>
      <c r="M122" s="260">
        <f>AF122/'Logistics record '!$AD$1</f>
        <v>0</v>
      </c>
      <c r="N122" s="260" t="str" cm="1">
        <f t="array" ref="N122">_xlfn.IFS(
    OR(UPPER(S122)="AIR", UPPER(S122)="CPN"), "AIR",
    UPPER(S122)="TC", "LOCAL",
    TRUE, "SEA"
)</f>
        <v>AIR</v>
      </c>
      <c r="O122" s="260">
        <f t="shared" si="10"/>
        <v>15.116015418335726</v>
      </c>
      <c r="P122" s="184" t="s">
        <v>935</v>
      </c>
      <c r="Q122" s="185">
        <v>108298940630</v>
      </c>
      <c r="R122" s="186">
        <v>46175</v>
      </c>
      <c r="S122" s="187" t="s">
        <v>65</v>
      </c>
      <c r="T122" s="188">
        <v>34</v>
      </c>
      <c r="U122" s="188"/>
      <c r="V122" s="189">
        <v>400000</v>
      </c>
      <c r="W122" s="190"/>
      <c r="X122" s="190"/>
      <c r="Y122" s="190"/>
      <c r="Z122" s="189">
        <f t="shared" si="6"/>
        <v>400000</v>
      </c>
      <c r="AA122" s="189">
        <v>0</v>
      </c>
      <c r="AB122" s="189">
        <f t="shared" si="11"/>
        <v>400000</v>
      </c>
      <c r="AC122" s="189"/>
      <c r="AD122" s="190"/>
      <c r="AE122" s="190"/>
      <c r="AF122" s="191">
        <f t="shared" si="7"/>
        <v>0</v>
      </c>
      <c r="AG122" s="190">
        <f t="shared" si="8"/>
        <v>400000</v>
      </c>
      <c r="AH122" s="190"/>
      <c r="AI122" s="192" t="str">
        <f>VLOOKUP(Q122,[3]Sheet1!B$11:G$1489,6,0)</f>
        <v>E11</v>
      </c>
      <c r="GK122" s="194"/>
      <c r="GL122" s="195"/>
      <c r="GM122" s="196"/>
      <c r="GN122" s="197"/>
      <c r="GO122" s="198"/>
      <c r="GP122" s="199"/>
      <c r="GQ122" s="200"/>
      <c r="GR122" s="201"/>
      <c r="GS122" s="60"/>
      <c r="GT122" s="202"/>
      <c r="GU122" s="202"/>
      <c r="GV122" s="202"/>
      <c r="GW122" s="202"/>
      <c r="GX122" s="203"/>
      <c r="HA122" s="194"/>
      <c r="HB122" s="195"/>
      <c r="HC122" s="196"/>
      <c r="HD122" s="197"/>
      <c r="HE122" s="198"/>
      <c r="HF122" s="199"/>
      <c r="HG122" s="200"/>
      <c r="HH122" s="201"/>
      <c r="HI122" s="60"/>
      <c r="HJ122" s="202"/>
      <c r="HK122" s="202"/>
      <c r="HL122" s="202"/>
      <c r="HM122" s="202"/>
      <c r="HN122" s="203"/>
    </row>
    <row r="123" spans="1:222" ht="16.5" customHeight="1">
      <c r="A123" s="181">
        <v>120</v>
      </c>
      <c r="B123" s="182">
        <v>26050470</v>
      </c>
      <c r="C123" s="598" t="s">
        <v>2363</v>
      </c>
      <c r="D123" s="184" t="s">
        <v>1709</v>
      </c>
      <c r="E123" s="184" t="str">
        <f t="shared" si="9"/>
        <v>Import</v>
      </c>
      <c r="F123" s="720" t="str" cm="1">
        <f t="array" ref="F123">_xlfn.IFS(
  OR(AI123="E11", AI123="E15"), "Raw materials",
  OR(AI123="E13", AI123="G13"), "Equipments + Toolings",
  TRUE, RIGHT(C123, 8)
)</f>
        <v>Raw materials</v>
      </c>
      <c r="G123" s="541" t="str" cm="1">
        <f t="array" ref="G123">IF(E123="Import",
  IFERROR(
    _xlfn.IFS(
      VLOOKUP(B123,[1]Material!F$5:U$90000,16,0)="LUC","Lucid",
      VLOOKUP(B123,[1]Material!F$5:U$90000,16,0)="FMC","FORD",
      OR(VLOOKUP(B123,[1]Material!F$5:U$90000,16,0)="PUR",VLOOKUP(B123,[1]Material!F$5:U$90000,16,0)="HLO"),"PURE",
      VLOOKUP(B123,[1]Material!F$5:U$90000,16,0)="AIC","AIC",
      OR(VLOOKUP(B123,[1]Material!F$5:U$90000,16,0)="AGI",VLOOKUP(B123,[1]Material!F$5:U$90000,16,0)="AGIGA"),"AGIGA",
      OR(LEFT(VLOOKUP(B123,[1]Material!F$5:U$90000,16,0),3)="EF-",VLOOKUP(B123,[1]Material!F$5:U$90000,16,0)="EFI"),"EFI",
      AND(ISNUMBER(VLOOKUP(B123,[1]Material!F$5:U$90000,16,0)),VLOOKUP(B123,[1]Material!F$5:U$90000,16,0)&gt;=100,VLOOKUP(B123,[1]Material!F$5:U$90000,16,0)&lt;=999,VLOOKUP(B123,[1]Material!F$5:U$90000,16,0)=INT(VLOOKUP(B123,[1]Material!F$5:U$90000,16,0))),"OEM",
      TRUE,""
    ),
    "không tìm thấy trong file Import"
  ),
  VLOOKUP(F123,'[2]Export shipment'!B:Y,24,0)
)</f>
        <v>PURE</v>
      </c>
      <c r="H123" s="184"/>
      <c r="I123" s="184"/>
      <c r="J123" s="260">
        <f>(V123+X123+AA123)/'Logistics record '!$AD$1</f>
        <v>15.116015418335726</v>
      </c>
      <c r="K123" s="260">
        <f>W123/'Logistics record '!$AD$1</f>
        <v>0</v>
      </c>
      <c r="L123" s="260">
        <f>Y123/'Logistics record '!$AD$1</f>
        <v>0</v>
      </c>
      <c r="M123" s="260">
        <f>AF123/'Logistics record '!$AD$1</f>
        <v>0</v>
      </c>
      <c r="N123" s="260" t="str" cm="1">
        <f t="array" ref="N123">_xlfn.IFS(
    OR(UPPER(S123)="AIR", UPPER(S123)="CPN"), "AIR",
    UPPER(S123)="TC", "LOCAL",
    TRUE, "SEA"
)</f>
        <v>AIR</v>
      </c>
      <c r="O123" s="260">
        <f t="shared" si="10"/>
        <v>15.116015418335726</v>
      </c>
      <c r="P123" s="184" t="s">
        <v>937</v>
      </c>
      <c r="Q123" s="185">
        <v>108299699430</v>
      </c>
      <c r="R123" s="186">
        <v>46175</v>
      </c>
      <c r="S123" s="187" t="s">
        <v>65</v>
      </c>
      <c r="T123" s="188">
        <v>750</v>
      </c>
      <c r="U123" s="188"/>
      <c r="V123" s="189">
        <v>400000</v>
      </c>
      <c r="W123" s="190"/>
      <c r="X123" s="190"/>
      <c r="Y123" s="190"/>
      <c r="Z123" s="189">
        <f t="shared" si="6"/>
        <v>400000</v>
      </c>
      <c r="AA123" s="189">
        <v>0</v>
      </c>
      <c r="AB123" s="189">
        <f t="shared" si="11"/>
        <v>400000</v>
      </c>
      <c r="AC123" s="189"/>
      <c r="AD123" s="190"/>
      <c r="AE123" s="190"/>
      <c r="AF123" s="191">
        <f t="shared" si="7"/>
        <v>0</v>
      </c>
      <c r="AG123" s="190">
        <f t="shared" si="8"/>
        <v>400000</v>
      </c>
      <c r="AH123" s="190"/>
      <c r="AI123" s="192" t="str">
        <f>VLOOKUP(Q123,[3]Sheet1!B$11:G$1489,6,0)</f>
        <v>E11</v>
      </c>
      <c r="GK123" s="194"/>
      <c r="GL123" s="195"/>
      <c r="GM123" s="196"/>
      <c r="GN123" s="197"/>
      <c r="GO123" s="198"/>
      <c r="GP123" s="199"/>
      <c r="GQ123" s="200"/>
      <c r="GR123" s="201"/>
      <c r="GS123" s="60"/>
      <c r="GT123" s="202"/>
      <c r="GU123" s="202"/>
      <c r="GV123" s="202"/>
      <c r="GW123" s="202"/>
      <c r="GX123" s="203"/>
      <c r="HA123" s="194"/>
      <c r="HB123" s="195"/>
      <c r="HC123" s="196"/>
      <c r="HD123" s="197"/>
      <c r="HE123" s="198"/>
      <c r="HF123" s="199"/>
      <c r="HG123" s="200"/>
      <c r="HH123" s="201"/>
      <c r="HI123" s="60"/>
      <c r="HJ123" s="202"/>
      <c r="HK123" s="202"/>
      <c r="HL123" s="202"/>
      <c r="HM123" s="202"/>
      <c r="HN123" s="203"/>
    </row>
    <row r="124" spans="1:222" ht="16.5" customHeight="1">
      <c r="A124" s="181">
        <v>121</v>
      </c>
      <c r="B124" s="182">
        <v>119209725257</v>
      </c>
      <c r="C124" s="183" t="s">
        <v>2364</v>
      </c>
      <c r="D124" s="184" t="s">
        <v>944</v>
      </c>
      <c r="E124" s="184" t="str">
        <f t="shared" si="9"/>
        <v>Import</v>
      </c>
      <c r="F124" s="720" t="str" cm="1">
        <f t="array" ref="F124">_xlfn.IFS(
  OR(AI124="E11", AI124="E15"), "Raw materials",
  OR(AI124="E13", AI124="G13"), "Equipments + Toolings",
  TRUE, RIGHT(C124, 8)
)</f>
        <v>Raw materials</v>
      </c>
      <c r="G124" s="541" t="str" cm="1">
        <f t="array" ref="G124">IF(E124="Import",
  IFERROR(
    _xlfn.IFS(
      VLOOKUP(B124,[1]Material!F$5:U$90000,16,0)="LUC","Lucid",
      VLOOKUP(B124,[1]Material!F$5:U$90000,16,0)="FMC","FORD",
      OR(VLOOKUP(B124,[1]Material!F$5:U$90000,16,0)="PUR",VLOOKUP(B124,[1]Material!F$5:U$90000,16,0)="HLO"),"PURE",
      VLOOKUP(B124,[1]Material!F$5:U$90000,16,0)="AIC","AIC",
      OR(VLOOKUP(B124,[1]Material!F$5:U$90000,16,0)="AGI",VLOOKUP(B124,[1]Material!F$5:U$90000,16,0)="AGIGA"),"AGIGA",
      OR(LEFT(VLOOKUP(B124,[1]Material!F$5:U$90000,16,0),3)="EF-",VLOOKUP(B124,[1]Material!F$5:U$90000,16,0)="EFI"),"EFI",
      AND(ISNUMBER(VLOOKUP(B124,[1]Material!F$5:U$90000,16,0)),VLOOKUP(B124,[1]Material!F$5:U$90000,16,0)&gt;=100,VLOOKUP(B124,[1]Material!F$5:U$90000,16,0)&lt;=999,VLOOKUP(B124,[1]Material!F$5:U$90000,16,0)=INT(VLOOKUP(B124,[1]Material!F$5:U$90000,16,0))),"OEM",
      TRUE,""
    ),
    "không tìm thấy trong file Import"
  ),
  VLOOKUP(F124,'[2]Export shipment'!B:Y,24,0)
)</f>
        <v>OEM</v>
      </c>
      <c r="H124" s="184"/>
      <c r="I124" s="184"/>
      <c r="J124" s="260">
        <f>(V124+X124+AA124)/'Logistics record '!$AD$1</f>
        <v>15.116015418335726</v>
      </c>
      <c r="K124" s="260">
        <f>W124/'Logistics record '!$AD$1</f>
        <v>0</v>
      </c>
      <c r="L124" s="260">
        <f>Y124/'Logistics record '!$AD$1</f>
        <v>0</v>
      </c>
      <c r="M124" s="260">
        <f>AF124/'Logistics record '!$AD$1</f>
        <v>0</v>
      </c>
      <c r="N124" s="260" t="str" cm="1">
        <f t="array" ref="N124">_xlfn.IFS(
    OR(UPPER(S124)="AIR", UPPER(S124)="CPN"), "AIR",
    UPPER(S124)="TC", "LOCAL",
    TRUE, "SEA"
)</f>
        <v>AIR</v>
      </c>
      <c r="O124" s="260">
        <f t="shared" si="10"/>
        <v>15.116015418335726</v>
      </c>
      <c r="P124" s="184" t="s">
        <v>935</v>
      </c>
      <c r="Q124" s="185">
        <v>108300127460</v>
      </c>
      <c r="R124" s="186">
        <v>46175</v>
      </c>
      <c r="S124" s="187" t="s">
        <v>928</v>
      </c>
      <c r="T124" s="188">
        <v>2.2999999999999998</v>
      </c>
      <c r="U124" s="188"/>
      <c r="V124" s="189">
        <v>400000</v>
      </c>
      <c r="W124" s="190"/>
      <c r="X124" s="190"/>
      <c r="Y124" s="190"/>
      <c r="Z124" s="189">
        <f t="shared" si="6"/>
        <v>400000</v>
      </c>
      <c r="AA124" s="189">
        <v>0</v>
      </c>
      <c r="AB124" s="189">
        <f t="shared" si="11"/>
        <v>400000</v>
      </c>
      <c r="AC124" s="189"/>
      <c r="AD124" s="190"/>
      <c r="AE124" s="190"/>
      <c r="AF124" s="191">
        <f t="shared" si="7"/>
        <v>0</v>
      </c>
      <c r="AG124" s="190">
        <f t="shared" si="8"/>
        <v>400000</v>
      </c>
      <c r="AH124" s="190"/>
      <c r="AI124" s="192" t="str">
        <f>VLOOKUP(Q124,[3]Sheet1!B$11:G$1489,6,0)</f>
        <v>E11</v>
      </c>
      <c r="GK124" s="194"/>
      <c r="GL124" s="195"/>
      <c r="GM124" s="196"/>
      <c r="GN124" s="197"/>
      <c r="GO124" s="198"/>
      <c r="GP124" s="199"/>
      <c r="GQ124" s="200"/>
      <c r="GR124" s="201"/>
      <c r="GS124" s="60"/>
      <c r="GT124" s="202"/>
      <c r="GU124" s="202"/>
      <c r="GV124" s="202"/>
      <c r="GW124" s="202"/>
      <c r="GX124" s="203"/>
      <c r="HA124" s="194"/>
      <c r="HB124" s="195"/>
      <c r="HC124" s="196"/>
      <c r="HD124" s="197"/>
      <c r="HE124" s="198"/>
      <c r="HF124" s="199"/>
      <c r="HG124" s="200"/>
      <c r="HH124" s="201"/>
      <c r="HI124" s="60"/>
      <c r="HJ124" s="202"/>
      <c r="HK124" s="202"/>
      <c r="HL124" s="202"/>
      <c r="HM124" s="202"/>
      <c r="HN124" s="203"/>
    </row>
    <row r="125" spans="1:222" ht="16.5" customHeight="1">
      <c r="A125" s="181">
        <v>122</v>
      </c>
      <c r="B125" s="182">
        <v>527557160332</v>
      </c>
      <c r="C125" s="598" t="s">
        <v>2365</v>
      </c>
      <c r="D125" s="184" t="s">
        <v>957</v>
      </c>
      <c r="E125" s="184" t="str">
        <f t="shared" si="9"/>
        <v>Import</v>
      </c>
      <c r="F125" s="720" t="str" cm="1">
        <f t="array" ref="F125">_xlfn.IFS(
  OR(AI125="E11", AI125="E15"), "Raw materials",
  OR(AI125="E13", AI125="G13"), "Equipments + Toolings",
  TRUE, RIGHT(C125, 8)
)</f>
        <v>Raw materials</v>
      </c>
      <c r="G125" s="541" t="str" cm="1">
        <f t="array" ref="G125">IF(E125="Import",
  IFERROR(
    _xlfn.IFS(
      VLOOKUP(B125,[1]Material!F$5:U$90000,16,0)="LUC","Lucid",
      VLOOKUP(B125,[1]Material!F$5:U$90000,16,0)="FMC","FORD",
      OR(VLOOKUP(B125,[1]Material!F$5:U$90000,16,0)="PUR",VLOOKUP(B125,[1]Material!F$5:U$90000,16,0)="HLO"),"PURE",
      VLOOKUP(B125,[1]Material!F$5:U$90000,16,0)="AIC","AIC",
      OR(VLOOKUP(B125,[1]Material!F$5:U$90000,16,0)="AGI",VLOOKUP(B125,[1]Material!F$5:U$90000,16,0)="AGIGA"),"AGIGA",
      OR(LEFT(VLOOKUP(B125,[1]Material!F$5:U$90000,16,0),3)="EF-",VLOOKUP(B125,[1]Material!F$5:U$90000,16,0)="EFI"),"EFI",
      AND(ISNUMBER(VLOOKUP(B125,[1]Material!F$5:U$90000,16,0)),VLOOKUP(B125,[1]Material!F$5:U$90000,16,0)&gt;=100,VLOOKUP(B125,[1]Material!F$5:U$90000,16,0)&lt;=999,VLOOKUP(B125,[1]Material!F$5:U$90000,16,0)=INT(VLOOKUP(B125,[1]Material!F$5:U$90000,16,0))),"OEM",
      TRUE,""
    ),
    "không tìm thấy trong file Import"
  ),
  VLOOKUP(F125,'[2]Export shipment'!B:Y,24,0)
)</f>
        <v>EFI</v>
      </c>
      <c r="H125" s="184"/>
      <c r="I125" s="184"/>
      <c r="J125" s="260">
        <f>(V125+X125+AA125)/'Logistics record '!$AD$1</f>
        <v>15.116015418335726</v>
      </c>
      <c r="K125" s="260">
        <f>W125/'Logistics record '!$AD$1</f>
        <v>0</v>
      </c>
      <c r="L125" s="260">
        <f>Y125/'Logistics record '!$AD$1</f>
        <v>0</v>
      </c>
      <c r="M125" s="260">
        <f>AF125/'Logistics record '!$AD$1</f>
        <v>0</v>
      </c>
      <c r="N125" s="260" t="str" cm="1">
        <f t="array" ref="N125">_xlfn.IFS(
    OR(UPPER(S125)="AIR", UPPER(S125)="CPN"), "AIR",
    UPPER(S125)="TC", "LOCAL",
    TRUE, "SEA"
)</f>
        <v>AIR</v>
      </c>
      <c r="O125" s="260">
        <f t="shared" si="10"/>
        <v>15.116015418335726</v>
      </c>
      <c r="P125" s="184" t="s">
        <v>935</v>
      </c>
      <c r="Q125" s="185">
        <v>108300854540</v>
      </c>
      <c r="R125" s="186">
        <v>46175</v>
      </c>
      <c r="S125" s="187" t="s">
        <v>928</v>
      </c>
      <c r="T125" s="188">
        <v>8.1999999999999993</v>
      </c>
      <c r="U125" s="188"/>
      <c r="V125" s="189">
        <v>400000</v>
      </c>
      <c r="W125" s="190"/>
      <c r="X125" s="190"/>
      <c r="Y125" s="190"/>
      <c r="Z125" s="189">
        <f t="shared" si="6"/>
        <v>400000</v>
      </c>
      <c r="AA125" s="189">
        <v>0</v>
      </c>
      <c r="AB125" s="189">
        <f t="shared" si="11"/>
        <v>400000</v>
      </c>
      <c r="AC125" s="189"/>
      <c r="AD125" s="190"/>
      <c r="AE125" s="190"/>
      <c r="AF125" s="191">
        <f t="shared" si="7"/>
        <v>0</v>
      </c>
      <c r="AG125" s="190">
        <f t="shared" si="8"/>
        <v>400000</v>
      </c>
      <c r="AH125" s="190"/>
      <c r="AI125" s="192" t="str">
        <f>VLOOKUP(Q125,[3]Sheet1!B$11:G$1489,6,0)</f>
        <v>E11</v>
      </c>
      <c r="GK125" s="194"/>
      <c r="GL125" s="195"/>
      <c r="GM125" s="196"/>
      <c r="GN125" s="197"/>
      <c r="GO125" s="198"/>
      <c r="GP125" s="199"/>
      <c r="GQ125" s="200"/>
      <c r="GR125" s="201"/>
      <c r="GS125" s="60"/>
      <c r="GT125" s="202"/>
      <c r="GU125" s="202"/>
      <c r="GV125" s="202"/>
      <c r="GW125" s="202"/>
      <c r="GX125" s="203"/>
      <c r="HA125" s="194"/>
      <c r="HB125" s="195"/>
      <c r="HC125" s="196"/>
      <c r="HD125" s="197"/>
      <c r="HE125" s="198"/>
      <c r="HF125" s="199"/>
      <c r="HG125" s="200"/>
      <c r="HH125" s="201"/>
      <c r="HI125" s="60"/>
      <c r="HJ125" s="202"/>
      <c r="HK125" s="202"/>
      <c r="HL125" s="202"/>
      <c r="HM125" s="202"/>
      <c r="HN125" s="203"/>
    </row>
    <row r="126" spans="1:222" ht="16.5" customHeight="1">
      <c r="A126" s="181">
        <v>123</v>
      </c>
      <c r="B126" s="182">
        <v>526208721604</v>
      </c>
      <c r="C126" s="183" t="s">
        <v>2366</v>
      </c>
      <c r="D126" s="184" t="s">
        <v>963</v>
      </c>
      <c r="E126" s="184" t="str">
        <f t="shared" si="9"/>
        <v>Import</v>
      </c>
      <c r="F126" s="720" t="str" cm="1">
        <f t="array" ref="F126">_xlfn.IFS(
  OR(AI126="E11", AI126="E15"), "Raw materials",
  OR(AI126="E13", AI126="G13"), "Equipments + Toolings",
  TRUE, RIGHT(C126, 8)
)</f>
        <v>Raw materials</v>
      </c>
      <c r="G126" s="541" t="str" cm="1">
        <f t="array" ref="G126">IF(E126="Import",
  IFERROR(
    _xlfn.IFS(
      VLOOKUP(B126,[1]Material!F$5:U$90000,16,0)="LUC","Lucid",
      VLOOKUP(B126,[1]Material!F$5:U$90000,16,0)="FMC","FORD",
      OR(VLOOKUP(B126,[1]Material!F$5:U$90000,16,0)="PUR",VLOOKUP(B126,[1]Material!F$5:U$90000,16,0)="HLO"),"PURE",
      VLOOKUP(B126,[1]Material!F$5:U$90000,16,0)="AIC","AIC",
      OR(VLOOKUP(B126,[1]Material!F$5:U$90000,16,0)="AGI",VLOOKUP(B126,[1]Material!F$5:U$90000,16,0)="AGIGA"),"AGIGA",
      OR(LEFT(VLOOKUP(B126,[1]Material!F$5:U$90000,16,0),3)="EF-",VLOOKUP(B126,[1]Material!F$5:U$90000,16,0)="EFI"),"EFI",
      AND(ISNUMBER(VLOOKUP(B126,[1]Material!F$5:U$90000,16,0)),VLOOKUP(B126,[1]Material!F$5:U$90000,16,0)&gt;=100,VLOOKUP(B126,[1]Material!F$5:U$90000,16,0)&lt;=999,VLOOKUP(B126,[1]Material!F$5:U$90000,16,0)=INT(VLOOKUP(B126,[1]Material!F$5:U$90000,16,0))),"OEM",
      TRUE,""
    ),
    "không tìm thấy trong file Import"
  ),
  VLOOKUP(F126,'[2]Export shipment'!B:Y,24,0)
)</f>
        <v>FORD</v>
      </c>
      <c r="H126" s="184"/>
      <c r="I126" s="184"/>
      <c r="J126" s="260">
        <f>(V126+X126+AA126)/'Logistics record '!$AD$1</f>
        <v>15.116015418335726</v>
      </c>
      <c r="K126" s="260">
        <f>W126/'Logistics record '!$AD$1</f>
        <v>0</v>
      </c>
      <c r="L126" s="260">
        <f>Y126/'Logistics record '!$AD$1</f>
        <v>0</v>
      </c>
      <c r="M126" s="260">
        <f>AF126/'Logistics record '!$AD$1</f>
        <v>0</v>
      </c>
      <c r="N126" s="260" t="str" cm="1">
        <f t="array" ref="N126">_xlfn.IFS(
    OR(UPPER(S126)="AIR", UPPER(S126)="CPN"), "AIR",
    UPPER(S126)="TC", "LOCAL",
    TRUE, "SEA"
)</f>
        <v>AIR</v>
      </c>
      <c r="O126" s="260">
        <f t="shared" si="10"/>
        <v>15.116015418335726</v>
      </c>
      <c r="P126" s="184" t="s">
        <v>935</v>
      </c>
      <c r="Q126" s="185">
        <v>108301127060</v>
      </c>
      <c r="R126" s="186">
        <v>46175</v>
      </c>
      <c r="S126" s="187" t="s">
        <v>928</v>
      </c>
      <c r="T126" s="188">
        <v>45.9</v>
      </c>
      <c r="U126" s="188"/>
      <c r="V126" s="189">
        <v>400000</v>
      </c>
      <c r="W126" s="190"/>
      <c r="X126" s="190"/>
      <c r="Y126" s="190"/>
      <c r="Z126" s="189">
        <f t="shared" si="6"/>
        <v>400000</v>
      </c>
      <c r="AA126" s="189">
        <v>0</v>
      </c>
      <c r="AB126" s="189">
        <f t="shared" si="11"/>
        <v>400000</v>
      </c>
      <c r="AC126" s="189"/>
      <c r="AD126" s="190"/>
      <c r="AE126" s="190"/>
      <c r="AF126" s="191">
        <f t="shared" si="7"/>
        <v>0</v>
      </c>
      <c r="AG126" s="190">
        <f t="shared" si="8"/>
        <v>400000</v>
      </c>
      <c r="AH126" s="190"/>
      <c r="AI126" s="192" t="str">
        <f>VLOOKUP(Q126,[3]Sheet1!B$11:G$1489,6,0)</f>
        <v>E11</v>
      </c>
      <c r="GK126" s="194"/>
      <c r="GL126" s="195"/>
      <c r="GM126" s="196"/>
      <c r="GN126" s="197"/>
      <c r="GO126" s="198"/>
      <c r="GP126" s="199"/>
      <c r="GQ126" s="200"/>
      <c r="GR126" s="201"/>
      <c r="GS126" s="60"/>
      <c r="GT126" s="202"/>
      <c r="GU126" s="202"/>
      <c r="GV126" s="202"/>
      <c r="GW126" s="202"/>
      <c r="GX126" s="203"/>
      <c r="HA126" s="194"/>
      <c r="HB126" s="195"/>
      <c r="HC126" s="196"/>
      <c r="HD126" s="197"/>
      <c r="HE126" s="198"/>
      <c r="HF126" s="199"/>
      <c r="HG126" s="200"/>
      <c r="HH126" s="201"/>
      <c r="HI126" s="60"/>
      <c r="HJ126" s="202"/>
      <c r="HK126" s="202"/>
      <c r="HL126" s="202"/>
      <c r="HM126" s="202"/>
      <c r="HN126" s="203"/>
    </row>
    <row r="127" spans="1:222" ht="16.5" customHeight="1">
      <c r="A127" s="181">
        <v>124</v>
      </c>
      <c r="B127" s="182">
        <v>871782346380</v>
      </c>
      <c r="C127" s="598" t="s">
        <v>2367</v>
      </c>
      <c r="D127" s="184" t="s">
        <v>2368</v>
      </c>
      <c r="E127" s="184" t="str">
        <f t="shared" si="9"/>
        <v>Import</v>
      </c>
      <c r="F127" s="720" t="str" cm="1">
        <f t="array" ref="F127">_xlfn.IFS(
  OR(AI127="E11", AI127="E15"), "Raw materials",
  OR(AI127="E13", AI127="G13"), "Equipments + Toolings",
  TRUE, RIGHT(C127, 8)
)</f>
        <v>Raw materials</v>
      </c>
      <c r="G127" s="541" t="str" cm="1">
        <f t="array" ref="G127">IF(E127="Import",
  IFERROR(
    _xlfn.IFS(
      VLOOKUP(B127,[1]Material!F$5:U$90000,16,0)="LUC","Lucid",
      VLOOKUP(B127,[1]Material!F$5:U$90000,16,0)="FMC","FORD",
      OR(VLOOKUP(B127,[1]Material!F$5:U$90000,16,0)="PUR",VLOOKUP(B127,[1]Material!F$5:U$90000,16,0)="HLO"),"PURE",
      VLOOKUP(B127,[1]Material!F$5:U$90000,16,0)="AIC","AIC",
      OR(VLOOKUP(B127,[1]Material!F$5:U$90000,16,0)="AGI",VLOOKUP(B127,[1]Material!F$5:U$90000,16,0)="AGIGA"),"AGIGA",
      OR(LEFT(VLOOKUP(B127,[1]Material!F$5:U$90000,16,0),3)="EF-",VLOOKUP(B127,[1]Material!F$5:U$90000,16,0)="EFI"),"EFI",
      AND(ISNUMBER(VLOOKUP(B127,[1]Material!F$5:U$90000,16,0)),VLOOKUP(B127,[1]Material!F$5:U$90000,16,0)&gt;=100,VLOOKUP(B127,[1]Material!F$5:U$90000,16,0)&lt;=999,VLOOKUP(B127,[1]Material!F$5:U$90000,16,0)=INT(VLOOKUP(B127,[1]Material!F$5:U$90000,16,0))),"OEM",
      TRUE,""
    ),
    "không tìm thấy trong file Import"
  ),
  VLOOKUP(F127,'[2]Export shipment'!B:Y,24,0)
)</f>
        <v>PURE</v>
      </c>
      <c r="H127" s="184"/>
      <c r="I127" s="184"/>
      <c r="J127" s="260">
        <f>(V127+X127+AA127)/'Logistics record '!$AD$1</f>
        <v>15.116015418335726</v>
      </c>
      <c r="K127" s="260">
        <f>W127/'Logistics record '!$AD$1</f>
        <v>0</v>
      </c>
      <c r="L127" s="260">
        <f>Y127/'Logistics record '!$AD$1</f>
        <v>0</v>
      </c>
      <c r="M127" s="260">
        <f>AF127/'Logistics record '!$AD$1</f>
        <v>0</v>
      </c>
      <c r="N127" s="260" t="str" cm="1">
        <f t="array" ref="N127">_xlfn.IFS(
    OR(UPPER(S127)="AIR", UPPER(S127)="CPN"), "AIR",
    UPPER(S127)="TC", "LOCAL",
    TRUE, "SEA"
)</f>
        <v>AIR</v>
      </c>
      <c r="O127" s="260">
        <f t="shared" si="10"/>
        <v>15.116015418335726</v>
      </c>
      <c r="P127" s="184" t="s">
        <v>939</v>
      </c>
      <c r="Q127" s="185">
        <v>108301247020</v>
      </c>
      <c r="R127" s="186">
        <v>46175</v>
      </c>
      <c r="S127" s="187" t="s">
        <v>928</v>
      </c>
      <c r="T127" s="188">
        <v>3.4</v>
      </c>
      <c r="U127" s="188"/>
      <c r="V127" s="189">
        <v>400000</v>
      </c>
      <c r="W127" s="190"/>
      <c r="X127" s="190"/>
      <c r="Y127" s="190"/>
      <c r="Z127" s="189">
        <f t="shared" si="6"/>
        <v>400000</v>
      </c>
      <c r="AA127" s="189">
        <v>0</v>
      </c>
      <c r="AB127" s="189">
        <f t="shared" si="11"/>
        <v>400000</v>
      </c>
      <c r="AC127" s="189"/>
      <c r="AD127" s="190"/>
      <c r="AE127" s="190"/>
      <c r="AF127" s="191">
        <f t="shared" si="7"/>
        <v>0</v>
      </c>
      <c r="AG127" s="190">
        <f t="shared" si="8"/>
        <v>400000</v>
      </c>
      <c r="AH127" s="190"/>
      <c r="AI127" s="192" t="str">
        <f>VLOOKUP(Q127,[3]Sheet1!B$11:G$1489,6,0)</f>
        <v>E11</v>
      </c>
      <c r="GK127" s="194"/>
      <c r="GL127" s="195"/>
      <c r="GM127" s="196"/>
      <c r="GN127" s="197"/>
      <c r="GO127" s="198"/>
      <c r="GP127" s="199"/>
      <c r="GQ127" s="200"/>
      <c r="GR127" s="201"/>
      <c r="GS127" s="60"/>
      <c r="GT127" s="202"/>
      <c r="GU127" s="202"/>
      <c r="GV127" s="202"/>
      <c r="GW127" s="202"/>
      <c r="GX127" s="203"/>
      <c r="HA127" s="194"/>
      <c r="HB127" s="195"/>
      <c r="HC127" s="196"/>
      <c r="HD127" s="197"/>
      <c r="HE127" s="198"/>
      <c r="HF127" s="199"/>
      <c r="HG127" s="200"/>
      <c r="HH127" s="201"/>
      <c r="HI127" s="60"/>
      <c r="HJ127" s="202"/>
      <c r="HK127" s="202"/>
      <c r="HL127" s="202"/>
      <c r="HM127" s="202"/>
      <c r="HN127" s="203"/>
    </row>
    <row r="128" spans="1:222" ht="16.5" customHeight="1">
      <c r="A128" s="181">
        <v>125</v>
      </c>
      <c r="B128" s="182">
        <v>809262197260</v>
      </c>
      <c r="C128" s="183" t="s">
        <v>2369</v>
      </c>
      <c r="D128" s="184" t="s">
        <v>1588</v>
      </c>
      <c r="E128" s="184" t="str">
        <f t="shared" si="9"/>
        <v>Import</v>
      </c>
      <c r="F128" s="720" t="str" cm="1">
        <f t="array" ref="F128">_xlfn.IFS(
  OR(AI128="E11", AI128="E15"), "Raw materials",
  OR(AI128="E13", AI128="G13"), "Equipments + Toolings",
  TRUE, RIGHT(C128, 8)
)</f>
        <v>Raw materials</v>
      </c>
      <c r="G128" s="541" t="str" cm="1">
        <f t="array" ref="G128">IF(E128="Import",
  IFERROR(
    _xlfn.IFS(
      VLOOKUP(B128,[1]Material!F$5:U$90000,16,0)="LUC","Lucid",
      VLOOKUP(B128,[1]Material!F$5:U$90000,16,0)="FMC","FORD",
      OR(VLOOKUP(B128,[1]Material!F$5:U$90000,16,0)="PUR",VLOOKUP(B128,[1]Material!F$5:U$90000,16,0)="HLO"),"PURE",
      VLOOKUP(B128,[1]Material!F$5:U$90000,16,0)="AIC","AIC",
      OR(VLOOKUP(B128,[1]Material!F$5:U$90000,16,0)="AGI",VLOOKUP(B128,[1]Material!F$5:U$90000,16,0)="AGIGA"),"AGIGA",
      OR(LEFT(VLOOKUP(B128,[1]Material!F$5:U$90000,16,0),3)="EF-",VLOOKUP(B128,[1]Material!F$5:U$90000,16,0)="EFI"),"EFI",
      AND(ISNUMBER(VLOOKUP(B128,[1]Material!F$5:U$90000,16,0)),VLOOKUP(B128,[1]Material!F$5:U$90000,16,0)&gt;=100,VLOOKUP(B128,[1]Material!F$5:U$90000,16,0)&lt;=999,VLOOKUP(B128,[1]Material!F$5:U$90000,16,0)=INT(VLOOKUP(B128,[1]Material!F$5:U$90000,16,0))),"OEM",
      TRUE,""
    ),
    "không tìm thấy trong file Import"
  ),
  VLOOKUP(F128,'[2]Export shipment'!B:Y,24,0)
)</f>
        <v>OEM</v>
      </c>
      <c r="H128" s="184"/>
      <c r="I128" s="184"/>
      <c r="J128" s="260">
        <f>(V128+X128+AA128)/'Logistics record '!$AD$1</f>
        <v>15.116015418335726</v>
      </c>
      <c r="K128" s="260">
        <f>W128/'Logistics record '!$AD$1</f>
        <v>0</v>
      </c>
      <c r="L128" s="260">
        <f>Y128/'Logistics record '!$AD$1</f>
        <v>0</v>
      </c>
      <c r="M128" s="260">
        <f>AF128/'Logistics record '!$AD$1</f>
        <v>0</v>
      </c>
      <c r="N128" s="260" t="str" cm="1">
        <f t="array" ref="N128">_xlfn.IFS(
    OR(UPPER(S128)="AIR", UPPER(S128)="CPN"), "AIR",
    UPPER(S128)="TC", "LOCAL",
    TRUE, "SEA"
)</f>
        <v>AIR</v>
      </c>
      <c r="O128" s="260">
        <f t="shared" si="10"/>
        <v>15.116015418335726</v>
      </c>
      <c r="P128" s="184" t="s">
        <v>927</v>
      </c>
      <c r="Q128" s="185">
        <v>108301476510</v>
      </c>
      <c r="R128" s="186">
        <v>46175</v>
      </c>
      <c r="S128" s="187" t="s">
        <v>928</v>
      </c>
      <c r="T128" s="188">
        <v>31.7</v>
      </c>
      <c r="U128" s="188"/>
      <c r="V128" s="189">
        <v>400000</v>
      </c>
      <c r="W128" s="190"/>
      <c r="X128" s="190"/>
      <c r="Y128" s="190"/>
      <c r="Z128" s="189">
        <f t="shared" si="6"/>
        <v>400000</v>
      </c>
      <c r="AA128" s="189">
        <v>0</v>
      </c>
      <c r="AB128" s="189">
        <f t="shared" si="11"/>
        <v>400000</v>
      </c>
      <c r="AC128" s="189"/>
      <c r="AD128" s="190"/>
      <c r="AE128" s="190"/>
      <c r="AF128" s="191">
        <f t="shared" si="7"/>
        <v>0</v>
      </c>
      <c r="AG128" s="190">
        <f t="shared" si="8"/>
        <v>400000</v>
      </c>
      <c r="AH128" s="190"/>
      <c r="AI128" s="192" t="str">
        <f>VLOOKUP(Q128,[3]Sheet1!B$11:G$1489,6,0)</f>
        <v>E11</v>
      </c>
      <c r="GK128" s="194"/>
      <c r="GL128" s="195"/>
      <c r="GM128" s="196"/>
      <c r="GN128" s="197"/>
      <c r="GO128" s="198"/>
      <c r="GP128" s="199"/>
      <c r="GQ128" s="200"/>
      <c r="GR128" s="201"/>
      <c r="GS128" s="60"/>
      <c r="GT128" s="202"/>
      <c r="GU128" s="202"/>
      <c r="GV128" s="202"/>
      <c r="GW128" s="202"/>
      <c r="GX128" s="203"/>
      <c r="HA128" s="194"/>
      <c r="HB128" s="195"/>
      <c r="HC128" s="196"/>
      <c r="HD128" s="197"/>
      <c r="HE128" s="198"/>
      <c r="HF128" s="199"/>
      <c r="HG128" s="200"/>
      <c r="HH128" s="201"/>
      <c r="HI128" s="60"/>
      <c r="HJ128" s="202"/>
      <c r="HK128" s="202"/>
      <c r="HL128" s="202"/>
      <c r="HM128" s="202"/>
      <c r="HN128" s="203"/>
    </row>
    <row r="129" spans="1:222" ht="16.5" customHeight="1">
      <c r="A129" s="181">
        <v>126</v>
      </c>
      <c r="B129" s="182">
        <v>381228856071</v>
      </c>
      <c r="C129" s="598" t="s">
        <v>2370</v>
      </c>
      <c r="D129" s="184" t="s">
        <v>1493</v>
      </c>
      <c r="E129" s="184" t="str">
        <f t="shared" si="9"/>
        <v>Import</v>
      </c>
      <c r="F129" s="720" t="str" cm="1">
        <f t="array" ref="F129">_xlfn.IFS(
  OR(AI129="E11", AI129="E15"), "Raw materials",
  OR(AI129="E13", AI129="G13"), "Equipments + Toolings",
  TRUE, RIGHT(C129, 8)
)</f>
        <v>Raw materials</v>
      </c>
      <c r="G129" s="541" t="str" cm="1">
        <f t="array" ref="G129">IF(E129="Import",
  IFERROR(
    _xlfn.IFS(
      VLOOKUP(B129,[1]Material!F$5:U$90000,16,0)="LUC","Lucid",
      VLOOKUP(B129,[1]Material!F$5:U$90000,16,0)="FMC","FORD",
      OR(VLOOKUP(B129,[1]Material!F$5:U$90000,16,0)="PUR",VLOOKUP(B129,[1]Material!F$5:U$90000,16,0)="HLO"),"PURE",
      VLOOKUP(B129,[1]Material!F$5:U$90000,16,0)="AIC","AIC",
      OR(VLOOKUP(B129,[1]Material!F$5:U$90000,16,0)="AGI",VLOOKUP(B129,[1]Material!F$5:U$90000,16,0)="AGIGA"),"AGIGA",
      OR(LEFT(VLOOKUP(B129,[1]Material!F$5:U$90000,16,0),3)="EF-",VLOOKUP(B129,[1]Material!F$5:U$90000,16,0)="EFI"),"EFI",
      AND(ISNUMBER(VLOOKUP(B129,[1]Material!F$5:U$90000,16,0)),VLOOKUP(B129,[1]Material!F$5:U$90000,16,0)&gt;=100,VLOOKUP(B129,[1]Material!F$5:U$90000,16,0)&lt;=999,VLOOKUP(B129,[1]Material!F$5:U$90000,16,0)=INT(VLOOKUP(B129,[1]Material!F$5:U$90000,16,0))),"OEM",
      TRUE,""
    ),
    "không tìm thấy trong file Import"
  ),
  VLOOKUP(F129,'[2]Export shipment'!B:Y,24,0)
)</f>
        <v>OEM</v>
      </c>
      <c r="H129" s="184"/>
      <c r="I129" s="184"/>
      <c r="J129" s="260">
        <f>(V129+X129+AA129)/'Logistics record '!$AD$1</f>
        <v>15.116015418335726</v>
      </c>
      <c r="K129" s="260">
        <f>W129/'Logistics record '!$AD$1</f>
        <v>0</v>
      </c>
      <c r="L129" s="260">
        <f>Y129/'Logistics record '!$AD$1</f>
        <v>0</v>
      </c>
      <c r="M129" s="260">
        <f>AF129/'Logistics record '!$AD$1</f>
        <v>0</v>
      </c>
      <c r="N129" s="260" t="str" cm="1">
        <f t="array" ref="N129">_xlfn.IFS(
    OR(UPPER(S129)="AIR", UPPER(S129)="CPN"), "AIR",
    UPPER(S129)="TC", "LOCAL",
    TRUE, "SEA"
)</f>
        <v>AIR</v>
      </c>
      <c r="O129" s="260">
        <f t="shared" si="10"/>
        <v>15.116015418335726</v>
      </c>
      <c r="P129" s="184" t="s">
        <v>935</v>
      </c>
      <c r="Q129" s="185">
        <v>108301533760</v>
      </c>
      <c r="R129" s="186">
        <v>46175</v>
      </c>
      <c r="S129" s="187" t="s">
        <v>928</v>
      </c>
      <c r="T129" s="188">
        <v>0.60000000000000009</v>
      </c>
      <c r="U129" s="188"/>
      <c r="V129" s="189">
        <v>400000</v>
      </c>
      <c r="W129" s="190"/>
      <c r="X129" s="190"/>
      <c r="Y129" s="190"/>
      <c r="Z129" s="189">
        <f t="shared" si="6"/>
        <v>400000</v>
      </c>
      <c r="AA129" s="189">
        <v>0</v>
      </c>
      <c r="AB129" s="189">
        <f t="shared" si="11"/>
        <v>400000</v>
      </c>
      <c r="AC129" s="189"/>
      <c r="AD129" s="190"/>
      <c r="AE129" s="190"/>
      <c r="AF129" s="191">
        <f t="shared" si="7"/>
        <v>0</v>
      </c>
      <c r="AG129" s="190">
        <f t="shared" si="8"/>
        <v>400000</v>
      </c>
      <c r="AH129" s="190"/>
      <c r="AI129" s="192" t="str">
        <f>VLOOKUP(Q129,[3]Sheet1!B$11:G$1489,6,0)</f>
        <v>E11</v>
      </c>
      <c r="GK129" s="194"/>
      <c r="GL129" s="195"/>
      <c r="GM129" s="196"/>
      <c r="GN129" s="197"/>
      <c r="GO129" s="198"/>
      <c r="GP129" s="199"/>
      <c r="GQ129" s="200"/>
      <c r="GR129" s="201"/>
      <c r="GS129" s="60"/>
      <c r="GT129" s="202"/>
      <c r="GU129" s="202"/>
      <c r="GV129" s="202"/>
      <c r="GW129" s="202"/>
      <c r="GX129" s="203"/>
      <c r="HA129" s="194"/>
      <c r="HB129" s="195"/>
      <c r="HC129" s="196"/>
      <c r="HD129" s="197"/>
      <c r="HE129" s="198"/>
      <c r="HF129" s="199"/>
      <c r="HG129" s="200"/>
      <c r="HH129" s="201"/>
      <c r="HI129" s="60"/>
      <c r="HJ129" s="202"/>
      <c r="HK129" s="202"/>
      <c r="HL129" s="202"/>
      <c r="HM129" s="202"/>
      <c r="HN129" s="203"/>
    </row>
    <row r="130" spans="1:222" ht="16.5" customHeight="1">
      <c r="A130" s="181">
        <v>127</v>
      </c>
      <c r="B130" s="182">
        <v>489101274940</v>
      </c>
      <c r="C130" s="183" t="s">
        <v>2371</v>
      </c>
      <c r="D130" s="184" t="s">
        <v>1711</v>
      </c>
      <c r="E130" s="184" t="str">
        <f t="shared" si="9"/>
        <v>Import</v>
      </c>
      <c r="F130" s="720" t="str" cm="1">
        <f t="array" ref="F130">_xlfn.IFS(
  OR(AI130="E11", AI130="E15"), "Raw materials",
  OR(AI130="E13", AI130="G13"), "Equipments + Toolings",
  TRUE, RIGHT(C130, 8)
)</f>
        <v>Raw materials</v>
      </c>
      <c r="G130" s="541" t="str" cm="1">
        <f t="array" ref="G130">IF(E130="Import",
  IFERROR(
    _xlfn.IFS(
      VLOOKUP(B130,[1]Material!F$5:U$90000,16,0)="LUC","Lucid",
      VLOOKUP(B130,[1]Material!F$5:U$90000,16,0)="FMC","FORD",
      OR(VLOOKUP(B130,[1]Material!F$5:U$90000,16,0)="PUR",VLOOKUP(B130,[1]Material!F$5:U$90000,16,0)="HLO"),"PURE",
      VLOOKUP(B130,[1]Material!F$5:U$90000,16,0)="AIC","AIC",
      OR(VLOOKUP(B130,[1]Material!F$5:U$90000,16,0)="AGI",VLOOKUP(B130,[1]Material!F$5:U$90000,16,0)="AGIGA"),"AGIGA",
      OR(LEFT(VLOOKUP(B130,[1]Material!F$5:U$90000,16,0),3)="EF-",VLOOKUP(B130,[1]Material!F$5:U$90000,16,0)="EFI"),"EFI",
      AND(ISNUMBER(VLOOKUP(B130,[1]Material!F$5:U$90000,16,0)),VLOOKUP(B130,[1]Material!F$5:U$90000,16,0)&gt;=100,VLOOKUP(B130,[1]Material!F$5:U$90000,16,0)&lt;=999,VLOOKUP(B130,[1]Material!F$5:U$90000,16,0)=INT(VLOOKUP(B130,[1]Material!F$5:U$90000,16,0))),"OEM",
      TRUE,""
    ),
    "không tìm thấy trong file Import"
  ),
  VLOOKUP(F130,'[2]Export shipment'!B:Y,24,0)
)</f>
        <v>EFI</v>
      </c>
      <c r="H130" s="184"/>
      <c r="I130" s="184"/>
      <c r="J130" s="260">
        <f>(V130+X130+AA130)/'Logistics record '!$AD$1</f>
        <v>15.116015418335726</v>
      </c>
      <c r="K130" s="260">
        <f>W130/'Logistics record '!$AD$1</f>
        <v>0</v>
      </c>
      <c r="L130" s="260">
        <f>Y130/'Logistics record '!$AD$1</f>
        <v>0</v>
      </c>
      <c r="M130" s="260">
        <f>AF130/'Logistics record '!$AD$1</f>
        <v>0</v>
      </c>
      <c r="N130" s="260" t="str" cm="1">
        <f t="array" ref="N130">_xlfn.IFS(
    OR(UPPER(S130)="AIR", UPPER(S130)="CPN"), "AIR",
    UPPER(S130)="TC", "LOCAL",
    TRUE, "SEA"
)</f>
        <v>AIR</v>
      </c>
      <c r="O130" s="260">
        <f t="shared" si="10"/>
        <v>15.116015418335726</v>
      </c>
      <c r="P130" s="184" t="s">
        <v>1992</v>
      </c>
      <c r="Q130" s="185">
        <v>108301537410</v>
      </c>
      <c r="R130" s="186">
        <v>46175</v>
      </c>
      <c r="S130" s="187" t="s">
        <v>928</v>
      </c>
      <c r="T130" s="188">
        <v>1.1000000000000001</v>
      </c>
      <c r="U130" s="188"/>
      <c r="V130" s="189">
        <v>400000</v>
      </c>
      <c r="W130" s="190"/>
      <c r="X130" s="190"/>
      <c r="Y130" s="190"/>
      <c r="Z130" s="189">
        <f t="shared" si="6"/>
        <v>400000</v>
      </c>
      <c r="AA130" s="189">
        <v>0</v>
      </c>
      <c r="AB130" s="189">
        <f t="shared" si="11"/>
        <v>400000</v>
      </c>
      <c r="AC130" s="189"/>
      <c r="AD130" s="190"/>
      <c r="AE130" s="190"/>
      <c r="AF130" s="191">
        <f t="shared" si="7"/>
        <v>0</v>
      </c>
      <c r="AG130" s="190">
        <f t="shared" si="8"/>
        <v>400000</v>
      </c>
      <c r="AH130" s="190"/>
      <c r="AI130" s="192" t="str">
        <f>VLOOKUP(Q130,[3]Sheet1!B$11:G$1489,6,0)</f>
        <v>E11</v>
      </c>
      <c r="GK130" s="194"/>
      <c r="GL130" s="195"/>
      <c r="GM130" s="196"/>
      <c r="GN130" s="197"/>
      <c r="GO130" s="198"/>
      <c r="GP130" s="199"/>
      <c r="GQ130" s="200"/>
      <c r="GR130" s="201"/>
      <c r="GS130" s="60"/>
      <c r="GT130" s="202"/>
      <c r="GU130" s="202"/>
      <c r="GV130" s="202"/>
      <c r="GW130" s="202"/>
      <c r="GX130" s="203"/>
      <c r="HA130" s="194"/>
      <c r="HB130" s="195"/>
      <c r="HC130" s="196"/>
      <c r="HD130" s="197"/>
      <c r="HE130" s="198"/>
      <c r="HF130" s="199"/>
      <c r="HG130" s="200"/>
      <c r="HH130" s="201"/>
      <c r="HI130" s="60"/>
      <c r="HJ130" s="202"/>
      <c r="HK130" s="202"/>
      <c r="HL130" s="202"/>
      <c r="HM130" s="202"/>
      <c r="HN130" s="203"/>
    </row>
    <row r="131" spans="1:222" ht="16.5" customHeight="1">
      <c r="A131" s="181">
        <v>128</v>
      </c>
      <c r="B131" s="182">
        <v>500292632609</v>
      </c>
      <c r="C131" s="598" t="s">
        <v>2372</v>
      </c>
      <c r="D131" s="184" t="s">
        <v>945</v>
      </c>
      <c r="E131" s="184" t="str">
        <f t="shared" si="9"/>
        <v>Import</v>
      </c>
      <c r="F131" s="720" t="str" cm="1">
        <f t="array" ref="F131">_xlfn.IFS(
  OR(AI131="E11", AI131="E15"), "Raw materials",
  OR(AI131="E13", AI131="G13"), "Equipments + Toolings",
  TRUE, RIGHT(C131, 8)
)</f>
        <v>Raw materials</v>
      </c>
      <c r="G131" s="541" t="str" cm="1">
        <f t="array" ref="G131">IF(E131="Import",
  IFERROR(
    _xlfn.IFS(
      VLOOKUP(B131,[1]Material!F$5:U$90000,16,0)="LUC","Lucid",
      VLOOKUP(B131,[1]Material!F$5:U$90000,16,0)="FMC","FORD",
      OR(VLOOKUP(B131,[1]Material!F$5:U$90000,16,0)="PUR",VLOOKUP(B131,[1]Material!F$5:U$90000,16,0)="HLO"),"PURE",
      VLOOKUP(B131,[1]Material!F$5:U$90000,16,0)="AIC","AIC",
      OR(VLOOKUP(B131,[1]Material!F$5:U$90000,16,0)="AGI",VLOOKUP(B131,[1]Material!F$5:U$90000,16,0)="AGIGA"),"AGIGA",
      OR(LEFT(VLOOKUP(B131,[1]Material!F$5:U$90000,16,0),3)="EF-",VLOOKUP(B131,[1]Material!F$5:U$90000,16,0)="EFI"),"EFI",
      AND(ISNUMBER(VLOOKUP(B131,[1]Material!F$5:U$90000,16,0)),VLOOKUP(B131,[1]Material!F$5:U$90000,16,0)&gt;=100,VLOOKUP(B131,[1]Material!F$5:U$90000,16,0)&lt;=999,VLOOKUP(B131,[1]Material!F$5:U$90000,16,0)=INT(VLOOKUP(B131,[1]Material!F$5:U$90000,16,0))),"OEM",
      TRUE,""
    ),
    "không tìm thấy trong file Import"
  ),
  VLOOKUP(F131,'[2]Export shipment'!B:Y,24,0)
)</f>
        <v>EFI</v>
      </c>
      <c r="H131" s="184"/>
      <c r="I131" s="184"/>
      <c r="J131" s="260">
        <f>(V131+X131+AA131)/'Logistics record '!$AD$1</f>
        <v>15.116015418335726</v>
      </c>
      <c r="K131" s="260">
        <f>W131/'Logistics record '!$AD$1</f>
        <v>0</v>
      </c>
      <c r="L131" s="260">
        <f>Y131/'Logistics record '!$AD$1</f>
        <v>0</v>
      </c>
      <c r="M131" s="260">
        <f>AF131/'Logistics record '!$AD$1</f>
        <v>0</v>
      </c>
      <c r="N131" s="260" t="str" cm="1">
        <f t="array" ref="N131">_xlfn.IFS(
    OR(UPPER(S131)="AIR", UPPER(S131)="CPN"), "AIR",
    UPPER(S131)="TC", "LOCAL",
    TRUE, "SEA"
)</f>
        <v>AIR</v>
      </c>
      <c r="O131" s="260">
        <f t="shared" si="10"/>
        <v>15.116015418335726</v>
      </c>
      <c r="P131" s="184" t="s">
        <v>946</v>
      </c>
      <c r="Q131" s="185">
        <v>108301736800</v>
      </c>
      <c r="R131" s="186">
        <v>46175</v>
      </c>
      <c r="S131" s="187" t="s">
        <v>928</v>
      </c>
      <c r="T131" s="188">
        <v>0.9</v>
      </c>
      <c r="U131" s="188"/>
      <c r="V131" s="189">
        <v>400000</v>
      </c>
      <c r="W131" s="190"/>
      <c r="X131" s="190"/>
      <c r="Y131" s="190"/>
      <c r="Z131" s="189">
        <f t="shared" si="6"/>
        <v>400000</v>
      </c>
      <c r="AA131" s="189">
        <v>0</v>
      </c>
      <c r="AB131" s="189">
        <f t="shared" si="11"/>
        <v>400000</v>
      </c>
      <c r="AC131" s="189"/>
      <c r="AD131" s="190"/>
      <c r="AE131" s="190"/>
      <c r="AF131" s="191">
        <f t="shared" si="7"/>
        <v>0</v>
      </c>
      <c r="AG131" s="190">
        <f t="shared" si="8"/>
        <v>400000</v>
      </c>
      <c r="AH131" s="190"/>
      <c r="AI131" s="192" t="str">
        <f>VLOOKUP(Q131,[3]Sheet1!B$11:G$1489,6,0)</f>
        <v>E11</v>
      </c>
      <c r="GK131" s="194"/>
      <c r="GL131" s="195"/>
      <c r="GM131" s="196"/>
      <c r="GN131" s="197"/>
      <c r="GO131" s="198"/>
      <c r="GP131" s="199"/>
      <c r="GQ131" s="200"/>
      <c r="GR131" s="201"/>
      <c r="GS131" s="60"/>
      <c r="GT131" s="202"/>
      <c r="GU131" s="202"/>
      <c r="GV131" s="202"/>
      <c r="GW131" s="202"/>
      <c r="GX131" s="203"/>
      <c r="HA131" s="194"/>
      <c r="HB131" s="195"/>
      <c r="HC131" s="196"/>
      <c r="HD131" s="197"/>
      <c r="HE131" s="198"/>
      <c r="HF131" s="199"/>
      <c r="HG131" s="200"/>
      <c r="HH131" s="201"/>
      <c r="HI131" s="60"/>
      <c r="HJ131" s="202"/>
      <c r="HK131" s="202"/>
      <c r="HL131" s="202"/>
      <c r="HM131" s="202"/>
      <c r="HN131" s="203"/>
    </row>
    <row r="132" spans="1:222" ht="16.5" customHeight="1">
      <c r="A132" s="181">
        <v>129</v>
      </c>
      <c r="B132" s="182">
        <v>493602838183</v>
      </c>
      <c r="C132" s="183" t="s">
        <v>2373</v>
      </c>
      <c r="D132" s="184" t="s">
        <v>972</v>
      </c>
      <c r="E132" s="184" t="str">
        <f t="shared" si="9"/>
        <v>Import</v>
      </c>
      <c r="F132" s="720" t="str" cm="1">
        <f t="array" ref="F132">_xlfn.IFS(
  OR(AI132="E11", AI132="E15"), "Raw materials",
  OR(AI132="E13", AI132="G13"), "Equipments + Toolings",
  TRUE, RIGHT(C132, 8)
)</f>
        <v>Raw materials</v>
      </c>
      <c r="G132" s="541" t="str" cm="1">
        <f t="array" ref="G132">IF(E132="Import",
  IFERROR(
    _xlfn.IFS(
      VLOOKUP(B132,[1]Material!F$5:U$90000,16,0)="LUC","Lucid",
      VLOOKUP(B132,[1]Material!F$5:U$90000,16,0)="FMC","FORD",
      OR(VLOOKUP(B132,[1]Material!F$5:U$90000,16,0)="PUR",VLOOKUP(B132,[1]Material!F$5:U$90000,16,0)="HLO"),"PURE",
      VLOOKUP(B132,[1]Material!F$5:U$90000,16,0)="AIC","AIC",
      OR(VLOOKUP(B132,[1]Material!F$5:U$90000,16,0)="AGI",VLOOKUP(B132,[1]Material!F$5:U$90000,16,0)="AGIGA"),"AGIGA",
      OR(LEFT(VLOOKUP(B132,[1]Material!F$5:U$90000,16,0),3)="EF-",VLOOKUP(B132,[1]Material!F$5:U$90000,16,0)="EFI"),"EFI",
      AND(ISNUMBER(VLOOKUP(B132,[1]Material!F$5:U$90000,16,0)),VLOOKUP(B132,[1]Material!F$5:U$90000,16,0)&gt;=100,VLOOKUP(B132,[1]Material!F$5:U$90000,16,0)&lt;=999,VLOOKUP(B132,[1]Material!F$5:U$90000,16,0)=INT(VLOOKUP(B132,[1]Material!F$5:U$90000,16,0))),"OEM",
      TRUE,""
    ),
    "không tìm thấy trong file Import"
  ),
  VLOOKUP(F132,'[2]Export shipment'!B:Y,24,0)
)</f>
        <v>EFI</v>
      </c>
      <c r="H132" s="184"/>
      <c r="I132" s="184"/>
      <c r="J132" s="260">
        <f>(V132+X132+AA132)/'Logistics record '!$AD$1</f>
        <v>15.116015418335726</v>
      </c>
      <c r="K132" s="260">
        <f>W132/'Logistics record '!$AD$1</f>
        <v>0</v>
      </c>
      <c r="L132" s="260">
        <f>Y132/'Logistics record '!$AD$1</f>
        <v>0</v>
      </c>
      <c r="M132" s="260">
        <f>AF132/'Logistics record '!$AD$1</f>
        <v>0</v>
      </c>
      <c r="N132" s="260" t="str" cm="1">
        <f t="array" ref="N132">_xlfn.IFS(
    OR(UPPER(S132)="AIR", UPPER(S132)="CPN"), "AIR",
    UPPER(S132)="TC", "LOCAL",
    TRUE, "SEA"
)</f>
        <v>AIR</v>
      </c>
      <c r="O132" s="260">
        <f t="shared" si="10"/>
        <v>15.116015418335726</v>
      </c>
      <c r="P132" s="184" t="s">
        <v>935</v>
      </c>
      <c r="Q132" s="185">
        <v>108301788340</v>
      </c>
      <c r="R132" s="186">
        <v>46175</v>
      </c>
      <c r="S132" s="187" t="s">
        <v>928</v>
      </c>
      <c r="T132" s="188">
        <v>7.9</v>
      </c>
      <c r="U132" s="188"/>
      <c r="V132" s="189">
        <v>400000</v>
      </c>
      <c r="W132" s="190"/>
      <c r="X132" s="190"/>
      <c r="Y132" s="190"/>
      <c r="Z132" s="189">
        <f t="shared" ref="Z132:Z195" si="12">SUM(V132:Y132)</f>
        <v>400000</v>
      </c>
      <c r="AA132" s="189">
        <v>0</v>
      </c>
      <c r="AB132" s="189">
        <f t="shared" si="11"/>
        <v>400000</v>
      </c>
      <c r="AC132" s="189"/>
      <c r="AD132" s="190"/>
      <c r="AE132" s="190"/>
      <c r="AF132" s="191">
        <f t="shared" ref="AF132:AF195" si="13">+SUM(AC132:AE132)</f>
        <v>0</v>
      </c>
      <c r="AG132" s="190">
        <f t="shared" ref="AG132:AG195" si="14">+AF132+AB132</f>
        <v>400000</v>
      </c>
      <c r="AH132" s="190"/>
      <c r="AI132" s="192" t="str">
        <f>VLOOKUP(Q132,[3]Sheet1!B$11:G$1489,6,0)</f>
        <v>E11</v>
      </c>
      <c r="GK132" s="194"/>
      <c r="GL132" s="195"/>
      <c r="GM132" s="196"/>
      <c r="GN132" s="197"/>
      <c r="GO132" s="198"/>
      <c r="GP132" s="199"/>
      <c r="GQ132" s="200"/>
      <c r="GR132" s="201"/>
      <c r="GS132" s="60"/>
      <c r="GT132" s="202"/>
      <c r="GU132" s="202"/>
      <c r="GV132" s="202"/>
      <c r="GW132" s="202"/>
      <c r="GX132" s="203"/>
      <c r="HA132" s="194"/>
      <c r="HB132" s="195"/>
      <c r="HC132" s="196"/>
      <c r="HD132" s="197"/>
      <c r="HE132" s="198"/>
      <c r="HF132" s="199"/>
      <c r="HG132" s="200"/>
      <c r="HH132" s="201"/>
      <c r="HI132" s="60"/>
      <c r="HJ132" s="202"/>
      <c r="HK132" s="202"/>
      <c r="HL132" s="202"/>
      <c r="HM132" s="202"/>
      <c r="HN132" s="203"/>
    </row>
    <row r="133" spans="1:222" ht="16.5" customHeight="1">
      <c r="A133" s="181">
        <v>130</v>
      </c>
      <c r="B133" s="182">
        <v>492830109728</v>
      </c>
      <c r="C133" s="598" t="s">
        <v>2374</v>
      </c>
      <c r="D133" s="184" t="s">
        <v>968</v>
      </c>
      <c r="E133" s="184" t="str">
        <f t="shared" ref="E133:E196" si="15">IF(OR(AI133="E11", AI133="E13", AI133="E15", AI133="G13"), "Import", "Export")</f>
        <v>Import</v>
      </c>
      <c r="F133" s="720" t="str" cm="1">
        <f t="array" ref="F133">_xlfn.IFS(
  OR(AI133="E11", AI133="E15"), "Raw materials",
  OR(AI133="E13", AI133="G13"), "Equipments + Toolings",
  TRUE, RIGHT(C133, 8)
)</f>
        <v>Raw materials</v>
      </c>
      <c r="G133" s="541" t="str" cm="1">
        <f t="array" ref="G133">IF(E133="Import",
  IFERROR(
    _xlfn.IFS(
      VLOOKUP(B133,[1]Material!F$5:U$90000,16,0)="LUC","Lucid",
      VLOOKUP(B133,[1]Material!F$5:U$90000,16,0)="FMC","FORD",
      OR(VLOOKUP(B133,[1]Material!F$5:U$90000,16,0)="PUR",VLOOKUP(B133,[1]Material!F$5:U$90000,16,0)="HLO"),"PURE",
      VLOOKUP(B133,[1]Material!F$5:U$90000,16,0)="AIC","AIC",
      OR(VLOOKUP(B133,[1]Material!F$5:U$90000,16,0)="AGI",VLOOKUP(B133,[1]Material!F$5:U$90000,16,0)="AGIGA"),"AGIGA",
      OR(LEFT(VLOOKUP(B133,[1]Material!F$5:U$90000,16,0),3)="EF-",VLOOKUP(B133,[1]Material!F$5:U$90000,16,0)="EFI"),"EFI",
      AND(ISNUMBER(VLOOKUP(B133,[1]Material!F$5:U$90000,16,0)),VLOOKUP(B133,[1]Material!F$5:U$90000,16,0)&gt;=100,VLOOKUP(B133,[1]Material!F$5:U$90000,16,0)&lt;=999,VLOOKUP(B133,[1]Material!F$5:U$90000,16,0)=INT(VLOOKUP(B133,[1]Material!F$5:U$90000,16,0))),"OEM",
      TRUE,""
    ),
    "không tìm thấy trong file Import"
  ),
  VLOOKUP(F133,'[2]Export shipment'!B:Y,24,0)
)</f>
        <v>Lucid</v>
      </c>
      <c r="H133" s="184"/>
      <c r="I133" s="184"/>
      <c r="J133" s="260">
        <f>(V133+X133+AA133)/'Logistics record '!$AD$1</f>
        <v>15.116015418335726</v>
      </c>
      <c r="K133" s="260">
        <f>W133/'Logistics record '!$AD$1</f>
        <v>0</v>
      </c>
      <c r="L133" s="260">
        <f>Y133/'Logistics record '!$AD$1</f>
        <v>0</v>
      </c>
      <c r="M133" s="260">
        <f>AF133/'Logistics record '!$AD$1</f>
        <v>0</v>
      </c>
      <c r="N133" s="260" t="str" cm="1">
        <f t="array" ref="N133">_xlfn.IFS(
    OR(UPPER(S133)="AIR", UPPER(S133)="CPN"), "AIR",
    UPPER(S133)="TC", "LOCAL",
    TRUE, "SEA"
)</f>
        <v>AIR</v>
      </c>
      <c r="O133" s="260">
        <f t="shared" ref="O133:O196" si="16">M133+L133+K133+J133</f>
        <v>15.116015418335726</v>
      </c>
      <c r="P133" s="184" t="s">
        <v>935</v>
      </c>
      <c r="Q133" s="185">
        <v>108301839550</v>
      </c>
      <c r="R133" s="186">
        <v>46175</v>
      </c>
      <c r="S133" s="187" t="s">
        <v>928</v>
      </c>
      <c r="T133" s="188">
        <v>0.5</v>
      </c>
      <c r="U133" s="188"/>
      <c r="V133" s="189">
        <v>400000</v>
      </c>
      <c r="W133" s="190"/>
      <c r="X133" s="190"/>
      <c r="Y133" s="190"/>
      <c r="Z133" s="189">
        <f t="shared" si="12"/>
        <v>400000</v>
      </c>
      <c r="AA133" s="189">
        <v>0</v>
      </c>
      <c r="AB133" s="189">
        <f t="shared" ref="AB133:AB196" si="17">+AA133+Z133</f>
        <v>400000</v>
      </c>
      <c r="AC133" s="189"/>
      <c r="AD133" s="190"/>
      <c r="AE133" s="190"/>
      <c r="AF133" s="191">
        <f t="shared" si="13"/>
        <v>0</v>
      </c>
      <c r="AG133" s="190">
        <f t="shared" si="14"/>
        <v>400000</v>
      </c>
      <c r="AH133" s="190"/>
      <c r="AI133" s="192" t="str">
        <f>VLOOKUP(Q133,[3]Sheet1!B$11:G$1489,6,0)</f>
        <v>E11</v>
      </c>
      <c r="GK133" s="194"/>
      <c r="GL133" s="195"/>
      <c r="GM133" s="196"/>
      <c r="GN133" s="197"/>
      <c r="GO133" s="198"/>
      <c r="GP133" s="199"/>
      <c r="GQ133" s="200"/>
      <c r="GR133" s="201"/>
      <c r="GS133" s="60"/>
      <c r="GT133" s="202"/>
      <c r="GU133" s="202"/>
      <c r="GV133" s="202"/>
      <c r="GW133" s="202"/>
      <c r="GX133" s="203"/>
      <c r="HA133" s="194"/>
      <c r="HB133" s="195"/>
      <c r="HC133" s="196"/>
      <c r="HD133" s="197"/>
      <c r="HE133" s="198"/>
      <c r="HF133" s="199"/>
      <c r="HG133" s="200"/>
      <c r="HH133" s="201"/>
      <c r="HI133" s="60"/>
      <c r="HJ133" s="202"/>
      <c r="HK133" s="202"/>
      <c r="HL133" s="202"/>
      <c r="HM133" s="202"/>
      <c r="HN133" s="203"/>
    </row>
    <row r="134" spans="1:222" ht="16.5" customHeight="1">
      <c r="A134" s="181">
        <v>131</v>
      </c>
      <c r="B134" s="182">
        <v>871830794035</v>
      </c>
      <c r="C134" s="183" t="s">
        <v>2375</v>
      </c>
      <c r="D134" s="184" t="s">
        <v>648</v>
      </c>
      <c r="E134" s="184" t="str">
        <f t="shared" si="15"/>
        <v>Import</v>
      </c>
      <c r="F134" s="720" t="str" cm="1">
        <f t="array" ref="F134">_xlfn.IFS(
  OR(AI134="E11", AI134="E15"), "Raw materials",
  OR(AI134="E13", AI134="G13"), "Equipments + Toolings",
  TRUE, RIGHT(C134, 8)
)</f>
        <v>Raw materials</v>
      </c>
      <c r="G134" s="541" t="str" cm="1">
        <f t="array" ref="G134">IF(E134="Import",
  IFERROR(
    _xlfn.IFS(
      VLOOKUP(B134,[1]Material!F$5:U$90000,16,0)="LUC","Lucid",
      VLOOKUP(B134,[1]Material!F$5:U$90000,16,0)="FMC","FORD",
      OR(VLOOKUP(B134,[1]Material!F$5:U$90000,16,0)="PUR",VLOOKUP(B134,[1]Material!F$5:U$90000,16,0)="HLO"),"PURE",
      VLOOKUP(B134,[1]Material!F$5:U$90000,16,0)="AIC","AIC",
      OR(VLOOKUP(B134,[1]Material!F$5:U$90000,16,0)="AGI",VLOOKUP(B134,[1]Material!F$5:U$90000,16,0)="AGIGA"),"AGIGA",
      OR(LEFT(VLOOKUP(B134,[1]Material!F$5:U$90000,16,0),3)="EF-",VLOOKUP(B134,[1]Material!F$5:U$90000,16,0)="EFI"),"EFI",
      AND(ISNUMBER(VLOOKUP(B134,[1]Material!F$5:U$90000,16,0)),VLOOKUP(B134,[1]Material!F$5:U$90000,16,0)&gt;=100,VLOOKUP(B134,[1]Material!F$5:U$90000,16,0)&lt;=999,VLOOKUP(B134,[1]Material!F$5:U$90000,16,0)=INT(VLOOKUP(B134,[1]Material!F$5:U$90000,16,0))),"OEM",
      TRUE,""
    ),
    "không tìm thấy trong file Import"
  ),
  VLOOKUP(F134,'[2]Export shipment'!B:Y,24,0)
)</f>
        <v>PURE</v>
      </c>
      <c r="H134" s="184"/>
      <c r="I134" s="184"/>
      <c r="J134" s="260">
        <f>(V134+X134+AA134)/'Logistics record '!$AD$1</f>
        <v>15.116015418335726</v>
      </c>
      <c r="K134" s="260">
        <f>W134/'Logistics record '!$AD$1</f>
        <v>0</v>
      </c>
      <c r="L134" s="260">
        <f>Y134/'Logistics record '!$AD$1</f>
        <v>0</v>
      </c>
      <c r="M134" s="260">
        <f>AF134/'Logistics record '!$AD$1</f>
        <v>0</v>
      </c>
      <c r="N134" s="260" t="str" cm="1">
        <f t="array" ref="N134">_xlfn.IFS(
    OR(UPPER(S134)="AIR", UPPER(S134)="CPN"), "AIR",
    UPPER(S134)="TC", "LOCAL",
    TRUE, "SEA"
)</f>
        <v>AIR</v>
      </c>
      <c r="O134" s="260">
        <f t="shared" si="16"/>
        <v>15.116015418335726</v>
      </c>
      <c r="P134" s="184" t="s">
        <v>937</v>
      </c>
      <c r="Q134" s="185">
        <v>108301865340</v>
      </c>
      <c r="R134" s="186">
        <v>46175</v>
      </c>
      <c r="S134" s="187" t="s">
        <v>928</v>
      </c>
      <c r="T134" s="188">
        <v>1.4</v>
      </c>
      <c r="U134" s="188"/>
      <c r="V134" s="189">
        <v>400000</v>
      </c>
      <c r="W134" s="190"/>
      <c r="X134" s="190"/>
      <c r="Y134" s="190"/>
      <c r="Z134" s="189">
        <f t="shared" si="12"/>
        <v>400000</v>
      </c>
      <c r="AA134" s="189">
        <v>0</v>
      </c>
      <c r="AB134" s="189">
        <f t="shared" si="17"/>
        <v>400000</v>
      </c>
      <c r="AC134" s="189"/>
      <c r="AD134" s="190"/>
      <c r="AE134" s="190"/>
      <c r="AF134" s="191">
        <f t="shared" si="13"/>
        <v>0</v>
      </c>
      <c r="AG134" s="190">
        <f t="shared" si="14"/>
        <v>400000</v>
      </c>
      <c r="AH134" s="190"/>
      <c r="AI134" s="192" t="str">
        <f>VLOOKUP(Q134,[3]Sheet1!B$11:G$1489,6,0)</f>
        <v>E11</v>
      </c>
      <c r="GK134" s="194"/>
      <c r="GL134" s="195"/>
      <c r="GM134" s="196"/>
      <c r="GN134" s="197"/>
      <c r="GO134" s="198"/>
      <c r="GP134" s="199"/>
      <c r="GQ134" s="200"/>
      <c r="GR134" s="201"/>
      <c r="GS134" s="60"/>
      <c r="GT134" s="202"/>
      <c r="GU134" s="202"/>
      <c r="GV134" s="202"/>
      <c r="GW134" s="202"/>
      <c r="GX134" s="203"/>
      <c r="HA134" s="194"/>
      <c r="HB134" s="195"/>
      <c r="HC134" s="196"/>
      <c r="HD134" s="197"/>
      <c r="HE134" s="198"/>
      <c r="HF134" s="199"/>
      <c r="HG134" s="200"/>
      <c r="HH134" s="201"/>
      <c r="HI134" s="60"/>
      <c r="HJ134" s="202"/>
      <c r="HK134" s="202"/>
      <c r="HL134" s="202"/>
      <c r="HM134" s="202"/>
      <c r="HN134" s="203"/>
    </row>
    <row r="135" spans="1:222" ht="16.5" customHeight="1">
      <c r="A135" s="181">
        <v>132</v>
      </c>
      <c r="B135" s="182">
        <v>489101273201</v>
      </c>
      <c r="C135" s="598" t="s">
        <v>2376</v>
      </c>
      <c r="D135" s="184" t="s">
        <v>1711</v>
      </c>
      <c r="E135" s="184" t="str">
        <f t="shared" si="15"/>
        <v>Import</v>
      </c>
      <c r="F135" s="720" t="str" cm="1">
        <f t="array" ref="F135">_xlfn.IFS(
  OR(AI135="E11", AI135="E15"), "Raw materials",
  OR(AI135="E13", AI135="G13"), "Equipments + Toolings",
  TRUE, RIGHT(C135, 8)
)</f>
        <v>Raw materials</v>
      </c>
      <c r="G135" s="541" t="str" cm="1">
        <f t="array" ref="G135">IF(E135="Import",
  IFERROR(
    _xlfn.IFS(
      VLOOKUP(B135,[1]Material!F$5:U$90000,16,0)="LUC","Lucid",
      VLOOKUP(B135,[1]Material!F$5:U$90000,16,0)="FMC","FORD",
      OR(VLOOKUP(B135,[1]Material!F$5:U$90000,16,0)="PUR",VLOOKUP(B135,[1]Material!F$5:U$90000,16,0)="HLO"),"PURE",
      VLOOKUP(B135,[1]Material!F$5:U$90000,16,0)="AIC","AIC",
      OR(VLOOKUP(B135,[1]Material!F$5:U$90000,16,0)="AGI",VLOOKUP(B135,[1]Material!F$5:U$90000,16,0)="AGIGA"),"AGIGA",
      OR(LEFT(VLOOKUP(B135,[1]Material!F$5:U$90000,16,0),3)="EF-",VLOOKUP(B135,[1]Material!F$5:U$90000,16,0)="EFI"),"EFI",
      AND(ISNUMBER(VLOOKUP(B135,[1]Material!F$5:U$90000,16,0)),VLOOKUP(B135,[1]Material!F$5:U$90000,16,0)&gt;=100,VLOOKUP(B135,[1]Material!F$5:U$90000,16,0)&lt;=999,VLOOKUP(B135,[1]Material!F$5:U$90000,16,0)=INT(VLOOKUP(B135,[1]Material!F$5:U$90000,16,0))),"OEM",
      TRUE,""
    ),
    "không tìm thấy trong file Import"
  ),
  VLOOKUP(F135,'[2]Export shipment'!B:Y,24,0)
)</f>
        <v>FORD</v>
      </c>
      <c r="H135" s="184"/>
      <c r="I135" s="184"/>
      <c r="J135" s="260">
        <f>(V135+X135+AA135)/'Logistics record '!$AD$1</f>
        <v>15.116015418335726</v>
      </c>
      <c r="K135" s="260">
        <f>W135/'Logistics record '!$AD$1</f>
        <v>0</v>
      </c>
      <c r="L135" s="260">
        <f>Y135/'Logistics record '!$AD$1</f>
        <v>0</v>
      </c>
      <c r="M135" s="260">
        <f>AF135/'Logistics record '!$AD$1</f>
        <v>0</v>
      </c>
      <c r="N135" s="260" t="str" cm="1">
        <f t="array" ref="N135">_xlfn.IFS(
    OR(UPPER(S135)="AIR", UPPER(S135)="CPN"), "AIR",
    UPPER(S135)="TC", "LOCAL",
    TRUE, "SEA"
)</f>
        <v>AIR</v>
      </c>
      <c r="O135" s="260">
        <f t="shared" si="16"/>
        <v>15.116015418335726</v>
      </c>
      <c r="P135" s="184" t="s">
        <v>1992</v>
      </c>
      <c r="Q135" s="185">
        <v>108301883210</v>
      </c>
      <c r="R135" s="186">
        <v>46175</v>
      </c>
      <c r="S135" s="187" t="s">
        <v>928</v>
      </c>
      <c r="T135" s="188">
        <v>1.9000000000000001</v>
      </c>
      <c r="U135" s="188"/>
      <c r="V135" s="189">
        <v>400000</v>
      </c>
      <c r="W135" s="190"/>
      <c r="X135" s="190"/>
      <c r="Y135" s="190"/>
      <c r="Z135" s="189">
        <f t="shared" si="12"/>
        <v>400000</v>
      </c>
      <c r="AA135" s="189">
        <v>0</v>
      </c>
      <c r="AB135" s="189">
        <f t="shared" si="17"/>
        <v>400000</v>
      </c>
      <c r="AC135" s="189"/>
      <c r="AD135" s="190"/>
      <c r="AE135" s="190"/>
      <c r="AF135" s="191">
        <f t="shared" si="13"/>
        <v>0</v>
      </c>
      <c r="AG135" s="190">
        <f t="shared" si="14"/>
        <v>400000</v>
      </c>
      <c r="AH135" s="190"/>
      <c r="AI135" s="192" t="str">
        <f>VLOOKUP(Q135,[3]Sheet1!B$11:G$1489,6,0)</f>
        <v>E11</v>
      </c>
      <c r="GK135" s="194"/>
      <c r="GL135" s="195"/>
      <c r="GM135" s="196"/>
      <c r="GN135" s="197"/>
      <c r="GO135" s="198"/>
      <c r="GP135" s="199"/>
      <c r="GQ135" s="200"/>
      <c r="GR135" s="201"/>
      <c r="GS135" s="60"/>
      <c r="GT135" s="202"/>
      <c r="GU135" s="202"/>
      <c r="GV135" s="202"/>
      <c r="GW135" s="202"/>
      <c r="GX135" s="203"/>
      <c r="HA135" s="194"/>
      <c r="HB135" s="195"/>
      <c r="HC135" s="196"/>
      <c r="HD135" s="197"/>
      <c r="HE135" s="198"/>
      <c r="HF135" s="199"/>
      <c r="HG135" s="200"/>
      <c r="HH135" s="201"/>
      <c r="HI135" s="60"/>
      <c r="HJ135" s="202"/>
      <c r="HK135" s="202"/>
      <c r="HL135" s="202"/>
      <c r="HM135" s="202"/>
      <c r="HN135" s="203"/>
    </row>
    <row r="136" spans="1:222" ht="16.5" customHeight="1">
      <c r="A136" s="181">
        <v>133</v>
      </c>
      <c r="B136" s="182">
        <v>527158975034</v>
      </c>
      <c r="C136" s="183" t="s">
        <v>2377</v>
      </c>
      <c r="D136" s="184" t="s">
        <v>968</v>
      </c>
      <c r="E136" s="184" t="str">
        <f t="shared" si="15"/>
        <v>Import</v>
      </c>
      <c r="F136" s="720" t="str" cm="1">
        <f t="array" ref="F136">_xlfn.IFS(
  OR(AI136="E11", AI136="E15"), "Raw materials",
  OR(AI136="E13", AI136="G13"), "Equipments + Toolings",
  TRUE, RIGHT(C136, 8)
)</f>
        <v>Raw materials</v>
      </c>
      <c r="G136" s="541" t="str" cm="1">
        <f t="array" ref="G136">IF(E136="Import",
  IFERROR(
    _xlfn.IFS(
      VLOOKUP(B136,[1]Material!F$5:U$90000,16,0)="LUC","Lucid",
      VLOOKUP(B136,[1]Material!F$5:U$90000,16,0)="FMC","FORD",
      OR(VLOOKUP(B136,[1]Material!F$5:U$90000,16,0)="PUR",VLOOKUP(B136,[1]Material!F$5:U$90000,16,0)="HLO"),"PURE",
      VLOOKUP(B136,[1]Material!F$5:U$90000,16,0)="AIC","AIC",
      OR(VLOOKUP(B136,[1]Material!F$5:U$90000,16,0)="AGI",VLOOKUP(B136,[1]Material!F$5:U$90000,16,0)="AGIGA"),"AGIGA",
      OR(LEFT(VLOOKUP(B136,[1]Material!F$5:U$90000,16,0),3)="EF-",VLOOKUP(B136,[1]Material!F$5:U$90000,16,0)="EFI"),"EFI",
      AND(ISNUMBER(VLOOKUP(B136,[1]Material!F$5:U$90000,16,0)),VLOOKUP(B136,[1]Material!F$5:U$90000,16,0)&gt;=100,VLOOKUP(B136,[1]Material!F$5:U$90000,16,0)&lt;=999,VLOOKUP(B136,[1]Material!F$5:U$90000,16,0)=INT(VLOOKUP(B136,[1]Material!F$5:U$90000,16,0))),"OEM",
      TRUE,""
    ),
    "không tìm thấy trong file Import"
  ),
  VLOOKUP(F136,'[2]Export shipment'!B:Y,24,0)
)</f>
        <v>OEM</v>
      </c>
      <c r="H136" s="184"/>
      <c r="I136" s="184"/>
      <c r="J136" s="260">
        <f>(V136+X136+AA136)/'Logistics record '!$AD$1</f>
        <v>15.116015418335726</v>
      </c>
      <c r="K136" s="260">
        <f>W136/'Logistics record '!$AD$1</f>
        <v>0</v>
      </c>
      <c r="L136" s="260">
        <f>Y136/'Logistics record '!$AD$1</f>
        <v>0</v>
      </c>
      <c r="M136" s="260">
        <f>AF136/'Logistics record '!$AD$1</f>
        <v>0</v>
      </c>
      <c r="N136" s="260" t="str" cm="1">
        <f t="array" ref="N136">_xlfn.IFS(
    OR(UPPER(S136)="AIR", UPPER(S136)="CPN"), "AIR",
    UPPER(S136)="TC", "LOCAL",
    TRUE, "SEA"
)</f>
        <v>AIR</v>
      </c>
      <c r="O136" s="260">
        <f t="shared" si="16"/>
        <v>15.116015418335726</v>
      </c>
      <c r="P136" s="184" t="s">
        <v>935</v>
      </c>
      <c r="Q136" s="185">
        <v>108301910620</v>
      </c>
      <c r="R136" s="186">
        <v>46175</v>
      </c>
      <c r="S136" s="187" t="s">
        <v>928</v>
      </c>
      <c r="T136" s="188">
        <v>1.2</v>
      </c>
      <c r="U136" s="188"/>
      <c r="V136" s="189">
        <v>400000</v>
      </c>
      <c r="W136" s="190"/>
      <c r="X136" s="190"/>
      <c r="Y136" s="190"/>
      <c r="Z136" s="189">
        <f t="shared" si="12"/>
        <v>400000</v>
      </c>
      <c r="AA136" s="189">
        <v>0</v>
      </c>
      <c r="AB136" s="189">
        <f t="shared" si="17"/>
        <v>400000</v>
      </c>
      <c r="AC136" s="189"/>
      <c r="AD136" s="190"/>
      <c r="AE136" s="190"/>
      <c r="AF136" s="191">
        <f t="shared" si="13"/>
        <v>0</v>
      </c>
      <c r="AG136" s="190">
        <f t="shared" si="14"/>
        <v>400000</v>
      </c>
      <c r="AH136" s="190"/>
      <c r="AI136" s="192" t="str">
        <f>VLOOKUP(Q136,[3]Sheet1!B$11:G$1489,6,0)</f>
        <v>E11</v>
      </c>
      <c r="GK136" s="194"/>
      <c r="GL136" s="195"/>
      <c r="GM136" s="196"/>
      <c r="GN136" s="197"/>
      <c r="GO136" s="198"/>
      <c r="GP136" s="199"/>
      <c r="GQ136" s="200"/>
      <c r="GR136" s="201"/>
      <c r="GS136" s="60"/>
      <c r="GT136" s="202"/>
      <c r="GU136" s="202"/>
      <c r="GV136" s="202"/>
      <c r="GW136" s="202"/>
      <c r="GX136" s="203"/>
      <c r="HA136" s="194"/>
      <c r="HB136" s="195"/>
      <c r="HC136" s="196"/>
      <c r="HD136" s="197"/>
      <c r="HE136" s="198"/>
      <c r="HF136" s="199"/>
      <c r="HG136" s="200"/>
      <c r="HH136" s="201"/>
      <c r="HI136" s="60"/>
      <c r="HJ136" s="202"/>
      <c r="HK136" s="202"/>
      <c r="HL136" s="202"/>
      <c r="HM136" s="202"/>
      <c r="HN136" s="203"/>
    </row>
    <row r="137" spans="1:222" ht="16.5" customHeight="1">
      <c r="A137" s="181">
        <v>134</v>
      </c>
      <c r="B137" s="182">
        <v>871831431473</v>
      </c>
      <c r="C137" s="598" t="s">
        <v>2378</v>
      </c>
      <c r="D137" s="184" t="s">
        <v>648</v>
      </c>
      <c r="E137" s="184" t="str">
        <f t="shared" si="15"/>
        <v>Import</v>
      </c>
      <c r="F137" s="720" t="str" cm="1">
        <f t="array" ref="F137">_xlfn.IFS(
  OR(AI137="E11", AI137="E15"), "Raw materials",
  OR(AI137="E13", AI137="G13"), "Equipments + Toolings",
  TRUE, RIGHT(C137, 8)
)</f>
        <v>Raw materials</v>
      </c>
      <c r="G137" s="541" t="str" cm="1">
        <f t="array" ref="G137">IF(E137="Import",
  IFERROR(
    _xlfn.IFS(
      VLOOKUP(B137,[1]Material!F$5:U$90000,16,0)="LUC","Lucid",
      VLOOKUP(B137,[1]Material!F$5:U$90000,16,0)="FMC","FORD",
      OR(VLOOKUP(B137,[1]Material!F$5:U$90000,16,0)="PUR",VLOOKUP(B137,[1]Material!F$5:U$90000,16,0)="HLO"),"PURE",
      VLOOKUP(B137,[1]Material!F$5:U$90000,16,0)="AIC","AIC",
      OR(VLOOKUP(B137,[1]Material!F$5:U$90000,16,0)="AGI",VLOOKUP(B137,[1]Material!F$5:U$90000,16,0)="AGIGA"),"AGIGA",
      OR(LEFT(VLOOKUP(B137,[1]Material!F$5:U$90000,16,0),3)="EF-",VLOOKUP(B137,[1]Material!F$5:U$90000,16,0)="EFI"),"EFI",
      AND(ISNUMBER(VLOOKUP(B137,[1]Material!F$5:U$90000,16,0)),VLOOKUP(B137,[1]Material!F$5:U$90000,16,0)&gt;=100,VLOOKUP(B137,[1]Material!F$5:U$90000,16,0)&lt;=999,VLOOKUP(B137,[1]Material!F$5:U$90000,16,0)=INT(VLOOKUP(B137,[1]Material!F$5:U$90000,16,0))),"OEM",
      TRUE,""
    ),
    "không tìm thấy trong file Import"
  ),
  VLOOKUP(F137,'[2]Export shipment'!B:Y,24,0)
)</f>
        <v>OEM</v>
      </c>
      <c r="H137" s="184"/>
      <c r="I137" s="184"/>
      <c r="J137" s="260">
        <f>(V137+X137+AA137)/'Logistics record '!$AD$1</f>
        <v>15.116015418335726</v>
      </c>
      <c r="K137" s="260">
        <f>W137/'Logistics record '!$AD$1</f>
        <v>0</v>
      </c>
      <c r="L137" s="260">
        <f>Y137/'Logistics record '!$AD$1</f>
        <v>0</v>
      </c>
      <c r="M137" s="260">
        <f>AF137/'Logistics record '!$AD$1</f>
        <v>0</v>
      </c>
      <c r="N137" s="260" t="str" cm="1">
        <f t="array" ref="N137">_xlfn.IFS(
    OR(UPPER(S137)="AIR", UPPER(S137)="CPN"), "AIR",
    UPPER(S137)="TC", "LOCAL",
    TRUE, "SEA"
)</f>
        <v>AIR</v>
      </c>
      <c r="O137" s="260">
        <f t="shared" si="16"/>
        <v>15.116015418335726</v>
      </c>
      <c r="P137" s="184" t="s">
        <v>927</v>
      </c>
      <c r="Q137" s="185">
        <v>108301948050</v>
      </c>
      <c r="R137" s="186">
        <v>46175</v>
      </c>
      <c r="S137" s="187" t="s">
        <v>928</v>
      </c>
      <c r="T137" s="188">
        <v>14.3</v>
      </c>
      <c r="U137" s="188"/>
      <c r="V137" s="189">
        <v>400000</v>
      </c>
      <c r="W137" s="190"/>
      <c r="X137" s="190"/>
      <c r="Y137" s="190"/>
      <c r="Z137" s="189">
        <f t="shared" si="12"/>
        <v>400000</v>
      </c>
      <c r="AA137" s="189">
        <v>0</v>
      </c>
      <c r="AB137" s="189">
        <f t="shared" si="17"/>
        <v>400000</v>
      </c>
      <c r="AC137" s="189"/>
      <c r="AD137" s="190"/>
      <c r="AE137" s="190"/>
      <c r="AF137" s="191">
        <f t="shared" si="13"/>
        <v>0</v>
      </c>
      <c r="AG137" s="190">
        <f t="shared" si="14"/>
        <v>400000</v>
      </c>
      <c r="AH137" s="190"/>
      <c r="AI137" s="192" t="str">
        <f>VLOOKUP(Q137,[3]Sheet1!B$11:G$1489,6,0)</f>
        <v>E11</v>
      </c>
      <c r="GK137" s="194"/>
      <c r="GL137" s="195"/>
      <c r="GM137" s="196"/>
      <c r="GN137" s="197"/>
      <c r="GO137" s="198"/>
      <c r="GP137" s="199"/>
      <c r="GQ137" s="200"/>
      <c r="GR137" s="201"/>
      <c r="GS137" s="60"/>
      <c r="GT137" s="202"/>
      <c r="GU137" s="202"/>
      <c r="GV137" s="202"/>
      <c r="GW137" s="202"/>
      <c r="GX137" s="203"/>
      <c r="HA137" s="194"/>
      <c r="HB137" s="195"/>
      <c r="HC137" s="196"/>
      <c r="HD137" s="197"/>
      <c r="HE137" s="198"/>
      <c r="HF137" s="199"/>
      <c r="HG137" s="200"/>
      <c r="HH137" s="201"/>
      <c r="HI137" s="60"/>
      <c r="HJ137" s="202"/>
      <c r="HK137" s="202"/>
      <c r="HL137" s="202"/>
      <c r="HM137" s="202"/>
      <c r="HN137" s="203"/>
    </row>
    <row r="138" spans="1:222" ht="16.5" customHeight="1">
      <c r="A138" s="181">
        <v>135</v>
      </c>
      <c r="B138" s="182">
        <v>381335227154</v>
      </c>
      <c r="C138" s="183" t="s">
        <v>2379</v>
      </c>
      <c r="D138" s="184" t="s">
        <v>2326</v>
      </c>
      <c r="E138" s="184" t="str">
        <f t="shared" si="15"/>
        <v>Import</v>
      </c>
      <c r="F138" s="720" t="str" cm="1">
        <f t="array" ref="F138">_xlfn.IFS(
  OR(AI138="E11", AI138="E15"), "Raw materials",
  OR(AI138="E13", AI138="G13"), "Equipments + Toolings",
  TRUE, RIGHT(C138, 8)
)</f>
        <v>Raw materials</v>
      </c>
      <c r="G138" s="541" t="str" cm="1">
        <f t="array" ref="G138">IF(E138="Import",
  IFERROR(
    _xlfn.IFS(
      VLOOKUP(B138,[1]Material!F$5:U$90000,16,0)="LUC","Lucid",
      VLOOKUP(B138,[1]Material!F$5:U$90000,16,0)="FMC","FORD",
      OR(VLOOKUP(B138,[1]Material!F$5:U$90000,16,0)="PUR",VLOOKUP(B138,[1]Material!F$5:U$90000,16,0)="HLO"),"PURE",
      VLOOKUP(B138,[1]Material!F$5:U$90000,16,0)="AIC","AIC",
      OR(VLOOKUP(B138,[1]Material!F$5:U$90000,16,0)="AGI",VLOOKUP(B138,[1]Material!F$5:U$90000,16,0)="AGIGA"),"AGIGA",
      OR(LEFT(VLOOKUP(B138,[1]Material!F$5:U$90000,16,0),3)="EF-",VLOOKUP(B138,[1]Material!F$5:U$90000,16,0)="EFI"),"EFI",
      AND(ISNUMBER(VLOOKUP(B138,[1]Material!F$5:U$90000,16,0)),VLOOKUP(B138,[1]Material!F$5:U$90000,16,0)&gt;=100,VLOOKUP(B138,[1]Material!F$5:U$90000,16,0)&lt;=999,VLOOKUP(B138,[1]Material!F$5:U$90000,16,0)=INT(VLOOKUP(B138,[1]Material!F$5:U$90000,16,0))),"OEM",
      TRUE,""
    ),
    "không tìm thấy trong file Import"
  ),
  VLOOKUP(F138,'[2]Export shipment'!B:Y,24,0)
)</f>
        <v>EFI</v>
      </c>
      <c r="H138" s="184"/>
      <c r="I138" s="184"/>
      <c r="J138" s="260">
        <f>(V138+X138+AA138)/'Logistics record '!$AD$1</f>
        <v>15.116015418335726</v>
      </c>
      <c r="K138" s="260">
        <f>W138/'Logistics record '!$AD$1</f>
        <v>0</v>
      </c>
      <c r="L138" s="260">
        <f>Y138/'Logistics record '!$AD$1</f>
        <v>0</v>
      </c>
      <c r="M138" s="260">
        <f>AF138/'Logistics record '!$AD$1</f>
        <v>0</v>
      </c>
      <c r="N138" s="260" t="str" cm="1">
        <f t="array" ref="N138">_xlfn.IFS(
    OR(UPPER(S138)="AIR", UPPER(S138)="CPN"), "AIR",
    UPPER(S138)="TC", "LOCAL",
    TRUE, "SEA"
)</f>
        <v>AIR</v>
      </c>
      <c r="O138" s="260">
        <f t="shared" si="16"/>
        <v>15.116015418335726</v>
      </c>
      <c r="P138" s="184" t="s">
        <v>943</v>
      </c>
      <c r="Q138" s="185">
        <v>108302011200</v>
      </c>
      <c r="R138" s="186">
        <v>46175</v>
      </c>
      <c r="S138" s="187" t="s">
        <v>928</v>
      </c>
      <c r="T138" s="188">
        <v>0.5</v>
      </c>
      <c r="U138" s="188"/>
      <c r="V138" s="189">
        <v>400000</v>
      </c>
      <c r="W138" s="190"/>
      <c r="X138" s="190"/>
      <c r="Y138" s="190"/>
      <c r="Z138" s="189">
        <f t="shared" si="12"/>
        <v>400000</v>
      </c>
      <c r="AA138" s="189">
        <v>0</v>
      </c>
      <c r="AB138" s="189">
        <f t="shared" si="17"/>
        <v>400000</v>
      </c>
      <c r="AC138" s="189"/>
      <c r="AD138" s="190"/>
      <c r="AE138" s="190"/>
      <c r="AF138" s="191">
        <f t="shared" si="13"/>
        <v>0</v>
      </c>
      <c r="AG138" s="190">
        <f t="shared" si="14"/>
        <v>400000</v>
      </c>
      <c r="AH138" s="190"/>
      <c r="AI138" s="192" t="str">
        <f>VLOOKUP(Q138,[3]Sheet1!B$11:G$1489,6,0)</f>
        <v>E11</v>
      </c>
      <c r="GK138" s="194"/>
      <c r="GL138" s="195"/>
      <c r="GM138" s="196"/>
      <c r="GN138" s="197"/>
      <c r="GO138" s="198"/>
      <c r="GP138" s="199"/>
      <c r="GQ138" s="200"/>
      <c r="GR138" s="201"/>
      <c r="GS138" s="60"/>
      <c r="GT138" s="202"/>
      <c r="GU138" s="202"/>
      <c r="GV138" s="202"/>
      <c r="GW138" s="202"/>
      <c r="GX138" s="203"/>
      <c r="HA138" s="194"/>
      <c r="HB138" s="195"/>
      <c r="HC138" s="196"/>
      <c r="HD138" s="197"/>
      <c r="HE138" s="198"/>
      <c r="HF138" s="199"/>
      <c r="HG138" s="200"/>
      <c r="HH138" s="201"/>
      <c r="HI138" s="60"/>
      <c r="HJ138" s="202"/>
      <c r="HK138" s="202"/>
      <c r="HL138" s="202"/>
      <c r="HM138" s="202"/>
      <c r="HN138" s="203"/>
    </row>
    <row r="139" spans="1:222" ht="16.5" customHeight="1">
      <c r="A139" s="181">
        <v>136</v>
      </c>
      <c r="B139" s="182">
        <v>1291247661</v>
      </c>
      <c r="C139" s="598" t="s">
        <v>2380</v>
      </c>
      <c r="D139" s="184" t="s">
        <v>934</v>
      </c>
      <c r="E139" s="184" t="str">
        <f t="shared" si="15"/>
        <v>Import</v>
      </c>
      <c r="F139" s="720" t="str" cm="1">
        <f t="array" ref="F139">_xlfn.IFS(
  OR(AI139="E11", AI139="E15"), "Raw materials",
  OR(AI139="E13", AI139="G13"), "Equipments + Toolings",
  TRUE, RIGHT(C139, 8)
)</f>
        <v>Raw materials</v>
      </c>
      <c r="G139" s="541" t="str" cm="1">
        <f t="array" ref="G139">IF(E139="Import",
  IFERROR(
    _xlfn.IFS(
      VLOOKUP(B139,[1]Material!F$5:U$90000,16,0)="LUC","Lucid",
      VLOOKUP(B139,[1]Material!F$5:U$90000,16,0)="FMC","FORD",
      OR(VLOOKUP(B139,[1]Material!F$5:U$90000,16,0)="PUR",VLOOKUP(B139,[1]Material!F$5:U$90000,16,0)="HLO"),"PURE",
      VLOOKUP(B139,[1]Material!F$5:U$90000,16,0)="AIC","AIC",
      OR(VLOOKUP(B139,[1]Material!F$5:U$90000,16,0)="AGI",VLOOKUP(B139,[1]Material!F$5:U$90000,16,0)="AGIGA"),"AGIGA",
      OR(LEFT(VLOOKUP(B139,[1]Material!F$5:U$90000,16,0),3)="EF-",VLOOKUP(B139,[1]Material!F$5:U$90000,16,0)="EFI"),"EFI",
      AND(ISNUMBER(VLOOKUP(B139,[1]Material!F$5:U$90000,16,0)),VLOOKUP(B139,[1]Material!F$5:U$90000,16,0)&gt;=100,VLOOKUP(B139,[1]Material!F$5:U$90000,16,0)&lt;=999,VLOOKUP(B139,[1]Material!F$5:U$90000,16,0)=INT(VLOOKUP(B139,[1]Material!F$5:U$90000,16,0))),"OEM",
      TRUE,""
    ),
    "không tìm thấy trong file Import"
  ),
  VLOOKUP(F139,'[2]Export shipment'!B:Y,24,0)
)</f>
        <v>PURE</v>
      </c>
      <c r="H139" s="184"/>
      <c r="I139" s="184"/>
      <c r="J139" s="260">
        <f>(V139+X139+AA139)/'Logistics record '!$AD$1</f>
        <v>15.116015418335726</v>
      </c>
      <c r="K139" s="260">
        <f>W139/'Logistics record '!$AD$1</f>
        <v>0</v>
      </c>
      <c r="L139" s="260">
        <f>Y139/'Logistics record '!$AD$1</f>
        <v>0</v>
      </c>
      <c r="M139" s="260">
        <f>AF139/'Logistics record '!$AD$1</f>
        <v>0</v>
      </c>
      <c r="N139" s="260" t="str" cm="1">
        <f t="array" ref="N139">_xlfn.IFS(
    OR(UPPER(S139)="AIR", UPPER(S139)="CPN"), "AIR",
    UPPER(S139)="TC", "LOCAL",
    TRUE, "SEA"
)</f>
        <v>AIR</v>
      </c>
      <c r="O139" s="260">
        <f t="shared" si="16"/>
        <v>15.116015418335726</v>
      </c>
      <c r="P139" s="184" t="s">
        <v>935</v>
      </c>
      <c r="Q139" s="185">
        <v>108302064250</v>
      </c>
      <c r="R139" s="186">
        <v>46175</v>
      </c>
      <c r="S139" s="187" t="s">
        <v>928</v>
      </c>
      <c r="T139" s="188">
        <v>1.1000000000000001</v>
      </c>
      <c r="U139" s="188"/>
      <c r="V139" s="189">
        <v>400000</v>
      </c>
      <c r="W139" s="190"/>
      <c r="X139" s="190"/>
      <c r="Y139" s="190"/>
      <c r="Z139" s="189">
        <f t="shared" si="12"/>
        <v>400000</v>
      </c>
      <c r="AA139" s="189">
        <v>0</v>
      </c>
      <c r="AB139" s="189">
        <f t="shared" si="17"/>
        <v>400000</v>
      </c>
      <c r="AC139" s="189"/>
      <c r="AD139" s="190"/>
      <c r="AE139" s="190"/>
      <c r="AF139" s="191">
        <f t="shared" si="13"/>
        <v>0</v>
      </c>
      <c r="AG139" s="190">
        <f t="shared" si="14"/>
        <v>400000</v>
      </c>
      <c r="AH139" s="190"/>
      <c r="AI139" s="192" t="str">
        <f>VLOOKUP(Q139,[3]Sheet1!B$11:G$1489,6,0)</f>
        <v>E11</v>
      </c>
      <c r="GK139" s="194"/>
      <c r="GL139" s="195"/>
      <c r="GM139" s="196"/>
      <c r="GN139" s="197"/>
      <c r="GO139" s="198"/>
      <c r="GP139" s="199"/>
      <c r="GQ139" s="200"/>
      <c r="GR139" s="201"/>
      <c r="GS139" s="60"/>
      <c r="GT139" s="202"/>
      <c r="GU139" s="202"/>
      <c r="GV139" s="202"/>
      <c r="GW139" s="202"/>
      <c r="GX139" s="203"/>
      <c r="HA139" s="194"/>
      <c r="HB139" s="195"/>
      <c r="HC139" s="196"/>
      <c r="HD139" s="197"/>
      <c r="HE139" s="198"/>
      <c r="HF139" s="199"/>
      <c r="HG139" s="200"/>
      <c r="HH139" s="201"/>
      <c r="HI139" s="60"/>
      <c r="HJ139" s="202"/>
      <c r="HK139" s="202"/>
      <c r="HL139" s="202"/>
      <c r="HM139" s="202"/>
      <c r="HN139" s="203"/>
    </row>
    <row r="140" spans="1:222" ht="16.5" customHeight="1">
      <c r="A140" s="181">
        <v>137</v>
      </c>
      <c r="B140" s="182">
        <v>493602842370</v>
      </c>
      <c r="C140" s="183" t="s">
        <v>2381</v>
      </c>
      <c r="D140" s="184" t="s">
        <v>972</v>
      </c>
      <c r="E140" s="184" t="str">
        <f t="shared" si="15"/>
        <v>Import</v>
      </c>
      <c r="F140" s="720" t="str" cm="1">
        <f t="array" ref="F140">_xlfn.IFS(
  OR(AI140="E11", AI140="E15"), "Raw materials",
  OR(AI140="E13", AI140="G13"), "Equipments + Toolings",
  TRUE, RIGHT(C140, 8)
)</f>
        <v>Raw materials</v>
      </c>
      <c r="G140" s="541" t="str" cm="1">
        <f t="array" ref="G140">IF(E140="Import",
  IFERROR(
    _xlfn.IFS(
      VLOOKUP(B140,[1]Material!F$5:U$90000,16,0)="LUC","Lucid",
      VLOOKUP(B140,[1]Material!F$5:U$90000,16,0)="FMC","FORD",
      OR(VLOOKUP(B140,[1]Material!F$5:U$90000,16,0)="PUR",VLOOKUP(B140,[1]Material!F$5:U$90000,16,0)="HLO"),"PURE",
      VLOOKUP(B140,[1]Material!F$5:U$90000,16,0)="AIC","AIC",
      OR(VLOOKUP(B140,[1]Material!F$5:U$90000,16,0)="AGI",VLOOKUP(B140,[1]Material!F$5:U$90000,16,0)="AGIGA"),"AGIGA",
      OR(LEFT(VLOOKUP(B140,[1]Material!F$5:U$90000,16,0),3)="EF-",VLOOKUP(B140,[1]Material!F$5:U$90000,16,0)="EFI"),"EFI",
      AND(ISNUMBER(VLOOKUP(B140,[1]Material!F$5:U$90000,16,0)),VLOOKUP(B140,[1]Material!F$5:U$90000,16,0)&gt;=100,VLOOKUP(B140,[1]Material!F$5:U$90000,16,0)&lt;=999,VLOOKUP(B140,[1]Material!F$5:U$90000,16,0)=INT(VLOOKUP(B140,[1]Material!F$5:U$90000,16,0))),"OEM",
      TRUE,""
    ),
    "không tìm thấy trong file Import"
  ),
  VLOOKUP(F140,'[2]Export shipment'!B:Y,24,0)
)</f>
        <v>EFI</v>
      </c>
      <c r="H140" s="184"/>
      <c r="I140" s="184"/>
      <c r="J140" s="260">
        <f>(V140+X140+AA140)/'Logistics record '!$AD$1</f>
        <v>15.116015418335726</v>
      </c>
      <c r="K140" s="260">
        <f>W140/'Logistics record '!$AD$1</f>
        <v>0</v>
      </c>
      <c r="L140" s="260">
        <f>Y140/'Logistics record '!$AD$1</f>
        <v>0</v>
      </c>
      <c r="M140" s="260">
        <f>AF140/'Logistics record '!$AD$1</f>
        <v>0</v>
      </c>
      <c r="N140" s="260" t="str" cm="1">
        <f t="array" ref="N140">_xlfn.IFS(
    OR(UPPER(S140)="AIR", UPPER(S140)="CPN"), "AIR",
    UPPER(S140)="TC", "LOCAL",
    TRUE, "SEA"
)</f>
        <v>AIR</v>
      </c>
      <c r="O140" s="260">
        <f t="shared" si="16"/>
        <v>15.116015418335726</v>
      </c>
      <c r="P140" s="184" t="s">
        <v>935</v>
      </c>
      <c r="Q140" s="185">
        <v>108302066500</v>
      </c>
      <c r="R140" s="186">
        <v>46175</v>
      </c>
      <c r="S140" s="187" t="s">
        <v>928</v>
      </c>
      <c r="T140" s="188">
        <v>14.1</v>
      </c>
      <c r="U140" s="188"/>
      <c r="V140" s="189">
        <v>400000</v>
      </c>
      <c r="W140" s="190"/>
      <c r="X140" s="190"/>
      <c r="Y140" s="190"/>
      <c r="Z140" s="189">
        <f t="shared" si="12"/>
        <v>400000</v>
      </c>
      <c r="AA140" s="189">
        <v>0</v>
      </c>
      <c r="AB140" s="189">
        <f t="shared" si="17"/>
        <v>400000</v>
      </c>
      <c r="AC140" s="189"/>
      <c r="AD140" s="190"/>
      <c r="AE140" s="190"/>
      <c r="AF140" s="191">
        <f t="shared" si="13"/>
        <v>0</v>
      </c>
      <c r="AG140" s="190">
        <f t="shared" si="14"/>
        <v>400000</v>
      </c>
      <c r="AH140" s="190"/>
      <c r="AI140" s="192" t="str">
        <f>VLOOKUP(Q140,[3]Sheet1!B$11:G$1489,6,0)</f>
        <v>E11</v>
      </c>
      <c r="GK140" s="194"/>
      <c r="GL140" s="195"/>
      <c r="GM140" s="196"/>
      <c r="GN140" s="197"/>
      <c r="GO140" s="198"/>
      <c r="GP140" s="199"/>
      <c r="GQ140" s="200"/>
      <c r="GR140" s="201"/>
      <c r="GS140" s="60"/>
      <c r="GT140" s="202"/>
      <c r="GU140" s="202"/>
      <c r="GV140" s="202"/>
      <c r="GW140" s="202"/>
      <c r="GX140" s="203"/>
      <c r="HA140" s="194"/>
      <c r="HB140" s="195"/>
      <c r="HC140" s="196"/>
      <c r="HD140" s="197"/>
      <c r="HE140" s="198"/>
      <c r="HF140" s="199"/>
      <c r="HG140" s="200"/>
      <c r="HH140" s="201"/>
      <c r="HI140" s="60"/>
      <c r="HJ140" s="202"/>
      <c r="HK140" s="202"/>
      <c r="HL140" s="202"/>
      <c r="HM140" s="202"/>
      <c r="HN140" s="203"/>
    </row>
    <row r="141" spans="1:222" ht="16.5" customHeight="1">
      <c r="A141" s="181">
        <v>138</v>
      </c>
      <c r="B141" s="182">
        <v>492830072680</v>
      </c>
      <c r="C141" s="183" t="s">
        <v>2382</v>
      </c>
      <c r="D141" s="184" t="s">
        <v>968</v>
      </c>
      <c r="E141" s="184" t="str">
        <f t="shared" si="15"/>
        <v>Import</v>
      </c>
      <c r="F141" s="720" t="str" cm="1">
        <f t="array" ref="F141">_xlfn.IFS(
  OR(AI141="E11", AI141="E15"), "Raw materials",
  OR(AI141="E13", AI141="G13"), "Equipments + Toolings",
  TRUE, RIGHT(C141, 8)
)</f>
        <v>Raw materials</v>
      </c>
      <c r="G141" s="541" t="str" cm="1">
        <f t="array" ref="G141">IF(E141="Import",
  IFERROR(
    _xlfn.IFS(
      VLOOKUP(B141,[1]Material!F$5:U$90000,16,0)="LUC","Lucid",
      VLOOKUP(B141,[1]Material!F$5:U$90000,16,0)="FMC","FORD",
      OR(VLOOKUP(B141,[1]Material!F$5:U$90000,16,0)="PUR",VLOOKUP(B141,[1]Material!F$5:U$90000,16,0)="HLO"),"PURE",
      VLOOKUP(B141,[1]Material!F$5:U$90000,16,0)="AIC","AIC",
      OR(VLOOKUP(B141,[1]Material!F$5:U$90000,16,0)="AGI",VLOOKUP(B141,[1]Material!F$5:U$90000,16,0)="AGIGA"),"AGIGA",
      OR(LEFT(VLOOKUP(B141,[1]Material!F$5:U$90000,16,0),3)="EF-",VLOOKUP(B141,[1]Material!F$5:U$90000,16,0)="EFI"),"EFI",
      AND(ISNUMBER(VLOOKUP(B141,[1]Material!F$5:U$90000,16,0)),VLOOKUP(B141,[1]Material!F$5:U$90000,16,0)&gt;=100,VLOOKUP(B141,[1]Material!F$5:U$90000,16,0)&lt;=999,VLOOKUP(B141,[1]Material!F$5:U$90000,16,0)=INT(VLOOKUP(B141,[1]Material!F$5:U$90000,16,0))),"OEM",
      TRUE,""
    ),
    "không tìm thấy trong file Import"
  ),
  VLOOKUP(F141,'[2]Export shipment'!B:Y,24,0)
)</f>
        <v>OEM</v>
      </c>
      <c r="H141" s="184"/>
      <c r="I141" s="184"/>
      <c r="J141" s="260">
        <f>(V141+X141+AA141)/'Logistics record '!$AD$1</f>
        <v>15.116015418335726</v>
      </c>
      <c r="K141" s="260">
        <f>W141/'Logistics record '!$AD$1</f>
        <v>0</v>
      </c>
      <c r="L141" s="260">
        <f>Y141/'Logistics record '!$AD$1</f>
        <v>0</v>
      </c>
      <c r="M141" s="260">
        <f>AF141/'Logistics record '!$AD$1</f>
        <v>0</v>
      </c>
      <c r="N141" s="260" t="str" cm="1">
        <f t="array" ref="N141">_xlfn.IFS(
    OR(UPPER(S141)="AIR", UPPER(S141)="CPN"), "AIR",
    UPPER(S141)="TC", "LOCAL",
    TRUE, "SEA"
)</f>
        <v>AIR</v>
      </c>
      <c r="O141" s="260">
        <f t="shared" si="16"/>
        <v>15.116015418335726</v>
      </c>
      <c r="P141" s="184" t="s">
        <v>935</v>
      </c>
      <c r="Q141" s="185">
        <v>108302103930</v>
      </c>
      <c r="R141" s="186">
        <v>46175</v>
      </c>
      <c r="S141" s="187" t="s">
        <v>928</v>
      </c>
      <c r="T141" s="188">
        <v>0.5</v>
      </c>
      <c r="U141" s="188"/>
      <c r="V141" s="189">
        <v>400000</v>
      </c>
      <c r="W141" s="190"/>
      <c r="X141" s="190"/>
      <c r="Y141" s="190"/>
      <c r="Z141" s="189">
        <f t="shared" si="12"/>
        <v>400000</v>
      </c>
      <c r="AA141" s="189">
        <v>0</v>
      </c>
      <c r="AB141" s="189">
        <f t="shared" si="17"/>
        <v>400000</v>
      </c>
      <c r="AC141" s="189"/>
      <c r="AD141" s="190"/>
      <c r="AE141" s="190"/>
      <c r="AF141" s="191">
        <f t="shared" si="13"/>
        <v>0</v>
      </c>
      <c r="AG141" s="190">
        <f t="shared" si="14"/>
        <v>400000</v>
      </c>
      <c r="AH141" s="190"/>
      <c r="AI141" s="192" t="str">
        <f>VLOOKUP(Q141,[3]Sheet1!B$11:G$1489,6,0)</f>
        <v>E11</v>
      </c>
      <c r="GK141" s="194"/>
      <c r="GL141" s="195"/>
      <c r="GM141" s="196"/>
      <c r="GN141" s="197"/>
      <c r="GO141" s="198"/>
      <c r="GP141" s="199"/>
      <c r="GQ141" s="200"/>
      <c r="GR141" s="201"/>
      <c r="GS141" s="60"/>
      <c r="GT141" s="202"/>
      <c r="GU141" s="202"/>
      <c r="GV141" s="202"/>
      <c r="GW141" s="202"/>
      <c r="GX141" s="203"/>
      <c r="HA141" s="194"/>
      <c r="HB141" s="195"/>
      <c r="HC141" s="196"/>
      <c r="HD141" s="197"/>
      <c r="HE141" s="198"/>
      <c r="HF141" s="199"/>
      <c r="HG141" s="200"/>
      <c r="HH141" s="201"/>
      <c r="HI141" s="60"/>
      <c r="HJ141" s="202"/>
      <c r="HK141" s="202"/>
      <c r="HL141" s="202"/>
      <c r="HM141" s="202"/>
      <c r="HN141" s="203"/>
    </row>
    <row r="142" spans="1:222" ht="16.5" customHeight="1">
      <c r="A142" s="181">
        <v>139</v>
      </c>
      <c r="B142" s="182">
        <v>872373630265</v>
      </c>
      <c r="C142" s="598" t="s">
        <v>2383</v>
      </c>
      <c r="D142" s="184" t="s">
        <v>2384</v>
      </c>
      <c r="E142" s="184" t="str">
        <f t="shared" si="15"/>
        <v>Import</v>
      </c>
      <c r="F142" s="720" t="str" cm="1">
        <f t="array" ref="F142">_xlfn.IFS(
  OR(AI142="E11", AI142="E15"), "Raw materials",
  OR(AI142="E13", AI142="G13"), "Equipments + Toolings",
  TRUE, RIGHT(C142, 8)
)</f>
        <v>Raw materials</v>
      </c>
      <c r="G142" s="541" t="str" cm="1">
        <f t="array" ref="G142">IF(E142="Import",
  IFERROR(
    _xlfn.IFS(
      VLOOKUP(B142,[1]Material!F$5:U$90000,16,0)="LUC","Lucid",
      VLOOKUP(B142,[1]Material!F$5:U$90000,16,0)="FMC","FORD",
      OR(VLOOKUP(B142,[1]Material!F$5:U$90000,16,0)="PUR",VLOOKUP(B142,[1]Material!F$5:U$90000,16,0)="HLO"),"PURE",
      VLOOKUP(B142,[1]Material!F$5:U$90000,16,0)="AIC","AIC",
      OR(VLOOKUP(B142,[1]Material!F$5:U$90000,16,0)="AGI",VLOOKUP(B142,[1]Material!F$5:U$90000,16,0)="AGIGA"),"AGIGA",
      OR(LEFT(VLOOKUP(B142,[1]Material!F$5:U$90000,16,0),3)="EF-",VLOOKUP(B142,[1]Material!F$5:U$90000,16,0)="EFI"),"EFI",
      AND(ISNUMBER(VLOOKUP(B142,[1]Material!F$5:U$90000,16,0)),VLOOKUP(B142,[1]Material!F$5:U$90000,16,0)&gt;=100,VLOOKUP(B142,[1]Material!F$5:U$90000,16,0)&lt;=999,VLOOKUP(B142,[1]Material!F$5:U$90000,16,0)=INT(VLOOKUP(B142,[1]Material!F$5:U$90000,16,0))),"OEM",
      TRUE,""
    ),
    "không tìm thấy trong file Import"
  ),
  VLOOKUP(F142,'[2]Export shipment'!B:Y,24,0)
)</f>
        <v>OEM</v>
      </c>
      <c r="H142" s="184"/>
      <c r="I142" s="184"/>
      <c r="J142" s="260">
        <f>(V142+X142+AA142)/'Logistics record '!$AD$1</f>
        <v>15.116015418335726</v>
      </c>
      <c r="K142" s="260">
        <f>W142/'Logistics record '!$AD$1</f>
        <v>0</v>
      </c>
      <c r="L142" s="260">
        <f>Y142/'Logistics record '!$AD$1</f>
        <v>0</v>
      </c>
      <c r="M142" s="260">
        <f>AF142/'Logistics record '!$AD$1</f>
        <v>0</v>
      </c>
      <c r="N142" s="260" t="str" cm="1">
        <f t="array" ref="N142">_xlfn.IFS(
    OR(UPPER(S142)="AIR", UPPER(S142)="CPN"), "AIR",
    UPPER(S142)="TC", "LOCAL",
    TRUE, "SEA"
)</f>
        <v>AIR</v>
      </c>
      <c r="O142" s="260">
        <f t="shared" si="16"/>
        <v>15.116015418335726</v>
      </c>
      <c r="P142" s="184" t="s">
        <v>937</v>
      </c>
      <c r="Q142" s="185">
        <v>108302226320</v>
      </c>
      <c r="R142" s="186">
        <v>46175</v>
      </c>
      <c r="S142" s="187" t="s">
        <v>928</v>
      </c>
      <c r="T142" s="188">
        <v>9.6999999999999993</v>
      </c>
      <c r="U142" s="188"/>
      <c r="V142" s="189">
        <v>400000</v>
      </c>
      <c r="W142" s="190"/>
      <c r="X142" s="190"/>
      <c r="Y142" s="190"/>
      <c r="Z142" s="189">
        <f t="shared" si="12"/>
        <v>400000</v>
      </c>
      <c r="AA142" s="189">
        <v>0</v>
      </c>
      <c r="AB142" s="189">
        <f t="shared" si="17"/>
        <v>400000</v>
      </c>
      <c r="AC142" s="189"/>
      <c r="AD142" s="190"/>
      <c r="AE142" s="190"/>
      <c r="AF142" s="191">
        <f t="shared" si="13"/>
        <v>0</v>
      </c>
      <c r="AG142" s="190">
        <f t="shared" si="14"/>
        <v>400000</v>
      </c>
      <c r="AH142" s="190"/>
      <c r="AI142" s="192" t="str">
        <f>VLOOKUP(Q142,[3]Sheet1!B$11:G$1489,6,0)</f>
        <v>E11</v>
      </c>
      <c r="GK142" s="194"/>
      <c r="GL142" s="195"/>
      <c r="GM142" s="196"/>
      <c r="GN142" s="197"/>
      <c r="GO142" s="198"/>
      <c r="GP142" s="199"/>
      <c r="GQ142" s="200"/>
      <c r="GR142" s="201"/>
      <c r="GS142" s="60"/>
      <c r="GT142" s="202"/>
      <c r="GU142" s="202"/>
      <c r="GV142" s="202"/>
      <c r="GW142" s="202"/>
      <c r="GX142" s="203"/>
      <c r="HA142" s="194"/>
      <c r="HB142" s="195"/>
      <c r="HC142" s="196"/>
      <c r="HD142" s="197"/>
      <c r="HE142" s="198"/>
      <c r="HF142" s="199"/>
      <c r="HG142" s="200"/>
      <c r="HH142" s="201"/>
      <c r="HI142" s="60"/>
      <c r="HJ142" s="202"/>
      <c r="HK142" s="202"/>
      <c r="HL142" s="202"/>
      <c r="HM142" s="202"/>
      <c r="HN142" s="203"/>
    </row>
    <row r="143" spans="1:222" ht="16.5" customHeight="1">
      <c r="A143" s="181">
        <v>140</v>
      </c>
      <c r="B143" s="182">
        <v>2089241604</v>
      </c>
      <c r="C143" s="598" t="s">
        <v>2385</v>
      </c>
      <c r="D143" s="184" t="s">
        <v>960</v>
      </c>
      <c r="E143" s="184" t="str">
        <f t="shared" si="15"/>
        <v>Import</v>
      </c>
      <c r="F143" s="720" t="str" cm="1">
        <f t="array" ref="F143">_xlfn.IFS(
  OR(AI143="E11", AI143="E15"), "Raw materials",
  OR(AI143="E13", AI143="G13"), "Equipments + Toolings",
  TRUE, RIGHT(C143, 8)
)</f>
        <v>Raw materials</v>
      </c>
      <c r="G143" s="541" t="str" cm="1">
        <f t="array" ref="G143">IF(E143="Import",
  IFERROR(
    _xlfn.IFS(
      VLOOKUP(B143,[1]Material!F$5:U$90000,16,0)="LUC","Lucid",
      VLOOKUP(B143,[1]Material!F$5:U$90000,16,0)="FMC","FORD",
      OR(VLOOKUP(B143,[1]Material!F$5:U$90000,16,0)="PUR",VLOOKUP(B143,[1]Material!F$5:U$90000,16,0)="HLO"),"PURE",
      VLOOKUP(B143,[1]Material!F$5:U$90000,16,0)="AIC","AIC",
      OR(VLOOKUP(B143,[1]Material!F$5:U$90000,16,0)="AGI",VLOOKUP(B143,[1]Material!F$5:U$90000,16,0)="AGIGA"),"AGIGA",
      OR(LEFT(VLOOKUP(B143,[1]Material!F$5:U$90000,16,0),3)="EF-",VLOOKUP(B143,[1]Material!F$5:U$90000,16,0)="EFI"),"EFI",
      AND(ISNUMBER(VLOOKUP(B143,[1]Material!F$5:U$90000,16,0)),VLOOKUP(B143,[1]Material!F$5:U$90000,16,0)&gt;=100,VLOOKUP(B143,[1]Material!F$5:U$90000,16,0)&lt;=999,VLOOKUP(B143,[1]Material!F$5:U$90000,16,0)=INT(VLOOKUP(B143,[1]Material!F$5:U$90000,16,0))),"OEM",
      TRUE,""
    ),
    "không tìm thấy trong file Import"
  ),
  VLOOKUP(F143,'[2]Export shipment'!B:Y,24,0)
)</f>
        <v>Lucid</v>
      </c>
      <c r="H143" s="184"/>
      <c r="I143" s="184"/>
      <c r="J143" s="260">
        <f>(V143+X143+AA143)/'Logistics record '!$AD$1</f>
        <v>15.116015418335726</v>
      </c>
      <c r="K143" s="260">
        <f>W143/'Logistics record '!$AD$1</f>
        <v>0</v>
      </c>
      <c r="L143" s="260">
        <f>Y143/'Logistics record '!$AD$1</f>
        <v>0</v>
      </c>
      <c r="M143" s="260">
        <f>AF143/'Logistics record '!$AD$1</f>
        <v>0</v>
      </c>
      <c r="N143" s="260" t="str" cm="1">
        <f t="array" ref="N143">_xlfn.IFS(
    OR(UPPER(S143)="AIR", UPPER(S143)="CPN"), "AIR",
    UPPER(S143)="TC", "LOCAL",
    TRUE, "SEA"
)</f>
        <v>AIR</v>
      </c>
      <c r="O143" s="260">
        <f t="shared" si="16"/>
        <v>15.116015418335726</v>
      </c>
      <c r="P143" s="184" t="s">
        <v>935</v>
      </c>
      <c r="Q143" s="185">
        <v>108302265960</v>
      </c>
      <c r="R143" s="186">
        <v>46175</v>
      </c>
      <c r="S143" s="187" t="s">
        <v>928</v>
      </c>
      <c r="T143" s="188">
        <v>502.1</v>
      </c>
      <c r="U143" s="188"/>
      <c r="V143" s="189">
        <v>400000</v>
      </c>
      <c r="W143" s="190"/>
      <c r="X143" s="190"/>
      <c r="Y143" s="190"/>
      <c r="Z143" s="189">
        <f t="shared" si="12"/>
        <v>400000</v>
      </c>
      <c r="AA143" s="189">
        <v>0</v>
      </c>
      <c r="AB143" s="189">
        <f t="shared" si="17"/>
        <v>400000</v>
      </c>
      <c r="AC143" s="189"/>
      <c r="AD143" s="190"/>
      <c r="AE143" s="190"/>
      <c r="AF143" s="191">
        <f t="shared" si="13"/>
        <v>0</v>
      </c>
      <c r="AG143" s="190">
        <f t="shared" si="14"/>
        <v>400000</v>
      </c>
      <c r="AH143" s="190"/>
      <c r="AI143" s="192" t="str">
        <f>VLOOKUP(Q143,[3]Sheet1!B$11:G$1489,6,0)</f>
        <v>E11</v>
      </c>
      <c r="GK143" s="194"/>
      <c r="GL143" s="195"/>
      <c r="GM143" s="196"/>
      <c r="GN143" s="197"/>
      <c r="GO143" s="198"/>
      <c r="GP143" s="199"/>
      <c r="GQ143" s="200"/>
      <c r="GR143" s="201"/>
      <c r="GS143" s="60"/>
      <c r="GT143" s="202"/>
      <c r="GU143" s="202"/>
      <c r="GV143" s="202"/>
      <c r="GW143" s="202"/>
      <c r="GX143" s="203"/>
      <c r="HA143" s="194"/>
      <c r="HB143" s="195"/>
      <c r="HC143" s="196"/>
      <c r="HD143" s="197"/>
      <c r="HE143" s="198"/>
      <c r="HF143" s="199"/>
      <c r="HG143" s="200"/>
      <c r="HH143" s="201"/>
      <c r="HI143" s="60"/>
      <c r="HJ143" s="202"/>
      <c r="HK143" s="202"/>
      <c r="HL143" s="202"/>
      <c r="HM143" s="202"/>
      <c r="HN143" s="203"/>
    </row>
    <row r="144" spans="1:222" ht="16.5" customHeight="1">
      <c r="A144" s="181">
        <v>141</v>
      </c>
      <c r="B144" s="182">
        <v>2089241604</v>
      </c>
      <c r="C144" s="598" t="s">
        <v>2385</v>
      </c>
      <c r="D144" s="184" t="s">
        <v>960</v>
      </c>
      <c r="E144" s="184" t="str">
        <f t="shared" si="15"/>
        <v>Import</v>
      </c>
      <c r="F144" s="720" t="str" cm="1">
        <f t="array" ref="F144">_xlfn.IFS(
  OR(AI144="E11", AI144="E15"), "Raw materials",
  OR(AI144="E13", AI144="G13"), "Equipments + Toolings",
  TRUE, RIGHT(C144, 8)
)</f>
        <v>Raw materials</v>
      </c>
      <c r="G144" s="541" t="str" cm="1">
        <f t="array" ref="G144">IF(E144="Import",
  IFERROR(
    _xlfn.IFS(
      VLOOKUP(B144,[1]Material!F$5:U$90000,16,0)="LUC","Lucid",
      VLOOKUP(B144,[1]Material!F$5:U$90000,16,0)="FMC","FORD",
      OR(VLOOKUP(B144,[1]Material!F$5:U$90000,16,0)="PUR",VLOOKUP(B144,[1]Material!F$5:U$90000,16,0)="HLO"),"PURE",
      VLOOKUP(B144,[1]Material!F$5:U$90000,16,0)="AIC","AIC",
      OR(VLOOKUP(B144,[1]Material!F$5:U$90000,16,0)="AGI",VLOOKUP(B144,[1]Material!F$5:U$90000,16,0)="AGIGA"),"AGIGA",
      OR(LEFT(VLOOKUP(B144,[1]Material!F$5:U$90000,16,0),3)="EF-",VLOOKUP(B144,[1]Material!F$5:U$90000,16,0)="EFI"),"EFI",
      AND(ISNUMBER(VLOOKUP(B144,[1]Material!F$5:U$90000,16,0)),VLOOKUP(B144,[1]Material!F$5:U$90000,16,0)&gt;=100,VLOOKUP(B144,[1]Material!F$5:U$90000,16,0)&lt;=999,VLOOKUP(B144,[1]Material!F$5:U$90000,16,0)=INT(VLOOKUP(B144,[1]Material!F$5:U$90000,16,0))),"OEM",
      TRUE,""
    ),
    "không tìm thấy trong file Import"
  ),
  VLOOKUP(F144,'[2]Export shipment'!B:Y,24,0)
)</f>
        <v>Lucid</v>
      </c>
      <c r="H144" s="184"/>
      <c r="I144" s="184"/>
      <c r="J144" s="260">
        <f>(V144+X144+AA144)/'Logistics record '!$AD$1</f>
        <v>11.337011563751796</v>
      </c>
      <c r="K144" s="260">
        <f>W144/'Logistics record '!$AD$1</f>
        <v>0</v>
      </c>
      <c r="L144" s="260">
        <f>Y144/'Logistics record '!$AD$1</f>
        <v>0</v>
      </c>
      <c r="M144" s="260">
        <f>AF144/'Logistics record '!$AD$1</f>
        <v>0</v>
      </c>
      <c r="N144" s="260" t="str" cm="1">
        <f t="array" ref="N144">_xlfn.IFS(
    OR(UPPER(S144)="AIR", UPPER(S144)="CPN"), "AIR",
    UPPER(S144)="TC", "LOCAL",
    TRUE, "SEA"
)</f>
        <v>AIR</v>
      </c>
      <c r="O144" s="260">
        <f t="shared" si="16"/>
        <v>11.337011563751796</v>
      </c>
      <c r="P144" s="184" t="s">
        <v>935</v>
      </c>
      <c r="Q144" s="185">
        <v>108302309510</v>
      </c>
      <c r="R144" s="186">
        <v>46175</v>
      </c>
      <c r="S144" s="187" t="s">
        <v>928</v>
      </c>
      <c r="T144" s="188">
        <v>502.1</v>
      </c>
      <c r="U144" s="188"/>
      <c r="V144" s="189">
        <v>300000</v>
      </c>
      <c r="W144" s="190"/>
      <c r="X144" s="190"/>
      <c r="Y144" s="190"/>
      <c r="Z144" s="189">
        <f t="shared" si="12"/>
        <v>300000</v>
      </c>
      <c r="AA144" s="189">
        <v>0</v>
      </c>
      <c r="AB144" s="189">
        <f t="shared" si="17"/>
        <v>300000</v>
      </c>
      <c r="AC144" s="189"/>
      <c r="AD144" s="190"/>
      <c r="AE144" s="190"/>
      <c r="AF144" s="191">
        <f t="shared" si="13"/>
        <v>0</v>
      </c>
      <c r="AG144" s="190">
        <f t="shared" si="14"/>
        <v>300000</v>
      </c>
      <c r="AH144" s="190"/>
      <c r="AI144" s="192" t="str">
        <f>VLOOKUP(Q144,[3]Sheet1!B$11:G$1489,6,0)</f>
        <v>E11</v>
      </c>
      <c r="GK144" s="194"/>
      <c r="GL144" s="195"/>
      <c r="GM144" s="196"/>
      <c r="GN144" s="197"/>
      <c r="GO144" s="198"/>
      <c r="GP144" s="199"/>
      <c r="GQ144" s="200"/>
      <c r="GR144" s="201"/>
      <c r="GS144" s="60"/>
      <c r="GT144" s="202"/>
      <c r="GU144" s="202"/>
      <c r="GV144" s="202"/>
      <c r="GW144" s="202"/>
      <c r="GX144" s="203"/>
      <c r="HA144" s="194"/>
      <c r="HB144" s="195"/>
      <c r="HC144" s="196"/>
      <c r="HD144" s="197"/>
      <c r="HE144" s="198"/>
      <c r="HF144" s="199"/>
      <c r="HG144" s="200"/>
      <c r="HH144" s="201"/>
      <c r="HI144" s="60"/>
      <c r="HJ144" s="202"/>
      <c r="HK144" s="202"/>
      <c r="HL144" s="202"/>
      <c r="HM144" s="202"/>
      <c r="HN144" s="203"/>
    </row>
    <row r="145" spans="1:222" ht="16.5" customHeight="1">
      <c r="A145" s="181">
        <v>142</v>
      </c>
      <c r="B145" s="182">
        <v>2089241604</v>
      </c>
      <c r="C145" s="598" t="s">
        <v>2385</v>
      </c>
      <c r="D145" s="184" t="s">
        <v>960</v>
      </c>
      <c r="E145" s="184" t="str">
        <f t="shared" si="15"/>
        <v>Import</v>
      </c>
      <c r="F145" s="720" t="str" cm="1">
        <f t="array" ref="F145">_xlfn.IFS(
  OR(AI145="E11", AI145="E15"), "Raw materials",
  OR(AI145="E13", AI145="G13"), "Equipments + Toolings",
  TRUE, RIGHT(C145, 8)
)</f>
        <v>Raw materials</v>
      </c>
      <c r="G145" s="541" t="str" cm="1">
        <f t="array" ref="G145">IF(E145="Import",
  IFERROR(
    _xlfn.IFS(
      VLOOKUP(B145,[1]Material!F$5:U$90000,16,0)="LUC","Lucid",
      VLOOKUP(B145,[1]Material!F$5:U$90000,16,0)="FMC","FORD",
      OR(VLOOKUP(B145,[1]Material!F$5:U$90000,16,0)="PUR",VLOOKUP(B145,[1]Material!F$5:U$90000,16,0)="HLO"),"PURE",
      VLOOKUP(B145,[1]Material!F$5:U$90000,16,0)="AIC","AIC",
      OR(VLOOKUP(B145,[1]Material!F$5:U$90000,16,0)="AGI",VLOOKUP(B145,[1]Material!F$5:U$90000,16,0)="AGIGA"),"AGIGA",
      OR(LEFT(VLOOKUP(B145,[1]Material!F$5:U$90000,16,0),3)="EF-",VLOOKUP(B145,[1]Material!F$5:U$90000,16,0)="EFI"),"EFI",
      AND(ISNUMBER(VLOOKUP(B145,[1]Material!F$5:U$90000,16,0)),VLOOKUP(B145,[1]Material!F$5:U$90000,16,0)&gt;=100,VLOOKUP(B145,[1]Material!F$5:U$90000,16,0)&lt;=999,VLOOKUP(B145,[1]Material!F$5:U$90000,16,0)=INT(VLOOKUP(B145,[1]Material!F$5:U$90000,16,0))),"OEM",
      TRUE,""
    ),
    "không tìm thấy trong file Import"
  ),
  VLOOKUP(F145,'[2]Export shipment'!B:Y,24,0)
)</f>
        <v>Lucid</v>
      </c>
      <c r="H145" s="184"/>
      <c r="I145" s="184"/>
      <c r="J145" s="260">
        <f>(V145+X145+AA145)/'Logistics record '!$AD$1</f>
        <v>11.337011563751796</v>
      </c>
      <c r="K145" s="260">
        <f>W145/'Logistics record '!$AD$1</f>
        <v>0</v>
      </c>
      <c r="L145" s="260">
        <f>Y145/'Logistics record '!$AD$1</f>
        <v>0</v>
      </c>
      <c r="M145" s="260">
        <f>AF145/'Logistics record '!$AD$1</f>
        <v>0</v>
      </c>
      <c r="N145" s="260" t="str" cm="1">
        <f t="array" ref="N145">_xlfn.IFS(
    OR(UPPER(S145)="AIR", UPPER(S145)="CPN"), "AIR",
    UPPER(S145)="TC", "LOCAL",
    TRUE, "SEA"
)</f>
        <v>AIR</v>
      </c>
      <c r="O145" s="260">
        <f t="shared" si="16"/>
        <v>11.337011563751796</v>
      </c>
      <c r="P145" s="184" t="s">
        <v>935</v>
      </c>
      <c r="Q145" s="185">
        <v>108302340750</v>
      </c>
      <c r="R145" s="186">
        <v>46175</v>
      </c>
      <c r="S145" s="187" t="s">
        <v>928</v>
      </c>
      <c r="T145" s="188">
        <v>502.1</v>
      </c>
      <c r="U145" s="188"/>
      <c r="V145" s="189">
        <v>300000</v>
      </c>
      <c r="W145" s="190"/>
      <c r="X145" s="190"/>
      <c r="Y145" s="190"/>
      <c r="Z145" s="189">
        <f t="shared" si="12"/>
        <v>300000</v>
      </c>
      <c r="AA145" s="189">
        <v>0</v>
      </c>
      <c r="AB145" s="189">
        <f t="shared" si="17"/>
        <v>300000</v>
      </c>
      <c r="AC145" s="189"/>
      <c r="AD145" s="190"/>
      <c r="AE145" s="190"/>
      <c r="AF145" s="191">
        <f t="shared" si="13"/>
        <v>0</v>
      </c>
      <c r="AG145" s="190">
        <f t="shared" si="14"/>
        <v>300000</v>
      </c>
      <c r="AH145" s="190"/>
      <c r="AI145" s="192" t="str">
        <f>VLOOKUP(Q145,[3]Sheet1!B$11:G$1489,6,0)</f>
        <v>E11</v>
      </c>
      <c r="GK145" s="194"/>
      <c r="GL145" s="195"/>
      <c r="GM145" s="196"/>
      <c r="GN145" s="197"/>
      <c r="GO145" s="198"/>
      <c r="GP145" s="199"/>
      <c r="GQ145" s="200"/>
      <c r="GR145" s="201"/>
      <c r="GS145" s="60"/>
      <c r="GT145" s="202"/>
      <c r="GU145" s="202"/>
      <c r="GV145" s="202"/>
      <c r="GW145" s="202"/>
      <c r="GX145" s="203"/>
      <c r="HA145" s="194"/>
      <c r="HB145" s="195"/>
      <c r="HC145" s="196"/>
      <c r="HD145" s="197"/>
      <c r="HE145" s="198"/>
      <c r="HF145" s="199"/>
      <c r="HG145" s="200"/>
      <c r="HH145" s="201"/>
      <c r="HI145" s="60"/>
      <c r="HJ145" s="202"/>
      <c r="HK145" s="202"/>
      <c r="HL145" s="202"/>
      <c r="HM145" s="202"/>
      <c r="HN145" s="203"/>
    </row>
    <row r="146" spans="1:222" ht="16.5" customHeight="1">
      <c r="A146" s="181">
        <v>143</v>
      </c>
      <c r="B146" s="182">
        <v>2089241604</v>
      </c>
      <c r="C146" s="598" t="s">
        <v>2385</v>
      </c>
      <c r="D146" s="184" t="s">
        <v>960</v>
      </c>
      <c r="E146" s="184" t="str">
        <f t="shared" si="15"/>
        <v>Import</v>
      </c>
      <c r="F146" s="720" t="str" cm="1">
        <f t="array" ref="F146">_xlfn.IFS(
  OR(AI146="E11", AI146="E15"), "Raw materials",
  OR(AI146="E13", AI146="G13"), "Equipments + Toolings",
  TRUE, RIGHT(C146, 8)
)</f>
        <v>Raw materials</v>
      </c>
      <c r="G146" s="541" t="str" cm="1">
        <f t="array" ref="G146">IF(E146="Import",
  IFERROR(
    _xlfn.IFS(
      VLOOKUP(B146,[1]Material!F$5:U$90000,16,0)="LUC","Lucid",
      VLOOKUP(B146,[1]Material!F$5:U$90000,16,0)="FMC","FORD",
      OR(VLOOKUP(B146,[1]Material!F$5:U$90000,16,0)="PUR",VLOOKUP(B146,[1]Material!F$5:U$90000,16,0)="HLO"),"PURE",
      VLOOKUP(B146,[1]Material!F$5:U$90000,16,0)="AIC","AIC",
      OR(VLOOKUP(B146,[1]Material!F$5:U$90000,16,0)="AGI",VLOOKUP(B146,[1]Material!F$5:U$90000,16,0)="AGIGA"),"AGIGA",
      OR(LEFT(VLOOKUP(B146,[1]Material!F$5:U$90000,16,0),3)="EF-",VLOOKUP(B146,[1]Material!F$5:U$90000,16,0)="EFI"),"EFI",
      AND(ISNUMBER(VLOOKUP(B146,[1]Material!F$5:U$90000,16,0)),VLOOKUP(B146,[1]Material!F$5:U$90000,16,0)&gt;=100,VLOOKUP(B146,[1]Material!F$5:U$90000,16,0)&lt;=999,VLOOKUP(B146,[1]Material!F$5:U$90000,16,0)=INT(VLOOKUP(B146,[1]Material!F$5:U$90000,16,0))),"OEM",
      TRUE,""
    ),
    "không tìm thấy trong file Import"
  ),
  VLOOKUP(F146,'[2]Export shipment'!B:Y,24,0)
)</f>
        <v>Lucid</v>
      </c>
      <c r="H146" s="184"/>
      <c r="I146" s="184"/>
      <c r="J146" s="260">
        <f>(V146+X146+AA146)/'Logistics record '!$AD$1</f>
        <v>11.337011563751796</v>
      </c>
      <c r="K146" s="260">
        <f>W146/'Logistics record '!$AD$1</f>
        <v>0</v>
      </c>
      <c r="L146" s="260">
        <f>Y146/'Logistics record '!$AD$1</f>
        <v>0</v>
      </c>
      <c r="M146" s="260">
        <f>AF146/'Logistics record '!$AD$1</f>
        <v>0</v>
      </c>
      <c r="N146" s="260" t="str" cm="1">
        <f t="array" ref="N146">_xlfn.IFS(
    OR(UPPER(S146)="AIR", UPPER(S146)="CPN"), "AIR",
    UPPER(S146)="TC", "LOCAL",
    TRUE, "SEA"
)</f>
        <v>AIR</v>
      </c>
      <c r="O146" s="260">
        <f t="shared" si="16"/>
        <v>11.337011563751796</v>
      </c>
      <c r="P146" s="184" t="s">
        <v>935</v>
      </c>
      <c r="Q146" s="185">
        <v>108302341930</v>
      </c>
      <c r="R146" s="186">
        <v>46175</v>
      </c>
      <c r="S146" s="187" t="s">
        <v>928</v>
      </c>
      <c r="T146" s="188">
        <v>502.1</v>
      </c>
      <c r="U146" s="188"/>
      <c r="V146" s="189">
        <v>300000</v>
      </c>
      <c r="W146" s="190"/>
      <c r="X146" s="190"/>
      <c r="Y146" s="190"/>
      <c r="Z146" s="189">
        <f t="shared" si="12"/>
        <v>300000</v>
      </c>
      <c r="AA146" s="189">
        <v>0</v>
      </c>
      <c r="AB146" s="189">
        <f t="shared" si="17"/>
        <v>300000</v>
      </c>
      <c r="AC146" s="189"/>
      <c r="AD146" s="190"/>
      <c r="AE146" s="190"/>
      <c r="AF146" s="191">
        <f t="shared" si="13"/>
        <v>0</v>
      </c>
      <c r="AG146" s="190">
        <f t="shared" si="14"/>
        <v>300000</v>
      </c>
      <c r="AH146" s="190"/>
      <c r="AI146" s="192" t="str">
        <f>VLOOKUP(Q146,[3]Sheet1!B$11:G$1489,6,0)</f>
        <v>E11</v>
      </c>
      <c r="GK146" s="194"/>
      <c r="GL146" s="195"/>
      <c r="GM146" s="196"/>
      <c r="GN146" s="197"/>
      <c r="GO146" s="198"/>
      <c r="GP146" s="199"/>
      <c r="GQ146" s="200"/>
      <c r="GR146" s="201"/>
      <c r="GS146" s="60"/>
      <c r="GT146" s="202"/>
      <c r="GU146" s="202"/>
      <c r="GV146" s="202"/>
      <c r="GW146" s="202"/>
      <c r="GX146" s="203"/>
      <c r="HA146" s="194"/>
      <c r="HB146" s="195"/>
      <c r="HC146" s="196"/>
      <c r="HD146" s="197"/>
      <c r="HE146" s="198"/>
      <c r="HF146" s="199"/>
      <c r="HG146" s="200"/>
      <c r="HH146" s="201"/>
      <c r="HI146" s="60"/>
      <c r="HJ146" s="202"/>
      <c r="HK146" s="202"/>
      <c r="HL146" s="202"/>
      <c r="HM146" s="202"/>
      <c r="HN146" s="203"/>
    </row>
    <row r="147" spans="1:222" ht="16.5" customHeight="1">
      <c r="A147" s="181">
        <v>144</v>
      </c>
      <c r="B147" s="182">
        <v>2089241604</v>
      </c>
      <c r="C147" s="598" t="s">
        <v>2385</v>
      </c>
      <c r="D147" s="184" t="s">
        <v>960</v>
      </c>
      <c r="E147" s="184" t="str">
        <f t="shared" si="15"/>
        <v>Import</v>
      </c>
      <c r="F147" s="720" t="str" cm="1">
        <f t="array" ref="F147">_xlfn.IFS(
  OR(AI147="E11", AI147="E15"), "Raw materials",
  OR(AI147="E13", AI147="G13"), "Equipments + Toolings",
  TRUE, RIGHT(C147, 8)
)</f>
        <v>Raw materials</v>
      </c>
      <c r="G147" s="541" t="str" cm="1">
        <f t="array" ref="G147">IF(E147="Import",
  IFERROR(
    _xlfn.IFS(
      VLOOKUP(B147,[1]Material!F$5:U$90000,16,0)="LUC","Lucid",
      VLOOKUP(B147,[1]Material!F$5:U$90000,16,0)="FMC","FORD",
      OR(VLOOKUP(B147,[1]Material!F$5:U$90000,16,0)="PUR",VLOOKUP(B147,[1]Material!F$5:U$90000,16,0)="HLO"),"PURE",
      VLOOKUP(B147,[1]Material!F$5:U$90000,16,0)="AIC","AIC",
      OR(VLOOKUP(B147,[1]Material!F$5:U$90000,16,0)="AGI",VLOOKUP(B147,[1]Material!F$5:U$90000,16,0)="AGIGA"),"AGIGA",
      OR(LEFT(VLOOKUP(B147,[1]Material!F$5:U$90000,16,0),3)="EF-",VLOOKUP(B147,[1]Material!F$5:U$90000,16,0)="EFI"),"EFI",
      AND(ISNUMBER(VLOOKUP(B147,[1]Material!F$5:U$90000,16,0)),VLOOKUP(B147,[1]Material!F$5:U$90000,16,0)&gt;=100,VLOOKUP(B147,[1]Material!F$5:U$90000,16,0)&lt;=999,VLOOKUP(B147,[1]Material!F$5:U$90000,16,0)=INT(VLOOKUP(B147,[1]Material!F$5:U$90000,16,0))),"OEM",
      TRUE,""
    ),
    "không tìm thấy trong file Import"
  ),
  VLOOKUP(F147,'[2]Export shipment'!B:Y,24,0)
)</f>
        <v>Lucid</v>
      </c>
      <c r="H147" s="184"/>
      <c r="I147" s="184"/>
      <c r="J147" s="260">
        <f>(V147+X147+AA147)/'Logistics record '!$AD$1</f>
        <v>11.337011563751796</v>
      </c>
      <c r="K147" s="260">
        <f>W147/'Logistics record '!$AD$1</f>
        <v>0</v>
      </c>
      <c r="L147" s="260">
        <f>Y147/'Logistics record '!$AD$1</f>
        <v>0</v>
      </c>
      <c r="M147" s="260">
        <f>AF147/'Logistics record '!$AD$1</f>
        <v>0</v>
      </c>
      <c r="N147" s="260" t="str" cm="1">
        <f t="array" ref="N147">_xlfn.IFS(
    OR(UPPER(S147)="AIR", UPPER(S147)="CPN"), "AIR",
    UPPER(S147)="TC", "LOCAL",
    TRUE, "SEA"
)</f>
        <v>AIR</v>
      </c>
      <c r="O147" s="260">
        <f t="shared" si="16"/>
        <v>11.337011563751796</v>
      </c>
      <c r="P147" s="184" t="s">
        <v>935</v>
      </c>
      <c r="Q147" s="185">
        <v>108302344140</v>
      </c>
      <c r="R147" s="186">
        <v>46175</v>
      </c>
      <c r="S147" s="187" t="s">
        <v>928</v>
      </c>
      <c r="T147" s="188">
        <v>502.1</v>
      </c>
      <c r="U147" s="188"/>
      <c r="V147" s="189">
        <v>300000</v>
      </c>
      <c r="W147" s="190"/>
      <c r="X147" s="190"/>
      <c r="Y147" s="190"/>
      <c r="Z147" s="189">
        <f t="shared" si="12"/>
        <v>300000</v>
      </c>
      <c r="AA147" s="189">
        <v>0</v>
      </c>
      <c r="AB147" s="189">
        <f t="shared" si="17"/>
        <v>300000</v>
      </c>
      <c r="AC147" s="189"/>
      <c r="AD147" s="190"/>
      <c r="AE147" s="190"/>
      <c r="AF147" s="191">
        <f t="shared" si="13"/>
        <v>0</v>
      </c>
      <c r="AG147" s="190">
        <f t="shared" si="14"/>
        <v>300000</v>
      </c>
      <c r="AH147" s="190"/>
      <c r="AI147" s="192" t="str">
        <f>VLOOKUP(Q147,[3]Sheet1!B$11:G$1489,6,0)</f>
        <v>E11</v>
      </c>
      <c r="GK147" s="194"/>
      <c r="GL147" s="195"/>
      <c r="GM147" s="196"/>
      <c r="GN147" s="197"/>
      <c r="GO147" s="198"/>
      <c r="GP147" s="199"/>
      <c r="GQ147" s="200"/>
      <c r="GR147" s="201"/>
      <c r="GS147" s="60"/>
      <c r="GT147" s="202"/>
      <c r="GU147" s="202"/>
      <c r="GV147" s="202"/>
      <c r="GW147" s="202"/>
      <c r="GX147" s="203"/>
      <c r="HA147" s="194"/>
      <c r="HB147" s="195"/>
      <c r="HC147" s="196"/>
      <c r="HD147" s="197"/>
      <c r="HE147" s="198"/>
      <c r="HF147" s="199"/>
      <c r="HG147" s="200"/>
      <c r="HH147" s="201"/>
      <c r="HI147" s="60"/>
      <c r="HJ147" s="202"/>
      <c r="HK147" s="202"/>
      <c r="HL147" s="202"/>
      <c r="HM147" s="202"/>
      <c r="HN147" s="203"/>
    </row>
    <row r="148" spans="1:222" ht="16.5" customHeight="1">
      <c r="A148" s="181">
        <v>145</v>
      </c>
      <c r="B148" s="182">
        <v>526433678489</v>
      </c>
      <c r="C148" s="183" t="s">
        <v>2386</v>
      </c>
      <c r="D148" s="184" t="s">
        <v>950</v>
      </c>
      <c r="E148" s="184" t="str">
        <f t="shared" si="15"/>
        <v>Import</v>
      </c>
      <c r="F148" s="720" t="str" cm="1">
        <f t="array" ref="F148">_xlfn.IFS(
  OR(AI148="E11", AI148="E15"), "Raw materials",
  OR(AI148="E13", AI148="G13"), "Equipments + Toolings",
  TRUE, RIGHT(C148, 8)
)</f>
        <v>Raw materials</v>
      </c>
      <c r="G148" s="541" t="str" cm="1">
        <f t="array" ref="G148">IF(E148="Import",
  IFERROR(
    _xlfn.IFS(
      VLOOKUP(B148,[1]Material!F$5:U$90000,16,0)="LUC","Lucid",
      VLOOKUP(B148,[1]Material!F$5:U$90000,16,0)="FMC","FORD",
      OR(VLOOKUP(B148,[1]Material!F$5:U$90000,16,0)="PUR",VLOOKUP(B148,[1]Material!F$5:U$90000,16,0)="HLO"),"PURE",
      VLOOKUP(B148,[1]Material!F$5:U$90000,16,0)="AIC","AIC",
      OR(VLOOKUP(B148,[1]Material!F$5:U$90000,16,0)="AGI",VLOOKUP(B148,[1]Material!F$5:U$90000,16,0)="AGIGA"),"AGIGA",
      OR(LEFT(VLOOKUP(B148,[1]Material!F$5:U$90000,16,0),3)="EF-",VLOOKUP(B148,[1]Material!F$5:U$90000,16,0)="EFI"),"EFI",
      AND(ISNUMBER(VLOOKUP(B148,[1]Material!F$5:U$90000,16,0)),VLOOKUP(B148,[1]Material!F$5:U$90000,16,0)&gt;=100,VLOOKUP(B148,[1]Material!F$5:U$90000,16,0)&lt;=999,VLOOKUP(B148,[1]Material!F$5:U$90000,16,0)=INT(VLOOKUP(B148,[1]Material!F$5:U$90000,16,0))),"OEM",
      TRUE,""
    ),
    "không tìm thấy trong file Import"
  ),
  VLOOKUP(F148,'[2]Export shipment'!B:Y,24,0)
)</f>
        <v>PURE</v>
      </c>
      <c r="H148" s="184"/>
      <c r="I148" s="184"/>
      <c r="J148" s="260">
        <f>(V148+X148+AA148)/'Logistics record '!$AD$1</f>
        <v>15.116015418335726</v>
      </c>
      <c r="K148" s="260">
        <f>W148/'Logistics record '!$AD$1</f>
        <v>0</v>
      </c>
      <c r="L148" s="260">
        <f>Y148/'Logistics record '!$AD$1</f>
        <v>0</v>
      </c>
      <c r="M148" s="260">
        <f>AF148/'Logistics record '!$AD$1</f>
        <v>0</v>
      </c>
      <c r="N148" s="260" t="str" cm="1">
        <f t="array" ref="N148">_xlfn.IFS(
    OR(UPPER(S148)="AIR", UPPER(S148)="CPN"), "AIR",
    UPPER(S148)="TC", "LOCAL",
    TRUE, "SEA"
)</f>
        <v>AIR</v>
      </c>
      <c r="O148" s="260">
        <f t="shared" si="16"/>
        <v>15.116015418335726</v>
      </c>
      <c r="P148" s="184" t="s">
        <v>935</v>
      </c>
      <c r="Q148" s="185">
        <v>108302383230</v>
      </c>
      <c r="R148" s="186">
        <v>46175</v>
      </c>
      <c r="S148" s="187" t="s">
        <v>928</v>
      </c>
      <c r="T148" s="188">
        <v>2.1</v>
      </c>
      <c r="U148" s="188"/>
      <c r="V148" s="189">
        <v>400000</v>
      </c>
      <c r="W148" s="190"/>
      <c r="X148" s="190"/>
      <c r="Y148" s="190"/>
      <c r="Z148" s="189">
        <f t="shared" si="12"/>
        <v>400000</v>
      </c>
      <c r="AA148" s="189">
        <v>0</v>
      </c>
      <c r="AB148" s="189">
        <f t="shared" si="17"/>
        <v>400000</v>
      </c>
      <c r="AC148" s="189"/>
      <c r="AD148" s="190"/>
      <c r="AE148" s="190"/>
      <c r="AF148" s="191">
        <f t="shared" si="13"/>
        <v>0</v>
      </c>
      <c r="AG148" s="190">
        <f t="shared" si="14"/>
        <v>400000</v>
      </c>
      <c r="AH148" s="190"/>
      <c r="AI148" s="192" t="str">
        <f>VLOOKUP(Q148,[3]Sheet1!B$11:G$1489,6,0)</f>
        <v>E11</v>
      </c>
      <c r="GK148" s="194"/>
      <c r="GL148" s="195"/>
      <c r="GM148" s="196"/>
      <c r="GN148" s="197"/>
      <c r="GO148" s="198"/>
      <c r="GP148" s="199"/>
      <c r="GQ148" s="200"/>
      <c r="GR148" s="201"/>
      <c r="GS148" s="60"/>
      <c r="GT148" s="202"/>
      <c r="GU148" s="202"/>
      <c r="GV148" s="202"/>
      <c r="GW148" s="202"/>
      <c r="GX148" s="203"/>
      <c r="HA148" s="194"/>
      <c r="HB148" s="195"/>
      <c r="HC148" s="196"/>
      <c r="HD148" s="197"/>
      <c r="HE148" s="198"/>
      <c r="HF148" s="199"/>
      <c r="HG148" s="200"/>
      <c r="HH148" s="201"/>
      <c r="HI148" s="60"/>
      <c r="HJ148" s="202"/>
      <c r="HK148" s="202"/>
      <c r="HL148" s="202"/>
      <c r="HM148" s="202"/>
      <c r="HN148" s="203"/>
    </row>
    <row r="149" spans="1:222" ht="16.5" customHeight="1">
      <c r="A149" s="181">
        <v>146</v>
      </c>
      <c r="B149" s="182">
        <v>1399590010</v>
      </c>
      <c r="C149" s="183" t="s">
        <v>2387</v>
      </c>
      <c r="D149" s="184" t="s">
        <v>2388</v>
      </c>
      <c r="E149" s="184" t="str">
        <f t="shared" si="15"/>
        <v>Import</v>
      </c>
      <c r="F149" s="720" t="str" cm="1">
        <f t="array" ref="F149">_xlfn.IFS(
  OR(AI149="E11", AI149="E15"), "Raw materials",
  OR(AI149="E13", AI149="G13"), "Equipments + Toolings",
  TRUE, RIGHT(C149, 8)
)</f>
        <v>Raw materials</v>
      </c>
      <c r="G149" s="541" t="str" cm="1">
        <f t="array" ref="G149">IF(E149="Import",
  IFERROR(
    _xlfn.IFS(
      VLOOKUP(B149,[1]Material!F$5:U$90000,16,0)="LUC","Lucid",
      VLOOKUP(B149,[1]Material!F$5:U$90000,16,0)="FMC","FORD",
      OR(VLOOKUP(B149,[1]Material!F$5:U$90000,16,0)="PUR",VLOOKUP(B149,[1]Material!F$5:U$90000,16,0)="HLO"),"PURE",
      VLOOKUP(B149,[1]Material!F$5:U$90000,16,0)="AIC","AIC",
      OR(VLOOKUP(B149,[1]Material!F$5:U$90000,16,0)="AGI",VLOOKUP(B149,[1]Material!F$5:U$90000,16,0)="AGIGA"),"AGIGA",
      OR(LEFT(VLOOKUP(B149,[1]Material!F$5:U$90000,16,0),3)="EF-",VLOOKUP(B149,[1]Material!F$5:U$90000,16,0)="EFI"),"EFI",
      AND(ISNUMBER(VLOOKUP(B149,[1]Material!F$5:U$90000,16,0)),VLOOKUP(B149,[1]Material!F$5:U$90000,16,0)&gt;=100,VLOOKUP(B149,[1]Material!F$5:U$90000,16,0)&lt;=999,VLOOKUP(B149,[1]Material!F$5:U$90000,16,0)=INT(VLOOKUP(B149,[1]Material!F$5:U$90000,16,0))),"OEM",
      TRUE,""
    ),
    "không tìm thấy trong file Import"
  ),
  VLOOKUP(F149,'[2]Export shipment'!B:Y,24,0)
)</f>
        <v>PURE</v>
      </c>
      <c r="H149" s="184"/>
      <c r="I149" s="184"/>
      <c r="J149" s="260">
        <f>(V149+X149+AA149)/'Logistics record '!$AD$1</f>
        <v>15.116015418335726</v>
      </c>
      <c r="K149" s="260">
        <f>W149/'Logistics record '!$AD$1</f>
        <v>0</v>
      </c>
      <c r="L149" s="260">
        <f>Y149/'Logistics record '!$AD$1</f>
        <v>0</v>
      </c>
      <c r="M149" s="260">
        <f>AF149/'Logistics record '!$AD$1</f>
        <v>0</v>
      </c>
      <c r="N149" s="260" t="str" cm="1">
        <f t="array" ref="N149">_xlfn.IFS(
    OR(UPPER(S149)="AIR", UPPER(S149)="CPN"), "AIR",
    UPPER(S149)="TC", "LOCAL",
    TRUE, "SEA"
)</f>
        <v>AIR</v>
      </c>
      <c r="O149" s="260">
        <f t="shared" si="16"/>
        <v>15.116015418335726</v>
      </c>
      <c r="P149" s="184" t="s">
        <v>939</v>
      </c>
      <c r="Q149" s="185">
        <v>108302425230</v>
      </c>
      <c r="R149" s="186">
        <v>46175</v>
      </c>
      <c r="S149" s="187" t="s">
        <v>928</v>
      </c>
      <c r="T149" s="188">
        <v>0.30000000000000004</v>
      </c>
      <c r="U149" s="188"/>
      <c r="V149" s="189">
        <v>400000</v>
      </c>
      <c r="W149" s="190"/>
      <c r="X149" s="190"/>
      <c r="Y149" s="190"/>
      <c r="Z149" s="189">
        <f t="shared" si="12"/>
        <v>400000</v>
      </c>
      <c r="AA149" s="189">
        <v>0</v>
      </c>
      <c r="AB149" s="189">
        <f t="shared" si="17"/>
        <v>400000</v>
      </c>
      <c r="AC149" s="189"/>
      <c r="AD149" s="190"/>
      <c r="AE149" s="190"/>
      <c r="AF149" s="191">
        <f t="shared" si="13"/>
        <v>0</v>
      </c>
      <c r="AG149" s="190">
        <f t="shared" si="14"/>
        <v>400000</v>
      </c>
      <c r="AH149" s="190"/>
      <c r="AI149" s="192" t="str">
        <f>VLOOKUP(Q149,[3]Sheet1!B$11:G$1489,6,0)</f>
        <v>E11</v>
      </c>
      <c r="GK149" s="194"/>
      <c r="GL149" s="195"/>
      <c r="GM149" s="196"/>
      <c r="GN149" s="197"/>
      <c r="GO149" s="198"/>
      <c r="GP149" s="199"/>
      <c r="GQ149" s="200"/>
      <c r="GR149" s="201"/>
      <c r="GS149" s="60"/>
      <c r="GT149" s="202"/>
      <c r="GU149" s="202"/>
      <c r="GV149" s="202"/>
      <c r="GW149" s="202"/>
      <c r="GX149" s="203"/>
      <c r="HA149" s="194"/>
      <c r="HB149" s="195"/>
      <c r="HC149" s="196"/>
      <c r="HD149" s="197"/>
      <c r="HE149" s="198"/>
      <c r="HF149" s="199"/>
      <c r="HG149" s="200"/>
      <c r="HH149" s="201"/>
      <c r="HI149" s="60"/>
      <c r="HJ149" s="202"/>
      <c r="HK149" s="202"/>
      <c r="HL149" s="202"/>
      <c r="HM149" s="202"/>
      <c r="HN149" s="203"/>
    </row>
    <row r="150" spans="1:222" ht="16.5" customHeight="1">
      <c r="A150" s="181">
        <v>147</v>
      </c>
      <c r="B150" s="182">
        <v>527158900676</v>
      </c>
      <c r="C150" s="183" t="s">
        <v>2389</v>
      </c>
      <c r="D150" s="184" t="s">
        <v>942</v>
      </c>
      <c r="E150" s="184" t="str">
        <f t="shared" si="15"/>
        <v>Import</v>
      </c>
      <c r="F150" s="720" t="str" cm="1">
        <f t="array" ref="F150">_xlfn.IFS(
  OR(AI150="E11", AI150="E15"), "Raw materials",
  OR(AI150="E13", AI150="G13"), "Equipments + Toolings",
  TRUE, RIGHT(C150, 8)
)</f>
        <v>Raw materials</v>
      </c>
      <c r="G150" s="541" t="str" cm="1">
        <f t="array" ref="G150">IF(E150="Import",
  IFERROR(
    _xlfn.IFS(
      VLOOKUP(B150,[1]Material!F$5:U$90000,16,0)="LUC","Lucid",
      VLOOKUP(B150,[1]Material!F$5:U$90000,16,0)="FMC","FORD",
      OR(VLOOKUP(B150,[1]Material!F$5:U$90000,16,0)="PUR",VLOOKUP(B150,[1]Material!F$5:U$90000,16,0)="HLO"),"PURE",
      VLOOKUP(B150,[1]Material!F$5:U$90000,16,0)="AIC","AIC",
      OR(VLOOKUP(B150,[1]Material!F$5:U$90000,16,0)="AGI",VLOOKUP(B150,[1]Material!F$5:U$90000,16,0)="AGIGA"),"AGIGA",
      OR(LEFT(VLOOKUP(B150,[1]Material!F$5:U$90000,16,0),3)="EF-",VLOOKUP(B150,[1]Material!F$5:U$90000,16,0)="EFI"),"EFI",
      AND(ISNUMBER(VLOOKUP(B150,[1]Material!F$5:U$90000,16,0)),VLOOKUP(B150,[1]Material!F$5:U$90000,16,0)&gt;=100,VLOOKUP(B150,[1]Material!F$5:U$90000,16,0)&lt;=999,VLOOKUP(B150,[1]Material!F$5:U$90000,16,0)=INT(VLOOKUP(B150,[1]Material!F$5:U$90000,16,0))),"OEM",
      TRUE,""
    ),
    "không tìm thấy trong file Import"
  ),
  VLOOKUP(F150,'[2]Export shipment'!B:Y,24,0)
)</f>
        <v>OEM</v>
      </c>
      <c r="H150" s="184"/>
      <c r="I150" s="184"/>
      <c r="J150" s="260">
        <f>(V150+X150+AA150)/'Logistics record '!$AD$1</f>
        <v>15.116015418335726</v>
      </c>
      <c r="K150" s="260">
        <f>W150/'Logistics record '!$AD$1</f>
        <v>0</v>
      </c>
      <c r="L150" s="260">
        <f>Y150/'Logistics record '!$AD$1</f>
        <v>0</v>
      </c>
      <c r="M150" s="260">
        <f>AF150/'Logistics record '!$AD$1</f>
        <v>0</v>
      </c>
      <c r="N150" s="260" t="str" cm="1">
        <f t="array" ref="N150">_xlfn.IFS(
    OR(UPPER(S150)="AIR", UPPER(S150)="CPN"), "AIR",
    UPPER(S150)="TC", "LOCAL",
    TRUE, "SEA"
)</f>
        <v>AIR</v>
      </c>
      <c r="O150" s="260">
        <f t="shared" si="16"/>
        <v>15.116015418335726</v>
      </c>
      <c r="P150" s="184" t="s">
        <v>935</v>
      </c>
      <c r="Q150" s="185">
        <v>108302481560</v>
      </c>
      <c r="R150" s="186">
        <v>46175</v>
      </c>
      <c r="S150" s="187" t="s">
        <v>928</v>
      </c>
      <c r="T150" s="188">
        <v>0.5</v>
      </c>
      <c r="U150" s="188"/>
      <c r="V150" s="189">
        <v>400000</v>
      </c>
      <c r="W150" s="190"/>
      <c r="X150" s="190"/>
      <c r="Y150" s="190"/>
      <c r="Z150" s="189">
        <f t="shared" si="12"/>
        <v>400000</v>
      </c>
      <c r="AA150" s="189">
        <v>0</v>
      </c>
      <c r="AB150" s="189">
        <f t="shared" si="17"/>
        <v>400000</v>
      </c>
      <c r="AC150" s="189"/>
      <c r="AD150" s="190"/>
      <c r="AE150" s="190"/>
      <c r="AF150" s="191">
        <f t="shared" si="13"/>
        <v>0</v>
      </c>
      <c r="AG150" s="190">
        <f t="shared" si="14"/>
        <v>400000</v>
      </c>
      <c r="AH150" s="190"/>
      <c r="AI150" s="192" t="str">
        <f>VLOOKUP(Q150,[3]Sheet1!B$11:G$1489,6,0)</f>
        <v>E11</v>
      </c>
      <c r="GK150" s="194"/>
      <c r="GL150" s="195"/>
      <c r="GM150" s="196"/>
      <c r="GN150" s="197"/>
      <c r="GO150" s="198"/>
      <c r="GP150" s="199"/>
      <c r="GQ150" s="200"/>
      <c r="GR150" s="201"/>
      <c r="GS150" s="60"/>
      <c r="GT150" s="202"/>
      <c r="GU150" s="202"/>
      <c r="GV150" s="202"/>
      <c r="GW150" s="202"/>
      <c r="GX150" s="203"/>
      <c r="HA150" s="194"/>
      <c r="HB150" s="195"/>
      <c r="HC150" s="196"/>
      <c r="HD150" s="197"/>
      <c r="HE150" s="198"/>
      <c r="HF150" s="199"/>
      <c r="HG150" s="200"/>
      <c r="HH150" s="201"/>
      <c r="HI150" s="60"/>
      <c r="HJ150" s="202"/>
      <c r="HK150" s="202"/>
      <c r="HL150" s="202"/>
      <c r="HM150" s="202"/>
      <c r="HN150" s="203"/>
    </row>
    <row r="151" spans="1:222" ht="16.5" customHeight="1">
      <c r="A151" s="181">
        <v>148</v>
      </c>
      <c r="B151" s="182">
        <v>119209733141</v>
      </c>
      <c r="C151" s="598" t="s">
        <v>2390</v>
      </c>
      <c r="D151" s="184" t="s">
        <v>944</v>
      </c>
      <c r="E151" s="184" t="str">
        <f t="shared" si="15"/>
        <v>Import</v>
      </c>
      <c r="F151" s="720" t="str" cm="1">
        <f t="array" ref="F151">_xlfn.IFS(
  OR(AI151="E11", AI151="E15"), "Raw materials",
  OR(AI151="E13", AI151="G13"), "Equipments + Toolings",
  TRUE, RIGHT(C151, 8)
)</f>
        <v>Raw materials</v>
      </c>
      <c r="G151" s="541" t="str" cm="1">
        <f t="array" ref="G151">IF(E151="Import",
  IFERROR(
    _xlfn.IFS(
      VLOOKUP(B151,[1]Material!F$5:U$90000,16,0)="LUC","Lucid",
      VLOOKUP(B151,[1]Material!F$5:U$90000,16,0)="FMC","FORD",
      OR(VLOOKUP(B151,[1]Material!F$5:U$90000,16,0)="PUR",VLOOKUP(B151,[1]Material!F$5:U$90000,16,0)="HLO"),"PURE",
      VLOOKUP(B151,[1]Material!F$5:U$90000,16,0)="AIC","AIC",
      OR(VLOOKUP(B151,[1]Material!F$5:U$90000,16,0)="AGI",VLOOKUP(B151,[1]Material!F$5:U$90000,16,0)="AGIGA"),"AGIGA",
      OR(LEFT(VLOOKUP(B151,[1]Material!F$5:U$90000,16,0),3)="EF-",VLOOKUP(B151,[1]Material!F$5:U$90000,16,0)="EFI"),"EFI",
      AND(ISNUMBER(VLOOKUP(B151,[1]Material!F$5:U$90000,16,0)),VLOOKUP(B151,[1]Material!F$5:U$90000,16,0)&gt;=100,VLOOKUP(B151,[1]Material!F$5:U$90000,16,0)&lt;=999,VLOOKUP(B151,[1]Material!F$5:U$90000,16,0)=INT(VLOOKUP(B151,[1]Material!F$5:U$90000,16,0))),"OEM",
      TRUE,""
    ),
    "không tìm thấy trong file Import"
  ),
  VLOOKUP(F151,'[2]Export shipment'!B:Y,24,0)
)</f>
        <v>PURE</v>
      </c>
      <c r="H151" s="184"/>
      <c r="I151" s="184"/>
      <c r="J151" s="260">
        <f>(V151+X151+AA151)/'Logistics record '!$AD$1</f>
        <v>15.116015418335726</v>
      </c>
      <c r="K151" s="260">
        <f>W151/'Logistics record '!$AD$1</f>
        <v>0</v>
      </c>
      <c r="L151" s="260">
        <f>Y151/'Logistics record '!$AD$1</f>
        <v>0</v>
      </c>
      <c r="M151" s="260">
        <f>AF151/'Logistics record '!$AD$1</f>
        <v>0</v>
      </c>
      <c r="N151" s="260" t="str" cm="1">
        <f t="array" ref="N151">_xlfn.IFS(
    OR(UPPER(S151)="AIR", UPPER(S151)="CPN"), "AIR",
    UPPER(S151)="TC", "LOCAL",
    TRUE, "SEA"
)</f>
        <v>AIR</v>
      </c>
      <c r="O151" s="260">
        <f t="shared" si="16"/>
        <v>15.116015418335726</v>
      </c>
      <c r="P151" s="184" t="s">
        <v>935</v>
      </c>
      <c r="Q151" s="185">
        <v>108302505400</v>
      </c>
      <c r="R151" s="186">
        <v>46175</v>
      </c>
      <c r="S151" s="187" t="s">
        <v>928</v>
      </c>
      <c r="T151" s="188">
        <v>0.8</v>
      </c>
      <c r="U151" s="188"/>
      <c r="V151" s="189">
        <v>400000</v>
      </c>
      <c r="W151" s="190"/>
      <c r="X151" s="190"/>
      <c r="Y151" s="190"/>
      <c r="Z151" s="189">
        <f t="shared" si="12"/>
        <v>400000</v>
      </c>
      <c r="AA151" s="189">
        <v>0</v>
      </c>
      <c r="AB151" s="189">
        <f t="shared" si="17"/>
        <v>400000</v>
      </c>
      <c r="AC151" s="189"/>
      <c r="AD151" s="190"/>
      <c r="AE151" s="190"/>
      <c r="AF151" s="191">
        <f t="shared" si="13"/>
        <v>0</v>
      </c>
      <c r="AG151" s="190">
        <f t="shared" si="14"/>
        <v>400000</v>
      </c>
      <c r="AH151" s="190"/>
      <c r="AI151" s="192" t="str">
        <f>VLOOKUP(Q151,[3]Sheet1!B$11:G$1489,6,0)</f>
        <v>E11</v>
      </c>
      <c r="GK151" s="194"/>
      <c r="GL151" s="195"/>
      <c r="GM151" s="196"/>
      <c r="GN151" s="197"/>
      <c r="GO151" s="198"/>
      <c r="GP151" s="199"/>
      <c r="GQ151" s="200"/>
      <c r="GR151" s="201"/>
      <c r="GS151" s="60"/>
      <c r="GT151" s="202"/>
      <c r="GU151" s="202"/>
      <c r="GV151" s="202"/>
      <c r="GW151" s="202"/>
      <c r="GX151" s="203"/>
      <c r="HA151" s="194"/>
      <c r="HB151" s="195"/>
      <c r="HC151" s="196"/>
      <c r="HD151" s="197"/>
      <c r="HE151" s="198"/>
      <c r="HF151" s="199"/>
      <c r="HG151" s="200"/>
      <c r="HH151" s="201"/>
      <c r="HI151" s="60"/>
      <c r="HJ151" s="202"/>
      <c r="HK151" s="202"/>
      <c r="HL151" s="202"/>
      <c r="HM151" s="202"/>
      <c r="HN151" s="203"/>
    </row>
    <row r="152" spans="1:222" ht="16.5" customHeight="1">
      <c r="A152" s="181">
        <v>149</v>
      </c>
      <c r="B152" s="182">
        <v>1291246305</v>
      </c>
      <c r="C152" s="598" t="s">
        <v>2391</v>
      </c>
      <c r="D152" s="184" t="s">
        <v>934</v>
      </c>
      <c r="E152" s="184" t="str">
        <f t="shared" si="15"/>
        <v>Import</v>
      </c>
      <c r="F152" s="720" t="str" cm="1">
        <f t="array" ref="F152">_xlfn.IFS(
  OR(AI152="E11", AI152="E15"), "Raw materials",
  OR(AI152="E13", AI152="G13"), "Equipments + Toolings",
  TRUE, RIGHT(C152, 8)
)</f>
        <v>Raw materials</v>
      </c>
      <c r="G152" s="541" t="str" cm="1">
        <f t="array" ref="G152">IF(E152="Import",
  IFERROR(
    _xlfn.IFS(
      VLOOKUP(B152,[1]Material!F$5:U$90000,16,0)="LUC","Lucid",
      VLOOKUP(B152,[1]Material!F$5:U$90000,16,0)="FMC","FORD",
      OR(VLOOKUP(B152,[1]Material!F$5:U$90000,16,0)="PUR",VLOOKUP(B152,[1]Material!F$5:U$90000,16,0)="HLO"),"PURE",
      VLOOKUP(B152,[1]Material!F$5:U$90000,16,0)="AIC","AIC",
      OR(VLOOKUP(B152,[1]Material!F$5:U$90000,16,0)="AGI",VLOOKUP(B152,[1]Material!F$5:U$90000,16,0)="AGIGA"),"AGIGA",
      OR(LEFT(VLOOKUP(B152,[1]Material!F$5:U$90000,16,0),3)="EF-",VLOOKUP(B152,[1]Material!F$5:U$90000,16,0)="EFI"),"EFI",
      AND(ISNUMBER(VLOOKUP(B152,[1]Material!F$5:U$90000,16,0)),VLOOKUP(B152,[1]Material!F$5:U$90000,16,0)&gt;=100,VLOOKUP(B152,[1]Material!F$5:U$90000,16,0)&lt;=999,VLOOKUP(B152,[1]Material!F$5:U$90000,16,0)=INT(VLOOKUP(B152,[1]Material!F$5:U$90000,16,0))),"OEM",
      TRUE,""
    ),
    "không tìm thấy trong file Import"
  ),
  VLOOKUP(F152,'[2]Export shipment'!B:Y,24,0)
)</f>
        <v>FORD</v>
      </c>
      <c r="H152" s="184"/>
      <c r="I152" s="184"/>
      <c r="J152" s="260">
        <f>(V152+X152+AA152)/'Logistics record '!$AD$1</f>
        <v>15.116015418335726</v>
      </c>
      <c r="K152" s="260">
        <f>W152/'Logistics record '!$AD$1</f>
        <v>0</v>
      </c>
      <c r="L152" s="260">
        <f>Y152/'Logistics record '!$AD$1</f>
        <v>0</v>
      </c>
      <c r="M152" s="260">
        <f>AF152/'Logistics record '!$AD$1</f>
        <v>0</v>
      </c>
      <c r="N152" s="260" t="str" cm="1">
        <f t="array" ref="N152">_xlfn.IFS(
    OR(UPPER(S152)="AIR", UPPER(S152)="CPN"), "AIR",
    UPPER(S152)="TC", "LOCAL",
    TRUE, "SEA"
)</f>
        <v>AIR</v>
      </c>
      <c r="O152" s="260">
        <f t="shared" si="16"/>
        <v>15.116015418335726</v>
      </c>
      <c r="P152" s="184" t="s">
        <v>935</v>
      </c>
      <c r="Q152" s="185">
        <v>108302539920</v>
      </c>
      <c r="R152" s="186">
        <v>46175</v>
      </c>
      <c r="S152" s="187" t="s">
        <v>928</v>
      </c>
      <c r="T152" s="188">
        <v>6.1</v>
      </c>
      <c r="U152" s="188"/>
      <c r="V152" s="189">
        <v>400000</v>
      </c>
      <c r="W152" s="190"/>
      <c r="X152" s="190"/>
      <c r="Y152" s="190"/>
      <c r="Z152" s="189">
        <f t="shared" si="12"/>
        <v>400000</v>
      </c>
      <c r="AA152" s="189">
        <v>0</v>
      </c>
      <c r="AB152" s="189">
        <f t="shared" si="17"/>
        <v>400000</v>
      </c>
      <c r="AC152" s="189"/>
      <c r="AD152" s="190"/>
      <c r="AE152" s="190"/>
      <c r="AF152" s="191">
        <f t="shared" si="13"/>
        <v>0</v>
      </c>
      <c r="AG152" s="190">
        <f t="shared" si="14"/>
        <v>400000</v>
      </c>
      <c r="AH152" s="190"/>
      <c r="AI152" s="192" t="str">
        <f>VLOOKUP(Q152,[3]Sheet1!B$11:G$1489,6,0)</f>
        <v>E11</v>
      </c>
      <c r="GK152" s="194"/>
      <c r="GL152" s="195"/>
      <c r="GM152" s="196"/>
      <c r="GN152" s="197"/>
      <c r="GO152" s="198"/>
      <c r="GP152" s="199"/>
      <c r="GQ152" s="200"/>
      <c r="GR152" s="201"/>
      <c r="GS152" s="60"/>
      <c r="GT152" s="202"/>
      <c r="GU152" s="202"/>
      <c r="GV152" s="202"/>
      <c r="GW152" s="202"/>
      <c r="GX152" s="203"/>
      <c r="HA152" s="194"/>
      <c r="HB152" s="195"/>
      <c r="HC152" s="196"/>
      <c r="HD152" s="197"/>
      <c r="HE152" s="198"/>
      <c r="HF152" s="199"/>
      <c r="HG152" s="200"/>
      <c r="HH152" s="201"/>
      <c r="HI152" s="60"/>
      <c r="HJ152" s="202"/>
      <c r="HK152" s="202"/>
      <c r="HL152" s="202"/>
      <c r="HM152" s="202"/>
      <c r="HN152" s="203"/>
    </row>
    <row r="153" spans="1:222" ht="16.5" customHeight="1">
      <c r="A153" s="181">
        <v>150</v>
      </c>
      <c r="B153" s="182">
        <v>472187362457</v>
      </c>
      <c r="C153" s="598" t="s">
        <v>2392</v>
      </c>
      <c r="D153" s="184" t="s">
        <v>372</v>
      </c>
      <c r="E153" s="184" t="str">
        <f t="shared" si="15"/>
        <v>Import</v>
      </c>
      <c r="F153" s="720" t="str" cm="1">
        <f t="array" ref="F153">_xlfn.IFS(
  OR(AI153="E11", AI153="E15"), "Raw materials",
  OR(AI153="E13", AI153="G13"), "Equipments + Toolings",
  TRUE, RIGHT(C153, 8)
)</f>
        <v>Raw materials</v>
      </c>
      <c r="G153" s="541" t="str" cm="1">
        <f t="array" ref="G153">IF(E153="Import",
  IFERROR(
    _xlfn.IFS(
      VLOOKUP(B153,[1]Material!F$5:U$90000,16,0)="LUC","Lucid",
      VLOOKUP(B153,[1]Material!F$5:U$90000,16,0)="FMC","FORD",
      OR(VLOOKUP(B153,[1]Material!F$5:U$90000,16,0)="PUR",VLOOKUP(B153,[1]Material!F$5:U$90000,16,0)="HLO"),"PURE",
      VLOOKUP(B153,[1]Material!F$5:U$90000,16,0)="AIC","AIC",
      OR(VLOOKUP(B153,[1]Material!F$5:U$90000,16,0)="AGI",VLOOKUP(B153,[1]Material!F$5:U$90000,16,0)="AGIGA"),"AGIGA",
      OR(LEFT(VLOOKUP(B153,[1]Material!F$5:U$90000,16,0),3)="EF-",VLOOKUP(B153,[1]Material!F$5:U$90000,16,0)="EFI"),"EFI",
      AND(ISNUMBER(VLOOKUP(B153,[1]Material!F$5:U$90000,16,0)),VLOOKUP(B153,[1]Material!F$5:U$90000,16,0)&gt;=100,VLOOKUP(B153,[1]Material!F$5:U$90000,16,0)&lt;=999,VLOOKUP(B153,[1]Material!F$5:U$90000,16,0)=INT(VLOOKUP(B153,[1]Material!F$5:U$90000,16,0))),"OEM",
      TRUE,""
    ),
    "không tìm thấy trong file Import"
  ),
  VLOOKUP(F153,'[2]Export shipment'!B:Y,24,0)
)</f>
        <v>EFI</v>
      </c>
      <c r="H153" s="184"/>
      <c r="I153" s="184"/>
      <c r="J153" s="260">
        <f>(V153+X153+AA153)/'Logistics record '!$AD$1</f>
        <v>15.116015418335726</v>
      </c>
      <c r="K153" s="260">
        <f>W153/'Logistics record '!$AD$1</f>
        <v>0</v>
      </c>
      <c r="L153" s="260">
        <f>Y153/'Logistics record '!$AD$1</f>
        <v>0</v>
      </c>
      <c r="M153" s="260">
        <f>AF153/'Logistics record '!$AD$1</f>
        <v>0</v>
      </c>
      <c r="N153" s="260" t="str" cm="1">
        <f t="array" ref="N153">_xlfn.IFS(
    OR(UPPER(S153)="AIR", UPPER(S153)="CPN"), "AIR",
    UPPER(S153)="TC", "LOCAL",
    TRUE, "SEA"
)</f>
        <v>AIR</v>
      </c>
      <c r="O153" s="260">
        <f t="shared" si="16"/>
        <v>15.116015418335726</v>
      </c>
      <c r="P153" s="184" t="s">
        <v>937</v>
      </c>
      <c r="Q153" s="185">
        <v>108302566520</v>
      </c>
      <c r="R153" s="186">
        <v>46175</v>
      </c>
      <c r="S153" s="187" t="s">
        <v>928</v>
      </c>
      <c r="T153" s="188">
        <v>9</v>
      </c>
      <c r="U153" s="188"/>
      <c r="V153" s="189">
        <v>400000</v>
      </c>
      <c r="W153" s="190"/>
      <c r="X153" s="190"/>
      <c r="Y153" s="190"/>
      <c r="Z153" s="189">
        <f t="shared" si="12"/>
        <v>400000</v>
      </c>
      <c r="AA153" s="189">
        <v>0</v>
      </c>
      <c r="AB153" s="189">
        <f t="shared" si="17"/>
        <v>400000</v>
      </c>
      <c r="AC153" s="189"/>
      <c r="AD153" s="190"/>
      <c r="AE153" s="190"/>
      <c r="AF153" s="191">
        <f t="shared" si="13"/>
        <v>0</v>
      </c>
      <c r="AG153" s="190">
        <f t="shared" si="14"/>
        <v>400000</v>
      </c>
      <c r="AH153" s="190"/>
      <c r="AI153" s="192" t="str">
        <f>VLOOKUP(Q153,[3]Sheet1!B$11:G$1489,6,0)</f>
        <v>E11</v>
      </c>
      <c r="GK153" s="194"/>
      <c r="GL153" s="195"/>
      <c r="GM153" s="196"/>
      <c r="GN153" s="197"/>
      <c r="GO153" s="198"/>
      <c r="GP153" s="199"/>
      <c r="GQ153" s="200"/>
      <c r="GR153" s="201"/>
      <c r="GS153" s="60"/>
      <c r="GT153" s="202"/>
      <c r="GU153" s="202"/>
      <c r="GV153" s="202"/>
      <c r="GW153" s="202"/>
      <c r="GX153" s="203"/>
      <c r="HA153" s="194"/>
      <c r="HB153" s="195"/>
      <c r="HC153" s="196"/>
      <c r="HD153" s="197"/>
      <c r="HE153" s="198"/>
      <c r="HF153" s="199"/>
      <c r="HG153" s="200"/>
      <c r="HH153" s="201"/>
      <c r="HI153" s="60"/>
      <c r="HJ153" s="202"/>
      <c r="HK153" s="202"/>
      <c r="HL153" s="202"/>
      <c r="HM153" s="202"/>
      <c r="HN153" s="203"/>
    </row>
    <row r="154" spans="1:222" ht="16.5" customHeight="1">
      <c r="A154" s="181">
        <v>151</v>
      </c>
      <c r="B154" s="182">
        <v>872219166799</v>
      </c>
      <c r="C154" s="183" t="s">
        <v>2393</v>
      </c>
      <c r="D154" s="184" t="s">
        <v>1330</v>
      </c>
      <c r="E154" s="184" t="str">
        <f t="shared" si="15"/>
        <v>Import</v>
      </c>
      <c r="F154" s="720" t="str" cm="1">
        <f t="array" ref="F154">_xlfn.IFS(
  OR(AI154="E11", AI154="E15"), "Raw materials",
  OR(AI154="E13", AI154="G13"), "Equipments + Toolings",
  TRUE, RIGHT(C154, 8)
)</f>
        <v>Raw materials</v>
      </c>
      <c r="G154" s="541" t="str" cm="1">
        <f t="array" ref="G154">IF(E154="Import",
  IFERROR(
    _xlfn.IFS(
      VLOOKUP(B154,[1]Material!F$5:U$90000,16,0)="LUC","Lucid",
      VLOOKUP(B154,[1]Material!F$5:U$90000,16,0)="FMC","FORD",
      OR(VLOOKUP(B154,[1]Material!F$5:U$90000,16,0)="PUR",VLOOKUP(B154,[1]Material!F$5:U$90000,16,0)="HLO"),"PURE",
      VLOOKUP(B154,[1]Material!F$5:U$90000,16,0)="AIC","AIC",
      OR(VLOOKUP(B154,[1]Material!F$5:U$90000,16,0)="AGI",VLOOKUP(B154,[1]Material!F$5:U$90000,16,0)="AGIGA"),"AGIGA",
      OR(LEFT(VLOOKUP(B154,[1]Material!F$5:U$90000,16,0),3)="EF-",VLOOKUP(B154,[1]Material!F$5:U$90000,16,0)="EFI"),"EFI",
      AND(ISNUMBER(VLOOKUP(B154,[1]Material!F$5:U$90000,16,0)),VLOOKUP(B154,[1]Material!F$5:U$90000,16,0)&gt;=100,VLOOKUP(B154,[1]Material!F$5:U$90000,16,0)&lt;=999,VLOOKUP(B154,[1]Material!F$5:U$90000,16,0)=INT(VLOOKUP(B154,[1]Material!F$5:U$90000,16,0))),"OEM",
      TRUE,""
    ),
    "không tìm thấy trong file Import"
  ),
  VLOOKUP(F154,'[2]Export shipment'!B:Y,24,0)
)</f>
        <v>EFI</v>
      </c>
      <c r="H154" s="184"/>
      <c r="I154" s="184"/>
      <c r="J154" s="260">
        <f>(V154+X154+AA154)/'Logistics record '!$AD$1</f>
        <v>15.116015418335726</v>
      </c>
      <c r="K154" s="260">
        <f>W154/'Logistics record '!$AD$1</f>
        <v>0</v>
      </c>
      <c r="L154" s="260">
        <f>Y154/'Logistics record '!$AD$1</f>
        <v>0</v>
      </c>
      <c r="M154" s="260">
        <f>AF154/'Logistics record '!$AD$1</f>
        <v>0</v>
      </c>
      <c r="N154" s="260" t="str" cm="1">
        <f t="array" ref="N154">_xlfn.IFS(
    OR(UPPER(S154)="AIR", UPPER(S154)="CPN"), "AIR",
    UPPER(S154)="TC", "LOCAL",
    TRUE, "SEA"
)</f>
        <v>AIR</v>
      </c>
      <c r="O154" s="260">
        <f t="shared" si="16"/>
        <v>15.116015418335726</v>
      </c>
      <c r="P154" s="184" t="s">
        <v>927</v>
      </c>
      <c r="Q154" s="185">
        <v>108302854810</v>
      </c>
      <c r="R154" s="186">
        <v>46176</v>
      </c>
      <c r="S154" s="187" t="s">
        <v>928</v>
      </c>
      <c r="T154" s="188">
        <v>54.3</v>
      </c>
      <c r="U154" s="188"/>
      <c r="V154" s="189">
        <v>400000</v>
      </c>
      <c r="W154" s="190"/>
      <c r="X154" s="190"/>
      <c r="Y154" s="190"/>
      <c r="Z154" s="189">
        <f t="shared" si="12"/>
        <v>400000</v>
      </c>
      <c r="AA154" s="189">
        <v>0</v>
      </c>
      <c r="AB154" s="189">
        <f t="shared" si="17"/>
        <v>400000</v>
      </c>
      <c r="AC154" s="189"/>
      <c r="AD154" s="190"/>
      <c r="AE154" s="190"/>
      <c r="AF154" s="191">
        <f t="shared" si="13"/>
        <v>0</v>
      </c>
      <c r="AG154" s="190">
        <f t="shared" si="14"/>
        <v>400000</v>
      </c>
      <c r="AH154" s="190"/>
      <c r="AI154" s="192" t="str">
        <f>VLOOKUP(Q154,[3]Sheet1!B$11:G$1489,6,0)</f>
        <v>E11</v>
      </c>
      <c r="GK154" s="194"/>
      <c r="GL154" s="195"/>
      <c r="GM154" s="196"/>
      <c r="GN154" s="197"/>
      <c r="GO154" s="198"/>
      <c r="GP154" s="199"/>
      <c r="GQ154" s="200"/>
      <c r="GR154" s="201"/>
      <c r="GS154" s="60"/>
      <c r="GT154" s="202"/>
      <c r="GU154" s="202"/>
      <c r="GV154" s="202"/>
      <c r="GW154" s="202"/>
      <c r="GX154" s="203"/>
      <c r="HA154" s="194"/>
      <c r="HB154" s="195"/>
      <c r="HC154" s="196"/>
      <c r="HD154" s="197"/>
      <c r="HE154" s="198"/>
      <c r="HF154" s="199"/>
      <c r="HG154" s="200"/>
      <c r="HH154" s="201"/>
      <c r="HI154" s="60"/>
      <c r="HJ154" s="202"/>
      <c r="HK154" s="202"/>
      <c r="HL154" s="202"/>
      <c r="HM154" s="202"/>
      <c r="HN154" s="203"/>
    </row>
    <row r="155" spans="1:222" ht="16.5" customHeight="1">
      <c r="A155" s="181">
        <v>152</v>
      </c>
      <c r="B155" s="182">
        <v>500292642275</v>
      </c>
      <c r="C155" s="183" t="s">
        <v>2394</v>
      </c>
      <c r="D155" s="184" t="s">
        <v>945</v>
      </c>
      <c r="E155" s="184" t="str">
        <f t="shared" si="15"/>
        <v>Import</v>
      </c>
      <c r="F155" s="720" t="str" cm="1">
        <f t="array" ref="F155">_xlfn.IFS(
  OR(AI155="E11", AI155="E15"), "Raw materials",
  OR(AI155="E13", AI155="G13"), "Equipments + Toolings",
  TRUE, RIGHT(C155, 8)
)</f>
        <v>Raw materials</v>
      </c>
      <c r="G155" s="541" t="str" cm="1">
        <f t="array" ref="G155">IF(E155="Import",
  IFERROR(
    _xlfn.IFS(
      VLOOKUP(B155,[1]Material!F$5:U$90000,16,0)="LUC","Lucid",
      VLOOKUP(B155,[1]Material!F$5:U$90000,16,0)="FMC","FORD",
      OR(VLOOKUP(B155,[1]Material!F$5:U$90000,16,0)="PUR",VLOOKUP(B155,[1]Material!F$5:U$90000,16,0)="HLO"),"PURE",
      VLOOKUP(B155,[1]Material!F$5:U$90000,16,0)="AIC","AIC",
      OR(VLOOKUP(B155,[1]Material!F$5:U$90000,16,0)="AGI",VLOOKUP(B155,[1]Material!F$5:U$90000,16,0)="AGIGA"),"AGIGA",
      OR(LEFT(VLOOKUP(B155,[1]Material!F$5:U$90000,16,0),3)="EF-",VLOOKUP(B155,[1]Material!F$5:U$90000,16,0)="EFI"),"EFI",
      AND(ISNUMBER(VLOOKUP(B155,[1]Material!F$5:U$90000,16,0)),VLOOKUP(B155,[1]Material!F$5:U$90000,16,0)&gt;=100,VLOOKUP(B155,[1]Material!F$5:U$90000,16,0)&lt;=999,VLOOKUP(B155,[1]Material!F$5:U$90000,16,0)=INT(VLOOKUP(B155,[1]Material!F$5:U$90000,16,0))),"OEM",
      TRUE,""
    ),
    "không tìm thấy trong file Import"
  ),
  VLOOKUP(F155,'[2]Export shipment'!B:Y,24,0)
)</f>
        <v>PURE</v>
      </c>
      <c r="H155" s="184"/>
      <c r="I155" s="184"/>
      <c r="J155" s="260">
        <f>(V155+X155+AA155)/'Logistics record '!$AD$1</f>
        <v>15.116015418335726</v>
      </c>
      <c r="K155" s="260">
        <f>W155/'Logistics record '!$AD$1</f>
        <v>0</v>
      </c>
      <c r="L155" s="260">
        <f>Y155/'Logistics record '!$AD$1</f>
        <v>0</v>
      </c>
      <c r="M155" s="260">
        <f>AF155/'Logistics record '!$AD$1</f>
        <v>0</v>
      </c>
      <c r="N155" s="260" t="str" cm="1">
        <f t="array" ref="N155">_xlfn.IFS(
    OR(UPPER(S155)="AIR", UPPER(S155)="CPN"), "AIR",
    UPPER(S155)="TC", "LOCAL",
    TRUE, "SEA"
)</f>
        <v>AIR</v>
      </c>
      <c r="O155" s="260">
        <f t="shared" si="16"/>
        <v>15.116015418335726</v>
      </c>
      <c r="P155" s="184" t="s">
        <v>946</v>
      </c>
      <c r="Q155" s="185">
        <v>108302881300</v>
      </c>
      <c r="R155" s="186">
        <v>46176</v>
      </c>
      <c r="S155" s="187" t="s">
        <v>928</v>
      </c>
      <c r="T155" s="188">
        <v>0.9</v>
      </c>
      <c r="U155" s="188"/>
      <c r="V155" s="189">
        <v>400000</v>
      </c>
      <c r="W155" s="190"/>
      <c r="X155" s="190"/>
      <c r="Y155" s="190"/>
      <c r="Z155" s="189">
        <f t="shared" si="12"/>
        <v>400000</v>
      </c>
      <c r="AA155" s="189">
        <v>0</v>
      </c>
      <c r="AB155" s="189">
        <f t="shared" si="17"/>
        <v>400000</v>
      </c>
      <c r="AC155" s="189"/>
      <c r="AD155" s="190"/>
      <c r="AE155" s="190"/>
      <c r="AF155" s="191">
        <f t="shared" si="13"/>
        <v>0</v>
      </c>
      <c r="AG155" s="190">
        <f t="shared" si="14"/>
        <v>400000</v>
      </c>
      <c r="AH155" s="190"/>
      <c r="AI155" s="192" t="str">
        <f>VLOOKUP(Q155,[3]Sheet1!B$11:G$1489,6,0)</f>
        <v>E11</v>
      </c>
      <c r="GK155" s="194"/>
      <c r="GL155" s="195"/>
      <c r="GM155" s="196"/>
      <c r="GN155" s="197"/>
      <c r="GO155" s="198"/>
      <c r="GP155" s="199"/>
      <c r="GQ155" s="200"/>
      <c r="GR155" s="201"/>
      <c r="GS155" s="60"/>
      <c r="GT155" s="202"/>
      <c r="GU155" s="202"/>
      <c r="GV155" s="202"/>
      <c r="GW155" s="202"/>
      <c r="GX155" s="203"/>
      <c r="HA155" s="194"/>
      <c r="HB155" s="195"/>
      <c r="HC155" s="196"/>
      <c r="HD155" s="197"/>
      <c r="HE155" s="198"/>
      <c r="HF155" s="199"/>
      <c r="HG155" s="200"/>
      <c r="HH155" s="201"/>
      <c r="HI155" s="60"/>
      <c r="HJ155" s="202"/>
      <c r="HK155" s="202"/>
      <c r="HL155" s="202"/>
      <c r="HM155" s="202"/>
      <c r="HN155" s="203"/>
    </row>
    <row r="156" spans="1:222" ht="16.5" customHeight="1">
      <c r="A156" s="181">
        <v>153</v>
      </c>
      <c r="B156" s="182">
        <v>381633142753</v>
      </c>
      <c r="C156" s="598" t="s">
        <v>2395</v>
      </c>
      <c r="D156" s="184" t="s">
        <v>1985</v>
      </c>
      <c r="E156" s="184" t="str">
        <f t="shared" si="15"/>
        <v>Import</v>
      </c>
      <c r="F156" s="720" t="str" cm="1">
        <f t="array" ref="F156">_xlfn.IFS(
  OR(AI156="E11", AI156="E15"), "Raw materials",
  OR(AI156="E13", AI156="G13"), "Equipments + Toolings",
  TRUE, RIGHT(C156, 8)
)</f>
        <v>Raw materials</v>
      </c>
      <c r="G156" s="541" t="str" cm="1">
        <f t="array" ref="G156">IF(E156="Import",
  IFERROR(
    _xlfn.IFS(
      VLOOKUP(B156,[1]Material!F$5:U$90000,16,0)="LUC","Lucid",
      VLOOKUP(B156,[1]Material!F$5:U$90000,16,0)="FMC","FORD",
      OR(VLOOKUP(B156,[1]Material!F$5:U$90000,16,0)="PUR",VLOOKUP(B156,[1]Material!F$5:U$90000,16,0)="HLO"),"PURE",
      VLOOKUP(B156,[1]Material!F$5:U$90000,16,0)="AIC","AIC",
      OR(VLOOKUP(B156,[1]Material!F$5:U$90000,16,0)="AGI",VLOOKUP(B156,[1]Material!F$5:U$90000,16,0)="AGIGA"),"AGIGA",
      OR(LEFT(VLOOKUP(B156,[1]Material!F$5:U$90000,16,0),3)="EF-",VLOOKUP(B156,[1]Material!F$5:U$90000,16,0)="EFI"),"EFI",
      AND(ISNUMBER(VLOOKUP(B156,[1]Material!F$5:U$90000,16,0)),VLOOKUP(B156,[1]Material!F$5:U$90000,16,0)&gt;=100,VLOOKUP(B156,[1]Material!F$5:U$90000,16,0)&lt;=999,VLOOKUP(B156,[1]Material!F$5:U$90000,16,0)=INT(VLOOKUP(B156,[1]Material!F$5:U$90000,16,0))),"OEM",
      TRUE,""
    ),
    "không tìm thấy trong file Import"
  ),
  VLOOKUP(F156,'[2]Export shipment'!B:Y,24,0)
)</f>
        <v>PURE</v>
      </c>
      <c r="H156" s="184"/>
      <c r="I156" s="184"/>
      <c r="J156" s="260">
        <f>(V156+X156+AA156)/'Logistics record '!$AD$1</f>
        <v>15.116015418335726</v>
      </c>
      <c r="K156" s="260">
        <f>W156/'Logistics record '!$AD$1</f>
        <v>0</v>
      </c>
      <c r="L156" s="260">
        <f>Y156/'Logistics record '!$AD$1</f>
        <v>0</v>
      </c>
      <c r="M156" s="260">
        <f>AF156/'Logistics record '!$AD$1</f>
        <v>0</v>
      </c>
      <c r="N156" s="260" t="str" cm="1">
        <f t="array" ref="N156">_xlfn.IFS(
    OR(UPPER(S156)="AIR", UPPER(S156)="CPN"), "AIR",
    UPPER(S156)="TC", "LOCAL",
    TRUE, "SEA"
)</f>
        <v>AIR</v>
      </c>
      <c r="O156" s="260">
        <f t="shared" si="16"/>
        <v>15.116015418335726</v>
      </c>
      <c r="P156" s="184" t="s">
        <v>943</v>
      </c>
      <c r="Q156" s="185">
        <v>108302928860</v>
      </c>
      <c r="R156" s="186">
        <v>46176</v>
      </c>
      <c r="S156" s="187" t="s">
        <v>928</v>
      </c>
      <c r="T156" s="188">
        <v>1.4</v>
      </c>
      <c r="U156" s="188"/>
      <c r="V156" s="189">
        <v>400000</v>
      </c>
      <c r="W156" s="190"/>
      <c r="X156" s="190"/>
      <c r="Y156" s="190"/>
      <c r="Z156" s="189">
        <f t="shared" si="12"/>
        <v>400000</v>
      </c>
      <c r="AA156" s="189">
        <v>0</v>
      </c>
      <c r="AB156" s="189">
        <f t="shared" si="17"/>
        <v>400000</v>
      </c>
      <c r="AC156" s="189"/>
      <c r="AD156" s="190"/>
      <c r="AE156" s="190"/>
      <c r="AF156" s="191">
        <f t="shared" si="13"/>
        <v>0</v>
      </c>
      <c r="AG156" s="190">
        <f t="shared" si="14"/>
        <v>400000</v>
      </c>
      <c r="AH156" s="190"/>
      <c r="AI156" s="192" t="str">
        <f>VLOOKUP(Q156,[3]Sheet1!B$11:G$1489,6,0)</f>
        <v>E11</v>
      </c>
      <c r="GK156" s="194"/>
      <c r="GL156" s="195"/>
      <c r="GM156" s="196"/>
      <c r="GN156" s="197"/>
      <c r="GO156" s="198"/>
      <c r="GP156" s="199"/>
      <c r="GQ156" s="200"/>
      <c r="GR156" s="201"/>
      <c r="GS156" s="60"/>
      <c r="GT156" s="202"/>
      <c r="GU156" s="202"/>
      <c r="GV156" s="202"/>
      <c r="GW156" s="202"/>
      <c r="GX156" s="203"/>
      <c r="HA156" s="194"/>
      <c r="HB156" s="195"/>
      <c r="HC156" s="196"/>
      <c r="HD156" s="197"/>
      <c r="HE156" s="198"/>
      <c r="HF156" s="199"/>
      <c r="HG156" s="200"/>
      <c r="HH156" s="201"/>
      <c r="HI156" s="60"/>
      <c r="HJ156" s="202"/>
      <c r="HK156" s="202"/>
      <c r="HL156" s="202"/>
      <c r="HM156" s="202"/>
      <c r="HN156" s="203"/>
    </row>
    <row r="157" spans="1:222" ht="16.5" customHeight="1">
      <c r="A157" s="181">
        <v>154</v>
      </c>
      <c r="B157" s="182">
        <v>484361666828</v>
      </c>
      <c r="C157" s="598" t="s">
        <v>2396</v>
      </c>
      <c r="D157" s="184" t="s">
        <v>376</v>
      </c>
      <c r="E157" s="184" t="str">
        <f t="shared" si="15"/>
        <v>Import</v>
      </c>
      <c r="F157" s="720" t="str" cm="1">
        <f t="array" ref="F157">_xlfn.IFS(
  OR(AI157="E11", AI157="E15"), "Raw materials",
  OR(AI157="E13", AI157="G13"), "Equipments + Toolings",
  TRUE, RIGHT(C157, 8)
)</f>
        <v>Raw materials</v>
      </c>
      <c r="G157" s="541" t="str" cm="1">
        <f t="array" ref="G157">IF(E157="Import",
  IFERROR(
    _xlfn.IFS(
      VLOOKUP(B157,[1]Material!F$5:U$90000,16,0)="LUC","Lucid",
      VLOOKUP(B157,[1]Material!F$5:U$90000,16,0)="FMC","FORD",
      OR(VLOOKUP(B157,[1]Material!F$5:U$90000,16,0)="PUR",VLOOKUP(B157,[1]Material!F$5:U$90000,16,0)="HLO"),"PURE",
      VLOOKUP(B157,[1]Material!F$5:U$90000,16,0)="AIC","AIC",
      OR(VLOOKUP(B157,[1]Material!F$5:U$90000,16,0)="AGI",VLOOKUP(B157,[1]Material!F$5:U$90000,16,0)="AGIGA"),"AGIGA",
      OR(LEFT(VLOOKUP(B157,[1]Material!F$5:U$90000,16,0),3)="EF-",VLOOKUP(B157,[1]Material!F$5:U$90000,16,0)="EFI"),"EFI",
      AND(ISNUMBER(VLOOKUP(B157,[1]Material!F$5:U$90000,16,0)),VLOOKUP(B157,[1]Material!F$5:U$90000,16,0)&gt;=100,VLOOKUP(B157,[1]Material!F$5:U$90000,16,0)&lt;=999,VLOOKUP(B157,[1]Material!F$5:U$90000,16,0)=INT(VLOOKUP(B157,[1]Material!F$5:U$90000,16,0))),"OEM",
      TRUE,""
    ),
    "không tìm thấy trong file Import"
  ),
  VLOOKUP(F157,'[2]Export shipment'!B:Y,24,0)
)</f>
        <v>Lucid</v>
      </c>
      <c r="H157" s="184"/>
      <c r="I157" s="184"/>
      <c r="J157" s="260">
        <f>(V157+X157+AA157)/'Logistics record '!$AD$1</f>
        <v>15.116015418335726</v>
      </c>
      <c r="K157" s="260">
        <f>W157/'Logistics record '!$AD$1</f>
        <v>0</v>
      </c>
      <c r="L157" s="260">
        <f>Y157/'Logistics record '!$AD$1</f>
        <v>0</v>
      </c>
      <c r="M157" s="260">
        <f>AF157/'Logistics record '!$AD$1</f>
        <v>0</v>
      </c>
      <c r="N157" s="260" t="str" cm="1">
        <f t="array" ref="N157">_xlfn.IFS(
    OR(UPPER(S157)="AIR", UPPER(S157)="CPN"), "AIR",
    UPPER(S157)="TC", "LOCAL",
    TRUE, "SEA"
)</f>
        <v>AIR</v>
      </c>
      <c r="O157" s="260">
        <f t="shared" si="16"/>
        <v>15.116015418335726</v>
      </c>
      <c r="P157" s="184" t="s">
        <v>937</v>
      </c>
      <c r="Q157" s="185">
        <v>108302952110</v>
      </c>
      <c r="R157" s="186">
        <v>46176</v>
      </c>
      <c r="S157" s="187" t="s">
        <v>928</v>
      </c>
      <c r="T157" s="188">
        <v>5.2</v>
      </c>
      <c r="U157" s="188"/>
      <c r="V157" s="189">
        <v>400000</v>
      </c>
      <c r="W157" s="190"/>
      <c r="X157" s="190"/>
      <c r="Y157" s="190"/>
      <c r="Z157" s="189">
        <f t="shared" si="12"/>
        <v>400000</v>
      </c>
      <c r="AA157" s="189">
        <v>0</v>
      </c>
      <c r="AB157" s="189">
        <f t="shared" si="17"/>
        <v>400000</v>
      </c>
      <c r="AC157" s="189"/>
      <c r="AD157" s="190"/>
      <c r="AE157" s="190"/>
      <c r="AF157" s="191">
        <f t="shared" si="13"/>
        <v>0</v>
      </c>
      <c r="AG157" s="190">
        <f t="shared" si="14"/>
        <v>400000</v>
      </c>
      <c r="AH157" s="190"/>
      <c r="AI157" s="192" t="str">
        <f>VLOOKUP(Q157,[3]Sheet1!B$11:G$1489,6,0)</f>
        <v>E11</v>
      </c>
      <c r="GK157" s="194"/>
      <c r="GL157" s="195"/>
      <c r="GM157" s="196"/>
      <c r="GN157" s="197"/>
      <c r="GO157" s="198"/>
      <c r="GP157" s="199"/>
      <c r="GQ157" s="200"/>
      <c r="GR157" s="201"/>
      <c r="GS157" s="60"/>
      <c r="GT157" s="202"/>
      <c r="GU157" s="202"/>
      <c r="GV157" s="202"/>
      <c r="GW157" s="202"/>
      <c r="GX157" s="203"/>
      <c r="HA157" s="194"/>
      <c r="HB157" s="195"/>
      <c r="HC157" s="196"/>
      <c r="HD157" s="197"/>
      <c r="HE157" s="198"/>
      <c r="HF157" s="199"/>
      <c r="HG157" s="200"/>
      <c r="HH157" s="201"/>
      <c r="HI157" s="60"/>
      <c r="HJ157" s="202"/>
      <c r="HK157" s="202"/>
      <c r="HL157" s="202"/>
      <c r="HM157" s="202"/>
      <c r="HN157" s="203"/>
    </row>
    <row r="158" spans="1:222" ht="16.5" customHeight="1">
      <c r="A158" s="181">
        <v>155</v>
      </c>
      <c r="B158" s="182">
        <v>525457696294</v>
      </c>
      <c r="C158" s="598" t="s">
        <v>2397</v>
      </c>
      <c r="D158" s="184" t="s">
        <v>963</v>
      </c>
      <c r="E158" s="184" t="str">
        <f t="shared" si="15"/>
        <v>Import</v>
      </c>
      <c r="F158" s="720" t="str" cm="1">
        <f t="array" ref="F158">_xlfn.IFS(
  OR(AI158="E11", AI158="E15"), "Raw materials",
  OR(AI158="E13", AI158="G13"), "Equipments + Toolings",
  TRUE, RIGHT(C158, 8)
)</f>
        <v>Raw materials</v>
      </c>
      <c r="G158" s="541" t="str" cm="1">
        <f t="array" ref="G158">IF(E158="Import",
  IFERROR(
    _xlfn.IFS(
      VLOOKUP(B158,[1]Material!F$5:U$90000,16,0)="LUC","Lucid",
      VLOOKUP(B158,[1]Material!F$5:U$90000,16,0)="FMC","FORD",
      OR(VLOOKUP(B158,[1]Material!F$5:U$90000,16,0)="PUR",VLOOKUP(B158,[1]Material!F$5:U$90000,16,0)="HLO"),"PURE",
      VLOOKUP(B158,[1]Material!F$5:U$90000,16,0)="AIC","AIC",
      OR(VLOOKUP(B158,[1]Material!F$5:U$90000,16,0)="AGI",VLOOKUP(B158,[1]Material!F$5:U$90000,16,0)="AGIGA"),"AGIGA",
      OR(LEFT(VLOOKUP(B158,[1]Material!F$5:U$90000,16,0),3)="EF-",VLOOKUP(B158,[1]Material!F$5:U$90000,16,0)="EFI"),"EFI",
      AND(ISNUMBER(VLOOKUP(B158,[1]Material!F$5:U$90000,16,0)),VLOOKUP(B158,[1]Material!F$5:U$90000,16,0)&gt;=100,VLOOKUP(B158,[1]Material!F$5:U$90000,16,0)&lt;=999,VLOOKUP(B158,[1]Material!F$5:U$90000,16,0)=INT(VLOOKUP(B158,[1]Material!F$5:U$90000,16,0))),"OEM",
      TRUE,""
    ),
    "không tìm thấy trong file Import"
  ),
  VLOOKUP(F158,'[2]Export shipment'!B:Y,24,0)
)</f>
        <v>FORD</v>
      </c>
      <c r="H158" s="184"/>
      <c r="I158" s="184"/>
      <c r="J158" s="260">
        <f>(V158+X158+AA158)/'Logistics record '!$AD$1</f>
        <v>15.116015418335726</v>
      </c>
      <c r="K158" s="260">
        <f>W158/'Logistics record '!$AD$1</f>
        <v>0</v>
      </c>
      <c r="L158" s="260">
        <f>Y158/'Logistics record '!$AD$1</f>
        <v>0</v>
      </c>
      <c r="M158" s="260">
        <f>AF158/'Logistics record '!$AD$1</f>
        <v>0</v>
      </c>
      <c r="N158" s="260" t="str" cm="1">
        <f t="array" ref="N158">_xlfn.IFS(
    OR(UPPER(S158)="AIR", UPPER(S158)="CPN"), "AIR",
    UPPER(S158)="TC", "LOCAL",
    TRUE, "SEA"
)</f>
        <v>AIR</v>
      </c>
      <c r="O158" s="260">
        <f t="shared" si="16"/>
        <v>15.116015418335726</v>
      </c>
      <c r="P158" s="184" t="s">
        <v>935</v>
      </c>
      <c r="Q158" s="185">
        <v>108303077850</v>
      </c>
      <c r="R158" s="186">
        <v>46176</v>
      </c>
      <c r="S158" s="187" t="s">
        <v>928</v>
      </c>
      <c r="T158" s="188">
        <v>0.5</v>
      </c>
      <c r="U158" s="188"/>
      <c r="V158" s="189">
        <v>400000</v>
      </c>
      <c r="W158" s="190"/>
      <c r="X158" s="190"/>
      <c r="Y158" s="190"/>
      <c r="Z158" s="189">
        <f t="shared" si="12"/>
        <v>400000</v>
      </c>
      <c r="AA158" s="189">
        <v>0</v>
      </c>
      <c r="AB158" s="189">
        <f t="shared" si="17"/>
        <v>400000</v>
      </c>
      <c r="AC158" s="189"/>
      <c r="AD158" s="190"/>
      <c r="AE158" s="190"/>
      <c r="AF158" s="191">
        <f t="shared" si="13"/>
        <v>0</v>
      </c>
      <c r="AG158" s="190">
        <f t="shared" si="14"/>
        <v>400000</v>
      </c>
      <c r="AH158" s="190"/>
      <c r="AI158" s="192" t="str">
        <f>VLOOKUP(Q158,[3]Sheet1!B$11:G$1489,6,0)</f>
        <v>E11</v>
      </c>
      <c r="GK158" s="194"/>
      <c r="GL158" s="195"/>
      <c r="GM158" s="196"/>
      <c r="GN158" s="197"/>
      <c r="GO158" s="198"/>
      <c r="GP158" s="199"/>
      <c r="GQ158" s="200"/>
      <c r="GR158" s="201"/>
      <c r="GS158" s="60"/>
      <c r="GT158" s="202"/>
      <c r="GU158" s="202"/>
      <c r="GV158" s="202"/>
      <c r="GW158" s="202"/>
      <c r="GX158" s="203"/>
      <c r="HA158" s="194"/>
      <c r="HB158" s="195"/>
      <c r="HC158" s="196"/>
      <c r="HD158" s="197"/>
      <c r="HE158" s="198"/>
      <c r="HF158" s="199"/>
      <c r="HG158" s="200"/>
      <c r="HH158" s="201"/>
      <c r="HI158" s="60"/>
      <c r="HJ158" s="202"/>
      <c r="HK158" s="202"/>
      <c r="HL158" s="202"/>
      <c r="HM158" s="202"/>
      <c r="HN158" s="203"/>
    </row>
    <row r="159" spans="1:222" ht="16.5" customHeight="1">
      <c r="A159" s="181">
        <v>156</v>
      </c>
      <c r="B159" s="182">
        <v>492830076023</v>
      </c>
      <c r="C159" s="598" t="s">
        <v>2398</v>
      </c>
      <c r="D159" s="184" t="s">
        <v>968</v>
      </c>
      <c r="E159" s="184" t="str">
        <f t="shared" si="15"/>
        <v>Import</v>
      </c>
      <c r="F159" s="720" t="str" cm="1">
        <f t="array" ref="F159">_xlfn.IFS(
  OR(AI159="E11", AI159="E15"), "Raw materials",
  OR(AI159="E13", AI159="G13"), "Equipments + Toolings",
  TRUE, RIGHT(C159, 8)
)</f>
        <v>Raw materials</v>
      </c>
      <c r="G159" s="541" t="str" cm="1">
        <f t="array" ref="G159">IF(E159="Import",
  IFERROR(
    _xlfn.IFS(
      VLOOKUP(B159,[1]Material!F$5:U$90000,16,0)="LUC","Lucid",
      VLOOKUP(B159,[1]Material!F$5:U$90000,16,0)="FMC","FORD",
      OR(VLOOKUP(B159,[1]Material!F$5:U$90000,16,0)="PUR",VLOOKUP(B159,[1]Material!F$5:U$90000,16,0)="HLO"),"PURE",
      VLOOKUP(B159,[1]Material!F$5:U$90000,16,0)="AIC","AIC",
      OR(VLOOKUP(B159,[1]Material!F$5:U$90000,16,0)="AGI",VLOOKUP(B159,[1]Material!F$5:U$90000,16,0)="AGIGA"),"AGIGA",
      OR(LEFT(VLOOKUP(B159,[1]Material!F$5:U$90000,16,0),3)="EF-",VLOOKUP(B159,[1]Material!F$5:U$90000,16,0)="EFI"),"EFI",
      AND(ISNUMBER(VLOOKUP(B159,[1]Material!F$5:U$90000,16,0)),VLOOKUP(B159,[1]Material!F$5:U$90000,16,0)&gt;=100,VLOOKUP(B159,[1]Material!F$5:U$90000,16,0)&lt;=999,VLOOKUP(B159,[1]Material!F$5:U$90000,16,0)=INT(VLOOKUP(B159,[1]Material!F$5:U$90000,16,0))),"OEM",
      TRUE,""
    ),
    "không tìm thấy trong file Import"
  ),
  VLOOKUP(F159,'[2]Export shipment'!B:Y,24,0)
)</f>
        <v>PURE</v>
      </c>
      <c r="H159" s="184"/>
      <c r="I159" s="184"/>
      <c r="J159" s="260">
        <f>(V159+X159+AA159)/'Logistics record '!$AD$1</f>
        <v>15.116015418335726</v>
      </c>
      <c r="K159" s="260">
        <f>W159/'Logistics record '!$AD$1</f>
        <v>0</v>
      </c>
      <c r="L159" s="260">
        <f>Y159/'Logistics record '!$AD$1</f>
        <v>0</v>
      </c>
      <c r="M159" s="260">
        <f>AF159/'Logistics record '!$AD$1</f>
        <v>0</v>
      </c>
      <c r="N159" s="260" t="str" cm="1">
        <f t="array" ref="N159">_xlfn.IFS(
    OR(UPPER(S159)="AIR", UPPER(S159)="CPN"), "AIR",
    UPPER(S159)="TC", "LOCAL",
    TRUE, "SEA"
)</f>
        <v>AIR</v>
      </c>
      <c r="O159" s="260">
        <f t="shared" si="16"/>
        <v>15.116015418335726</v>
      </c>
      <c r="P159" s="184" t="s">
        <v>935</v>
      </c>
      <c r="Q159" s="185">
        <v>108303110750</v>
      </c>
      <c r="R159" s="186">
        <v>46176</v>
      </c>
      <c r="S159" s="187" t="s">
        <v>928</v>
      </c>
      <c r="T159" s="188">
        <v>0.5</v>
      </c>
      <c r="U159" s="188"/>
      <c r="V159" s="189">
        <v>400000</v>
      </c>
      <c r="W159" s="190"/>
      <c r="X159" s="190"/>
      <c r="Y159" s="190"/>
      <c r="Z159" s="189">
        <f t="shared" si="12"/>
        <v>400000</v>
      </c>
      <c r="AA159" s="189">
        <v>0</v>
      </c>
      <c r="AB159" s="189">
        <f t="shared" si="17"/>
        <v>400000</v>
      </c>
      <c r="AC159" s="189"/>
      <c r="AD159" s="190"/>
      <c r="AE159" s="190"/>
      <c r="AF159" s="191">
        <f t="shared" si="13"/>
        <v>0</v>
      </c>
      <c r="AG159" s="190">
        <f t="shared" si="14"/>
        <v>400000</v>
      </c>
      <c r="AH159" s="190"/>
      <c r="AI159" s="192" t="str">
        <f>VLOOKUP(Q159,[3]Sheet1!B$11:G$1489,6,0)</f>
        <v>E11</v>
      </c>
      <c r="GK159" s="194"/>
      <c r="GL159" s="195"/>
      <c r="GM159" s="196"/>
      <c r="GN159" s="197"/>
      <c r="GO159" s="198"/>
      <c r="GP159" s="199"/>
      <c r="GQ159" s="200"/>
      <c r="GR159" s="201"/>
      <c r="GS159" s="60"/>
      <c r="GT159" s="202"/>
      <c r="GU159" s="202"/>
      <c r="GV159" s="202"/>
      <c r="GW159" s="202"/>
      <c r="GX159" s="203"/>
      <c r="HA159" s="194"/>
      <c r="HB159" s="195"/>
      <c r="HC159" s="196"/>
      <c r="HD159" s="197"/>
      <c r="HE159" s="198"/>
      <c r="HF159" s="199"/>
      <c r="HG159" s="200"/>
      <c r="HH159" s="201"/>
      <c r="HI159" s="60"/>
      <c r="HJ159" s="202"/>
      <c r="HK159" s="202"/>
      <c r="HL159" s="202"/>
      <c r="HM159" s="202"/>
      <c r="HN159" s="203"/>
    </row>
    <row r="160" spans="1:222" ht="16.5" customHeight="1">
      <c r="A160" s="181">
        <v>157</v>
      </c>
      <c r="B160" s="182">
        <v>872201755226</v>
      </c>
      <c r="C160" s="183" t="s">
        <v>2399</v>
      </c>
      <c r="D160" s="184" t="s">
        <v>2400</v>
      </c>
      <c r="E160" s="184" t="str">
        <f t="shared" si="15"/>
        <v>Import</v>
      </c>
      <c r="F160" s="720" t="str" cm="1">
        <f t="array" ref="F160">_xlfn.IFS(
  OR(AI160="E11", AI160="E15"), "Raw materials",
  OR(AI160="E13", AI160="G13"), "Equipments + Toolings",
  TRUE, RIGHT(C160, 8)
)</f>
        <v>Raw materials</v>
      </c>
      <c r="G160" s="541" t="str" cm="1">
        <f t="array" ref="G160">IF(E160="Import",
  IFERROR(
    _xlfn.IFS(
      VLOOKUP(B160,[1]Material!F$5:U$90000,16,0)="LUC","Lucid",
      VLOOKUP(B160,[1]Material!F$5:U$90000,16,0)="FMC","FORD",
      OR(VLOOKUP(B160,[1]Material!F$5:U$90000,16,0)="PUR",VLOOKUP(B160,[1]Material!F$5:U$90000,16,0)="HLO"),"PURE",
      VLOOKUP(B160,[1]Material!F$5:U$90000,16,0)="AIC","AIC",
      OR(VLOOKUP(B160,[1]Material!F$5:U$90000,16,0)="AGI",VLOOKUP(B160,[1]Material!F$5:U$90000,16,0)="AGIGA"),"AGIGA",
      OR(LEFT(VLOOKUP(B160,[1]Material!F$5:U$90000,16,0),3)="EF-",VLOOKUP(B160,[1]Material!F$5:U$90000,16,0)="EFI"),"EFI",
      AND(ISNUMBER(VLOOKUP(B160,[1]Material!F$5:U$90000,16,0)),VLOOKUP(B160,[1]Material!F$5:U$90000,16,0)&gt;=100,VLOOKUP(B160,[1]Material!F$5:U$90000,16,0)&lt;=999,VLOOKUP(B160,[1]Material!F$5:U$90000,16,0)=INT(VLOOKUP(B160,[1]Material!F$5:U$90000,16,0))),"OEM",
      TRUE,""
    ),
    "không tìm thấy trong file Import"
  ),
  VLOOKUP(F160,'[2]Export shipment'!B:Y,24,0)
)</f>
        <v>PURE</v>
      </c>
      <c r="H160" s="184"/>
      <c r="I160" s="184"/>
      <c r="J160" s="260">
        <f>(V160+X160+AA160)/'Logistics record '!$AD$1</f>
        <v>15.116015418335726</v>
      </c>
      <c r="K160" s="260">
        <f>W160/'Logistics record '!$AD$1</f>
        <v>0</v>
      </c>
      <c r="L160" s="260">
        <f>Y160/'Logistics record '!$AD$1</f>
        <v>0</v>
      </c>
      <c r="M160" s="260">
        <f>AF160/'Logistics record '!$AD$1</f>
        <v>0</v>
      </c>
      <c r="N160" s="260" t="str" cm="1">
        <f t="array" ref="N160">_xlfn.IFS(
    OR(UPPER(S160)="AIR", UPPER(S160)="CPN"), "AIR",
    UPPER(S160)="TC", "LOCAL",
    TRUE, "SEA"
)</f>
        <v>AIR</v>
      </c>
      <c r="O160" s="260">
        <f t="shared" si="16"/>
        <v>15.116015418335726</v>
      </c>
      <c r="P160" s="184" t="s">
        <v>932</v>
      </c>
      <c r="Q160" s="185">
        <v>108303401400</v>
      </c>
      <c r="R160" s="186">
        <v>46176</v>
      </c>
      <c r="S160" s="187" t="s">
        <v>928</v>
      </c>
      <c r="T160" s="188">
        <v>7.4</v>
      </c>
      <c r="U160" s="188"/>
      <c r="V160" s="189">
        <v>400000</v>
      </c>
      <c r="W160" s="190"/>
      <c r="X160" s="190"/>
      <c r="Y160" s="190"/>
      <c r="Z160" s="189">
        <f t="shared" si="12"/>
        <v>400000</v>
      </c>
      <c r="AA160" s="189">
        <v>0</v>
      </c>
      <c r="AB160" s="189">
        <f t="shared" si="17"/>
        <v>400000</v>
      </c>
      <c r="AC160" s="189"/>
      <c r="AD160" s="190"/>
      <c r="AE160" s="190"/>
      <c r="AF160" s="191">
        <f t="shared" si="13"/>
        <v>0</v>
      </c>
      <c r="AG160" s="190">
        <f t="shared" si="14"/>
        <v>400000</v>
      </c>
      <c r="AH160" s="190"/>
      <c r="AI160" s="192" t="str">
        <f>VLOOKUP(Q160,[3]Sheet1!B$11:G$1489,6,0)</f>
        <v>E11</v>
      </c>
      <c r="GK160" s="194"/>
      <c r="GL160" s="195"/>
      <c r="GM160" s="196"/>
      <c r="GN160" s="197"/>
      <c r="GO160" s="198"/>
      <c r="GP160" s="199"/>
      <c r="GQ160" s="200"/>
      <c r="GR160" s="201"/>
      <c r="GS160" s="60"/>
      <c r="GT160" s="202"/>
      <c r="GU160" s="202"/>
      <c r="GV160" s="202"/>
      <c r="GW160" s="202"/>
      <c r="GX160" s="203"/>
      <c r="HA160" s="194"/>
      <c r="HB160" s="195"/>
      <c r="HC160" s="196"/>
      <c r="HD160" s="197"/>
      <c r="HE160" s="198"/>
      <c r="HF160" s="199"/>
      <c r="HG160" s="200"/>
      <c r="HH160" s="201"/>
      <c r="HI160" s="60"/>
      <c r="HJ160" s="202"/>
      <c r="HK160" s="202"/>
      <c r="HL160" s="202"/>
      <c r="HM160" s="202"/>
      <c r="HN160" s="203"/>
    </row>
    <row r="161" spans="1:222" ht="16.5" customHeight="1">
      <c r="A161" s="181">
        <v>158</v>
      </c>
      <c r="B161" s="182">
        <v>5415364765</v>
      </c>
      <c r="C161" s="183" t="s">
        <v>2401</v>
      </c>
      <c r="D161" s="184" t="s">
        <v>2402</v>
      </c>
      <c r="E161" s="184" t="str">
        <f t="shared" si="15"/>
        <v>Import</v>
      </c>
      <c r="F161" s="720" t="str" cm="1">
        <f t="array" ref="F161">_xlfn.IFS(
  OR(AI161="E11", AI161="E15"), "Raw materials",
  OR(AI161="E13", AI161="G13"), "Equipments + Toolings",
  TRUE, RIGHT(C161, 8)
)</f>
        <v>Raw materials</v>
      </c>
      <c r="G161" s="541" t="str" cm="1">
        <f t="array" ref="G161">IF(E161="Import",
  IFERROR(
    _xlfn.IFS(
      VLOOKUP(B161,[1]Material!F$5:U$90000,16,0)="LUC","Lucid",
      VLOOKUP(B161,[1]Material!F$5:U$90000,16,0)="FMC","FORD",
      OR(VLOOKUP(B161,[1]Material!F$5:U$90000,16,0)="PUR",VLOOKUP(B161,[1]Material!F$5:U$90000,16,0)="HLO"),"PURE",
      VLOOKUP(B161,[1]Material!F$5:U$90000,16,0)="AIC","AIC",
      OR(VLOOKUP(B161,[1]Material!F$5:U$90000,16,0)="AGI",VLOOKUP(B161,[1]Material!F$5:U$90000,16,0)="AGIGA"),"AGIGA",
      OR(LEFT(VLOOKUP(B161,[1]Material!F$5:U$90000,16,0),3)="EF-",VLOOKUP(B161,[1]Material!F$5:U$90000,16,0)="EFI"),"EFI",
      AND(ISNUMBER(VLOOKUP(B161,[1]Material!F$5:U$90000,16,0)),VLOOKUP(B161,[1]Material!F$5:U$90000,16,0)&gt;=100,VLOOKUP(B161,[1]Material!F$5:U$90000,16,0)&lt;=999,VLOOKUP(B161,[1]Material!F$5:U$90000,16,0)=INT(VLOOKUP(B161,[1]Material!F$5:U$90000,16,0))),"OEM",
      TRUE,""
    ),
    "không tìm thấy trong file Import"
  ),
  VLOOKUP(F161,'[2]Export shipment'!B:Y,24,0)
)</f>
        <v>FORD</v>
      </c>
      <c r="H161" s="184"/>
      <c r="I161" s="184"/>
      <c r="J161" s="260">
        <f>(V161+X161+AA161)/'Logistics record '!$AD$1</f>
        <v>15.116015418335726</v>
      </c>
      <c r="K161" s="260">
        <f>W161/'Logistics record '!$AD$1</f>
        <v>0</v>
      </c>
      <c r="L161" s="260">
        <f>Y161/'Logistics record '!$AD$1</f>
        <v>0</v>
      </c>
      <c r="M161" s="260">
        <f>AF161/'Logistics record '!$AD$1</f>
        <v>0</v>
      </c>
      <c r="N161" s="260" t="str" cm="1">
        <f t="array" ref="N161">_xlfn.IFS(
    OR(UPPER(S161)="AIR", UPPER(S161)="CPN"), "AIR",
    UPPER(S161)="TC", "LOCAL",
    TRUE, "SEA"
)</f>
        <v>AIR</v>
      </c>
      <c r="O161" s="260">
        <f t="shared" si="16"/>
        <v>15.116015418335726</v>
      </c>
      <c r="P161" s="184" t="s">
        <v>949</v>
      </c>
      <c r="Q161" s="185">
        <v>108303506730</v>
      </c>
      <c r="R161" s="186">
        <v>46176</v>
      </c>
      <c r="S161" s="187" t="s">
        <v>928</v>
      </c>
      <c r="T161" s="188">
        <v>0.1</v>
      </c>
      <c r="U161" s="188"/>
      <c r="V161" s="189">
        <v>400000</v>
      </c>
      <c r="W161" s="190"/>
      <c r="X161" s="190"/>
      <c r="Y161" s="190"/>
      <c r="Z161" s="189">
        <f t="shared" si="12"/>
        <v>400000</v>
      </c>
      <c r="AA161" s="189">
        <v>0</v>
      </c>
      <c r="AB161" s="189">
        <f t="shared" si="17"/>
        <v>400000</v>
      </c>
      <c r="AC161" s="189"/>
      <c r="AD161" s="190"/>
      <c r="AE161" s="190"/>
      <c r="AF161" s="191">
        <f t="shared" si="13"/>
        <v>0</v>
      </c>
      <c r="AG161" s="190">
        <f t="shared" si="14"/>
        <v>400000</v>
      </c>
      <c r="AH161" s="190"/>
      <c r="AI161" s="192" t="str">
        <f>VLOOKUP(Q161,[3]Sheet1!B$11:G$1489,6,0)</f>
        <v>E11</v>
      </c>
      <c r="GK161" s="194"/>
      <c r="GL161" s="195"/>
      <c r="GM161" s="196"/>
      <c r="GN161" s="197"/>
      <c r="GO161" s="198"/>
      <c r="GP161" s="199"/>
      <c r="GQ161" s="200"/>
      <c r="GR161" s="201"/>
      <c r="GS161" s="60"/>
      <c r="GT161" s="202"/>
      <c r="GU161" s="202"/>
      <c r="GV161" s="202"/>
      <c r="GW161" s="202"/>
      <c r="GX161" s="203"/>
      <c r="HA161" s="194"/>
      <c r="HB161" s="195"/>
      <c r="HC161" s="196"/>
      <c r="HD161" s="197"/>
      <c r="HE161" s="198"/>
      <c r="HF161" s="199"/>
      <c r="HG161" s="200"/>
      <c r="HH161" s="201"/>
      <c r="HI161" s="60"/>
      <c r="HJ161" s="202"/>
      <c r="HK161" s="202"/>
      <c r="HL161" s="202"/>
      <c r="HM161" s="202"/>
      <c r="HN161" s="203"/>
    </row>
    <row r="162" spans="1:222" ht="16.5" customHeight="1">
      <c r="A162" s="181">
        <v>159</v>
      </c>
      <c r="B162" s="182" t="s">
        <v>2403</v>
      </c>
      <c r="C162" s="183" t="s">
        <v>2404</v>
      </c>
      <c r="D162" s="184" t="s">
        <v>968</v>
      </c>
      <c r="E162" s="184" t="str">
        <f t="shared" si="15"/>
        <v>Import</v>
      </c>
      <c r="F162" s="720" t="str" cm="1">
        <f t="array" ref="F162">_xlfn.IFS(
  OR(AI162="E11", AI162="E15"), "Raw materials",
  OR(AI162="E13", AI162="G13"), "Equipments + Toolings",
  TRUE, RIGHT(C162, 8)
)</f>
        <v>Raw materials</v>
      </c>
      <c r="G162" s="541" t="str" cm="1">
        <f t="array" ref="G162">IF(E162="Import",
  IFERROR(
    _xlfn.IFS(
      VLOOKUP(B162,[1]Material!F$5:U$90000,16,0)="LUC","Lucid",
      VLOOKUP(B162,[1]Material!F$5:U$90000,16,0)="FMC","FORD",
      OR(VLOOKUP(B162,[1]Material!F$5:U$90000,16,0)="PUR",VLOOKUP(B162,[1]Material!F$5:U$90000,16,0)="HLO"),"PURE",
      VLOOKUP(B162,[1]Material!F$5:U$90000,16,0)="AIC","AIC",
      OR(VLOOKUP(B162,[1]Material!F$5:U$90000,16,0)="AGI",VLOOKUP(B162,[1]Material!F$5:U$90000,16,0)="AGIGA"),"AGIGA",
      OR(LEFT(VLOOKUP(B162,[1]Material!F$5:U$90000,16,0),3)="EF-",VLOOKUP(B162,[1]Material!F$5:U$90000,16,0)="EFI"),"EFI",
      AND(ISNUMBER(VLOOKUP(B162,[1]Material!F$5:U$90000,16,0)),VLOOKUP(B162,[1]Material!F$5:U$90000,16,0)&gt;=100,VLOOKUP(B162,[1]Material!F$5:U$90000,16,0)&lt;=999,VLOOKUP(B162,[1]Material!F$5:U$90000,16,0)=INT(VLOOKUP(B162,[1]Material!F$5:U$90000,16,0))),"OEM",
      TRUE,""
    ),
    "không tìm thấy trong file Import"
  ),
  VLOOKUP(F162,'[2]Export shipment'!B:Y,24,0)
)</f>
        <v>OEM</v>
      </c>
      <c r="H162" s="184"/>
      <c r="I162" s="184"/>
      <c r="J162" s="260">
        <f>(V162+X162+AA162)/'Logistics record '!$AD$1</f>
        <v>15.116015418335726</v>
      </c>
      <c r="K162" s="260">
        <f>W162/'Logistics record '!$AD$1</f>
        <v>0</v>
      </c>
      <c r="L162" s="260">
        <f>Y162/'Logistics record '!$AD$1</f>
        <v>0</v>
      </c>
      <c r="M162" s="260">
        <f>AF162/'Logistics record '!$AD$1</f>
        <v>0</v>
      </c>
      <c r="N162" s="260" t="str" cm="1">
        <f t="array" ref="N162">_xlfn.IFS(
    OR(UPPER(S162)="AIR", UPPER(S162)="CPN"), "AIR",
    UPPER(S162)="TC", "LOCAL",
    TRUE, "SEA"
)</f>
        <v>AIR</v>
      </c>
      <c r="O162" s="260">
        <f t="shared" si="16"/>
        <v>15.116015418335726</v>
      </c>
      <c r="P162" s="184" t="s">
        <v>959</v>
      </c>
      <c r="Q162" s="185">
        <v>108303624330</v>
      </c>
      <c r="R162" s="186">
        <v>46176</v>
      </c>
      <c r="S162" s="187" t="s">
        <v>928</v>
      </c>
      <c r="T162" s="188">
        <v>0.9</v>
      </c>
      <c r="U162" s="188"/>
      <c r="V162" s="189">
        <v>400000</v>
      </c>
      <c r="W162" s="190"/>
      <c r="X162" s="190"/>
      <c r="Y162" s="190"/>
      <c r="Z162" s="189">
        <f t="shared" si="12"/>
        <v>400000</v>
      </c>
      <c r="AA162" s="189">
        <v>0</v>
      </c>
      <c r="AB162" s="189">
        <f t="shared" si="17"/>
        <v>400000</v>
      </c>
      <c r="AC162" s="189"/>
      <c r="AD162" s="190"/>
      <c r="AE162" s="190"/>
      <c r="AF162" s="191">
        <f t="shared" si="13"/>
        <v>0</v>
      </c>
      <c r="AG162" s="190">
        <f t="shared" si="14"/>
        <v>400000</v>
      </c>
      <c r="AH162" s="190"/>
      <c r="AI162" s="192" t="str">
        <f>VLOOKUP(Q162,[3]Sheet1!B$11:G$1489,6,0)</f>
        <v>E11</v>
      </c>
      <c r="GK162" s="194"/>
      <c r="GL162" s="195"/>
      <c r="GM162" s="196"/>
      <c r="GN162" s="197"/>
      <c r="GO162" s="198"/>
      <c r="GP162" s="199"/>
      <c r="GQ162" s="200"/>
      <c r="GR162" s="201"/>
      <c r="GS162" s="60"/>
      <c r="GT162" s="202"/>
      <c r="GU162" s="202"/>
      <c r="GV162" s="202"/>
      <c r="GW162" s="202"/>
      <c r="GX162" s="203"/>
      <c r="HA162" s="194"/>
      <c r="HB162" s="195"/>
      <c r="HC162" s="196"/>
      <c r="HD162" s="197"/>
      <c r="HE162" s="198"/>
      <c r="HF162" s="199"/>
      <c r="HG162" s="200"/>
      <c r="HH162" s="201"/>
      <c r="HI162" s="60"/>
      <c r="HJ162" s="202"/>
      <c r="HK162" s="202"/>
      <c r="HL162" s="202"/>
      <c r="HM162" s="202"/>
      <c r="HN162" s="203"/>
    </row>
    <row r="163" spans="1:222" ht="16.5" customHeight="1">
      <c r="A163" s="181">
        <v>160</v>
      </c>
      <c r="B163" s="182">
        <v>119209729929</v>
      </c>
      <c r="C163" s="598" t="s">
        <v>2405</v>
      </c>
      <c r="D163" s="184" t="s">
        <v>944</v>
      </c>
      <c r="E163" s="184" t="str">
        <f t="shared" si="15"/>
        <v>Import</v>
      </c>
      <c r="F163" s="720" t="str" cm="1">
        <f t="array" ref="F163">_xlfn.IFS(
  OR(AI163="E11", AI163="E15"), "Raw materials",
  OR(AI163="E13", AI163="G13"), "Equipments + Toolings",
  TRUE, RIGHT(C163, 8)
)</f>
        <v>Raw materials</v>
      </c>
      <c r="G163" s="541" t="str" cm="1">
        <f t="array" ref="G163">IF(E163="Import",
  IFERROR(
    _xlfn.IFS(
      VLOOKUP(B163,[1]Material!F$5:U$90000,16,0)="LUC","Lucid",
      VLOOKUP(B163,[1]Material!F$5:U$90000,16,0)="FMC","FORD",
      OR(VLOOKUP(B163,[1]Material!F$5:U$90000,16,0)="PUR",VLOOKUP(B163,[1]Material!F$5:U$90000,16,0)="HLO"),"PURE",
      VLOOKUP(B163,[1]Material!F$5:U$90000,16,0)="AIC","AIC",
      OR(VLOOKUP(B163,[1]Material!F$5:U$90000,16,0)="AGI",VLOOKUP(B163,[1]Material!F$5:U$90000,16,0)="AGIGA"),"AGIGA",
      OR(LEFT(VLOOKUP(B163,[1]Material!F$5:U$90000,16,0),3)="EF-",VLOOKUP(B163,[1]Material!F$5:U$90000,16,0)="EFI"),"EFI",
      AND(ISNUMBER(VLOOKUP(B163,[1]Material!F$5:U$90000,16,0)),VLOOKUP(B163,[1]Material!F$5:U$90000,16,0)&gt;=100,VLOOKUP(B163,[1]Material!F$5:U$90000,16,0)&lt;=999,VLOOKUP(B163,[1]Material!F$5:U$90000,16,0)=INT(VLOOKUP(B163,[1]Material!F$5:U$90000,16,0))),"OEM",
      TRUE,""
    ),
    "không tìm thấy trong file Import"
  ),
  VLOOKUP(F163,'[2]Export shipment'!B:Y,24,0)
)</f>
        <v>PURE</v>
      </c>
      <c r="H163" s="184"/>
      <c r="I163" s="184"/>
      <c r="J163" s="260">
        <f>(V163+X163+AA163)/'Logistics record '!$AD$1</f>
        <v>15.116015418335726</v>
      </c>
      <c r="K163" s="260">
        <f>W163/'Logistics record '!$AD$1</f>
        <v>0</v>
      </c>
      <c r="L163" s="260">
        <f>Y163/'Logistics record '!$AD$1</f>
        <v>0</v>
      </c>
      <c r="M163" s="260">
        <f>AF163/'Logistics record '!$AD$1</f>
        <v>0</v>
      </c>
      <c r="N163" s="260" t="str" cm="1">
        <f t="array" ref="N163">_xlfn.IFS(
    OR(UPPER(S163)="AIR", UPPER(S163)="CPN"), "AIR",
    UPPER(S163)="TC", "LOCAL",
    TRUE, "SEA"
)</f>
        <v>AIR</v>
      </c>
      <c r="O163" s="260">
        <f t="shared" si="16"/>
        <v>15.116015418335726</v>
      </c>
      <c r="P163" s="184" t="s">
        <v>935</v>
      </c>
      <c r="Q163" s="185">
        <v>108303630150</v>
      </c>
      <c r="R163" s="186">
        <v>46176</v>
      </c>
      <c r="S163" s="187" t="s">
        <v>928</v>
      </c>
      <c r="T163" s="188">
        <v>0.8</v>
      </c>
      <c r="U163" s="188"/>
      <c r="V163" s="189">
        <v>400000</v>
      </c>
      <c r="W163" s="190"/>
      <c r="X163" s="190"/>
      <c r="Y163" s="190"/>
      <c r="Z163" s="189">
        <f t="shared" si="12"/>
        <v>400000</v>
      </c>
      <c r="AA163" s="189">
        <v>0</v>
      </c>
      <c r="AB163" s="189">
        <f t="shared" si="17"/>
        <v>400000</v>
      </c>
      <c r="AC163" s="189"/>
      <c r="AD163" s="190"/>
      <c r="AE163" s="190"/>
      <c r="AF163" s="191">
        <f t="shared" si="13"/>
        <v>0</v>
      </c>
      <c r="AG163" s="190">
        <f t="shared" si="14"/>
        <v>400000</v>
      </c>
      <c r="AH163" s="190"/>
      <c r="AI163" s="192" t="str">
        <f>VLOOKUP(Q163,[3]Sheet1!B$11:G$1489,6,0)</f>
        <v>E11</v>
      </c>
      <c r="GK163" s="194"/>
      <c r="GL163" s="195"/>
      <c r="GM163" s="196"/>
      <c r="GN163" s="197"/>
      <c r="GO163" s="198"/>
      <c r="GP163" s="199"/>
      <c r="GQ163" s="200"/>
      <c r="GR163" s="201"/>
      <c r="GS163" s="60"/>
      <c r="GT163" s="202"/>
      <c r="GU163" s="202"/>
      <c r="GV163" s="202"/>
      <c r="GW163" s="202"/>
      <c r="GX163" s="203"/>
      <c r="HA163" s="194"/>
      <c r="HB163" s="195"/>
      <c r="HC163" s="196"/>
      <c r="HD163" s="197"/>
      <c r="HE163" s="198"/>
      <c r="HF163" s="199"/>
      <c r="HG163" s="200"/>
      <c r="HH163" s="201"/>
      <c r="HI163" s="60"/>
      <c r="HJ163" s="202"/>
      <c r="HK163" s="202"/>
      <c r="HL163" s="202"/>
      <c r="HM163" s="202"/>
      <c r="HN163" s="203"/>
    </row>
    <row r="164" spans="1:222" ht="16.5" customHeight="1">
      <c r="A164" s="181">
        <v>161</v>
      </c>
      <c r="B164" s="182">
        <v>381664000889</v>
      </c>
      <c r="C164" s="183" t="s">
        <v>2406</v>
      </c>
      <c r="D164" s="184" t="s">
        <v>1702</v>
      </c>
      <c r="E164" s="184" t="str">
        <f t="shared" si="15"/>
        <v>Import</v>
      </c>
      <c r="F164" s="720" t="str" cm="1">
        <f t="array" ref="F164">_xlfn.IFS(
  OR(AI164="E11", AI164="E15"), "Raw materials",
  OR(AI164="E13", AI164="G13"), "Equipments + Toolings",
  TRUE, RIGHT(C164, 8)
)</f>
        <v>Raw materials</v>
      </c>
      <c r="G164" s="541" t="str" cm="1">
        <f t="array" ref="G164">IF(E164="Import",
  IFERROR(
    _xlfn.IFS(
      VLOOKUP(B164,[1]Material!F$5:U$90000,16,0)="LUC","Lucid",
      VLOOKUP(B164,[1]Material!F$5:U$90000,16,0)="FMC","FORD",
      OR(VLOOKUP(B164,[1]Material!F$5:U$90000,16,0)="PUR",VLOOKUP(B164,[1]Material!F$5:U$90000,16,0)="HLO"),"PURE",
      VLOOKUP(B164,[1]Material!F$5:U$90000,16,0)="AIC","AIC",
      OR(VLOOKUP(B164,[1]Material!F$5:U$90000,16,0)="AGI",VLOOKUP(B164,[1]Material!F$5:U$90000,16,0)="AGIGA"),"AGIGA",
      OR(LEFT(VLOOKUP(B164,[1]Material!F$5:U$90000,16,0),3)="EF-",VLOOKUP(B164,[1]Material!F$5:U$90000,16,0)="EFI"),"EFI",
      AND(ISNUMBER(VLOOKUP(B164,[1]Material!F$5:U$90000,16,0)),VLOOKUP(B164,[1]Material!F$5:U$90000,16,0)&gt;=100,VLOOKUP(B164,[1]Material!F$5:U$90000,16,0)&lt;=999,VLOOKUP(B164,[1]Material!F$5:U$90000,16,0)=INT(VLOOKUP(B164,[1]Material!F$5:U$90000,16,0))),"OEM",
      TRUE,""
    ),
    "không tìm thấy trong file Import"
  ),
  VLOOKUP(F164,'[2]Export shipment'!B:Y,24,0)
)</f>
        <v>PURE</v>
      </c>
      <c r="H164" s="184"/>
      <c r="I164" s="184"/>
      <c r="J164" s="260">
        <f>(V164+X164+AA164)/'Logistics record '!$AD$1</f>
        <v>15.116015418335726</v>
      </c>
      <c r="K164" s="260">
        <f>W164/'Logistics record '!$AD$1</f>
        <v>0</v>
      </c>
      <c r="L164" s="260">
        <f>Y164/'Logistics record '!$AD$1</f>
        <v>0</v>
      </c>
      <c r="M164" s="260">
        <f>AF164/'Logistics record '!$AD$1</f>
        <v>0</v>
      </c>
      <c r="N164" s="260" t="str" cm="1">
        <f t="array" ref="N164">_xlfn.IFS(
    OR(UPPER(S164)="AIR", UPPER(S164)="CPN"), "AIR",
    UPPER(S164)="TC", "LOCAL",
    TRUE, "SEA"
)</f>
        <v>AIR</v>
      </c>
      <c r="O164" s="260">
        <f t="shared" si="16"/>
        <v>15.116015418335726</v>
      </c>
      <c r="P164" s="184" t="s">
        <v>937</v>
      </c>
      <c r="Q164" s="185">
        <v>108303774130</v>
      </c>
      <c r="R164" s="186">
        <v>46176</v>
      </c>
      <c r="S164" s="187" t="s">
        <v>928</v>
      </c>
      <c r="T164" s="188">
        <v>13.2</v>
      </c>
      <c r="U164" s="188"/>
      <c r="V164" s="189">
        <v>400000</v>
      </c>
      <c r="W164" s="190"/>
      <c r="X164" s="190"/>
      <c r="Y164" s="190"/>
      <c r="Z164" s="189">
        <f t="shared" si="12"/>
        <v>400000</v>
      </c>
      <c r="AA164" s="189">
        <v>0</v>
      </c>
      <c r="AB164" s="189">
        <f t="shared" si="17"/>
        <v>400000</v>
      </c>
      <c r="AC164" s="189"/>
      <c r="AD164" s="190"/>
      <c r="AE164" s="190"/>
      <c r="AF164" s="191">
        <f t="shared" si="13"/>
        <v>0</v>
      </c>
      <c r="AG164" s="190">
        <f t="shared" si="14"/>
        <v>400000</v>
      </c>
      <c r="AH164" s="190"/>
      <c r="AI164" s="192" t="str">
        <f>VLOOKUP(Q164,[3]Sheet1!B$11:G$1489,6,0)</f>
        <v>E11</v>
      </c>
      <c r="GK164" s="194"/>
      <c r="GL164" s="195"/>
      <c r="GM164" s="196"/>
      <c r="GN164" s="197"/>
      <c r="GO164" s="198"/>
      <c r="GP164" s="199"/>
      <c r="GQ164" s="200"/>
      <c r="GR164" s="201"/>
      <c r="GS164" s="60"/>
      <c r="GT164" s="202"/>
      <c r="GU164" s="202"/>
      <c r="GV164" s="202"/>
      <c r="GW164" s="202"/>
      <c r="GX164" s="203"/>
      <c r="HA164" s="194"/>
      <c r="HB164" s="195"/>
      <c r="HC164" s="196"/>
      <c r="HD164" s="197"/>
      <c r="HE164" s="198"/>
      <c r="HF164" s="199"/>
      <c r="HG164" s="200"/>
      <c r="HH164" s="201"/>
      <c r="HI164" s="60"/>
      <c r="HJ164" s="202"/>
      <c r="HK164" s="202"/>
      <c r="HL164" s="202"/>
      <c r="HM164" s="202"/>
      <c r="HN164" s="203"/>
    </row>
    <row r="165" spans="1:222" ht="16.5" customHeight="1">
      <c r="A165" s="181">
        <v>162</v>
      </c>
      <c r="B165" s="182">
        <v>872205227423</v>
      </c>
      <c r="C165" s="183" t="s">
        <v>2407</v>
      </c>
      <c r="D165" s="184" t="s">
        <v>1808</v>
      </c>
      <c r="E165" s="184" t="str">
        <f t="shared" si="15"/>
        <v>Import</v>
      </c>
      <c r="F165" s="720" t="str" cm="1">
        <f t="array" ref="F165">_xlfn.IFS(
  OR(AI165="E11", AI165="E15"), "Raw materials",
  OR(AI165="E13", AI165="G13"), "Equipments + Toolings",
  TRUE, RIGHT(C165, 8)
)</f>
        <v>Raw materials</v>
      </c>
      <c r="G165" s="541" t="str" cm="1">
        <f t="array" ref="G165">IF(E165="Import",
  IFERROR(
    _xlfn.IFS(
      VLOOKUP(B165,[1]Material!F$5:U$90000,16,0)="LUC","Lucid",
      VLOOKUP(B165,[1]Material!F$5:U$90000,16,0)="FMC","FORD",
      OR(VLOOKUP(B165,[1]Material!F$5:U$90000,16,0)="PUR",VLOOKUP(B165,[1]Material!F$5:U$90000,16,0)="HLO"),"PURE",
      VLOOKUP(B165,[1]Material!F$5:U$90000,16,0)="AIC","AIC",
      OR(VLOOKUP(B165,[1]Material!F$5:U$90000,16,0)="AGI",VLOOKUP(B165,[1]Material!F$5:U$90000,16,0)="AGIGA"),"AGIGA",
      OR(LEFT(VLOOKUP(B165,[1]Material!F$5:U$90000,16,0),3)="EF-",VLOOKUP(B165,[1]Material!F$5:U$90000,16,0)="EFI"),"EFI",
      AND(ISNUMBER(VLOOKUP(B165,[1]Material!F$5:U$90000,16,0)),VLOOKUP(B165,[1]Material!F$5:U$90000,16,0)&gt;=100,VLOOKUP(B165,[1]Material!F$5:U$90000,16,0)&lt;=999,VLOOKUP(B165,[1]Material!F$5:U$90000,16,0)=INT(VLOOKUP(B165,[1]Material!F$5:U$90000,16,0))),"OEM",
      TRUE,""
    ),
    "không tìm thấy trong file Import"
  ),
  VLOOKUP(F165,'[2]Export shipment'!B:Y,24,0)
)</f>
        <v>EFI</v>
      </c>
      <c r="H165" s="184"/>
      <c r="I165" s="184"/>
      <c r="J165" s="260">
        <f>(V165+X165+AA165)/'Logistics record '!$AD$1</f>
        <v>15.116015418335726</v>
      </c>
      <c r="K165" s="260">
        <f>W165/'Logistics record '!$AD$1</f>
        <v>0</v>
      </c>
      <c r="L165" s="260">
        <f>Y165/'Logistics record '!$AD$1</f>
        <v>0</v>
      </c>
      <c r="M165" s="260">
        <f>AF165/'Logistics record '!$AD$1</f>
        <v>0</v>
      </c>
      <c r="N165" s="260" t="str" cm="1">
        <f t="array" ref="N165">_xlfn.IFS(
    OR(UPPER(S165)="AIR", UPPER(S165)="CPN"), "AIR",
    UPPER(S165)="TC", "LOCAL",
    TRUE, "SEA"
)</f>
        <v>AIR</v>
      </c>
      <c r="O165" s="260">
        <f t="shared" si="16"/>
        <v>15.116015418335726</v>
      </c>
      <c r="P165" s="184" t="s">
        <v>927</v>
      </c>
      <c r="Q165" s="185">
        <v>108303853340</v>
      </c>
      <c r="R165" s="186">
        <v>46176</v>
      </c>
      <c r="S165" s="187" t="s">
        <v>928</v>
      </c>
      <c r="T165" s="188">
        <v>10.4</v>
      </c>
      <c r="U165" s="188"/>
      <c r="V165" s="189">
        <v>400000</v>
      </c>
      <c r="W165" s="190"/>
      <c r="X165" s="190"/>
      <c r="Y165" s="190"/>
      <c r="Z165" s="189">
        <f t="shared" si="12"/>
        <v>400000</v>
      </c>
      <c r="AA165" s="189">
        <v>0</v>
      </c>
      <c r="AB165" s="189">
        <f t="shared" si="17"/>
        <v>400000</v>
      </c>
      <c r="AC165" s="189"/>
      <c r="AD165" s="190"/>
      <c r="AE165" s="190"/>
      <c r="AF165" s="191">
        <f t="shared" si="13"/>
        <v>0</v>
      </c>
      <c r="AG165" s="190">
        <f t="shared" si="14"/>
        <v>400000</v>
      </c>
      <c r="AH165" s="190"/>
      <c r="AI165" s="192" t="str">
        <f>VLOOKUP(Q165,[3]Sheet1!B$11:G$1489,6,0)</f>
        <v>E11</v>
      </c>
      <c r="GK165" s="194"/>
      <c r="GL165" s="195"/>
      <c r="GM165" s="196"/>
      <c r="GN165" s="197"/>
      <c r="GO165" s="198"/>
      <c r="GP165" s="199"/>
      <c r="GQ165" s="200"/>
      <c r="GR165" s="201"/>
      <c r="GS165" s="60"/>
      <c r="GT165" s="202"/>
      <c r="GU165" s="202"/>
      <c r="GV165" s="202"/>
      <c r="GW165" s="202"/>
      <c r="GX165" s="203"/>
      <c r="HA165" s="194"/>
      <c r="HB165" s="195"/>
      <c r="HC165" s="196"/>
      <c r="HD165" s="197"/>
      <c r="HE165" s="198"/>
      <c r="HF165" s="199"/>
      <c r="HG165" s="200"/>
      <c r="HH165" s="201"/>
      <c r="HI165" s="60"/>
      <c r="HJ165" s="202"/>
      <c r="HK165" s="202"/>
      <c r="HL165" s="202"/>
      <c r="HM165" s="202"/>
      <c r="HN165" s="203"/>
    </row>
    <row r="166" spans="1:222" ht="16.5" customHeight="1">
      <c r="A166" s="181">
        <v>163</v>
      </c>
      <c r="B166" s="182">
        <v>527529842090</v>
      </c>
      <c r="C166" s="598" t="s">
        <v>2408</v>
      </c>
      <c r="D166" s="184" t="s">
        <v>1905</v>
      </c>
      <c r="E166" s="184" t="str">
        <f t="shared" si="15"/>
        <v>Import</v>
      </c>
      <c r="F166" s="720" t="str" cm="1">
        <f t="array" ref="F166">_xlfn.IFS(
  OR(AI166="E11", AI166="E15"), "Raw materials",
  OR(AI166="E13", AI166="G13"), "Equipments + Toolings",
  TRUE, RIGHT(C166, 8)
)</f>
        <v>Raw materials</v>
      </c>
      <c r="G166" s="541" t="str" cm="1">
        <f t="array" ref="G166">IF(E166="Import",
  IFERROR(
    _xlfn.IFS(
      VLOOKUP(B166,[1]Material!F$5:U$90000,16,0)="LUC","Lucid",
      VLOOKUP(B166,[1]Material!F$5:U$90000,16,0)="FMC","FORD",
      OR(VLOOKUP(B166,[1]Material!F$5:U$90000,16,0)="PUR",VLOOKUP(B166,[1]Material!F$5:U$90000,16,0)="HLO"),"PURE",
      VLOOKUP(B166,[1]Material!F$5:U$90000,16,0)="AIC","AIC",
      OR(VLOOKUP(B166,[1]Material!F$5:U$90000,16,0)="AGI",VLOOKUP(B166,[1]Material!F$5:U$90000,16,0)="AGIGA"),"AGIGA",
      OR(LEFT(VLOOKUP(B166,[1]Material!F$5:U$90000,16,0),3)="EF-",VLOOKUP(B166,[1]Material!F$5:U$90000,16,0)="EFI"),"EFI",
      AND(ISNUMBER(VLOOKUP(B166,[1]Material!F$5:U$90000,16,0)),VLOOKUP(B166,[1]Material!F$5:U$90000,16,0)&gt;=100,VLOOKUP(B166,[1]Material!F$5:U$90000,16,0)&lt;=999,VLOOKUP(B166,[1]Material!F$5:U$90000,16,0)=INT(VLOOKUP(B166,[1]Material!F$5:U$90000,16,0))),"OEM",
      TRUE,""
    ),
    "không tìm thấy trong file Import"
  ),
  VLOOKUP(F166,'[2]Export shipment'!B:Y,24,0)
)</f>
        <v>PURE</v>
      </c>
      <c r="H166" s="184"/>
      <c r="I166" s="184"/>
      <c r="J166" s="260">
        <f>(V166+X166+AA166)/'Logistics record '!$AD$1</f>
        <v>15.116015418335726</v>
      </c>
      <c r="K166" s="260">
        <f>W166/'Logistics record '!$AD$1</f>
        <v>0</v>
      </c>
      <c r="L166" s="260">
        <f>Y166/'Logistics record '!$AD$1</f>
        <v>0</v>
      </c>
      <c r="M166" s="260">
        <f>AF166/'Logistics record '!$AD$1</f>
        <v>0</v>
      </c>
      <c r="N166" s="260" t="str" cm="1">
        <f t="array" ref="N166">_xlfn.IFS(
    OR(UPPER(S166)="AIR", UPPER(S166)="CPN"), "AIR",
    UPPER(S166)="TC", "LOCAL",
    TRUE, "SEA"
)</f>
        <v>AIR</v>
      </c>
      <c r="O166" s="260">
        <f t="shared" si="16"/>
        <v>15.116015418335726</v>
      </c>
      <c r="P166" s="184" t="s">
        <v>954</v>
      </c>
      <c r="Q166" s="185">
        <v>108303962800</v>
      </c>
      <c r="R166" s="186">
        <v>46176</v>
      </c>
      <c r="S166" s="187" t="s">
        <v>928</v>
      </c>
      <c r="T166" s="188">
        <v>5.8</v>
      </c>
      <c r="U166" s="188"/>
      <c r="V166" s="189">
        <v>400000</v>
      </c>
      <c r="W166" s="190"/>
      <c r="X166" s="190"/>
      <c r="Y166" s="190"/>
      <c r="Z166" s="189">
        <f t="shared" si="12"/>
        <v>400000</v>
      </c>
      <c r="AA166" s="189">
        <v>0</v>
      </c>
      <c r="AB166" s="189">
        <f t="shared" si="17"/>
        <v>400000</v>
      </c>
      <c r="AC166" s="189"/>
      <c r="AD166" s="190"/>
      <c r="AE166" s="190"/>
      <c r="AF166" s="191">
        <f t="shared" si="13"/>
        <v>0</v>
      </c>
      <c r="AG166" s="190">
        <f t="shared" si="14"/>
        <v>400000</v>
      </c>
      <c r="AH166" s="190"/>
      <c r="AI166" s="192" t="str">
        <f>VLOOKUP(Q166,[3]Sheet1!B$11:G$1489,6,0)</f>
        <v>E11</v>
      </c>
      <c r="GK166" s="194"/>
      <c r="GL166" s="195"/>
      <c r="GM166" s="196"/>
      <c r="GN166" s="197"/>
      <c r="GO166" s="198"/>
      <c r="GP166" s="199"/>
      <c r="GQ166" s="200"/>
      <c r="GR166" s="201"/>
      <c r="GS166" s="60"/>
      <c r="GT166" s="202"/>
      <c r="GU166" s="202"/>
      <c r="GV166" s="202"/>
      <c r="GW166" s="202"/>
      <c r="GX166" s="203"/>
      <c r="HA166" s="194"/>
      <c r="HB166" s="195"/>
      <c r="HC166" s="196"/>
      <c r="HD166" s="197"/>
      <c r="HE166" s="198"/>
      <c r="HF166" s="199"/>
      <c r="HG166" s="200"/>
      <c r="HH166" s="201"/>
      <c r="HI166" s="60"/>
      <c r="HJ166" s="202"/>
      <c r="HK166" s="202"/>
      <c r="HL166" s="202"/>
      <c r="HM166" s="202"/>
      <c r="HN166" s="203"/>
    </row>
    <row r="167" spans="1:222" ht="16.5" customHeight="1">
      <c r="A167" s="181">
        <v>164</v>
      </c>
      <c r="B167" s="182">
        <v>500292677317</v>
      </c>
      <c r="C167" s="183" t="s">
        <v>2409</v>
      </c>
      <c r="D167" s="184" t="s">
        <v>945</v>
      </c>
      <c r="E167" s="184" t="str">
        <f t="shared" si="15"/>
        <v>Import</v>
      </c>
      <c r="F167" s="720" t="str" cm="1">
        <f t="array" ref="F167">_xlfn.IFS(
  OR(AI167="E11", AI167="E15"), "Raw materials",
  OR(AI167="E13", AI167="G13"), "Equipments + Toolings",
  TRUE, RIGHT(C167, 8)
)</f>
        <v>Raw materials</v>
      </c>
      <c r="G167" s="541" t="str" cm="1">
        <f t="array" ref="G167">IF(E167="Import",
  IFERROR(
    _xlfn.IFS(
      VLOOKUP(B167,[1]Material!F$5:U$90000,16,0)="LUC","Lucid",
      VLOOKUP(B167,[1]Material!F$5:U$90000,16,0)="FMC","FORD",
      OR(VLOOKUP(B167,[1]Material!F$5:U$90000,16,0)="PUR",VLOOKUP(B167,[1]Material!F$5:U$90000,16,0)="HLO"),"PURE",
      VLOOKUP(B167,[1]Material!F$5:U$90000,16,0)="AIC","AIC",
      OR(VLOOKUP(B167,[1]Material!F$5:U$90000,16,0)="AGI",VLOOKUP(B167,[1]Material!F$5:U$90000,16,0)="AGIGA"),"AGIGA",
      OR(LEFT(VLOOKUP(B167,[1]Material!F$5:U$90000,16,0),3)="EF-",VLOOKUP(B167,[1]Material!F$5:U$90000,16,0)="EFI"),"EFI",
      AND(ISNUMBER(VLOOKUP(B167,[1]Material!F$5:U$90000,16,0)),VLOOKUP(B167,[1]Material!F$5:U$90000,16,0)&gt;=100,VLOOKUP(B167,[1]Material!F$5:U$90000,16,0)&lt;=999,VLOOKUP(B167,[1]Material!F$5:U$90000,16,0)=INT(VLOOKUP(B167,[1]Material!F$5:U$90000,16,0))),"OEM",
      TRUE,""
    ),
    "không tìm thấy trong file Import"
  ),
  VLOOKUP(F167,'[2]Export shipment'!B:Y,24,0)
)</f>
        <v>PURE</v>
      </c>
      <c r="H167" s="184"/>
      <c r="I167" s="184"/>
      <c r="J167" s="260">
        <f>(V167+X167+AA167)/'Logistics record '!$AD$1</f>
        <v>15.116015418335726</v>
      </c>
      <c r="K167" s="260">
        <f>W167/'Logistics record '!$AD$1</f>
        <v>0</v>
      </c>
      <c r="L167" s="260">
        <f>Y167/'Logistics record '!$AD$1</f>
        <v>0</v>
      </c>
      <c r="M167" s="260">
        <f>AF167/'Logistics record '!$AD$1</f>
        <v>0</v>
      </c>
      <c r="N167" s="260" t="str" cm="1">
        <f t="array" ref="N167">_xlfn.IFS(
    OR(UPPER(S167)="AIR", UPPER(S167)="CPN"), "AIR",
    UPPER(S167)="TC", "LOCAL",
    TRUE, "SEA"
)</f>
        <v>AIR</v>
      </c>
      <c r="O167" s="260">
        <f t="shared" si="16"/>
        <v>15.116015418335726</v>
      </c>
      <c r="P167" s="184" t="s">
        <v>946</v>
      </c>
      <c r="Q167" s="185">
        <v>108304051660</v>
      </c>
      <c r="R167" s="186">
        <v>46176</v>
      </c>
      <c r="S167" s="187" t="s">
        <v>928</v>
      </c>
      <c r="T167" s="188">
        <v>1.1000000000000001</v>
      </c>
      <c r="U167" s="188"/>
      <c r="V167" s="189">
        <v>400000</v>
      </c>
      <c r="W167" s="190"/>
      <c r="X167" s="190"/>
      <c r="Y167" s="190"/>
      <c r="Z167" s="189">
        <f t="shared" si="12"/>
        <v>400000</v>
      </c>
      <c r="AA167" s="189">
        <v>0</v>
      </c>
      <c r="AB167" s="189">
        <f t="shared" si="17"/>
        <v>400000</v>
      </c>
      <c r="AC167" s="189"/>
      <c r="AD167" s="190"/>
      <c r="AE167" s="190"/>
      <c r="AF167" s="191">
        <f t="shared" si="13"/>
        <v>0</v>
      </c>
      <c r="AG167" s="190">
        <f t="shared" si="14"/>
        <v>400000</v>
      </c>
      <c r="AH167" s="190"/>
      <c r="AI167" s="192" t="str">
        <f>VLOOKUP(Q167,[3]Sheet1!B$11:G$1489,6,0)</f>
        <v>E11</v>
      </c>
      <c r="GK167" s="194"/>
      <c r="GL167" s="195"/>
      <c r="GM167" s="196"/>
      <c r="GN167" s="197"/>
      <c r="GO167" s="198"/>
      <c r="GP167" s="199"/>
      <c r="GQ167" s="200"/>
      <c r="GR167" s="201"/>
      <c r="GS167" s="60"/>
      <c r="GT167" s="202"/>
      <c r="GU167" s="202"/>
      <c r="GV167" s="202"/>
      <c r="GW167" s="202"/>
      <c r="GX167" s="203"/>
      <c r="HA167" s="194"/>
      <c r="HB167" s="195"/>
      <c r="HC167" s="196"/>
      <c r="HD167" s="197"/>
      <c r="HE167" s="198"/>
      <c r="HF167" s="199"/>
      <c r="HG167" s="200"/>
      <c r="HH167" s="201"/>
      <c r="HI167" s="60"/>
      <c r="HJ167" s="202"/>
      <c r="HK167" s="202"/>
      <c r="HL167" s="202"/>
      <c r="HM167" s="202"/>
      <c r="HN167" s="203"/>
    </row>
    <row r="168" spans="1:222" ht="16.5" customHeight="1">
      <c r="A168" s="181">
        <v>165</v>
      </c>
      <c r="B168" s="182">
        <v>493891689006</v>
      </c>
      <c r="C168" s="183" t="s">
        <v>2410</v>
      </c>
      <c r="D168" s="184" t="s">
        <v>977</v>
      </c>
      <c r="E168" s="184" t="str">
        <f t="shared" si="15"/>
        <v>Import</v>
      </c>
      <c r="F168" s="720" t="str" cm="1">
        <f t="array" ref="F168">_xlfn.IFS(
  OR(AI168="E11", AI168="E15"), "Raw materials",
  OR(AI168="E13", AI168="G13"), "Equipments + Toolings",
  TRUE, RIGHT(C168, 8)
)</f>
        <v>Raw materials</v>
      </c>
      <c r="G168" s="541" t="str" cm="1">
        <f t="array" ref="G168">IF(E168="Import",
  IFERROR(
    _xlfn.IFS(
      VLOOKUP(B168,[1]Material!F$5:U$90000,16,0)="LUC","Lucid",
      VLOOKUP(B168,[1]Material!F$5:U$90000,16,0)="FMC","FORD",
      OR(VLOOKUP(B168,[1]Material!F$5:U$90000,16,0)="PUR",VLOOKUP(B168,[1]Material!F$5:U$90000,16,0)="HLO"),"PURE",
      VLOOKUP(B168,[1]Material!F$5:U$90000,16,0)="AIC","AIC",
      OR(VLOOKUP(B168,[1]Material!F$5:U$90000,16,0)="AGI",VLOOKUP(B168,[1]Material!F$5:U$90000,16,0)="AGIGA"),"AGIGA",
      OR(LEFT(VLOOKUP(B168,[1]Material!F$5:U$90000,16,0),3)="EF-",VLOOKUP(B168,[1]Material!F$5:U$90000,16,0)="EFI"),"EFI",
      AND(ISNUMBER(VLOOKUP(B168,[1]Material!F$5:U$90000,16,0)),VLOOKUP(B168,[1]Material!F$5:U$90000,16,0)&gt;=100,VLOOKUP(B168,[1]Material!F$5:U$90000,16,0)&lt;=999,VLOOKUP(B168,[1]Material!F$5:U$90000,16,0)=INT(VLOOKUP(B168,[1]Material!F$5:U$90000,16,0))),"OEM",
      TRUE,""
    ),
    "không tìm thấy trong file Import"
  ),
  VLOOKUP(F168,'[2]Export shipment'!B:Y,24,0)
)</f>
        <v>EFI</v>
      </c>
      <c r="H168" s="184"/>
      <c r="I168" s="184"/>
      <c r="J168" s="260">
        <f>(V168+X168+AA168)/'Logistics record '!$AD$1</f>
        <v>15.116015418335726</v>
      </c>
      <c r="K168" s="260">
        <f>W168/'Logistics record '!$AD$1</f>
        <v>0</v>
      </c>
      <c r="L168" s="260">
        <f>Y168/'Logistics record '!$AD$1</f>
        <v>0</v>
      </c>
      <c r="M168" s="260">
        <f>AF168/'Logistics record '!$AD$1</f>
        <v>0</v>
      </c>
      <c r="N168" s="260" t="str" cm="1">
        <f t="array" ref="N168">_xlfn.IFS(
    OR(UPPER(S168)="AIR", UPPER(S168)="CPN"), "AIR",
    UPPER(S168)="TC", "LOCAL",
    TRUE, "SEA"
)</f>
        <v>AIR</v>
      </c>
      <c r="O168" s="260">
        <f t="shared" si="16"/>
        <v>15.116015418335726</v>
      </c>
      <c r="P168" s="184" t="s">
        <v>935</v>
      </c>
      <c r="Q168" s="185">
        <v>108304057410</v>
      </c>
      <c r="R168" s="186">
        <v>46176</v>
      </c>
      <c r="S168" s="187" t="s">
        <v>928</v>
      </c>
      <c r="T168" s="188">
        <v>39.5</v>
      </c>
      <c r="U168" s="188"/>
      <c r="V168" s="189">
        <v>400000</v>
      </c>
      <c r="W168" s="190"/>
      <c r="X168" s="190"/>
      <c r="Y168" s="190"/>
      <c r="Z168" s="189">
        <f t="shared" si="12"/>
        <v>400000</v>
      </c>
      <c r="AA168" s="189">
        <v>0</v>
      </c>
      <c r="AB168" s="189">
        <f t="shared" si="17"/>
        <v>400000</v>
      </c>
      <c r="AC168" s="189"/>
      <c r="AD168" s="190"/>
      <c r="AE168" s="190"/>
      <c r="AF168" s="191">
        <f t="shared" si="13"/>
        <v>0</v>
      </c>
      <c r="AG168" s="190">
        <f t="shared" si="14"/>
        <v>400000</v>
      </c>
      <c r="AH168" s="190"/>
      <c r="AI168" s="192" t="str">
        <f>VLOOKUP(Q168,[3]Sheet1!B$11:G$1489,6,0)</f>
        <v>E11</v>
      </c>
      <c r="GK168" s="194"/>
      <c r="GL168" s="195"/>
      <c r="GM168" s="196"/>
      <c r="GN168" s="197"/>
      <c r="GO168" s="198"/>
      <c r="GP168" s="199"/>
      <c r="GQ168" s="200"/>
      <c r="GR168" s="201"/>
      <c r="GS168" s="60"/>
      <c r="GT168" s="202"/>
      <c r="GU168" s="202"/>
      <c r="GV168" s="202"/>
      <c r="GW168" s="202"/>
      <c r="GX168" s="203"/>
      <c r="HA168" s="194"/>
      <c r="HB168" s="195"/>
      <c r="HC168" s="196"/>
      <c r="HD168" s="197"/>
      <c r="HE168" s="198"/>
      <c r="HF168" s="199"/>
      <c r="HG168" s="200"/>
      <c r="HH168" s="201"/>
      <c r="HI168" s="60"/>
      <c r="HJ168" s="202"/>
      <c r="HK168" s="202"/>
      <c r="HL168" s="202"/>
      <c r="HM168" s="202"/>
      <c r="HN168" s="203"/>
    </row>
    <row r="169" spans="1:222" ht="16.5" customHeight="1">
      <c r="A169" s="181">
        <v>166</v>
      </c>
      <c r="B169" s="182">
        <v>484361668338</v>
      </c>
      <c r="C169" s="183" t="s">
        <v>2411</v>
      </c>
      <c r="D169" s="184" t="s">
        <v>376</v>
      </c>
      <c r="E169" s="184" t="str">
        <f t="shared" si="15"/>
        <v>Import</v>
      </c>
      <c r="F169" s="720" t="str" cm="1">
        <f t="array" ref="F169">_xlfn.IFS(
  OR(AI169="E11", AI169="E15"), "Raw materials",
  OR(AI169="E13", AI169="G13"), "Equipments + Toolings",
  TRUE, RIGHT(C169, 8)
)</f>
        <v>Raw materials</v>
      </c>
      <c r="G169" s="541" t="str" cm="1">
        <f t="array" ref="G169">IF(E169="Import",
  IFERROR(
    _xlfn.IFS(
      VLOOKUP(B169,[1]Material!F$5:U$90000,16,0)="LUC","Lucid",
      VLOOKUP(B169,[1]Material!F$5:U$90000,16,0)="FMC","FORD",
      OR(VLOOKUP(B169,[1]Material!F$5:U$90000,16,0)="PUR",VLOOKUP(B169,[1]Material!F$5:U$90000,16,0)="HLO"),"PURE",
      VLOOKUP(B169,[1]Material!F$5:U$90000,16,0)="AIC","AIC",
      OR(VLOOKUP(B169,[1]Material!F$5:U$90000,16,0)="AGI",VLOOKUP(B169,[1]Material!F$5:U$90000,16,0)="AGIGA"),"AGIGA",
      OR(LEFT(VLOOKUP(B169,[1]Material!F$5:U$90000,16,0),3)="EF-",VLOOKUP(B169,[1]Material!F$5:U$90000,16,0)="EFI"),"EFI",
      AND(ISNUMBER(VLOOKUP(B169,[1]Material!F$5:U$90000,16,0)),VLOOKUP(B169,[1]Material!F$5:U$90000,16,0)&gt;=100,VLOOKUP(B169,[1]Material!F$5:U$90000,16,0)&lt;=999,VLOOKUP(B169,[1]Material!F$5:U$90000,16,0)=INT(VLOOKUP(B169,[1]Material!F$5:U$90000,16,0))),"OEM",
      TRUE,""
    ),
    "không tìm thấy trong file Import"
  ),
  VLOOKUP(F169,'[2]Export shipment'!B:Y,24,0)
)</f>
        <v>Lucid</v>
      </c>
      <c r="H169" s="184"/>
      <c r="I169" s="184"/>
      <c r="J169" s="260">
        <f>(V169+X169+AA169)/'Logistics record '!$AD$1</f>
        <v>15.116015418335726</v>
      </c>
      <c r="K169" s="260">
        <f>W169/'Logistics record '!$AD$1</f>
        <v>0</v>
      </c>
      <c r="L169" s="260">
        <f>Y169/'Logistics record '!$AD$1</f>
        <v>0</v>
      </c>
      <c r="M169" s="260">
        <f>AF169/'Logistics record '!$AD$1</f>
        <v>0</v>
      </c>
      <c r="N169" s="260" t="str" cm="1">
        <f t="array" ref="N169">_xlfn.IFS(
    OR(UPPER(S169)="AIR", UPPER(S169)="CPN"), "AIR",
    UPPER(S169)="TC", "LOCAL",
    TRUE, "SEA"
)</f>
        <v>AIR</v>
      </c>
      <c r="O169" s="260">
        <f t="shared" si="16"/>
        <v>15.116015418335726</v>
      </c>
      <c r="P169" s="184" t="s">
        <v>937</v>
      </c>
      <c r="Q169" s="185">
        <v>108304127630</v>
      </c>
      <c r="R169" s="186">
        <v>46176</v>
      </c>
      <c r="S169" s="187" t="s">
        <v>928</v>
      </c>
      <c r="T169" s="188">
        <v>15.8</v>
      </c>
      <c r="U169" s="188"/>
      <c r="V169" s="189">
        <v>400000</v>
      </c>
      <c r="W169" s="190"/>
      <c r="X169" s="190"/>
      <c r="Y169" s="190"/>
      <c r="Z169" s="189">
        <f t="shared" si="12"/>
        <v>400000</v>
      </c>
      <c r="AA169" s="189">
        <v>0</v>
      </c>
      <c r="AB169" s="189">
        <f t="shared" si="17"/>
        <v>400000</v>
      </c>
      <c r="AC169" s="189"/>
      <c r="AD169" s="190"/>
      <c r="AE169" s="190"/>
      <c r="AF169" s="191">
        <f t="shared" si="13"/>
        <v>0</v>
      </c>
      <c r="AG169" s="190">
        <f t="shared" si="14"/>
        <v>400000</v>
      </c>
      <c r="AH169" s="190"/>
      <c r="AI169" s="192" t="str">
        <f>VLOOKUP(Q169,[3]Sheet1!B$11:G$1489,6,0)</f>
        <v>E11</v>
      </c>
      <c r="GK169" s="194"/>
      <c r="GL169" s="195"/>
      <c r="GM169" s="196"/>
      <c r="GN169" s="197"/>
      <c r="GO169" s="198"/>
      <c r="GP169" s="199"/>
      <c r="GQ169" s="200"/>
      <c r="GR169" s="201"/>
      <c r="GS169" s="60"/>
      <c r="GT169" s="202"/>
      <c r="GU169" s="202"/>
      <c r="GV169" s="202"/>
      <c r="GW169" s="202"/>
      <c r="GX169" s="203"/>
      <c r="HA169" s="194"/>
      <c r="HB169" s="195"/>
      <c r="HC169" s="196"/>
      <c r="HD169" s="197"/>
      <c r="HE169" s="198"/>
      <c r="HF169" s="199"/>
      <c r="HG169" s="200"/>
      <c r="HH169" s="201"/>
      <c r="HI169" s="60"/>
      <c r="HJ169" s="202"/>
      <c r="HK169" s="202"/>
      <c r="HL169" s="202"/>
      <c r="HM169" s="202"/>
      <c r="HN169" s="203"/>
    </row>
    <row r="170" spans="1:222" ht="16.5" customHeight="1">
      <c r="A170" s="181">
        <v>167</v>
      </c>
      <c r="B170" s="182">
        <v>872319401976</v>
      </c>
      <c r="C170" s="183" t="s">
        <v>2412</v>
      </c>
      <c r="D170" s="184" t="s">
        <v>2413</v>
      </c>
      <c r="E170" s="184" t="str">
        <f t="shared" si="15"/>
        <v>Import</v>
      </c>
      <c r="F170" s="720" t="str" cm="1">
        <f t="array" ref="F170">_xlfn.IFS(
  OR(AI170="E11", AI170="E15"), "Raw materials",
  OR(AI170="E13", AI170="G13"), "Equipments + Toolings",
  TRUE, RIGHT(C170, 8)
)</f>
        <v>Raw materials</v>
      </c>
      <c r="G170" s="541" t="str" cm="1">
        <f t="array" ref="G170">IF(E170="Import",
  IFERROR(
    _xlfn.IFS(
      VLOOKUP(B170,[1]Material!F$5:U$90000,16,0)="LUC","Lucid",
      VLOOKUP(B170,[1]Material!F$5:U$90000,16,0)="FMC","FORD",
      OR(VLOOKUP(B170,[1]Material!F$5:U$90000,16,0)="PUR",VLOOKUP(B170,[1]Material!F$5:U$90000,16,0)="HLO"),"PURE",
      VLOOKUP(B170,[1]Material!F$5:U$90000,16,0)="AIC","AIC",
      OR(VLOOKUP(B170,[1]Material!F$5:U$90000,16,0)="AGI",VLOOKUP(B170,[1]Material!F$5:U$90000,16,0)="AGIGA"),"AGIGA",
      OR(LEFT(VLOOKUP(B170,[1]Material!F$5:U$90000,16,0),3)="EF-",VLOOKUP(B170,[1]Material!F$5:U$90000,16,0)="EFI"),"EFI",
      AND(ISNUMBER(VLOOKUP(B170,[1]Material!F$5:U$90000,16,0)),VLOOKUP(B170,[1]Material!F$5:U$90000,16,0)&gt;=100,VLOOKUP(B170,[1]Material!F$5:U$90000,16,0)&lt;=999,VLOOKUP(B170,[1]Material!F$5:U$90000,16,0)=INT(VLOOKUP(B170,[1]Material!F$5:U$90000,16,0))),"OEM",
      TRUE,""
    ),
    "không tìm thấy trong file Import"
  ),
  VLOOKUP(F170,'[2]Export shipment'!B:Y,24,0)
)</f>
        <v>EFI</v>
      </c>
      <c r="H170" s="184"/>
      <c r="I170" s="184"/>
      <c r="J170" s="260">
        <f>(V170+X170+AA170)/'Logistics record '!$AD$1</f>
        <v>15.116015418335726</v>
      </c>
      <c r="K170" s="260">
        <f>W170/'Logistics record '!$AD$1</f>
        <v>0</v>
      </c>
      <c r="L170" s="260">
        <f>Y170/'Logistics record '!$AD$1</f>
        <v>0</v>
      </c>
      <c r="M170" s="260">
        <f>AF170/'Logistics record '!$AD$1</f>
        <v>0</v>
      </c>
      <c r="N170" s="260" t="str" cm="1">
        <f t="array" ref="N170">_xlfn.IFS(
    OR(UPPER(S170)="AIR", UPPER(S170)="CPN"), "AIR",
    UPPER(S170)="TC", "LOCAL",
    TRUE, "SEA"
)</f>
        <v>AIR</v>
      </c>
      <c r="O170" s="260">
        <f t="shared" si="16"/>
        <v>15.116015418335726</v>
      </c>
      <c r="P170" s="184" t="s">
        <v>949</v>
      </c>
      <c r="Q170" s="185">
        <v>108304141520</v>
      </c>
      <c r="R170" s="186">
        <v>46176</v>
      </c>
      <c r="S170" s="187" t="s">
        <v>928</v>
      </c>
      <c r="T170" s="188">
        <v>5</v>
      </c>
      <c r="U170" s="188"/>
      <c r="V170" s="189">
        <v>400000</v>
      </c>
      <c r="W170" s="190"/>
      <c r="X170" s="190"/>
      <c r="Y170" s="190"/>
      <c r="Z170" s="189">
        <f t="shared" si="12"/>
        <v>400000</v>
      </c>
      <c r="AA170" s="189">
        <v>0</v>
      </c>
      <c r="AB170" s="189">
        <f t="shared" si="17"/>
        <v>400000</v>
      </c>
      <c r="AC170" s="189"/>
      <c r="AD170" s="190"/>
      <c r="AE170" s="190"/>
      <c r="AF170" s="191">
        <f t="shared" si="13"/>
        <v>0</v>
      </c>
      <c r="AG170" s="190">
        <f t="shared" si="14"/>
        <v>400000</v>
      </c>
      <c r="AH170" s="190"/>
      <c r="AI170" s="192" t="str">
        <f>VLOOKUP(Q170,[3]Sheet1!B$11:G$1489,6,0)</f>
        <v>E11</v>
      </c>
      <c r="GK170" s="194"/>
      <c r="GL170" s="195"/>
      <c r="GM170" s="196"/>
      <c r="GN170" s="197"/>
      <c r="GO170" s="198"/>
      <c r="GP170" s="199"/>
      <c r="GQ170" s="200"/>
      <c r="GR170" s="201"/>
      <c r="GS170" s="60"/>
      <c r="GT170" s="202"/>
      <c r="GU170" s="202"/>
      <c r="GV170" s="202"/>
      <c r="GW170" s="202"/>
      <c r="GX170" s="203"/>
      <c r="HA170" s="194"/>
      <c r="HB170" s="195"/>
      <c r="HC170" s="196"/>
      <c r="HD170" s="197"/>
      <c r="HE170" s="198"/>
      <c r="HF170" s="199"/>
      <c r="HG170" s="200"/>
      <c r="HH170" s="201"/>
      <c r="HI170" s="60"/>
      <c r="HJ170" s="202"/>
      <c r="HK170" s="202"/>
      <c r="HL170" s="202"/>
      <c r="HM170" s="202"/>
      <c r="HN170" s="203"/>
    </row>
    <row r="171" spans="1:222" ht="16.5" customHeight="1">
      <c r="A171" s="181">
        <v>168</v>
      </c>
      <c r="B171" s="182">
        <v>527529836290</v>
      </c>
      <c r="C171" s="598" t="s">
        <v>2414</v>
      </c>
      <c r="D171" s="184" t="s">
        <v>1905</v>
      </c>
      <c r="E171" s="184" t="str">
        <f t="shared" si="15"/>
        <v>Import</v>
      </c>
      <c r="F171" s="720" t="str" cm="1">
        <f t="array" ref="F171">_xlfn.IFS(
  OR(AI171="E11", AI171="E15"), "Raw materials",
  OR(AI171="E13", AI171="G13"), "Equipments + Toolings",
  TRUE, RIGHT(C171, 8)
)</f>
        <v>Raw materials</v>
      </c>
      <c r="G171" s="541" t="str" cm="1">
        <f t="array" ref="G171">IF(E171="Import",
  IFERROR(
    _xlfn.IFS(
      VLOOKUP(B171,[1]Material!F$5:U$90000,16,0)="LUC","Lucid",
      VLOOKUP(B171,[1]Material!F$5:U$90000,16,0)="FMC","FORD",
      OR(VLOOKUP(B171,[1]Material!F$5:U$90000,16,0)="PUR",VLOOKUP(B171,[1]Material!F$5:U$90000,16,0)="HLO"),"PURE",
      VLOOKUP(B171,[1]Material!F$5:U$90000,16,0)="AIC","AIC",
      OR(VLOOKUP(B171,[1]Material!F$5:U$90000,16,0)="AGI",VLOOKUP(B171,[1]Material!F$5:U$90000,16,0)="AGIGA"),"AGIGA",
      OR(LEFT(VLOOKUP(B171,[1]Material!F$5:U$90000,16,0),3)="EF-",VLOOKUP(B171,[1]Material!F$5:U$90000,16,0)="EFI"),"EFI",
      AND(ISNUMBER(VLOOKUP(B171,[1]Material!F$5:U$90000,16,0)),VLOOKUP(B171,[1]Material!F$5:U$90000,16,0)&gt;=100,VLOOKUP(B171,[1]Material!F$5:U$90000,16,0)&lt;=999,VLOOKUP(B171,[1]Material!F$5:U$90000,16,0)=INT(VLOOKUP(B171,[1]Material!F$5:U$90000,16,0))),"OEM",
      TRUE,""
    ),
    "không tìm thấy trong file Import"
  ),
  VLOOKUP(F171,'[2]Export shipment'!B:Y,24,0)
)</f>
        <v>PURE</v>
      </c>
      <c r="H171" s="184"/>
      <c r="I171" s="184"/>
      <c r="J171" s="260">
        <f>(V171+X171+AA171)/'Logistics record '!$AD$1</f>
        <v>15.116015418335726</v>
      </c>
      <c r="K171" s="260">
        <f>W171/'Logistics record '!$AD$1</f>
        <v>0</v>
      </c>
      <c r="L171" s="260">
        <f>Y171/'Logistics record '!$AD$1</f>
        <v>0</v>
      </c>
      <c r="M171" s="260">
        <f>AF171/'Logistics record '!$AD$1</f>
        <v>0</v>
      </c>
      <c r="N171" s="260" t="str" cm="1">
        <f t="array" ref="N171">_xlfn.IFS(
    OR(UPPER(S171)="AIR", UPPER(S171)="CPN"), "AIR",
    UPPER(S171)="TC", "LOCAL",
    TRUE, "SEA"
)</f>
        <v>AIR</v>
      </c>
      <c r="O171" s="260">
        <f t="shared" si="16"/>
        <v>15.116015418335726</v>
      </c>
      <c r="P171" s="184" t="s">
        <v>954</v>
      </c>
      <c r="Q171" s="185">
        <v>108304155740</v>
      </c>
      <c r="R171" s="186">
        <v>46176</v>
      </c>
      <c r="S171" s="187" t="s">
        <v>928</v>
      </c>
      <c r="T171" s="188">
        <v>24.7</v>
      </c>
      <c r="U171" s="188"/>
      <c r="V171" s="189">
        <v>400000</v>
      </c>
      <c r="W171" s="190"/>
      <c r="X171" s="190"/>
      <c r="Y171" s="190"/>
      <c r="Z171" s="189">
        <f t="shared" si="12"/>
        <v>400000</v>
      </c>
      <c r="AA171" s="189">
        <v>0</v>
      </c>
      <c r="AB171" s="189">
        <f t="shared" si="17"/>
        <v>400000</v>
      </c>
      <c r="AC171" s="189"/>
      <c r="AD171" s="190"/>
      <c r="AE171" s="190"/>
      <c r="AF171" s="191">
        <f t="shared" si="13"/>
        <v>0</v>
      </c>
      <c r="AG171" s="190">
        <f t="shared" si="14"/>
        <v>400000</v>
      </c>
      <c r="AH171" s="190"/>
      <c r="AI171" s="192" t="str">
        <f>VLOOKUP(Q171,[3]Sheet1!B$11:G$1489,6,0)</f>
        <v>E11</v>
      </c>
      <c r="GK171" s="194"/>
      <c r="GL171" s="195"/>
      <c r="GM171" s="196"/>
      <c r="GN171" s="197"/>
      <c r="GO171" s="198"/>
      <c r="GP171" s="199"/>
      <c r="GQ171" s="200"/>
      <c r="GR171" s="201"/>
      <c r="GS171" s="60"/>
      <c r="GT171" s="202"/>
      <c r="GU171" s="202"/>
      <c r="GV171" s="202"/>
      <c r="GW171" s="202"/>
      <c r="GX171" s="203"/>
      <c r="HA171" s="194"/>
      <c r="HB171" s="195"/>
      <c r="HC171" s="196"/>
      <c r="HD171" s="197"/>
      <c r="HE171" s="198"/>
      <c r="HF171" s="199"/>
      <c r="HG171" s="200"/>
      <c r="HH171" s="201"/>
      <c r="HI171" s="60"/>
      <c r="HJ171" s="202"/>
      <c r="HK171" s="202"/>
      <c r="HL171" s="202"/>
      <c r="HM171" s="202"/>
      <c r="HN171" s="203"/>
    </row>
    <row r="172" spans="1:222" ht="16.5" customHeight="1">
      <c r="A172" s="181">
        <v>169</v>
      </c>
      <c r="B172" s="182">
        <v>500292678059</v>
      </c>
      <c r="C172" s="598" t="s">
        <v>2415</v>
      </c>
      <c r="D172" s="184" t="s">
        <v>945</v>
      </c>
      <c r="E172" s="184" t="str">
        <f t="shared" si="15"/>
        <v>Import</v>
      </c>
      <c r="F172" s="720" t="str" cm="1">
        <f t="array" ref="F172">_xlfn.IFS(
  OR(AI172="E11", AI172="E15"), "Raw materials",
  OR(AI172="E13", AI172="G13"), "Equipments + Toolings",
  TRUE, RIGHT(C172, 8)
)</f>
        <v>Raw materials</v>
      </c>
      <c r="G172" s="541" t="str" cm="1">
        <f t="array" ref="G172">IF(E172="Import",
  IFERROR(
    _xlfn.IFS(
      VLOOKUP(B172,[1]Material!F$5:U$90000,16,0)="LUC","Lucid",
      VLOOKUP(B172,[1]Material!F$5:U$90000,16,0)="FMC","FORD",
      OR(VLOOKUP(B172,[1]Material!F$5:U$90000,16,0)="PUR",VLOOKUP(B172,[1]Material!F$5:U$90000,16,0)="HLO"),"PURE",
      VLOOKUP(B172,[1]Material!F$5:U$90000,16,0)="AIC","AIC",
      OR(VLOOKUP(B172,[1]Material!F$5:U$90000,16,0)="AGI",VLOOKUP(B172,[1]Material!F$5:U$90000,16,0)="AGIGA"),"AGIGA",
      OR(LEFT(VLOOKUP(B172,[1]Material!F$5:U$90000,16,0),3)="EF-",VLOOKUP(B172,[1]Material!F$5:U$90000,16,0)="EFI"),"EFI",
      AND(ISNUMBER(VLOOKUP(B172,[1]Material!F$5:U$90000,16,0)),VLOOKUP(B172,[1]Material!F$5:U$90000,16,0)&gt;=100,VLOOKUP(B172,[1]Material!F$5:U$90000,16,0)&lt;=999,VLOOKUP(B172,[1]Material!F$5:U$90000,16,0)=INT(VLOOKUP(B172,[1]Material!F$5:U$90000,16,0))),"OEM",
      TRUE,""
    ),
    "không tìm thấy trong file Import"
  ),
  VLOOKUP(F172,'[2]Export shipment'!B:Y,24,0)
)</f>
        <v>PURE</v>
      </c>
      <c r="H172" s="184"/>
      <c r="I172" s="184"/>
      <c r="J172" s="260">
        <f>(V172+X172+AA172)/'Logistics record '!$AD$1</f>
        <v>15.116015418335726</v>
      </c>
      <c r="K172" s="260">
        <f>W172/'Logistics record '!$AD$1</f>
        <v>0</v>
      </c>
      <c r="L172" s="260">
        <f>Y172/'Logistics record '!$AD$1</f>
        <v>0</v>
      </c>
      <c r="M172" s="260">
        <f>AF172/'Logistics record '!$AD$1</f>
        <v>0</v>
      </c>
      <c r="N172" s="260" t="str" cm="1">
        <f t="array" ref="N172">_xlfn.IFS(
    OR(UPPER(S172)="AIR", UPPER(S172)="CPN"), "AIR",
    UPPER(S172)="TC", "LOCAL",
    TRUE, "SEA"
)</f>
        <v>AIR</v>
      </c>
      <c r="O172" s="260">
        <f t="shared" si="16"/>
        <v>15.116015418335726</v>
      </c>
      <c r="P172" s="184" t="s">
        <v>946</v>
      </c>
      <c r="Q172" s="185">
        <v>108304161930</v>
      </c>
      <c r="R172" s="186">
        <v>46176</v>
      </c>
      <c r="S172" s="187" t="s">
        <v>928</v>
      </c>
      <c r="T172" s="188">
        <v>1.1000000000000001</v>
      </c>
      <c r="U172" s="188"/>
      <c r="V172" s="189">
        <v>400000</v>
      </c>
      <c r="W172" s="190"/>
      <c r="X172" s="190"/>
      <c r="Y172" s="190"/>
      <c r="Z172" s="189">
        <f t="shared" si="12"/>
        <v>400000</v>
      </c>
      <c r="AA172" s="189">
        <v>0</v>
      </c>
      <c r="AB172" s="189">
        <f t="shared" si="17"/>
        <v>400000</v>
      </c>
      <c r="AC172" s="189"/>
      <c r="AD172" s="190"/>
      <c r="AE172" s="190"/>
      <c r="AF172" s="191">
        <f t="shared" si="13"/>
        <v>0</v>
      </c>
      <c r="AG172" s="190">
        <f t="shared" si="14"/>
        <v>400000</v>
      </c>
      <c r="AH172" s="190"/>
      <c r="AI172" s="192" t="str">
        <f>VLOOKUP(Q172,[3]Sheet1!B$11:G$1489,6,0)</f>
        <v>E11</v>
      </c>
      <c r="GK172" s="194"/>
      <c r="GL172" s="195"/>
      <c r="GM172" s="196"/>
      <c r="GN172" s="197"/>
      <c r="GO172" s="198"/>
      <c r="GP172" s="199"/>
      <c r="GQ172" s="200"/>
      <c r="GR172" s="201"/>
      <c r="GS172" s="60"/>
      <c r="GT172" s="202"/>
      <c r="GU172" s="202"/>
      <c r="GV172" s="202"/>
      <c r="GW172" s="202"/>
      <c r="GX172" s="203"/>
      <c r="HA172" s="194"/>
      <c r="HB172" s="195"/>
      <c r="HC172" s="196"/>
      <c r="HD172" s="197"/>
      <c r="HE172" s="198"/>
      <c r="HF172" s="199"/>
      <c r="HG172" s="200"/>
      <c r="HH172" s="201"/>
      <c r="HI172" s="60"/>
      <c r="HJ172" s="202"/>
      <c r="HK172" s="202"/>
      <c r="HL172" s="202"/>
      <c r="HM172" s="202"/>
      <c r="HN172" s="203"/>
    </row>
    <row r="173" spans="1:222" ht="16.5" customHeight="1">
      <c r="A173" s="181">
        <v>170</v>
      </c>
      <c r="B173" s="182">
        <v>489101280236</v>
      </c>
      <c r="C173" s="183" t="s">
        <v>2416</v>
      </c>
      <c r="D173" s="184" t="s">
        <v>1711</v>
      </c>
      <c r="E173" s="184" t="str">
        <f t="shared" si="15"/>
        <v>Import</v>
      </c>
      <c r="F173" s="720" t="str" cm="1">
        <f t="array" ref="F173">_xlfn.IFS(
  OR(AI173="E11", AI173="E15"), "Raw materials",
  OR(AI173="E13", AI173="G13"), "Equipments + Toolings",
  TRUE, RIGHT(C173, 8)
)</f>
        <v>Raw materials</v>
      </c>
      <c r="G173" s="541" t="str" cm="1">
        <f t="array" ref="G173">IF(E173="Import",
  IFERROR(
    _xlfn.IFS(
      VLOOKUP(B173,[1]Material!F$5:U$90000,16,0)="LUC","Lucid",
      VLOOKUP(B173,[1]Material!F$5:U$90000,16,0)="FMC","FORD",
      OR(VLOOKUP(B173,[1]Material!F$5:U$90000,16,0)="PUR",VLOOKUP(B173,[1]Material!F$5:U$90000,16,0)="HLO"),"PURE",
      VLOOKUP(B173,[1]Material!F$5:U$90000,16,0)="AIC","AIC",
      OR(VLOOKUP(B173,[1]Material!F$5:U$90000,16,0)="AGI",VLOOKUP(B173,[1]Material!F$5:U$90000,16,0)="AGIGA"),"AGIGA",
      OR(LEFT(VLOOKUP(B173,[1]Material!F$5:U$90000,16,0),3)="EF-",VLOOKUP(B173,[1]Material!F$5:U$90000,16,0)="EFI"),"EFI",
      AND(ISNUMBER(VLOOKUP(B173,[1]Material!F$5:U$90000,16,0)),VLOOKUP(B173,[1]Material!F$5:U$90000,16,0)&gt;=100,VLOOKUP(B173,[1]Material!F$5:U$90000,16,0)&lt;=999,VLOOKUP(B173,[1]Material!F$5:U$90000,16,0)=INT(VLOOKUP(B173,[1]Material!F$5:U$90000,16,0))),"OEM",
      TRUE,""
    ),
    "không tìm thấy trong file Import"
  ),
  VLOOKUP(F173,'[2]Export shipment'!B:Y,24,0)
)</f>
        <v>FORD</v>
      </c>
      <c r="H173" s="184"/>
      <c r="I173" s="184"/>
      <c r="J173" s="260">
        <f>(V173+X173+AA173)/'Logistics record '!$AD$1</f>
        <v>15.116015418335726</v>
      </c>
      <c r="K173" s="260">
        <f>W173/'Logistics record '!$AD$1</f>
        <v>0</v>
      </c>
      <c r="L173" s="260">
        <f>Y173/'Logistics record '!$AD$1</f>
        <v>0</v>
      </c>
      <c r="M173" s="260">
        <f>AF173/'Logistics record '!$AD$1</f>
        <v>0</v>
      </c>
      <c r="N173" s="260" t="str" cm="1">
        <f t="array" ref="N173">_xlfn.IFS(
    OR(UPPER(S173)="AIR", UPPER(S173)="CPN"), "AIR",
    UPPER(S173)="TC", "LOCAL",
    TRUE, "SEA"
)</f>
        <v>AIR</v>
      </c>
      <c r="O173" s="260">
        <f t="shared" si="16"/>
        <v>15.116015418335726</v>
      </c>
      <c r="P173" s="184" t="s">
        <v>1992</v>
      </c>
      <c r="Q173" s="185">
        <v>108304211410</v>
      </c>
      <c r="R173" s="186">
        <v>46176</v>
      </c>
      <c r="S173" s="187" t="s">
        <v>928</v>
      </c>
      <c r="T173" s="188">
        <v>0.30000000000000004</v>
      </c>
      <c r="U173" s="188"/>
      <c r="V173" s="189">
        <v>400000</v>
      </c>
      <c r="W173" s="190"/>
      <c r="X173" s="190"/>
      <c r="Y173" s="190"/>
      <c r="Z173" s="189">
        <f t="shared" si="12"/>
        <v>400000</v>
      </c>
      <c r="AA173" s="189">
        <v>0</v>
      </c>
      <c r="AB173" s="189">
        <f t="shared" si="17"/>
        <v>400000</v>
      </c>
      <c r="AC173" s="189"/>
      <c r="AD173" s="190"/>
      <c r="AE173" s="190"/>
      <c r="AF173" s="191">
        <f t="shared" si="13"/>
        <v>0</v>
      </c>
      <c r="AG173" s="190">
        <f t="shared" si="14"/>
        <v>400000</v>
      </c>
      <c r="AH173" s="190"/>
      <c r="AI173" s="192" t="str">
        <f>VLOOKUP(Q173,[3]Sheet1!B$11:G$1489,6,0)</f>
        <v>E11</v>
      </c>
      <c r="GK173" s="194"/>
      <c r="GL173" s="195"/>
      <c r="GM173" s="196"/>
      <c r="GN173" s="197"/>
      <c r="GO173" s="198"/>
      <c r="GP173" s="199"/>
      <c r="GQ173" s="200"/>
      <c r="GR173" s="201"/>
      <c r="GS173" s="60"/>
      <c r="GT173" s="202"/>
      <c r="GU173" s="202"/>
      <c r="GV173" s="202"/>
      <c r="GW173" s="202"/>
      <c r="GX173" s="203"/>
      <c r="HA173" s="194"/>
      <c r="HB173" s="195"/>
      <c r="HC173" s="196"/>
      <c r="HD173" s="197"/>
      <c r="HE173" s="198"/>
      <c r="HF173" s="199"/>
      <c r="HG173" s="200"/>
      <c r="HH173" s="201"/>
      <c r="HI173" s="60"/>
      <c r="HJ173" s="202"/>
      <c r="HK173" s="202"/>
      <c r="HL173" s="202"/>
      <c r="HM173" s="202"/>
      <c r="HN173" s="203"/>
    </row>
    <row r="174" spans="1:222" ht="16.5" customHeight="1">
      <c r="A174" s="181">
        <v>171</v>
      </c>
      <c r="B174" s="182">
        <v>527178341866</v>
      </c>
      <c r="C174" s="183" t="s">
        <v>2417</v>
      </c>
      <c r="D174" s="184" t="s">
        <v>963</v>
      </c>
      <c r="E174" s="184" t="str">
        <f t="shared" si="15"/>
        <v>Import</v>
      </c>
      <c r="F174" s="720" t="str" cm="1">
        <f t="array" ref="F174">_xlfn.IFS(
  OR(AI174="E11", AI174="E15"), "Raw materials",
  OR(AI174="E13", AI174="G13"), "Equipments + Toolings",
  TRUE, RIGHT(C174, 8)
)</f>
        <v>Raw materials</v>
      </c>
      <c r="G174" s="541" t="str" cm="1">
        <f t="array" ref="G174">IF(E174="Import",
  IFERROR(
    _xlfn.IFS(
      VLOOKUP(B174,[1]Material!F$5:U$90000,16,0)="LUC","Lucid",
      VLOOKUP(B174,[1]Material!F$5:U$90000,16,0)="FMC","FORD",
      OR(VLOOKUP(B174,[1]Material!F$5:U$90000,16,0)="PUR",VLOOKUP(B174,[1]Material!F$5:U$90000,16,0)="HLO"),"PURE",
      VLOOKUP(B174,[1]Material!F$5:U$90000,16,0)="AIC","AIC",
      OR(VLOOKUP(B174,[1]Material!F$5:U$90000,16,0)="AGI",VLOOKUP(B174,[1]Material!F$5:U$90000,16,0)="AGIGA"),"AGIGA",
      OR(LEFT(VLOOKUP(B174,[1]Material!F$5:U$90000,16,0),3)="EF-",VLOOKUP(B174,[1]Material!F$5:U$90000,16,0)="EFI"),"EFI",
      AND(ISNUMBER(VLOOKUP(B174,[1]Material!F$5:U$90000,16,0)),VLOOKUP(B174,[1]Material!F$5:U$90000,16,0)&gt;=100,VLOOKUP(B174,[1]Material!F$5:U$90000,16,0)&lt;=999,VLOOKUP(B174,[1]Material!F$5:U$90000,16,0)=INT(VLOOKUP(B174,[1]Material!F$5:U$90000,16,0))),"OEM",
      TRUE,""
    ),
    "không tìm thấy trong file Import"
  ),
  VLOOKUP(F174,'[2]Export shipment'!B:Y,24,0)
)</f>
        <v>FORD</v>
      </c>
      <c r="H174" s="184"/>
      <c r="I174" s="184"/>
      <c r="J174" s="260">
        <f>(V174+X174+AA174)/'Logistics record '!$AD$1</f>
        <v>15.116015418335726</v>
      </c>
      <c r="K174" s="260">
        <f>W174/'Logistics record '!$AD$1</f>
        <v>0</v>
      </c>
      <c r="L174" s="260">
        <f>Y174/'Logistics record '!$AD$1</f>
        <v>0</v>
      </c>
      <c r="M174" s="260">
        <f>AF174/'Logistics record '!$AD$1</f>
        <v>0</v>
      </c>
      <c r="N174" s="260" t="str" cm="1">
        <f t="array" ref="N174">_xlfn.IFS(
    OR(UPPER(S174)="AIR", UPPER(S174)="CPN"), "AIR",
    UPPER(S174)="TC", "LOCAL",
    TRUE, "SEA"
)</f>
        <v>AIR</v>
      </c>
      <c r="O174" s="260">
        <f t="shared" si="16"/>
        <v>15.116015418335726</v>
      </c>
      <c r="P174" s="184" t="s">
        <v>935</v>
      </c>
      <c r="Q174" s="185">
        <v>108304223420</v>
      </c>
      <c r="R174" s="186">
        <v>46176</v>
      </c>
      <c r="S174" s="187" t="s">
        <v>928</v>
      </c>
      <c r="T174" s="188">
        <v>0.5</v>
      </c>
      <c r="U174" s="188"/>
      <c r="V174" s="189">
        <v>400000</v>
      </c>
      <c r="W174" s="190"/>
      <c r="X174" s="190"/>
      <c r="Y174" s="190"/>
      <c r="Z174" s="189">
        <f t="shared" si="12"/>
        <v>400000</v>
      </c>
      <c r="AA174" s="189">
        <v>0</v>
      </c>
      <c r="AB174" s="189">
        <f t="shared" si="17"/>
        <v>400000</v>
      </c>
      <c r="AC174" s="189"/>
      <c r="AD174" s="190"/>
      <c r="AE174" s="190"/>
      <c r="AF174" s="191">
        <f t="shared" si="13"/>
        <v>0</v>
      </c>
      <c r="AG174" s="190">
        <f t="shared" si="14"/>
        <v>400000</v>
      </c>
      <c r="AH174" s="190"/>
      <c r="AI174" s="192" t="str">
        <f>VLOOKUP(Q174,[3]Sheet1!B$11:G$1489,6,0)</f>
        <v>E11</v>
      </c>
      <c r="GK174" s="194"/>
      <c r="GL174" s="195"/>
      <c r="GM174" s="196"/>
      <c r="GN174" s="197"/>
      <c r="GO174" s="198"/>
      <c r="GP174" s="199"/>
      <c r="GQ174" s="200"/>
      <c r="GR174" s="201"/>
      <c r="GS174" s="60"/>
      <c r="GT174" s="202"/>
      <c r="GU174" s="202"/>
      <c r="GV174" s="202"/>
      <c r="GW174" s="202"/>
      <c r="GX174" s="203"/>
      <c r="HA174" s="194"/>
      <c r="HB174" s="195"/>
      <c r="HC174" s="196"/>
      <c r="HD174" s="197"/>
      <c r="HE174" s="198"/>
      <c r="HF174" s="199"/>
      <c r="HG174" s="200"/>
      <c r="HH174" s="201"/>
      <c r="HI174" s="60"/>
      <c r="HJ174" s="202"/>
      <c r="HK174" s="202"/>
      <c r="HL174" s="202"/>
      <c r="HM174" s="202"/>
      <c r="HN174" s="203"/>
    </row>
    <row r="175" spans="1:222" ht="16.5" customHeight="1">
      <c r="A175" s="181">
        <v>172</v>
      </c>
      <c r="B175" s="182">
        <v>526433715307</v>
      </c>
      <c r="C175" s="183" t="s">
        <v>2418</v>
      </c>
      <c r="D175" s="184" t="s">
        <v>950</v>
      </c>
      <c r="E175" s="184" t="str">
        <f t="shared" si="15"/>
        <v>Import</v>
      </c>
      <c r="F175" s="720" t="str" cm="1">
        <f t="array" ref="F175">_xlfn.IFS(
  OR(AI175="E11", AI175="E15"), "Raw materials",
  OR(AI175="E13", AI175="G13"), "Equipments + Toolings",
  TRUE, RIGHT(C175, 8)
)</f>
        <v>Raw materials</v>
      </c>
      <c r="G175" s="541" t="str" cm="1">
        <f t="array" ref="G175">IF(E175="Import",
  IFERROR(
    _xlfn.IFS(
      VLOOKUP(B175,[1]Material!F$5:U$90000,16,0)="LUC","Lucid",
      VLOOKUP(B175,[1]Material!F$5:U$90000,16,0)="FMC","FORD",
      OR(VLOOKUP(B175,[1]Material!F$5:U$90000,16,0)="PUR",VLOOKUP(B175,[1]Material!F$5:U$90000,16,0)="HLO"),"PURE",
      VLOOKUP(B175,[1]Material!F$5:U$90000,16,0)="AIC","AIC",
      OR(VLOOKUP(B175,[1]Material!F$5:U$90000,16,0)="AGI",VLOOKUP(B175,[1]Material!F$5:U$90000,16,0)="AGIGA"),"AGIGA",
      OR(LEFT(VLOOKUP(B175,[1]Material!F$5:U$90000,16,0),3)="EF-",VLOOKUP(B175,[1]Material!F$5:U$90000,16,0)="EFI"),"EFI",
      AND(ISNUMBER(VLOOKUP(B175,[1]Material!F$5:U$90000,16,0)),VLOOKUP(B175,[1]Material!F$5:U$90000,16,0)&gt;=100,VLOOKUP(B175,[1]Material!F$5:U$90000,16,0)&lt;=999,VLOOKUP(B175,[1]Material!F$5:U$90000,16,0)=INT(VLOOKUP(B175,[1]Material!F$5:U$90000,16,0))),"OEM",
      TRUE,""
    ),
    "không tìm thấy trong file Import"
  ),
  VLOOKUP(F175,'[2]Export shipment'!B:Y,24,0)
)</f>
        <v>PURE</v>
      </c>
      <c r="H175" s="184"/>
      <c r="I175" s="184"/>
      <c r="J175" s="260">
        <f>(V175+X175+AA175)/'Logistics record '!$AD$1</f>
        <v>15.116015418335726</v>
      </c>
      <c r="K175" s="260">
        <f>W175/'Logistics record '!$AD$1</f>
        <v>0</v>
      </c>
      <c r="L175" s="260">
        <f>Y175/'Logistics record '!$AD$1</f>
        <v>0</v>
      </c>
      <c r="M175" s="260">
        <f>AF175/'Logistics record '!$AD$1</f>
        <v>0</v>
      </c>
      <c r="N175" s="260" t="str" cm="1">
        <f t="array" ref="N175">_xlfn.IFS(
    OR(UPPER(S175)="AIR", UPPER(S175)="CPN"), "AIR",
    UPPER(S175)="TC", "LOCAL",
    TRUE, "SEA"
)</f>
        <v>AIR</v>
      </c>
      <c r="O175" s="260">
        <f t="shared" si="16"/>
        <v>15.116015418335726</v>
      </c>
      <c r="P175" s="184" t="s">
        <v>935</v>
      </c>
      <c r="Q175" s="185">
        <v>108304331000</v>
      </c>
      <c r="R175" s="186">
        <v>46176</v>
      </c>
      <c r="S175" s="187" t="s">
        <v>928</v>
      </c>
      <c r="T175" s="188">
        <v>1.2</v>
      </c>
      <c r="U175" s="188"/>
      <c r="V175" s="189">
        <v>400000</v>
      </c>
      <c r="W175" s="190"/>
      <c r="X175" s="190"/>
      <c r="Y175" s="190"/>
      <c r="Z175" s="189">
        <f t="shared" si="12"/>
        <v>400000</v>
      </c>
      <c r="AA175" s="189">
        <v>0</v>
      </c>
      <c r="AB175" s="189">
        <f t="shared" si="17"/>
        <v>400000</v>
      </c>
      <c r="AC175" s="189"/>
      <c r="AD175" s="190"/>
      <c r="AE175" s="190"/>
      <c r="AF175" s="191">
        <f t="shared" si="13"/>
        <v>0</v>
      </c>
      <c r="AG175" s="190">
        <f t="shared" si="14"/>
        <v>400000</v>
      </c>
      <c r="AH175" s="190"/>
      <c r="AI175" s="192" t="str">
        <f>VLOOKUP(Q175,[3]Sheet1!B$11:G$1489,6,0)</f>
        <v>E11</v>
      </c>
      <c r="GK175" s="194"/>
      <c r="GL175" s="195"/>
      <c r="GM175" s="196"/>
      <c r="GN175" s="197"/>
      <c r="GO175" s="198"/>
      <c r="GP175" s="199"/>
      <c r="GQ175" s="200"/>
      <c r="GR175" s="201"/>
      <c r="GS175" s="60"/>
      <c r="GT175" s="202"/>
      <c r="GU175" s="202"/>
      <c r="GV175" s="202"/>
      <c r="GW175" s="202"/>
      <c r="GX175" s="203"/>
      <c r="HA175" s="194"/>
      <c r="HB175" s="195"/>
      <c r="HC175" s="196"/>
      <c r="HD175" s="197"/>
      <c r="HE175" s="198"/>
      <c r="HF175" s="199"/>
      <c r="HG175" s="200"/>
      <c r="HH175" s="201"/>
      <c r="HI175" s="60"/>
      <c r="HJ175" s="202"/>
      <c r="HK175" s="202"/>
      <c r="HL175" s="202"/>
      <c r="HM175" s="202"/>
      <c r="HN175" s="203"/>
    </row>
    <row r="176" spans="1:222" ht="16.5" customHeight="1">
      <c r="A176" s="181">
        <v>173</v>
      </c>
      <c r="B176" s="182">
        <v>527529836679</v>
      </c>
      <c r="C176" s="183" t="s">
        <v>2419</v>
      </c>
      <c r="D176" s="184" t="s">
        <v>1905</v>
      </c>
      <c r="E176" s="184" t="str">
        <f t="shared" si="15"/>
        <v>Import</v>
      </c>
      <c r="F176" s="720" t="str" cm="1">
        <f t="array" ref="F176">_xlfn.IFS(
  OR(AI176="E11", AI176="E15"), "Raw materials",
  OR(AI176="E13", AI176="G13"), "Equipments + Toolings",
  TRUE, RIGHT(C176, 8)
)</f>
        <v>Raw materials</v>
      </c>
      <c r="G176" s="541" t="str" cm="1">
        <f t="array" ref="G176">IF(E176="Import",
  IFERROR(
    _xlfn.IFS(
      VLOOKUP(B176,[1]Material!F$5:U$90000,16,0)="LUC","Lucid",
      VLOOKUP(B176,[1]Material!F$5:U$90000,16,0)="FMC","FORD",
      OR(VLOOKUP(B176,[1]Material!F$5:U$90000,16,0)="PUR",VLOOKUP(B176,[1]Material!F$5:U$90000,16,0)="HLO"),"PURE",
      VLOOKUP(B176,[1]Material!F$5:U$90000,16,0)="AIC","AIC",
      OR(VLOOKUP(B176,[1]Material!F$5:U$90000,16,0)="AGI",VLOOKUP(B176,[1]Material!F$5:U$90000,16,0)="AGIGA"),"AGIGA",
      OR(LEFT(VLOOKUP(B176,[1]Material!F$5:U$90000,16,0),3)="EF-",VLOOKUP(B176,[1]Material!F$5:U$90000,16,0)="EFI"),"EFI",
      AND(ISNUMBER(VLOOKUP(B176,[1]Material!F$5:U$90000,16,0)),VLOOKUP(B176,[1]Material!F$5:U$90000,16,0)&gt;=100,VLOOKUP(B176,[1]Material!F$5:U$90000,16,0)&lt;=999,VLOOKUP(B176,[1]Material!F$5:U$90000,16,0)=INT(VLOOKUP(B176,[1]Material!F$5:U$90000,16,0))),"OEM",
      TRUE,""
    ),
    "không tìm thấy trong file Import"
  ),
  VLOOKUP(F176,'[2]Export shipment'!B:Y,24,0)
)</f>
        <v>Lucid</v>
      </c>
      <c r="H176" s="184"/>
      <c r="I176" s="184"/>
      <c r="J176" s="260">
        <f>(V176+X176+AA176)/'Logistics record '!$AD$1</f>
        <v>15.116015418335726</v>
      </c>
      <c r="K176" s="260">
        <f>W176/'Logistics record '!$AD$1</f>
        <v>0</v>
      </c>
      <c r="L176" s="260">
        <f>Y176/'Logistics record '!$AD$1</f>
        <v>0</v>
      </c>
      <c r="M176" s="260">
        <f>AF176/'Logistics record '!$AD$1</f>
        <v>0</v>
      </c>
      <c r="N176" s="260" t="str" cm="1">
        <f t="array" ref="N176">_xlfn.IFS(
    OR(UPPER(S176)="AIR", UPPER(S176)="CPN"), "AIR",
    UPPER(S176)="TC", "LOCAL",
    TRUE, "SEA"
)</f>
        <v>AIR</v>
      </c>
      <c r="O176" s="260">
        <f t="shared" si="16"/>
        <v>15.116015418335726</v>
      </c>
      <c r="P176" s="184" t="s">
        <v>954</v>
      </c>
      <c r="Q176" s="185">
        <v>108304346030</v>
      </c>
      <c r="R176" s="186">
        <v>46176</v>
      </c>
      <c r="S176" s="187" t="s">
        <v>928</v>
      </c>
      <c r="T176" s="188">
        <v>0.4</v>
      </c>
      <c r="U176" s="188"/>
      <c r="V176" s="189">
        <v>400000</v>
      </c>
      <c r="W176" s="190"/>
      <c r="X176" s="190"/>
      <c r="Y176" s="190"/>
      <c r="Z176" s="189">
        <f t="shared" si="12"/>
        <v>400000</v>
      </c>
      <c r="AA176" s="189">
        <v>0</v>
      </c>
      <c r="AB176" s="189">
        <f t="shared" si="17"/>
        <v>400000</v>
      </c>
      <c r="AC176" s="189"/>
      <c r="AD176" s="190"/>
      <c r="AE176" s="190"/>
      <c r="AF176" s="191">
        <f t="shared" si="13"/>
        <v>0</v>
      </c>
      <c r="AG176" s="190">
        <f t="shared" si="14"/>
        <v>400000</v>
      </c>
      <c r="AH176" s="190"/>
      <c r="AI176" s="192" t="str">
        <f>VLOOKUP(Q176,[3]Sheet1!B$11:G$1489,6,0)</f>
        <v>E11</v>
      </c>
      <c r="GK176" s="194"/>
      <c r="GL176" s="195"/>
      <c r="GM176" s="196"/>
      <c r="GN176" s="197"/>
      <c r="GO176" s="198"/>
      <c r="GP176" s="199"/>
      <c r="GQ176" s="200"/>
      <c r="GR176" s="201"/>
      <c r="GS176" s="60"/>
      <c r="GT176" s="202"/>
      <c r="GU176" s="202"/>
      <c r="GV176" s="202"/>
      <c r="GW176" s="202"/>
      <c r="GX176" s="203"/>
      <c r="HA176" s="194"/>
      <c r="HB176" s="195"/>
      <c r="HC176" s="196"/>
      <c r="HD176" s="197"/>
      <c r="HE176" s="198"/>
      <c r="HF176" s="199"/>
      <c r="HG176" s="200"/>
      <c r="HH176" s="201"/>
      <c r="HI176" s="60"/>
      <c r="HJ176" s="202"/>
      <c r="HK176" s="202"/>
      <c r="HL176" s="202"/>
      <c r="HM176" s="202"/>
      <c r="HN176" s="203"/>
    </row>
    <row r="177" spans="1:222" ht="16.5" customHeight="1">
      <c r="A177" s="181">
        <v>174</v>
      </c>
      <c r="B177" s="182">
        <v>500292677155</v>
      </c>
      <c r="C177" s="598" t="s">
        <v>2420</v>
      </c>
      <c r="D177" s="184" t="s">
        <v>945</v>
      </c>
      <c r="E177" s="184" t="str">
        <f t="shared" si="15"/>
        <v>Import</v>
      </c>
      <c r="F177" s="720" t="str" cm="1">
        <f t="array" ref="F177">_xlfn.IFS(
  OR(AI177="E11", AI177="E15"), "Raw materials",
  OR(AI177="E13", AI177="G13"), "Equipments + Toolings",
  TRUE, RIGHT(C177, 8)
)</f>
        <v>Raw materials</v>
      </c>
      <c r="G177" s="541" t="str" cm="1">
        <f t="array" ref="G177">IF(E177="Import",
  IFERROR(
    _xlfn.IFS(
      VLOOKUP(B177,[1]Material!F$5:U$90000,16,0)="LUC","Lucid",
      VLOOKUP(B177,[1]Material!F$5:U$90000,16,0)="FMC","FORD",
      OR(VLOOKUP(B177,[1]Material!F$5:U$90000,16,0)="PUR",VLOOKUP(B177,[1]Material!F$5:U$90000,16,0)="HLO"),"PURE",
      VLOOKUP(B177,[1]Material!F$5:U$90000,16,0)="AIC","AIC",
      OR(VLOOKUP(B177,[1]Material!F$5:U$90000,16,0)="AGI",VLOOKUP(B177,[1]Material!F$5:U$90000,16,0)="AGIGA"),"AGIGA",
      OR(LEFT(VLOOKUP(B177,[1]Material!F$5:U$90000,16,0),3)="EF-",VLOOKUP(B177,[1]Material!F$5:U$90000,16,0)="EFI"),"EFI",
      AND(ISNUMBER(VLOOKUP(B177,[1]Material!F$5:U$90000,16,0)),VLOOKUP(B177,[1]Material!F$5:U$90000,16,0)&gt;=100,VLOOKUP(B177,[1]Material!F$5:U$90000,16,0)&lt;=999,VLOOKUP(B177,[1]Material!F$5:U$90000,16,0)=INT(VLOOKUP(B177,[1]Material!F$5:U$90000,16,0))),"OEM",
      TRUE,""
    ),
    "không tìm thấy trong file Import"
  ),
  VLOOKUP(F177,'[2]Export shipment'!B:Y,24,0)
)</f>
        <v>PURE</v>
      </c>
      <c r="H177" s="184"/>
      <c r="I177" s="184"/>
      <c r="J177" s="260">
        <f>(V177+X177+AA177)/'Logistics record '!$AD$1</f>
        <v>15.116015418335726</v>
      </c>
      <c r="K177" s="260">
        <f>W177/'Logistics record '!$AD$1</f>
        <v>0</v>
      </c>
      <c r="L177" s="260">
        <f>Y177/'Logistics record '!$AD$1</f>
        <v>0</v>
      </c>
      <c r="M177" s="260">
        <f>AF177/'Logistics record '!$AD$1</f>
        <v>0</v>
      </c>
      <c r="N177" s="260" t="str" cm="1">
        <f t="array" ref="N177">_xlfn.IFS(
    OR(UPPER(S177)="AIR", UPPER(S177)="CPN"), "AIR",
    UPPER(S177)="TC", "LOCAL",
    TRUE, "SEA"
)</f>
        <v>AIR</v>
      </c>
      <c r="O177" s="260">
        <f t="shared" si="16"/>
        <v>15.116015418335726</v>
      </c>
      <c r="P177" s="184" t="s">
        <v>946</v>
      </c>
      <c r="Q177" s="185">
        <v>108304560560</v>
      </c>
      <c r="R177" s="186">
        <v>46176</v>
      </c>
      <c r="S177" s="187" t="s">
        <v>928</v>
      </c>
      <c r="T177" s="188">
        <v>0.5</v>
      </c>
      <c r="U177" s="188"/>
      <c r="V177" s="189">
        <v>400000</v>
      </c>
      <c r="W177" s="190"/>
      <c r="X177" s="190"/>
      <c r="Y177" s="190"/>
      <c r="Z177" s="189">
        <f t="shared" si="12"/>
        <v>400000</v>
      </c>
      <c r="AA177" s="189">
        <v>0</v>
      </c>
      <c r="AB177" s="189">
        <f t="shared" si="17"/>
        <v>400000</v>
      </c>
      <c r="AC177" s="189"/>
      <c r="AD177" s="190"/>
      <c r="AE177" s="190"/>
      <c r="AF177" s="191">
        <f t="shared" si="13"/>
        <v>0</v>
      </c>
      <c r="AG177" s="190">
        <f t="shared" si="14"/>
        <v>400000</v>
      </c>
      <c r="AH177" s="190"/>
      <c r="AI177" s="192" t="str">
        <f>VLOOKUP(Q177,[3]Sheet1!B$11:G$1489,6,0)</f>
        <v>E11</v>
      </c>
      <c r="GK177" s="194"/>
      <c r="GL177" s="195"/>
      <c r="GM177" s="196"/>
      <c r="GN177" s="197"/>
      <c r="GO177" s="198"/>
      <c r="GP177" s="199"/>
      <c r="GQ177" s="200"/>
      <c r="GR177" s="201"/>
      <c r="GS177" s="60"/>
      <c r="GT177" s="202"/>
      <c r="GU177" s="202"/>
      <c r="GV177" s="202"/>
      <c r="GW177" s="202"/>
      <c r="GX177" s="203"/>
      <c r="HA177" s="194"/>
      <c r="HB177" s="195"/>
      <c r="HC177" s="196"/>
      <c r="HD177" s="197"/>
      <c r="HE177" s="198"/>
      <c r="HF177" s="199"/>
      <c r="HG177" s="200"/>
      <c r="HH177" s="201"/>
      <c r="HI177" s="60"/>
      <c r="HJ177" s="202"/>
      <c r="HK177" s="202"/>
      <c r="HL177" s="202"/>
      <c r="HM177" s="202"/>
      <c r="HN177" s="203"/>
    </row>
    <row r="178" spans="1:222" ht="16.5" customHeight="1">
      <c r="A178" s="181">
        <v>175</v>
      </c>
      <c r="B178" s="182">
        <v>872206220171</v>
      </c>
      <c r="C178" s="598" t="s">
        <v>2421</v>
      </c>
      <c r="D178" s="184" t="s">
        <v>985</v>
      </c>
      <c r="E178" s="184" t="str">
        <f t="shared" si="15"/>
        <v>Import</v>
      </c>
      <c r="F178" s="720" t="str" cm="1">
        <f t="array" ref="F178">_xlfn.IFS(
  OR(AI178="E11", AI178="E15"), "Raw materials",
  OR(AI178="E13", AI178="G13"), "Equipments + Toolings",
  TRUE, RIGHT(C178, 8)
)</f>
        <v>Raw materials</v>
      </c>
      <c r="G178" s="541" t="str" cm="1">
        <f t="array" ref="G178">IF(E178="Import",
  IFERROR(
    _xlfn.IFS(
      VLOOKUP(B178,[1]Material!F$5:U$90000,16,0)="LUC","Lucid",
      VLOOKUP(B178,[1]Material!F$5:U$90000,16,0)="FMC","FORD",
      OR(VLOOKUP(B178,[1]Material!F$5:U$90000,16,0)="PUR",VLOOKUP(B178,[1]Material!F$5:U$90000,16,0)="HLO"),"PURE",
      VLOOKUP(B178,[1]Material!F$5:U$90000,16,0)="AIC","AIC",
      OR(VLOOKUP(B178,[1]Material!F$5:U$90000,16,0)="AGI",VLOOKUP(B178,[1]Material!F$5:U$90000,16,0)="AGIGA"),"AGIGA",
      OR(LEFT(VLOOKUP(B178,[1]Material!F$5:U$90000,16,0),3)="EF-",VLOOKUP(B178,[1]Material!F$5:U$90000,16,0)="EFI"),"EFI",
      AND(ISNUMBER(VLOOKUP(B178,[1]Material!F$5:U$90000,16,0)),VLOOKUP(B178,[1]Material!F$5:U$90000,16,0)&gt;=100,VLOOKUP(B178,[1]Material!F$5:U$90000,16,0)&lt;=999,VLOOKUP(B178,[1]Material!F$5:U$90000,16,0)=INT(VLOOKUP(B178,[1]Material!F$5:U$90000,16,0))),"OEM",
      TRUE,""
    ),
    "không tìm thấy trong file Import"
  ),
  VLOOKUP(F178,'[2]Export shipment'!B:Y,24,0)
)</f>
        <v>EFI</v>
      </c>
      <c r="H178" s="184"/>
      <c r="I178" s="184"/>
      <c r="J178" s="260">
        <f>(V178+X178+AA178)/'Logistics record '!$AD$1</f>
        <v>15.116015418335726</v>
      </c>
      <c r="K178" s="260">
        <f>W178/'Logistics record '!$AD$1</f>
        <v>0</v>
      </c>
      <c r="L178" s="260">
        <f>Y178/'Logistics record '!$AD$1</f>
        <v>0</v>
      </c>
      <c r="M178" s="260">
        <f>AF178/'Logistics record '!$AD$1</f>
        <v>0</v>
      </c>
      <c r="N178" s="260" t="str" cm="1">
        <f t="array" ref="N178">_xlfn.IFS(
    OR(UPPER(S178)="AIR", UPPER(S178)="CPN"), "AIR",
    UPPER(S178)="TC", "LOCAL",
    TRUE, "SEA"
)</f>
        <v>AIR</v>
      </c>
      <c r="O178" s="260">
        <f t="shared" si="16"/>
        <v>15.116015418335726</v>
      </c>
      <c r="P178" s="184" t="s">
        <v>1964</v>
      </c>
      <c r="Q178" s="185">
        <v>108304754020</v>
      </c>
      <c r="R178" s="186">
        <v>46176</v>
      </c>
      <c r="S178" s="187" t="s">
        <v>928</v>
      </c>
      <c r="T178" s="188">
        <v>0.30000000000000004</v>
      </c>
      <c r="U178" s="188"/>
      <c r="V178" s="189">
        <v>400000</v>
      </c>
      <c r="W178" s="190"/>
      <c r="X178" s="190"/>
      <c r="Y178" s="190"/>
      <c r="Z178" s="189">
        <f t="shared" si="12"/>
        <v>400000</v>
      </c>
      <c r="AA178" s="189">
        <v>0</v>
      </c>
      <c r="AB178" s="189">
        <f t="shared" si="17"/>
        <v>400000</v>
      </c>
      <c r="AC178" s="189"/>
      <c r="AD178" s="190"/>
      <c r="AE178" s="190"/>
      <c r="AF178" s="191">
        <f t="shared" si="13"/>
        <v>0</v>
      </c>
      <c r="AG178" s="190">
        <f t="shared" si="14"/>
        <v>400000</v>
      </c>
      <c r="AH178" s="190"/>
      <c r="AI178" s="192" t="str">
        <f>VLOOKUP(Q178,[3]Sheet1!B$11:G$1489,6,0)</f>
        <v>E11</v>
      </c>
      <c r="GK178" s="194"/>
      <c r="GL178" s="195"/>
      <c r="GM178" s="196"/>
      <c r="GN178" s="197"/>
      <c r="GO178" s="198"/>
      <c r="GP178" s="199"/>
      <c r="GQ178" s="200"/>
      <c r="GR178" s="201"/>
      <c r="GS178" s="60"/>
      <c r="GT178" s="202"/>
      <c r="GU178" s="202"/>
      <c r="GV178" s="202"/>
      <c r="GW178" s="202"/>
      <c r="GX178" s="203"/>
      <c r="HA178" s="194"/>
      <c r="HB178" s="195"/>
      <c r="HC178" s="196"/>
      <c r="HD178" s="197"/>
      <c r="HE178" s="198"/>
      <c r="HF178" s="199"/>
      <c r="HG178" s="200"/>
      <c r="HH178" s="201"/>
      <c r="HI178" s="60"/>
      <c r="HJ178" s="202"/>
      <c r="HK178" s="202"/>
      <c r="HL178" s="202"/>
      <c r="HM178" s="202"/>
      <c r="HN178" s="203"/>
    </row>
    <row r="179" spans="1:222" ht="16.5" customHeight="1">
      <c r="A179" s="181">
        <v>176</v>
      </c>
      <c r="B179" s="182">
        <v>472187612303</v>
      </c>
      <c r="C179" s="598" t="s">
        <v>2422</v>
      </c>
      <c r="D179" s="184" t="s">
        <v>524</v>
      </c>
      <c r="E179" s="184" t="str">
        <f t="shared" si="15"/>
        <v>Import</v>
      </c>
      <c r="F179" s="720" t="str" cm="1">
        <f t="array" ref="F179">_xlfn.IFS(
  OR(AI179="E11", AI179="E15"), "Raw materials",
  OR(AI179="E13", AI179="G13"), "Equipments + Toolings",
  TRUE, RIGHT(C179, 8)
)</f>
        <v>Raw materials</v>
      </c>
      <c r="G179" s="541" t="str" cm="1">
        <f t="array" ref="G179">IF(E179="Import",
  IFERROR(
    _xlfn.IFS(
      VLOOKUP(B179,[1]Material!F$5:U$90000,16,0)="LUC","Lucid",
      VLOOKUP(B179,[1]Material!F$5:U$90000,16,0)="FMC","FORD",
      OR(VLOOKUP(B179,[1]Material!F$5:U$90000,16,0)="PUR",VLOOKUP(B179,[1]Material!F$5:U$90000,16,0)="HLO"),"PURE",
      VLOOKUP(B179,[1]Material!F$5:U$90000,16,0)="AIC","AIC",
      OR(VLOOKUP(B179,[1]Material!F$5:U$90000,16,0)="AGI",VLOOKUP(B179,[1]Material!F$5:U$90000,16,0)="AGIGA"),"AGIGA",
      OR(LEFT(VLOOKUP(B179,[1]Material!F$5:U$90000,16,0),3)="EF-",VLOOKUP(B179,[1]Material!F$5:U$90000,16,0)="EFI"),"EFI",
      AND(ISNUMBER(VLOOKUP(B179,[1]Material!F$5:U$90000,16,0)),VLOOKUP(B179,[1]Material!F$5:U$90000,16,0)&gt;=100,VLOOKUP(B179,[1]Material!F$5:U$90000,16,0)&lt;=999,VLOOKUP(B179,[1]Material!F$5:U$90000,16,0)=INT(VLOOKUP(B179,[1]Material!F$5:U$90000,16,0))),"OEM",
      TRUE,""
    ),
    "không tìm thấy trong file Import"
  ),
  VLOOKUP(F179,'[2]Export shipment'!B:Y,24,0)
)</f>
        <v>EFI</v>
      </c>
      <c r="H179" s="184"/>
      <c r="I179" s="184"/>
      <c r="J179" s="260">
        <f>(V179+X179+AA179)/'Logistics record '!$AD$1</f>
        <v>15.116015418335726</v>
      </c>
      <c r="K179" s="260">
        <f>W179/'Logistics record '!$AD$1</f>
        <v>0</v>
      </c>
      <c r="L179" s="260">
        <f>Y179/'Logistics record '!$AD$1</f>
        <v>0</v>
      </c>
      <c r="M179" s="260">
        <f>AF179/'Logistics record '!$AD$1</f>
        <v>0</v>
      </c>
      <c r="N179" s="260" t="str" cm="1">
        <f t="array" ref="N179">_xlfn.IFS(
    OR(UPPER(S179)="AIR", UPPER(S179)="CPN"), "AIR",
    UPPER(S179)="TC", "LOCAL",
    TRUE, "SEA"
)</f>
        <v>AIR</v>
      </c>
      <c r="O179" s="260">
        <f t="shared" si="16"/>
        <v>15.116015418335726</v>
      </c>
      <c r="P179" s="184" t="s">
        <v>927</v>
      </c>
      <c r="Q179" s="185">
        <v>108304819820</v>
      </c>
      <c r="R179" s="186">
        <v>46176</v>
      </c>
      <c r="S179" s="187" t="s">
        <v>928</v>
      </c>
      <c r="T179" s="188">
        <v>37.799999999999997</v>
      </c>
      <c r="U179" s="188"/>
      <c r="V179" s="189">
        <v>400000</v>
      </c>
      <c r="W179" s="190"/>
      <c r="X179" s="190"/>
      <c r="Y179" s="190"/>
      <c r="Z179" s="189">
        <f t="shared" si="12"/>
        <v>400000</v>
      </c>
      <c r="AA179" s="189">
        <v>0</v>
      </c>
      <c r="AB179" s="189">
        <f t="shared" si="17"/>
        <v>400000</v>
      </c>
      <c r="AC179" s="189"/>
      <c r="AD179" s="190"/>
      <c r="AE179" s="190"/>
      <c r="AF179" s="191">
        <f t="shared" si="13"/>
        <v>0</v>
      </c>
      <c r="AG179" s="190">
        <f t="shared" si="14"/>
        <v>400000</v>
      </c>
      <c r="AH179" s="190"/>
      <c r="AI179" s="192" t="str">
        <f>VLOOKUP(Q179,[3]Sheet1!B$11:G$1489,6,0)</f>
        <v>E11</v>
      </c>
      <c r="GK179" s="194"/>
      <c r="GL179" s="195"/>
      <c r="GM179" s="196"/>
      <c r="GN179" s="197"/>
      <c r="GO179" s="198"/>
      <c r="GP179" s="199"/>
      <c r="GQ179" s="200"/>
      <c r="GR179" s="201"/>
      <c r="GS179" s="60"/>
      <c r="GT179" s="202"/>
      <c r="GU179" s="202"/>
      <c r="GV179" s="202"/>
      <c r="GW179" s="202"/>
      <c r="GX179" s="203"/>
      <c r="HA179" s="194"/>
      <c r="HB179" s="195"/>
      <c r="HC179" s="196"/>
      <c r="HD179" s="197"/>
      <c r="HE179" s="198"/>
      <c r="HF179" s="199"/>
      <c r="HG179" s="200"/>
      <c r="HH179" s="201"/>
      <c r="HI179" s="60"/>
      <c r="HJ179" s="202"/>
      <c r="HK179" s="202"/>
      <c r="HL179" s="202"/>
      <c r="HM179" s="202"/>
      <c r="HN179" s="203"/>
    </row>
    <row r="180" spans="1:222" ht="16.5" customHeight="1">
      <c r="A180" s="181">
        <v>177</v>
      </c>
      <c r="B180" s="182">
        <v>872378270097</v>
      </c>
      <c r="C180" s="183" t="s">
        <v>2423</v>
      </c>
      <c r="D180" s="184" t="s">
        <v>1989</v>
      </c>
      <c r="E180" s="184" t="str">
        <f t="shared" si="15"/>
        <v>Import</v>
      </c>
      <c r="F180" s="720" t="str" cm="1">
        <f t="array" ref="F180">_xlfn.IFS(
  OR(AI180="E11", AI180="E15"), "Raw materials",
  OR(AI180="E13", AI180="G13"), "Equipments + Toolings",
  TRUE, RIGHT(C180, 8)
)</f>
        <v>Raw materials</v>
      </c>
      <c r="G180" s="541" t="str" cm="1">
        <f t="array" ref="G180">IF(E180="Import",
  IFERROR(
    _xlfn.IFS(
      VLOOKUP(B180,[1]Material!F$5:U$90000,16,0)="LUC","Lucid",
      VLOOKUP(B180,[1]Material!F$5:U$90000,16,0)="FMC","FORD",
      OR(VLOOKUP(B180,[1]Material!F$5:U$90000,16,0)="PUR",VLOOKUP(B180,[1]Material!F$5:U$90000,16,0)="HLO"),"PURE",
      VLOOKUP(B180,[1]Material!F$5:U$90000,16,0)="AIC","AIC",
      OR(VLOOKUP(B180,[1]Material!F$5:U$90000,16,0)="AGI",VLOOKUP(B180,[1]Material!F$5:U$90000,16,0)="AGIGA"),"AGIGA",
      OR(LEFT(VLOOKUP(B180,[1]Material!F$5:U$90000,16,0),3)="EF-",VLOOKUP(B180,[1]Material!F$5:U$90000,16,0)="EFI"),"EFI",
      AND(ISNUMBER(VLOOKUP(B180,[1]Material!F$5:U$90000,16,0)),VLOOKUP(B180,[1]Material!F$5:U$90000,16,0)&gt;=100,VLOOKUP(B180,[1]Material!F$5:U$90000,16,0)&lt;=999,VLOOKUP(B180,[1]Material!F$5:U$90000,16,0)=INT(VLOOKUP(B180,[1]Material!F$5:U$90000,16,0))),"OEM",
      TRUE,""
    ),
    "không tìm thấy trong file Import"
  ),
  VLOOKUP(F180,'[2]Export shipment'!B:Y,24,0)
)</f>
        <v>PURE</v>
      </c>
      <c r="H180" s="184"/>
      <c r="I180" s="184"/>
      <c r="J180" s="260">
        <f>(V180+X180+AA180)/'Logistics record '!$AD$1</f>
        <v>15.116015418335726</v>
      </c>
      <c r="K180" s="260">
        <f>W180/'Logistics record '!$AD$1</f>
        <v>0</v>
      </c>
      <c r="L180" s="260">
        <f>Y180/'Logistics record '!$AD$1</f>
        <v>0</v>
      </c>
      <c r="M180" s="260">
        <f>AF180/'Logistics record '!$AD$1</f>
        <v>0</v>
      </c>
      <c r="N180" s="260" t="str" cm="1">
        <f t="array" ref="N180">_xlfn.IFS(
    OR(UPPER(S180)="AIR", UPPER(S180)="CPN"), "AIR",
    UPPER(S180)="TC", "LOCAL",
    TRUE, "SEA"
)</f>
        <v>AIR</v>
      </c>
      <c r="O180" s="260">
        <f t="shared" si="16"/>
        <v>15.116015418335726</v>
      </c>
      <c r="P180" s="184" t="s">
        <v>937</v>
      </c>
      <c r="Q180" s="185">
        <v>108304832160</v>
      </c>
      <c r="R180" s="186">
        <v>46176</v>
      </c>
      <c r="S180" s="187" t="s">
        <v>928</v>
      </c>
      <c r="T180" s="188">
        <v>7.8</v>
      </c>
      <c r="U180" s="188"/>
      <c r="V180" s="189">
        <v>400000</v>
      </c>
      <c r="W180" s="190"/>
      <c r="X180" s="190"/>
      <c r="Y180" s="190"/>
      <c r="Z180" s="189">
        <f t="shared" si="12"/>
        <v>400000</v>
      </c>
      <c r="AA180" s="189">
        <v>0</v>
      </c>
      <c r="AB180" s="189">
        <f t="shared" si="17"/>
        <v>400000</v>
      </c>
      <c r="AC180" s="189"/>
      <c r="AD180" s="190"/>
      <c r="AE180" s="190"/>
      <c r="AF180" s="191">
        <f t="shared" si="13"/>
        <v>0</v>
      </c>
      <c r="AG180" s="190">
        <f t="shared" si="14"/>
        <v>400000</v>
      </c>
      <c r="AH180" s="190"/>
      <c r="AI180" s="192" t="str">
        <f>VLOOKUP(Q180,[3]Sheet1!B$11:G$1489,6,0)</f>
        <v>E11</v>
      </c>
      <c r="GK180" s="194"/>
      <c r="GL180" s="195"/>
      <c r="GM180" s="196"/>
      <c r="GN180" s="197"/>
      <c r="GO180" s="198"/>
      <c r="GP180" s="199"/>
      <c r="GQ180" s="200"/>
      <c r="GR180" s="201"/>
      <c r="GS180" s="60"/>
      <c r="GT180" s="202"/>
      <c r="GU180" s="202"/>
      <c r="GV180" s="202"/>
      <c r="GW180" s="202"/>
      <c r="GX180" s="203"/>
      <c r="HA180" s="194"/>
      <c r="HB180" s="195"/>
      <c r="HC180" s="196"/>
      <c r="HD180" s="197"/>
      <c r="HE180" s="198"/>
      <c r="HF180" s="199"/>
      <c r="HG180" s="200"/>
      <c r="HH180" s="201"/>
      <c r="HI180" s="60"/>
      <c r="HJ180" s="202"/>
      <c r="HK180" s="202"/>
      <c r="HL180" s="202"/>
      <c r="HM180" s="202"/>
      <c r="HN180" s="203"/>
    </row>
    <row r="181" spans="1:222" ht="16.5" customHeight="1">
      <c r="A181" s="181">
        <v>178</v>
      </c>
      <c r="B181" s="182">
        <v>119209738268</v>
      </c>
      <c r="C181" s="183" t="s">
        <v>2424</v>
      </c>
      <c r="D181" s="184" t="s">
        <v>944</v>
      </c>
      <c r="E181" s="184" t="str">
        <f t="shared" si="15"/>
        <v>Import</v>
      </c>
      <c r="F181" s="720" t="str" cm="1">
        <f t="array" ref="F181">_xlfn.IFS(
  OR(AI181="E11", AI181="E15"), "Raw materials",
  OR(AI181="E13", AI181="G13"), "Equipments + Toolings",
  TRUE, RIGHT(C181, 8)
)</f>
        <v>Raw materials</v>
      </c>
      <c r="G181" s="541" t="str" cm="1">
        <f t="array" ref="G181">IF(E181="Import",
  IFERROR(
    _xlfn.IFS(
      VLOOKUP(B181,[1]Material!F$5:U$90000,16,0)="LUC","Lucid",
      VLOOKUP(B181,[1]Material!F$5:U$90000,16,0)="FMC","FORD",
      OR(VLOOKUP(B181,[1]Material!F$5:U$90000,16,0)="PUR",VLOOKUP(B181,[1]Material!F$5:U$90000,16,0)="HLO"),"PURE",
      VLOOKUP(B181,[1]Material!F$5:U$90000,16,0)="AIC","AIC",
      OR(VLOOKUP(B181,[1]Material!F$5:U$90000,16,0)="AGI",VLOOKUP(B181,[1]Material!F$5:U$90000,16,0)="AGIGA"),"AGIGA",
      OR(LEFT(VLOOKUP(B181,[1]Material!F$5:U$90000,16,0),3)="EF-",VLOOKUP(B181,[1]Material!F$5:U$90000,16,0)="EFI"),"EFI",
      AND(ISNUMBER(VLOOKUP(B181,[1]Material!F$5:U$90000,16,0)),VLOOKUP(B181,[1]Material!F$5:U$90000,16,0)&gt;=100,VLOOKUP(B181,[1]Material!F$5:U$90000,16,0)&lt;=999,VLOOKUP(B181,[1]Material!F$5:U$90000,16,0)=INT(VLOOKUP(B181,[1]Material!F$5:U$90000,16,0))),"OEM",
      TRUE,""
    ),
    "không tìm thấy trong file Import"
  ),
  VLOOKUP(F181,'[2]Export shipment'!B:Y,24,0)
)</f>
        <v>PURE</v>
      </c>
      <c r="H181" s="184"/>
      <c r="I181" s="184"/>
      <c r="J181" s="260">
        <f>(V181+X181+AA181)/'Logistics record '!$AD$1</f>
        <v>15.116015418335726</v>
      </c>
      <c r="K181" s="260">
        <f>W181/'Logistics record '!$AD$1</f>
        <v>0</v>
      </c>
      <c r="L181" s="260">
        <f>Y181/'Logistics record '!$AD$1</f>
        <v>0</v>
      </c>
      <c r="M181" s="260">
        <f>AF181/'Logistics record '!$AD$1</f>
        <v>0</v>
      </c>
      <c r="N181" s="260" t="str" cm="1">
        <f t="array" ref="N181">_xlfn.IFS(
    OR(UPPER(S181)="AIR", UPPER(S181)="CPN"), "AIR",
    UPPER(S181)="TC", "LOCAL",
    TRUE, "SEA"
)</f>
        <v>AIR</v>
      </c>
      <c r="O181" s="260">
        <f t="shared" si="16"/>
        <v>15.116015418335726</v>
      </c>
      <c r="P181" s="184" t="s">
        <v>935</v>
      </c>
      <c r="Q181" s="185">
        <v>108304985020</v>
      </c>
      <c r="R181" s="186">
        <v>46176</v>
      </c>
      <c r="S181" s="187" t="s">
        <v>928</v>
      </c>
      <c r="T181" s="188">
        <v>14.9</v>
      </c>
      <c r="U181" s="188"/>
      <c r="V181" s="189">
        <v>400000</v>
      </c>
      <c r="W181" s="190"/>
      <c r="X181" s="190"/>
      <c r="Y181" s="190"/>
      <c r="Z181" s="189">
        <f t="shared" si="12"/>
        <v>400000</v>
      </c>
      <c r="AA181" s="189">
        <v>0</v>
      </c>
      <c r="AB181" s="189">
        <f t="shared" si="17"/>
        <v>400000</v>
      </c>
      <c r="AC181" s="189"/>
      <c r="AD181" s="190"/>
      <c r="AE181" s="190"/>
      <c r="AF181" s="191">
        <f t="shared" si="13"/>
        <v>0</v>
      </c>
      <c r="AG181" s="190">
        <f t="shared" si="14"/>
        <v>400000</v>
      </c>
      <c r="AH181" s="190"/>
      <c r="AI181" s="192" t="str">
        <f>VLOOKUP(Q181,[3]Sheet1!B$11:G$1489,6,0)</f>
        <v>E11</v>
      </c>
      <c r="GK181" s="194"/>
      <c r="GL181" s="195"/>
      <c r="GM181" s="196"/>
      <c r="GN181" s="197"/>
      <c r="GO181" s="198"/>
      <c r="GP181" s="199"/>
      <c r="GQ181" s="200"/>
      <c r="GR181" s="201"/>
      <c r="GS181" s="60"/>
      <c r="GT181" s="202"/>
      <c r="GU181" s="202"/>
      <c r="GV181" s="202"/>
      <c r="GW181" s="202"/>
      <c r="GX181" s="203"/>
      <c r="HA181" s="194"/>
      <c r="HB181" s="195"/>
      <c r="HC181" s="196"/>
      <c r="HD181" s="197"/>
      <c r="HE181" s="198"/>
      <c r="HF181" s="199"/>
      <c r="HG181" s="200"/>
      <c r="HH181" s="201"/>
      <c r="HI181" s="60"/>
      <c r="HJ181" s="202"/>
      <c r="HK181" s="202"/>
      <c r="HL181" s="202"/>
      <c r="HM181" s="202"/>
      <c r="HN181" s="203"/>
    </row>
    <row r="182" spans="1:222" ht="16.5" customHeight="1">
      <c r="A182" s="181">
        <v>179</v>
      </c>
      <c r="B182" s="182">
        <v>500292661395</v>
      </c>
      <c r="C182" s="598" t="s">
        <v>2425</v>
      </c>
      <c r="D182" s="184" t="s">
        <v>945</v>
      </c>
      <c r="E182" s="184" t="str">
        <f t="shared" si="15"/>
        <v>Import</v>
      </c>
      <c r="F182" s="720" t="str" cm="1">
        <f t="array" ref="F182">_xlfn.IFS(
  OR(AI182="E11", AI182="E15"), "Raw materials",
  OR(AI182="E13", AI182="G13"), "Equipments + Toolings",
  TRUE, RIGHT(C182, 8)
)</f>
        <v>Raw materials</v>
      </c>
      <c r="G182" s="541" t="str" cm="1">
        <f t="array" ref="G182">IF(E182="Import",
  IFERROR(
    _xlfn.IFS(
      VLOOKUP(B182,[1]Material!F$5:U$90000,16,0)="LUC","Lucid",
      VLOOKUP(B182,[1]Material!F$5:U$90000,16,0)="FMC","FORD",
      OR(VLOOKUP(B182,[1]Material!F$5:U$90000,16,0)="PUR",VLOOKUP(B182,[1]Material!F$5:U$90000,16,0)="HLO"),"PURE",
      VLOOKUP(B182,[1]Material!F$5:U$90000,16,0)="AIC","AIC",
      OR(VLOOKUP(B182,[1]Material!F$5:U$90000,16,0)="AGI",VLOOKUP(B182,[1]Material!F$5:U$90000,16,0)="AGIGA"),"AGIGA",
      OR(LEFT(VLOOKUP(B182,[1]Material!F$5:U$90000,16,0),3)="EF-",VLOOKUP(B182,[1]Material!F$5:U$90000,16,0)="EFI"),"EFI",
      AND(ISNUMBER(VLOOKUP(B182,[1]Material!F$5:U$90000,16,0)),VLOOKUP(B182,[1]Material!F$5:U$90000,16,0)&gt;=100,VLOOKUP(B182,[1]Material!F$5:U$90000,16,0)&lt;=999,VLOOKUP(B182,[1]Material!F$5:U$90000,16,0)=INT(VLOOKUP(B182,[1]Material!F$5:U$90000,16,0))),"OEM",
      TRUE,""
    ),
    "không tìm thấy trong file Import"
  ),
  VLOOKUP(F182,'[2]Export shipment'!B:Y,24,0)
)</f>
        <v>PURE</v>
      </c>
      <c r="H182" s="184"/>
      <c r="I182" s="184"/>
      <c r="J182" s="260">
        <f>(V182+X182+AA182)/'Logistics record '!$AD$1</f>
        <v>15.116015418335726</v>
      </c>
      <c r="K182" s="260">
        <f>W182/'Logistics record '!$AD$1</f>
        <v>0</v>
      </c>
      <c r="L182" s="260">
        <f>Y182/'Logistics record '!$AD$1</f>
        <v>0</v>
      </c>
      <c r="M182" s="260">
        <f>AF182/'Logistics record '!$AD$1</f>
        <v>0</v>
      </c>
      <c r="N182" s="260" t="str" cm="1">
        <f t="array" ref="N182">_xlfn.IFS(
    OR(UPPER(S182)="AIR", UPPER(S182)="CPN"), "AIR",
    UPPER(S182)="TC", "LOCAL",
    TRUE, "SEA"
)</f>
        <v>AIR</v>
      </c>
      <c r="O182" s="260">
        <f t="shared" si="16"/>
        <v>15.116015418335726</v>
      </c>
      <c r="P182" s="184" t="s">
        <v>946</v>
      </c>
      <c r="Q182" s="185">
        <v>108305067400</v>
      </c>
      <c r="R182" s="186">
        <v>46176</v>
      </c>
      <c r="S182" s="187" t="s">
        <v>928</v>
      </c>
      <c r="T182" s="188">
        <v>0.5</v>
      </c>
      <c r="U182" s="188"/>
      <c r="V182" s="189">
        <v>400000</v>
      </c>
      <c r="W182" s="190"/>
      <c r="X182" s="190"/>
      <c r="Y182" s="190"/>
      <c r="Z182" s="189">
        <f t="shared" si="12"/>
        <v>400000</v>
      </c>
      <c r="AA182" s="189">
        <v>0</v>
      </c>
      <c r="AB182" s="189">
        <f t="shared" si="17"/>
        <v>400000</v>
      </c>
      <c r="AC182" s="189"/>
      <c r="AD182" s="190"/>
      <c r="AE182" s="190"/>
      <c r="AF182" s="191">
        <f t="shared" si="13"/>
        <v>0</v>
      </c>
      <c r="AG182" s="190">
        <f t="shared" si="14"/>
        <v>400000</v>
      </c>
      <c r="AH182" s="190"/>
      <c r="AI182" s="192" t="str">
        <f>VLOOKUP(Q182,[3]Sheet1!B$11:G$1489,6,0)</f>
        <v>E11</v>
      </c>
      <c r="GK182" s="194"/>
      <c r="GL182" s="195"/>
      <c r="GM182" s="196"/>
      <c r="GN182" s="197"/>
      <c r="GO182" s="198"/>
      <c r="GP182" s="199"/>
      <c r="GQ182" s="200"/>
      <c r="GR182" s="201"/>
      <c r="GS182" s="60"/>
      <c r="GT182" s="202"/>
      <c r="GU182" s="202"/>
      <c r="GV182" s="202"/>
      <c r="GW182" s="202"/>
      <c r="GX182" s="203"/>
      <c r="HA182" s="194"/>
      <c r="HB182" s="195"/>
      <c r="HC182" s="196"/>
      <c r="HD182" s="197"/>
      <c r="HE182" s="198"/>
      <c r="HF182" s="199"/>
      <c r="HG182" s="200"/>
      <c r="HH182" s="201"/>
      <c r="HI182" s="60"/>
      <c r="HJ182" s="202"/>
      <c r="HK182" s="202"/>
      <c r="HL182" s="202"/>
      <c r="HM182" s="202"/>
      <c r="HN182" s="203"/>
    </row>
    <row r="183" spans="1:222" ht="16.5" customHeight="1">
      <c r="A183" s="181">
        <v>180</v>
      </c>
      <c r="B183" s="182">
        <v>492830094147</v>
      </c>
      <c r="C183" s="183" t="s">
        <v>2426</v>
      </c>
      <c r="D183" s="184" t="s">
        <v>2427</v>
      </c>
      <c r="E183" s="184" t="str">
        <f t="shared" si="15"/>
        <v>Import</v>
      </c>
      <c r="F183" s="720" t="str" cm="1">
        <f t="array" ref="F183">_xlfn.IFS(
  OR(AI183="E11", AI183="E15"), "Raw materials",
  OR(AI183="E13", AI183="G13"), "Equipments + Toolings",
  TRUE, RIGHT(C183, 8)
)</f>
        <v>Raw materials</v>
      </c>
      <c r="G183" s="541" t="str" cm="1">
        <f t="array" ref="G183">IF(E183="Import",
  IFERROR(
    _xlfn.IFS(
      VLOOKUP(B183,[1]Material!F$5:U$90000,16,0)="LUC","Lucid",
      VLOOKUP(B183,[1]Material!F$5:U$90000,16,0)="FMC","FORD",
      OR(VLOOKUP(B183,[1]Material!F$5:U$90000,16,0)="PUR",VLOOKUP(B183,[1]Material!F$5:U$90000,16,0)="HLO"),"PURE",
      VLOOKUP(B183,[1]Material!F$5:U$90000,16,0)="AIC","AIC",
      OR(VLOOKUP(B183,[1]Material!F$5:U$90000,16,0)="AGI",VLOOKUP(B183,[1]Material!F$5:U$90000,16,0)="AGIGA"),"AGIGA",
      OR(LEFT(VLOOKUP(B183,[1]Material!F$5:U$90000,16,0),3)="EF-",VLOOKUP(B183,[1]Material!F$5:U$90000,16,0)="EFI"),"EFI",
      AND(ISNUMBER(VLOOKUP(B183,[1]Material!F$5:U$90000,16,0)),VLOOKUP(B183,[1]Material!F$5:U$90000,16,0)&gt;=100,VLOOKUP(B183,[1]Material!F$5:U$90000,16,0)&lt;=999,VLOOKUP(B183,[1]Material!F$5:U$90000,16,0)=INT(VLOOKUP(B183,[1]Material!F$5:U$90000,16,0))),"OEM",
      TRUE,""
    ),
    "không tìm thấy trong file Import"
  ),
  VLOOKUP(F183,'[2]Export shipment'!B:Y,24,0)
)</f>
        <v>OEM</v>
      </c>
      <c r="H183" s="184"/>
      <c r="I183" s="184"/>
      <c r="J183" s="260">
        <f>(V183+X183+AA183)/'Logistics record '!$AD$1</f>
        <v>15.116015418335726</v>
      </c>
      <c r="K183" s="260">
        <f>W183/'Logistics record '!$AD$1</f>
        <v>0</v>
      </c>
      <c r="L183" s="260">
        <f>Y183/'Logistics record '!$AD$1</f>
        <v>0</v>
      </c>
      <c r="M183" s="260">
        <f>AF183/'Logistics record '!$AD$1</f>
        <v>0</v>
      </c>
      <c r="N183" s="260" t="str" cm="1">
        <f t="array" ref="N183">_xlfn.IFS(
    OR(UPPER(S183)="AIR", UPPER(S183)="CPN"), "AIR",
    UPPER(S183)="TC", "LOCAL",
    TRUE, "SEA"
)</f>
        <v>AIR</v>
      </c>
      <c r="O183" s="260">
        <f t="shared" si="16"/>
        <v>15.116015418335726</v>
      </c>
      <c r="P183" s="184" t="s">
        <v>935</v>
      </c>
      <c r="Q183" s="185">
        <v>108305107260</v>
      </c>
      <c r="R183" s="186">
        <v>46176</v>
      </c>
      <c r="S183" s="187" t="s">
        <v>928</v>
      </c>
      <c r="T183" s="188">
        <v>0.5</v>
      </c>
      <c r="U183" s="188"/>
      <c r="V183" s="189">
        <v>400000</v>
      </c>
      <c r="W183" s="190"/>
      <c r="X183" s="190"/>
      <c r="Y183" s="190"/>
      <c r="Z183" s="189">
        <f t="shared" si="12"/>
        <v>400000</v>
      </c>
      <c r="AA183" s="189">
        <v>0</v>
      </c>
      <c r="AB183" s="189">
        <f t="shared" si="17"/>
        <v>400000</v>
      </c>
      <c r="AC183" s="189"/>
      <c r="AD183" s="190"/>
      <c r="AE183" s="190"/>
      <c r="AF183" s="191">
        <f t="shared" si="13"/>
        <v>0</v>
      </c>
      <c r="AG183" s="190">
        <f t="shared" si="14"/>
        <v>400000</v>
      </c>
      <c r="AH183" s="190"/>
      <c r="AI183" s="192" t="str">
        <f>VLOOKUP(Q183,[3]Sheet1!B$11:G$1489,6,0)</f>
        <v>E11</v>
      </c>
      <c r="GK183" s="194"/>
      <c r="GL183" s="195"/>
      <c r="GM183" s="196"/>
      <c r="GN183" s="197"/>
      <c r="GO183" s="198"/>
      <c r="GP183" s="199"/>
      <c r="GQ183" s="200"/>
      <c r="GR183" s="201"/>
      <c r="GS183" s="60"/>
      <c r="GT183" s="202"/>
      <c r="GU183" s="202"/>
      <c r="GV183" s="202"/>
      <c r="GW183" s="202"/>
      <c r="GX183" s="203"/>
      <c r="HA183" s="194"/>
      <c r="HB183" s="195"/>
      <c r="HC183" s="196"/>
      <c r="HD183" s="197"/>
      <c r="HE183" s="198"/>
      <c r="HF183" s="199"/>
      <c r="HG183" s="200"/>
      <c r="HH183" s="201"/>
      <c r="HI183" s="60"/>
      <c r="HJ183" s="202"/>
      <c r="HK183" s="202"/>
      <c r="HL183" s="202"/>
      <c r="HM183" s="202"/>
      <c r="HN183" s="203"/>
    </row>
    <row r="184" spans="1:222" ht="16.5" customHeight="1">
      <c r="A184" s="181">
        <v>181</v>
      </c>
      <c r="B184" s="182">
        <v>500292661329</v>
      </c>
      <c r="C184" s="598" t="s">
        <v>2428</v>
      </c>
      <c r="D184" s="184" t="s">
        <v>945</v>
      </c>
      <c r="E184" s="184" t="str">
        <f t="shared" si="15"/>
        <v>Import</v>
      </c>
      <c r="F184" s="720" t="str" cm="1">
        <f t="array" ref="F184">_xlfn.IFS(
  OR(AI184="E11", AI184="E15"), "Raw materials",
  OR(AI184="E13", AI184="G13"), "Equipments + Toolings",
  TRUE, RIGHT(C184, 8)
)</f>
        <v>Raw materials</v>
      </c>
      <c r="G184" s="541" t="str" cm="1">
        <f t="array" ref="G184">IF(E184="Import",
  IFERROR(
    _xlfn.IFS(
      VLOOKUP(B184,[1]Material!F$5:U$90000,16,0)="LUC","Lucid",
      VLOOKUP(B184,[1]Material!F$5:U$90000,16,0)="FMC","FORD",
      OR(VLOOKUP(B184,[1]Material!F$5:U$90000,16,0)="PUR",VLOOKUP(B184,[1]Material!F$5:U$90000,16,0)="HLO"),"PURE",
      VLOOKUP(B184,[1]Material!F$5:U$90000,16,0)="AIC","AIC",
      OR(VLOOKUP(B184,[1]Material!F$5:U$90000,16,0)="AGI",VLOOKUP(B184,[1]Material!F$5:U$90000,16,0)="AGIGA"),"AGIGA",
      OR(LEFT(VLOOKUP(B184,[1]Material!F$5:U$90000,16,0),3)="EF-",VLOOKUP(B184,[1]Material!F$5:U$90000,16,0)="EFI"),"EFI",
      AND(ISNUMBER(VLOOKUP(B184,[1]Material!F$5:U$90000,16,0)),VLOOKUP(B184,[1]Material!F$5:U$90000,16,0)&gt;=100,VLOOKUP(B184,[1]Material!F$5:U$90000,16,0)&lt;=999,VLOOKUP(B184,[1]Material!F$5:U$90000,16,0)=INT(VLOOKUP(B184,[1]Material!F$5:U$90000,16,0))),"OEM",
      TRUE,""
    ),
    "không tìm thấy trong file Import"
  ),
  VLOOKUP(F184,'[2]Export shipment'!B:Y,24,0)
)</f>
        <v>PURE</v>
      </c>
      <c r="H184" s="184"/>
      <c r="I184" s="184"/>
      <c r="J184" s="260">
        <f>(V184+X184+AA184)/'Logistics record '!$AD$1</f>
        <v>15.116015418335726</v>
      </c>
      <c r="K184" s="260">
        <f>W184/'Logistics record '!$AD$1</f>
        <v>0</v>
      </c>
      <c r="L184" s="260">
        <f>Y184/'Logistics record '!$AD$1</f>
        <v>0</v>
      </c>
      <c r="M184" s="260">
        <f>AF184/'Logistics record '!$AD$1</f>
        <v>0</v>
      </c>
      <c r="N184" s="260" t="str" cm="1">
        <f t="array" ref="N184">_xlfn.IFS(
    OR(UPPER(S184)="AIR", UPPER(S184)="CPN"), "AIR",
    UPPER(S184)="TC", "LOCAL",
    TRUE, "SEA"
)</f>
        <v>AIR</v>
      </c>
      <c r="O184" s="260">
        <f t="shared" si="16"/>
        <v>15.116015418335726</v>
      </c>
      <c r="P184" s="184" t="s">
        <v>946</v>
      </c>
      <c r="Q184" s="185">
        <v>108305142850</v>
      </c>
      <c r="R184" s="186">
        <v>46176</v>
      </c>
      <c r="S184" s="187" t="s">
        <v>928</v>
      </c>
      <c r="T184" s="188">
        <v>0.9</v>
      </c>
      <c r="U184" s="188"/>
      <c r="V184" s="189">
        <v>400000</v>
      </c>
      <c r="W184" s="190"/>
      <c r="X184" s="190"/>
      <c r="Y184" s="190"/>
      <c r="Z184" s="189">
        <f t="shared" si="12"/>
        <v>400000</v>
      </c>
      <c r="AA184" s="189">
        <v>0</v>
      </c>
      <c r="AB184" s="189">
        <f t="shared" si="17"/>
        <v>400000</v>
      </c>
      <c r="AC184" s="189"/>
      <c r="AD184" s="190"/>
      <c r="AE184" s="190"/>
      <c r="AF184" s="191">
        <f t="shared" si="13"/>
        <v>0</v>
      </c>
      <c r="AG184" s="190">
        <f t="shared" si="14"/>
        <v>400000</v>
      </c>
      <c r="AH184" s="190"/>
      <c r="AI184" s="192" t="str">
        <f>VLOOKUP(Q184,[3]Sheet1!B$11:G$1489,6,0)</f>
        <v>E11</v>
      </c>
      <c r="GK184" s="194"/>
      <c r="GL184" s="195"/>
      <c r="GM184" s="196"/>
      <c r="GN184" s="197"/>
      <c r="GO184" s="198"/>
      <c r="GP184" s="199"/>
      <c r="GQ184" s="200"/>
      <c r="GR184" s="201"/>
      <c r="GS184" s="60"/>
      <c r="GT184" s="202"/>
      <c r="GU184" s="202"/>
      <c r="GV184" s="202"/>
      <c r="GW184" s="202"/>
      <c r="GX184" s="203"/>
      <c r="HA184" s="194"/>
      <c r="HB184" s="195"/>
      <c r="HC184" s="196"/>
      <c r="HD184" s="197"/>
      <c r="HE184" s="198"/>
      <c r="HF184" s="199"/>
      <c r="HG184" s="200"/>
      <c r="HH184" s="201"/>
      <c r="HI184" s="60"/>
      <c r="HJ184" s="202"/>
      <c r="HK184" s="202"/>
      <c r="HL184" s="202"/>
      <c r="HM184" s="202"/>
      <c r="HN184" s="203"/>
    </row>
    <row r="185" spans="1:222" ht="16.5" customHeight="1">
      <c r="A185" s="181">
        <v>182</v>
      </c>
      <c r="B185" s="182">
        <v>871735931826</v>
      </c>
      <c r="C185" s="598" t="s">
        <v>2429</v>
      </c>
      <c r="D185" s="184" t="s">
        <v>1327</v>
      </c>
      <c r="E185" s="184" t="str">
        <f t="shared" si="15"/>
        <v>Import</v>
      </c>
      <c r="F185" s="720" t="str" cm="1">
        <f t="array" ref="F185">_xlfn.IFS(
  OR(AI185="E11", AI185="E15"), "Raw materials",
  OR(AI185="E13", AI185="G13"), "Equipments + Toolings",
  TRUE, RIGHT(C185, 8)
)</f>
        <v>Raw materials</v>
      </c>
      <c r="G185" s="541" t="str" cm="1">
        <f t="array" ref="G185">IF(E185="Import",
  IFERROR(
    _xlfn.IFS(
      VLOOKUP(B185,[1]Material!F$5:U$90000,16,0)="LUC","Lucid",
      VLOOKUP(B185,[1]Material!F$5:U$90000,16,0)="FMC","FORD",
      OR(VLOOKUP(B185,[1]Material!F$5:U$90000,16,0)="PUR",VLOOKUP(B185,[1]Material!F$5:U$90000,16,0)="HLO"),"PURE",
      VLOOKUP(B185,[1]Material!F$5:U$90000,16,0)="AIC","AIC",
      OR(VLOOKUP(B185,[1]Material!F$5:U$90000,16,0)="AGI",VLOOKUP(B185,[1]Material!F$5:U$90000,16,0)="AGIGA"),"AGIGA",
      OR(LEFT(VLOOKUP(B185,[1]Material!F$5:U$90000,16,0),3)="EF-",VLOOKUP(B185,[1]Material!F$5:U$90000,16,0)="EFI"),"EFI",
      AND(ISNUMBER(VLOOKUP(B185,[1]Material!F$5:U$90000,16,0)),VLOOKUP(B185,[1]Material!F$5:U$90000,16,0)&gt;=100,VLOOKUP(B185,[1]Material!F$5:U$90000,16,0)&lt;=999,VLOOKUP(B185,[1]Material!F$5:U$90000,16,0)=INT(VLOOKUP(B185,[1]Material!F$5:U$90000,16,0))),"OEM",
      TRUE,""
    ),
    "không tìm thấy trong file Import"
  ),
  VLOOKUP(F185,'[2]Export shipment'!B:Y,24,0)
)</f>
        <v>EFI</v>
      </c>
      <c r="H185" s="184"/>
      <c r="I185" s="184"/>
      <c r="J185" s="260">
        <f>(V185+X185+AA185)/'Logistics record '!$AD$1</f>
        <v>15.116015418335726</v>
      </c>
      <c r="K185" s="260">
        <f>W185/'Logistics record '!$AD$1</f>
        <v>0</v>
      </c>
      <c r="L185" s="260">
        <f>Y185/'Logistics record '!$AD$1</f>
        <v>0</v>
      </c>
      <c r="M185" s="260">
        <f>AF185/'Logistics record '!$AD$1</f>
        <v>0</v>
      </c>
      <c r="N185" s="260" t="str" cm="1">
        <f t="array" ref="N185">_xlfn.IFS(
    OR(UPPER(S185)="AIR", UPPER(S185)="CPN"), "AIR",
    UPPER(S185)="TC", "LOCAL",
    TRUE, "SEA"
)</f>
        <v>AIR</v>
      </c>
      <c r="O185" s="260">
        <f t="shared" si="16"/>
        <v>15.116015418335726</v>
      </c>
      <c r="P185" s="184" t="s">
        <v>932</v>
      </c>
      <c r="Q185" s="185">
        <v>108305215760</v>
      </c>
      <c r="R185" s="186">
        <v>46176</v>
      </c>
      <c r="S185" s="187" t="s">
        <v>928</v>
      </c>
      <c r="T185" s="188">
        <v>4</v>
      </c>
      <c r="U185" s="188"/>
      <c r="V185" s="189">
        <v>400000</v>
      </c>
      <c r="W185" s="190"/>
      <c r="X185" s="190"/>
      <c r="Y185" s="190"/>
      <c r="Z185" s="189">
        <f t="shared" si="12"/>
        <v>400000</v>
      </c>
      <c r="AA185" s="189">
        <v>0</v>
      </c>
      <c r="AB185" s="189">
        <f t="shared" si="17"/>
        <v>400000</v>
      </c>
      <c r="AC185" s="189"/>
      <c r="AD185" s="190"/>
      <c r="AE185" s="190"/>
      <c r="AF185" s="191">
        <f t="shared" si="13"/>
        <v>0</v>
      </c>
      <c r="AG185" s="190">
        <f t="shared" si="14"/>
        <v>400000</v>
      </c>
      <c r="AH185" s="190"/>
      <c r="AI185" s="192" t="str">
        <f>VLOOKUP(Q185,[3]Sheet1!B$11:G$1489,6,0)</f>
        <v>E11</v>
      </c>
      <c r="GK185" s="194"/>
      <c r="GL185" s="195"/>
      <c r="GM185" s="196"/>
      <c r="GN185" s="197"/>
      <c r="GO185" s="198"/>
      <c r="GP185" s="199"/>
      <c r="GQ185" s="200"/>
      <c r="GR185" s="201"/>
      <c r="GS185" s="60"/>
      <c r="GT185" s="202"/>
      <c r="GU185" s="202"/>
      <c r="GV185" s="202"/>
      <c r="GW185" s="202"/>
      <c r="GX185" s="203"/>
      <c r="HA185" s="194"/>
      <c r="HB185" s="195"/>
      <c r="HC185" s="196"/>
      <c r="HD185" s="197"/>
      <c r="HE185" s="198"/>
      <c r="HF185" s="199"/>
      <c r="HG185" s="200"/>
      <c r="HH185" s="201"/>
      <c r="HI185" s="60"/>
      <c r="HJ185" s="202"/>
      <c r="HK185" s="202"/>
      <c r="HL185" s="202"/>
      <c r="HM185" s="202"/>
      <c r="HN185" s="203"/>
    </row>
    <row r="186" spans="1:222" ht="16.5" customHeight="1">
      <c r="A186" s="181">
        <v>183</v>
      </c>
      <c r="B186" s="182">
        <v>521201430008</v>
      </c>
      <c r="C186" s="598" t="s">
        <v>2430</v>
      </c>
      <c r="D186" s="184" t="s">
        <v>950</v>
      </c>
      <c r="E186" s="184" t="str">
        <f t="shared" si="15"/>
        <v>Import</v>
      </c>
      <c r="F186" s="720" t="str" cm="1">
        <f t="array" ref="F186">_xlfn.IFS(
  OR(AI186="E11", AI186="E15"), "Raw materials",
  OR(AI186="E13", AI186="G13"), "Equipments + Toolings",
  TRUE, RIGHT(C186, 8)
)</f>
        <v>Raw materials</v>
      </c>
      <c r="G186" s="541" t="str" cm="1">
        <f t="array" ref="G186">IF(E186="Import",
  IFERROR(
    _xlfn.IFS(
      VLOOKUP(B186,[1]Material!F$5:U$90000,16,0)="LUC","Lucid",
      VLOOKUP(B186,[1]Material!F$5:U$90000,16,0)="FMC","FORD",
      OR(VLOOKUP(B186,[1]Material!F$5:U$90000,16,0)="PUR",VLOOKUP(B186,[1]Material!F$5:U$90000,16,0)="HLO"),"PURE",
      VLOOKUP(B186,[1]Material!F$5:U$90000,16,0)="AIC","AIC",
      OR(VLOOKUP(B186,[1]Material!F$5:U$90000,16,0)="AGI",VLOOKUP(B186,[1]Material!F$5:U$90000,16,0)="AGIGA"),"AGIGA",
      OR(LEFT(VLOOKUP(B186,[1]Material!F$5:U$90000,16,0),3)="EF-",VLOOKUP(B186,[1]Material!F$5:U$90000,16,0)="EFI"),"EFI",
      AND(ISNUMBER(VLOOKUP(B186,[1]Material!F$5:U$90000,16,0)),VLOOKUP(B186,[1]Material!F$5:U$90000,16,0)&gt;=100,VLOOKUP(B186,[1]Material!F$5:U$90000,16,0)&lt;=999,VLOOKUP(B186,[1]Material!F$5:U$90000,16,0)=INT(VLOOKUP(B186,[1]Material!F$5:U$90000,16,0))),"OEM",
      TRUE,""
    ),
    "không tìm thấy trong file Import"
  ),
  VLOOKUP(F186,'[2]Export shipment'!B:Y,24,0)
)</f>
        <v>FORD</v>
      </c>
      <c r="H186" s="184"/>
      <c r="I186" s="184"/>
      <c r="J186" s="260">
        <f>(V186+X186+AA186)/'Logistics record '!$AD$1</f>
        <v>15.116015418335726</v>
      </c>
      <c r="K186" s="260">
        <f>W186/'Logistics record '!$AD$1</f>
        <v>0</v>
      </c>
      <c r="L186" s="260">
        <f>Y186/'Logistics record '!$AD$1</f>
        <v>0</v>
      </c>
      <c r="M186" s="260">
        <f>AF186/'Logistics record '!$AD$1</f>
        <v>0</v>
      </c>
      <c r="N186" s="260" t="str" cm="1">
        <f t="array" ref="N186">_xlfn.IFS(
    OR(UPPER(S186)="AIR", UPPER(S186)="CPN"), "AIR",
    UPPER(S186)="TC", "LOCAL",
    TRUE, "SEA"
)</f>
        <v>AIR</v>
      </c>
      <c r="O186" s="260">
        <f t="shared" si="16"/>
        <v>15.116015418335726</v>
      </c>
      <c r="P186" s="184" t="s">
        <v>935</v>
      </c>
      <c r="Q186" s="185">
        <v>108305218820</v>
      </c>
      <c r="R186" s="186">
        <v>46176</v>
      </c>
      <c r="S186" s="187" t="s">
        <v>928</v>
      </c>
      <c r="T186" s="188">
        <v>0.5</v>
      </c>
      <c r="U186" s="188"/>
      <c r="V186" s="189">
        <v>400000</v>
      </c>
      <c r="W186" s="190"/>
      <c r="X186" s="190"/>
      <c r="Y186" s="190"/>
      <c r="Z186" s="189">
        <f t="shared" si="12"/>
        <v>400000</v>
      </c>
      <c r="AA186" s="189">
        <v>0</v>
      </c>
      <c r="AB186" s="189">
        <f t="shared" si="17"/>
        <v>400000</v>
      </c>
      <c r="AC186" s="189"/>
      <c r="AD186" s="190"/>
      <c r="AE186" s="190"/>
      <c r="AF186" s="191">
        <f t="shared" si="13"/>
        <v>0</v>
      </c>
      <c r="AG186" s="190">
        <f t="shared" si="14"/>
        <v>400000</v>
      </c>
      <c r="AH186" s="190"/>
      <c r="AI186" s="192" t="str">
        <f>VLOOKUP(Q186,[3]Sheet1!B$11:G$1489,6,0)</f>
        <v>E11</v>
      </c>
      <c r="GK186" s="194"/>
      <c r="GL186" s="195"/>
      <c r="GM186" s="196"/>
      <c r="GN186" s="197"/>
      <c r="GO186" s="198"/>
      <c r="GP186" s="199"/>
      <c r="GQ186" s="200"/>
      <c r="GR186" s="201"/>
      <c r="GS186" s="60"/>
      <c r="GT186" s="202"/>
      <c r="GU186" s="202"/>
      <c r="GV186" s="202"/>
      <c r="GW186" s="202"/>
      <c r="GX186" s="203"/>
      <c r="HA186" s="194"/>
      <c r="HB186" s="195"/>
      <c r="HC186" s="196"/>
      <c r="HD186" s="197"/>
      <c r="HE186" s="198"/>
      <c r="HF186" s="199"/>
      <c r="HG186" s="200"/>
      <c r="HH186" s="201"/>
      <c r="HI186" s="60"/>
      <c r="HJ186" s="202"/>
      <c r="HK186" s="202"/>
      <c r="HL186" s="202"/>
      <c r="HM186" s="202"/>
      <c r="HN186" s="203"/>
    </row>
    <row r="187" spans="1:222" ht="16.5" customHeight="1">
      <c r="A187" s="181">
        <v>184</v>
      </c>
      <c r="B187" s="182">
        <v>527159048238</v>
      </c>
      <c r="C187" s="598" t="s">
        <v>2431</v>
      </c>
      <c r="D187" s="184" t="s">
        <v>968</v>
      </c>
      <c r="E187" s="184" t="str">
        <f t="shared" si="15"/>
        <v>Import</v>
      </c>
      <c r="F187" s="720" t="str" cm="1">
        <f t="array" ref="F187">_xlfn.IFS(
  OR(AI187="E11", AI187="E15"), "Raw materials",
  OR(AI187="E13", AI187="G13"), "Equipments + Toolings",
  TRUE, RIGHT(C187, 8)
)</f>
        <v>Raw materials</v>
      </c>
      <c r="G187" s="541" t="str" cm="1">
        <f t="array" ref="G187">IF(E187="Import",
  IFERROR(
    _xlfn.IFS(
      VLOOKUP(B187,[1]Material!F$5:U$90000,16,0)="LUC","Lucid",
      VLOOKUP(B187,[1]Material!F$5:U$90000,16,0)="FMC","FORD",
      OR(VLOOKUP(B187,[1]Material!F$5:U$90000,16,0)="PUR",VLOOKUP(B187,[1]Material!F$5:U$90000,16,0)="HLO"),"PURE",
      VLOOKUP(B187,[1]Material!F$5:U$90000,16,0)="AIC","AIC",
      OR(VLOOKUP(B187,[1]Material!F$5:U$90000,16,0)="AGI",VLOOKUP(B187,[1]Material!F$5:U$90000,16,0)="AGIGA"),"AGIGA",
      OR(LEFT(VLOOKUP(B187,[1]Material!F$5:U$90000,16,0),3)="EF-",VLOOKUP(B187,[1]Material!F$5:U$90000,16,0)="EFI"),"EFI",
      AND(ISNUMBER(VLOOKUP(B187,[1]Material!F$5:U$90000,16,0)),VLOOKUP(B187,[1]Material!F$5:U$90000,16,0)&gt;=100,VLOOKUP(B187,[1]Material!F$5:U$90000,16,0)&lt;=999,VLOOKUP(B187,[1]Material!F$5:U$90000,16,0)=INT(VLOOKUP(B187,[1]Material!F$5:U$90000,16,0))),"OEM",
      TRUE,""
    ),
    "không tìm thấy trong file Import"
  ),
  VLOOKUP(F187,'[2]Export shipment'!B:Y,24,0)
)</f>
        <v>FORD</v>
      </c>
      <c r="H187" s="184"/>
      <c r="I187" s="184"/>
      <c r="J187" s="260">
        <f>(V187+X187+AA187)/'Logistics record '!$AD$1</f>
        <v>15.116015418335726</v>
      </c>
      <c r="K187" s="260">
        <f>W187/'Logistics record '!$AD$1</f>
        <v>0</v>
      </c>
      <c r="L187" s="260">
        <f>Y187/'Logistics record '!$AD$1</f>
        <v>0</v>
      </c>
      <c r="M187" s="260">
        <f>AF187/'Logistics record '!$AD$1</f>
        <v>0</v>
      </c>
      <c r="N187" s="260" t="str" cm="1">
        <f t="array" ref="N187">_xlfn.IFS(
    OR(UPPER(S187)="AIR", UPPER(S187)="CPN"), "AIR",
    UPPER(S187)="TC", "LOCAL",
    TRUE, "SEA"
)</f>
        <v>AIR</v>
      </c>
      <c r="O187" s="260">
        <f t="shared" si="16"/>
        <v>15.116015418335726</v>
      </c>
      <c r="P187" s="184" t="s">
        <v>935</v>
      </c>
      <c r="Q187" s="185">
        <v>108305248920</v>
      </c>
      <c r="R187" s="186">
        <v>46176</v>
      </c>
      <c r="S187" s="187" t="s">
        <v>928</v>
      </c>
      <c r="T187" s="188">
        <v>2.2000000000000002</v>
      </c>
      <c r="U187" s="188"/>
      <c r="V187" s="189">
        <v>400000</v>
      </c>
      <c r="W187" s="190"/>
      <c r="X187" s="190"/>
      <c r="Y187" s="190"/>
      <c r="Z187" s="189">
        <f t="shared" si="12"/>
        <v>400000</v>
      </c>
      <c r="AA187" s="189">
        <v>0</v>
      </c>
      <c r="AB187" s="189">
        <f t="shared" si="17"/>
        <v>400000</v>
      </c>
      <c r="AC187" s="189"/>
      <c r="AD187" s="190"/>
      <c r="AE187" s="190"/>
      <c r="AF187" s="191">
        <f t="shared" si="13"/>
        <v>0</v>
      </c>
      <c r="AG187" s="190">
        <f t="shared" si="14"/>
        <v>400000</v>
      </c>
      <c r="AH187" s="190"/>
      <c r="AI187" s="192" t="str">
        <f>VLOOKUP(Q187,[3]Sheet1!B$11:G$1489,6,0)</f>
        <v>E11</v>
      </c>
      <c r="GK187" s="194"/>
      <c r="GL187" s="195"/>
      <c r="GM187" s="196"/>
      <c r="GN187" s="197"/>
      <c r="GO187" s="198"/>
      <c r="GP187" s="199"/>
      <c r="GQ187" s="200"/>
      <c r="GR187" s="201"/>
      <c r="GS187" s="60"/>
      <c r="GT187" s="202"/>
      <c r="GU187" s="202"/>
      <c r="GV187" s="202"/>
      <c r="GW187" s="202"/>
      <c r="GX187" s="203"/>
      <c r="HA187" s="194"/>
      <c r="HB187" s="195"/>
      <c r="HC187" s="196"/>
      <c r="HD187" s="197"/>
      <c r="HE187" s="198"/>
      <c r="HF187" s="199"/>
      <c r="HG187" s="200"/>
      <c r="HH187" s="201"/>
      <c r="HI187" s="60"/>
      <c r="HJ187" s="202"/>
      <c r="HK187" s="202"/>
      <c r="HL187" s="202"/>
      <c r="HM187" s="202"/>
      <c r="HN187" s="203"/>
    </row>
    <row r="188" spans="1:222" ht="16.5" customHeight="1">
      <c r="A188" s="181">
        <v>185</v>
      </c>
      <c r="B188" s="182">
        <v>527390485717</v>
      </c>
      <c r="C188" s="598" t="s">
        <v>2432</v>
      </c>
      <c r="D188" s="184" t="s">
        <v>1991</v>
      </c>
      <c r="E188" s="184" t="str">
        <f t="shared" si="15"/>
        <v>Import</v>
      </c>
      <c r="F188" s="720" t="str" cm="1">
        <f t="array" ref="F188">_xlfn.IFS(
  OR(AI188="E11", AI188="E15"), "Raw materials",
  OR(AI188="E13", AI188="G13"), "Equipments + Toolings",
  TRUE, RIGHT(C188, 8)
)</f>
        <v>Raw materials</v>
      </c>
      <c r="G188" s="541" t="str" cm="1">
        <f t="array" ref="G188">IF(E188="Import",
  IFERROR(
    _xlfn.IFS(
      VLOOKUP(B188,[1]Material!F$5:U$90000,16,0)="LUC","Lucid",
      VLOOKUP(B188,[1]Material!F$5:U$90000,16,0)="FMC","FORD",
      OR(VLOOKUP(B188,[1]Material!F$5:U$90000,16,0)="PUR",VLOOKUP(B188,[1]Material!F$5:U$90000,16,0)="HLO"),"PURE",
      VLOOKUP(B188,[1]Material!F$5:U$90000,16,0)="AIC","AIC",
      OR(VLOOKUP(B188,[1]Material!F$5:U$90000,16,0)="AGI",VLOOKUP(B188,[1]Material!F$5:U$90000,16,0)="AGIGA"),"AGIGA",
      OR(LEFT(VLOOKUP(B188,[1]Material!F$5:U$90000,16,0),3)="EF-",VLOOKUP(B188,[1]Material!F$5:U$90000,16,0)="EFI"),"EFI",
      AND(ISNUMBER(VLOOKUP(B188,[1]Material!F$5:U$90000,16,0)),VLOOKUP(B188,[1]Material!F$5:U$90000,16,0)&gt;=100,VLOOKUP(B188,[1]Material!F$5:U$90000,16,0)&lt;=999,VLOOKUP(B188,[1]Material!F$5:U$90000,16,0)=INT(VLOOKUP(B188,[1]Material!F$5:U$90000,16,0))),"OEM",
      TRUE,""
    ),
    "không tìm thấy trong file Import"
  ),
  VLOOKUP(F188,'[2]Export shipment'!B:Y,24,0)
)</f>
        <v>PURE</v>
      </c>
      <c r="H188" s="184"/>
      <c r="I188" s="184"/>
      <c r="J188" s="260">
        <f>(V188+X188+AA188)/'Logistics record '!$AD$1</f>
        <v>15.116015418335726</v>
      </c>
      <c r="K188" s="260">
        <f>W188/'Logistics record '!$AD$1</f>
        <v>0</v>
      </c>
      <c r="L188" s="260">
        <f>Y188/'Logistics record '!$AD$1</f>
        <v>0</v>
      </c>
      <c r="M188" s="260">
        <f>AF188/'Logistics record '!$AD$1</f>
        <v>0</v>
      </c>
      <c r="N188" s="260" t="str" cm="1">
        <f t="array" ref="N188">_xlfn.IFS(
    OR(UPPER(S188)="AIR", UPPER(S188)="CPN"), "AIR",
    UPPER(S188)="TC", "LOCAL",
    TRUE, "SEA"
)</f>
        <v>AIR</v>
      </c>
      <c r="O188" s="260">
        <f t="shared" si="16"/>
        <v>15.116015418335726</v>
      </c>
      <c r="P188" s="184" t="s">
        <v>939</v>
      </c>
      <c r="Q188" s="185">
        <v>108305326140</v>
      </c>
      <c r="R188" s="186">
        <v>46176</v>
      </c>
      <c r="S188" s="187" t="s">
        <v>928</v>
      </c>
      <c r="T188" s="188">
        <v>1.9000000000000001</v>
      </c>
      <c r="U188" s="188"/>
      <c r="V188" s="189">
        <v>400000</v>
      </c>
      <c r="W188" s="190"/>
      <c r="X188" s="190"/>
      <c r="Y188" s="190"/>
      <c r="Z188" s="189">
        <f t="shared" si="12"/>
        <v>400000</v>
      </c>
      <c r="AA188" s="189">
        <v>0</v>
      </c>
      <c r="AB188" s="189">
        <f t="shared" si="17"/>
        <v>400000</v>
      </c>
      <c r="AC188" s="189"/>
      <c r="AD188" s="190"/>
      <c r="AE188" s="190"/>
      <c r="AF188" s="191">
        <f t="shared" si="13"/>
        <v>0</v>
      </c>
      <c r="AG188" s="190">
        <f t="shared" si="14"/>
        <v>400000</v>
      </c>
      <c r="AH188" s="190"/>
      <c r="AI188" s="192" t="str">
        <f>VLOOKUP(Q188,[3]Sheet1!B$11:G$1489,6,0)</f>
        <v>E11</v>
      </c>
      <c r="GK188" s="194"/>
      <c r="GL188" s="195"/>
      <c r="GM188" s="196"/>
      <c r="GN188" s="197"/>
      <c r="GO188" s="198"/>
      <c r="GP188" s="199"/>
      <c r="GQ188" s="200"/>
      <c r="GR188" s="201"/>
      <c r="GS188" s="60"/>
      <c r="GT188" s="202"/>
      <c r="GU188" s="202"/>
      <c r="GV188" s="202"/>
      <c r="GW188" s="202"/>
      <c r="GX188" s="203"/>
      <c r="HA188" s="194"/>
      <c r="HB188" s="195"/>
      <c r="HC188" s="196"/>
      <c r="HD188" s="197"/>
      <c r="HE188" s="198"/>
      <c r="HF188" s="199"/>
      <c r="HG188" s="200"/>
      <c r="HH188" s="201"/>
      <c r="HI188" s="60"/>
      <c r="HJ188" s="202"/>
      <c r="HK188" s="202"/>
      <c r="HL188" s="202"/>
      <c r="HM188" s="202"/>
      <c r="HN188" s="203"/>
    </row>
    <row r="189" spans="1:222" ht="16.5" customHeight="1">
      <c r="A189" s="181">
        <v>186</v>
      </c>
      <c r="B189" s="182">
        <v>527158892192</v>
      </c>
      <c r="C189" s="598" t="s">
        <v>2433</v>
      </c>
      <c r="D189" s="184" t="s">
        <v>968</v>
      </c>
      <c r="E189" s="184" t="str">
        <f t="shared" si="15"/>
        <v>Import</v>
      </c>
      <c r="F189" s="720" t="str" cm="1">
        <f t="array" ref="F189">_xlfn.IFS(
  OR(AI189="E11", AI189="E15"), "Raw materials",
  OR(AI189="E13", AI189="G13"), "Equipments + Toolings",
  TRUE, RIGHT(C189, 8)
)</f>
        <v>Raw materials</v>
      </c>
      <c r="G189" s="541" t="str" cm="1">
        <f t="array" ref="G189">IF(E189="Import",
  IFERROR(
    _xlfn.IFS(
      VLOOKUP(B189,[1]Material!F$5:U$90000,16,0)="LUC","Lucid",
      VLOOKUP(B189,[1]Material!F$5:U$90000,16,0)="FMC","FORD",
      OR(VLOOKUP(B189,[1]Material!F$5:U$90000,16,0)="PUR",VLOOKUP(B189,[1]Material!F$5:U$90000,16,0)="HLO"),"PURE",
      VLOOKUP(B189,[1]Material!F$5:U$90000,16,0)="AIC","AIC",
      OR(VLOOKUP(B189,[1]Material!F$5:U$90000,16,0)="AGI",VLOOKUP(B189,[1]Material!F$5:U$90000,16,0)="AGIGA"),"AGIGA",
      OR(LEFT(VLOOKUP(B189,[1]Material!F$5:U$90000,16,0),3)="EF-",VLOOKUP(B189,[1]Material!F$5:U$90000,16,0)="EFI"),"EFI",
      AND(ISNUMBER(VLOOKUP(B189,[1]Material!F$5:U$90000,16,0)),VLOOKUP(B189,[1]Material!F$5:U$90000,16,0)&gt;=100,VLOOKUP(B189,[1]Material!F$5:U$90000,16,0)&lt;=999,VLOOKUP(B189,[1]Material!F$5:U$90000,16,0)=INT(VLOOKUP(B189,[1]Material!F$5:U$90000,16,0))),"OEM",
      TRUE,""
    ),
    "không tìm thấy trong file Import"
  ),
  VLOOKUP(F189,'[2]Export shipment'!B:Y,24,0)
)</f>
        <v>PURE</v>
      </c>
      <c r="H189" s="184"/>
      <c r="I189" s="184"/>
      <c r="J189" s="260">
        <f>(V189+X189+AA189)/'Logistics record '!$AD$1</f>
        <v>15.116015418335726</v>
      </c>
      <c r="K189" s="260">
        <f>W189/'Logistics record '!$AD$1</f>
        <v>0</v>
      </c>
      <c r="L189" s="260">
        <f>Y189/'Logistics record '!$AD$1</f>
        <v>0</v>
      </c>
      <c r="M189" s="260">
        <f>AF189/'Logistics record '!$AD$1</f>
        <v>0</v>
      </c>
      <c r="N189" s="260" t="str" cm="1">
        <f t="array" ref="N189">_xlfn.IFS(
    OR(UPPER(S189)="AIR", UPPER(S189)="CPN"), "AIR",
    UPPER(S189)="TC", "LOCAL",
    TRUE, "SEA"
)</f>
        <v>AIR</v>
      </c>
      <c r="O189" s="260">
        <f t="shared" si="16"/>
        <v>15.116015418335726</v>
      </c>
      <c r="P189" s="184" t="s">
        <v>935</v>
      </c>
      <c r="Q189" s="185">
        <v>108305332660</v>
      </c>
      <c r="R189" s="186">
        <v>46176</v>
      </c>
      <c r="S189" s="187" t="s">
        <v>928</v>
      </c>
      <c r="T189" s="188">
        <v>1.4</v>
      </c>
      <c r="U189" s="188"/>
      <c r="V189" s="189">
        <v>400000</v>
      </c>
      <c r="W189" s="190"/>
      <c r="X189" s="190"/>
      <c r="Y189" s="190"/>
      <c r="Z189" s="189">
        <f t="shared" si="12"/>
        <v>400000</v>
      </c>
      <c r="AA189" s="189">
        <v>0</v>
      </c>
      <c r="AB189" s="189">
        <f t="shared" si="17"/>
        <v>400000</v>
      </c>
      <c r="AC189" s="189"/>
      <c r="AD189" s="190"/>
      <c r="AE189" s="190"/>
      <c r="AF189" s="191">
        <f t="shared" si="13"/>
        <v>0</v>
      </c>
      <c r="AG189" s="190">
        <f t="shared" si="14"/>
        <v>400000</v>
      </c>
      <c r="AH189" s="190"/>
      <c r="AI189" s="192" t="str">
        <f>VLOOKUP(Q189,[3]Sheet1!B$11:G$1489,6,0)</f>
        <v>E11</v>
      </c>
      <c r="GK189" s="194"/>
      <c r="GL189" s="195"/>
      <c r="GM189" s="196"/>
      <c r="GN189" s="197"/>
      <c r="GO189" s="198"/>
      <c r="GP189" s="199"/>
      <c r="GQ189" s="200"/>
      <c r="GR189" s="201"/>
      <c r="GS189" s="60"/>
      <c r="GT189" s="202"/>
      <c r="GU189" s="202"/>
      <c r="GV189" s="202"/>
      <c r="GW189" s="202"/>
      <c r="GX189" s="203"/>
      <c r="HA189" s="194"/>
      <c r="HB189" s="195"/>
      <c r="HC189" s="196"/>
      <c r="HD189" s="197"/>
      <c r="HE189" s="198"/>
      <c r="HF189" s="199"/>
      <c r="HG189" s="200"/>
      <c r="HH189" s="201"/>
      <c r="HI189" s="60"/>
      <c r="HJ189" s="202"/>
      <c r="HK189" s="202"/>
      <c r="HL189" s="202"/>
      <c r="HM189" s="202"/>
      <c r="HN189" s="203"/>
    </row>
    <row r="190" spans="1:222" ht="16.5" customHeight="1">
      <c r="A190" s="181">
        <v>187</v>
      </c>
      <c r="B190" s="182">
        <v>4729990683</v>
      </c>
      <c r="C190" s="183" t="s">
        <v>2434</v>
      </c>
      <c r="D190" s="184" t="s">
        <v>2435</v>
      </c>
      <c r="E190" s="184" t="str">
        <f t="shared" si="15"/>
        <v>Import</v>
      </c>
      <c r="F190" s="720" t="str" cm="1">
        <f t="array" ref="F190">_xlfn.IFS(
  OR(AI190="E11", AI190="E15"), "Raw materials",
  OR(AI190="E13", AI190="G13"), "Equipments + Toolings",
  TRUE, RIGHT(C190, 8)
)</f>
        <v>Raw materials</v>
      </c>
      <c r="G190" s="541" t="str" cm="1">
        <f t="array" ref="G190">IF(E190="Import",
  IFERROR(
    _xlfn.IFS(
      VLOOKUP(B190,[1]Material!F$5:U$90000,16,0)="LUC","Lucid",
      VLOOKUP(B190,[1]Material!F$5:U$90000,16,0)="FMC","FORD",
      OR(VLOOKUP(B190,[1]Material!F$5:U$90000,16,0)="PUR",VLOOKUP(B190,[1]Material!F$5:U$90000,16,0)="HLO"),"PURE",
      VLOOKUP(B190,[1]Material!F$5:U$90000,16,0)="AIC","AIC",
      OR(VLOOKUP(B190,[1]Material!F$5:U$90000,16,0)="AGI",VLOOKUP(B190,[1]Material!F$5:U$90000,16,0)="AGIGA"),"AGIGA",
      OR(LEFT(VLOOKUP(B190,[1]Material!F$5:U$90000,16,0),3)="EF-",VLOOKUP(B190,[1]Material!F$5:U$90000,16,0)="EFI"),"EFI",
      AND(ISNUMBER(VLOOKUP(B190,[1]Material!F$5:U$90000,16,0)),VLOOKUP(B190,[1]Material!F$5:U$90000,16,0)&gt;=100,VLOOKUP(B190,[1]Material!F$5:U$90000,16,0)&lt;=999,VLOOKUP(B190,[1]Material!F$5:U$90000,16,0)=INT(VLOOKUP(B190,[1]Material!F$5:U$90000,16,0))),"OEM",
      TRUE,""
    ),
    "không tìm thấy trong file Import"
  ),
  VLOOKUP(F190,'[2]Export shipment'!B:Y,24,0)
)</f>
        <v>FORD</v>
      </c>
      <c r="H190" s="184"/>
      <c r="I190" s="184"/>
      <c r="J190" s="260">
        <f>(V190+X190+AA190)/'Logistics record '!$AD$1</f>
        <v>15.116015418335726</v>
      </c>
      <c r="K190" s="260">
        <f>W190/'Logistics record '!$AD$1</f>
        <v>0</v>
      </c>
      <c r="L190" s="260">
        <f>Y190/'Logistics record '!$AD$1</f>
        <v>0</v>
      </c>
      <c r="M190" s="260">
        <f>AF190/'Logistics record '!$AD$1</f>
        <v>0</v>
      </c>
      <c r="N190" s="260" t="str" cm="1">
        <f t="array" ref="N190">_xlfn.IFS(
    OR(UPPER(S190)="AIR", UPPER(S190)="CPN"), "AIR",
    UPPER(S190)="TC", "LOCAL",
    TRUE, "SEA"
)</f>
        <v>AIR</v>
      </c>
      <c r="O190" s="260">
        <f t="shared" si="16"/>
        <v>15.116015418335726</v>
      </c>
      <c r="P190" s="184" t="s">
        <v>927</v>
      </c>
      <c r="Q190" s="185">
        <v>108305384830</v>
      </c>
      <c r="R190" s="186">
        <v>46176</v>
      </c>
      <c r="S190" s="187" t="s">
        <v>928</v>
      </c>
      <c r="T190" s="188">
        <v>8.9</v>
      </c>
      <c r="U190" s="188"/>
      <c r="V190" s="189">
        <v>400000</v>
      </c>
      <c r="W190" s="190"/>
      <c r="X190" s="190"/>
      <c r="Y190" s="190"/>
      <c r="Z190" s="189">
        <f t="shared" si="12"/>
        <v>400000</v>
      </c>
      <c r="AA190" s="189">
        <v>0</v>
      </c>
      <c r="AB190" s="189">
        <f t="shared" si="17"/>
        <v>400000</v>
      </c>
      <c r="AC190" s="189"/>
      <c r="AD190" s="190"/>
      <c r="AE190" s="190"/>
      <c r="AF190" s="191">
        <f t="shared" si="13"/>
        <v>0</v>
      </c>
      <c r="AG190" s="190">
        <f t="shared" si="14"/>
        <v>400000</v>
      </c>
      <c r="AH190" s="190"/>
      <c r="AI190" s="192" t="str">
        <f>VLOOKUP(Q190,[3]Sheet1!B$11:G$1489,6,0)</f>
        <v>E11</v>
      </c>
      <c r="GK190" s="194"/>
      <c r="GL190" s="195"/>
      <c r="GM190" s="196"/>
      <c r="GN190" s="197"/>
      <c r="GO190" s="198"/>
      <c r="GP190" s="199"/>
      <c r="GQ190" s="200"/>
      <c r="GR190" s="201"/>
      <c r="GS190" s="60"/>
      <c r="GT190" s="202"/>
      <c r="GU190" s="202"/>
      <c r="GV190" s="202"/>
      <c r="GW190" s="202"/>
      <c r="GX190" s="203"/>
      <c r="HA190" s="194"/>
      <c r="HB190" s="195"/>
      <c r="HC190" s="196"/>
      <c r="HD190" s="197"/>
      <c r="HE190" s="198"/>
      <c r="HF190" s="199"/>
      <c r="HG190" s="200"/>
      <c r="HH190" s="201"/>
      <c r="HI190" s="60"/>
      <c r="HJ190" s="202"/>
      <c r="HK190" s="202"/>
      <c r="HL190" s="202"/>
      <c r="HM190" s="202"/>
      <c r="HN190" s="203"/>
    </row>
    <row r="191" spans="1:222" ht="16.5" customHeight="1">
      <c r="A191" s="181">
        <v>188</v>
      </c>
      <c r="B191" s="182">
        <v>517485671719</v>
      </c>
      <c r="C191" s="598" t="s">
        <v>2436</v>
      </c>
      <c r="D191" s="184" t="s">
        <v>381</v>
      </c>
      <c r="E191" s="184" t="str">
        <f t="shared" si="15"/>
        <v>Import</v>
      </c>
      <c r="F191" s="720" t="str" cm="1">
        <f t="array" ref="F191">_xlfn.IFS(
  OR(AI191="E11", AI191="E15"), "Raw materials",
  OR(AI191="E13", AI191="G13"), "Equipments + Toolings",
  TRUE, RIGHT(C191, 8)
)</f>
        <v>Raw materials</v>
      </c>
      <c r="G191" s="541" t="str" cm="1">
        <f t="array" ref="G191">IF(E191="Import",
  IFERROR(
    _xlfn.IFS(
      VLOOKUP(B191,[1]Material!F$5:U$90000,16,0)="LUC","Lucid",
      VLOOKUP(B191,[1]Material!F$5:U$90000,16,0)="FMC","FORD",
      OR(VLOOKUP(B191,[1]Material!F$5:U$90000,16,0)="PUR",VLOOKUP(B191,[1]Material!F$5:U$90000,16,0)="HLO"),"PURE",
      VLOOKUP(B191,[1]Material!F$5:U$90000,16,0)="AIC","AIC",
      OR(VLOOKUP(B191,[1]Material!F$5:U$90000,16,0)="AGI",VLOOKUP(B191,[1]Material!F$5:U$90000,16,0)="AGIGA"),"AGIGA",
      OR(LEFT(VLOOKUP(B191,[1]Material!F$5:U$90000,16,0),3)="EF-",VLOOKUP(B191,[1]Material!F$5:U$90000,16,0)="EFI"),"EFI",
      AND(ISNUMBER(VLOOKUP(B191,[1]Material!F$5:U$90000,16,0)),VLOOKUP(B191,[1]Material!F$5:U$90000,16,0)&gt;=100,VLOOKUP(B191,[1]Material!F$5:U$90000,16,0)&lt;=999,VLOOKUP(B191,[1]Material!F$5:U$90000,16,0)=INT(VLOOKUP(B191,[1]Material!F$5:U$90000,16,0))),"OEM",
      TRUE,""
    ),
    "không tìm thấy trong file Import"
  ),
  VLOOKUP(F191,'[2]Export shipment'!B:Y,24,0)
)</f>
        <v>PURE</v>
      </c>
      <c r="H191" s="184"/>
      <c r="I191" s="184"/>
      <c r="J191" s="260">
        <f>(V191+X191+AA191)/'Logistics record '!$AD$1</f>
        <v>15.116015418335726</v>
      </c>
      <c r="K191" s="260">
        <f>W191/'Logistics record '!$AD$1</f>
        <v>0</v>
      </c>
      <c r="L191" s="260">
        <f>Y191/'Logistics record '!$AD$1</f>
        <v>0</v>
      </c>
      <c r="M191" s="260">
        <f>AF191/'Logistics record '!$AD$1</f>
        <v>0</v>
      </c>
      <c r="N191" s="260" t="str" cm="1">
        <f t="array" ref="N191">_xlfn.IFS(
    OR(UPPER(S191)="AIR", UPPER(S191)="CPN"), "AIR",
    UPPER(S191)="TC", "LOCAL",
    TRUE, "SEA"
)</f>
        <v>AIR</v>
      </c>
      <c r="O191" s="260">
        <f t="shared" si="16"/>
        <v>15.116015418335726</v>
      </c>
      <c r="P191" s="184" t="s">
        <v>927</v>
      </c>
      <c r="Q191" s="185">
        <v>108305455050</v>
      </c>
      <c r="R191" s="186">
        <v>46176</v>
      </c>
      <c r="S191" s="187" t="s">
        <v>928</v>
      </c>
      <c r="T191" s="188">
        <v>48.8</v>
      </c>
      <c r="U191" s="188"/>
      <c r="V191" s="189">
        <v>400000</v>
      </c>
      <c r="W191" s="190"/>
      <c r="X191" s="190"/>
      <c r="Y191" s="190"/>
      <c r="Z191" s="189">
        <f t="shared" si="12"/>
        <v>400000</v>
      </c>
      <c r="AA191" s="189">
        <v>0</v>
      </c>
      <c r="AB191" s="189">
        <f t="shared" si="17"/>
        <v>400000</v>
      </c>
      <c r="AC191" s="189"/>
      <c r="AD191" s="190"/>
      <c r="AE191" s="190"/>
      <c r="AF191" s="191">
        <f t="shared" si="13"/>
        <v>0</v>
      </c>
      <c r="AG191" s="190">
        <f t="shared" si="14"/>
        <v>400000</v>
      </c>
      <c r="AH191" s="190"/>
      <c r="AI191" s="192" t="str">
        <f>VLOOKUP(Q191,[3]Sheet1!B$11:G$1489,6,0)</f>
        <v>E11</v>
      </c>
      <c r="GK191" s="194"/>
      <c r="GL191" s="195"/>
      <c r="GM191" s="196"/>
      <c r="GN191" s="197"/>
      <c r="GO191" s="198"/>
      <c r="GP191" s="199"/>
      <c r="GQ191" s="200"/>
      <c r="GR191" s="201"/>
      <c r="GS191" s="60"/>
      <c r="GT191" s="202"/>
      <c r="GU191" s="202"/>
      <c r="GV191" s="202"/>
      <c r="GW191" s="202"/>
      <c r="GX191" s="203"/>
      <c r="HA191" s="194"/>
      <c r="HB191" s="195"/>
      <c r="HC191" s="196"/>
      <c r="HD191" s="197"/>
      <c r="HE191" s="198"/>
      <c r="HF191" s="199"/>
      <c r="HG191" s="200"/>
      <c r="HH191" s="201"/>
      <c r="HI191" s="60"/>
      <c r="HJ191" s="202"/>
      <c r="HK191" s="202"/>
      <c r="HL191" s="202"/>
      <c r="HM191" s="202"/>
      <c r="HN191" s="203"/>
    </row>
    <row r="192" spans="1:222" ht="16.5" customHeight="1">
      <c r="A192" s="181">
        <v>189</v>
      </c>
      <c r="B192" s="182">
        <v>381669260252</v>
      </c>
      <c r="C192" s="598" t="s">
        <v>2437</v>
      </c>
      <c r="D192" s="184" t="s">
        <v>2438</v>
      </c>
      <c r="E192" s="184" t="str">
        <f t="shared" si="15"/>
        <v>Import</v>
      </c>
      <c r="F192" s="720" t="str" cm="1">
        <f t="array" ref="F192">_xlfn.IFS(
  OR(AI192="E11", AI192="E15"), "Raw materials",
  OR(AI192="E13", AI192="G13"), "Equipments + Toolings",
  TRUE, RIGHT(C192, 8)
)</f>
        <v>Raw materials</v>
      </c>
      <c r="G192" s="541" t="str" cm="1">
        <f t="array" ref="G192">IF(E192="Import",
  IFERROR(
    _xlfn.IFS(
      VLOOKUP(B192,[1]Material!F$5:U$90000,16,0)="LUC","Lucid",
      VLOOKUP(B192,[1]Material!F$5:U$90000,16,0)="FMC","FORD",
      OR(VLOOKUP(B192,[1]Material!F$5:U$90000,16,0)="PUR",VLOOKUP(B192,[1]Material!F$5:U$90000,16,0)="HLO"),"PURE",
      VLOOKUP(B192,[1]Material!F$5:U$90000,16,0)="AIC","AIC",
      OR(VLOOKUP(B192,[1]Material!F$5:U$90000,16,0)="AGI",VLOOKUP(B192,[1]Material!F$5:U$90000,16,0)="AGIGA"),"AGIGA",
      OR(LEFT(VLOOKUP(B192,[1]Material!F$5:U$90000,16,0),3)="EF-",VLOOKUP(B192,[1]Material!F$5:U$90000,16,0)="EFI"),"EFI",
      AND(ISNUMBER(VLOOKUP(B192,[1]Material!F$5:U$90000,16,0)),VLOOKUP(B192,[1]Material!F$5:U$90000,16,0)&gt;=100,VLOOKUP(B192,[1]Material!F$5:U$90000,16,0)&lt;=999,VLOOKUP(B192,[1]Material!F$5:U$90000,16,0)=INT(VLOOKUP(B192,[1]Material!F$5:U$90000,16,0))),"OEM",
      TRUE,""
    ),
    "không tìm thấy trong file Import"
  ),
  VLOOKUP(F192,'[2]Export shipment'!B:Y,24,0)
)</f>
        <v>PURE</v>
      </c>
      <c r="H192" s="184"/>
      <c r="I192" s="184"/>
      <c r="J192" s="260">
        <f>(V192+X192+AA192)/'Logistics record '!$AD$1</f>
        <v>15.116015418335726</v>
      </c>
      <c r="K192" s="260">
        <f>W192/'Logistics record '!$AD$1</f>
        <v>0</v>
      </c>
      <c r="L192" s="260">
        <f>Y192/'Logistics record '!$AD$1</f>
        <v>0</v>
      </c>
      <c r="M192" s="260">
        <f>AF192/'Logistics record '!$AD$1</f>
        <v>0</v>
      </c>
      <c r="N192" s="260" t="str" cm="1">
        <f t="array" ref="N192">_xlfn.IFS(
    OR(UPPER(S192)="AIR", UPPER(S192)="CPN"), "AIR",
    UPPER(S192)="TC", "LOCAL",
    TRUE, "SEA"
)</f>
        <v>AIR</v>
      </c>
      <c r="O192" s="260">
        <f t="shared" si="16"/>
        <v>15.116015418335726</v>
      </c>
      <c r="P192" s="184" t="s">
        <v>931</v>
      </c>
      <c r="Q192" s="185">
        <v>108305625040</v>
      </c>
      <c r="R192" s="186">
        <v>46176</v>
      </c>
      <c r="S192" s="187" t="s">
        <v>928</v>
      </c>
      <c r="T192" s="188">
        <v>0.4</v>
      </c>
      <c r="U192" s="188"/>
      <c r="V192" s="189">
        <v>400000</v>
      </c>
      <c r="W192" s="190"/>
      <c r="X192" s="190"/>
      <c r="Y192" s="190"/>
      <c r="Z192" s="189">
        <f t="shared" si="12"/>
        <v>400000</v>
      </c>
      <c r="AA192" s="189">
        <v>0</v>
      </c>
      <c r="AB192" s="189">
        <f t="shared" si="17"/>
        <v>400000</v>
      </c>
      <c r="AC192" s="189"/>
      <c r="AD192" s="190"/>
      <c r="AE192" s="190"/>
      <c r="AF192" s="191">
        <f t="shared" si="13"/>
        <v>0</v>
      </c>
      <c r="AG192" s="190">
        <f t="shared" si="14"/>
        <v>400000</v>
      </c>
      <c r="AH192" s="190"/>
      <c r="AI192" s="192" t="str">
        <f>VLOOKUP(Q192,[3]Sheet1!B$11:G$1489,6,0)</f>
        <v>E11</v>
      </c>
      <c r="GK192" s="194"/>
      <c r="GL192" s="195"/>
      <c r="GM192" s="196"/>
      <c r="GN192" s="197"/>
      <c r="GO192" s="198"/>
      <c r="GP192" s="199"/>
      <c r="GQ192" s="200"/>
      <c r="GR192" s="201"/>
      <c r="GS192" s="60"/>
      <c r="GT192" s="202"/>
      <c r="GU192" s="202"/>
      <c r="GV192" s="202"/>
      <c r="GW192" s="202"/>
      <c r="GX192" s="203"/>
      <c r="HA192" s="194"/>
      <c r="HB192" s="195"/>
      <c r="HC192" s="196"/>
      <c r="HD192" s="197"/>
      <c r="HE192" s="198"/>
      <c r="HF192" s="199"/>
      <c r="HG192" s="200"/>
      <c r="HH192" s="201"/>
      <c r="HI192" s="60"/>
      <c r="HJ192" s="202"/>
      <c r="HK192" s="202"/>
      <c r="HL192" s="202"/>
      <c r="HM192" s="202"/>
      <c r="HN192" s="203"/>
    </row>
    <row r="193" spans="1:222" ht="16.5" customHeight="1">
      <c r="A193" s="181">
        <v>190</v>
      </c>
      <c r="B193" s="182">
        <v>527390481744</v>
      </c>
      <c r="C193" s="598" t="s">
        <v>2439</v>
      </c>
      <c r="D193" s="184" t="s">
        <v>1994</v>
      </c>
      <c r="E193" s="184" t="str">
        <f t="shared" si="15"/>
        <v>Import</v>
      </c>
      <c r="F193" s="720" t="str" cm="1">
        <f t="array" ref="F193">_xlfn.IFS(
  OR(AI193="E11", AI193="E15"), "Raw materials",
  OR(AI193="E13", AI193="G13"), "Equipments + Toolings",
  TRUE, RIGHT(C193, 8)
)</f>
        <v>Raw materials</v>
      </c>
      <c r="G193" s="541" t="str" cm="1">
        <f t="array" ref="G193">IF(E193="Import",
  IFERROR(
    _xlfn.IFS(
      VLOOKUP(B193,[1]Material!F$5:U$90000,16,0)="LUC","Lucid",
      VLOOKUP(B193,[1]Material!F$5:U$90000,16,0)="FMC","FORD",
      OR(VLOOKUP(B193,[1]Material!F$5:U$90000,16,0)="PUR",VLOOKUP(B193,[1]Material!F$5:U$90000,16,0)="HLO"),"PURE",
      VLOOKUP(B193,[1]Material!F$5:U$90000,16,0)="AIC","AIC",
      OR(VLOOKUP(B193,[1]Material!F$5:U$90000,16,0)="AGI",VLOOKUP(B193,[1]Material!F$5:U$90000,16,0)="AGIGA"),"AGIGA",
      OR(LEFT(VLOOKUP(B193,[1]Material!F$5:U$90000,16,0),3)="EF-",VLOOKUP(B193,[1]Material!F$5:U$90000,16,0)="EFI"),"EFI",
      AND(ISNUMBER(VLOOKUP(B193,[1]Material!F$5:U$90000,16,0)),VLOOKUP(B193,[1]Material!F$5:U$90000,16,0)&gt;=100,VLOOKUP(B193,[1]Material!F$5:U$90000,16,0)&lt;=999,VLOOKUP(B193,[1]Material!F$5:U$90000,16,0)=INT(VLOOKUP(B193,[1]Material!F$5:U$90000,16,0))),"OEM",
      TRUE,""
    ),
    "không tìm thấy trong file Import"
  ),
  VLOOKUP(F193,'[2]Export shipment'!B:Y,24,0)
)</f>
        <v>PURE</v>
      </c>
      <c r="H193" s="184"/>
      <c r="I193" s="184"/>
      <c r="J193" s="260">
        <f>(V193+X193+AA193)/'Logistics record '!$AD$1</f>
        <v>15.116015418335726</v>
      </c>
      <c r="K193" s="260">
        <f>W193/'Logistics record '!$AD$1</f>
        <v>0</v>
      </c>
      <c r="L193" s="260">
        <f>Y193/'Logistics record '!$AD$1</f>
        <v>0</v>
      </c>
      <c r="M193" s="260">
        <f>AF193/'Logistics record '!$AD$1</f>
        <v>0</v>
      </c>
      <c r="N193" s="260" t="str" cm="1">
        <f t="array" ref="N193">_xlfn.IFS(
    OR(UPPER(S193)="AIR", UPPER(S193)="CPN"), "AIR",
    UPPER(S193)="TC", "LOCAL",
    TRUE, "SEA"
)</f>
        <v>AIR</v>
      </c>
      <c r="O193" s="260">
        <f t="shared" si="16"/>
        <v>15.116015418335726</v>
      </c>
      <c r="P193" s="184" t="s">
        <v>939</v>
      </c>
      <c r="Q193" s="185">
        <v>108305705100</v>
      </c>
      <c r="R193" s="186">
        <v>46176</v>
      </c>
      <c r="S193" s="187" t="s">
        <v>928</v>
      </c>
      <c r="T193" s="188">
        <v>52.4</v>
      </c>
      <c r="U193" s="188"/>
      <c r="V193" s="189">
        <v>400000</v>
      </c>
      <c r="W193" s="190"/>
      <c r="X193" s="190"/>
      <c r="Y193" s="190"/>
      <c r="Z193" s="189">
        <f t="shared" si="12"/>
        <v>400000</v>
      </c>
      <c r="AA193" s="189">
        <v>0</v>
      </c>
      <c r="AB193" s="189">
        <f t="shared" si="17"/>
        <v>400000</v>
      </c>
      <c r="AC193" s="189"/>
      <c r="AD193" s="190"/>
      <c r="AE193" s="190"/>
      <c r="AF193" s="191">
        <f t="shared" si="13"/>
        <v>0</v>
      </c>
      <c r="AG193" s="190">
        <f t="shared" si="14"/>
        <v>400000</v>
      </c>
      <c r="AH193" s="190"/>
      <c r="AI193" s="192" t="str">
        <f>VLOOKUP(Q193,[3]Sheet1!B$11:G$1489,6,0)</f>
        <v>E11</v>
      </c>
      <c r="GK193" s="194"/>
      <c r="GL193" s="195"/>
      <c r="GM193" s="196"/>
      <c r="GN193" s="197"/>
      <c r="GO193" s="198"/>
      <c r="GP193" s="199"/>
      <c r="GQ193" s="200"/>
      <c r="GR193" s="201"/>
      <c r="GS193" s="60"/>
      <c r="GT193" s="202"/>
      <c r="GU193" s="202"/>
      <c r="GV193" s="202"/>
      <c r="GW193" s="202"/>
      <c r="GX193" s="203"/>
      <c r="HA193" s="194"/>
      <c r="HB193" s="195"/>
      <c r="HC193" s="196"/>
      <c r="HD193" s="197"/>
      <c r="HE193" s="198"/>
      <c r="HF193" s="199"/>
      <c r="HG193" s="200"/>
      <c r="HH193" s="201"/>
      <c r="HI193" s="60"/>
      <c r="HJ193" s="202"/>
      <c r="HK193" s="202"/>
      <c r="HL193" s="202"/>
      <c r="HM193" s="202"/>
      <c r="HN193" s="203"/>
    </row>
    <row r="194" spans="1:222" ht="16.5" customHeight="1">
      <c r="A194" s="181">
        <v>191</v>
      </c>
      <c r="B194" s="182">
        <v>483570646782</v>
      </c>
      <c r="C194" s="598" t="s">
        <v>2440</v>
      </c>
      <c r="D194" s="184" t="s">
        <v>110</v>
      </c>
      <c r="E194" s="184" t="str">
        <f t="shared" si="15"/>
        <v>Import</v>
      </c>
      <c r="F194" s="720" t="str" cm="1">
        <f t="array" ref="F194">_xlfn.IFS(
  OR(AI194="E11", AI194="E15"), "Raw materials",
  OR(AI194="E13", AI194="G13"), "Equipments + Toolings",
  TRUE, RIGHT(C194, 8)
)</f>
        <v>Raw materials</v>
      </c>
      <c r="G194" s="541" t="str" cm="1">
        <f t="array" ref="G194">IF(E194="Import",
  IFERROR(
    _xlfn.IFS(
      VLOOKUP(B194,[1]Material!F$5:U$90000,16,0)="LUC","Lucid",
      VLOOKUP(B194,[1]Material!F$5:U$90000,16,0)="FMC","FORD",
      OR(VLOOKUP(B194,[1]Material!F$5:U$90000,16,0)="PUR",VLOOKUP(B194,[1]Material!F$5:U$90000,16,0)="HLO"),"PURE",
      VLOOKUP(B194,[1]Material!F$5:U$90000,16,0)="AIC","AIC",
      OR(VLOOKUP(B194,[1]Material!F$5:U$90000,16,0)="AGI",VLOOKUP(B194,[1]Material!F$5:U$90000,16,0)="AGIGA"),"AGIGA",
      OR(LEFT(VLOOKUP(B194,[1]Material!F$5:U$90000,16,0),3)="EF-",VLOOKUP(B194,[1]Material!F$5:U$90000,16,0)="EFI"),"EFI",
      AND(ISNUMBER(VLOOKUP(B194,[1]Material!F$5:U$90000,16,0)),VLOOKUP(B194,[1]Material!F$5:U$90000,16,0)&gt;=100,VLOOKUP(B194,[1]Material!F$5:U$90000,16,0)&lt;=999,VLOOKUP(B194,[1]Material!F$5:U$90000,16,0)=INT(VLOOKUP(B194,[1]Material!F$5:U$90000,16,0))),"OEM",
      TRUE,""
    ),
    "không tìm thấy trong file Import"
  ),
  VLOOKUP(F194,'[2]Export shipment'!B:Y,24,0)
)</f>
        <v>FORD</v>
      </c>
      <c r="H194" s="184"/>
      <c r="I194" s="184"/>
      <c r="J194" s="260">
        <f>(V194+X194+AA194)/'Logistics record '!$AD$1</f>
        <v>15.116015418335726</v>
      </c>
      <c r="K194" s="260">
        <f>W194/'Logistics record '!$AD$1</f>
        <v>0</v>
      </c>
      <c r="L194" s="260">
        <f>Y194/'Logistics record '!$AD$1</f>
        <v>0</v>
      </c>
      <c r="M194" s="260">
        <f>AF194/'Logistics record '!$AD$1</f>
        <v>0</v>
      </c>
      <c r="N194" s="260" t="str" cm="1">
        <f t="array" ref="N194">_xlfn.IFS(
    OR(UPPER(S194)="AIR", UPPER(S194)="CPN"), "AIR",
    UPPER(S194)="TC", "LOCAL",
    TRUE, "SEA"
)</f>
        <v>AIR</v>
      </c>
      <c r="O194" s="260">
        <f t="shared" si="16"/>
        <v>15.116015418335726</v>
      </c>
      <c r="P194" s="184" t="s">
        <v>935</v>
      </c>
      <c r="Q194" s="185">
        <v>108305725620</v>
      </c>
      <c r="R194" s="186">
        <v>46176</v>
      </c>
      <c r="S194" s="187" t="s">
        <v>928</v>
      </c>
      <c r="T194" s="188">
        <v>13.3</v>
      </c>
      <c r="U194" s="188"/>
      <c r="V194" s="189">
        <v>400000</v>
      </c>
      <c r="W194" s="190"/>
      <c r="X194" s="190"/>
      <c r="Y194" s="190"/>
      <c r="Z194" s="189">
        <f t="shared" si="12"/>
        <v>400000</v>
      </c>
      <c r="AA194" s="189">
        <v>0</v>
      </c>
      <c r="AB194" s="189">
        <f t="shared" si="17"/>
        <v>400000</v>
      </c>
      <c r="AC194" s="189"/>
      <c r="AD194" s="190"/>
      <c r="AE194" s="190"/>
      <c r="AF194" s="191">
        <f t="shared" si="13"/>
        <v>0</v>
      </c>
      <c r="AG194" s="190">
        <f t="shared" si="14"/>
        <v>400000</v>
      </c>
      <c r="AH194" s="190"/>
      <c r="AI194" s="192" t="str">
        <f>VLOOKUP(Q194,[3]Sheet1!B$11:G$1489,6,0)</f>
        <v>E11</v>
      </c>
      <c r="GK194" s="194"/>
      <c r="GL194" s="195"/>
      <c r="GM194" s="196"/>
      <c r="GN194" s="197"/>
      <c r="GO194" s="198"/>
      <c r="GP194" s="199"/>
      <c r="GQ194" s="200"/>
      <c r="GR194" s="201"/>
      <c r="GS194" s="60"/>
      <c r="GT194" s="202"/>
      <c r="GU194" s="202"/>
      <c r="GV194" s="202"/>
      <c r="GW194" s="202"/>
      <c r="GX194" s="203"/>
      <c r="HA194" s="194"/>
      <c r="HB194" s="195"/>
      <c r="HC194" s="196"/>
      <c r="HD194" s="197"/>
      <c r="HE194" s="198"/>
      <c r="HF194" s="199"/>
      <c r="HG194" s="200"/>
      <c r="HH194" s="201"/>
      <c r="HI194" s="60"/>
      <c r="HJ194" s="202"/>
      <c r="HK194" s="202"/>
      <c r="HL194" s="202"/>
      <c r="HM194" s="202"/>
      <c r="HN194" s="203"/>
    </row>
    <row r="195" spans="1:222" ht="16.5" customHeight="1">
      <c r="A195" s="181">
        <v>192</v>
      </c>
      <c r="B195" s="182">
        <v>872127304390</v>
      </c>
      <c r="C195" s="183" t="s">
        <v>2441</v>
      </c>
      <c r="D195" s="184" t="s">
        <v>981</v>
      </c>
      <c r="E195" s="184" t="str">
        <f t="shared" si="15"/>
        <v>Import</v>
      </c>
      <c r="F195" s="720" t="str" cm="1">
        <f t="array" ref="F195">_xlfn.IFS(
  OR(AI195="E11", AI195="E15"), "Raw materials",
  OR(AI195="E13", AI195="G13"), "Equipments + Toolings",
  TRUE, RIGHT(C195, 8)
)</f>
        <v>Raw materials</v>
      </c>
      <c r="G195" s="541" t="str" cm="1">
        <f t="array" ref="G195">IF(E195="Import",
  IFERROR(
    _xlfn.IFS(
      VLOOKUP(B195,[1]Material!F$5:U$90000,16,0)="LUC","Lucid",
      VLOOKUP(B195,[1]Material!F$5:U$90000,16,0)="FMC","FORD",
      OR(VLOOKUP(B195,[1]Material!F$5:U$90000,16,0)="PUR",VLOOKUP(B195,[1]Material!F$5:U$90000,16,0)="HLO"),"PURE",
      VLOOKUP(B195,[1]Material!F$5:U$90000,16,0)="AIC","AIC",
      OR(VLOOKUP(B195,[1]Material!F$5:U$90000,16,0)="AGI",VLOOKUP(B195,[1]Material!F$5:U$90000,16,0)="AGIGA"),"AGIGA",
      OR(LEFT(VLOOKUP(B195,[1]Material!F$5:U$90000,16,0),3)="EF-",VLOOKUP(B195,[1]Material!F$5:U$90000,16,0)="EFI"),"EFI",
      AND(ISNUMBER(VLOOKUP(B195,[1]Material!F$5:U$90000,16,0)),VLOOKUP(B195,[1]Material!F$5:U$90000,16,0)&gt;=100,VLOOKUP(B195,[1]Material!F$5:U$90000,16,0)&lt;=999,VLOOKUP(B195,[1]Material!F$5:U$90000,16,0)=INT(VLOOKUP(B195,[1]Material!F$5:U$90000,16,0))),"OEM",
      TRUE,""
    ),
    "không tìm thấy trong file Import"
  ),
  VLOOKUP(F195,'[2]Export shipment'!B:Y,24,0)
)</f>
        <v>EFI</v>
      </c>
      <c r="H195" s="184"/>
      <c r="I195" s="184"/>
      <c r="J195" s="260">
        <f>(V195+X195+AA195)/'Logistics record '!$AD$1</f>
        <v>15.116015418335726</v>
      </c>
      <c r="K195" s="260">
        <f>W195/'Logistics record '!$AD$1</f>
        <v>0</v>
      </c>
      <c r="L195" s="260">
        <f>Y195/'Logistics record '!$AD$1</f>
        <v>0</v>
      </c>
      <c r="M195" s="260">
        <f>AF195/'Logistics record '!$AD$1</f>
        <v>0</v>
      </c>
      <c r="N195" s="260" t="str" cm="1">
        <f t="array" ref="N195">_xlfn.IFS(
    OR(UPPER(S195)="AIR", UPPER(S195)="CPN"), "AIR",
    UPPER(S195)="TC", "LOCAL",
    TRUE, "SEA"
)</f>
        <v>AIR</v>
      </c>
      <c r="O195" s="260">
        <f t="shared" si="16"/>
        <v>15.116015418335726</v>
      </c>
      <c r="P195" s="184" t="s">
        <v>935</v>
      </c>
      <c r="Q195" s="185">
        <v>108305867940</v>
      </c>
      <c r="R195" s="186">
        <v>46176</v>
      </c>
      <c r="S195" s="187" t="s">
        <v>928</v>
      </c>
      <c r="T195" s="188">
        <v>53.5</v>
      </c>
      <c r="U195" s="188"/>
      <c r="V195" s="189">
        <v>400000</v>
      </c>
      <c r="W195" s="190"/>
      <c r="X195" s="190"/>
      <c r="Y195" s="190"/>
      <c r="Z195" s="189">
        <f t="shared" si="12"/>
        <v>400000</v>
      </c>
      <c r="AA195" s="189">
        <v>0</v>
      </c>
      <c r="AB195" s="189">
        <f t="shared" si="17"/>
        <v>400000</v>
      </c>
      <c r="AC195" s="189"/>
      <c r="AD195" s="190"/>
      <c r="AE195" s="190"/>
      <c r="AF195" s="191">
        <f t="shared" si="13"/>
        <v>0</v>
      </c>
      <c r="AG195" s="190">
        <f t="shared" si="14"/>
        <v>400000</v>
      </c>
      <c r="AH195" s="190"/>
      <c r="AI195" s="192" t="str">
        <f>VLOOKUP(Q195,[3]Sheet1!B$11:G$1489,6,0)</f>
        <v>E11</v>
      </c>
      <c r="GK195" s="194"/>
      <c r="GL195" s="195"/>
      <c r="GM195" s="196"/>
      <c r="GN195" s="197"/>
      <c r="GO195" s="198"/>
      <c r="GP195" s="199"/>
      <c r="GQ195" s="200"/>
      <c r="GR195" s="201"/>
      <c r="GS195" s="60"/>
      <c r="GT195" s="202"/>
      <c r="GU195" s="202"/>
      <c r="GV195" s="202"/>
      <c r="GW195" s="202"/>
      <c r="GX195" s="203"/>
      <c r="HA195" s="194"/>
      <c r="HB195" s="195"/>
      <c r="HC195" s="196"/>
      <c r="HD195" s="197"/>
      <c r="HE195" s="198"/>
      <c r="HF195" s="199"/>
      <c r="HG195" s="200"/>
      <c r="HH195" s="201"/>
      <c r="HI195" s="60"/>
      <c r="HJ195" s="202"/>
      <c r="HK195" s="202"/>
      <c r="HL195" s="202"/>
      <c r="HM195" s="202"/>
      <c r="HN195" s="203"/>
    </row>
    <row r="196" spans="1:222" ht="16.5" customHeight="1">
      <c r="A196" s="181">
        <v>193</v>
      </c>
      <c r="B196" s="182">
        <v>525688574718</v>
      </c>
      <c r="C196" s="183" t="s">
        <v>2442</v>
      </c>
      <c r="D196" s="184" t="s">
        <v>945</v>
      </c>
      <c r="E196" s="184" t="str">
        <f t="shared" si="15"/>
        <v>Import</v>
      </c>
      <c r="F196" s="720" t="str" cm="1">
        <f t="array" ref="F196">_xlfn.IFS(
  OR(AI196="E11", AI196="E15"), "Raw materials",
  OR(AI196="E13", AI196="G13"), "Equipments + Toolings",
  TRUE, RIGHT(C196, 8)
)</f>
        <v>Raw materials</v>
      </c>
      <c r="G196" s="541" t="str" cm="1">
        <f t="array" ref="G196">IF(E196="Import",
  IFERROR(
    _xlfn.IFS(
      VLOOKUP(B196,[1]Material!F$5:U$90000,16,0)="LUC","Lucid",
      VLOOKUP(B196,[1]Material!F$5:U$90000,16,0)="FMC","FORD",
      OR(VLOOKUP(B196,[1]Material!F$5:U$90000,16,0)="PUR",VLOOKUP(B196,[1]Material!F$5:U$90000,16,0)="HLO"),"PURE",
      VLOOKUP(B196,[1]Material!F$5:U$90000,16,0)="AIC","AIC",
      OR(VLOOKUP(B196,[1]Material!F$5:U$90000,16,0)="AGI",VLOOKUP(B196,[1]Material!F$5:U$90000,16,0)="AGIGA"),"AGIGA",
      OR(LEFT(VLOOKUP(B196,[1]Material!F$5:U$90000,16,0),3)="EF-",VLOOKUP(B196,[1]Material!F$5:U$90000,16,0)="EFI"),"EFI",
      AND(ISNUMBER(VLOOKUP(B196,[1]Material!F$5:U$90000,16,0)),VLOOKUP(B196,[1]Material!F$5:U$90000,16,0)&gt;=100,VLOOKUP(B196,[1]Material!F$5:U$90000,16,0)&lt;=999,VLOOKUP(B196,[1]Material!F$5:U$90000,16,0)=INT(VLOOKUP(B196,[1]Material!F$5:U$90000,16,0))),"OEM",
      TRUE,""
    ),
    "không tìm thấy trong file Import"
  ),
  VLOOKUP(F196,'[2]Export shipment'!B:Y,24,0)
)</f>
        <v>EFI</v>
      </c>
      <c r="H196" s="184"/>
      <c r="I196" s="184"/>
      <c r="J196" s="260">
        <f>(V196+X196+AA196)/'Logistics record '!$AD$1</f>
        <v>15.116015418335726</v>
      </c>
      <c r="K196" s="260">
        <f>W196/'Logistics record '!$AD$1</f>
        <v>0</v>
      </c>
      <c r="L196" s="260">
        <f>Y196/'Logistics record '!$AD$1</f>
        <v>0</v>
      </c>
      <c r="M196" s="260">
        <f>AF196/'Logistics record '!$AD$1</f>
        <v>0</v>
      </c>
      <c r="N196" s="260" t="str" cm="1">
        <f t="array" ref="N196">_xlfn.IFS(
    OR(UPPER(S196)="AIR", UPPER(S196)="CPN"), "AIR",
    UPPER(S196)="TC", "LOCAL",
    TRUE, "SEA"
)</f>
        <v>AIR</v>
      </c>
      <c r="O196" s="260">
        <f t="shared" si="16"/>
        <v>15.116015418335726</v>
      </c>
      <c r="P196" s="184" t="s">
        <v>946</v>
      </c>
      <c r="Q196" s="185">
        <v>108305967930</v>
      </c>
      <c r="R196" s="186">
        <v>46176</v>
      </c>
      <c r="S196" s="187" t="s">
        <v>928</v>
      </c>
      <c r="T196" s="188">
        <v>1.6</v>
      </c>
      <c r="U196" s="188"/>
      <c r="V196" s="189">
        <v>400000</v>
      </c>
      <c r="W196" s="190"/>
      <c r="X196" s="190"/>
      <c r="Y196" s="190"/>
      <c r="Z196" s="189">
        <f t="shared" ref="Z196:Z259" si="18">SUM(V196:Y196)</f>
        <v>400000</v>
      </c>
      <c r="AA196" s="189">
        <v>0</v>
      </c>
      <c r="AB196" s="189">
        <f t="shared" si="17"/>
        <v>400000</v>
      </c>
      <c r="AC196" s="189"/>
      <c r="AD196" s="190"/>
      <c r="AE196" s="190"/>
      <c r="AF196" s="191">
        <f t="shared" ref="AF196:AF259" si="19">+SUM(AC196:AE196)</f>
        <v>0</v>
      </c>
      <c r="AG196" s="190">
        <f t="shared" ref="AG196:AG259" si="20">+AF196+AB196</f>
        <v>400000</v>
      </c>
      <c r="AH196" s="190"/>
      <c r="AI196" s="192" t="str">
        <f>VLOOKUP(Q196,[3]Sheet1!B$11:G$1489,6,0)</f>
        <v>E11</v>
      </c>
      <c r="GK196" s="194"/>
      <c r="GL196" s="195"/>
      <c r="GM196" s="196"/>
      <c r="GN196" s="197"/>
      <c r="GO196" s="198"/>
      <c r="GP196" s="199"/>
      <c r="GQ196" s="200"/>
      <c r="GR196" s="201"/>
      <c r="GS196" s="60"/>
      <c r="GT196" s="202"/>
      <c r="GU196" s="202"/>
      <c r="GV196" s="202"/>
      <c r="GW196" s="202"/>
      <c r="GX196" s="203"/>
      <c r="HA196" s="194"/>
      <c r="HB196" s="195"/>
      <c r="HC196" s="196"/>
      <c r="HD196" s="197"/>
      <c r="HE196" s="198"/>
      <c r="HF196" s="199"/>
      <c r="HG196" s="200"/>
      <c r="HH196" s="201"/>
      <c r="HI196" s="60"/>
      <c r="HJ196" s="202"/>
      <c r="HK196" s="202"/>
      <c r="HL196" s="202"/>
      <c r="HM196" s="202"/>
      <c r="HN196" s="203"/>
    </row>
    <row r="197" spans="1:222" ht="16.5" customHeight="1">
      <c r="A197" s="181">
        <v>194</v>
      </c>
      <c r="B197" s="182">
        <v>381609097421</v>
      </c>
      <c r="C197" s="183" t="s">
        <v>2443</v>
      </c>
      <c r="D197" s="184" t="s">
        <v>952</v>
      </c>
      <c r="E197" s="184" t="str">
        <f t="shared" ref="E197:E260" si="21">IF(OR(AI197="E11", AI197="E13", AI197="E15", AI197="G13"), "Import", "Export")</f>
        <v>Import</v>
      </c>
      <c r="F197" s="720" t="str" cm="1">
        <f t="array" ref="F197">_xlfn.IFS(
  OR(AI197="E11", AI197="E15"), "Raw materials",
  OR(AI197="E13", AI197="G13"), "Equipments + Toolings",
  TRUE, RIGHT(C197, 8)
)</f>
        <v>Raw materials</v>
      </c>
      <c r="G197" s="541" t="str" cm="1">
        <f t="array" ref="G197">IF(E197="Import",
  IFERROR(
    _xlfn.IFS(
      VLOOKUP(B197,[1]Material!F$5:U$90000,16,0)="LUC","Lucid",
      VLOOKUP(B197,[1]Material!F$5:U$90000,16,0)="FMC","FORD",
      OR(VLOOKUP(B197,[1]Material!F$5:U$90000,16,0)="PUR",VLOOKUP(B197,[1]Material!F$5:U$90000,16,0)="HLO"),"PURE",
      VLOOKUP(B197,[1]Material!F$5:U$90000,16,0)="AIC","AIC",
      OR(VLOOKUP(B197,[1]Material!F$5:U$90000,16,0)="AGI",VLOOKUP(B197,[1]Material!F$5:U$90000,16,0)="AGIGA"),"AGIGA",
      OR(LEFT(VLOOKUP(B197,[1]Material!F$5:U$90000,16,0),3)="EF-",VLOOKUP(B197,[1]Material!F$5:U$90000,16,0)="EFI"),"EFI",
      AND(ISNUMBER(VLOOKUP(B197,[1]Material!F$5:U$90000,16,0)),VLOOKUP(B197,[1]Material!F$5:U$90000,16,0)&gt;=100,VLOOKUP(B197,[1]Material!F$5:U$90000,16,0)&lt;=999,VLOOKUP(B197,[1]Material!F$5:U$90000,16,0)=INT(VLOOKUP(B197,[1]Material!F$5:U$90000,16,0))),"OEM",
      TRUE,""
    ),
    "không tìm thấy trong file Import"
  ),
  VLOOKUP(F197,'[2]Export shipment'!B:Y,24,0)
)</f>
        <v>Lucid</v>
      </c>
      <c r="H197" s="184"/>
      <c r="I197" s="184"/>
      <c r="J197" s="260">
        <f>(V197+X197+AA197)/'Logistics record '!$AD$1</f>
        <v>15.116015418335726</v>
      </c>
      <c r="K197" s="260">
        <f>W197/'Logistics record '!$AD$1</f>
        <v>0</v>
      </c>
      <c r="L197" s="260">
        <f>Y197/'Logistics record '!$AD$1</f>
        <v>0</v>
      </c>
      <c r="M197" s="260">
        <f>AF197/'Logistics record '!$AD$1</f>
        <v>0</v>
      </c>
      <c r="N197" s="260" t="str" cm="1">
        <f t="array" ref="N197">_xlfn.IFS(
    OR(UPPER(S197)="AIR", UPPER(S197)="CPN"), "AIR",
    UPPER(S197)="TC", "LOCAL",
    TRUE, "SEA"
)</f>
        <v>AIR</v>
      </c>
      <c r="O197" s="260">
        <f t="shared" ref="O197:O260" si="22">M197+L197+K197+J197</f>
        <v>15.116015418335726</v>
      </c>
      <c r="P197" s="184" t="s">
        <v>931</v>
      </c>
      <c r="Q197" s="185">
        <v>108306001530</v>
      </c>
      <c r="R197" s="186">
        <v>46176</v>
      </c>
      <c r="S197" s="187" t="s">
        <v>928</v>
      </c>
      <c r="T197" s="188">
        <v>7.7</v>
      </c>
      <c r="U197" s="188"/>
      <c r="V197" s="189">
        <v>400000</v>
      </c>
      <c r="W197" s="190"/>
      <c r="X197" s="190"/>
      <c r="Y197" s="190"/>
      <c r="Z197" s="189">
        <f t="shared" si="18"/>
        <v>400000</v>
      </c>
      <c r="AA197" s="189">
        <v>0</v>
      </c>
      <c r="AB197" s="189">
        <f t="shared" ref="AB197:AB260" si="23">+AA197+Z197</f>
        <v>400000</v>
      </c>
      <c r="AC197" s="189"/>
      <c r="AD197" s="190"/>
      <c r="AE197" s="190"/>
      <c r="AF197" s="191">
        <f t="shared" si="19"/>
        <v>0</v>
      </c>
      <c r="AG197" s="190">
        <f t="shared" si="20"/>
        <v>400000</v>
      </c>
      <c r="AH197" s="190"/>
      <c r="AI197" s="192" t="str">
        <f>VLOOKUP(Q197,[3]Sheet1!B$11:G$1489,6,0)</f>
        <v>E11</v>
      </c>
      <c r="GK197" s="194"/>
      <c r="GL197" s="195"/>
      <c r="GM197" s="196"/>
      <c r="GN197" s="197"/>
      <c r="GO197" s="198"/>
      <c r="GP197" s="199"/>
      <c r="GQ197" s="200"/>
      <c r="GR197" s="201"/>
      <c r="GS197" s="60"/>
      <c r="GT197" s="202"/>
      <c r="GU197" s="202"/>
      <c r="GV197" s="202"/>
      <c r="GW197" s="202"/>
      <c r="GX197" s="203"/>
      <c r="HA197" s="194"/>
      <c r="HB197" s="195"/>
      <c r="HC197" s="196"/>
      <c r="HD197" s="197"/>
      <c r="HE197" s="198"/>
      <c r="HF197" s="199"/>
      <c r="HG197" s="200"/>
      <c r="HH197" s="201"/>
      <c r="HI197" s="60"/>
      <c r="HJ197" s="202"/>
      <c r="HK197" s="202"/>
      <c r="HL197" s="202"/>
      <c r="HM197" s="202"/>
      <c r="HN197" s="203"/>
    </row>
    <row r="198" spans="1:222" ht="16.5" customHeight="1">
      <c r="A198" s="181">
        <v>195</v>
      </c>
      <c r="B198" s="182">
        <v>500292666147</v>
      </c>
      <c r="C198" s="183" t="s">
        <v>2444</v>
      </c>
      <c r="D198" s="184" t="s">
        <v>945</v>
      </c>
      <c r="E198" s="184" t="str">
        <f t="shared" si="21"/>
        <v>Import</v>
      </c>
      <c r="F198" s="720" t="str" cm="1">
        <f t="array" ref="F198">_xlfn.IFS(
  OR(AI198="E11", AI198="E15"), "Raw materials",
  OR(AI198="E13", AI198="G13"), "Equipments + Toolings",
  TRUE, RIGHT(C198, 8)
)</f>
        <v>Raw materials</v>
      </c>
      <c r="G198" s="541" t="str" cm="1">
        <f t="array" ref="G198">IF(E198="Import",
  IFERROR(
    _xlfn.IFS(
      VLOOKUP(B198,[1]Material!F$5:U$90000,16,0)="LUC","Lucid",
      VLOOKUP(B198,[1]Material!F$5:U$90000,16,0)="FMC","FORD",
      OR(VLOOKUP(B198,[1]Material!F$5:U$90000,16,0)="PUR",VLOOKUP(B198,[1]Material!F$5:U$90000,16,0)="HLO"),"PURE",
      VLOOKUP(B198,[1]Material!F$5:U$90000,16,0)="AIC","AIC",
      OR(VLOOKUP(B198,[1]Material!F$5:U$90000,16,0)="AGI",VLOOKUP(B198,[1]Material!F$5:U$90000,16,0)="AGIGA"),"AGIGA",
      OR(LEFT(VLOOKUP(B198,[1]Material!F$5:U$90000,16,0),3)="EF-",VLOOKUP(B198,[1]Material!F$5:U$90000,16,0)="EFI"),"EFI",
      AND(ISNUMBER(VLOOKUP(B198,[1]Material!F$5:U$90000,16,0)),VLOOKUP(B198,[1]Material!F$5:U$90000,16,0)&gt;=100,VLOOKUP(B198,[1]Material!F$5:U$90000,16,0)&lt;=999,VLOOKUP(B198,[1]Material!F$5:U$90000,16,0)=INT(VLOOKUP(B198,[1]Material!F$5:U$90000,16,0))),"OEM",
      TRUE,""
    ),
    "không tìm thấy trong file Import"
  ),
  VLOOKUP(F198,'[2]Export shipment'!B:Y,24,0)
)</f>
        <v>PURE</v>
      </c>
      <c r="H198" s="184"/>
      <c r="I198" s="184"/>
      <c r="J198" s="260">
        <f>(V198+X198+AA198)/'Logistics record '!$AD$1</f>
        <v>15.116015418335726</v>
      </c>
      <c r="K198" s="260">
        <f>W198/'Logistics record '!$AD$1</f>
        <v>0</v>
      </c>
      <c r="L198" s="260">
        <f>Y198/'Logistics record '!$AD$1</f>
        <v>0</v>
      </c>
      <c r="M198" s="260">
        <f>AF198/'Logistics record '!$AD$1</f>
        <v>0</v>
      </c>
      <c r="N198" s="260" t="str" cm="1">
        <f t="array" ref="N198">_xlfn.IFS(
    OR(UPPER(S198)="AIR", UPPER(S198)="CPN"), "AIR",
    UPPER(S198)="TC", "LOCAL",
    TRUE, "SEA"
)</f>
        <v>AIR</v>
      </c>
      <c r="O198" s="260">
        <f t="shared" si="22"/>
        <v>15.116015418335726</v>
      </c>
      <c r="P198" s="184" t="s">
        <v>946</v>
      </c>
      <c r="Q198" s="185">
        <v>108306234740</v>
      </c>
      <c r="R198" s="186">
        <v>46176</v>
      </c>
      <c r="S198" s="187" t="s">
        <v>928</v>
      </c>
      <c r="T198" s="188">
        <v>0.9</v>
      </c>
      <c r="U198" s="188"/>
      <c r="V198" s="189">
        <v>400000</v>
      </c>
      <c r="W198" s="190"/>
      <c r="X198" s="190"/>
      <c r="Y198" s="190"/>
      <c r="Z198" s="189">
        <f t="shared" si="18"/>
        <v>400000</v>
      </c>
      <c r="AA198" s="189">
        <v>0</v>
      </c>
      <c r="AB198" s="189">
        <f t="shared" si="23"/>
        <v>400000</v>
      </c>
      <c r="AC198" s="189"/>
      <c r="AD198" s="190"/>
      <c r="AE198" s="190"/>
      <c r="AF198" s="191">
        <f t="shared" si="19"/>
        <v>0</v>
      </c>
      <c r="AG198" s="190">
        <f t="shared" si="20"/>
        <v>400000</v>
      </c>
      <c r="AH198" s="190"/>
      <c r="AI198" s="192" t="str">
        <f>VLOOKUP(Q198,[3]Sheet1!B$11:G$1489,6,0)</f>
        <v>E11</v>
      </c>
      <c r="GK198" s="194"/>
      <c r="GL198" s="195"/>
      <c r="GM198" s="196"/>
      <c r="GN198" s="197"/>
      <c r="GO198" s="198"/>
      <c r="GP198" s="199"/>
      <c r="GQ198" s="200"/>
      <c r="GR198" s="201"/>
      <c r="GS198" s="60"/>
      <c r="GT198" s="202"/>
      <c r="GU198" s="202"/>
      <c r="GV198" s="202"/>
      <c r="GW198" s="202"/>
      <c r="GX198" s="203"/>
      <c r="HA198" s="194"/>
      <c r="HB198" s="195"/>
      <c r="HC198" s="196"/>
      <c r="HD198" s="197"/>
      <c r="HE198" s="198"/>
      <c r="HF198" s="199"/>
      <c r="HG198" s="200"/>
      <c r="HH198" s="201"/>
      <c r="HI198" s="60"/>
      <c r="HJ198" s="202"/>
      <c r="HK198" s="202"/>
      <c r="HL198" s="202"/>
      <c r="HM198" s="202"/>
      <c r="HN198" s="203"/>
    </row>
    <row r="199" spans="1:222" ht="16.5" customHeight="1">
      <c r="A199" s="181">
        <v>196</v>
      </c>
      <c r="B199" s="182">
        <v>381681556134</v>
      </c>
      <c r="C199" s="183" t="s">
        <v>2445</v>
      </c>
      <c r="D199" s="184" t="s">
        <v>2446</v>
      </c>
      <c r="E199" s="184" t="str">
        <f t="shared" si="21"/>
        <v>Import</v>
      </c>
      <c r="F199" s="720" t="str" cm="1">
        <f t="array" ref="F199">_xlfn.IFS(
  OR(AI199="E11", AI199="E15"), "Raw materials",
  OR(AI199="E13", AI199="G13"), "Equipments + Toolings",
  TRUE, RIGHT(C199, 8)
)</f>
        <v>Raw materials</v>
      </c>
      <c r="G199" s="541" t="str" cm="1">
        <f t="array" ref="G199">IF(E199="Import",
  IFERROR(
    _xlfn.IFS(
      VLOOKUP(B199,[1]Material!F$5:U$90000,16,0)="LUC","Lucid",
      VLOOKUP(B199,[1]Material!F$5:U$90000,16,0)="FMC","FORD",
      OR(VLOOKUP(B199,[1]Material!F$5:U$90000,16,0)="PUR",VLOOKUP(B199,[1]Material!F$5:U$90000,16,0)="HLO"),"PURE",
      VLOOKUP(B199,[1]Material!F$5:U$90000,16,0)="AIC","AIC",
      OR(VLOOKUP(B199,[1]Material!F$5:U$90000,16,0)="AGI",VLOOKUP(B199,[1]Material!F$5:U$90000,16,0)="AGIGA"),"AGIGA",
      OR(LEFT(VLOOKUP(B199,[1]Material!F$5:U$90000,16,0),3)="EF-",VLOOKUP(B199,[1]Material!F$5:U$90000,16,0)="EFI"),"EFI",
      AND(ISNUMBER(VLOOKUP(B199,[1]Material!F$5:U$90000,16,0)),VLOOKUP(B199,[1]Material!F$5:U$90000,16,0)&gt;=100,VLOOKUP(B199,[1]Material!F$5:U$90000,16,0)&lt;=999,VLOOKUP(B199,[1]Material!F$5:U$90000,16,0)=INT(VLOOKUP(B199,[1]Material!F$5:U$90000,16,0))),"OEM",
      TRUE,""
    ),
    "không tìm thấy trong file Import"
  ),
  VLOOKUP(F199,'[2]Export shipment'!B:Y,24,0)
)</f>
        <v>Lucid</v>
      </c>
      <c r="H199" s="184"/>
      <c r="I199" s="184"/>
      <c r="J199" s="260">
        <f>(V199+X199+AA199)/'Logistics record '!$AD$1</f>
        <v>15.116015418335726</v>
      </c>
      <c r="K199" s="260">
        <f>W199/'Logistics record '!$AD$1</f>
        <v>0</v>
      </c>
      <c r="L199" s="260">
        <f>Y199/'Logistics record '!$AD$1</f>
        <v>0</v>
      </c>
      <c r="M199" s="260">
        <f>AF199/'Logistics record '!$AD$1</f>
        <v>0</v>
      </c>
      <c r="N199" s="260" t="str" cm="1">
        <f t="array" ref="N199">_xlfn.IFS(
    OR(UPPER(S199)="AIR", UPPER(S199)="CPN"), "AIR",
    UPPER(S199)="TC", "LOCAL",
    TRUE, "SEA"
)</f>
        <v>AIR</v>
      </c>
      <c r="O199" s="260">
        <f t="shared" si="22"/>
        <v>15.116015418335726</v>
      </c>
      <c r="P199" s="184" t="s">
        <v>937</v>
      </c>
      <c r="Q199" s="185">
        <v>108306262150</v>
      </c>
      <c r="R199" s="186">
        <v>46176</v>
      </c>
      <c r="S199" s="187" t="s">
        <v>928</v>
      </c>
      <c r="T199" s="188">
        <v>34.4</v>
      </c>
      <c r="U199" s="188"/>
      <c r="V199" s="189">
        <v>400000</v>
      </c>
      <c r="W199" s="190"/>
      <c r="X199" s="190"/>
      <c r="Y199" s="190"/>
      <c r="Z199" s="189">
        <f t="shared" si="18"/>
        <v>400000</v>
      </c>
      <c r="AA199" s="189">
        <v>0</v>
      </c>
      <c r="AB199" s="189">
        <f t="shared" si="23"/>
        <v>400000</v>
      </c>
      <c r="AC199" s="189"/>
      <c r="AD199" s="190"/>
      <c r="AE199" s="190"/>
      <c r="AF199" s="191">
        <f t="shared" si="19"/>
        <v>0</v>
      </c>
      <c r="AG199" s="190">
        <f t="shared" si="20"/>
        <v>400000</v>
      </c>
      <c r="AH199" s="190"/>
      <c r="AI199" s="192" t="str">
        <f>VLOOKUP(Q199,[3]Sheet1!B$11:G$1489,6,0)</f>
        <v>E11</v>
      </c>
      <c r="GK199" s="194"/>
      <c r="GL199" s="195"/>
      <c r="GM199" s="196"/>
      <c r="GN199" s="197"/>
      <c r="GO199" s="198"/>
      <c r="GP199" s="199"/>
      <c r="GQ199" s="200"/>
      <c r="GR199" s="201"/>
      <c r="GS199" s="60"/>
      <c r="GT199" s="202"/>
      <c r="GU199" s="202"/>
      <c r="GV199" s="202"/>
      <c r="GW199" s="202"/>
      <c r="GX199" s="203"/>
      <c r="HA199" s="194"/>
      <c r="HB199" s="195"/>
      <c r="HC199" s="196"/>
      <c r="HD199" s="197"/>
      <c r="HE199" s="198"/>
      <c r="HF199" s="199"/>
      <c r="HG199" s="200"/>
      <c r="HH199" s="201"/>
      <c r="HI199" s="60"/>
      <c r="HJ199" s="202"/>
      <c r="HK199" s="202"/>
      <c r="HL199" s="202"/>
      <c r="HM199" s="202"/>
      <c r="HN199" s="203"/>
    </row>
    <row r="200" spans="1:222" ht="16.5" customHeight="1">
      <c r="A200" s="181">
        <v>197</v>
      </c>
      <c r="B200" s="182">
        <v>6897410575</v>
      </c>
      <c r="C200" s="598" t="s">
        <v>2447</v>
      </c>
      <c r="D200" s="184" t="s">
        <v>956</v>
      </c>
      <c r="E200" s="184" t="str">
        <f t="shared" si="21"/>
        <v>Import</v>
      </c>
      <c r="F200" s="720" t="str" cm="1">
        <f t="array" ref="F200">_xlfn.IFS(
  OR(AI200="E11", AI200="E15"), "Raw materials",
  OR(AI200="E13", AI200="G13"), "Equipments + Toolings",
  TRUE, RIGHT(C200, 8)
)</f>
        <v>Raw materials</v>
      </c>
      <c r="G200" s="541" t="str" cm="1">
        <f t="array" ref="G200">IF(E200="Import",
  IFERROR(
    _xlfn.IFS(
      VLOOKUP(B200,[1]Material!F$5:U$90000,16,0)="LUC","Lucid",
      VLOOKUP(B200,[1]Material!F$5:U$90000,16,0)="FMC","FORD",
      OR(VLOOKUP(B200,[1]Material!F$5:U$90000,16,0)="PUR",VLOOKUP(B200,[1]Material!F$5:U$90000,16,0)="HLO"),"PURE",
      VLOOKUP(B200,[1]Material!F$5:U$90000,16,0)="AIC","AIC",
      OR(VLOOKUP(B200,[1]Material!F$5:U$90000,16,0)="AGI",VLOOKUP(B200,[1]Material!F$5:U$90000,16,0)="AGIGA"),"AGIGA",
      OR(LEFT(VLOOKUP(B200,[1]Material!F$5:U$90000,16,0),3)="EF-",VLOOKUP(B200,[1]Material!F$5:U$90000,16,0)="EFI"),"EFI",
      AND(ISNUMBER(VLOOKUP(B200,[1]Material!F$5:U$90000,16,0)),VLOOKUP(B200,[1]Material!F$5:U$90000,16,0)&gt;=100,VLOOKUP(B200,[1]Material!F$5:U$90000,16,0)&lt;=999,VLOOKUP(B200,[1]Material!F$5:U$90000,16,0)=INT(VLOOKUP(B200,[1]Material!F$5:U$90000,16,0))),"OEM",
      TRUE,""
    ),
    "không tìm thấy trong file Import"
  ),
  VLOOKUP(F200,'[2]Export shipment'!B:Y,24,0)
)</f>
        <v>PURE</v>
      </c>
      <c r="H200" s="184"/>
      <c r="I200" s="184"/>
      <c r="J200" s="260">
        <f>(V200+X200+AA200)/'Logistics record '!$AD$1</f>
        <v>15.116015418335726</v>
      </c>
      <c r="K200" s="260">
        <f>W200/'Logistics record '!$AD$1</f>
        <v>0</v>
      </c>
      <c r="L200" s="260">
        <f>Y200/'Logistics record '!$AD$1</f>
        <v>0</v>
      </c>
      <c r="M200" s="260">
        <f>AF200/'Logistics record '!$AD$1</f>
        <v>0</v>
      </c>
      <c r="N200" s="260" t="str" cm="1">
        <f t="array" ref="N200">_xlfn.IFS(
    OR(UPPER(S200)="AIR", UPPER(S200)="CPN"), "AIR",
    UPPER(S200)="TC", "LOCAL",
    TRUE, "SEA"
)</f>
        <v>AIR</v>
      </c>
      <c r="O200" s="260">
        <f t="shared" si="22"/>
        <v>15.116015418335726</v>
      </c>
      <c r="P200" s="184" t="s">
        <v>932</v>
      </c>
      <c r="Q200" s="185">
        <v>108306286210</v>
      </c>
      <c r="R200" s="186">
        <v>46176</v>
      </c>
      <c r="S200" s="187" t="s">
        <v>928</v>
      </c>
      <c r="T200" s="188">
        <v>34.4</v>
      </c>
      <c r="U200" s="188"/>
      <c r="V200" s="189">
        <v>400000</v>
      </c>
      <c r="W200" s="190"/>
      <c r="X200" s="190"/>
      <c r="Y200" s="190"/>
      <c r="Z200" s="189">
        <f t="shared" si="18"/>
        <v>400000</v>
      </c>
      <c r="AA200" s="189">
        <v>0</v>
      </c>
      <c r="AB200" s="189">
        <f t="shared" si="23"/>
        <v>400000</v>
      </c>
      <c r="AC200" s="189"/>
      <c r="AD200" s="190"/>
      <c r="AE200" s="190"/>
      <c r="AF200" s="191">
        <f t="shared" si="19"/>
        <v>0</v>
      </c>
      <c r="AG200" s="190">
        <f t="shared" si="20"/>
        <v>400000</v>
      </c>
      <c r="AH200" s="190"/>
      <c r="AI200" s="192" t="str">
        <f>VLOOKUP(Q200,[3]Sheet1!B$11:G$1489,6,0)</f>
        <v>E11</v>
      </c>
      <c r="GK200" s="194"/>
      <c r="GL200" s="195"/>
      <c r="GM200" s="196"/>
      <c r="GN200" s="197"/>
      <c r="GO200" s="198"/>
      <c r="GP200" s="199"/>
      <c r="GQ200" s="200"/>
      <c r="GR200" s="201"/>
      <c r="GS200" s="60"/>
      <c r="GT200" s="202"/>
      <c r="GU200" s="202"/>
      <c r="GV200" s="202"/>
      <c r="GW200" s="202"/>
      <c r="GX200" s="203"/>
      <c r="HA200" s="194"/>
      <c r="HB200" s="195"/>
      <c r="HC200" s="196"/>
      <c r="HD200" s="197"/>
      <c r="HE200" s="198"/>
      <c r="HF200" s="199"/>
      <c r="HG200" s="200"/>
      <c r="HH200" s="201"/>
      <c r="HI200" s="60"/>
      <c r="HJ200" s="202"/>
      <c r="HK200" s="202"/>
      <c r="HL200" s="202"/>
      <c r="HM200" s="202"/>
      <c r="HN200" s="203"/>
    </row>
    <row r="201" spans="1:222" ht="16.5" customHeight="1">
      <c r="A201" s="181">
        <v>198</v>
      </c>
      <c r="B201" s="182">
        <v>381644804060</v>
      </c>
      <c r="C201" s="598" t="s">
        <v>2448</v>
      </c>
      <c r="D201" s="184" t="s">
        <v>981</v>
      </c>
      <c r="E201" s="184" t="str">
        <f t="shared" si="21"/>
        <v>Import</v>
      </c>
      <c r="F201" s="720" t="str" cm="1">
        <f t="array" ref="F201">_xlfn.IFS(
  OR(AI201="E11", AI201="E15"), "Raw materials",
  OR(AI201="E13", AI201="G13"), "Equipments + Toolings",
  TRUE, RIGHT(C201, 8)
)</f>
        <v>Raw materials</v>
      </c>
      <c r="G201" s="541" t="str" cm="1">
        <f t="array" ref="G201">IF(E201="Import",
  IFERROR(
    _xlfn.IFS(
      VLOOKUP(B201,[1]Material!F$5:U$90000,16,0)="LUC","Lucid",
      VLOOKUP(B201,[1]Material!F$5:U$90000,16,0)="FMC","FORD",
      OR(VLOOKUP(B201,[1]Material!F$5:U$90000,16,0)="PUR",VLOOKUP(B201,[1]Material!F$5:U$90000,16,0)="HLO"),"PURE",
      VLOOKUP(B201,[1]Material!F$5:U$90000,16,0)="AIC","AIC",
      OR(VLOOKUP(B201,[1]Material!F$5:U$90000,16,0)="AGI",VLOOKUP(B201,[1]Material!F$5:U$90000,16,0)="AGIGA"),"AGIGA",
      OR(LEFT(VLOOKUP(B201,[1]Material!F$5:U$90000,16,0),3)="EF-",VLOOKUP(B201,[1]Material!F$5:U$90000,16,0)="EFI"),"EFI",
      AND(ISNUMBER(VLOOKUP(B201,[1]Material!F$5:U$90000,16,0)),VLOOKUP(B201,[1]Material!F$5:U$90000,16,0)&gt;=100,VLOOKUP(B201,[1]Material!F$5:U$90000,16,0)&lt;=999,VLOOKUP(B201,[1]Material!F$5:U$90000,16,0)=INT(VLOOKUP(B201,[1]Material!F$5:U$90000,16,0))),"OEM",
      TRUE,""
    ),
    "không tìm thấy trong file Import"
  ),
  VLOOKUP(F201,'[2]Export shipment'!B:Y,24,0)
)</f>
        <v>EFI</v>
      </c>
      <c r="H201" s="184"/>
      <c r="I201" s="184"/>
      <c r="J201" s="260">
        <f>(V201+X201+AA201)/'Logistics record '!$AD$1</f>
        <v>15.116015418335726</v>
      </c>
      <c r="K201" s="260">
        <f>W201/'Logistics record '!$AD$1</f>
        <v>0</v>
      </c>
      <c r="L201" s="260">
        <f>Y201/'Logistics record '!$AD$1</f>
        <v>0</v>
      </c>
      <c r="M201" s="260">
        <f>AF201/'Logistics record '!$AD$1</f>
        <v>0</v>
      </c>
      <c r="N201" s="260" t="str" cm="1">
        <f t="array" ref="N201">_xlfn.IFS(
    OR(UPPER(S201)="AIR", UPPER(S201)="CPN"), "AIR",
    UPPER(S201)="TC", "LOCAL",
    TRUE, "SEA"
)</f>
        <v>AIR</v>
      </c>
      <c r="O201" s="260">
        <f t="shared" si="22"/>
        <v>15.116015418335726</v>
      </c>
      <c r="P201" s="184" t="s">
        <v>935</v>
      </c>
      <c r="Q201" s="185">
        <v>108307045120</v>
      </c>
      <c r="R201" s="186">
        <v>46177</v>
      </c>
      <c r="S201" s="187" t="s">
        <v>928</v>
      </c>
      <c r="T201" s="188">
        <v>6.3</v>
      </c>
      <c r="U201" s="188"/>
      <c r="V201" s="189">
        <v>400000</v>
      </c>
      <c r="W201" s="190"/>
      <c r="X201" s="190"/>
      <c r="Y201" s="190"/>
      <c r="Z201" s="189">
        <f t="shared" si="18"/>
        <v>400000</v>
      </c>
      <c r="AA201" s="189">
        <v>0</v>
      </c>
      <c r="AB201" s="189">
        <f t="shared" si="23"/>
        <v>400000</v>
      </c>
      <c r="AC201" s="189"/>
      <c r="AD201" s="190"/>
      <c r="AE201" s="190"/>
      <c r="AF201" s="191">
        <f t="shared" si="19"/>
        <v>0</v>
      </c>
      <c r="AG201" s="190">
        <f t="shared" si="20"/>
        <v>400000</v>
      </c>
      <c r="AH201" s="190"/>
      <c r="AI201" s="192" t="str">
        <f>VLOOKUP(Q201,[3]Sheet1!B$11:G$1489,6,0)</f>
        <v>E11</v>
      </c>
      <c r="GK201" s="194"/>
      <c r="GL201" s="195"/>
      <c r="GM201" s="196"/>
      <c r="GN201" s="197"/>
      <c r="GO201" s="198"/>
      <c r="GP201" s="199"/>
      <c r="GQ201" s="200"/>
      <c r="GR201" s="201"/>
      <c r="GS201" s="60"/>
      <c r="GT201" s="202"/>
      <c r="GU201" s="202"/>
      <c r="GV201" s="202"/>
      <c r="GW201" s="202"/>
      <c r="GX201" s="203"/>
      <c r="HA201" s="194"/>
      <c r="HB201" s="195"/>
      <c r="HC201" s="196"/>
      <c r="HD201" s="197"/>
      <c r="HE201" s="198"/>
      <c r="HF201" s="199"/>
      <c r="HG201" s="200"/>
      <c r="HH201" s="201"/>
      <c r="HI201" s="60"/>
      <c r="HJ201" s="202"/>
      <c r="HK201" s="202"/>
      <c r="HL201" s="202"/>
      <c r="HM201" s="202"/>
      <c r="HN201" s="203"/>
    </row>
    <row r="202" spans="1:222" ht="16.5" customHeight="1">
      <c r="A202" s="181">
        <v>199</v>
      </c>
      <c r="B202" s="182">
        <v>7590414123</v>
      </c>
      <c r="C202" s="598" t="s">
        <v>2449</v>
      </c>
      <c r="D202" s="184" t="s">
        <v>2402</v>
      </c>
      <c r="E202" s="184" t="str">
        <f t="shared" si="21"/>
        <v>Import</v>
      </c>
      <c r="F202" s="720" t="str" cm="1">
        <f t="array" ref="F202">_xlfn.IFS(
  OR(AI202="E11", AI202="E15"), "Raw materials",
  OR(AI202="E13", AI202="G13"), "Equipments + Toolings",
  TRUE, RIGHT(C202, 8)
)</f>
        <v>Raw materials</v>
      </c>
      <c r="G202" s="541" t="str" cm="1">
        <f t="array" ref="G202">IF(E202="Import",
  IFERROR(
    _xlfn.IFS(
      VLOOKUP(B202,[1]Material!F$5:U$90000,16,0)="LUC","Lucid",
      VLOOKUP(B202,[1]Material!F$5:U$90000,16,0)="FMC","FORD",
      OR(VLOOKUP(B202,[1]Material!F$5:U$90000,16,0)="PUR",VLOOKUP(B202,[1]Material!F$5:U$90000,16,0)="HLO"),"PURE",
      VLOOKUP(B202,[1]Material!F$5:U$90000,16,0)="AIC","AIC",
      OR(VLOOKUP(B202,[1]Material!F$5:U$90000,16,0)="AGI",VLOOKUP(B202,[1]Material!F$5:U$90000,16,0)="AGIGA"),"AGIGA",
      OR(LEFT(VLOOKUP(B202,[1]Material!F$5:U$90000,16,0),3)="EF-",VLOOKUP(B202,[1]Material!F$5:U$90000,16,0)="EFI"),"EFI",
      AND(ISNUMBER(VLOOKUP(B202,[1]Material!F$5:U$90000,16,0)),VLOOKUP(B202,[1]Material!F$5:U$90000,16,0)&gt;=100,VLOOKUP(B202,[1]Material!F$5:U$90000,16,0)&lt;=999,VLOOKUP(B202,[1]Material!F$5:U$90000,16,0)=INT(VLOOKUP(B202,[1]Material!F$5:U$90000,16,0))),"OEM",
      TRUE,""
    ),
    "không tìm thấy trong file Import"
  ),
  VLOOKUP(F202,'[2]Export shipment'!B:Y,24,0)
)</f>
        <v>FORD</v>
      </c>
      <c r="H202" s="184"/>
      <c r="I202" s="184"/>
      <c r="J202" s="260">
        <f>(V202+X202+AA202)/'Logistics record '!$AD$1</f>
        <v>15.116015418335726</v>
      </c>
      <c r="K202" s="260">
        <f>W202/'Logistics record '!$AD$1</f>
        <v>0</v>
      </c>
      <c r="L202" s="260">
        <f>Y202/'Logistics record '!$AD$1</f>
        <v>0</v>
      </c>
      <c r="M202" s="260">
        <f>AF202/'Logistics record '!$AD$1</f>
        <v>0</v>
      </c>
      <c r="N202" s="260" t="str" cm="1">
        <f t="array" ref="N202">_xlfn.IFS(
    OR(UPPER(S202)="AIR", UPPER(S202)="CPN"), "AIR",
    UPPER(S202)="TC", "LOCAL",
    TRUE, "SEA"
)</f>
        <v>AIR</v>
      </c>
      <c r="O202" s="260">
        <f t="shared" si="22"/>
        <v>15.116015418335726</v>
      </c>
      <c r="P202" s="184" t="s">
        <v>949</v>
      </c>
      <c r="Q202" s="185">
        <v>108308305340</v>
      </c>
      <c r="R202" s="186">
        <v>46177</v>
      </c>
      <c r="S202" s="187" t="s">
        <v>928</v>
      </c>
      <c r="T202" s="188">
        <v>0.1</v>
      </c>
      <c r="U202" s="188"/>
      <c r="V202" s="189">
        <v>400000</v>
      </c>
      <c r="W202" s="190"/>
      <c r="X202" s="190"/>
      <c r="Y202" s="190"/>
      <c r="Z202" s="189">
        <f t="shared" si="18"/>
        <v>400000</v>
      </c>
      <c r="AA202" s="189">
        <v>0</v>
      </c>
      <c r="AB202" s="189">
        <f t="shared" si="23"/>
        <v>400000</v>
      </c>
      <c r="AC202" s="189"/>
      <c r="AD202" s="190"/>
      <c r="AE202" s="190"/>
      <c r="AF202" s="191">
        <f t="shared" si="19"/>
        <v>0</v>
      </c>
      <c r="AG202" s="190">
        <f t="shared" si="20"/>
        <v>400000</v>
      </c>
      <c r="AH202" s="190"/>
      <c r="AI202" s="192" t="str">
        <f>VLOOKUP(Q202,[3]Sheet1!B$11:G$1489,6,0)</f>
        <v>E11</v>
      </c>
      <c r="GK202" s="194"/>
      <c r="GL202" s="195"/>
      <c r="GM202" s="196"/>
      <c r="GN202" s="197"/>
      <c r="GO202" s="198"/>
      <c r="GP202" s="199"/>
      <c r="GQ202" s="200"/>
      <c r="GR202" s="201"/>
      <c r="GS202" s="60"/>
      <c r="GT202" s="202"/>
      <c r="GU202" s="202"/>
      <c r="GV202" s="202"/>
      <c r="GW202" s="202"/>
      <c r="GX202" s="203"/>
      <c r="HA202" s="194"/>
      <c r="HB202" s="195"/>
      <c r="HC202" s="196"/>
      <c r="HD202" s="197"/>
      <c r="HE202" s="198"/>
      <c r="HF202" s="199"/>
      <c r="HG202" s="200"/>
      <c r="HH202" s="201"/>
      <c r="HI202" s="60"/>
      <c r="HJ202" s="202"/>
      <c r="HK202" s="202"/>
      <c r="HL202" s="202"/>
      <c r="HM202" s="202"/>
      <c r="HN202" s="203"/>
    </row>
    <row r="203" spans="1:222" ht="16.5" customHeight="1">
      <c r="A203" s="181">
        <v>200</v>
      </c>
      <c r="B203" s="182">
        <v>872572349713</v>
      </c>
      <c r="C203" s="598" t="s">
        <v>2450</v>
      </c>
      <c r="D203" s="184" t="s">
        <v>2384</v>
      </c>
      <c r="E203" s="184" t="str">
        <f t="shared" si="21"/>
        <v>Import</v>
      </c>
      <c r="F203" s="720" t="str" cm="1">
        <f t="array" ref="F203">_xlfn.IFS(
  OR(AI203="E11", AI203="E15"), "Raw materials",
  OR(AI203="E13", AI203="G13"), "Equipments + Toolings",
  TRUE, RIGHT(C203, 8)
)</f>
        <v>Raw materials</v>
      </c>
      <c r="G203" s="541" t="str" cm="1">
        <f t="array" ref="G203">IF(E203="Import",
  IFERROR(
    _xlfn.IFS(
      VLOOKUP(B203,[1]Material!F$5:U$90000,16,0)="LUC","Lucid",
      VLOOKUP(B203,[1]Material!F$5:U$90000,16,0)="FMC","FORD",
      OR(VLOOKUP(B203,[1]Material!F$5:U$90000,16,0)="PUR",VLOOKUP(B203,[1]Material!F$5:U$90000,16,0)="HLO"),"PURE",
      VLOOKUP(B203,[1]Material!F$5:U$90000,16,0)="AIC","AIC",
      OR(VLOOKUP(B203,[1]Material!F$5:U$90000,16,0)="AGI",VLOOKUP(B203,[1]Material!F$5:U$90000,16,0)="AGIGA"),"AGIGA",
      OR(LEFT(VLOOKUP(B203,[1]Material!F$5:U$90000,16,0),3)="EF-",VLOOKUP(B203,[1]Material!F$5:U$90000,16,0)="EFI"),"EFI",
      AND(ISNUMBER(VLOOKUP(B203,[1]Material!F$5:U$90000,16,0)),VLOOKUP(B203,[1]Material!F$5:U$90000,16,0)&gt;=100,VLOOKUP(B203,[1]Material!F$5:U$90000,16,0)&lt;=999,VLOOKUP(B203,[1]Material!F$5:U$90000,16,0)=INT(VLOOKUP(B203,[1]Material!F$5:U$90000,16,0))),"OEM",
      TRUE,""
    ),
    "không tìm thấy trong file Import"
  ),
  VLOOKUP(F203,'[2]Export shipment'!B:Y,24,0)
)</f>
        <v>OEM</v>
      </c>
      <c r="H203" s="184"/>
      <c r="I203" s="184"/>
      <c r="J203" s="260">
        <f>(V203+X203+AA203)/'Logistics record '!$AD$1</f>
        <v>15.116015418335726</v>
      </c>
      <c r="K203" s="260">
        <f>W203/'Logistics record '!$AD$1</f>
        <v>0</v>
      </c>
      <c r="L203" s="260">
        <f>Y203/'Logistics record '!$AD$1</f>
        <v>0</v>
      </c>
      <c r="M203" s="260">
        <f>AF203/'Logistics record '!$AD$1</f>
        <v>0</v>
      </c>
      <c r="N203" s="260" t="str" cm="1">
        <f t="array" ref="N203">_xlfn.IFS(
    OR(UPPER(S203)="AIR", UPPER(S203)="CPN"), "AIR",
    UPPER(S203)="TC", "LOCAL",
    TRUE, "SEA"
)</f>
        <v>AIR</v>
      </c>
      <c r="O203" s="260">
        <f t="shared" si="22"/>
        <v>15.116015418335726</v>
      </c>
      <c r="P203" s="184" t="s">
        <v>937</v>
      </c>
      <c r="Q203" s="185">
        <v>108308445120</v>
      </c>
      <c r="R203" s="186">
        <v>46177</v>
      </c>
      <c r="S203" s="187" t="s">
        <v>928</v>
      </c>
      <c r="T203" s="188">
        <v>42.6</v>
      </c>
      <c r="U203" s="188"/>
      <c r="V203" s="189">
        <v>400000</v>
      </c>
      <c r="W203" s="190"/>
      <c r="X203" s="190"/>
      <c r="Y203" s="190"/>
      <c r="Z203" s="189">
        <f t="shared" si="18"/>
        <v>400000</v>
      </c>
      <c r="AA203" s="189">
        <v>0</v>
      </c>
      <c r="AB203" s="189">
        <f t="shared" si="23"/>
        <v>400000</v>
      </c>
      <c r="AC203" s="189"/>
      <c r="AD203" s="190"/>
      <c r="AE203" s="190"/>
      <c r="AF203" s="191">
        <f t="shared" si="19"/>
        <v>0</v>
      </c>
      <c r="AG203" s="190">
        <f t="shared" si="20"/>
        <v>400000</v>
      </c>
      <c r="AH203" s="190"/>
      <c r="AI203" s="192" t="str">
        <f>VLOOKUP(Q203,[3]Sheet1!B$11:G$1489,6,0)</f>
        <v>E11</v>
      </c>
      <c r="GK203" s="194"/>
      <c r="GL203" s="195"/>
      <c r="GM203" s="196"/>
      <c r="GN203" s="197"/>
      <c r="GO203" s="198"/>
      <c r="GP203" s="199"/>
      <c r="GQ203" s="200"/>
      <c r="GR203" s="201"/>
      <c r="GS203" s="60"/>
      <c r="GT203" s="202"/>
      <c r="GU203" s="202"/>
      <c r="GV203" s="202"/>
      <c r="GW203" s="202"/>
      <c r="GX203" s="203"/>
      <c r="HA203" s="194"/>
      <c r="HB203" s="195"/>
      <c r="HC203" s="196"/>
      <c r="HD203" s="197"/>
      <c r="HE203" s="198"/>
      <c r="HF203" s="199"/>
      <c r="HG203" s="200"/>
      <c r="HH203" s="201"/>
      <c r="HI203" s="60"/>
      <c r="HJ203" s="202"/>
      <c r="HK203" s="202"/>
      <c r="HL203" s="202"/>
      <c r="HM203" s="202"/>
      <c r="HN203" s="203"/>
    </row>
    <row r="204" spans="1:222" ht="16.5" customHeight="1">
      <c r="A204" s="181">
        <v>201</v>
      </c>
      <c r="B204" s="182">
        <v>815918865353</v>
      </c>
      <c r="C204" s="598" t="s">
        <v>2451</v>
      </c>
      <c r="D204" s="184" t="s">
        <v>2452</v>
      </c>
      <c r="E204" s="184" t="str">
        <f t="shared" si="21"/>
        <v>Import</v>
      </c>
      <c r="F204" s="720" t="str" cm="1">
        <f t="array" ref="F204">_xlfn.IFS(
  OR(AI204="E11", AI204="E15"), "Raw materials",
  OR(AI204="E13", AI204="G13"), "Equipments + Toolings",
  TRUE, RIGHT(C204, 8)
)</f>
        <v>Raw materials</v>
      </c>
      <c r="G204" s="541" t="str" cm="1">
        <f t="array" ref="G204">IF(E204="Import",
  IFERROR(
    _xlfn.IFS(
      VLOOKUP(B204,[1]Material!F$5:U$90000,16,0)="LUC","Lucid",
      VLOOKUP(B204,[1]Material!F$5:U$90000,16,0)="FMC","FORD",
      OR(VLOOKUP(B204,[1]Material!F$5:U$90000,16,0)="PUR",VLOOKUP(B204,[1]Material!F$5:U$90000,16,0)="HLO"),"PURE",
      VLOOKUP(B204,[1]Material!F$5:U$90000,16,0)="AIC","AIC",
      OR(VLOOKUP(B204,[1]Material!F$5:U$90000,16,0)="AGI",VLOOKUP(B204,[1]Material!F$5:U$90000,16,0)="AGIGA"),"AGIGA",
      OR(LEFT(VLOOKUP(B204,[1]Material!F$5:U$90000,16,0),3)="EF-",VLOOKUP(B204,[1]Material!F$5:U$90000,16,0)="EFI"),"EFI",
      AND(ISNUMBER(VLOOKUP(B204,[1]Material!F$5:U$90000,16,0)),VLOOKUP(B204,[1]Material!F$5:U$90000,16,0)&gt;=100,VLOOKUP(B204,[1]Material!F$5:U$90000,16,0)&lt;=999,VLOOKUP(B204,[1]Material!F$5:U$90000,16,0)=INT(VLOOKUP(B204,[1]Material!F$5:U$90000,16,0))),"OEM",
      TRUE,""
    ),
    "không tìm thấy trong file Import"
  ),
  VLOOKUP(F204,'[2]Export shipment'!B:Y,24,0)
)</f>
        <v>EFI</v>
      </c>
      <c r="H204" s="184"/>
      <c r="I204" s="184"/>
      <c r="J204" s="260">
        <f>(V204+X204+AA204)/'Logistics record '!$AD$1</f>
        <v>15.116015418335726</v>
      </c>
      <c r="K204" s="260">
        <f>W204/'Logistics record '!$AD$1</f>
        <v>0</v>
      </c>
      <c r="L204" s="260">
        <f>Y204/'Logistics record '!$AD$1</f>
        <v>0</v>
      </c>
      <c r="M204" s="260">
        <f>AF204/'Logistics record '!$AD$1</f>
        <v>0</v>
      </c>
      <c r="N204" s="260" t="str" cm="1">
        <f t="array" ref="N204">_xlfn.IFS(
    OR(UPPER(S204)="AIR", UPPER(S204)="CPN"), "AIR",
    UPPER(S204)="TC", "LOCAL",
    TRUE, "SEA"
)</f>
        <v>AIR</v>
      </c>
      <c r="O204" s="260">
        <f t="shared" si="22"/>
        <v>15.116015418335726</v>
      </c>
      <c r="P204" s="184" t="s">
        <v>937</v>
      </c>
      <c r="Q204" s="185">
        <v>108308502740</v>
      </c>
      <c r="R204" s="186">
        <v>46177</v>
      </c>
      <c r="S204" s="187" t="s">
        <v>928</v>
      </c>
      <c r="T204" s="188">
        <v>6.4</v>
      </c>
      <c r="U204" s="188"/>
      <c r="V204" s="189">
        <v>400000</v>
      </c>
      <c r="W204" s="190"/>
      <c r="X204" s="190"/>
      <c r="Y204" s="190"/>
      <c r="Z204" s="189">
        <f t="shared" si="18"/>
        <v>400000</v>
      </c>
      <c r="AA204" s="189">
        <v>0</v>
      </c>
      <c r="AB204" s="189">
        <f t="shared" si="23"/>
        <v>400000</v>
      </c>
      <c r="AC204" s="189"/>
      <c r="AD204" s="190"/>
      <c r="AE204" s="190"/>
      <c r="AF204" s="191">
        <f t="shared" si="19"/>
        <v>0</v>
      </c>
      <c r="AG204" s="190">
        <f t="shared" si="20"/>
        <v>400000</v>
      </c>
      <c r="AH204" s="190"/>
      <c r="AI204" s="192" t="str">
        <f>VLOOKUP(Q204,[3]Sheet1!B$11:G$1489,6,0)</f>
        <v>E11</v>
      </c>
      <c r="GK204" s="194"/>
      <c r="GL204" s="195"/>
      <c r="GM204" s="196"/>
      <c r="GN204" s="197"/>
      <c r="GO204" s="198"/>
      <c r="GP204" s="199"/>
      <c r="GQ204" s="200"/>
      <c r="GR204" s="201"/>
      <c r="GS204" s="60"/>
      <c r="GT204" s="202"/>
      <c r="GU204" s="202"/>
      <c r="GV204" s="202"/>
      <c r="GW204" s="202"/>
      <c r="GX204" s="203"/>
      <c r="HA204" s="194"/>
      <c r="HB204" s="195"/>
      <c r="HC204" s="196"/>
      <c r="HD204" s="197"/>
      <c r="HE204" s="198"/>
      <c r="HF204" s="199"/>
      <c r="HG204" s="200"/>
      <c r="HH204" s="201"/>
      <c r="HI204" s="60"/>
      <c r="HJ204" s="202"/>
      <c r="HK204" s="202"/>
      <c r="HL204" s="202"/>
      <c r="HM204" s="202"/>
      <c r="HN204" s="203"/>
    </row>
    <row r="205" spans="1:222" ht="16.5" customHeight="1">
      <c r="A205" s="181">
        <v>202</v>
      </c>
      <c r="B205" s="182">
        <v>524560592163</v>
      </c>
      <c r="C205" s="598" t="s">
        <v>2453</v>
      </c>
      <c r="D205" s="184" t="s">
        <v>1322</v>
      </c>
      <c r="E205" s="184" t="str">
        <f t="shared" si="21"/>
        <v>Import</v>
      </c>
      <c r="F205" s="720" t="str" cm="1">
        <f t="array" ref="F205">_xlfn.IFS(
  OR(AI205="E11", AI205="E15"), "Raw materials",
  OR(AI205="E13", AI205="G13"), "Equipments + Toolings",
  TRUE, RIGHT(C205, 8)
)</f>
        <v>Raw materials</v>
      </c>
      <c r="G205" s="541" t="str" cm="1">
        <f t="array" ref="G205">IF(E205="Import",
  IFERROR(
    _xlfn.IFS(
      VLOOKUP(B205,[1]Material!F$5:U$90000,16,0)="LUC","Lucid",
      VLOOKUP(B205,[1]Material!F$5:U$90000,16,0)="FMC","FORD",
      OR(VLOOKUP(B205,[1]Material!F$5:U$90000,16,0)="PUR",VLOOKUP(B205,[1]Material!F$5:U$90000,16,0)="HLO"),"PURE",
      VLOOKUP(B205,[1]Material!F$5:U$90000,16,0)="AIC","AIC",
      OR(VLOOKUP(B205,[1]Material!F$5:U$90000,16,0)="AGI",VLOOKUP(B205,[1]Material!F$5:U$90000,16,0)="AGIGA"),"AGIGA",
      OR(LEFT(VLOOKUP(B205,[1]Material!F$5:U$90000,16,0),3)="EF-",VLOOKUP(B205,[1]Material!F$5:U$90000,16,0)="EFI"),"EFI",
      AND(ISNUMBER(VLOOKUP(B205,[1]Material!F$5:U$90000,16,0)),VLOOKUP(B205,[1]Material!F$5:U$90000,16,0)&gt;=100,VLOOKUP(B205,[1]Material!F$5:U$90000,16,0)&lt;=999,VLOOKUP(B205,[1]Material!F$5:U$90000,16,0)=INT(VLOOKUP(B205,[1]Material!F$5:U$90000,16,0))),"OEM",
      TRUE,""
    ),
    "không tìm thấy trong file Import"
  ),
  VLOOKUP(F205,'[2]Export shipment'!B:Y,24,0)
)</f>
        <v>EFI</v>
      </c>
      <c r="H205" s="184"/>
      <c r="I205" s="184"/>
      <c r="J205" s="260">
        <f>(V205+X205+AA205)/'Logistics record '!$AD$1</f>
        <v>15.116015418335726</v>
      </c>
      <c r="K205" s="260">
        <f>W205/'Logistics record '!$AD$1</f>
        <v>0</v>
      </c>
      <c r="L205" s="260">
        <f>Y205/'Logistics record '!$AD$1</f>
        <v>0</v>
      </c>
      <c r="M205" s="260">
        <f>AF205/'Logistics record '!$AD$1</f>
        <v>0</v>
      </c>
      <c r="N205" s="260" t="str" cm="1">
        <f t="array" ref="N205">_xlfn.IFS(
    OR(UPPER(S205)="AIR", UPPER(S205)="CPN"), "AIR",
    UPPER(S205)="TC", "LOCAL",
    TRUE, "SEA"
)</f>
        <v>AIR</v>
      </c>
      <c r="O205" s="260">
        <f t="shared" si="22"/>
        <v>15.116015418335726</v>
      </c>
      <c r="P205" s="184" t="s">
        <v>937</v>
      </c>
      <c r="Q205" s="185">
        <v>108308717050</v>
      </c>
      <c r="R205" s="186">
        <v>46177</v>
      </c>
      <c r="S205" s="187" t="s">
        <v>928</v>
      </c>
      <c r="T205" s="188">
        <v>5.3</v>
      </c>
      <c r="U205" s="188"/>
      <c r="V205" s="189">
        <v>400000</v>
      </c>
      <c r="W205" s="190"/>
      <c r="X205" s="190"/>
      <c r="Y205" s="190"/>
      <c r="Z205" s="189">
        <f t="shared" si="18"/>
        <v>400000</v>
      </c>
      <c r="AA205" s="189">
        <v>0</v>
      </c>
      <c r="AB205" s="189">
        <f t="shared" si="23"/>
        <v>400000</v>
      </c>
      <c r="AC205" s="189"/>
      <c r="AD205" s="190"/>
      <c r="AE205" s="190"/>
      <c r="AF205" s="191">
        <f t="shared" si="19"/>
        <v>0</v>
      </c>
      <c r="AG205" s="190">
        <f t="shared" si="20"/>
        <v>400000</v>
      </c>
      <c r="AH205" s="190"/>
      <c r="AI205" s="192" t="str">
        <f>VLOOKUP(Q205,[3]Sheet1!B$11:G$1489,6,0)</f>
        <v>E11</v>
      </c>
      <c r="GK205" s="194"/>
      <c r="GL205" s="195"/>
      <c r="GM205" s="196"/>
      <c r="GN205" s="197"/>
      <c r="GO205" s="198"/>
      <c r="GP205" s="199"/>
      <c r="GQ205" s="200"/>
      <c r="GR205" s="201"/>
      <c r="GS205" s="60"/>
      <c r="GT205" s="202"/>
      <c r="GU205" s="202"/>
      <c r="GV205" s="202"/>
      <c r="GW205" s="202"/>
      <c r="GX205" s="203"/>
      <c r="HA205" s="194"/>
      <c r="HB205" s="195"/>
      <c r="HC205" s="196"/>
      <c r="HD205" s="197"/>
      <c r="HE205" s="198"/>
      <c r="HF205" s="199"/>
      <c r="HG205" s="200"/>
      <c r="HH205" s="201"/>
      <c r="HI205" s="60"/>
      <c r="HJ205" s="202"/>
      <c r="HK205" s="202"/>
      <c r="HL205" s="202"/>
      <c r="HM205" s="202"/>
      <c r="HN205" s="203"/>
    </row>
    <row r="206" spans="1:222" ht="16.5" customHeight="1">
      <c r="A206" s="181">
        <v>203</v>
      </c>
      <c r="B206" s="182">
        <v>528358965860</v>
      </c>
      <c r="C206" s="598" t="s">
        <v>2454</v>
      </c>
      <c r="D206" s="184" t="s">
        <v>2455</v>
      </c>
      <c r="E206" s="184" t="str">
        <f t="shared" si="21"/>
        <v>Import</v>
      </c>
      <c r="F206" s="720" t="str" cm="1">
        <f t="array" ref="F206">_xlfn.IFS(
  OR(AI206="E11", AI206="E15"), "Raw materials",
  OR(AI206="E13", AI206="G13"), "Equipments + Toolings",
  TRUE, RIGHT(C206, 8)
)</f>
        <v>Raw materials</v>
      </c>
      <c r="G206" s="541" t="str" cm="1">
        <f t="array" ref="G206">IF(E206="Import",
  IFERROR(
    _xlfn.IFS(
      VLOOKUP(B206,[1]Material!F$5:U$90000,16,0)="LUC","Lucid",
      VLOOKUP(B206,[1]Material!F$5:U$90000,16,0)="FMC","FORD",
      OR(VLOOKUP(B206,[1]Material!F$5:U$90000,16,0)="PUR",VLOOKUP(B206,[1]Material!F$5:U$90000,16,0)="HLO"),"PURE",
      VLOOKUP(B206,[1]Material!F$5:U$90000,16,0)="AIC","AIC",
      OR(VLOOKUP(B206,[1]Material!F$5:U$90000,16,0)="AGI",VLOOKUP(B206,[1]Material!F$5:U$90000,16,0)="AGIGA"),"AGIGA",
      OR(LEFT(VLOOKUP(B206,[1]Material!F$5:U$90000,16,0),3)="EF-",VLOOKUP(B206,[1]Material!F$5:U$90000,16,0)="EFI"),"EFI",
      AND(ISNUMBER(VLOOKUP(B206,[1]Material!F$5:U$90000,16,0)),VLOOKUP(B206,[1]Material!F$5:U$90000,16,0)&gt;=100,VLOOKUP(B206,[1]Material!F$5:U$90000,16,0)&lt;=999,VLOOKUP(B206,[1]Material!F$5:U$90000,16,0)=INT(VLOOKUP(B206,[1]Material!F$5:U$90000,16,0))),"OEM",
      TRUE,""
    ),
    "không tìm thấy trong file Import"
  ),
  VLOOKUP(F206,'[2]Export shipment'!B:Y,24,0)
)</f>
        <v>EFI</v>
      </c>
      <c r="H206" s="184"/>
      <c r="I206" s="184"/>
      <c r="J206" s="260">
        <f>(V206+X206+AA206)/'Logistics record '!$AD$1</f>
        <v>15.116015418335726</v>
      </c>
      <c r="K206" s="260">
        <f>W206/'Logistics record '!$AD$1</f>
        <v>0</v>
      </c>
      <c r="L206" s="260">
        <f>Y206/'Logistics record '!$AD$1</f>
        <v>0</v>
      </c>
      <c r="M206" s="260">
        <f>AF206/'Logistics record '!$AD$1</f>
        <v>0</v>
      </c>
      <c r="N206" s="260" t="str" cm="1">
        <f t="array" ref="N206">_xlfn.IFS(
    OR(UPPER(S206)="AIR", UPPER(S206)="CPN"), "AIR",
    UPPER(S206)="TC", "LOCAL",
    TRUE, "SEA"
)</f>
        <v>AIR</v>
      </c>
      <c r="O206" s="260">
        <f t="shared" si="22"/>
        <v>15.116015418335726</v>
      </c>
      <c r="P206" s="184" t="s">
        <v>935</v>
      </c>
      <c r="Q206" s="185">
        <v>108309245920</v>
      </c>
      <c r="R206" s="186">
        <v>46177</v>
      </c>
      <c r="S206" s="187" t="s">
        <v>928</v>
      </c>
      <c r="T206" s="188">
        <v>1.3</v>
      </c>
      <c r="U206" s="188"/>
      <c r="V206" s="189">
        <v>400000</v>
      </c>
      <c r="W206" s="190"/>
      <c r="X206" s="190"/>
      <c r="Y206" s="190"/>
      <c r="Z206" s="189">
        <f t="shared" si="18"/>
        <v>400000</v>
      </c>
      <c r="AA206" s="189">
        <v>0</v>
      </c>
      <c r="AB206" s="189">
        <f t="shared" si="23"/>
        <v>400000</v>
      </c>
      <c r="AC206" s="189"/>
      <c r="AD206" s="190"/>
      <c r="AE206" s="190"/>
      <c r="AF206" s="191">
        <f t="shared" si="19"/>
        <v>0</v>
      </c>
      <c r="AG206" s="190">
        <f t="shared" si="20"/>
        <v>400000</v>
      </c>
      <c r="AH206" s="190"/>
      <c r="AI206" s="192" t="str">
        <f>VLOOKUP(Q206,[3]Sheet1!B$11:G$1489,6,0)</f>
        <v>E11</v>
      </c>
      <c r="GK206" s="194"/>
      <c r="GL206" s="195"/>
      <c r="GM206" s="196"/>
      <c r="GN206" s="197"/>
      <c r="GO206" s="198"/>
      <c r="GP206" s="199"/>
      <c r="GQ206" s="200"/>
      <c r="GR206" s="201"/>
      <c r="GS206" s="60"/>
      <c r="GT206" s="202"/>
      <c r="GU206" s="202"/>
      <c r="GV206" s="202"/>
      <c r="GW206" s="202"/>
      <c r="GX206" s="203"/>
      <c r="HA206" s="194"/>
      <c r="HB206" s="195"/>
      <c r="HC206" s="196"/>
      <c r="HD206" s="197"/>
      <c r="HE206" s="198"/>
      <c r="HF206" s="199"/>
      <c r="HG206" s="200"/>
      <c r="HH206" s="201"/>
      <c r="HI206" s="60"/>
      <c r="HJ206" s="202"/>
      <c r="HK206" s="202"/>
      <c r="HL206" s="202"/>
      <c r="HM206" s="202"/>
      <c r="HN206" s="203"/>
    </row>
    <row r="207" spans="1:222" ht="16.5" customHeight="1">
      <c r="A207" s="181">
        <v>204</v>
      </c>
      <c r="B207" s="182">
        <v>486261304420</v>
      </c>
      <c r="C207" s="598" t="s">
        <v>2456</v>
      </c>
      <c r="D207" s="184" t="s">
        <v>2457</v>
      </c>
      <c r="E207" s="184" t="str">
        <f t="shared" si="21"/>
        <v>Import</v>
      </c>
      <c r="F207" s="720" t="str" cm="1">
        <f t="array" ref="F207">_xlfn.IFS(
  OR(AI207="E11", AI207="E15"), "Raw materials",
  OR(AI207="E13", AI207="G13"), "Equipments + Toolings",
  TRUE, RIGHT(C207, 8)
)</f>
        <v>Raw materials</v>
      </c>
      <c r="G207" s="541" t="str" cm="1">
        <f t="array" ref="G207">IF(E207="Import",
  IFERROR(
    _xlfn.IFS(
      VLOOKUP(B207,[1]Material!F$5:U$90000,16,0)="LUC","Lucid",
      VLOOKUP(B207,[1]Material!F$5:U$90000,16,0)="FMC","FORD",
      OR(VLOOKUP(B207,[1]Material!F$5:U$90000,16,0)="PUR",VLOOKUP(B207,[1]Material!F$5:U$90000,16,0)="HLO"),"PURE",
      VLOOKUP(B207,[1]Material!F$5:U$90000,16,0)="AIC","AIC",
      OR(VLOOKUP(B207,[1]Material!F$5:U$90000,16,0)="AGI",VLOOKUP(B207,[1]Material!F$5:U$90000,16,0)="AGIGA"),"AGIGA",
      OR(LEFT(VLOOKUP(B207,[1]Material!F$5:U$90000,16,0),3)="EF-",VLOOKUP(B207,[1]Material!F$5:U$90000,16,0)="EFI"),"EFI",
      AND(ISNUMBER(VLOOKUP(B207,[1]Material!F$5:U$90000,16,0)),VLOOKUP(B207,[1]Material!F$5:U$90000,16,0)&gt;=100,VLOOKUP(B207,[1]Material!F$5:U$90000,16,0)&lt;=999,VLOOKUP(B207,[1]Material!F$5:U$90000,16,0)=INT(VLOOKUP(B207,[1]Material!F$5:U$90000,16,0))),"OEM",
      TRUE,""
    ),
    "không tìm thấy trong file Import"
  ),
  VLOOKUP(F207,'[2]Export shipment'!B:Y,24,0)
)</f>
        <v>PURE</v>
      </c>
      <c r="H207" s="184"/>
      <c r="I207" s="184"/>
      <c r="J207" s="260">
        <f>(V207+X207+AA207)/'Logistics record '!$AD$1</f>
        <v>15.116015418335726</v>
      </c>
      <c r="K207" s="260">
        <f>W207/'Logistics record '!$AD$1</f>
        <v>0</v>
      </c>
      <c r="L207" s="260">
        <f>Y207/'Logistics record '!$AD$1</f>
        <v>0</v>
      </c>
      <c r="M207" s="260">
        <f>AF207/'Logistics record '!$AD$1</f>
        <v>0</v>
      </c>
      <c r="N207" s="260" t="str" cm="1">
        <f t="array" ref="N207">_xlfn.IFS(
    OR(UPPER(S207)="AIR", UPPER(S207)="CPN"), "AIR",
    UPPER(S207)="TC", "LOCAL",
    TRUE, "SEA"
)</f>
        <v>AIR</v>
      </c>
      <c r="O207" s="260">
        <f t="shared" si="22"/>
        <v>15.116015418335726</v>
      </c>
      <c r="P207" s="184" t="s">
        <v>932</v>
      </c>
      <c r="Q207" s="185">
        <v>108309305420</v>
      </c>
      <c r="R207" s="186">
        <v>46177</v>
      </c>
      <c r="S207" s="187" t="s">
        <v>928</v>
      </c>
      <c r="T207" s="188">
        <v>52.9</v>
      </c>
      <c r="U207" s="188"/>
      <c r="V207" s="189">
        <v>400000</v>
      </c>
      <c r="W207" s="190"/>
      <c r="X207" s="190"/>
      <c r="Y207" s="190"/>
      <c r="Z207" s="189">
        <f t="shared" si="18"/>
        <v>400000</v>
      </c>
      <c r="AA207" s="189">
        <v>0</v>
      </c>
      <c r="AB207" s="189">
        <f t="shared" si="23"/>
        <v>400000</v>
      </c>
      <c r="AC207" s="189"/>
      <c r="AD207" s="190"/>
      <c r="AE207" s="190"/>
      <c r="AF207" s="191">
        <f t="shared" si="19"/>
        <v>0</v>
      </c>
      <c r="AG207" s="190">
        <f t="shared" si="20"/>
        <v>400000</v>
      </c>
      <c r="AH207" s="190"/>
      <c r="AI207" s="192" t="str">
        <f>VLOOKUP(Q207,[3]Sheet1!B$11:G$1489,6,0)</f>
        <v>E11</v>
      </c>
      <c r="GK207" s="194"/>
      <c r="GL207" s="195"/>
      <c r="GM207" s="196"/>
      <c r="GN207" s="197"/>
      <c r="GO207" s="198"/>
      <c r="GP207" s="199"/>
      <c r="GQ207" s="200"/>
      <c r="GR207" s="201"/>
      <c r="GS207" s="60"/>
      <c r="GT207" s="202"/>
      <c r="GU207" s="202"/>
      <c r="GV207" s="202"/>
      <c r="GW207" s="202"/>
      <c r="GX207" s="203"/>
      <c r="HA207" s="194"/>
      <c r="HB207" s="195"/>
      <c r="HC207" s="196"/>
      <c r="HD207" s="197"/>
      <c r="HE207" s="198"/>
      <c r="HF207" s="199"/>
      <c r="HG207" s="200"/>
      <c r="HH207" s="201"/>
      <c r="HI207" s="60"/>
      <c r="HJ207" s="202"/>
      <c r="HK207" s="202"/>
      <c r="HL207" s="202"/>
      <c r="HM207" s="202"/>
      <c r="HN207" s="203"/>
    </row>
    <row r="208" spans="1:222" ht="16.5" customHeight="1">
      <c r="A208" s="181">
        <v>205</v>
      </c>
      <c r="B208" s="182">
        <v>872406182036</v>
      </c>
      <c r="C208" s="598" t="s">
        <v>2458</v>
      </c>
      <c r="D208" s="184" t="s">
        <v>981</v>
      </c>
      <c r="E208" s="184" t="str">
        <f t="shared" si="21"/>
        <v>Import</v>
      </c>
      <c r="F208" s="720" t="str" cm="1">
        <f t="array" ref="F208">_xlfn.IFS(
  OR(AI208="E11", AI208="E15"), "Raw materials",
  OR(AI208="E13", AI208="G13"), "Equipments + Toolings",
  TRUE, RIGHT(C208, 8)
)</f>
        <v>Raw materials</v>
      </c>
      <c r="G208" s="541" t="str" cm="1">
        <f t="array" ref="G208">IF(E208="Import",
  IFERROR(
    _xlfn.IFS(
      VLOOKUP(B208,[1]Material!F$5:U$90000,16,0)="LUC","Lucid",
      VLOOKUP(B208,[1]Material!F$5:U$90000,16,0)="FMC","FORD",
      OR(VLOOKUP(B208,[1]Material!F$5:U$90000,16,0)="PUR",VLOOKUP(B208,[1]Material!F$5:U$90000,16,0)="HLO"),"PURE",
      VLOOKUP(B208,[1]Material!F$5:U$90000,16,0)="AIC","AIC",
      OR(VLOOKUP(B208,[1]Material!F$5:U$90000,16,0)="AGI",VLOOKUP(B208,[1]Material!F$5:U$90000,16,0)="AGIGA"),"AGIGA",
      OR(LEFT(VLOOKUP(B208,[1]Material!F$5:U$90000,16,0),3)="EF-",VLOOKUP(B208,[1]Material!F$5:U$90000,16,0)="EFI"),"EFI",
      AND(ISNUMBER(VLOOKUP(B208,[1]Material!F$5:U$90000,16,0)),VLOOKUP(B208,[1]Material!F$5:U$90000,16,0)&gt;=100,VLOOKUP(B208,[1]Material!F$5:U$90000,16,0)&lt;=999,VLOOKUP(B208,[1]Material!F$5:U$90000,16,0)=INT(VLOOKUP(B208,[1]Material!F$5:U$90000,16,0))),"OEM",
      TRUE,""
    ),
    "không tìm thấy trong file Import"
  ),
  VLOOKUP(F208,'[2]Export shipment'!B:Y,24,0)
)</f>
        <v>Lucid</v>
      </c>
      <c r="H208" s="184"/>
      <c r="I208" s="184"/>
      <c r="J208" s="260">
        <f>(V208+X208+AA208)/'Logistics record '!$AD$1</f>
        <v>15.116015418335726</v>
      </c>
      <c r="K208" s="260">
        <f>W208/'Logistics record '!$AD$1</f>
        <v>0</v>
      </c>
      <c r="L208" s="260">
        <f>Y208/'Logistics record '!$AD$1</f>
        <v>0</v>
      </c>
      <c r="M208" s="260">
        <f>AF208/'Logistics record '!$AD$1</f>
        <v>0</v>
      </c>
      <c r="N208" s="260" t="str" cm="1">
        <f t="array" ref="N208">_xlfn.IFS(
    OR(UPPER(S208)="AIR", UPPER(S208)="CPN"), "AIR",
    UPPER(S208)="TC", "LOCAL",
    TRUE, "SEA"
)</f>
        <v>AIR</v>
      </c>
      <c r="O208" s="260">
        <f t="shared" si="22"/>
        <v>15.116015418335726</v>
      </c>
      <c r="P208" s="184" t="s">
        <v>935</v>
      </c>
      <c r="Q208" s="185">
        <v>108309355450</v>
      </c>
      <c r="R208" s="186">
        <v>46177</v>
      </c>
      <c r="S208" s="187" t="s">
        <v>928</v>
      </c>
      <c r="T208" s="188">
        <v>11.7</v>
      </c>
      <c r="U208" s="188"/>
      <c r="V208" s="189">
        <v>400000</v>
      </c>
      <c r="W208" s="190"/>
      <c r="X208" s="190"/>
      <c r="Y208" s="190"/>
      <c r="Z208" s="189">
        <f t="shared" si="18"/>
        <v>400000</v>
      </c>
      <c r="AA208" s="189">
        <v>0</v>
      </c>
      <c r="AB208" s="189">
        <f t="shared" si="23"/>
        <v>400000</v>
      </c>
      <c r="AC208" s="189"/>
      <c r="AD208" s="190"/>
      <c r="AE208" s="190"/>
      <c r="AF208" s="191">
        <f t="shared" si="19"/>
        <v>0</v>
      </c>
      <c r="AG208" s="190">
        <f t="shared" si="20"/>
        <v>400000</v>
      </c>
      <c r="AH208" s="190"/>
      <c r="AI208" s="192" t="str">
        <f>VLOOKUP(Q208,[3]Sheet1!B$11:G$1489,6,0)</f>
        <v>E11</v>
      </c>
      <c r="GK208" s="194"/>
      <c r="GL208" s="195"/>
      <c r="GM208" s="196"/>
      <c r="GN208" s="197"/>
      <c r="GO208" s="198"/>
      <c r="GP208" s="199"/>
      <c r="GQ208" s="200"/>
      <c r="GR208" s="201"/>
      <c r="GS208" s="60"/>
      <c r="GT208" s="202"/>
      <c r="GU208" s="202"/>
      <c r="GV208" s="202"/>
      <c r="GW208" s="202"/>
      <c r="GX208" s="203"/>
      <c r="HA208" s="194"/>
      <c r="HB208" s="195"/>
      <c r="HC208" s="196"/>
      <c r="HD208" s="197"/>
      <c r="HE208" s="198"/>
      <c r="HF208" s="199"/>
      <c r="HG208" s="200"/>
      <c r="HH208" s="201"/>
      <c r="HI208" s="60"/>
      <c r="HJ208" s="202"/>
      <c r="HK208" s="202"/>
      <c r="HL208" s="202"/>
      <c r="HM208" s="202"/>
      <c r="HN208" s="203"/>
    </row>
    <row r="209" spans="1:222" ht="16.5" customHeight="1">
      <c r="A209" s="181">
        <v>206</v>
      </c>
      <c r="B209" s="182">
        <v>489101280280</v>
      </c>
      <c r="C209" s="183" t="s">
        <v>2459</v>
      </c>
      <c r="D209" s="184" t="s">
        <v>1711</v>
      </c>
      <c r="E209" s="184" t="str">
        <f t="shared" si="21"/>
        <v>Import</v>
      </c>
      <c r="F209" s="720" t="str" cm="1">
        <f t="array" ref="F209">_xlfn.IFS(
  OR(AI209="E11", AI209="E15"), "Raw materials",
  OR(AI209="E13", AI209="G13"), "Equipments + Toolings",
  TRUE, RIGHT(C209, 8)
)</f>
        <v>Raw materials</v>
      </c>
      <c r="G209" s="541" t="str" cm="1">
        <f t="array" ref="G209">IF(E209="Import",
  IFERROR(
    _xlfn.IFS(
      VLOOKUP(B209,[1]Material!F$5:U$90000,16,0)="LUC","Lucid",
      VLOOKUP(B209,[1]Material!F$5:U$90000,16,0)="FMC","FORD",
      OR(VLOOKUP(B209,[1]Material!F$5:U$90000,16,0)="PUR",VLOOKUP(B209,[1]Material!F$5:U$90000,16,0)="HLO"),"PURE",
      VLOOKUP(B209,[1]Material!F$5:U$90000,16,0)="AIC","AIC",
      OR(VLOOKUP(B209,[1]Material!F$5:U$90000,16,0)="AGI",VLOOKUP(B209,[1]Material!F$5:U$90000,16,0)="AGIGA"),"AGIGA",
      OR(LEFT(VLOOKUP(B209,[1]Material!F$5:U$90000,16,0),3)="EF-",VLOOKUP(B209,[1]Material!F$5:U$90000,16,0)="EFI"),"EFI",
      AND(ISNUMBER(VLOOKUP(B209,[1]Material!F$5:U$90000,16,0)),VLOOKUP(B209,[1]Material!F$5:U$90000,16,0)&gt;=100,VLOOKUP(B209,[1]Material!F$5:U$90000,16,0)&lt;=999,VLOOKUP(B209,[1]Material!F$5:U$90000,16,0)=INT(VLOOKUP(B209,[1]Material!F$5:U$90000,16,0))),"OEM",
      TRUE,""
    ),
    "không tìm thấy trong file Import"
  ),
  VLOOKUP(F209,'[2]Export shipment'!B:Y,24,0)
)</f>
        <v>OEM</v>
      </c>
      <c r="H209" s="184"/>
      <c r="I209" s="184"/>
      <c r="J209" s="260">
        <f>(V209+X209+AA209)/'Logistics record '!$AD$1</f>
        <v>15.116015418335726</v>
      </c>
      <c r="K209" s="260">
        <f>W209/'Logistics record '!$AD$1</f>
        <v>0</v>
      </c>
      <c r="L209" s="260">
        <f>Y209/'Logistics record '!$AD$1</f>
        <v>0</v>
      </c>
      <c r="M209" s="260">
        <f>AF209/'Logistics record '!$AD$1</f>
        <v>0</v>
      </c>
      <c r="N209" s="260" t="str" cm="1">
        <f t="array" ref="N209">_xlfn.IFS(
    OR(UPPER(S209)="AIR", UPPER(S209)="CPN"), "AIR",
    UPPER(S209)="TC", "LOCAL",
    TRUE, "SEA"
)</f>
        <v>AIR</v>
      </c>
      <c r="O209" s="260">
        <f t="shared" si="22"/>
        <v>15.116015418335726</v>
      </c>
      <c r="P209" s="184" t="s">
        <v>1992</v>
      </c>
      <c r="Q209" s="185">
        <v>108309522750</v>
      </c>
      <c r="R209" s="186">
        <v>46177</v>
      </c>
      <c r="S209" s="187" t="s">
        <v>928</v>
      </c>
      <c r="T209" s="188">
        <v>1.3</v>
      </c>
      <c r="U209" s="188"/>
      <c r="V209" s="189">
        <v>400000</v>
      </c>
      <c r="W209" s="190"/>
      <c r="X209" s="190"/>
      <c r="Y209" s="190"/>
      <c r="Z209" s="189">
        <f t="shared" si="18"/>
        <v>400000</v>
      </c>
      <c r="AA209" s="189">
        <v>0</v>
      </c>
      <c r="AB209" s="189">
        <f t="shared" si="23"/>
        <v>400000</v>
      </c>
      <c r="AC209" s="189"/>
      <c r="AD209" s="190"/>
      <c r="AE209" s="190"/>
      <c r="AF209" s="191">
        <f t="shared" si="19"/>
        <v>0</v>
      </c>
      <c r="AG209" s="190">
        <f t="shared" si="20"/>
        <v>400000</v>
      </c>
      <c r="AH209" s="190"/>
      <c r="AI209" s="192" t="str">
        <f>VLOOKUP(Q209,[3]Sheet1!B$11:G$1489,6,0)</f>
        <v>E11</v>
      </c>
      <c r="GK209" s="194"/>
      <c r="GL209" s="195"/>
      <c r="GM209" s="196"/>
      <c r="GN209" s="197"/>
      <c r="GO209" s="198"/>
      <c r="GP209" s="199"/>
      <c r="GQ209" s="200"/>
      <c r="GR209" s="201"/>
      <c r="GS209" s="60"/>
      <c r="GT209" s="202"/>
      <c r="GU209" s="202"/>
      <c r="GV209" s="202"/>
      <c r="GW209" s="202"/>
      <c r="GX209" s="203"/>
      <c r="HA209" s="194"/>
      <c r="HB209" s="195"/>
      <c r="HC209" s="196"/>
      <c r="HD209" s="197"/>
      <c r="HE209" s="198"/>
      <c r="HF209" s="199"/>
      <c r="HG209" s="200"/>
      <c r="HH209" s="201"/>
      <c r="HI209" s="60"/>
      <c r="HJ209" s="202"/>
      <c r="HK209" s="202"/>
      <c r="HL209" s="202"/>
      <c r="HM209" s="202"/>
      <c r="HN209" s="203"/>
    </row>
    <row r="210" spans="1:222" ht="16.5" customHeight="1">
      <c r="A210" s="181">
        <v>207</v>
      </c>
      <c r="B210" s="182">
        <v>527529851635</v>
      </c>
      <c r="C210" s="183" t="s">
        <v>2460</v>
      </c>
      <c r="D210" s="184" t="s">
        <v>1905</v>
      </c>
      <c r="E210" s="184" t="str">
        <f t="shared" si="21"/>
        <v>Import</v>
      </c>
      <c r="F210" s="720" t="str" cm="1">
        <f t="array" ref="F210">_xlfn.IFS(
  OR(AI210="E11", AI210="E15"), "Raw materials",
  OR(AI210="E13", AI210="G13"), "Equipments + Toolings",
  TRUE, RIGHT(C210, 8)
)</f>
        <v>Raw materials</v>
      </c>
      <c r="G210" s="541" t="str" cm="1">
        <f t="array" ref="G210">IF(E210="Import",
  IFERROR(
    _xlfn.IFS(
      VLOOKUP(B210,[1]Material!F$5:U$90000,16,0)="LUC","Lucid",
      VLOOKUP(B210,[1]Material!F$5:U$90000,16,0)="FMC","FORD",
      OR(VLOOKUP(B210,[1]Material!F$5:U$90000,16,0)="PUR",VLOOKUP(B210,[1]Material!F$5:U$90000,16,0)="HLO"),"PURE",
      VLOOKUP(B210,[1]Material!F$5:U$90000,16,0)="AIC","AIC",
      OR(VLOOKUP(B210,[1]Material!F$5:U$90000,16,0)="AGI",VLOOKUP(B210,[1]Material!F$5:U$90000,16,0)="AGIGA"),"AGIGA",
      OR(LEFT(VLOOKUP(B210,[1]Material!F$5:U$90000,16,0),3)="EF-",VLOOKUP(B210,[1]Material!F$5:U$90000,16,0)="EFI"),"EFI",
      AND(ISNUMBER(VLOOKUP(B210,[1]Material!F$5:U$90000,16,0)),VLOOKUP(B210,[1]Material!F$5:U$90000,16,0)&gt;=100,VLOOKUP(B210,[1]Material!F$5:U$90000,16,0)&lt;=999,VLOOKUP(B210,[1]Material!F$5:U$90000,16,0)=INT(VLOOKUP(B210,[1]Material!F$5:U$90000,16,0))),"OEM",
      TRUE,""
    ),
    "không tìm thấy trong file Import"
  ),
  VLOOKUP(F210,'[2]Export shipment'!B:Y,24,0)
)</f>
        <v>PURE</v>
      </c>
      <c r="H210" s="184"/>
      <c r="I210" s="184"/>
      <c r="J210" s="260">
        <f>(V210+X210+AA210)/'Logistics record '!$AD$1</f>
        <v>15.116015418335726</v>
      </c>
      <c r="K210" s="260">
        <f>W210/'Logistics record '!$AD$1</f>
        <v>0</v>
      </c>
      <c r="L210" s="260">
        <f>Y210/'Logistics record '!$AD$1</f>
        <v>0</v>
      </c>
      <c r="M210" s="260">
        <f>AF210/'Logistics record '!$AD$1</f>
        <v>0</v>
      </c>
      <c r="N210" s="260" t="str" cm="1">
        <f t="array" ref="N210">_xlfn.IFS(
    OR(UPPER(S210)="AIR", UPPER(S210)="CPN"), "AIR",
    UPPER(S210)="TC", "LOCAL",
    TRUE, "SEA"
)</f>
        <v>AIR</v>
      </c>
      <c r="O210" s="260">
        <f t="shared" si="22"/>
        <v>15.116015418335726</v>
      </c>
      <c r="P210" s="184" t="s">
        <v>954</v>
      </c>
      <c r="Q210" s="185">
        <v>108309534320</v>
      </c>
      <c r="R210" s="186">
        <v>46177</v>
      </c>
      <c r="S210" s="187" t="s">
        <v>928</v>
      </c>
      <c r="T210" s="188">
        <v>8.4</v>
      </c>
      <c r="U210" s="188"/>
      <c r="V210" s="189">
        <v>400000</v>
      </c>
      <c r="W210" s="190"/>
      <c r="X210" s="190"/>
      <c r="Y210" s="190"/>
      <c r="Z210" s="189">
        <f t="shared" si="18"/>
        <v>400000</v>
      </c>
      <c r="AA210" s="189">
        <v>0</v>
      </c>
      <c r="AB210" s="189">
        <f t="shared" si="23"/>
        <v>400000</v>
      </c>
      <c r="AC210" s="189"/>
      <c r="AD210" s="190"/>
      <c r="AE210" s="190"/>
      <c r="AF210" s="191">
        <f t="shared" si="19"/>
        <v>0</v>
      </c>
      <c r="AG210" s="190">
        <f t="shared" si="20"/>
        <v>400000</v>
      </c>
      <c r="AH210" s="190"/>
      <c r="AI210" s="192" t="str">
        <f>VLOOKUP(Q210,[3]Sheet1!B$11:G$1489,6,0)</f>
        <v>E11</v>
      </c>
      <c r="GK210" s="194"/>
      <c r="GL210" s="195"/>
      <c r="GM210" s="196"/>
      <c r="GN210" s="197"/>
      <c r="GO210" s="198"/>
      <c r="GP210" s="199"/>
      <c r="GQ210" s="200"/>
      <c r="GR210" s="201"/>
      <c r="GS210" s="60"/>
      <c r="GT210" s="202"/>
      <c r="GU210" s="202"/>
      <c r="GV210" s="202"/>
      <c r="GW210" s="202"/>
      <c r="GX210" s="203"/>
      <c r="HA210" s="194"/>
      <c r="HB210" s="195"/>
      <c r="HC210" s="196"/>
      <c r="HD210" s="197"/>
      <c r="HE210" s="198"/>
      <c r="HF210" s="199"/>
      <c r="HG210" s="200"/>
      <c r="HH210" s="201"/>
      <c r="HI210" s="60"/>
      <c r="HJ210" s="202"/>
      <c r="HK210" s="202"/>
      <c r="HL210" s="202"/>
      <c r="HM210" s="202"/>
      <c r="HN210" s="203"/>
    </row>
    <row r="211" spans="1:222" ht="16.5" customHeight="1">
      <c r="A211" s="181">
        <v>208</v>
      </c>
      <c r="B211" s="182">
        <v>872449029491</v>
      </c>
      <c r="C211" s="598" t="s">
        <v>2461</v>
      </c>
      <c r="D211" s="184" t="s">
        <v>2163</v>
      </c>
      <c r="E211" s="184" t="str">
        <f t="shared" si="21"/>
        <v>Import</v>
      </c>
      <c r="F211" s="720" t="str" cm="1">
        <f t="array" ref="F211">_xlfn.IFS(
  OR(AI211="E11", AI211="E15"), "Raw materials",
  OR(AI211="E13", AI211="G13"), "Equipments + Toolings",
  TRUE, RIGHT(C211, 8)
)</f>
        <v>Raw materials</v>
      </c>
      <c r="G211" s="541" t="str" cm="1">
        <f t="array" ref="G211">IF(E211="Import",
  IFERROR(
    _xlfn.IFS(
      VLOOKUP(B211,[1]Material!F$5:U$90000,16,0)="LUC","Lucid",
      VLOOKUP(B211,[1]Material!F$5:U$90000,16,0)="FMC","FORD",
      OR(VLOOKUP(B211,[1]Material!F$5:U$90000,16,0)="PUR",VLOOKUP(B211,[1]Material!F$5:U$90000,16,0)="HLO"),"PURE",
      VLOOKUP(B211,[1]Material!F$5:U$90000,16,0)="AIC","AIC",
      OR(VLOOKUP(B211,[1]Material!F$5:U$90000,16,0)="AGI",VLOOKUP(B211,[1]Material!F$5:U$90000,16,0)="AGIGA"),"AGIGA",
      OR(LEFT(VLOOKUP(B211,[1]Material!F$5:U$90000,16,0),3)="EF-",VLOOKUP(B211,[1]Material!F$5:U$90000,16,0)="EFI"),"EFI",
      AND(ISNUMBER(VLOOKUP(B211,[1]Material!F$5:U$90000,16,0)),VLOOKUP(B211,[1]Material!F$5:U$90000,16,0)&gt;=100,VLOOKUP(B211,[1]Material!F$5:U$90000,16,0)&lt;=999,VLOOKUP(B211,[1]Material!F$5:U$90000,16,0)=INT(VLOOKUP(B211,[1]Material!F$5:U$90000,16,0))),"OEM",
      TRUE,""
    ),
    "không tìm thấy trong file Import"
  ),
  VLOOKUP(F211,'[2]Export shipment'!B:Y,24,0)
)</f>
        <v>AIC</v>
      </c>
      <c r="H211" s="184"/>
      <c r="I211" s="184"/>
      <c r="J211" s="260">
        <f>(V211+X211+AA211)/'Logistics record '!$AD$1</f>
        <v>15.116015418335726</v>
      </c>
      <c r="K211" s="260">
        <f>W211/'Logistics record '!$AD$1</f>
        <v>0</v>
      </c>
      <c r="L211" s="260">
        <f>Y211/'Logistics record '!$AD$1</f>
        <v>0</v>
      </c>
      <c r="M211" s="260">
        <f>AF211/'Logistics record '!$AD$1</f>
        <v>0</v>
      </c>
      <c r="N211" s="260" t="str" cm="1">
        <f t="array" ref="N211">_xlfn.IFS(
    OR(UPPER(S211)="AIR", UPPER(S211)="CPN"), "AIR",
    UPPER(S211)="TC", "LOCAL",
    TRUE, "SEA"
)</f>
        <v>AIR</v>
      </c>
      <c r="O211" s="260">
        <f t="shared" si="22"/>
        <v>15.116015418335726</v>
      </c>
      <c r="P211" s="184" t="s">
        <v>932</v>
      </c>
      <c r="Q211" s="185">
        <v>108309994660</v>
      </c>
      <c r="R211" s="186">
        <v>46177</v>
      </c>
      <c r="S211" s="187" t="s">
        <v>928</v>
      </c>
      <c r="T211" s="188">
        <v>0.5</v>
      </c>
      <c r="U211" s="188"/>
      <c r="V211" s="189">
        <v>400000</v>
      </c>
      <c r="W211" s="190"/>
      <c r="X211" s="190"/>
      <c r="Y211" s="190"/>
      <c r="Z211" s="189">
        <f t="shared" si="18"/>
        <v>400000</v>
      </c>
      <c r="AA211" s="189">
        <v>0</v>
      </c>
      <c r="AB211" s="189">
        <f t="shared" si="23"/>
        <v>400000</v>
      </c>
      <c r="AC211" s="189"/>
      <c r="AD211" s="190"/>
      <c r="AE211" s="190"/>
      <c r="AF211" s="191">
        <f t="shared" si="19"/>
        <v>0</v>
      </c>
      <c r="AG211" s="190">
        <f t="shared" si="20"/>
        <v>400000</v>
      </c>
      <c r="AH211" s="190"/>
      <c r="AI211" s="192" t="str">
        <f>VLOOKUP(Q211,[3]Sheet1!B$11:G$1489,6,0)</f>
        <v>E11</v>
      </c>
      <c r="GK211" s="194"/>
      <c r="GL211" s="195"/>
      <c r="GM211" s="196"/>
      <c r="GN211" s="197"/>
      <c r="GO211" s="198"/>
      <c r="GP211" s="199"/>
      <c r="GQ211" s="200"/>
      <c r="GR211" s="201"/>
      <c r="GS211" s="60"/>
      <c r="GT211" s="202"/>
      <c r="GU211" s="202"/>
      <c r="GV211" s="202"/>
      <c r="GW211" s="202"/>
      <c r="GX211" s="203"/>
      <c r="HA211" s="194"/>
      <c r="HB211" s="195"/>
      <c r="HC211" s="196"/>
      <c r="HD211" s="197"/>
      <c r="HE211" s="198"/>
      <c r="HF211" s="199"/>
      <c r="HG211" s="200"/>
      <c r="HH211" s="201"/>
      <c r="HI211" s="60"/>
      <c r="HJ211" s="202"/>
      <c r="HK211" s="202"/>
      <c r="HL211" s="202"/>
      <c r="HM211" s="202"/>
      <c r="HN211" s="203"/>
    </row>
    <row r="212" spans="1:222" ht="16.5" customHeight="1">
      <c r="A212" s="181">
        <v>209</v>
      </c>
      <c r="B212" s="182">
        <v>872525360230</v>
      </c>
      <c r="C212" s="183" t="s">
        <v>2462</v>
      </c>
      <c r="D212" s="184" t="s">
        <v>1481</v>
      </c>
      <c r="E212" s="184" t="str">
        <f t="shared" si="21"/>
        <v>Import</v>
      </c>
      <c r="F212" s="720" t="str" cm="1">
        <f t="array" ref="F212">_xlfn.IFS(
  OR(AI212="E11", AI212="E15"), "Raw materials",
  OR(AI212="E13", AI212="G13"), "Equipments + Toolings",
  TRUE, RIGHT(C212, 8)
)</f>
        <v>Raw materials</v>
      </c>
      <c r="G212" s="541" t="str" cm="1">
        <f t="array" ref="G212">IF(E212="Import",
  IFERROR(
    _xlfn.IFS(
      VLOOKUP(B212,[1]Material!F$5:U$90000,16,0)="LUC","Lucid",
      VLOOKUP(B212,[1]Material!F$5:U$90000,16,0)="FMC","FORD",
      OR(VLOOKUP(B212,[1]Material!F$5:U$90000,16,0)="PUR",VLOOKUP(B212,[1]Material!F$5:U$90000,16,0)="HLO"),"PURE",
      VLOOKUP(B212,[1]Material!F$5:U$90000,16,0)="AIC","AIC",
      OR(VLOOKUP(B212,[1]Material!F$5:U$90000,16,0)="AGI",VLOOKUP(B212,[1]Material!F$5:U$90000,16,0)="AGIGA"),"AGIGA",
      OR(LEFT(VLOOKUP(B212,[1]Material!F$5:U$90000,16,0),3)="EF-",VLOOKUP(B212,[1]Material!F$5:U$90000,16,0)="EFI"),"EFI",
      AND(ISNUMBER(VLOOKUP(B212,[1]Material!F$5:U$90000,16,0)),VLOOKUP(B212,[1]Material!F$5:U$90000,16,0)&gt;=100,VLOOKUP(B212,[1]Material!F$5:U$90000,16,0)&lt;=999,VLOOKUP(B212,[1]Material!F$5:U$90000,16,0)=INT(VLOOKUP(B212,[1]Material!F$5:U$90000,16,0))),"OEM",
      TRUE,""
    ),
    "không tìm thấy trong file Import"
  ),
  VLOOKUP(F212,'[2]Export shipment'!B:Y,24,0)
)</f>
        <v>EFI</v>
      </c>
      <c r="H212" s="184"/>
      <c r="I212" s="184"/>
      <c r="J212" s="260">
        <f>(V212+X212+AA212)/'Logistics record '!$AD$1</f>
        <v>15.116015418335726</v>
      </c>
      <c r="K212" s="260">
        <f>W212/'Logistics record '!$AD$1</f>
        <v>0</v>
      </c>
      <c r="L212" s="260">
        <f>Y212/'Logistics record '!$AD$1</f>
        <v>0</v>
      </c>
      <c r="M212" s="260">
        <f>AF212/'Logistics record '!$AD$1</f>
        <v>0</v>
      </c>
      <c r="N212" s="260" t="str" cm="1">
        <f t="array" ref="N212">_xlfn.IFS(
    OR(UPPER(S212)="AIR", UPPER(S212)="CPN"), "AIR",
    UPPER(S212)="TC", "LOCAL",
    TRUE, "SEA"
)</f>
        <v>AIR</v>
      </c>
      <c r="O212" s="260">
        <f t="shared" si="22"/>
        <v>15.116015418335726</v>
      </c>
      <c r="P212" s="184" t="s">
        <v>937</v>
      </c>
      <c r="Q212" s="185">
        <v>108310628050</v>
      </c>
      <c r="R212" s="186">
        <v>46178</v>
      </c>
      <c r="S212" s="187" t="s">
        <v>928</v>
      </c>
      <c r="T212" s="188">
        <v>2.8</v>
      </c>
      <c r="U212" s="188"/>
      <c r="V212" s="189">
        <v>400000</v>
      </c>
      <c r="W212" s="190"/>
      <c r="X212" s="190"/>
      <c r="Y212" s="190"/>
      <c r="Z212" s="189">
        <f t="shared" si="18"/>
        <v>400000</v>
      </c>
      <c r="AA212" s="189">
        <v>0</v>
      </c>
      <c r="AB212" s="189">
        <f t="shared" si="23"/>
        <v>400000</v>
      </c>
      <c r="AC212" s="189"/>
      <c r="AD212" s="190"/>
      <c r="AE212" s="190"/>
      <c r="AF212" s="191">
        <f t="shared" si="19"/>
        <v>0</v>
      </c>
      <c r="AG212" s="190">
        <f t="shared" si="20"/>
        <v>400000</v>
      </c>
      <c r="AH212" s="190"/>
      <c r="AI212" s="192" t="str">
        <f>VLOOKUP(Q212,[3]Sheet1!B$11:G$1489,6,0)</f>
        <v>E11</v>
      </c>
      <c r="GK212" s="194"/>
      <c r="GL212" s="195"/>
      <c r="GM212" s="196"/>
      <c r="GN212" s="197"/>
      <c r="GO212" s="198"/>
      <c r="GP212" s="199"/>
      <c r="GQ212" s="200"/>
      <c r="GR212" s="201"/>
      <c r="GS212" s="60"/>
      <c r="GT212" s="202"/>
      <c r="GU212" s="202"/>
      <c r="GV212" s="202"/>
      <c r="GW212" s="202"/>
      <c r="GX212" s="203"/>
      <c r="HA212" s="194"/>
      <c r="HB212" s="195"/>
      <c r="HC212" s="196"/>
      <c r="HD212" s="197"/>
      <c r="HE212" s="198"/>
      <c r="HF212" s="199"/>
      <c r="HG212" s="200"/>
      <c r="HH212" s="201"/>
      <c r="HI212" s="60"/>
      <c r="HJ212" s="202"/>
      <c r="HK212" s="202"/>
      <c r="HL212" s="202"/>
      <c r="HM212" s="202"/>
      <c r="HN212" s="203"/>
    </row>
    <row r="213" spans="1:222" ht="16.5" customHeight="1">
      <c r="A213" s="181">
        <v>210</v>
      </c>
      <c r="B213" s="182">
        <v>381712224615</v>
      </c>
      <c r="C213" s="183" t="s">
        <v>2463</v>
      </c>
      <c r="D213" s="184" t="s">
        <v>981</v>
      </c>
      <c r="E213" s="184" t="str">
        <f t="shared" si="21"/>
        <v>Import</v>
      </c>
      <c r="F213" s="720" t="str" cm="1">
        <f t="array" ref="F213">_xlfn.IFS(
  OR(AI213="E11", AI213="E15"), "Raw materials",
  OR(AI213="E13", AI213="G13"), "Equipments + Toolings",
  TRUE, RIGHT(C213, 8)
)</f>
        <v>Raw materials</v>
      </c>
      <c r="G213" s="541" t="str" cm="1">
        <f t="array" ref="G213">IF(E213="Import",
  IFERROR(
    _xlfn.IFS(
      VLOOKUP(B213,[1]Material!F$5:U$90000,16,0)="LUC","Lucid",
      VLOOKUP(B213,[1]Material!F$5:U$90000,16,0)="FMC","FORD",
      OR(VLOOKUP(B213,[1]Material!F$5:U$90000,16,0)="PUR",VLOOKUP(B213,[1]Material!F$5:U$90000,16,0)="HLO"),"PURE",
      VLOOKUP(B213,[1]Material!F$5:U$90000,16,0)="AIC","AIC",
      OR(VLOOKUP(B213,[1]Material!F$5:U$90000,16,0)="AGI",VLOOKUP(B213,[1]Material!F$5:U$90000,16,0)="AGIGA"),"AGIGA",
      OR(LEFT(VLOOKUP(B213,[1]Material!F$5:U$90000,16,0),3)="EF-",VLOOKUP(B213,[1]Material!F$5:U$90000,16,0)="EFI"),"EFI",
      AND(ISNUMBER(VLOOKUP(B213,[1]Material!F$5:U$90000,16,0)),VLOOKUP(B213,[1]Material!F$5:U$90000,16,0)&gt;=100,VLOOKUP(B213,[1]Material!F$5:U$90000,16,0)&lt;=999,VLOOKUP(B213,[1]Material!F$5:U$90000,16,0)=INT(VLOOKUP(B213,[1]Material!F$5:U$90000,16,0))),"OEM",
      TRUE,""
    ),
    "không tìm thấy trong file Import"
  ),
  VLOOKUP(F213,'[2]Export shipment'!B:Y,24,0)
)</f>
        <v>Lucid</v>
      </c>
      <c r="H213" s="184"/>
      <c r="I213" s="184"/>
      <c r="J213" s="260">
        <f>(V213+X213+AA213)/'Logistics record '!$AD$1</f>
        <v>15.116015418335726</v>
      </c>
      <c r="K213" s="260">
        <f>W213/'Logistics record '!$AD$1</f>
        <v>0</v>
      </c>
      <c r="L213" s="260">
        <f>Y213/'Logistics record '!$AD$1</f>
        <v>0</v>
      </c>
      <c r="M213" s="260">
        <f>AF213/'Logistics record '!$AD$1</f>
        <v>0</v>
      </c>
      <c r="N213" s="260" t="str" cm="1">
        <f t="array" ref="N213">_xlfn.IFS(
    OR(UPPER(S213)="AIR", UPPER(S213)="CPN"), "AIR",
    UPPER(S213)="TC", "LOCAL",
    TRUE, "SEA"
)</f>
        <v>AIR</v>
      </c>
      <c r="O213" s="260">
        <f t="shared" si="22"/>
        <v>15.116015418335726</v>
      </c>
      <c r="P213" s="184" t="s">
        <v>935</v>
      </c>
      <c r="Q213" s="185">
        <v>108312371900</v>
      </c>
      <c r="R213" s="186">
        <v>46178</v>
      </c>
      <c r="S213" s="187" t="s">
        <v>928</v>
      </c>
      <c r="T213" s="188">
        <v>0.5</v>
      </c>
      <c r="U213" s="188"/>
      <c r="V213" s="189">
        <v>400000</v>
      </c>
      <c r="W213" s="190"/>
      <c r="X213" s="190"/>
      <c r="Y213" s="190"/>
      <c r="Z213" s="189">
        <f t="shared" si="18"/>
        <v>400000</v>
      </c>
      <c r="AA213" s="189">
        <v>0</v>
      </c>
      <c r="AB213" s="189">
        <f t="shared" si="23"/>
        <v>400000</v>
      </c>
      <c r="AC213" s="189"/>
      <c r="AD213" s="190"/>
      <c r="AE213" s="190"/>
      <c r="AF213" s="191">
        <f t="shared" si="19"/>
        <v>0</v>
      </c>
      <c r="AG213" s="190">
        <f t="shared" si="20"/>
        <v>400000</v>
      </c>
      <c r="AH213" s="190"/>
      <c r="AI213" s="192" t="str">
        <f>VLOOKUP(Q213,[3]Sheet1!B$11:G$1489,6,0)</f>
        <v>E11</v>
      </c>
      <c r="GK213" s="194"/>
      <c r="GL213" s="195"/>
      <c r="GM213" s="196"/>
      <c r="GN213" s="197"/>
      <c r="GO213" s="198"/>
      <c r="GP213" s="199"/>
      <c r="GQ213" s="200"/>
      <c r="GR213" s="201"/>
      <c r="GS213" s="60"/>
      <c r="GT213" s="202"/>
      <c r="GU213" s="202"/>
      <c r="GV213" s="202"/>
      <c r="GW213" s="202"/>
      <c r="GX213" s="203"/>
      <c r="HA213" s="194"/>
      <c r="HB213" s="195"/>
      <c r="HC213" s="196"/>
      <c r="HD213" s="197"/>
      <c r="HE213" s="198"/>
      <c r="HF213" s="199"/>
      <c r="HG213" s="200"/>
      <c r="HH213" s="201"/>
      <c r="HI213" s="60"/>
      <c r="HJ213" s="202"/>
      <c r="HK213" s="202"/>
      <c r="HL213" s="202"/>
      <c r="HM213" s="202"/>
      <c r="HN213" s="203"/>
    </row>
    <row r="214" spans="1:222" ht="16.5" customHeight="1">
      <c r="A214" s="181">
        <v>211</v>
      </c>
      <c r="B214" s="182">
        <v>2172239860</v>
      </c>
      <c r="C214" s="598" t="s">
        <v>2464</v>
      </c>
      <c r="D214" s="184" t="s">
        <v>1697</v>
      </c>
      <c r="E214" s="184" t="str">
        <f t="shared" si="21"/>
        <v>Import</v>
      </c>
      <c r="F214" s="720" t="str" cm="1">
        <f t="array" ref="F214">_xlfn.IFS(
  OR(AI214="E11", AI214="E15"), "Raw materials",
  OR(AI214="E13", AI214="G13"), "Equipments + Toolings",
  TRUE, RIGHT(C214, 8)
)</f>
        <v>Raw materials</v>
      </c>
      <c r="G214" s="541" t="str" cm="1">
        <f t="array" ref="G214">IF(E214="Import",
  IFERROR(
    _xlfn.IFS(
      VLOOKUP(B214,[1]Material!F$5:U$90000,16,0)="LUC","Lucid",
      VLOOKUP(B214,[1]Material!F$5:U$90000,16,0)="FMC","FORD",
      OR(VLOOKUP(B214,[1]Material!F$5:U$90000,16,0)="PUR",VLOOKUP(B214,[1]Material!F$5:U$90000,16,0)="HLO"),"PURE",
      VLOOKUP(B214,[1]Material!F$5:U$90000,16,0)="AIC","AIC",
      OR(VLOOKUP(B214,[1]Material!F$5:U$90000,16,0)="AGI",VLOOKUP(B214,[1]Material!F$5:U$90000,16,0)="AGIGA"),"AGIGA",
      OR(LEFT(VLOOKUP(B214,[1]Material!F$5:U$90000,16,0),3)="EF-",VLOOKUP(B214,[1]Material!F$5:U$90000,16,0)="EFI"),"EFI",
      AND(ISNUMBER(VLOOKUP(B214,[1]Material!F$5:U$90000,16,0)),VLOOKUP(B214,[1]Material!F$5:U$90000,16,0)&gt;=100,VLOOKUP(B214,[1]Material!F$5:U$90000,16,0)&lt;=999,VLOOKUP(B214,[1]Material!F$5:U$90000,16,0)=INT(VLOOKUP(B214,[1]Material!F$5:U$90000,16,0))),"OEM",
      TRUE,""
    ),
    "không tìm thấy trong file Import"
  ),
  VLOOKUP(F214,'[2]Export shipment'!B:Y,24,0)
)</f>
        <v>FORD</v>
      </c>
      <c r="H214" s="184"/>
      <c r="I214" s="184"/>
      <c r="J214" s="260">
        <f>(V214+X214+AA214)/'Logistics record '!$AD$1</f>
        <v>15.116015418335726</v>
      </c>
      <c r="K214" s="260">
        <f>W214/'Logistics record '!$AD$1</f>
        <v>0</v>
      </c>
      <c r="L214" s="260">
        <f>Y214/'Logistics record '!$AD$1</f>
        <v>0</v>
      </c>
      <c r="M214" s="260">
        <f>AF214/'Logistics record '!$AD$1</f>
        <v>0</v>
      </c>
      <c r="N214" s="260" t="str" cm="1">
        <f t="array" ref="N214">_xlfn.IFS(
    OR(UPPER(S214)="AIR", UPPER(S214)="CPN"), "AIR",
    UPPER(S214)="TC", "LOCAL",
    TRUE, "SEA"
)</f>
        <v>AIR</v>
      </c>
      <c r="O214" s="260">
        <f t="shared" si="22"/>
        <v>15.116015418335726</v>
      </c>
      <c r="P214" s="184" t="s">
        <v>937</v>
      </c>
      <c r="Q214" s="185">
        <v>108313505900</v>
      </c>
      <c r="R214" s="186">
        <v>46178</v>
      </c>
      <c r="S214" s="187" t="s">
        <v>928</v>
      </c>
      <c r="T214" s="188">
        <v>1.8</v>
      </c>
      <c r="U214" s="188"/>
      <c r="V214" s="189">
        <v>400000</v>
      </c>
      <c r="W214" s="190"/>
      <c r="X214" s="190"/>
      <c r="Y214" s="190"/>
      <c r="Z214" s="189">
        <f t="shared" si="18"/>
        <v>400000</v>
      </c>
      <c r="AA214" s="189">
        <v>0</v>
      </c>
      <c r="AB214" s="189">
        <f t="shared" si="23"/>
        <v>400000</v>
      </c>
      <c r="AC214" s="189"/>
      <c r="AD214" s="190"/>
      <c r="AE214" s="190"/>
      <c r="AF214" s="191">
        <f t="shared" si="19"/>
        <v>0</v>
      </c>
      <c r="AG214" s="190">
        <f t="shared" si="20"/>
        <v>400000</v>
      </c>
      <c r="AH214" s="190"/>
      <c r="AI214" s="192" t="str">
        <f>VLOOKUP(Q214,[3]Sheet1!B$11:G$1489,6,0)</f>
        <v>E11</v>
      </c>
      <c r="GK214" s="194"/>
      <c r="GL214" s="195"/>
      <c r="GM214" s="196"/>
      <c r="GN214" s="197"/>
      <c r="GO214" s="198"/>
      <c r="GP214" s="199"/>
      <c r="GQ214" s="200"/>
      <c r="GR214" s="201"/>
      <c r="GS214" s="60"/>
      <c r="GT214" s="202"/>
      <c r="GU214" s="202"/>
      <c r="GV214" s="202"/>
      <c r="GW214" s="202"/>
      <c r="GX214" s="203"/>
      <c r="HA214" s="194"/>
      <c r="HB214" s="195"/>
      <c r="HC214" s="196"/>
      <c r="HD214" s="197"/>
      <c r="HE214" s="198"/>
      <c r="HF214" s="199"/>
      <c r="HG214" s="200"/>
      <c r="HH214" s="201"/>
      <c r="HI214" s="60"/>
      <c r="HJ214" s="202"/>
      <c r="HK214" s="202"/>
      <c r="HL214" s="202"/>
      <c r="HM214" s="202"/>
      <c r="HN214" s="203"/>
    </row>
    <row r="215" spans="1:222" ht="16.5" customHeight="1">
      <c r="A215" s="181">
        <v>212</v>
      </c>
      <c r="B215" s="182">
        <v>872573559760</v>
      </c>
      <c r="C215" s="183" t="s">
        <v>2465</v>
      </c>
      <c r="D215" s="184" t="s">
        <v>807</v>
      </c>
      <c r="E215" s="184" t="str">
        <f t="shared" si="21"/>
        <v>Import</v>
      </c>
      <c r="F215" s="720" t="str" cm="1">
        <f t="array" ref="F215">_xlfn.IFS(
  OR(AI215="E11", AI215="E15"), "Raw materials",
  OR(AI215="E13", AI215="G13"), "Equipments + Toolings",
  TRUE, RIGHT(C215, 8)
)</f>
        <v>Raw materials</v>
      </c>
      <c r="G215" s="541" t="str" cm="1">
        <f t="array" ref="G215">IF(E215="Import",
  IFERROR(
    _xlfn.IFS(
      VLOOKUP(B215,[1]Material!F$5:U$90000,16,0)="LUC","Lucid",
      VLOOKUP(B215,[1]Material!F$5:U$90000,16,0)="FMC","FORD",
      OR(VLOOKUP(B215,[1]Material!F$5:U$90000,16,0)="PUR",VLOOKUP(B215,[1]Material!F$5:U$90000,16,0)="HLO"),"PURE",
      VLOOKUP(B215,[1]Material!F$5:U$90000,16,0)="AIC","AIC",
      OR(VLOOKUP(B215,[1]Material!F$5:U$90000,16,0)="AGI",VLOOKUP(B215,[1]Material!F$5:U$90000,16,0)="AGIGA"),"AGIGA",
      OR(LEFT(VLOOKUP(B215,[1]Material!F$5:U$90000,16,0),3)="EF-",VLOOKUP(B215,[1]Material!F$5:U$90000,16,0)="EFI"),"EFI",
      AND(ISNUMBER(VLOOKUP(B215,[1]Material!F$5:U$90000,16,0)),VLOOKUP(B215,[1]Material!F$5:U$90000,16,0)&gt;=100,VLOOKUP(B215,[1]Material!F$5:U$90000,16,0)&lt;=999,VLOOKUP(B215,[1]Material!F$5:U$90000,16,0)=INT(VLOOKUP(B215,[1]Material!F$5:U$90000,16,0))),"OEM",
      TRUE,""
    ),
    "không tìm thấy trong file Import"
  ),
  VLOOKUP(F215,'[2]Export shipment'!B:Y,24,0)
)</f>
        <v>PURE</v>
      </c>
      <c r="H215" s="184"/>
      <c r="I215" s="184"/>
      <c r="J215" s="260">
        <f>(V215+X215+AA215)/'Logistics record '!$AD$1</f>
        <v>15.116015418335726</v>
      </c>
      <c r="K215" s="260">
        <f>W215/'Logistics record '!$AD$1</f>
        <v>0</v>
      </c>
      <c r="L215" s="260">
        <f>Y215/'Logistics record '!$AD$1</f>
        <v>0</v>
      </c>
      <c r="M215" s="260">
        <f>AF215/'Logistics record '!$AD$1</f>
        <v>0</v>
      </c>
      <c r="N215" s="260" t="str" cm="1">
        <f t="array" ref="N215">_xlfn.IFS(
    OR(UPPER(S215)="AIR", UPPER(S215)="CPN"), "AIR",
    UPPER(S215)="TC", "LOCAL",
    TRUE, "SEA"
)</f>
        <v>AIR</v>
      </c>
      <c r="O215" s="260">
        <f t="shared" si="22"/>
        <v>15.116015418335726</v>
      </c>
      <c r="P215" s="184" t="s">
        <v>937</v>
      </c>
      <c r="Q215" s="185">
        <v>108313525830</v>
      </c>
      <c r="R215" s="186">
        <v>46178</v>
      </c>
      <c r="S215" s="187" t="s">
        <v>928</v>
      </c>
      <c r="T215" s="188">
        <v>32.1</v>
      </c>
      <c r="U215" s="188"/>
      <c r="V215" s="189">
        <v>400000</v>
      </c>
      <c r="W215" s="190"/>
      <c r="X215" s="190"/>
      <c r="Y215" s="190"/>
      <c r="Z215" s="189">
        <f t="shared" si="18"/>
        <v>400000</v>
      </c>
      <c r="AA215" s="189">
        <v>0</v>
      </c>
      <c r="AB215" s="189">
        <f t="shared" si="23"/>
        <v>400000</v>
      </c>
      <c r="AC215" s="189"/>
      <c r="AD215" s="190"/>
      <c r="AE215" s="190"/>
      <c r="AF215" s="191">
        <f t="shared" si="19"/>
        <v>0</v>
      </c>
      <c r="AG215" s="190">
        <f t="shared" si="20"/>
        <v>400000</v>
      </c>
      <c r="AH215" s="190"/>
      <c r="AI215" s="192" t="str">
        <f>VLOOKUP(Q215,[3]Sheet1!B$11:G$1489,6,0)</f>
        <v>E11</v>
      </c>
      <c r="GK215" s="194"/>
      <c r="GL215" s="195"/>
      <c r="GM215" s="196"/>
      <c r="GN215" s="197"/>
      <c r="GO215" s="198"/>
      <c r="GP215" s="199"/>
      <c r="GQ215" s="200"/>
      <c r="GR215" s="201"/>
      <c r="GS215" s="60"/>
      <c r="GT215" s="202"/>
      <c r="GU215" s="202"/>
      <c r="GV215" s="202"/>
      <c r="GW215" s="202"/>
      <c r="GX215" s="203"/>
      <c r="HA215" s="194"/>
      <c r="HB215" s="195"/>
      <c r="HC215" s="196"/>
      <c r="HD215" s="197"/>
      <c r="HE215" s="198"/>
      <c r="HF215" s="199"/>
      <c r="HG215" s="200"/>
      <c r="HH215" s="201"/>
      <c r="HI215" s="60"/>
      <c r="HJ215" s="202"/>
      <c r="HK215" s="202"/>
      <c r="HL215" s="202"/>
      <c r="HM215" s="202"/>
      <c r="HN215" s="203"/>
    </row>
    <row r="216" spans="1:222" ht="16.5" customHeight="1">
      <c r="A216" s="181">
        <v>213</v>
      </c>
      <c r="B216" s="182">
        <v>380817564887</v>
      </c>
      <c r="C216" s="598" t="s">
        <v>2466</v>
      </c>
      <c r="D216" s="184" t="s">
        <v>1702</v>
      </c>
      <c r="E216" s="184" t="str">
        <f t="shared" si="21"/>
        <v>Import</v>
      </c>
      <c r="F216" s="720" t="str" cm="1">
        <f t="array" ref="F216">_xlfn.IFS(
  OR(AI216="E11", AI216="E15"), "Raw materials",
  OR(AI216="E13", AI216="G13"), "Equipments + Toolings",
  TRUE, RIGHT(C216, 8)
)</f>
        <v>Raw materials</v>
      </c>
      <c r="G216" s="541" t="str" cm="1">
        <f t="array" ref="G216">IF(E216="Import",
  IFERROR(
    _xlfn.IFS(
      VLOOKUP(B216,[1]Material!F$5:U$90000,16,0)="LUC","Lucid",
      VLOOKUP(B216,[1]Material!F$5:U$90000,16,0)="FMC","FORD",
      OR(VLOOKUP(B216,[1]Material!F$5:U$90000,16,0)="PUR",VLOOKUP(B216,[1]Material!F$5:U$90000,16,0)="HLO"),"PURE",
      VLOOKUP(B216,[1]Material!F$5:U$90000,16,0)="AIC","AIC",
      OR(VLOOKUP(B216,[1]Material!F$5:U$90000,16,0)="AGI",VLOOKUP(B216,[1]Material!F$5:U$90000,16,0)="AGIGA"),"AGIGA",
      OR(LEFT(VLOOKUP(B216,[1]Material!F$5:U$90000,16,0),3)="EF-",VLOOKUP(B216,[1]Material!F$5:U$90000,16,0)="EFI"),"EFI",
      AND(ISNUMBER(VLOOKUP(B216,[1]Material!F$5:U$90000,16,0)),VLOOKUP(B216,[1]Material!F$5:U$90000,16,0)&gt;=100,VLOOKUP(B216,[1]Material!F$5:U$90000,16,0)&lt;=999,VLOOKUP(B216,[1]Material!F$5:U$90000,16,0)=INT(VLOOKUP(B216,[1]Material!F$5:U$90000,16,0))),"OEM",
      TRUE,""
    ),
    "không tìm thấy trong file Import"
  ),
  VLOOKUP(F216,'[2]Export shipment'!B:Y,24,0)
)</f>
        <v>PURE</v>
      </c>
      <c r="H216" s="184"/>
      <c r="I216" s="184"/>
      <c r="J216" s="260">
        <f>(V216+X216+AA216)/'Logistics record '!$AD$1</f>
        <v>15.116015418335726</v>
      </c>
      <c r="K216" s="260">
        <f>W216/'Logistics record '!$AD$1</f>
        <v>0</v>
      </c>
      <c r="L216" s="260">
        <f>Y216/'Logistics record '!$AD$1</f>
        <v>0</v>
      </c>
      <c r="M216" s="260">
        <f>AF216/'Logistics record '!$AD$1</f>
        <v>0</v>
      </c>
      <c r="N216" s="260" t="str" cm="1">
        <f t="array" ref="N216">_xlfn.IFS(
    OR(UPPER(S216)="AIR", UPPER(S216)="CPN"), "AIR",
    UPPER(S216)="TC", "LOCAL",
    TRUE, "SEA"
)</f>
        <v>AIR</v>
      </c>
      <c r="O216" s="260">
        <f t="shared" si="22"/>
        <v>15.116015418335726</v>
      </c>
      <c r="P216" s="184" t="s">
        <v>937</v>
      </c>
      <c r="Q216" s="185">
        <v>108313665610</v>
      </c>
      <c r="R216" s="186">
        <v>46178</v>
      </c>
      <c r="S216" s="187" t="s">
        <v>928</v>
      </c>
      <c r="T216" s="188">
        <v>8.1999999999999993</v>
      </c>
      <c r="U216" s="188"/>
      <c r="V216" s="189">
        <v>400000</v>
      </c>
      <c r="W216" s="190"/>
      <c r="X216" s="190"/>
      <c r="Y216" s="190"/>
      <c r="Z216" s="189">
        <f t="shared" si="18"/>
        <v>400000</v>
      </c>
      <c r="AA216" s="189">
        <v>0</v>
      </c>
      <c r="AB216" s="189">
        <f t="shared" si="23"/>
        <v>400000</v>
      </c>
      <c r="AC216" s="189"/>
      <c r="AD216" s="190"/>
      <c r="AE216" s="190"/>
      <c r="AF216" s="191">
        <f t="shared" si="19"/>
        <v>0</v>
      </c>
      <c r="AG216" s="190">
        <f t="shared" si="20"/>
        <v>400000</v>
      </c>
      <c r="AH216" s="190"/>
      <c r="AI216" s="192" t="str">
        <f>VLOOKUP(Q216,[3]Sheet1!B$11:G$1489,6,0)</f>
        <v>E11</v>
      </c>
      <c r="GK216" s="194"/>
      <c r="GL216" s="195"/>
      <c r="GM216" s="196"/>
      <c r="GN216" s="197"/>
      <c r="GO216" s="198"/>
      <c r="GP216" s="199"/>
      <c r="GQ216" s="200"/>
      <c r="GR216" s="201"/>
      <c r="GS216" s="60"/>
      <c r="GT216" s="202"/>
      <c r="GU216" s="202"/>
      <c r="GV216" s="202"/>
      <c r="GW216" s="202"/>
      <c r="GX216" s="203"/>
      <c r="HA216" s="194"/>
      <c r="HB216" s="195"/>
      <c r="HC216" s="196"/>
      <c r="HD216" s="197"/>
      <c r="HE216" s="198"/>
      <c r="HF216" s="199"/>
      <c r="HG216" s="200"/>
      <c r="HH216" s="201"/>
      <c r="HI216" s="60"/>
      <c r="HJ216" s="202"/>
      <c r="HK216" s="202"/>
      <c r="HL216" s="202"/>
      <c r="HM216" s="202"/>
      <c r="HN216" s="203"/>
    </row>
    <row r="217" spans="1:222" ht="16.5" customHeight="1">
      <c r="A217" s="181">
        <v>214</v>
      </c>
      <c r="B217" s="182">
        <v>4110337617</v>
      </c>
      <c r="C217" s="598" t="s">
        <v>2467</v>
      </c>
      <c r="D217" s="184" t="s">
        <v>1990</v>
      </c>
      <c r="E217" s="184" t="str">
        <f t="shared" si="21"/>
        <v>Import</v>
      </c>
      <c r="F217" s="720" t="str" cm="1">
        <f t="array" ref="F217">_xlfn.IFS(
  OR(AI217="E11", AI217="E15"), "Raw materials",
  OR(AI217="E13", AI217="G13"), "Equipments + Toolings",
  TRUE, RIGHT(C217, 8)
)</f>
        <v>Raw materials</v>
      </c>
      <c r="G217" s="541" t="str" cm="1">
        <f t="array" ref="G217">IF(E217="Import",
  IFERROR(
    _xlfn.IFS(
      VLOOKUP(B217,[1]Material!F$5:U$90000,16,0)="LUC","Lucid",
      VLOOKUP(B217,[1]Material!F$5:U$90000,16,0)="FMC","FORD",
      OR(VLOOKUP(B217,[1]Material!F$5:U$90000,16,0)="PUR",VLOOKUP(B217,[1]Material!F$5:U$90000,16,0)="HLO"),"PURE",
      VLOOKUP(B217,[1]Material!F$5:U$90000,16,0)="AIC","AIC",
      OR(VLOOKUP(B217,[1]Material!F$5:U$90000,16,0)="AGI",VLOOKUP(B217,[1]Material!F$5:U$90000,16,0)="AGIGA"),"AGIGA",
      OR(LEFT(VLOOKUP(B217,[1]Material!F$5:U$90000,16,0),3)="EF-",VLOOKUP(B217,[1]Material!F$5:U$90000,16,0)="EFI"),"EFI",
      AND(ISNUMBER(VLOOKUP(B217,[1]Material!F$5:U$90000,16,0)),VLOOKUP(B217,[1]Material!F$5:U$90000,16,0)&gt;=100,VLOOKUP(B217,[1]Material!F$5:U$90000,16,0)&lt;=999,VLOOKUP(B217,[1]Material!F$5:U$90000,16,0)=INT(VLOOKUP(B217,[1]Material!F$5:U$90000,16,0))),"OEM",
      TRUE,""
    ),
    "không tìm thấy trong file Import"
  ),
  VLOOKUP(F217,'[2]Export shipment'!B:Y,24,0)
)</f>
        <v>Lucid</v>
      </c>
      <c r="H217" s="184"/>
      <c r="I217" s="184"/>
      <c r="J217" s="260">
        <f>(V217+X217+AA217)/'Logistics record '!$AD$1</f>
        <v>15.116015418335726</v>
      </c>
      <c r="K217" s="260">
        <f>W217/'Logistics record '!$AD$1</f>
        <v>0</v>
      </c>
      <c r="L217" s="260">
        <f>Y217/'Logistics record '!$AD$1</f>
        <v>0</v>
      </c>
      <c r="M217" s="260">
        <f>AF217/'Logistics record '!$AD$1</f>
        <v>0</v>
      </c>
      <c r="N217" s="260" t="str" cm="1">
        <f t="array" ref="N217">_xlfn.IFS(
    OR(UPPER(S217)="AIR", UPPER(S217)="CPN"), "AIR",
    UPPER(S217)="TC", "LOCAL",
    TRUE, "SEA"
)</f>
        <v>AIR</v>
      </c>
      <c r="O217" s="260">
        <f t="shared" si="22"/>
        <v>15.116015418335726</v>
      </c>
      <c r="P217" s="184" t="s">
        <v>935</v>
      </c>
      <c r="Q217" s="185">
        <v>108313713060</v>
      </c>
      <c r="R217" s="186">
        <v>46178</v>
      </c>
      <c r="S217" s="187" t="s">
        <v>65</v>
      </c>
      <c r="T217" s="188">
        <v>109</v>
      </c>
      <c r="U217" s="188"/>
      <c r="V217" s="189">
        <v>400000</v>
      </c>
      <c r="W217" s="190"/>
      <c r="X217" s="190"/>
      <c r="Y217" s="190"/>
      <c r="Z217" s="189">
        <f t="shared" si="18"/>
        <v>400000</v>
      </c>
      <c r="AA217" s="189">
        <v>0</v>
      </c>
      <c r="AB217" s="189">
        <f t="shared" si="23"/>
        <v>400000</v>
      </c>
      <c r="AC217" s="189"/>
      <c r="AD217" s="190"/>
      <c r="AE217" s="190"/>
      <c r="AF217" s="191">
        <f t="shared" si="19"/>
        <v>0</v>
      </c>
      <c r="AG217" s="190">
        <f t="shared" si="20"/>
        <v>400000</v>
      </c>
      <c r="AH217" s="190"/>
      <c r="AI217" s="192" t="str">
        <f>VLOOKUP(Q217,[3]Sheet1!B$11:G$1489,6,0)</f>
        <v>E11</v>
      </c>
      <c r="GK217" s="194"/>
      <c r="GL217" s="195"/>
      <c r="GM217" s="196"/>
      <c r="GN217" s="197"/>
      <c r="GO217" s="198"/>
      <c r="GP217" s="199"/>
      <c r="GQ217" s="200"/>
      <c r="GR217" s="201"/>
      <c r="GS217" s="60"/>
      <c r="GT217" s="202"/>
      <c r="GU217" s="202"/>
      <c r="GV217" s="202"/>
      <c r="GW217" s="202"/>
      <c r="GX217" s="203"/>
      <c r="HA217" s="194"/>
      <c r="HB217" s="195"/>
      <c r="HC217" s="196"/>
      <c r="HD217" s="197"/>
      <c r="HE217" s="198"/>
      <c r="HF217" s="199"/>
      <c r="HG217" s="200"/>
      <c r="HH217" s="201"/>
      <c r="HI217" s="60"/>
      <c r="HJ217" s="202"/>
      <c r="HK217" s="202"/>
      <c r="HL217" s="202"/>
      <c r="HM217" s="202"/>
      <c r="HN217" s="203"/>
    </row>
    <row r="218" spans="1:222" ht="16.5" customHeight="1">
      <c r="A218" s="181">
        <v>215</v>
      </c>
      <c r="B218" s="182">
        <v>5774666796</v>
      </c>
      <c r="C218" s="183" t="s">
        <v>2468</v>
      </c>
      <c r="D218" s="184" t="s">
        <v>951</v>
      </c>
      <c r="E218" s="184" t="str">
        <f t="shared" si="21"/>
        <v>Import</v>
      </c>
      <c r="F218" s="720" t="str" cm="1">
        <f t="array" ref="F218">_xlfn.IFS(
  OR(AI218="E11", AI218="E15"), "Raw materials",
  OR(AI218="E13", AI218="G13"), "Equipments + Toolings",
  TRUE, RIGHT(C218, 8)
)</f>
        <v>Raw materials</v>
      </c>
      <c r="G218" s="541" t="str" cm="1">
        <f t="array" ref="G218">IF(E218="Import",
  IFERROR(
    _xlfn.IFS(
      VLOOKUP(B218,[1]Material!F$5:U$90000,16,0)="LUC","Lucid",
      VLOOKUP(B218,[1]Material!F$5:U$90000,16,0)="FMC","FORD",
      OR(VLOOKUP(B218,[1]Material!F$5:U$90000,16,0)="PUR",VLOOKUP(B218,[1]Material!F$5:U$90000,16,0)="HLO"),"PURE",
      VLOOKUP(B218,[1]Material!F$5:U$90000,16,0)="AIC","AIC",
      OR(VLOOKUP(B218,[1]Material!F$5:U$90000,16,0)="AGI",VLOOKUP(B218,[1]Material!F$5:U$90000,16,0)="AGIGA"),"AGIGA",
      OR(LEFT(VLOOKUP(B218,[1]Material!F$5:U$90000,16,0),3)="EF-",VLOOKUP(B218,[1]Material!F$5:U$90000,16,0)="EFI"),"EFI",
      AND(ISNUMBER(VLOOKUP(B218,[1]Material!F$5:U$90000,16,0)),VLOOKUP(B218,[1]Material!F$5:U$90000,16,0)&gt;=100,VLOOKUP(B218,[1]Material!F$5:U$90000,16,0)&lt;=999,VLOOKUP(B218,[1]Material!F$5:U$90000,16,0)=INT(VLOOKUP(B218,[1]Material!F$5:U$90000,16,0))),"OEM",
      TRUE,""
    ),
    "không tìm thấy trong file Import"
  ),
  VLOOKUP(F218,'[2]Export shipment'!B:Y,24,0)
)</f>
        <v>PURE</v>
      </c>
      <c r="H218" s="184"/>
      <c r="I218" s="184"/>
      <c r="J218" s="260">
        <f>(V218+X218+AA218)/'Logistics record '!$AD$1</f>
        <v>15.116015418335726</v>
      </c>
      <c r="K218" s="260">
        <f>W218/'Logistics record '!$AD$1</f>
        <v>0</v>
      </c>
      <c r="L218" s="260">
        <f>Y218/'Logistics record '!$AD$1</f>
        <v>0</v>
      </c>
      <c r="M218" s="260">
        <f>AF218/'Logistics record '!$AD$1</f>
        <v>0</v>
      </c>
      <c r="N218" s="260" t="str" cm="1">
        <f t="array" ref="N218">_xlfn.IFS(
    OR(UPPER(S218)="AIR", UPPER(S218)="CPN"), "AIR",
    UPPER(S218)="TC", "LOCAL",
    TRUE, "SEA"
)</f>
        <v>AIR</v>
      </c>
      <c r="O218" s="260">
        <f t="shared" si="22"/>
        <v>15.116015418335726</v>
      </c>
      <c r="P218" s="184" t="s">
        <v>937</v>
      </c>
      <c r="Q218" s="185">
        <v>108313744710</v>
      </c>
      <c r="R218" s="186">
        <v>46178</v>
      </c>
      <c r="S218" s="187" t="s">
        <v>928</v>
      </c>
      <c r="T218" s="188">
        <v>3.2</v>
      </c>
      <c r="U218" s="188"/>
      <c r="V218" s="189">
        <v>400000</v>
      </c>
      <c r="W218" s="190"/>
      <c r="X218" s="190"/>
      <c r="Y218" s="190"/>
      <c r="Z218" s="189">
        <f t="shared" si="18"/>
        <v>400000</v>
      </c>
      <c r="AA218" s="189">
        <v>0</v>
      </c>
      <c r="AB218" s="189">
        <f t="shared" si="23"/>
        <v>400000</v>
      </c>
      <c r="AC218" s="189"/>
      <c r="AD218" s="190"/>
      <c r="AE218" s="190"/>
      <c r="AF218" s="191">
        <f t="shared" si="19"/>
        <v>0</v>
      </c>
      <c r="AG218" s="190">
        <f t="shared" si="20"/>
        <v>400000</v>
      </c>
      <c r="AH218" s="190"/>
      <c r="AI218" s="192" t="str">
        <f>VLOOKUP(Q218,[3]Sheet1!B$11:G$1489,6,0)</f>
        <v>E11</v>
      </c>
      <c r="GK218" s="194"/>
      <c r="GL218" s="195"/>
      <c r="GM218" s="196"/>
      <c r="GN218" s="197"/>
      <c r="GO218" s="198"/>
      <c r="GP218" s="199"/>
      <c r="GQ218" s="200"/>
      <c r="GR218" s="201"/>
      <c r="GS218" s="60"/>
      <c r="GT218" s="202"/>
      <c r="GU218" s="202"/>
      <c r="GV218" s="202"/>
      <c r="GW218" s="202"/>
      <c r="GX218" s="203"/>
      <c r="HA218" s="194"/>
      <c r="HB218" s="195"/>
      <c r="HC218" s="196"/>
      <c r="HD218" s="197"/>
      <c r="HE218" s="198"/>
      <c r="HF218" s="199"/>
      <c r="HG218" s="200"/>
      <c r="HH218" s="201"/>
      <c r="HI218" s="60"/>
      <c r="HJ218" s="202"/>
      <c r="HK218" s="202"/>
      <c r="HL218" s="202"/>
      <c r="HM218" s="202"/>
      <c r="HN218" s="203"/>
    </row>
    <row r="219" spans="1:222" ht="16.5" customHeight="1">
      <c r="A219" s="181">
        <v>216</v>
      </c>
      <c r="B219" s="182">
        <v>4445559311</v>
      </c>
      <c r="C219" s="183" t="s">
        <v>2469</v>
      </c>
      <c r="D219" s="184" t="s">
        <v>1697</v>
      </c>
      <c r="E219" s="184" t="str">
        <f t="shared" si="21"/>
        <v>Import</v>
      </c>
      <c r="F219" s="720" t="str" cm="1">
        <f t="array" ref="F219">_xlfn.IFS(
  OR(AI219="E11", AI219="E15"), "Raw materials",
  OR(AI219="E13", AI219="G13"), "Equipments + Toolings",
  TRUE, RIGHT(C219, 8)
)</f>
        <v>Raw materials</v>
      </c>
      <c r="G219" s="541" t="str" cm="1">
        <f t="array" ref="G219">IF(E219="Import",
  IFERROR(
    _xlfn.IFS(
      VLOOKUP(B219,[1]Material!F$5:U$90000,16,0)="LUC","Lucid",
      VLOOKUP(B219,[1]Material!F$5:U$90000,16,0)="FMC","FORD",
      OR(VLOOKUP(B219,[1]Material!F$5:U$90000,16,0)="PUR",VLOOKUP(B219,[1]Material!F$5:U$90000,16,0)="HLO"),"PURE",
      VLOOKUP(B219,[1]Material!F$5:U$90000,16,0)="AIC","AIC",
      OR(VLOOKUP(B219,[1]Material!F$5:U$90000,16,0)="AGI",VLOOKUP(B219,[1]Material!F$5:U$90000,16,0)="AGIGA"),"AGIGA",
      OR(LEFT(VLOOKUP(B219,[1]Material!F$5:U$90000,16,0),3)="EF-",VLOOKUP(B219,[1]Material!F$5:U$90000,16,0)="EFI"),"EFI",
      AND(ISNUMBER(VLOOKUP(B219,[1]Material!F$5:U$90000,16,0)),VLOOKUP(B219,[1]Material!F$5:U$90000,16,0)&gt;=100,VLOOKUP(B219,[1]Material!F$5:U$90000,16,0)&lt;=999,VLOOKUP(B219,[1]Material!F$5:U$90000,16,0)=INT(VLOOKUP(B219,[1]Material!F$5:U$90000,16,0))),"OEM",
      TRUE,""
    ),
    "không tìm thấy trong file Import"
  ),
  VLOOKUP(F219,'[2]Export shipment'!B:Y,24,0)
)</f>
        <v>EFI</v>
      </c>
      <c r="H219" s="184"/>
      <c r="I219" s="184"/>
      <c r="J219" s="260">
        <f>(V219+X219+AA219)/'Logistics record '!$AD$1</f>
        <v>15.116015418335726</v>
      </c>
      <c r="K219" s="260">
        <f>W219/'Logistics record '!$AD$1</f>
        <v>0</v>
      </c>
      <c r="L219" s="260">
        <f>Y219/'Logistics record '!$AD$1</f>
        <v>0</v>
      </c>
      <c r="M219" s="260">
        <f>AF219/'Logistics record '!$AD$1</f>
        <v>0</v>
      </c>
      <c r="N219" s="260" t="str" cm="1">
        <f t="array" ref="N219">_xlfn.IFS(
    OR(UPPER(S219)="AIR", UPPER(S219)="CPN"), "AIR",
    UPPER(S219)="TC", "LOCAL",
    TRUE, "SEA"
)</f>
        <v>AIR</v>
      </c>
      <c r="O219" s="260">
        <f t="shared" si="22"/>
        <v>15.116015418335726</v>
      </c>
      <c r="P219" s="184" t="s">
        <v>937</v>
      </c>
      <c r="Q219" s="185">
        <v>108313775250</v>
      </c>
      <c r="R219" s="186">
        <v>46178</v>
      </c>
      <c r="S219" s="187" t="s">
        <v>928</v>
      </c>
      <c r="T219" s="188">
        <v>0.2</v>
      </c>
      <c r="U219" s="188"/>
      <c r="V219" s="189">
        <v>400000</v>
      </c>
      <c r="W219" s="190"/>
      <c r="X219" s="190"/>
      <c r="Y219" s="190"/>
      <c r="Z219" s="189">
        <f t="shared" si="18"/>
        <v>400000</v>
      </c>
      <c r="AA219" s="189">
        <v>0</v>
      </c>
      <c r="AB219" s="189">
        <f t="shared" si="23"/>
        <v>400000</v>
      </c>
      <c r="AC219" s="189"/>
      <c r="AD219" s="190"/>
      <c r="AE219" s="190"/>
      <c r="AF219" s="191">
        <f t="shared" si="19"/>
        <v>0</v>
      </c>
      <c r="AG219" s="190">
        <f t="shared" si="20"/>
        <v>400000</v>
      </c>
      <c r="AH219" s="190"/>
      <c r="AI219" s="192" t="str">
        <f>VLOOKUP(Q219,[3]Sheet1!B$11:G$1489,6,0)</f>
        <v>E11</v>
      </c>
      <c r="GK219" s="194"/>
      <c r="GL219" s="195"/>
      <c r="GM219" s="196"/>
      <c r="GN219" s="197"/>
      <c r="GO219" s="198"/>
      <c r="GP219" s="199"/>
      <c r="GQ219" s="200"/>
      <c r="GR219" s="201"/>
      <c r="GS219" s="60"/>
      <c r="GT219" s="202"/>
      <c r="GU219" s="202"/>
      <c r="GV219" s="202"/>
      <c r="GW219" s="202"/>
      <c r="GX219" s="203"/>
      <c r="HA219" s="194"/>
      <c r="HB219" s="195"/>
      <c r="HC219" s="196"/>
      <c r="HD219" s="197"/>
      <c r="HE219" s="198"/>
      <c r="HF219" s="199"/>
      <c r="HG219" s="200"/>
      <c r="HH219" s="201"/>
      <c r="HI219" s="60"/>
      <c r="HJ219" s="202"/>
      <c r="HK219" s="202"/>
      <c r="HL219" s="202"/>
      <c r="HM219" s="202"/>
      <c r="HN219" s="203"/>
    </row>
    <row r="220" spans="1:222" ht="16.5" customHeight="1">
      <c r="A220" s="181">
        <v>217</v>
      </c>
      <c r="B220" s="182">
        <v>380995720630</v>
      </c>
      <c r="C220" s="598" t="s">
        <v>2470</v>
      </c>
      <c r="D220" s="184" t="s">
        <v>2446</v>
      </c>
      <c r="E220" s="184" t="str">
        <f t="shared" si="21"/>
        <v>Import</v>
      </c>
      <c r="F220" s="720" t="str" cm="1">
        <f t="array" ref="F220">_xlfn.IFS(
  OR(AI220="E11", AI220="E15"), "Raw materials",
  OR(AI220="E13", AI220="G13"), "Equipments + Toolings",
  TRUE, RIGHT(C220, 8)
)</f>
        <v>Raw materials</v>
      </c>
      <c r="G220" s="541" t="str" cm="1">
        <f t="array" ref="G220">IF(E220="Import",
  IFERROR(
    _xlfn.IFS(
      VLOOKUP(B220,[1]Material!F$5:U$90000,16,0)="LUC","Lucid",
      VLOOKUP(B220,[1]Material!F$5:U$90000,16,0)="FMC","FORD",
      OR(VLOOKUP(B220,[1]Material!F$5:U$90000,16,0)="PUR",VLOOKUP(B220,[1]Material!F$5:U$90000,16,0)="HLO"),"PURE",
      VLOOKUP(B220,[1]Material!F$5:U$90000,16,0)="AIC","AIC",
      OR(VLOOKUP(B220,[1]Material!F$5:U$90000,16,0)="AGI",VLOOKUP(B220,[1]Material!F$5:U$90000,16,0)="AGIGA"),"AGIGA",
      OR(LEFT(VLOOKUP(B220,[1]Material!F$5:U$90000,16,0),3)="EF-",VLOOKUP(B220,[1]Material!F$5:U$90000,16,0)="EFI"),"EFI",
      AND(ISNUMBER(VLOOKUP(B220,[1]Material!F$5:U$90000,16,0)),VLOOKUP(B220,[1]Material!F$5:U$90000,16,0)&gt;=100,VLOOKUP(B220,[1]Material!F$5:U$90000,16,0)&lt;=999,VLOOKUP(B220,[1]Material!F$5:U$90000,16,0)=INT(VLOOKUP(B220,[1]Material!F$5:U$90000,16,0))),"OEM",
      TRUE,""
    ),
    "không tìm thấy trong file Import"
  ),
  VLOOKUP(F220,'[2]Export shipment'!B:Y,24,0)
)</f>
        <v>PURE</v>
      </c>
      <c r="H220" s="184"/>
      <c r="I220" s="184"/>
      <c r="J220" s="260">
        <f>(V220+X220+AA220)/'Logistics record '!$AD$1</f>
        <v>15.116015418335726</v>
      </c>
      <c r="K220" s="260">
        <f>W220/'Logistics record '!$AD$1</f>
        <v>0</v>
      </c>
      <c r="L220" s="260">
        <f>Y220/'Logistics record '!$AD$1</f>
        <v>0</v>
      </c>
      <c r="M220" s="260">
        <f>AF220/'Logistics record '!$AD$1</f>
        <v>0</v>
      </c>
      <c r="N220" s="260" t="str" cm="1">
        <f t="array" ref="N220">_xlfn.IFS(
    OR(UPPER(S220)="AIR", UPPER(S220)="CPN"), "AIR",
    UPPER(S220)="TC", "LOCAL",
    TRUE, "SEA"
)</f>
        <v>AIR</v>
      </c>
      <c r="O220" s="260">
        <f t="shared" si="22"/>
        <v>15.116015418335726</v>
      </c>
      <c r="P220" s="184" t="s">
        <v>937</v>
      </c>
      <c r="Q220" s="185">
        <v>108313813310</v>
      </c>
      <c r="R220" s="186">
        <v>46178</v>
      </c>
      <c r="S220" s="187" t="s">
        <v>928</v>
      </c>
      <c r="T220" s="188">
        <v>2.2000000000000002</v>
      </c>
      <c r="U220" s="188"/>
      <c r="V220" s="189">
        <v>400000</v>
      </c>
      <c r="W220" s="190"/>
      <c r="X220" s="190"/>
      <c r="Y220" s="190"/>
      <c r="Z220" s="189">
        <f t="shared" si="18"/>
        <v>400000</v>
      </c>
      <c r="AA220" s="189">
        <v>0</v>
      </c>
      <c r="AB220" s="189">
        <f t="shared" si="23"/>
        <v>400000</v>
      </c>
      <c r="AC220" s="189"/>
      <c r="AD220" s="190"/>
      <c r="AE220" s="190"/>
      <c r="AF220" s="191">
        <f t="shared" si="19"/>
        <v>0</v>
      </c>
      <c r="AG220" s="190">
        <f t="shared" si="20"/>
        <v>400000</v>
      </c>
      <c r="AH220" s="190"/>
      <c r="AI220" s="192" t="str">
        <f>VLOOKUP(Q220,[3]Sheet1!B$11:G$1489,6,0)</f>
        <v>E11</v>
      </c>
      <c r="GK220" s="194"/>
      <c r="GL220" s="195"/>
      <c r="GM220" s="196"/>
      <c r="GN220" s="197"/>
      <c r="GO220" s="198"/>
      <c r="GP220" s="199"/>
      <c r="GQ220" s="200"/>
      <c r="GR220" s="201"/>
      <c r="GS220" s="60"/>
      <c r="GT220" s="202"/>
      <c r="GU220" s="202"/>
      <c r="GV220" s="202"/>
      <c r="GW220" s="202"/>
      <c r="GX220" s="203"/>
      <c r="HA220" s="194"/>
      <c r="HB220" s="195"/>
      <c r="HC220" s="196"/>
      <c r="HD220" s="197"/>
      <c r="HE220" s="198"/>
      <c r="HF220" s="199"/>
      <c r="HG220" s="200"/>
      <c r="HH220" s="201"/>
      <c r="HI220" s="60"/>
      <c r="HJ220" s="202"/>
      <c r="HK220" s="202"/>
      <c r="HL220" s="202"/>
      <c r="HM220" s="202"/>
      <c r="HN220" s="203"/>
    </row>
    <row r="221" spans="1:222" ht="16.5" customHeight="1">
      <c r="A221" s="181">
        <v>218</v>
      </c>
      <c r="B221" s="182">
        <v>872536997117</v>
      </c>
      <c r="C221" s="183" t="s">
        <v>2471</v>
      </c>
      <c r="D221" s="184" t="s">
        <v>2035</v>
      </c>
      <c r="E221" s="184" t="str">
        <f t="shared" si="21"/>
        <v>Import</v>
      </c>
      <c r="F221" s="720" t="str" cm="1">
        <f t="array" ref="F221">_xlfn.IFS(
  OR(AI221="E11", AI221="E15"), "Raw materials",
  OR(AI221="E13", AI221="G13"), "Equipments + Toolings",
  TRUE, RIGHT(C221, 8)
)</f>
        <v>Raw materials</v>
      </c>
      <c r="G221" s="541" t="str" cm="1">
        <f t="array" ref="G221">IF(E221="Import",
  IFERROR(
    _xlfn.IFS(
      VLOOKUP(B221,[1]Material!F$5:U$90000,16,0)="LUC","Lucid",
      VLOOKUP(B221,[1]Material!F$5:U$90000,16,0)="FMC","FORD",
      OR(VLOOKUP(B221,[1]Material!F$5:U$90000,16,0)="PUR",VLOOKUP(B221,[1]Material!F$5:U$90000,16,0)="HLO"),"PURE",
      VLOOKUP(B221,[1]Material!F$5:U$90000,16,0)="AIC","AIC",
      OR(VLOOKUP(B221,[1]Material!F$5:U$90000,16,0)="AGI",VLOOKUP(B221,[1]Material!F$5:U$90000,16,0)="AGIGA"),"AGIGA",
      OR(LEFT(VLOOKUP(B221,[1]Material!F$5:U$90000,16,0),3)="EF-",VLOOKUP(B221,[1]Material!F$5:U$90000,16,0)="EFI"),"EFI",
      AND(ISNUMBER(VLOOKUP(B221,[1]Material!F$5:U$90000,16,0)),VLOOKUP(B221,[1]Material!F$5:U$90000,16,0)&gt;=100,VLOOKUP(B221,[1]Material!F$5:U$90000,16,0)&lt;=999,VLOOKUP(B221,[1]Material!F$5:U$90000,16,0)=INT(VLOOKUP(B221,[1]Material!F$5:U$90000,16,0))),"OEM",
      TRUE,""
    ),
    "không tìm thấy trong file Import"
  ),
  VLOOKUP(F221,'[2]Export shipment'!B:Y,24,0)
)</f>
        <v>EFI</v>
      </c>
      <c r="H221" s="184"/>
      <c r="I221" s="184"/>
      <c r="J221" s="260">
        <f>(V221+X221+AA221)/'Logistics record '!$AD$1</f>
        <v>15.116015418335726</v>
      </c>
      <c r="K221" s="260">
        <f>W221/'Logistics record '!$AD$1</f>
        <v>0</v>
      </c>
      <c r="L221" s="260">
        <f>Y221/'Logistics record '!$AD$1</f>
        <v>0</v>
      </c>
      <c r="M221" s="260">
        <f>AF221/'Logistics record '!$AD$1</f>
        <v>0</v>
      </c>
      <c r="N221" s="260" t="str" cm="1">
        <f t="array" ref="N221">_xlfn.IFS(
    OR(UPPER(S221)="AIR", UPPER(S221)="CPN"), "AIR",
    UPPER(S221)="TC", "LOCAL",
    TRUE, "SEA"
)</f>
        <v>AIR</v>
      </c>
      <c r="O221" s="260">
        <f t="shared" si="22"/>
        <v>15.116015418335726</v>
      </c>
      <c r="P221" s="184" t="s">
        <v>937</v>
      </c>
      <c r="Q221" s="185">
        <v>108313841640</v>
      </c>
      <c r="R221" s="186">
        <v>46178</v>
      </c>
      <c r="S221" s="187" t="s">
        <v>928</v>
      </c>
      <c r="T221" s="188">
        <v>1.8</v>
      </c>
      <c r="U221" s="188"/>
      <c r="V221" s="189">
        <v>400000</v>
      </c>
      <c r="W221" s="190"/>
      <c r="X221" s="190"/>
      <c r="Y221" s="190"/>
      <c r="Z221" s="189">
        <f t="shared" si="18"/>
        <v>400000</v>
      </c>
      <c r="AA221" s="189">
        <v>0</v>
      </c>
      <c r="AB221" s="189">
        <f t="shared" si="23"/>
        <v>400000</v>
      </c>
      <c r="AC221" s="189"/>
      <c r="AD221" s="190"/>
      <c r="AE221" s="190"/>
      <c r="AF221" s="191">
        <f t="shared" si="19"/>
        <v>0</v>
      </c>
      <c r="AG221" s="190">
        <f t="shared" si="20"/>
        <v>400000</v>
      </c>
      <c r="AH221" s="190"/>
      <c r="AI221" s="192" t="str">
        <f>VLOOKUP(Q221,[3]Sheet1!B$11:G$1489,6,0)</f>
        <v>E11</v>
      </c>
      <c r="GK221" s="194"/>
      <c r="GL221" s="195"/>
      <c r="GM221" s="196"/>
      <c r="GN221" s="197"/>
      <c r="GO221" s="198"/>
      <c r="GP221" s="199"/>
      <c r="GQ221" s="200"/>
      <c r="GR221" s="201"/>
      <c r="GS221" s="60"/>
      <c r="GT221" s="202"/>
      <c r="GU221" s="202"/>
      <c r="GV221" s="202"/>
      <c r="GW221" s="202"/>
      <c r="GX221" s="203"/>
      <c r="HA221" s="194"/>
      <c r="HB221" s="195"/>
      <c r="HC221" s="196"/>
      <c r="HD221" s="197"/>
      <c r="HE221" s="198"/>
      <c r="HF221" s="199"/>
      <c r="HG221" s="200"/>
      <c r="HH221" s="201"/>
      <c r="HI221" s="60"/>
      <c r="HJ221" s="202"/>
      <c r="HK221" s="202"/>
      <c r="HL221" s="202"/>
      <c r="HM221" s="202"/>
      <c r="HN221" s="203"/>
    </row>
    <row r="222" spans="1:222" ht="16.5" customHeight="1">
      <c r="A222" s="181">
        <v>219</v>
      </c>
      <c r="B222" s="182">
        <v>4110337649</v>
      </c>
      <c r="C222" s="183" t="s">
        <v>2472</v>
      </c>
      <c r="D222" s="184" t="s">
        <v>1990</v>
      </c>
      <c r="E222" s="184" t="str">
        <f t="shared" si="21"/>
        <v>Import</v>
      </c>
      <c r="F222" s="720" t="str" cm="1">
        <f t="array" ref="F222">_xlfn.IFS(
  OR(AI222="E11", AI222="E15"), "Raw materials",
  OR(AI222="E13", AI222="G13"), "Equipments + Toolings",
  TRUE, RIGHT(C222, 8)
)</f>
        <v>Raw materials</v>
      </c>
      <c r="G222" s="541" t="str" cm="1">
        <f t="array" ref="G222">IF(E222="Import",
  IFERROR(
    _xlfn.IFS(
      VLOOKUP(B222,[1]Material!F$5:U$90000,16,0)="LUC","Lucid",
      VLOOKUP(B222,[1]Material!F$5:U$90000,16,0)="FMC","FORD",
      OR(VLOOKUP(B222,[1]Material!F$5:U$90000,16,0)="PUR",VLOOKUP(B222,[1]Material!F$5:U$90000,16,0)="HLO"),"PURE",
      VLOOKUP(B222,[1]Material!F$5:U$90000,16,0)="AIC","AIC",
      OR(VLOOKUP(B222,[1]Material!F$5:U$90000,16,0)="AGI",VLOOKUP(B222,[1]Material!F$5:U$90000,16,0)="AGIGA"),"AGIGA",
      OR(LEFT(VLOOKUP(B222,[1]Material!F$5:U$90000,16,0),3)="EF-",VLOOKUP(B222,[1]Material!F$5:U$90000,16,0)="EFI"),"EFI",
      AND(ISNUMBER(VLOOKUP(B222,[1]Material!F$5:U$90000,16,0)),VLOOKUP(B222,[1]Material!F$5:U$90000,16,0)&gt;=100,VLOOKUP(B222,[1]Material!F$5:U$90000,16,0)&lt;=999,VLOOKUP(B222,[1]Material!F$5:U$90000,16,0)=INT(VLOOKUP(B222,[1]Material!F$5:U$90000,16,0))),"OEM",
      TRUE,""
    ),
    "không tìm thấy trong file Import"
  ),
  VLOOKUP(F222,'[2]Export shipment'!B:Y,24,0)
)</f>
        <v>Lucid</v>
      </c>
      <c r="H222" s="184"/>
      <c r="I222" s="184"/>
      <c r="J222" s="260">
        <f>(V222+X222+AA222)/'Logistics record '!$AD$1</f>
        <v>15.116015418335726</v>
      </c>
      <c r="K222" s="260">
        <f>W222/'Logistics record '!$AD$1</f>
        <v>0</v>
      </c>
      <c r="L222" s="260">
        <f>Y222/'Logistics record '!$AD$1</f>
        <v>0</v>
      </c>
      <c r="M222" s="260">
        <f>AF222/'Logistics record '!$AD$1</f>
        <v>0</v>
      </c>
      <c r="N222" s="260" t="str" cm="1">
        <f t="array" ref="N222">_xlfn.IFS(
    OR(UPPER(S222)="AIR", UPPER(S222)="CPN"), "AIR",
    UPPER(S222)="TC", "LOCAL",
    TRUE, "SEA"
)</f>
        <v>AIR</v>
      </c>
      <c r="O222" s="260">
        <f t="shared" si="22"/>
        <v>15.116015418335726</v>
      </c>
      <c r="P222" s="184" t="s">
        <v>935</v>
      </c>
      <c r="Q222" s="185">
        <v>108313843850</v>
      </c>
      <c r="R222" s="186">
        <v>46178</v>
      </c>
      <c r="S222" s="187" t="s">
        <v>65</v>
      </c>
      <c r="T222" s="188">
        <v>83.5</v>
      </c>
      <c r="U222" s="188"/>
      <c r="V222" s="189">
        <v>400000</v>
      </c>
      <c r="W222" s="190"/>
      <c r="X222" s="190"/>
      <c r="Y222" s="190"/>
      <c r="Z222" s="189">
        <f t="shared" si="18"/>
        <v>400000</v>
      </c>
      <c r="AA222" s="189">
        <v>0</v>
      </c>
      <c r="AB222" s="189">
        <f t="shared" si="23"/>
        <v>400000</v>
      </c>
      <c r="AC222" s="189"/>
      <c r="AD222" s="190"/>
      <c r="AE222" s="190"/>
      <c r="AF222" s="191">
        <f t="shared" si="19"/>
        <v>0</v>
      </c>
      <c r="AG222" s="190">
        <f t="shared" si="20"/>
        <v>400000</v>
      </c>
      <c r="AH222" s="190"/>
      <c r="AI222" s="192" t="str">
        <f>VLOOKUP(Q222,[3]Sheet1!B$11:G$1489,6,0)</f>
        <v>E11</v>
      </c>
      <c r="GK222" s="194"/>
      <c r="GL222" s="195"/>
      <c r="GM222" s="196"/>
      <c r="GN222" s="197"/>
      <c r="GO222" s="198"/>
      <c r="GP222" s="199"/>
      <c r="GQ222" s="200"/>
      <c r="GR222" s="201"/>
      <c r="GS222" s="60"/>
      <c r="GT222" s="202"/>
      <c r="GU222" s="202"/>
      <c r="GV222" s="202"/>
      <c r="GW222" s="202"/>
      <c r="GX222" s="203"/>
      <c r="HA222" s="194"/>
      <c r="HB222" s="195"/>
      <c r="HC222" s="196"/>
      <c r="HD222" s="197"/>
      <c r="HE222" s="198"/>
      <c r="HF222" s="199"/>
      <c r="HG222" s="200"/>
      <c r="HH222" s="201"/>
      <c r="HI222" s="60"/>
      <c r="HJ222" s="202"/>
      <c r="HK222" s="202"/>
      <c r="HL222" s="202"/>
      <c r="HM222" s="202"/>
      <c r="HN222" s="203"/>
    </row>
    <row r="223" spans="1:222" ht="16.5" customHeight="1">
      <c r="A223" s="181">
        <v>220</v>
      </c>
      <c r="B223" s="182">
        <v>381606778459</v>
      </c>
      <c r="C223" s="598" t="s">
        <v>2473</v>
      </c>
      <c r="D223" s="184" t="s">
        <v>1694</v>
      </c>
      <c r="E223" s="184" t="str">
        <f t="shared" si="21"/>
        <v>Import</v>
      </c>
      <c r="F223" s="720" t="str" cm="1">
        <f t="array" ref="F223">_xlfn.IFS(
  OR(AI223="E11", AI223="E15"), "Raw materials",
  OR(AI223="E13", AI223="G13"), "Equipments + Toolings",
  TRUE, RIGHT(C223, 8)
)</f>
        <v>Raw materials</v>
      </c>
      <c r="G223" s="541" t="str" cm="1">
        <f t="array" ref="G223">IF(E223="Import",
  IFERROR(
    _xlfn.IFS(
      VLOOKUP(B223,[1]Material!F$5:U$90000,16,0)="LUC","Lucid",
      VLOOKUP(B223,[1]Material!F$5:U$90000,16,0)="FMC","FORD",
      OR(VLOOKUP(B223,[1]Material!F$5:U$90000,16,0)="PUR",VLOOKUP(B223,[1]Material!F$5:U$90000,16,0)="HLO"),"PURE",
      VLOOKUP(B223,[1]Material!F$5:U$90000,16,0)="AIC","AIC",
      OR(VLOOKUP(B223,[1]Material!F$5:U$90000,16,0)="AGI",VLOOKUP(B223,[1]Material!F$5:U$90000,16,0)="AGIGA"),"AGIGA",
      OR(LEFT(VLOOKUP(B223,[1]Material!F$5:U$90000,16,0),3)="EF-",VLOOKUP(B223,[1]Material!F$5:U$90000,16,0)="EFI"),"EFI",
      AND(ISNUMBER(VLOOKUP(B223,[1]Material!F$5:U$90000,16,0)),VLOOKUP(B223,[1]Material!F$5:U$90000,16,0)&gt;=100,VLOOKUP(B223,[1]Material!F$5:U$90000,16,0)&lt;=999,VLOOKUP(B223,[1]Material!F$5:U$90000,16,0)=INT(VLOOKUP(B223,[1]Material!F$5:U$90000,16,0))),"OEM",
      TRUE,""
    ),
    "không tìm thấy trong file Import"
  ),
  VLOOKUP(F223,'[2]Export shipment'!B:Y,24,0)
)</f>
        <v>OEM</v>
      </c>
      <c r="H223" s="184"/>
      <c r="I223" s="184"/>
      <c r="J223" s="260">
        <f>(V223+X223+AA223)/'Logistics record '!$AD$1</f>
        <v>15.116015418335726</v>
      </c>
      <c r="K223" s="260">
        <f>W223/'Logistics record '!$AD$1</f>
        <v>0</v>
      </c>
      <c r="L223" s="260">
        <f>Y223/'Logistics record '!$AD$1</f>
        <v>0</v>
      </c>
      <c r="M223" s="260">
        <f>AF223/'Logistics record '!$AD$1</f>
        <v>0</v>
      </c>
      <c r="N223" s="260" t="str" cm="1">
        <f t="array" ref="N223">_xlfn.IFS(
    OR(UPPER(S223)="AIR", UPPER(S223)="CPN"), "AIR",
    UPPER(S223)="TC", "LOCAL",
    TRUE, "SEA"
)</f>
        <v>AIR</v>
      </c>
      <c r="O223" s="260">
        <f t="shared" si="22"/>
        <v>15.116015418335726</v>
      </c>
      <c r="P223" s="184" t="s">
        <v>931</v>
      </c>
      <c r="Q223" s="185">
        <v>108313867320</v>
      </c>
      <c r="R223" s="186">
        <v>46178</v>
      </c>
      <c r="S223" s="187" t="s">
        <v>928</v>
      </c>
      <c r="T223" s="188">
        <v>3.7</v>
      </c>
      <c r="U223" s="188"/>
      <c r="V223" s="189">
        <v>400000</v>
      </c>
      <c r="W223" s="190"/>
      <c r="X223" s="190"/>
      <c r="Y223" s="190"/>
      <c r="Z223" s="189">
        <f t="shared" si="18"/>
        <v>400000</v>
      </c>
      <c r="AA223" s="189">
        <v>0</v>
      </c>
      <c r="AB223" s="189">
        <f t="shared" si="23"/>
        <v>400000</v>
      </c>
      <c r="AC223" s="189"/>
      <c r="AD223" s="190"/>
      <c r="AE223" s="190"/>
      <c r="AF223" s="191">
        <f t="shared" si="19"/>
        <v>0</v>
      </c>
      <c r="AG223" s="190">
        <f t="shared" si="20"/>
        <v>400000</v>
      </c>
      <c r="AH223" s="190"/>
      <c r="AI223" s="192" t="str">
        <f>VLOOKUP(Q223,[3]Sheet1!B$11:G$1489,6,0)</f>
        <v>E11</v>
      </c>
      <c r="GK223" s="194"/>
      <c r="GL223" s="195"/>
      <c r="GM223" s="196"/>
      <c r="GN223" s="197"/>
      <c r="GO223" s="198"/>
      <c r="GP223" s="199"/>
      <c r="GQ223" s="200"/>
      <c r="GR223" s="201"/>
      <c r="GS223" s="60"/>
      <c r="GT223" s="202"/>
      <c r="GU223" s="202"/>
      <c r="GV223" s="202"/>
      <c r="GW223" s="202"/>
      <c r="GX223" s="203"/>
      <c r="HA223" s="194"/>
      <c r="HB223" s="195"/>
      <c r="HC223" s="196"/>
      <c r="HD223" s="197"/>
      <c r="HE223" s="198"/>
      <c r="HF223" s="199"/>
      <c r="HG223" s="200"/>
      <c r="HH223" s="201"/>
      <c r="HI223" s="60"/>
      <c r="HJ223" s="202"/>
      <c r="HK223" s="202"/>
      <c r="HL223" s="202"/>
      <c r="HM223" s="202"/>
      <c r="HN223" s="203"/>
    </row>
    <row r="224" spans="1:222" ht="16.5" customHeight="1">
      <c r="A224" s="181">
        <v>221</v>
      </c>
      <c r="B224" s="182">
        <v>500292680405</v>
      </c>
      <c r="C224" s="183" t="s">
        <v>2474</v>
      </c>
      <c r="D224" s="184" t="s">
        <v>945</v>
      </c>
      <c r="E224" s="184" t="str">
        <f t="shared" si="21"/>
        <v>Import</v>
      </c>
      <c r="F224" s="720" t="str" cm="1">
        <f t="array" ref="F224">_xlfn.IFS(
  OR(AI224="E11", AI224="E15"), "Raw materials",
  OR(AI224="E13", AI224="G13"), "Equipments + Toolings",
  TRUE, RIGHT(C224, 8)
)</f>
        <v>Raw materials</v>
      </c>
      <c r="G224" s="541" t="str" cm="1">
        <f t="array" ref="G224">IF(E224="Import",
  IFERROR(
    _xlfn.IFS(
      VLOOKUP(B224,[1]Material!F$5:U$90000,16,0)="LUC","Lucid",
      VLOOKUP(B224,[1]Material!F$5:U$90000,16,0)="FMC","FORD",
      OR(VLOOKUP(B224,[1]Material!F$5:U$90000,16,0)="PUR",VLOOKUP(B224,[1]Material!F$5:U$90000,16,0)="HLO"),"PURE",
      VLOOKUP(B224,[1]Material!F$5:U$90000,16,0)="AIC","AIC",
      OR(VLOOKUP(B224,[1]Material!F$5:U$90000,16,0)="AGI",VLOOKUP(B224,[1]Material!F$5:U$90000,16,0)="AGIGA"),"AGIGA",
      OR(LEFT(VLOOKUP(B224,[1]Material!F$5:U$90000,16,0),3)="EF-",VLOOKUP(B224,[1]Material!F$5:U$90000,16,0)="EFI"),"EFI",
      AND(ISNUMBER(VLOOKUP(B224,[1]Material!F$5:U$90000,16,0)),VLOOKUP(B224,[1]Material!F$5:U$90000,16,0)&gt;=100,VLOOKUP(B224,[1]Material!F$5:U$90000,16,0)&lt;=999,VLOOKUP(B224,[1]Material!F$5:U$90000,16,0)=INT(VLOOKUP(B224,[1]Material!F$5:U$90000,16,0))),"OEM",
      TRUE,""
    ),
    "không tìm thấy trong file Import"
  ),
  VLOOKUP(F224,'[2]Export shipment'!B:Y,24,0)
)</f>
        <v>EFI</v>
      </c>
      <c r="H224" s="184"/>
      <c r="I224" s="184"/>
      <c r="J224" s="260">
        <f>(V224+X224+AA224)/'Logistics record '!$AD$1</f>
        <v>15.116015418335726</v>
      </c>
      <c r="K224" s="260">
        <f>W224/'Logistics record '!$AD$1</f>
        <v>0</v>
      </c>
      <c r="L224" s="260">
        <f>Y224/'Logistics record '!$AD$1</f>
        <v>0</v>
      </c>
      <c r="M224" s="260">
        <f>AF224/'Logistics record '!$AD$1</f>
        <v>0</v>
      </c>
      <c r="N224" s="260" t="str" cm="1">
        <f t="array" ref="N224">_xlfn.IFS(
    OR(UPPER(S224)="AIR", UPPER(S224)="CPN"), "AIR",
    UPPER(S224)="TC", "LOCAL",
    TRUE, "SEA"
)</f>
        <v>AIR</v>
      </c>
      <c r="O224" s="260">
        <f t="shared" si="22"/>
        <v>15.116015418335726</v>
      </c>
      <c r="P224" s="184" t="s">
        <v>946</v>
      </c>
      <c r="Q224" s="185">
        <v>108313909800</v>
      </c>
      <c r="R224" s="186">
        <v>46178</v>
      </c>
      <c r="S224" s="187" t="s">
        <v>928</v>
      </c>
      <c r="T224" s="188">
        <v>0.5</v>
      </c>
      <c r="U224" s="188"/>
      <c r="V224" s="189">
        <v>400000</v>
      </c>
      <c r="W224" s="190"/>
      <c r="X224" s="190"/>
      <c r="Y224" s="190"/>
      <c r="Z224" s="189">
        <f t="shared" si="18"/>
        <v>400000</v>
      </c>
      <c r="AA224" s="189">
        <v>0</v>
      </c>
      <c r="AB224" s="189">
        <f t="shared" si="23"/>
        <v>400000</v>
      </c>
      <c r="AC224" s="189"/>
      <c r="AD224" s="190"/>
      <c r="AE224" s="190"/>
      <c r="AF224" s="191">
        <f t="shared" si="19"/>
        <v>0</v>
      </c>
      <c r="AG224" s="190">
        <f t="shared" si="20"/>
        <v>400000</v>
      </c>
      <c r="AH224" s="190"/>
      <c r="AI224" s="192" t="str">
        <f>VLOOKUP(Q224,[3]Sheet1!B$11:G$1489,6,0)</f>
        <v>E11</v>
      </c>
      <c r="GK224" s="194"/>
      <c r="GL224" s="195"/>
      <c r="GM224" s="196"/>
      <c r="GN224" s="197"/>
      <c r="GO224" s="198"/>
      <c r="GP224" s="199"/>
      <c r="GQ224" s="200"/>
      <c r="GR224" s="201"/>
      <c r="GS224" s="60"/>
      <c r="GT224" s="202"/>
      <c r="GU224" s="202"/>
      <c r="GV224" s="202"/>
      <c r="GW224" s="202"/>
      <c r="GX224" s="203"/>
      <c r="HA224" s="194"/>
      <c r="HB224" s="195"/>
      <c r="HC224" s="196"/>
      <c r="HD224" s="197"/>
      <c r="HE224" s="198"/>
      <c r="HF224" s="199"/>
      <c r="HG224" s="200"/>
      <c r="HH224" s="201"/>
      <c r="HI224" s="60"/>
      <c r="HJ224" s="202"/>
      <c r="HK224" s="202"/>
      <c r="HL224" s="202"/>
      <c r="HM224" s="202"/>
      <c r="HN224" s="203"/>
    </row>
    <row r="225" spans="1:222" ht="16.5" customHeight="1">
      <c r="A225" s="181">
        <v>222</v>
      </c>
      <c r="B225" s="182">
        <v>381751868559</v>
      </c>
      <c r="C225" s="183" t="s">
        <v>2475</v>
      </c>
      <c r="D225" s="184" t="s">
        <v>1694</v>
      </c>
      <c r="E225" s="184" t="str">
        <f t="shared" si="21"/>
        <v>Import</v>
      </c>
      <c r="F225" s="720" t="str" cm="1">
        <f t="array" ref="F225">_xlfn.IFS(
  OR(AI225="E11", AI225="E15"), "Raw materials",
  OR(AI225="E13", AI225="G13"), "Equipments + Toolings",
  TRUE, RIGHT(C225, 8)
)</f>
        <v>Raw materials</v>
      </c>
      <c r="G225" s="541" t="str" cm="1">
        <f t="array" ref="G225">IF(E225="Import",
  IFERROR(
    _xlfn.IFS(
      VLOOKUP(B225,[1]Material!F$5:U$90000,16,0)="LUC","Lucid",
      VLOOKUP(B225,[1]Material!F$5:U$90000,16,0)="FMC","FORD",
      OR(VLOOKUP(B225,[1]Material!F$5:U$90000,16,0)="PUR",VLOOKUP(B225,[1]Material!F$5:U$90000,16,0)="HLO"),"PURE",
      VLOOKUP(B225,[1]Material!F$5:U$90000,16,0)="AIC","AIC",
      OR(VLOOKUP(B225,[1]Material!F$5:U$90000,16,0)="AGI",VLOOKUP(B225,[1]Material!F$5:U$90000,16,0)="AGIGA"),"AGIGA",
      OR(LEFT(VLOOKUP(B225,[1]Material!F$5:U$90000,16,0),3)="EF-",VLOOKUP(B225,[1]Material!F$5:U$90000,16,0)="EFI"),"EFI",
      AND(ISNUMBER(VLOOKUP(B225,[1]Material!F$5:U$90000,16,0)),VLOOKUP(B225,[1]Material!F$5:U$90000,16,0)&gt;=100,VLOOKUP(B225,[1]Material!F$5:U$90000,16,0)&lt;=999,VLOOKUP(B225,[1]Material!F$5:U$90000,16,0)=INT(VLOOKUP(B225,[1]Material!F$5:U$90000,16,0))),"OEM",
      TRUE,""
    ),
    "không tìm thấy trong file Import"
  ),
  VLOOKUP(F225,'[2]Export shipment'!B:Y,24,0)
)</f>
        <v>OEM</v>
      </c>
      <c r="H225" s="184"/>
      <c r="I225" s="184"/>
      <c r="J225" s="260">
        <f>(V225+X225+AA225)/'Logistics record '!$AD$1</f>
        <v>15.116015418335726</v>
      </c>
      <c r="K225" s="260">
        <f>W225/'Logistics record '!$AD$1</f>
        <v>0</v>
      </c>
      <c r="L225" s="260">
        <f>Y225/'Logistics record '!$AD$1</f>
        <v>0</v>
      </c>
      <c r="M225" s="260">
        <f>AF225/'Logistics record '!$AD$1</f>
        <v>0</v>
      </c>
      <c r="N225" s="260" t="str" cm="1">
        <f t="array" ref="N225">_xlfn.IFS(
    OR(UPPER(S225)="AIR", UPPER(S225)="CPN"), "AIR",
    UPPER(S225)="TC", "LOCAL",
    TRUE, "SEA"
)</f>
        <v>AIR</v>
      </c>
      <c r="O225" s="260">
        <f t="shared" si="22"/>
        <v>15.116015418335726</v>
      </c>
      <c r="P225" s="184" t="s">
        <v>931</v>
      </c>
      <c r="Q225" s="185">
        <v>108313921920</v>
      </c>
      <c r="R225" s="186">
        <v>46178</v>
      </c>
      <c r="S225" s="187" t="s">
        <v>928</v>
      </c>
      <c r="T225" s="188">
        <v>1.2</v>
      </c>
      <c r="U225" s="188"/>
      <c r="V225" s="189">
        <v>400000</v>
      </c>
      <c r="W225" s="190"/>
      <c r="X225" s="190"/>
      <c r="Y225" s="190"/>
      <c r="Z225" s="189">
        <f t="shared" si="18"/>
        <v>400000</v>
      </c>
      <c r="AA225" s="189">
        <v>0</v>
      </c>
      <c r="AB225" s="189">
        <f t="shared" si="23"/>
        <v>400000</v>
      </c>
      <c r="AC225" s="189"/>
      <c r="AD225" s="190"/>
      <c r="AE225" s="190"/>
      <c r="AF225" s="191">
        <f t="shared" si="19"/>
        <v>0</v>
      </c>
      <c r="AG225" s="190">
        <f t="shared" si="20"/>
        <v>400000</v>
      </c>
      <c r="AH225" s="190"/>
      <c r="AI225" s="192" t="str">
        <f>VLOOKUP(Q225,[3]Sheet1!B$11:G$1489,6,0)</f>
        <v>E11</v>
      </c>
      <c r="GK225" s="194"/>
      <c r="GL225" s="195"/>
      <c r="GM225" s="196"/>
      <c r="GN225" s="197"/>
      <c r="GO225" s="198"/>
      <c r="GP225" s="199"/>
      <c r="GQ225" s="200"/>
      <c r="GR225" s="201"/>
      <c r="GS225" s="60"/>
      <c r="GT225" s="202"/>
      <c r="GU225" s="202"/>
      <c r="GV225" s="202"/>
      <c r="GW225" s="202"/>
      <c r="GX225" s="203"/>
      <c r="HA225" s="194"/>
      <c r="HB225" s="195"/>
      <c r="HC225" s="196"/>
      <c r="HD225" s="197"/>
      <c r="HE225" s="198"/>
      <c r="HF225" s="199"/>
      <c r="HG225" s="200"/>
      <c r="HH225" s="201"/>
      <c r="HI225" s="60"/>
      <c r="HJ225" s="202"/>
      <c r="HK225" s="202"/>
      <c r="HL225" s="202"/>
      <c r="HM225" s="202"/>
      <c r="HN225" s="203"/>
    </row>
    <row r="226" spans="1:222" ht="16.5" customHeight="1">
      <c r="A226" s="181">
        <v>223</v>
      </c>
      <c r="B226" s="182">
        <v>381794684335</v>
      </c>
      <c r="C226" s="183" t="s">
        <v>2476</v>
      </c>
      <c r="D226" s="184" t="s">
        <v>2326</v>
      </c>
      <c r="E226" s="184" t="str">
        <f t="shared" si="21"/>
        <v>Import</v>
      </c>
      <c r="F226" s="720" t="str" cm="1">
        <f t="array" ref="F226">_xlfn.IFS(
  OR(AI226="E11", AI226="E15"), "Raw materials",
  OR(AI226="E13", AI226="G13"), "Equipments + Toolings",
  TRUE, RIGHT(C226, 8)
)</f>
        <v>Raw materials</v>
      </c>
      <c r="G226" s="541" t="str" cm="1">
        <f t="array" ref="G226">IF(E226="Import",
  IFERROR(
    _xlfn.IFS(
      VLOOKUP(B226,[1]Material!F$5:U$90000,16,0)="LUC","Lucid",
      VLOOKUP(B226,[1]Material!F$5:U$90000,16,0)="FMC","FORD",
      OR(VLOOKUP(B226,[1]Material!F$5:U$90000,16,0)="PUR",VLOOKUP(B226,[1]Material!F$5:U$90000,16,0)="HLO"),"PURE",
      VLOOKUP(B226,[1]Material!F$5:U$90000,16,0)="AIC","AIC",
      OR(VLOOKUP(B226,[1]Material!F$5:U$90000,16,0)="AGI",VLOOKUP(B226,[1]Material!F$5:U$90000,16,0)="AGIGA"),"AGIGA",
      OR(LEFT(VLOOKUP(B226,[1]Material!F$5:U$90000,16,0),3)="EF-",VLOOKUP(B226,[1]Material!F$5:U$90000,16,0)="EFI"),"EFI",
      AND(ISNUMBER(VLOOKUP(B226,[1]Material!F$5:U$90000,16,0)),VLOOKUP(B226,[1]Material!F$5:U$90000,16,0)&gt;=100,VLOOKUP(B226,[1]Material!F$5:U$90000,16,0)&lt;=999,VLOOKUP(B226,[1]Material!F$5:U$90000,16,0)=INT(VLOOKUP(B226,[1]Material!F$5:U$90000,16,0))),"OEM",
      TRUE,""
    ),
    "không tìm thấy trong file Import"
  ),
  VLOOKUP(F226,'[2]Export shipment'!B:Y,24,0)
)</f>
        <v>PURE</v>
      </c>
      <c r="H226" s="184"/>
      <c r="I226" s="184"/>
      <c r="J226" s="260">
        <f>(V226+X226+AA226)/'Logistics record '!$AD$1</f>
        <v>15.116015418335726</v>
      </c>
      <c r="K226" s="260">
        <f>W226/'Logistics record '!$AD$1</f>
        <v>0</v>
      </c>
      <c r="L226" s="260">
        <f>Y226/'Logistics record '!$AD$1</f>
        <v>0</v>
      </c>
      <c r="M226" s="260">
        <f>AF226/'Logistics record '!$AD$1</f>
        <v>0</v>
      </c>
      <c r="N226" s="260" t="str" cm="1">
        <f t="array" ref="N226">_xlfn.IFS(
    OR(UPPER(S226)="AIR", UPPER(S226)="CPN"), "AIR",
    UPPER(S226)="TC", "LOCAL",
    TRUE, "SEA"
)</f>
        <v>AIR</v>
      </c>
      <c r="O226" s="260">
        <f t="shared" si="22"/>
        <v>15.116015418335726</v>
      </c>
      <c r="P226" s="184" t="s">
        <v>943</v>
      </c>
      <c r="Q226" s="185">
        <v>108313982930</v>
      </c>
      <c r="R226" s="186">
        <v>46178</v>
      </c>
      <c r="S226" s="187" t="s">
        <v>928</v>
      </c>
      <c r="T226" s="188">
        <v>4.4000000000000004</v>
      </c>
      <c r="U226" s="188"/>
      <c r="V226" s="189">
        <v>400000</v>
      </c>
      <c r="W226" s="190"/>
      <c r="X226" s="190"/>
      <c r="Y226" s="190"/>
      <c r="Z226" s="189">
        <f t="shared" si="18"/>
        <v>400000</v>
      </c>
      <c r="AA226" s="189">
        <v>0</v>
      </c>
      <c r="AB226" s="189">
        <f t="shared" si="23"/>
        <v>400000</v>
      </c>
      <c r="AC226" s="189"/>
      <c r="AD226" s="190"/>
      <c r="AE226" s="190"/>
      <c r="AF226" s="191">
        <f t="shared" si="19"/>
        <v>0</v>
      </c>
      <c r="AG226" s="190">
        <f t="shared" si="20"/>
        <v>400000</v>
      </c>
      <c r="AH226" s="190"/>
      <c r="AI226" s="192" t="str">
        <f>VLOOKUP(Q226,[3]Sheet1!B$11:G$1489,6,0)</f>
        <v>E11</v>
      </c>
      <c r="GK226" s="194"/>
      <c r="GL226" s="195"/>
      <c r="GM226" s="196"/>
      <c r="GN226" s="197"/>
      <c r="GO226" s="198"/>
      <c r="GP226" s="199"/>
      <c r="GQ226" s="200"/>
      <c r="GR226" s="201"/>
      <c r="GS226" s="60"/>
      <c r="GT226" s="202"/>
      <c r="GU226" s="202"/>
      <c r="GV226" s="202"/>
      <c r="GW226" s="202"/>
      <c r="GX226" s="203"/>
      <c r="HA226" s="194"/>
      <c r="HB226" s="195"/>
      <c r="HC226" s="196"/>
      <c r="HD226" s="197"/>
      <c r="HE226" s="198"/>
      <c r="HF226" s="199"/>
      <c r="HG226" s="200"/>
      <c r="HH226" s="201"/>
      <c r="HI226" s="60"/>
      <c r="HJ226" s="202"/>
      <c r="HK226" s="202"/>
      <c r="HL226" s="202"/>
      <c r="HM226" s="202"/>
      <c r="HN226" s="203"/>
    </row>
    <row r="227" spans="1:222" ht="16.5" customHeight="1">
      <c r="A227" s="181">
        <v>224</v>
      </c>
      <c r="B227" s="182">
        <v>809262197638</v>
      </c>
      <c r="C227" s="598" t="s">
        <v>2477</v>
      </c>
      <c r="D227" s="184" t="s">
        <v>1588</v>
      </c>
      <c r="E227" s="184" t="str">
        <f t="shared" si="21"/>
        <v>Import</v>
      </c>
      <c r="F227" s="720" t="str" cm="1">
        <f t="array" ref="F227">_xlfn.IFS(
  OR(AI227="E11", AI227="E15"), "Raw materials",
  OR(AI227="E13", AI227="G13"), "Equipments + Toolings",
  TRUE, RIGHT(C227, 8)
)</f>
        <v>Raw materials</v>
      </c>
      <c r="G227" s="541" t="str" cm="1">
        <f t="array" ref="G227">IF(E227="Import",
  IFERROR(
    _xlfn.IFS(
      VLOOKUP(B227,[1]Material!F$5:U$90000,16,0)="LUC","Lucid",
      VLOOKUP(B227,[1]Material!F$5:U$90000,16,0)="FMC","FORD",
      OR(VLOOKUP(B227,[1]Material!F$5:U$90000,16,0)="PUR",VLOOKUP(B227,[1]Material!F$5:U$90000,16,0)="HLO"),"PURE",
      VLOOKUP(B227,[1]Material!F$5:U$90000,16,0)="AIC","AIC",
      OR(VLOOKUP(B227,[1]Material!F$5:U$90000,16,0)="AGI",VLOOKUP(B227,[1]Material!F$5:U$90000,16,0)="AGIGA"),"AGIGA",
      OR(LEFT(VLOOKUP(B227,[1]Material!F$5:U$90000,16,0),3)="EF-",VLOOKUP(B227,[1]Material!F$5:U$90000,16,0)="EFI"),"EFI",
      AND(ISNUMBER(VLOOKUP(B227,[1]Material!F$5:U$90000,16,0)),VLOOKUP(B227,[1]Material!F$5:U$90000,16,0)&gt;=100,VLOOKUP(B227,[1]Material!F$5:U$90000,16,0)&lt;=999,VLOOKUP(B227,[1]Material!F$5:U$90000,16,0)=INT(VLOOKUP(B227,[1]Material!F$5:U$90000,16,0))),"OEM",
      TRUE,""
    ),
    "không tìm thấy trong file Import"
  ),
  VLOOKUP(F227,'[2]Export shipment'!B:Y,24,0)
)</f>
        <v>OEM</v>
      </c>
      <c r="H227" s="184"/>
      <c r="I227" s="184"/>
      <c r="J227" s="260">
        <f>(V227+X227+AA227)/'Logistics record '!$AD$1</f>
        <v>15.116015418335726</v>
      </c>
      <c r="K227" s="260">
        <f>W227/'Logistics record '!$AD$1</f>
        <v>0</v>
      </c>
      <c r="L227" s="260">
        <f>Y227/'Logistics record '!$AD$1</f>
        <v>0</v>
      </c>
      <c r="M227" s="260">
        <f>AF227/'Logistics record '!$AD$1</f>
        <v>0</v>
      </c>
      <c r="N227" s="260" t="str" cm="1">
        <f t="array" ref="N227">_xlfn.IFS(
    OR(UPPER(S227)="AIR", UPPER(S227)="CPN"), "AIR",
    UPPER(S227)="TC", "LOCAL",
    TRUE, "SEA"
)</f>
        <v>AIR</v>
      </c>
      <c r="O227" s="260">
        <f t="shared" si="22"/>
        <v>15.116015418335726</v>
      </c>
      <c r="P227" s="184" t="s">
        <v>927</v>
      </c>
      <c r="Q227" s="185">
        <v>108314017450</v>
      </c>
      <c r="R227" s="186">
        <v>46178</v>
      </c>
      <c r="S227" s="187" t="s">
        <v>928</v>
      </c>
      <c r="T227" s="188">
        <v>51</v>
      </c>
      <c r="U227" s="188"/>
      <c r="V227" s="189">
        <v>400000</v>
      </c>
      <c r="W227" s="190"/>
      <c r="X227" s="190"/>
      <c r="Y227" s="190"/>
      <c r="Z227" s="189">
        <f t="shared" si="18"/>
        <v>400000</v>
      </c>
      <c r="AA227" s="189">
        <v>0</v>
      </c>
      <c r="AB227" s="189">
        <f t="shared" si="23"/>
        <v>400000</v>
      </c>
      <c r="AC227" s="189"/>
      <c r="AD227" s="190"/>
      <c r="AE227" s="190"/>
      <c r="AF227" s="191">
        <f t="shared" si="19"/>
        <v>0</v>
      </c>
      <c r="AG227" s="190">
        <f t="shared" si="20"/>
        <v>400000</v>
      </c>
      <c r="AH227" s="190"/>
      <c r="AI227" s="192" t="str">
        <f>VLOOKUP(Q227,[3]Sheet1!B$11:G$1489,6,0)</f>
        <v>E11</v>
      </c>
      <c r="GK227" s="194"/>
      <c r="GL227" s="195"/>
      <c r="GM227" s="196"/>
      <c r="GN227" s="197"/>
      <c r="GO227" s="198"/>
      <c r="GP227" s="199"/>
      <c r="GQ227" s="200"/>
      <c r="GR227" s="201"/>
      <c r="GS227" s="60"/>
      <c r="GT227" s="202"/>
      <c r="GU227" s="202"/>
      <c r="GV227" s="202"/>
      <c r="GW227" s="202"/>
      <c r="GX227" s="203"/>
      <c r="HA227" s="194"/>
      <c r="HB227" s="195"/>
      <c r="HC227" s="196"/>
      <c r="HD227" s="197"/>
      <c r="HE227" s="198"/>
      <c r="HF227" s="199"/>
      <c r="HG227" s="200"/>
      <c r="HH227" s="201"/>
      <c r="HI227" s="60"/>
      <c r="HJ227" s="202"/>
      <c r="HK227" s="202"/>
      <c r="HL227" s="202"/>
      <c r="HM227" s="202"/>
      <c r="HN227" s="203"/>
    </row>
    <row r="228" spans="1:222" ht="16.5" customHeight="1">
      <c r="A228" s="181">
        <v>225</v>
      </c>
      <c r="B228" s="182">
        <v>522040218878</v>
      </c>
      <c r="C228" s="183" t="s">
        <v>2478</v>
      </c>
      <c r="D228" s="184" t="s">
        <v>1994</v>
      </c>
      <c r="E228" s="184" t="str">
        <f t="shared" si="21"/>
        <v>Import</v>
      </c>
      <c r="F228" s="720" t="str" cm="1">
        <f t="array" ref="F228">_xlfn.IFS(
  OR(AI228="E11", AI228="E15"), "Raw materials",
  OR(AI228="E13", AI228="G13"), "Equipments + Toolings",
  TRUE, RIGHT(C228, 8)
)</f>
        <v>Raw materials</v>
      </c>
      <c r="G228" s="541" t="str" cm="1">
        <f t="array" ref="G228">IF(E228="Import",
  IFERROR(
    _xlfn.IFS(
      VLOOKUP(B228,[1]Material!F$5:U$90000,16,0)="LUC","Lucid",
      VLOOKUP(B228,[1]Material!F$5:U$90000,16,0)="FMC","FORD",
      OR(VLOOKUP(B228,[1]Material!F$5:U$90000,16,0)="PUR",VLOOKUP(B228,[1]Material!F$5:U$90000,16,0)="HLO"),"PURE",
      VLOOKUP(B228,[1]Material!F$5:U$90000,16,0)="AIC","AIC",
      OR(VLOOKUP(B228,[1]Material!F$5:U$90000,16,0)="AGI",VLOOKUP(B228,[1]Material!F$5:U$90000,16,0)="AGIGA"),"AGIGA",
      OR(LEFT(VLOOKUP(B228,[1]Material!F$5:U$90000,16,0),3)="EF-",VLOOKUP(B228,[1]Material!F$5:U$90000,16,0)="EFI"),"EFI",
      AND(ISNUMBER(VLOOKUP(B228,[1]Material!F$5:U$90000,16,0)),VLOOKUP(B228,[1]Material!F$5:U$90000,16,0)&gt;=100,VLOOKUP(B228,[1]Material!F$5:U$90000,16,0)&lt;=999,VLOOKUP(B228,[1]Material!F$5:U$90000,16,0)=INT(VLOOKUP(B228,[1]Material!F$5:U$90000,16,0))),"OEM",
      TRUE,""
    ),
    "không tìm thấy trong file Import"
  ),
  VLOOKUP(F228,'[2]Export shipment'!B:Y,24,0)
)</f>
        <v>OEM</v>
      </c>
      <c r="H228" s="184"/>
      <c r="I228" s="184"/>
      <c r="J228" s="260">
        <f>(V228+X228+AA228)/'Logistics record '!$AD$1</f>
        <v>15.116015418335726</v>
      </c>
      <c r="K228" s="260">
        <f>W228/'Logistics record '!$AD$1</f>
        <v>0</v>
      </c>
      <c r="L228" s="260">
        <f>Y228/'Logistics record '!$AD$1</f>
        <v>0</v>
      </c>
      <c r="M228" s="260">
        <f>AF228/'Logistics record '!$AD$1</f>
        <v>0</v>
      </c>
      <c r="N228" s="260" t="str" cm="1">
        <f t="array" ref="N228">_xlfn.IFS(
    OR(UPPER(S228)="AIR", UPPER(S228)="CPN"), "AIR",
    UPPER(S228)="TC", "LOCAL",
    TRUE, "SEA"
)</f>
        <v>AIR</v>
      </c>
      <c r="O228" s="260">
        <f t="shared" si="22"/>
        <v>15.116015418335726</v>
      </c>
      <c r="P228" s="184" t="s">
        <v>939</v>
      </c>
      <c r="Q228" s="185">
        <v>108316492060</v>
      </c>
      <c r="R228" s="186">
        <v>46181</v>
      </c>
      <c r="S228" s="187" t="s">
        <v>928</v>
      </c>
      <c r="T228" s="188">
        <v>9.5</v>
      </c>
      <c r="U228" s="188"/>
      <c r="V228" s="189">
        <v>400000</v>
      </c>
      <c r="W228" s="190"/>
      <c r="X228" s="190"/>
      <c r="Y228" s="190"/>
      <c r="Z228" s="189">
        <f t="shared" si="18"/>
        <v>400000</v>
      </c>
      <c r="AA228" s="189">
        <v>0</v>
      </c>
      <c r="AB228" s="189">
        <f t="shared" si="23"/>
        <v>400000</v>
      </c>
      <c r="AC228" s="189"/>
      <c r="AD228" s="190"/>
      <c r="AE228" s="190"/>
      <c r="AF228" s="191">
        <f t="shared" si="19"/>
        <v>0</v>
      </c>
      <c r="AG228" s="190">
        <f t="shared" si="20"/>
        <v>400000</v>
      </c>
      <c r="AH228" s="190"/>
      <c r="AI228" s="192" t="str">
        <f>VLOOKUP(Q228,[3]Sheet1!B$11:G$1489,6,0)</f>
        <v>E11</v>
      </c>
      <c r="GK228" s="194"/>
      <c r="GL228" s="195"/>
      <c r="GM228" s="196"/>
      <c r="GN228" s="197"/>
      <c r="GO228" s="198"/>
      <c r="GP228" s="199"/>
      <c r="GQ228" s="200"/>
      <c r="GR228" s="201"/>
      <c r="GS228" s="60"/>
      <c r="GT228" s="202"/>
      <c r="GU228" s="202"/>
      <c r="GV228" s="202"/>
      <c r="GW228" s="202"/>
      <c r="GX228" s="203"/>
      <c r="HA228" s="194"/>
      <c r="HB228" s="195"/>
      <c r="HC228" s="196"/>
      <c r="HD228" s="197"/>
      <c r="HE228" s="198"/>
      <c r="HF228" s="199"/>
      <c r="HG228" s="200"/>
      <c r="HH228" s="201"/>
      <c r="HI228" s="60"/>
      <c r="HJ228" s="202"/>
      <c r="HK228" s="202"/>
      <c r="HL228" s="202"/>
      <c r="HM228" s="202"/>
      <c r="HN228" s="203"/>
    </row>
    <row r="229" spans="1:222" ht="16.5" customHeight="1">
      <c r="A229" s="181">
        <v>226</v>
      </c>
      <c r="B229" s="182">
        <v>2390390170</v>
      </c>
      <c r="C229" s="598" t="s">
        <v>2479</v>
      </c>
      <c r="D229" s="184" t="s">
        <v>934</v>
      </c>
      <c r="E229" s="184" t="str">
        <f t="shared" si="21"/>
        <v>Import</v>
      </c>
      <c r="F229" s="720" t="str" cm="1">
        <f t="array" ref="F229">_xlfn.IFS(
  OR(AI229="E11", AI229="E15"), "Raw materials",
  OR(AI229="E13", AI229="G13"), "Equipments + Toolings",
  TRUE, RIGHT(C229, 8)
)</f>
        <v>Raw materials</v>
      </c>
      <c r="G229" s="541" t="str" cm="1">
        <f t="array" ref="G229">IF(E229="Import",
  IFERROR(
    _xlfn.IFS(
      VLOOKUP(B229,[1]Material!F$5:U$90000,16,0)="LUC","Lucid",
      VLOOKUP(B229,[1]Material!F$5:U$90000,16,0)="FMC","FORD",
      OR(VLOOKUP(B229,[1]Material!F$5:U$90000,16,0)="PUR",VLOOKUP(B229,[1]Material!F$5:U$90000,16,0)="HLO"),"PURE",
      VLOOKUP(B229,[1]Material!F$5:U$90000,16,0)="AIC","AIC",
      OR(VLOOKUP(B229,[1]Material!F$5:U$90000,16,0)="AGI",VLOOKUP(B229,[1]Material!F$5:U$90000,16,0)="AGIGA"),"AGIGA",
      OR(LEFT(VLOOKUP(B229,[1]Material!F$5:U$90000,16,0),3)="EF-",VLOOKUP(B229,[1]Material!F$5:U$90000,16,0)="EFI"),"EFI",
      AND(ISNUMBER(VLOOKUP(B229,[1]Material!F$5:U$90000,16,0)),VLOOKUP(B229,[1]Material!F$5:U$90000,16,0)&gt;=100,VLOOKUP(B229,[1]Material!F$5:U$90000,16,0)&lt;=999,VLOOKUP(B229,[1]Material!F$5:U$90000,16,0)=INT(VLOOKUP(B229,[1]Material!F$5:U$90000,16,0))),"OEM",
      TRUE,""
    ),
    "không tìm thấy trong file Import"
  ),
  VLOOKUP(F229,'[2]Export shipment'!B:Y,24,0)
)</f>
        <v>Lucid</v>
      </c>
      <c r="H229" s="184"/>
      <c r="I229" s="184"/>
      <c r="J229" s="260">
        <f>(V229+X229+AA229)/'Logistics record '!$AD$1</f>
        <v>15.116015418335726</v>
      </c>
      <c r="K229" s="260">
        <f>W229/'Logistics record '!$AD$1</f>
        <v>0</v>
      </c>
      <c r="L229" s="260">
        <f>Y229/'Logistics record '!$AD$1</f>
        <v>0</v>
      </c>
      <c r="M229" s="260">
        <f>AF229/'Logistics record '!$AD$1</f>
        <v>0</v>
      </c>
      <c r="N229" s="260" t="str" cm="1">
        <f t="array" ref="N229">_xlfn.IFS(
    OR(UPPER(S229)="AIR", UPPER(S229)="CPN"), "AIR",
    UPPER(S229)="TC", "LOCAL",
    TRUE, "SEA"
)</f>
        <v>AIR</v>
      </c>
      <c r="O229" s="260">
        <f t="shared" si="22"/>
        <v>15.116015418335726</v>
      </c>
      <c r="P229" s="184" t="s">
        <v>935</v>
      </c>
      <c r="Q229" s="185">
        <v>108316736620</v>
      </c>
      <c r="R229" s="186">
        <v>46181</v>
      </c>
      <c r="S229" s="187" t="s">
        <v>928</v>
      </c>
      <c r="T229" s="188">
        <v>4.5999999999999996</v>
      </c>
      <c r="U229" s="188"/>
      <c r="V229" s="189">
        <v>400000</v>
      </c>
      <c r="W229" s="190"/>
      <c r="X229" s="190"/>
      <c r="Y229" s="190"/>
      <c r="Z229" s="189">
        <f t="shared" si="18"/>
        <v>400000</v>
      </c>
      <c r="AA229" s="189">
        <v>0</v>
      </c>
      <c r="AB229" s="189">
        <f t="shared" si="23"/>
        <v>400000</v>
      </c>
      <c r="AC229" s="189"/>
      <c r="AD229" s="190"/>
      <c r="AE229" s="190"/>
      <c r="AF229" s="191">
        <f t="shared" si="19"/>
        <v>0</v>
      </c>
      <c r="AG229" s="190">
        <f t="shared" si="20"/>
        <v>400000</v>
      </c>
      <c r="AH229" s="190"/>
      <c r="AI229" s="192" t="str">
        <f>VLOOKUP(Q229,[3]Sheet1!B$11:G$1489,6,0)</f>
        <v>E11</v>
      </c>
      <c r="GK229" s="194"/>
      <c r="GL229" s="195"/>
      <c r="GM229" s="196"/>
      <c r="GN229" s="197"/>
      <c r="GO229" s="198"/>
      <c r="GP229" s="199"/>
      <c r="GQ229" s="200"/>
      <c r="GR229" s="201"/>
      <c r="GS229" s="60"/>
      <c r="GT229" s="202"/>
      <c r="GU229" s="202"/>
      <c r="GV229" s="202"/>
      <c r="GW229" s="202"/>
      <c r="GX229" s="203"/>
      <c r="HA229" s="194"/>
      <c r="HB229" s="195"/>
      <c r="HC229" s="196"/>
      <c r="HD229" s="197"/>
      <c r="HE229" s="198"/>
      <c r="HF229" s="199"/>
      <c r="HG229" s="200"/>
      <c r="HH229" s="201"/>
      <c r="HI229" s="60"/>
      <c r="HJ229" s="202"/>
      <c r="HK229" s="202"/>
      <c r="HL229" s="202"/>
      <c r="HM229" s="202"/>
      <c r="HN229" s="203"/>
    </row>
    <row r="230" spans="1:222" ht="16.5" customHeight="1">
      <c r="A230" s="181">
        <v>227</v>
      </c>
      <c r="B230" s="182">
        <v>4110337914</v>
      </c>
      <c r="C230" s="598" t="s">
        <v>2480</v>
      </c>
      <c r="D230" s="184" t="s">
        <v>1990</v>
      </c>
      <c r="E230" s="184" t="str">
        <f t="shared" si="21"/>
        <v>Import</v>
      </c>
      <c r="F230" s="720" t="str" cm="1">
        <f t="array" ref="F230">_xlfn.IFS(
  OR(AI230="E11", AI230="E15"), "Raw materials",
  OR(AI230="E13", AI230="G13"), "Equipments + Toolings",
  TRUE, RIGHT(C230, 8)
)</f>
        <v>Raw materials</v>
      </c>
      <c r="G230" s="541" t="str" cm="1">
        <f t="array" ref="G230">IF(E230="Import",
  IFERROR(
    _xlfn.IFS(
      VLOOKUP(B230,[1]Material!F$5:U$90000,16,0)="LUC","Lucid",
      VLOOKUP(B230,[1]Material!F$5:U$90000,16,0)="FMC","FORD",
      OR(VLOOKUP(B230,[1]Material!F$5:U$90000,16,0)="PUR",VLOOKUP(B230,[1]Material!F$5:U$90000,16,0)="HLO"),"PURE",
      VLOOKUP(B230,[1]Material!F$5:U$90000,16,0)="AIC","AIC",
      OR(VLOOKUP(B230,[1]Material!F$5:U$90000,16,0)="AGI",VLOOKUP(B230,[1]Material!F$5:U$90000,16,0)="AGIGA"),"AGIGA",
      OR(LEFT(VLOOKUP(B230,[1]Material!F$5:U$90000,16,0),3)="EF-",VLOOKUP(B230,[1]Material!F$5:U$90000,16,0)="EFI"),"EFI",
      AND(ISNUMBER(VLOOKUP(B230,[1]Material!F$5:U$90000,16,0)),VLOOKUP(B230,[1]Material!F$5:U$90000,16,0)&gt;=100,VLOOKUP(B230,[1]Material!F$5:U$90000,16,0)&lt;=999,VLOOKUP(B230,[1]Material!F$5:U$90000,16,0)=INT(VLOOKUP(B230,[1]Material!F$5:U$90000,16,0))),"OEM",
      TRUE,""
    ),
    "không tìm thấy trong file Import"
  ),
  VLOOKUP(F230,'[2]Export shipment'!B:Y,24,0)
)</f>
        <v>Lucid</v>
      </c>
      <c r="H230" s="184"/>
      <c r="I230" s="184"/>
      <c r="J230" s="260">
        <f>(V230+X230+AA230)/'Logistics record '!$AD$1</f>
        <v>15.116015418335726</v>
      </c>
      <c r="K230" s="260">
        <f>W230/'Logistics record '!$AD$1</f>
        <v>0</v>
      </c>
      <c r="L230" s="260">
        <f>Y230/'Logistics record '!$AD$1</f>
        <v>0</v>
      </c>
      <c r="M230" s="260">
        <f>AF230/'Logistics record '!$AD$1</f>
        <v>0</v>
      </c>
      <c r="N230" s="260" t="str" cm="1">
        <f t="array" ref="N230">_xlfn.IFS(
    OR(UPPER(S230)="AIR", UPPER(S230)="CPN"), "AIR",
    UPPER(S230)="TC", "LOCAL",
    TRUE, "SEA"
)</f>
        <v>AIR</v>
      </c>
      <c r="O230" s="260">
        <f t="shared" si="22"/>
        <v>15.116015418335726</v>
      </c>
      <c r="P230" s="184" t="s">
        <v>935</v>
      </c>
      <c r="Q230" s="185">
        <v>108317928830</v>
      </c>
      <c r="R230" s="186">
        <v>46181</v>
      </c>
      <c r="S230" s="187" t="s">
        <v>65</v>
      </c>
      <c r="T230" s="188">
        <v>54</v>
      </c>
      <c r="U230" s="188"/>
      <c r="V230" s="189">
        <v>400000</v>
      </c>
      <c r="W230" s="190"/>
      <c r="X230" s="190"/>
      <c r="Y230" s="190"/>
      <c r="Z230" s="189">
        <f t="shared" si="18"/>
        <v>400000</v>
      </c>
      <c r="AA230" s="189">
        <v>0</v>
      </c>
      <c r="AB230" s="189">
        <f t="shared" si="23"/>
        <v>400000</v>
      </c>
      <c r="AC230" s="189"/>
      <c r="AD230" s="190"/>
      <c r="AE230" s="190"/>
      <c r="AF230" s="191">
        <f t="shared" si="19"/>
        <v>0</v>
      </c>
      <c r="AG230" s="190">
        <f t="shared" si="20"/>
        <v>400000</v>
      </c>
      <c r="AH230" s="190"/>
      <c r="AI230" s="192" t="str">
        <f>VLOOKUP(Q230,[3]Sheet1!B$11:G$1489,6,0)</f>
        <v>E11</v>
      </c>
      <c r="GK230" s="194"/>
      <c r="GL230" s="195"/>
      <c r="GM230" s="196"/>
      <c r="GN230" s="197"/>
      <c r="GO230" s="198"/>
      <c r="GP230" s="199"/>
      <c r="GQ230" s="200"/>
      <c r="GR230" s="201"/>
      <c r="GS230" s="60"/>
      <c r="GT230" s="202"/>
      <c r="GU230" s="202"/>
      <c r="GV230" s="202"/>
      <c r="GW230" s="202"/>
      <c r="GX230" s="203"/>
      <c r="HA230" s="194"/>
      <c r="HB230" s="195"/>
      <c r="HC230" s="196"/>
      <c r="HD230" s="197"/>
      <c r="HE230" s="198"/>
      <c r="HF230" s="199"/>
      <c r="HG230" s="200"/>
      <c r="HH230" s="201"/>
      <c r="HI230" s="60"/>
      <c r="HJ230" s="202"/>
      <c r="HK230" s="202"/>
      <c r="HL230" s="202"/>
      <c r="HM230" s="202"/>
      <c r="HN230" s="203"/>
    </row>
    <row r="231" spans="1:222" ht="16.5" customHeight="1">
      <c r="A231" s="181">
        <v>228</v>
      </c>
      <c r="B231" s="182" t="s">
        <v>2481</v>
      </c>
      <c r="C231" s="183" t="s">
        <v>2482</v>
      </c>
      <c r="D231" s="184" t="s">
        <v>2483</v>
      </c>
      <c r="E231" s="184" t="str">
        <f t="shared" si="21"/>
        <v>Import</v>
      </c>
      <c r="F231" s="720" t="str" cm="1">
        <f t="array" ref="F231">_xlfn.IFS(
  OR(AI231="E11", AI231="E15"), "Raw materials",
  OR(AI231="E13", AI231="G13"), "Equipments + Toolings",
  TRUE, RIGHT(C231, 8)
)</f>
        <v>Raw materials</v>
      </c>
      <c r="G231" s="541" t="str" cm="1">
        <f t="array" ref="G231">IF(E231="Import",
  IFERROR(
    _xlfn.IFS(
      VLOOKUP(B231,[1]Material!F$5:U$90000,16,0)="LUC","Lucid",
      VLOOKUP(B231,[1]Material!F$5:U$90000,16,0)="FMC","FORD",
      OR(VLOOKUP(B231,[1]Material!F$5:U$90000,16,0)="PUR",VLOOKUP(B231,[1]Material!F$5:U$90000,16,0)="HLO"),"PURE",
      VLOOKUP(B231,[1]Material!F$5:U$90000,16,0)="AIC","AIC",
      OR(VLOOKUP(B231,[1]Material!F$5:U$90000,16,0)="AGI",VLOOKUP(B231,[1]Material!F$5:U$90000,16,0)="AGIGA"),"AGIGA",
      OR(LEFT(VLOOKUP(B231,[1]Material!F$5:U$90000,16,0),3)="EF-",VLOOKUP(B231,[1]Material!F$5:U$90000,16,0)="EFI"),"EFI",
      AND(ISNUMBER(VLOOKUP(B231,[1]Material!F$5:U$90000,16,0)),VLOOKUP(B231,[1]Material!F$5:U$90000,16,0)&gt;=100,VLOOKUP(B231,[1]Material!F$5:U$90000,16,0)&lt;=999,VLOOKUP(B231,[1]Material!F$5:U$90000,16,0)=INT(VLOOKUP(B231,[1]Material!F$5:U$90000,16,0))),"OEM",
      TRUE,""
    ),
    "không tìm thấy trong file Import"
  ),
  VLOOKUP(F231,'[2]Export shipment'!B:Y,24,0)
)</f>
        <v>OEM</v>
      </c>
      <c r="H231" s="184"/>
      <c r="I231" s="184"/>
      <c r="J231" s="260">
        <f>(V231+X231+AA231)/'Logistics record '!$AD$1</f>
        <v>15.116015418335726</v>
      </c>
      <c r="K231" s="260">
        <f>W231/'Logistics record '!$AD$1</f>
        <v>22.674023127503592</v>
      </c>
      <c r="L231" s="260">
        <f>Y231/'Logistics record '!$AD$1</f>
        <v>713.1415614843927</v>
      </c>
      <c r="M231" s="260">
        <f>AF231/'Logistics record '!$AD$1</f>
        <v>37.38655430428539</v>
      </c>
      <c r="N231" s="260" t="str" cm="1">
        <f t="array" ref="N231">_xlfn.IFS(
    OR(UPPER(S231)="AIR", UPPER(S231)="CPN"), "AIR",
    UPPER(S231)="TC", "LOCAL",
    TRUE, "SEA"
)</f>
        <v>AIR</v>
      </c>
      <c r="O231" s="260">
        <f t="shared" si="22"/>
        <v>788.31815433451732</v>
      </c>
      <c r="P231" s="184" t="s">
        <v>931</v>
      </c>
      <c r="Q231" s="185">
        <v>108318739430</v>
      </c>
      <c r="R231" s="186">
        <v>46181</v>
      </c>
      <c r="S231" s="187" t="s">
        <v>65</v>
      </c>
      <c r="T231" s="188">
        <v>464</v>
      </c>
      <c r="U231" s="188"/>
      <c r="V231" s="189">
        <v>400000</v>
      </c>
      <c r="W231" s="190">
        <v>600000</v>
      </c>
      <c r="X231" s="190"/>
      <c r="Y231" s="190">
        <v>18871152</v>
      </c>
      <c r="Z231" s="189">
        <f t="shared" si="18"/>
        <v>19871152</v>
      </c>
      <c r="AA231" s="189">
        <v>0</v>
      </c>
      <c r="AB231" s="189">
        <f t="shared" si="23"/>
        <v>19871152</v>
      </c>
      <c r="AC231" s="189"/>
      <c r="AD231" s="190"/>
      <c r="AE231" s="190">
        <v>989323</v>
      </c>
      <c r="AF231" s="191">
        <f t="shared" si="19"/>
        <v>989323</v>
      </c>
      <c r="AG231" s="190">
        <f t="shared" si="20"/>
        <v>20860475</v>
      </c>
      <c r="AH231" s="190"/>
      <c r="AI231" s="192" t="str">
        <f>VLOOKUP(Q231,[3]Sheet1!B$11:G$1489,6,0)</f>
        <v>E11</v>
      </c>
      <c r="GK231" s="194"/>
      <c r="GL231" s="195"/>
      <c r="GM231" s="196"/>
      <c r="GN231" s="197"/>
      <c r="GO231" s="198"/>
      <c r="GP231" s="199"/>
      <c r="GQ231" s="200"/>
      <c r="GR231" s="201"/>
      <c r="GS231" s="60"/>
      <c r="GT231" s="202"/>
      <c r="GU231" s="202"/>
      <c r="GV231" s="202"/>
      <c r="GW231" s="202"/>
      <c r="GX231" s="203"/>
      <c r="HA231" s="194"/>
      <c r="HB231" s="195"/>
      <c r="HC231" s="196"/>
      <c r="HD231" s="197"/>
      <c r="HE231" s="198"/>
      <c r="HF231" s="199"/>
      <c r="HG231" s="200"/>
      <c r="HH231" s="201"/>
      <c r="HI231" s="60"/>
      <c r="HJ231" s="202"/>
      <c r="HK231" s="202"/>
      <c r="HL231" s="202"/>
      <c r="HM231" s="202"/>
      <c r="HN231" s="203"/>
    </row>
    <row r="232" spans="1:222" ht="16.5" customHeight="1">
      <c r="A232" s="181">
        <v>229</v>
      </c>
      <c r="B232" s="182">
        <v>381602185584</v>
      </c>
      <c r="C232" s="183" t="s">
        <v>2484</v>
      </c>
      <c r="D232" s="184" t="s">
        <v>1694</v>
      </c>
      <c r="E232" s="184" t="str">
        <f t="shared" si="21"/>
        <v>Import</v>
      </c>
      <c r="F232" s="720" t="str" cm="1">
        <f t="array" ref="F232">_xlfn.IFS(
  OR(AI232="E11", AI232="E15"), "Raw materials",
  OR(AI232="E13", AI232="G13"), "Equipments + Toolings",
  TRUE, RIGHT(C232, 8)
)</f>
        <v>Raw materials</v>
      </c>
      <c r="G232" s="541" t="str" cm="1">
        <f t="array" ref="G232">IF(E232="Import",
  IFERROR(
    _xlfn.IFS(
      VLOOKUP(B232,[1]Material!F$5:U$90000,16,0)="LUC","Lucid",
      VLOOKUP(B232,[1]Material!F$5:U$90000,16,0)="FMC","FORD",
      OR(VLOOKUP(B232,[1]Material!F$5:U$90000,16,0)="PUR",VLOOKUP(B232,[1]Material!F$5:U$90000,16,0)="HLO"),"PURE",
      VLOOKUP(B232,[1]Material!F$5:U$90000,16,0)="AIC","AIC",
      OR(VLOOKUP(B232,[1]Material!F$5:U$90000,16,0)="AGI",VLOOKUP(B232,[1]Material!F$5:U$90000,16,0)="AGIGA"),"AGIGA",
      OR(LEFT(VLOOKUP(B232,[1]Material!F$5:U$90000,16,0),3)="EF-",VLOOKUP(B232,[1]Material!F$5:U$90000,16,0)="EFI"),"EFI",
      AND(ISNUMBER(VLOOKUP(B232,[1]Material!F$5:U$90000,16,0)),VLOOKUP(B232,[1]Material!F$5:U$90000,16,0)&gt;=100,VLOOKUP(B232,[1]Material!F$5:U$90000,16,0)&lt;=999,VLOOKUP(B232,[1]Material!F$5:U$90000,16,0)=INT(VLOOKUP(B232,[1]Material!F$5:U$90000,16,0))),"OEM",
      TRUE,""
    ),
    "không tìm thấy trong file Import"
  ),
  VLOOKUP(F232,'[2]Export shipment'!B:Y,24,0)
)</f>
        <v>OEM</v>
      </c>
      <c r="H232" s="184"/>
      <c r="I232" s="184"/>
      <c r="J232" s="260">
        <f>(V232+X232+AA232)/'Logistics record '!$AD$1</f>
        <v>15.116015418335726</v>
      </c>
      <c r="K232" s="260">
        <f>W232/'Logistics record '!$AD$1</f>
        <v>0</v>
      </c>
      <c r="L232" s="260">
        <f>Y232/'Logistics record '!$AD$1</f>
        <v>0</v>
      </c>
      <c r="M232" s="260">
        <f>AF232/'Logistics record '!$AD$1</f>
        <v>0</v>
      </c>
      <c r="N232" s="260" t="str" cm="1">
        <f t="array" ref="N232">_xlfn.IFS(
    OR(UPPER(S232)="AIR", UPPER(S232)="CPN"), "AIR",
    UPPER(S232)="TC", "LOCAL",
    TRUE, "SEA"
)</f>
        <v>AIR</v>
      </c>
      <c r="O232" s="260">
        <f t="shared" si="22"/>
        <v>15.116015418335726</v>
      </c>
      <c r="P232" s="184" t="s">
        <v>931</v>
      </c>
      <c r="Q232" s="185">
        <v>108318976250</v>
      </c>
      <c r="R232" s="186">
        <v>46181</v>
      </c>
      <c r="S232" s="187" t="s">
        <v>928</v>
      </c>
      <c r="T232" s="188">
        <v>0.5</v>
      </c>
      <c r="U232" s="188"/>
      <c r="V232" s="189">
        <v>400000</v>
      </c>
      <c r="W232" s="190"/>
      <c r="X232" s="190"/>
      <c r="Y232" s="190"/>
      <c r="Z232" s="189">
        <f t="shared" si="18"/>
        <v>400000</v>
      </c>
      <c r="AA232" s="189">
        <v>0</v>
      </c>
      <c r="AB232" s="189">
        <f t="shared" si="23"/>
        <v>400000</v>
      </c>
      <c r="AC232" s="189"/>
      <c r="AD232" s="190"/>
      <c r="AE232" s="190"/>
      <c r="AF232" s="191">
        <f t="shared" si="19"/>
        <v>0</v>
      </c>
      <c r="AG232" s="190">
        <f t="shared" si="20"/>
        <v>400000</v>
      </c>
      <c r="AH232" s="190"/>
      <c r="AI232" s="192" t="str">
        <f>VLOOKUP(Q232,[3]Sheet1!B$11:G$1489,6,0)</f>
        <v>E11</v>
      </c>
      <c r="GK232" s="194"/>
      <c r="GL232" s="195"/>
      <c r="GM232" s="196"/>
      <c r="GN232" s="197"/>
      <c r="GO232" s="198"/>
      <c r="GP232" s="199"/>
      <c r="GQ232" s="200"/>
      <c r="GR232" s="201"/>
      <c r="GS232" s="60"/>
      <c r="GT232" s="202"/>
      <c r="GU232" s="202"/>
      <c r="GV232" s="202"/>
      <c r="GW232" s="202"/>
      <c r="GX232" s="203"/>
      <c r="HA232" s="194"/>
      <c r="HB232" s="195"/>
      <c r="HC232" s="196"/>
      <c r="HD232" s="197"/>
      <c r="HE232" s="198"/>
      <c r="HF232" s="199"/>
      <c r="HG232" s="200"/>
      <c r="HH232" s="201"/>
      <c r="HI232" s="60"/>
      <c r="HJ232" s="202"/>
      <c r="HK232" s="202"/>
      <c r="HL232" s="202"/>
      <c r="HM232" s="202"/>
      <c r="HN232" s="203"/>
    </row>
    <row r="233" spans="1:222" ht="16.5" customHeight="1">
      <c r="A233" s="181">
        <v>230</v>
      </c>
      <c r="B233" s="182">
        <v>872628217295</v>
      </c>
      <c r="C233" s="598" t="s">
        <v>2485</v>
      </c>
      <c r="D233" s="184" t="s">
        <v>2486</v>
      </c>
      <c r="E233" s="184" t="str">
        <f t="shared" si="21"/>
        <v>Import</v>
      </c>
      <c r="F233" s="720" t="str" cm="1">
        <f t="array" ref="F233">_xlfn.IFS(
  OR(AI233="E11", AI233="E15"), "Raw materials",
  OR(AI233="E13", AI233="G13"), "Equipments + Toolings",
  TRUE, RIGHT(C233, 8)
)</f>
        <v>Raw materials</v>
      </c>
      <c r="G233" s="541" t="str" cm="1">
        <f t="array" ref="G233">IF(E233="Import",
  IFERROR(
    _xlfn.IFS(
      VLOOKUP(B233,[1]Material!F$5:U$90000,16,0)="LUC","Lucid",
      VLOOKUP(B233,[1]Material!F$5:U$90000,16,0)="FMC","FORD",
      OR(VLOOKUP(B233,[1]Material!F$5:U$90000,16,0)="PUR",VLOOKUP(B233,[1]Material!F$5:U$90000,16,0)="HLO"),"PURE",
      VLOOKUP(B233,[1]Material!F$5:U$90000,16,0)="AIC","AIC",
      OR(VLOOKUP(B233,[1]Material!F$5:U$90000,16,0)="AGI",VLOOKUP(B233,[1]Material!F$5:U$90000,16,0)="AGIGA"),"AGIGA",
      OR(LEFT(VLOOKUP(B233,[1]Material!F$5:U$90000,16,0),3)="EF-",VLOOKUP(B233,[1]Material!F$5:U$90000,16,0)="EFI"),"EFI",
      AND(ISNUMBER(VLOOKUP(B233,[1]Material!F$5:U$90000,16,0)),VLOOKUP(B233,[1]Material!F$5:U$90000,16,0)&gt;=100,VLOOKUP(B233,[1]Material!F$5:U$90000,16,0)&lt;=999,VLOOKUP(B233,[1]Material!F$5:U$90000,16,0)=INT(VLOOKUP(B233,[1]Material!F$5:U$90000,16,0))),"OEM",
      TRUE,""
    ),
    "không tìm thấy trong file Import"
  ),
  VLOOKUP(F233,'[2]Export shipment'!B:Y,24,0)
)</f>
        <v>OEM</v>
      </c>
      <c r="H233" s="184"/>
      <c r="I233" s="184"/>
      <c r="J233" s="260">
        <f>(V233+X233+AA233)/'Logistics record '!$AD$1</f>
        <v>15.116015418335726</v>
      </c>
      <c r="K233" s="260">
        <f>W233/'Logistics record '!$AD$1</f>
        <v>0</v>
      </c>
      <c r="L233" s="260">
        <f>Y233/'Logistics record '!$AD$1</f>
        <v>0</v>
      </c>
      <c r="M233" s="260">
        <f>AF233/'Logistics record '!$AD$1</f>
        <v>0</v>
      </c>
      <c r="N233" s="260" t="str" cm="1">
        <f t="array" ref="N233">_xlfn.IFS(
    OR(UPPER(S233)="AIR", UPPER(S233)="CPN"), "AIR",
    UPPER(S233)="TC", "LOCAL",
    TRUE, "SEA"
)</f>
        <v>AIR</v>
      </c>
      <c r="O233" s="260">
        <f t="shared" si="22"/>
        <v>15.116015418335726</v>
      </c>
      <c r="P233" s="184" t="s">
        <v>932</v>
      </c>
      <c r="Q233" s="185">
        <v>108319105640</v>
      </c>
      <c r="R233" s="186">
        <v>46181</v>
      </c>
      <c r="S233" s="187" t="s">
        <v>928</v>
      </c>
      <c r="T233" s="188">
        <v>1.7</v>
      </c>
      <c r="U233" s="188"/>
      <c r="V233" s="189">
        <v>400000</v>
      </c>
      <c r="W233" s="190"/>
      <c r="X233" s="190"/>
      <c r="Y233" s="190"/>
      <c r="Z233" s="189">
        <f t="shared" si="18"/>
        <v>400000</v>
      </c>
      <c r="AA233" s="189">
        <v>0</v>
      </c>
      <c r="AB233" s="189">
        <f t="shared" si="23"/>
        <v>400000</v>
      </c>
      <c r="AC233" s="189"/>
      <c r="AD233" s="190"/>
      <c r="AE233" s="190"/>
      <c r="AF233" s="191">
        <f t="shared" si="19"/>
        <v>0</v>
      </c>
      <c r="AG233" s="190">
        <f t="shared" si="20"/>
        <v>400000</v>
      </c>
      <c r="AH233" s="190"/>
      <c r="AI233" s="192" t="str">
        <f>VLOOKUP(Q233,[3]Sheet1!B$11:G$1489,6,0)</f>
        <v>E11</v>
      </c>
      <c r="GK233" s="194"/>
      <c r="GL233" s="195"/>
      <c r="GM233" s="196"/>
      <c r="GN233" s="197"/>
      <c r="GO233" s="198"/>
      <c r="GP233" s="199"/>
      <c r="GQ233" s="200"/>
      <c r="GR233" s="201"/>
      <c r="GS233" s="60"/>
      <c r="GT233" s="202"/>
      <c r="GU233" s="202"/>
      <c r="GV233" s="202"/>
      <c r="GW233" s="202"/>
      <c r="GX233" s="203"/>
      <c r="HA233" s="194"/>
      <c r="HB233" s="195"/>
      <c r="HC233" s="196"/>
      <c r="HD233" s="197"/>
      <c r="HE233" s="198"/>
      <c r="HF233" s="199"/>
      <c r="HG233" s="200"/>
      <c r="HH233" s="201"/>
      <c r="HI233" s="60"/>
      <c r="HJ233" s="202"/>
      <c r="HK233" s="202"/>
      <c r="HL233" s="202"/>
      <c r="HM233" s="202"/>
      <c r="HN233" s="203"/>
    </row>
    <row r="234" spans="1:222" ht="16.5" customHeight="1">
      <c r="A234" s="181">
        <v>231</v>
      </c>
      <c r="B234" s="182">
        <v>872628363850</v>
      </c>
      <c r="C234" s="183" t="s">
        <v>2487</v>
      </c>
      <c r="D234" s="184" t="s">
        <v>338</v>
      </c>
      <c r="E234" s="184" t="str">
        <f t="shared" si="21"/>
        <v>Import</v>
      </c>
      <c r="F234" s="720" t="str" cm="1">
        <f t="array" ref="F234">_xlfn.IFS(
  OR(AI234="E11", AI234="E15"), "Raw materials",
  OR(AI234="E13", AI234="G13"), "Equipments + Toolings",
  TRUE, RIGHT(C234, 8)
)</f>
        <v>Raw materials</v>
      </c>
      <c r="G234" s="541" t="str" cm="1">
        <f t="array" ref="G234">IF(E234="Import",
  IFERROR(
    _xlfn.IFS(
      VLOOKUP(B234,[1]Material!F$5:U$90000,16,0)="LUC","Lucid",
      VLOOKUP(B234,[1]Material!F$5:U$90000,16,0)="FMC","FORD",
      OR(VLOOKUP(B234,[1]Material!F$5:U$90000,16,0)="PUR",VLOOKUP(B234,[1]Material!F$5:U$90000,16,0)="HLO"),"PURE",
      VLOOKUP(B234,[1]Material!F$5:U$90000,16,0)="AIC","AIC",
      OR(VLOOKUP(B234,[1]Material!F$5:U$90000,16,0)="AGI",VLOOKUP(B234,[1]Material!F$5:U$90000,16,0)="AGIGA"),"AGIGA",
      OR(LEFT(VLOOKUP(B234,[1]Material!F$5:U$90000,16,0),3)="EF-",VLOOKUP(B234,[1]Material!F$5:U$90000,16,0)="EFI"),"EFI",
      AND(ISNUMBER(VLOOKUP(B234,[1]Material!F$5:U$90000,16,0)),VLOOKUP(B234,[1]Material!F$5:U$90000,16,0)&gt;=100,VLOOKUP(B234,[1]Material!F$5:U$90000,16,0)&lt;=999,VLOOKUP(B234,[1]Material!F$5:U$90000,16,0)=INT(VLOOKUP(B234,[1]Material!F$5:U$90000,16,0))),"OEM",
      TRUE,""
    ),
    "không tìm thấy trong file Import"
  ),
  VLOOKUP(F234,'[2]Export shipment'!B:Y,24,0)
)</f>
        <v>PURE</v>
      </c>
      <c r="H234" s="184"/>
      <c r="I234" s="184"/>
      <c r="J234" s="260">
        <f>(V234+X234+AA234)/'Logistics record '!$AD$1</f>
        <v>15.116015418335726</v>
      </c>
      <c r="K234" s="260">
        <f>W234/'Logistics record '!$AD$1</f>
        <v>0</v>
      </c>
      <c r="L234" s="260">
        <f>Y234/'Logistics record '!$AD$1</f>
        <v>0</v>
      </c>
      <c r="M234" s="260">
        <f>AF234/'Logistics record '!$AD$1</f>
        <v>0</v>
      </c>
      <c r="N234" s="260" t="str" cm="1">
        <f t="array" ref="N234">_xlfn.IFS(
    OR(UPPER(S234)="AIR", UPPER(S234)="CPN"), "AIR",
    UPPER(S234)="TC", "LOCAL",
    TRUE, "SEA"
)</f>
        <v>AIR</v>
      </c>
      <c r="O234" s="260">
        <f t="shared" si="22"/>
        <v>15.116015418335726</v>
      </c>
      <c r="P234" s="184" t="s">
        <v>931</v>
      </c>
      <c r="Q234" s="185">
        <v>108319211450</v>
      </c>
      <c r="R234" s="186">
        <v>46181</v>
      </c>
      <c r="S234" s="187" t="s">
        <v>928</v>
      </c>
      <c r="T234" s="188">
        <v>32.200000000000003</v>
      </c>
      <c r="U234" s="188"/>
      <c r="V234" s="189">
        <v>400000</v>
      </c>
      <c r="W234" s="190"/>
      <c r="X234" s="190"/>
      <c r="Y234" s="190"/>
      <c r="Z234" s="189">
        <f t="shared" si="18"/>
        <v>400000</v>
      </c>
      <c r="AA234" s="189">
        <v>0</v>
      </c>
      <c r="AB234" s="189">
        <f t="shared" si="23"/>
        <v>400000</v>
      </c>
      <c r="AC234" s="189"/>
      <c r="AD234" s="190"/>
      <c r="AE234" s="190"/>
      <c r="AF234" s="191">
        <f t="shared" si="19"/>
        <v>0</v>
      </c>
      <c r="AG234" s="190">
        <f t="shared" si="20"/>
        <v>400000</v>
      </c>
      <c r="AH234" s="190"/>
      <c r="AI234" s="192" t="str">
        <f>VLOOKUP(Q234,[3]Sheet1!B$11:G$1489,6,0)</f>
        <v>E11</v>
      </c>
      <c r="GK234" s="194"/>
      <c r="GL234" s="195"/>
      <c r="GM234" s="196"/>
      <c r="GN234" s="197"/>
      <c r="GO234" s="198"/>
      <c r="GP234" s="199"/>
      <c r="GQ234" s="200"/>
      <c r="GR234" s="201"/>
      <c r="GS234" s="60"/>
      <c r="GT234" s="202"/>
      <c r="GU234" s="202"/>
      <c r="GV234" s="202"/>
      <c r="GW234" s="202"/>
      <c r="GX234" s="203"/>
      <c r="HA234" s="194"/>
      <c r="HB234" s="195"/>
      <c r="HC234" s="196"/>
      <c r="HD234" s="197"/>
      <c r="HE234" s="198"/>
      <c r="HF234" s="199"/>
      <c r="HG234" s="200"/>
      <c r="HH234" s="201"/>
      <c r="HI234" s="60"/>
      <c r="HJ234" s="202"/>
      <c r="HK234" s="202"/>
      <c r="HL234" s="202"/>
      <c r="HM234" s="202"/>
      <c r="HN234" s="203"/>
    </row>
    <row r="235" spans="1:222" ht="16.5" customHeight="1">
      <c r="A235" s="181">
        <v>232</v>
      </c>
      <c r="B235" s="182">
        <v>381655794497</v>
      </c>
      <c r="C235" s="183" t="s">
        <v>2488</v>
      </c>
      <c r="D235" s="184" t="s">
        <v>1704</v>
      </c>
      <c r="E235" s="184" t="str">
        <f t="shared" si="21"/>
        <v>Import</v>
      </c>
      <c r="F235" s="720" t="str" cm="1">
        <f t="array" ref="F235">_xlfn.IFS(
  OR(AI235="E11", AI235="E15"), "Raw materials",
  OR(AI235="E13", AI235="G13"), "Equipments + Toolings",
  TRUE, RIGHT(C235, 8)
)</f>
        <v>Raw materials</v>
      </c>
      <c r="G235" s="541" t="str" cm="1">
        <f t="array" ref="G235">IF(E235="Import",
  IFERROR(
    _xlfn.IFS(
      VLOOKUP(B235,[1]Material!F$5:U$90000,16,0)="LUC","Lucid",
      VLOOKUP(B235,[1]Material!F$5:U$90000,16,0)="FMC","FORD",
      OR(VLOOKUP(B235,[1]Material!F$5:U$90000,16,0)="PUR",VLOOKUP(B235,[1]Material!F$5:U$90000,16,0)="HLO"),"PURE",
      VLOOKUP(B235,[1]Material!F$5:U$90000,16,0)="AIC","AIC",
      OR(VLOOKUP(B235,[1]Material!F$5:U$90000,16,0)="AGI",VLOOKUP(B235,[1]Material!F$5:U$90000,16,0)="AGIGA"),"AGIGA",
      OR(LEFT(VLOOKUP(B235,[1]Material!F$5:U$90000,16,0),3)="EF-",VLOOKUP(B235,[1]Material!F$5:U$90000,16,0)="EFI"),"EFI",
      AND(ISNUMBER(VLOOKUP(B235,[1]Material!F$5:U$90000,16,0)),VLOOKUP(B235,[1]Material!F$5:U$90000,16,0)&gt;=100,VLOOKUP(B235,[1]Material!F$5:U$90000,16,0)&lt;=999,VLOOKUP(B235,[1]Material!F$5:U$90000,16,0)=INT(VLOOKUP(B235,[1]Material!F$5:U$90000,16,0))),"OEM",
      TRUE,""
    ),
    "không tìm thấy trong file Import"
  ),
  VLOOKUP(F235,'[2]Export shipment'!B:Y,24,0)
)</f>
        <v>FORD</v>
      </c>
      <c r="H235" s="184"/>
      <c r="I235" s="184"/>
      <c r="J235" s="260">
        <f>(V235+X235+AA235)/'Logistics record '!$AD$1</f>
        <v>15.116015418335726</v>
      </c>
      <c r="K235" s="260">
        <f>W235/'Logistics record '!$AD$1</f>
        <v>0</v>
      </c>
      <c r="L235" s="260">
        <f>Y235/'Logistics record '!$AD$1</f>
        <v>0</v>
      </c>
      <c r="M235" s="260">
        <f>AF235/'Logistics record '!$AD$1</f>
        <v>0</v>
      </c>
      <c r="N235" s="260" t="str" cm="1">
        <f t="array" ref="N235">_xlfn.IFS(
    OR(UPPER(S235)="AIR", UPPER(S235)="CPN"), "AIR",
    UPPER(S235)="TC", "LOCAL",
    TRUE, "SEA"
)</f>
        <v>AIR</v>
      </c>
      <c r="O235" s="260">
        <f t="shared" si="22"/>
        <v>15.116015418335726</v>
      </c>
      <c r="P235" s="184" t="s">
        <v>935</v>
      </c>
      <c r="Q235" s="185">
        <v>108319384460</v>
      </c>
      <c r="R235" s="186">
        <v>46181</v>
      </c>
      <c r="S235" s="187" t="s">
        <v>928</v>
      </c>
      <c r="T235" s="188">
        <v>1.6</v>
      </c>
      <c r="U235" s="188"/>
      <c r="V235" s="189">
        <v>400000</v>
      </c>
      <c r="W235" s="190"/>
      <c r="X235" s="190"/>
      <c r="Y235" s="190"/>
      <c r="Z235" s="189">
        <f t="shared" si="18"/>
        <v>400000</v>
      </c>
      <c r="AA235" s="189">
        <v>0</v>
      </c>
      <c r="AB235" s="189">
        <f t="shared" si="23"/>
        <v>400000</v>
      </c>
      <c r="AC235" s="189"/>
      <c r="AD235" s="190"/>
      <c r="AE235" s="190"/>
      <c r="AF235" s="191">
        <f t="shared" si="19"/>
        <v>0</v>
      </c>
      <c r="AG235" s="190">
        <f t="shared" si="20"/>
        <v>400000</v>
      </c>
      <c r="AH235" s="190"/>
      <c r="AI235" s="192" t="str">
        <f>VLOOKUP(Q235,[3]Sheet1!B$11:G$1489,6,0)</f>
        <v>E11</v>
      </c>
      <c r="GK235" s="194"/>
      <c r="GL235" s="195"/>
      <c r="GM235" s="196"/>
      <c r="GN235" s="197"/>
      <c r="GO235" s="198"/>
      <c r="GP235" s="199"/>
      <c r="GQ235" s="200"/>
      <c r="GR235" s="201"/>
      <c r="GS235" s="60"/>
      <c r="GT235" s="202"/>
      <c r="GU235" s="202"/>
      <c r="GV235" s="202"/>
      <c r="GW235" s="202"/>
      <c r="GX235" s="203"/>
      <c r="HA235" s="194"/>
      <c r="HB235" s="195"/>
      <c r="HC235" s="196"/>
      <c r="HD235" s="197"/>
      <c r="HE235" s="198"/>
      <c r="HF235" s="199"/>
      <c r="HG235" s="200"/>
      <c r="HH235" s="201"/>
      <c r="HI235" s="60"/>
      <c r="HJ235" s="202"/>
      <c r="HK235" s="202"/>
      <c r="HL235" s="202"/>
      <c r="HM235" s="202"/>
      <c r="HN235" s="203"/>
    </row>
    <row r="236" spans="1:222" ht="16.5" customHeight="1">
      <c r="A236" s="181">
        <v>233</v>
      </c>
      <c r="B236" s="182">
        <v>381795282566</v>
      </c>
      <c r="C236" s="183" t="s">
        <v>2489</v>
      </c>
      <c r="D236" s="184" t="s">
        <v>2359</v>
      </c>
      <c r="E236" s="184" t="str">
        <f t="shared" si="21"/>
        <v>Import</v>
      </c>
      <c r="F236" s="720" t="str" cm="1">
        <f t="array" ref="F236">_xlfn.IFS(
  OR(AI236="E11", AI236="E15"), "Raw materials",
  OR(AI236="E13", AI236="G13"), "Equipments + Toolings",
  TRUE, RIGHT(C236, 8)
)</f>
        <v>Raw materials</v>
      </c>
      <c r="G236" s="541" t="str" cm="1">
        <f t="array" ref="G236">IF(E236="Import",
  IFERROR(
    _xlfn.IFS(
      VLOOKUP(B236,[1]Material!F$5:U$90000,16,0)="LUC","Lucid",
      VLOOKUP(B236,[1]Material!F$5:U$90000,16,0)="FMC","FORD",
      OR(VLOOKUP(B236,[1]Material!F$5:U$90000,16,0)="PUR",VLOOKUP(B236,[1]Material!F$5:U$90000,16,0)="HLO"),"PURE",
      VLOOKUP(B236,[1]Material!F$5:U$90000,16,0)="AIC","AIC",
      OR(VLOOKUP(B236,[1]Material!F$5:U$90000,16,0)="AGI",VLOOKUP(B236,[1]Material!F$5:U$90000,16,0)="AGIGA"),"AGIGA",
      OR(LEFT(VLOOKUP(B236,[1]Material!F$5:U$90000,16,0),3)="EF-",VLOOKUP(B236,[1]Material!F$5:U$90000,16,0)="EFI"),"EFI",
      AND(ISNUMBER(VLOOKUP(B236,[1]Material!F$5:U$90000,16,0)),VLOOKUP(B236,[1]Material!F$5:U$90000,16,0)&gt;=100,VLOOKUP(B236,[1]Material!F$5:U$90000,16,0)&lt;=999,VLOOKUP(B236,[1]Material!F$5:U$90000,16,0)=INT(VLOOKUP(B236,[1]Material!F$5:U$90000,16,0))),"OEM",
      TRUE,""
    ),
    "không tìm thấy trong file Import"
  ),
  VLOOKUP(F236,'[2]Export shipment'!B:Y,24,0)
)</f>
        <v>PURE</v>
      </c>
      <c r="H236" s="184"/>
      <c r="I236" s="184"/>
      <c r="J236" s="260">
        <f>(V236+X236+AA236)/'Logistics record '!$AD$1</f>
        <v>15.116015418335726</v>
      </c>
      <c r="K236" s="260">
        <f>W236/'Logistics record '!$AD$1</f>
        <v>0</v>
      </c>
      <c r="L236" s="260">
        <f>Y236/'Logistics record '!$AD$1</f>
        <v>0</v>
      </c>
      <c r="M236" s="260">
        <f>AF236/'Logistics record '!$AD$1</f>
        <v>0</v>
      </c>
      <c r="N236" s="260" t="str" cm="1">
        <f t="array" ref="N236">_xlfn.IFS(
    OR(UPPER(S236)="AIR", UPPER(S236)="CPN"), "AIR",
    UPPER(S236)="TC", "LOCAL",
    TRUE, "SEA"
)</f>
        <v>AIR</v>
      </c>
      <c r="O236" s="260">
        <f t="shared" si="22"/>
        <v>15.116015418335726</v>
      </c>
      <c r="P236" s="184" t="s">
        <v>954</v>
      </c>
      <c r="Q236" s="185">
        <v>108319478260</v>
      </c>
      <c r="R236" s="186">
        <v>46181</v>
      </c>
      <c r="S236" s="187" t="s">
        <v>928</v>
      </c>
      <c r="T236" s="188">
        <v>2.7</v>
      </c>
      <c r="U236" s="188"/>
      <c r="V236" s="189">
        <v>400000</v>
      </c>
      <c r="W236" s="190"/>
      <c r="X236" s="190"/>
      <c r="Y236" s="190"/>
      <c r="Z236" s="189">
        <f t="shared" si="18"/>
        <v>400000</v>
      </c>
      <c r="AA236" s="189">
        <v>0</v>
      </c>
      <c r="AB236" s="189">
        <f t="shared" si="23"/>
        <v>400000</v>
      </c>
      <c r="AC236" s="189"/>
      <c r="AD236" s="190"/>
      <c r="AE236" s="190"/>
      <c r="AF236" s="191">
        <f t="shared" si="19"/>
        <v>0</v>
      </c>
      <c r="AG236" s="190">
        <f t="shared" si="20"/>
        <v>400000</v>
      </c>
      <c r="AH236" s="190"/>
      <c r="AI236" s="192" t="str">
        <f>VLOOKUP(Q236,[3]Sheet1!B$11:G$1489,6,0)</f>
        <v>E11</v>
      </c>
      <c r="GK236" s="194"/>
      <c r="GL236" s="195"/>
      <c r="GM236" s="196"/>
      <c r="GN236" s="197"/>
      <c r="GO236" s="198"/>
      <c r="GP236" s="199"/>
      <c r="GQ236" s="200"/>
      <c r="GR236" s="201"/>
      <c r="GS236" s="60"/>
      <c r="GT236" s="202"/>
      <c r="GU236" s="202"/>
      <c r="GV236" s="202"/>
      <c r="GW236" s="202"/>
      <c r="GX236" s="203"/>
      <c r="HA236" s="194"/>
      <c r="HB236" s="195"/>
      <c r="HC236" s="196"/>
      <c r="HD236" s="197"/>
      <c r="HE236" s="198"/>
      <c r="HF236" s="199"/>
      <c r="HG236" s="200"/>
      <c r="HH236" s="201"/>
      <c r="HI236" s="60"/>
      <c r="HJ236" s="202"/>
      <c r="HK236" s="202"/>
      <c r="HL236" s="202"/>
      <c r="HM236" s="202"/>
      <c r="HN236" s="203"/>
    </row>
    <row r="237" spans="1:222" ht="16.5" customHeight="1">
      <c r="A237" s="181">
        <v>234</v>
      </c>
      <c r="B237" s="182">
        <v>872688461270</v>
      </c>
      <c r="C237" s="598" t="s">
        <v>2490</v>
      </c>
      <c r="D237" s="184" t="s">
        <v>1481</v>
      </c>
      <c r="E237" s="184" t="str">
        <f t="shared" si="21"/>
        <v>Import</v>
      </c>
      <c r="F237" s="720" t="str" cm="1">
        <f t="array" ref="F237">_xlfn.IFS(
  OR(AI237="E11", AI237="E15"), "Raw materials",
  OR(AI237="E13", AI237="G13"), "Equipments + Toolings",
  TRUE, RIGHT(C237, 8)
)</f>
        <v>Raw materials</v>
      </c>
      <c r="G237" s="541" t="str" cm="1">
        <f t="array" ref="G237">IF(E237="Import",
  IFERROR(
    _xlfn.IFS(
      VLOOKUP(B237,[1]Material!F$5:U$90000,16,0)="LUC","Lucid",
      VLOOKUP(B237,[1]Material!F$5:U$90000,16,0)="FMC","FORD",
      OR(VLOOKUP(B237,[1]Material!F$5:U$90000,16,0)="PUR",VLOOKUP(B237,[1]Material!F$5:U$90000,16,0)="HLO"),"PURE",
      VLOOKUP(B237,[1]Material!F$5:U$90000,16,0)="AIC","AIC",
      OR(VLOOKUP(B237,[1]Material!F$5:U$90000,16,0)="AGI",VLOOKUP(B237,[1]Material!F$5:U$90000,16,0)="AGIGA"),"AGIGA",
      OR(LEFT(VLOOKUP(B237,[1]Material!F$5:U$90000,16,0),3)="EF-",VLOOKUP(B237,[1]Material!F$5:U$90000,16,0)="EFI"),"EFI",
      AND(ISNUMBER(VLOOKUP(B237,[1]Material!F$5:U$90000,16,0)),VLOOKUP(B237,[1]Material!F$5:U$90000,16,0)&gt;=100,VLOOKUP(B237,[1]Material!F$5:U$90000,16,0)&lt;=999,VLOOKUP(B237,[1]Material!F$5:U$90000,16,0)=INT(VLOOKUP(B237,[1]Material!F$5:U$90000,16,0))),"OEM",
      TRUE,""
    ),
    "không tìm thấy trong file Import"
  ),
  VLOOKUP(F237,'[2]Export shipment'!B:Y,24,0)
)</f>
        <v>PURE</v>
      </c>
      <c r="H237" s="184"/>
      <c r="I237" s="184"/>
      <c r="J237" s="260">
        <f>(V237+X237+AA237)/'Logistics record '!$AD$1</f>
        <v>15.116015418335726</v>
      </c>
      <c r="K237" s="260">
        <f>W237/'Logistics record '!$AD$1</f>
        <v>0</v>
      </c>
      <c r="L237" s="260">
        <f>Y237/'Logistics record '!$AD$1</f>
        <v>0</v>
      </c>
      <c r="M237" s="260">
        <f>AF237/'Logistics record '!$AD$1</f>
        <v>0</v>
      </c>
      <c r="N237" s="260" t="str" cm="1">
        <f t="array" ref="N237">_xlfn.IFS(
    OR(UPPER(S237)="AIR", UPPER(S237)="CPN"), "AIR",
    UPPER(S237)="TC", "LOCAL",
    TRUE, "SEA"
)</f>
        <v>AIR</v>
      </c>
      <c r="O237" s="260">
        <f t="shared" si="22"/>
        <v>15.116015418335726</v>
      </c>
      <c r="P237" s="184" t="s">
        <v>937</v>
      </c>
      <c r="Q237" s="185">
        <v>108319577810</v>
      </c>
      <c r="R237" s="186">
        <v>46181</v>
      </c>
      <c r="S237" s="187" t="s">
        <v>928</v>
      </c>
      <c r="T237" s="188">
        <v>3.3</v>
      </c>
      <c r="U237" s="188"/>
      <c r="V237" s="189">
        <v>400000</v>
      </c>
      <c r="W237" s="190"/>
      <c r="X237" s="190"/>
      <c r="Y237" s="190"/>
      <c r="Z237" s="189">
        <f t="shared" si="18"/>
        <v>400000</v>
      </c>
      <c r="AA237" s="189">
        <v>0</v>
      </c>
      <c r="AB237" s="189">
        <f t="shared" si="23"/>
        <v>400000</v>
      </c>
      <c r="AC237" s="189"/>
      <c r="AD237" s="190"/>
      <c r="AE237" s="190"/>
      <c r="AF237" s="191">
        <f t="shared" si="19"/>
        <v>0</v>
      </c>
      <c r="AG237" s="190">
        <f t="shared" si="20"/>
        <v>400000</v>
      </c>
      <c r="AH237" s="190"/>
      <c r="AI237" s="192" t="str">
        <f>VLOOKUP(Q237,[3]Sheet1!B$11:G$1489,6,0)</f>
        <v>E11</v>
      </c>
      <c r="GK237" s="194"/>
      <c r="GL237" s="195"/>
      <c r="GM237" s="196"/>
      <c r="GN237" s="197"/>
      <c r="GO237" s="198"/>
      <c r="GP237" s="199"/>
      <c r="GQ237" s="200"/>
      <c r="GR237" s="201"/>
      <c r="GS237" s="60"/>
      <c r="GT237" s="202"/>
      <c r="GU237" s="202"/>
      <c r="GV237" s="202"/>
      <c r="GW237" s="202"/>
      <c r="GX237" s="203"/>
      <c r="HA237" s="194"/>
      <c r="HB237" s="195"/>
      <c r="HC237" s="196"/>
      <c r="HD237" s="197"/>
      <c r="HE237" s="198"/>
      <c r="HF237" s="199"/>
      <c r="HG237" s="200"/>
      <c r="HH237" s="201"/>
      <c r="HI237" s="60"/>
      <c r="HJ237" s="202"/>
      <c r="HK237" s="202"/>
      <c r="HL237" s="202"/>
      <c r="HM237" s="202"/>
      <c r="HN237" s="203"/>
    </row>
    <row r="238" spans="1:222" ht="16.5" customHeight="1">
      <c r="A238" s="181">
        <v>235</v>
      </c>
      <c r="B238" s="182">
        <v>381821868217</v>
      </c>
      <c r="C238" s="183" t="s">
        <v>2491</v>
      </c>
      <c r="D238" s="184" t="s">
        <v>1702</v>
      </c>
      <c r="E238" s="184" t="str">
        <f t="shared" si="21"/>
        <v>Import</v>
      </c>
      <c r="F238" s="720" t="str" cm="1">
        <f t="array" ref="F238">_xlfn.IFS(
  OR(AI238="E11", AI238="E15"), "Raw materials",
  OR(AI238="E13", AI238="G13"), "Equipments + Toolings",
  TRUE, RIGHT(C238, 8)
)</f>
        <v>Raw materials</v>
      </c>
      <c r="G238" s="541" t="str" cm="1">
        <f t="array" ref="G238">IF(E238="Import",
  IFERROR(
    _xlfn.IFS(
      VLOOKUP(B238,[1]Material!F$5:U$90000,16,0)="LUC","Lucid",
      VLOOKUP(B238,[1]Material!F$5:U$90000,16,0)="FMC","FORD",
      OR(VLOOKUP(B238,[1]Material!F$5:U$90000,16,0)="PUR",VLOOKUP(B238,[1]Material!F$5:U$90000,16,0)="HLO"),"PURE",
      VLOOKUP(B238,[1]Material!F$5:U$90000,16,0)="AIC","AIC",
      OR(VLOOKUP(B238,[1]Material!F$5:U$90000,16,0)="AGI",VLOOKUP(B238,[1]Material!F$5:U$90000,16,0)="AGIGA"),"AGIGA",
      OR(LEFT(VLOOKUP(B238,[1]Material!F$5:U$90000,16,0),3)="EF-",VLOOKUP(B238,[1]Material!F$5:U$90000,16,0)="EFI"),"EFI",
      AND(ISNUMBER(VLOOKUP(B238,[1]Material!F$5:U$90000,16,0)),VLOOKUP(B238,[1]Material!F$5:U$90000,16,0)&gt;=100,VLOOKUP(B238,[1]Material!F$5:U$90000,16,0)&lt;=999,VLOOKUP(B238,[1]Material!F$5:U$90000,16,0)=INT(VLOOKUP(B238,[1]Material!F$5:U$90000,16,0))),"OEM",
      TRUE,""
    ),
    "không tìm thấy trong file Import"
  ),
  VLOOKUP(F238,'[2]Export shipment'!B:Y,24,0)
)</f>
        <v>PURE</v>
      </c>
      <c r="H238" s="184"/>
      <c r="I238" s="184"/>
      <c r="J238" s="260">
        <f>(V238+X238+AA238)/'Logistics record '!$AD$1</f>
        <v>15.116015418335726</v>
      </c>
      <c r="K238" s="260">
        <f>W238/'Logistics record '!$AD$1</f>
        <v>0</v>
      </c>
      <c r="L238" s="260">
        <f>Y238/'Logistics record '!$AD$1</f>
        <v>0</v>
      </c>
      <c r="M238" s="260">
        <f>AF238/'Logistics record '!$AD$1</f>
        <v>0</v>
      </c>
      <c r="N238" s="260" t="str" cm="1">
        <f t="array" ref="N238">_xlfn.IFS(
    OR(UPPER(S238)="AIR", UPPER(S238)="CPN"), "AIR",
    UPPER(S238)="TC", "LOCAL",
    TRUE, "SEA"
)</f>
        <v>AIR</v>
      </c>
      <c r="O238" s="260">
        <f t="shared" si="22"/>
        <v>15.116015418335726</v>
      </c>
      <c r="P238" s="184" t="s">
        <v>937</v>
      </c>
      <c r="Q238" s="185">
        <v>108319864000</v>
      </c>
      <c r="R238" s="186">
        <v>46181</v>
      </c>
      <c r="S238" s="187" t="s">
        <v>928</v>
      </c>
      <c r="T238" s="188">
        <v>3.4</v>
      </c>
      <c r="U238" s="188"/>
      <c r="V238" s="189">
        <v>400000</v>
      </c>
      <c r="W238" s="190"/>
      <c r="X238" s="190"/>
      <c r="Y238" s="190"/>
      <c r="Z238" s="189">
        <f t="shared" si="18"/>
        <v>400000</v>
      </c>
      <c r="AA238" s="189">
        <v>0</v>
      </c>
      <c r="AB238" s="189">
        <f t="shared" si="23"/>
        <v>400000</v>
      </c>
      <c r="AC238" s="189"/>
      <c r="AD238" s="190"/>
      <c r="AE238" s="190"/>
      <c r="AF238" s="191">
        <f t="shared" si="19"/>
        <v>0</v>
      </c>
      <c r="AG238" s="190">
        <f t="shared" si="20"/>
        <v>400000</v>
      </c>
      <c r="AH238" s="190"/>
      <c r="AI238" s="192" t="str">
        <f>VLOOKUP(Q238,[3]Sheet1!B$11:G$1489,6,0)</f>
        <v>E11</v>
      </c>
      <c r="GK238" s="194"/>
      <c r="GL238" s="195"/>
      <c r="GM238" s="196"/>
      <c r="GN238" s="197"/>
      <c r="GO238" s="198"/>
      <c r="GP238" s="199"/>
      <c r="GQ238" s="200"/>
      <c r="GR238" s="201"/>
      <c r="GS238" s="60"/>
      <c r="GT238" s="202"/>
      <c r="GU238" s="202"/>
      <c r="GV238" s="202"/>
      <c r="GW238" s="202"/>
      <c r="GX238" s="203"/>
      <c r="HA238" s="194"/>
      <c r="HB238" s="195"/>
      <c r="HC238" s="196"/>
      <c r="HD238" s="197"/>
      <c r="HE238" s="198"/>
      <c r="HF238" s="199"/>
      <c r="HG238" s="200"/>
      <c r="HH238" s="201"/>
      <c r="HI238" s="60"/>
      <c r="HJ238" s="202"/>
      <c r="HK238" s="202"/>
      <c r="HL238" s="202"/>
      <c r="HM238" s="202"/>
      <c r="HN238" s="203"/>
    </row>
    <row r="239" spans="1:222" ht="16.5" customHeight="1">
      <c r="A239" s="181">
        <v>236</v>
      </c>
      <c r="B239" s="182">
        <v>493602843701</v>
      </c>
      <c r="C239" s="183" t="s">
        <v>2492</v>
      </c>
      <c r="D239" s="184" t="s">
        <v>972</v>
      </c>
      <c r="E239" s="184" t="str">
        <f t="shared" si="21"/>
        <v>Import</v>
      </c>
      <c r="F239" s="720" t="str" cm="1">
        <f t="array" ref="F239">_xlfn.IFS(
  OR(AI239="E11", AI239="E15"), "Raw materials",
  OR(AI239="E13", AI239="G13"), "Equipments + Toolings",
  TRUE, RIGHT(C239, 8)
)</f>
        <v>Raw materials</v>
      </c>
      <c r="G239" s="541" t="str" cm="1">
        <f t="array" ref="G239">IF(E239="Import",
  IFERROR(
    _xlfn.IFS(
      VLOOKUP(B239,[1]Material!F$5:U$90000,16,0)="LUC","Lucid",
      VLOOKUP(B239,[1]Material!F$5:U$90000,16,0)="FMC","FORD",
      OR(VLOOKUP(B239,[1]Material!F$5:U$90000,16,0)="PUR",VLOOKUP(B239,[1]Material!F$5:U$90000,16,0)="HLO"),"PURE",
      VLOOKUP(B239,[1]Material!F$5:U$90000,16,0)="AIC","AIC",
      OR(VLOOKUP(B239,[1]Material!F$5:U$90000,16,0)="AGI",VLOOKUP(B239,[1]Material!F$5:U$90000,16,0)="AGIGA"),"AGIGA",
      OR(LEFT(VLOOKUP(B239,[1]Material!F$5:U$90000,16,0),3)="EF-",VLOOKUP(B239,[1]Material!F$5:U$90000,16,0)="EFI"),"EFI",
      AND(ISNUMBER(VLOOKUP(B239,[1]Material!F$5:U$90000,16,0)),VLOOKUP(B239,[1]Material!F$5:U$90000,16,0)&gt;=100,VLOOKUP(B239,[1]Material!F$5:U$90000,16,0)&lt;=999,VLOOKUP(B239,[1]Material!F$5:U$90000,16,0)=INT(VLOOKUP(B239,[1]Material!F$5:U$90000,16,0))),"OEM",
      TRUE,""
    ),
    "không tìm thấy trong file Import"
  ),
  VLOOKUP(F239,'[2]Export shipment'!B:Y,24,0)
)</f>
        <v>EFI</v>
      </c>
      <c r="H239" s="184"/>
      <c r="I239" s="184"/>
      <c r="J239" s="260">
        <f>(V239+X239+AA239)/'Logistics record '!$AD$1</f>
        <v>15.116015418335726</v>
      </c>
      <c r="K239" s="260">
        <f>W239/'Logistics record '!$AD$1</f>
        <v>0</v>
      </c>
      <c r="L239" s="260">
        <f>Y239/'Logistics record '!$AD$1</f>
        <v>0</v>
      </c>
      <c r="M239" s="260">
        <f>AF239/'Logistics record '!$AD$1</f>
        <v>0</v>
      </c>
      <c r="N239" s="260" t="str" cm="1">
        <f t="array" ref="N239">_xlfn.IFS(
    OR(UPPER(S239)="AIR", UPPER(S239)="CPN"), "AIR",
    UPPER(S239)="TC", "LOCAL",
    TRUE, "SEA"
)</f>
        <v>AIR</v>
      </c>
      <c r="O239" s="260">
        <f t="shared" si="22"/>
        <v>15.116015418335726</v>
      </c>
      <c r="P239" s="184" t="s">
        <v>935</v>
      </c>
      <c r="Q239" s="185">
        <v>108319920440</v>
      </c>
      <c r="R239" s="186">
        <v>46181</v>
      </c>
      <c r="S239" s="187" t="s">
        <v>928</v>
      </c>
      <c r="T239" s="188">
        <v>2</v>
      </c>
      <c r="U239" s="188"/>
      <c r="V239" s="189">
        <v>400000</v>
      </c>
      <c r="W239" s="190"/>
      <c r="X239" s="190"/>
      <c r="Y239" s="190"/>
      <c r="Z239" s="189">
        <f t="shared" si="18"/>
        <v>400000</v>
      </c>
      <c r="AA239" s="189">
        <v>0</v>
      </c>
      <c r="AB239" s="189">
        <f t="shared" si="23"/>
        <v>400000</v>
      </c>
      <c r="AC239" s="189"/>
      <c r="AD239" s="190"/>
      <c r="AE239" s="190"/>
      <c r="AF239" s="191">
        <f t="shared" si="19"/>
        <v>0</v>
      </c>
      <c r="AG239" s="190">
        <f t="shared" si="20"/>
        <v>400000</v>
      </c>
      <c r="AH239" s="190"/>
      <c r="AI239" s="192" t="str">
        <f>VLOOKUP(Q239,[3]Sheet1!B$11:G$1489,6,0)</f>
        <v>E11</v>
      </c>
      <c r="GK239" s="194"/>
      <c r="GL239" s="195"/>
      <c r="GM239" s="196"/>
      <c r="GN239" s="197"/>
      <c r="GO239" s="198"/>
      <c r="GP239" s="199"/>
      <c r="GQ239" s="200"/>
      <c r="GR239" s="201"/>
      <c r="GS239" s="60"/>
      <c r="GT239" s="202"/>
      <c r="GU239" s="202"/>
      <c r="GV239" s="202"/>
      <c r="GW239" s="202"/>
      <c r="GX239" s="203"/>
      <c r="HA239" s="194"/>
      <c r="HB239" s="195"/>
      <c r="HC239" s="196"/>
      <c r="HD239" s="197"/>
      <c r="HE239" s="198"/>
      <c r="HF239" s="199"/>
      <c r="HG239" s="200"/>
      <c r="HH239" s="201"/>
      <c r="HI239" s="60"/>
      <c r="HJ239" s="202"/>
      <c r="HK239" s="202"/>
      <c r="HL239" s="202"/>
      <c r="HM239" s="202"/>
      <c r="HN239" s="203"/>
    </row>
    <row r="240" spans="1:222" ht="16.5" customHeight="1">
      <c r="A240" s="181">
        <v>237</v>
      </c>
      <c r="B240" s="182">
        <v>381714354771</v>
      </c>
      <c r="C240" s="598" t="s">
        <v>2493</v>
      </c>
      <c r="D240" s="184" t="s">
        <v>1813</v>
      </c>
      <c r="E240" s="184" t="str">
        <f t="shared" si="21"/>
        <v>Import</v>
      </c>
      <c r="F240" s="720" t="str" cm="1">
        <f t="array" ref="F240">_xlfn.IFS(
  OR(AI240="E11", AI240="E15"), "Raw materials",
  OR(AI240="E13", AI240="G13"), "Equipments + Toolings",
  TRUE, RIGHT(C240, 8)
)</f>
        <v>Raw materials</v>
      </c>
      <c r="G240" s="541" t="str" cm="1">
        <f t="array" ref="G240">IF(E240="Import",
  IFERROR(
    _xlfn.IFS(
      VLOOKUP(B240,[1]Material!F$5:U$90000,16,0)="LUC","Lucid",
      VLOOKUP(B240,[1]Material!F$5:U$90000,16,0)="FMC","FORD",
      OR(VLOOKUP(B240,[1]Material!F$5:U$90000,16,0)="PUR",VLOOKUP(B240,[1]Material!F$5:U$90000,16,0)="HLO"),"PURE",
      VLOOKUP(B240,[1]Material!F$5:U$90000,16,0)="AIC","AIC",
      OR(VLOOKUP(B240,[1]Material!F$5:U$90000,16,0)="AGI",VLOOKUP(B240,[1]Material!F$5:U$90000,16,0)="AGIGA"),"AGIGA",
      OR(LEFT(VLOOKUP(B240,[1]Material!F$5:U$90000,16,0),3)="EF-",VLOOKUP(B240,[1]Material!F$5:U$90000,16,0)="EFI"),"EFI",
      AND(ISNUMBER(VLOOKUP(B240,[1]Material!F$5:U$90000,16,0)),VLOOKUP(B240,[1]Material!F$5:U$90000,16,0)&gt;=100,VLOOKUP(B240,[1]Material!F$5:U$90000,16,0)&lt;=999,VLOOKUP(B240,[1]Material!F$5:U$90000,16,0)=INT(VLOOKUP(B240,[1]Material!F$5:U$90000,16,0))),"OEM",
      TRUE,""
    ),
    "không tìm thấy trong file Import"
  ),
  VLOOKUP(F240,'[2]Export shipment'!B:Y,24,0)
)</f>
        <v>EFI</v>
      </c>
      <c r="H240" s="184"/>
      <c r="I240" s="184"/>
      <c r="J240" s="260">
        <f>(V240+X240+AA240)/'Logistics record '!$AD$1</f>
        <v>15.116015418335726</v>
      </c>
      <c r="K240" s="260">
        <f>W240/'Logistics record '!$AD$1</f>
        <v>0</v>
      </c>
      <c r="L240" s="260">
        <f>Y240/'Logistics record '!$AD$1</f>
        <v>0</v>
      </c>
      <c r="M240" s="260">
        <f>AF240/'Logistics record '!$AD$1</f>
        <v>0</v>
      </c>
      <c r="N240" s="260" t="str" cm="1">
        <f t="array" ref="N240">_xlfn.IFS(
    OR(UPPER(S240)="AIR", UPPER(S240)="CPN"), "AIR",
    UPPER(S240)="TC", "LOCAL",
    TRUE, "SEA"
)</f>
        <v>AIR</v>
      </c>
      <c r="O240" s="260">
        <f t="shared" si="22"/>
        <v>15.116015418335726</v>
      </c>
      <c r="P240" s="184" t="s">
        <v>931</v>
      </c>
      <c r="Q240" s="185">
        <v>108320002560</v>
      </c>
      <c r="R240" s="186">
        <v>46181</v>
      </c>
      <c r="S240" s="187" t="s">
        <v>928</v>
      </c>
      <c r="T240" s="188">
        <v>0.5</v>
      </c>
      <c r="U240" s="188"/>
      <c r="V240" s="189">
        <v>400000</v>
      </c>
      <c r="W240" s="190"/>
      <c r="X240" s="190"/>
      <c r="Y240" s="190"/>
      <c r="Z240" s="189">
        <f t="shared" si="18"/>
        <v>400000</v>
      </c>
      <c r="AA240" s="189">
        <v>0</v>
      </c>
      <c r="AB240" s="189">
        <f t="shared" si="23"/>
        <v>400000</v>
      </c>
      <c r="AC240" s="189"/>
      <c r="AD240" s="190"/>
      <c r="AE240" s="190"/>
      <c r="AF240" s="191">
        <f t="shared" si="19"/>
        <v>0</v>
      </c>
      <c r="AG240" s="190">
        <f t="shared" si="20"/>
        <v>400000</v>
      </c>
      <c r="AH240" s="190"/>
      <c r="AI240" s="192" t="str">
        <f>VLOOKUP(Q240,[3]Sheet1!B$11:G$1489,6,0)</f>
        <v>E11</v>
      </c>
      <c r="GK240" s="194"/>
      <c r="GL240" s="195"/>
      <c r="GM240" s="196"/>
      <c r="GN240" s="197"/>
      <c r="GO240" s="198"/>
      <c r="GP240" s="199"/>
      <c r="GQ240" s="200"/>
      <c r="GR240" s="201"/>
      <c r="GS240" s="60"/>
      <c r="GT240" s="202"/>
      <c r="GU240" s="202"/>
      <c r="GV240" s="202"/>
      <c r="GW240" s="202"/>
      <c r="GX240" s="203"/>
      <c r="HA240" s="194"/>
      <c r="HB240" s="195"/>
      <c r="HC240" s="196"/>
      <c r="HD240" s="197"/>
      <c r="HE240" s="198"/>
      <c r="HF240" s="199"/>
      <c r="HG240" s="200"/>
      <c r="HH240" s="201"/>
      <c r="HI240" s="60"/>
      <c r="HJ240" s="202"/>
      <c r="HK240" s="202"/>
      <c r="HL240" s="202"/>
      <c r="HM240" s="202"/>
      <c r="HN240" s="203"/>
    </row>
    <row r="241" spans="1:222" ht="16.5" customHeight="1">
      <c r="A241" s="181">
        <v>238</v>
      </c>
      <c r="B241" s="182">
        <v>510007355769</v>
      </c>
      <c r="C241" s="598" t="s">
        <v>2494</v>
      </c>
      <c r="D241" s="184" t="s">
        <v>823</v>
      </c>
      <c r="E241" s="184" t="str">
        <f t="shared" si="21"/>
        <v>Import</v>
      </c>
      <c r="F241" s="720" t="str" cm="1">
        <f t="array" ref="F241">_xlfn.IFS(
  OR(AI241="E11", AI241="E15"), "Raw materials",
  OR(AI241="E13", AI241="G13"), "Equipments + Toolings",
  TRUE, RIGHT(C241, 8)
)</f>
        <v>Raw materials</v>
      </c>
      <c r="G241" s="541" t="str" cm="1">
        <f t="array" ref="G241">IF(E241="Import",
  IFERROR(
    _xlfn.IFS(
      VLOOKUP(B241,[1]Material!F$5:U$90000,16,0)="LUC","Lucid",
      VLOOKUP(B241,[1]Material!F$5:U$90000,16,0)="FMC","FORD",
      OR(VLOOKUP(B241,[1]Material!F$5:U$90000,16,0)="PUR",VLOOKUP(B241,[1]Material!F$5:U$90000,16,0)="HLO"),"PURE",
      VLOOKUP(B241,[1]Material!F$5:U$90000,16,0)="AIC","AIC",
      OR(VLOOKUP(B241,[1]Material!F$5:U$90000,16,0)="AGI",VLOOKUP(B241,[1]Material!F$5:U$90000,16,0)="AGIGA"),"AGIGA",
      OR(LEFT(VLOOKUP(B241,[1]Material!F$5:U$90000,16,0),3)="EF-",VLOOKUP(B241,[1]Material!F$5:U$90000,16,0)="EFI"),"EFI",
      AND(ISNUMBER(VLOOKUP(B241,[1]Material!F$5:U$90000,16,0)),VLOOKUP(B241,[1]Material!F$5:U$90000,16,0)&gt;=100,VLOOKUP(B241,[1]Material!F$5:U$90000,16,0)&lt;=999,VLOOKUP(B241,[1]Material!F$5:U$90000,16,0)=INT(VLOOKUP(B241,[1]Material!F$5:U$90000,16,0))),"OEM",
      TRUE,""
    ),
    "không tìm thấy trong file Import"
  ),
  VLOOKUP(F241,'[2]Export shipment'!B:Y,24,0)
)</f>
        <v>OEM</v>
      </c>
      <c r="H241" s="184"/>
      <c r="I241" s="184"/>
      <c r="J241" s="260">
        <f>(V241+X241+AA241)/'Logistics record '!$AD$1</f>
        <v>15.116015418335726</v>
      </c>
      <c r="K241" s="260">
        <f>W241/'Logistics record '!$AD$1</f>
        <v>0</v>
      </c>
      <c r="L241" s="260">
        <f>Y241/'Logistics record '!$AD$1</f>
        <v>0</v>
      </c>
      <c r="M241" s="260">
        <f>AF241/'Logistics record '!$AD$1</f>
        <v>0</v>
      </c>
      <c r="N241" s="260" t="str" cm="1">
        <f t="array" ref="N241">_xlfn.IFS(
    OR(UPPER(S241)="AIR", UPPER(S241)="CPN"), "AIR",
    UPPER(S241)="TC", "LOCAL",
    TRUE, "SEA"
)</f>
        <v>AIR</v>
      </c>
      <c r="O241" s="260">
        <f t="shared" si="22"/>
        <v>15.116015418335726</v>
      </c>
      <c r="P241" s="184" t="s">
        <v>927</v>
      </c>
      <c r="Q241" s="185">
        <v>108320090060</v>
      </c>
      <c r="R241" s="186">
        <v>46181</v>
      </c>
      <c r="S241" s="187" t="s">
        <v>928</v>
      </c>
      <c r="T241" s="188">
        <v>30.5</v>
      </c>
      <c r="U241" s="188"/>
      <c r="V241" s="189">
        <v>400000</v>
      </c>
      <c r="W241" s="190"/>
      <c r="X241" s="190"/>
      <c r="Y241" s="190"/>
      <c r="Z241" s="189">
        <f t="shared" si="18"/>
        <v>400000</v>
      </c>
      <c r="AA241" s="189">
        <v>0</v>
      </c>
      <c r="AB241" s="189">
        <f t="shared" si="23"/>
        <v>400000</v>
      </c>
      <c r="AC241" s="189"/>
      <c r="AD241" s="190"/>
      <c r="AE241" s="190"/>
      <c r="AF241" s="191">
        <f t="shared" si="19"/>
        <v>0</v>
      </c>
      <c r="AG241" s="190">
        <f t="shared" si="20"/>
        <v>400000</v>
      </c>
      <c r="AH241" s="190"/>
      <c r="AI241" s="192" t="str">
        <f>VLOOKUP(Q241,[3]Sheet1!B$11:G$1489,6,0)</f>
        <v>E11</v>
      </c>
      <c r="GK241" s="194"/>
      <c r="GL241" s="195"/>
      <c r="GM241" s="196"/>
      <c r="GN241" s="197"/>
      <c r="GO241" s="198"/>
      <c r="GP241" s="199"/>
      <c r="GQ241" s="200"/>
      <c r="GR241" s="201"/>
      <c r="GS241" s="60"/>
      <c r="GT241" s="202"/>
      <c r="GU241" s="202"/>
      <c r="GV241" s="202"/>
      <c r="GW241" s="202"/>
      <c r="GX241" s="203"/>
      <c r="HA241" s="194"/>
      <c r="HB241" s="195"/>
      <c r="HC241" s="196"/>
      <c r="HD241" s="197"/>
      <c r="HE241" s="198"/>
      <c r="HF241" s="199"/>
      <c r="HG241" s="200"/>
      <c r="HH241" s="201"/>
      <c r="HI241" s="60"/>
      <c r="HJ241" s="202"/>
      <c r="HK241" s="202"/>
      <c r="HL241" s="202"/>
      <c r="HM241" s="202"/>
      <c r="HN241" s="203"/>
    </row>
    <row r="242" spans="1:222" ht="16.5" customHeight="1">
      <c r="A242" s="181">
        <v>239</v>
      </c>
      <c r="B242" s="182">
        <v>510007355769</v>
      </c>
      <c r="C242" s="183" t="s">
        <v>2494</v>
      </c>
      <c r="D242" s="184" t="s">
        <v>823</v>
      </c>
      <c r="E242" s="184" t="str">
        <f t="shared" si="21"/>
        <v>Import</v>
      </c>
      <c r="F242" s="720" t="str" cm="1">
        <f t="array" ref="F242">_xlfn.IFS(
  OR(AI242="E11", AI242="E15"), "Raw materials",
  OR(AI242="E13", AI242="G13"), "Equipments + Toolings",
  TRUE, RIGHT(C242, 8)
)</f>
        <v>Raw materials</v>
      </c>
      <c r="G242" s="541" t="str" cm="1">
        <f t="array" ref="G242">IF(E242="Import",
  IFERROR(
    _xlfn.IFS(
      VLOOKUP(B242,[1]Material!F$5:U$90000,16,0)="LUC","Lucid",
      VLOOKUP(B242,[1]Material!F$5:U$90000,16,0)="FMC","FORD",
      OR(VLOOKUP(B242,[1]Material!F$5:U$90000,16,0)="PUR",VLOOKUP(B242,[1]Material!F$5:U$90000,16,0)="HLO"),"PURE",
      VLOOKUP(B242,[1]Material!F$5:U$90000,16,0)="AIC","AIC",
      OR(VLOOKUP(B242,[1]Material!F$5:U$90000,16,0)="AGI",VLOOKUP(B242,[1]Material!F$5:U$90000,16,0)="AGIGA"),"AGIGA",
      OR(LEFT(VLOOKUP(B242,[1]Material!F$5:U$90000,16,0),3)="EF-",VLOOKUP(B242,[1]Material!F$5:U$90000,16,0)="EFI"),"EFI",
      AND(ISNUMBER(VLOOKUP(B242,[1]Material!F$5:U$90000,16,0)),VLOOKUP(B242,[1]Material!F$5:U$90000,16,0)&gt;=100,VLOOKUP(B242,[1]Material!F$5:U$90000,16,0)&lt;=999,VLOOKUP(B242,[1]Material!F$5:U$90000,16,0)=INT(VLOOKUP(B242,[1]Material!F$5:U$90000,16,0))),"OEM",
      TRUE,""
    ),
    "không tìm thấy trong file Import"
  ),
  VLOOKUP(F242,'[2]Export shipment'!B:Y,24,0)
)</f>
        <v>OEM</v>
      </c>
      <c r="H242" s="184"/>
      <c r="I242" s="184"/>
      <c r="J242" s="260">
        <f>(V242+X242+AA242)/'Logistics record '!$AD$1</f>
        <v>11.337011563751796</v>
      </c>
      <c r="K242" s="260">
        <f>W242/'Logistics record '!$AD$1</f>
        <v>0</v>
      </c>
      <c r="L242" s="260">
        <f>Y242/'Logistics record '!$AD$1</f>
        <v>0</v>
      </c>
      <c r="M242" s="260">
        <f>AF242/'Logistics record '!$AD$1</f>
        <v>0</v>
      </c>
      <c r="N242" s="260" t="str" cm="1">
        <f t="array" ref="N242">_xlfn.IFS(
    OR(UPPER(S242)="AIR", UPPER(S242)="CPN"), "AIR",
    UPPER(S242)="TC", "LOCAL",
    TRUE, "SEA"
)</f>
        <v>AIR</v>
      </c>
      <c r="O242" s="260">
        <f t="shared" si="22"/>
        <v>11.337011563751796</v>
      </c>
      <c r="P242" s="184" t="s">
        <v>927</v>
      </c>
      <c r="Q242" s="185">
        <v>108320093120</v>
      </c>
      <c r="R242" s="186">
        <v>46181</v>
      </c>
      <c r="S242" s="187" t="s">
        <v>928</v>
      </c>
      <c r="T242" s="188">
        <v>30.5</v>
      </c>
      <c r="U242" s="188"/>
      <c r="V242" s="189">
        <v>300000</v>
      </c>
      <c r="W242" s="190"/>
      <c r="X242" s="190"/>
      <c r="Y242" s="190"/>
      <c r="Z242" s="189">
        <f t="shared" si="18"/>
        <v>300000</v>
      </c>
      <c r="AA242" s="189">
        <v>0</v>
      </c>
      <c r="AB242" s="189">
        <f t="shared" si="23"/>
        <v>300000</v>
      </c>
      <c r="AC242" s="189"/>
      <c r="AD242" s="190"/>
      <c r="AE242" s="190"/>
      <c r="AF242" s="191">
        <f t="shared" si="19"/>
        <v>0</v>
      </c>
      <c r="AG242" s="190">
        <f t="shared" si="20"/>
        <v>300000</v>
      </c>
      <c r="AH242" s="190"/>
      <c r="AI242" s="192" t="str">
        <f>VLOOKUP(Q242,[3]Sheet1!B$11:G$1489,6,0)</f>
        <v>E11</v>
      </c>
      <c r="GK242" s="194"/>
      <c r="GL242" s="195"/>
      <c r="GM242" s="196"/>
      <c r="GN242" s="197"/>
      <c r="GO242" s="198"/>
      <c r="GP242" s="199"/>
      <c r="GQ242" s="200"/>
      <c r="GR242" s="201"/>
      <c r="GS242" s="60"/>
      <c r="GT242" s="202"/>
      <c r="GU242" s="202"/>
      <c r="GV242" s="202"/>
      <c r="GW242" s="202"/>
      <c r="GX242" s="203"/>
      <c r="HA242" s="194"/>
      <c r="HB242" s="195"/>
      <c r="HC242" s="196"/>
      <c r="HD242" s="197"/>
      <c r="HE242" s="198"/>
      <c r="HF242" s="199"/>
      <c r="HG242" s="200"/>
      <c r="HH242" s="201"/>
      <c r="HI242" s="60"/>
      <c r="HJ242" s="202"/>
      <c r="HK242" s="202"/>
      <c r="HL242" s="202"/>
      <c r="HM242" s="202"/>
      <c r="HN242" s="203"/>
    </row>
    <row r="243" spans="1:222" ht="16.5" customHeight="1">
      <c r="A243" s="181">
        <v>240</v>
      </c>
      <c r="B243" s="182">
        <v>872631660330</v>
      </c>
      <c r="C243" s="598" t="s">
        <v>2495</v>
      </c>
      <c r="D243" s="184" t="s">
        <v>650</v>
      </c>
      <c r="E243" s="184" t="str">
        <f t="shared" si="21"/>
        <v>Import</v>
      </c>
      <c r="F243" s="720" t="str" cm="1">
        <f t="array" ref="F243">_xlfn.IFS(
  OR(AI243="E11", AI243="E15"), "Raw materials",
  OR(AI243="E13", AI243="G13"), "Equipments + Toolings",
  TRUE, RIGHT(C243, 8)
)</f>
        <v>Raw materials</v>
      </c>
      <c r="G243" s="541" t="str" cm="1">
        <f t="array" ref="G243">IF(E243="Import",
  IFERROR(
    _xlfn.IFS(
      VLOOKUP(B243,[1]Material!F$5:U$90000,16,0)="LUC","Lucid",
      VLOOKUP(B243,[1]Material!F$5:U$90000,16,0)="FMC","FORD",
      OR(VLOOKUP(B243,[1]Material!F$5:U$90000,16,0)="PUR",VLOOKUP(B243,[1]Material!F$5:U$90000,16,0)="HLO"),"PURE",
      VLOOKUP(B243,[1]Material!F$5:U$90000,16,0)="AIC","AIC",
      OR(VLOOKUP(B243,[1]Material!F$5:U$90000,16,0)="AGI",VLOOKUP(B243,[1]Material!F$5:U$90000,16,0)="AGIGA"),"AGIGA",
      OR(LEFT(VLOOKUP(B243,[1]Material!F$5:U$90000,16,0),3)="EF-",VLOOKUP(B243,[1]Material!F$5:U$90000,16,0)="EFI"),"EFI",
      AND(ISNUMBER(VLOOKUP(B243,[1]Material!F$5:U$90000,16,0)),VLOOKUP(B243,[1]Material!F$5:U$90000,16,0)&gt;=100,VLOOKUP(B243,[1]Material!F$5:U$90000,16,0)&lt;=999,VLOOKUP(B243,[1]Material!F$5:U$90000,16,0)=INT(VLOOKUP(B243,[1]Material!F$5:U$90000,16,0))),"OEM",
      TRUE,""
    ),
    "không tìm thấy trong file Import"
  ),
  VLOOKUP(F243,'[2]Export shipment'!B:Y,24,0)
)</f>
        <v>OEM</v>
      </c>
      <c r="H243" s="184"/>
      <c r="I243" s="184"/>
      <c r="J243" s="260">
        <f>(V243+X243+AA243)/'Logistics record '!$AD$1</f>
        <v>15.116015418335726</v>
      </c>
      <c r="K243" s="260">
        <f>W243/'Logistics record '!$AD$1</f>
        <v>0</v>
      </c>
      <c r="L243" s="260">
        <f>Y243/'Logistics record '!$AD$1</f>
        <v>0</v>
      </c>
      <c r="M243" s="260">
        <f>AF243/'Logistics record '!$AD$1</f>
        <v>0</v>
      </c>
      <c r="N243" s="260" t="str" cm="1">
        <f t="array" ref="N243">_xlfn.IFS(
    OR(UPPER(S243)="AIR", UPPER(S243)="CPN"), "AIR",
    UPPER(S243)="TC", "LOCAL",
    TRUE, "SEA"
)</f>
        <v>AIR</v>
      </c>
      <c r="O243" s="260">
        <f t="shared" si="22"/>
        <v>15.116015418335726</v>
      </c>
      <c r="P243" s="184" t="s">
        <v>927</v>
      </c>
      <c r="Q243" s="185">
        <v>108320162530</v>
      </c>
      <c r="R243" s="186">
        <v>46181</v>
      </c>
      <c r="S243" s="187" t="s">
        <v>928</v>
      </c>
      <c r="T243" s="188">
        <v>10.8</v>
      </c>
      <c r="U243" s="188"/>
      <c r="V243" s="189">
        <v>400000</v>
      </c>
      <c r="W243" s="190"/>
      <c r="X243" s="190"/>
      <c r="Y243" s="190"/>
      <c r="Z243" s="189">
        <f t="shared" si="18"/>
        <v>400000</v>
      </c>
      <c r="AA243" s="189">
        <v>0</v>
      </c>
      <c r="AB243" s="189">
        <f t="shared" si="23"/>
        <v>400000</v>
      </c>
      <c r="AC243" s="189"/>
      <c r="AD243" s="190"/>
      <c r="AE243" s="190"/>
      <c r="AF243" s="191">
        <f t="shared" si="19"/>
        <v>0</v>
      </c>
      <c r="AG243" s="190">
        <f t="shared" si="20"/>
        <v>400000</v>
      </c>
      <c r="AH243" s="190"/>
      <c r="AI243" s="192" t="str">
        <f>VLOOKUP(Q243,[3]Sheet1!B$11:G$1489,6,0)</f>
        <v>E11</v>
      </c>
      <c r="GK243" s="194"/>
      <c r="GL243" s="195"/>
      <c r="GM243" s="196"/>
      <c r="GN243" s="197"/>
      <c r="GO243" s="198"/>
      <c r="GP243" s="199"/>
      <c r="GQ243" s="200"/>
      <c r="GR243" s="201"/>
      <c r="GS243" s="60"/>
      <c r="GT243" s="202"/>
      <c r="GU243" s="202"/>
      <c r="GV243" s="202"/>
      <c r="GW243" s="202"/>
      <c r="GX243" s="203"/>
      <c r="HA243" s="194"/>
      <c r="HB243" s="195"/>
      <c r="HC243" s="196"/>
      <c r="HD243" s="197"/>
      <c r="HE243" s="198"/>
      <c r="HF243" s="199"/>
      <c r="HG243" s="200"/>
      <c r="HH243" s="201"/>
      <c r="HI243" s="60"/>
      <c r="HJ243" s="202"/>
      <c r="HK243" s="202"/>
      <c r="HL243" s="202"/>
      <c r="HM243" s="202"/>
      <c r="HN243" s="203"/>
    </row>
    <row r="244" spans="1:222" ht="16.5" customHeight="1">
      <c r="A244" s="181">
        <v>241</v>
      </c>
      <c r="B244" s="182">
        <v>8266641935</v>
      </c>
      <c r="C244" s="598" t="s">
        <v>2496</v>
      </c>
      <c r="D244" s="184" t="s">
        <v>2497</v>
      </c>
      <c r="E244" s="184" t="str">
        <f t="shared" si="21"/>
        <v>Import</v>
      </c>
      <c r="F244" s="720" t="str" cm="1">
        <f t="array" ref="F244">_xlfn.IFS(
  OR(AI244="E11", AI244="E15"), "Raw materials",
  OR(AI244="E13", AI244="G13"), "Equipments + Toolings",
  TRUE, RIGHT(C244, 8)
)</f>
        <v>Raw materials</v>
      </c>
      <c r="G244" s="541" t="str" cm="1">
        <f t="array" ref="G244">IF(E244="Import",
  IFERROR(
    _xlfn.IFS(
      VLOOKUP(B244,[1]Material!F$5:U$90000,16,0)="LUC","Lucid",
      VLOOKUP(B244,[1]Material!F$5:U$90000,16,0)="FMC","FORD",
      OR(VLOOKUP(B244,[1]Material!F$5:U$90000,16,0)="PUR",VLOOKUP(B244,[1]Material!F$5:U$90000,16,0)="HLO"),"PURE",
      VLOOKUP(B244,[1]Material!F$5:U$90000,16,0)="AIC","AIC",
      OR(VLOOKUP(B244,[1]Material!F$5:U$90000,16,0)="AGI",VLOOKUP(B244,[1]Material!F$5:U$90000,16,0)="AGIGA"),"AGIGA",
      OR(LEFT(VLOOKUP(B244,[1]Material!F$5:U$90000,16,0),3)="EF-",VLOOKUP(B244,[1]Material!F$5:U$90000,16,0)="EFI"),"EFI",
      AND(ISNUMBER(VLOOKUP(B244,[1]Material!F$5:U$90000,16,0)),VLOOKUP(B244,[1]Material!F$5:U$90000,16,0)&gt;=100,VLOOKUP(B244,[1]Material!F$5:U$90000,16,0)&lt;=999,VLOOKUP(B244,[1]Material!F$5:U$90000,16,0)=INT(VLOOKUP(B244,[1]Material!F$5:U$90000,16,0))),"OEM",
      TRUE,""
    ),
    "không tìm thấy trong file Import"
  ),
  VLOOKUP(F244,'[2]Export shipment'!B:Y,24,0)
)</f>
        <v>PURE</v>
      </c>
      <c r="H244" s="184"/>
      <c r="I244" s="184"/>
      <c r="J244" s="260">
        <f>(V244+X244+AA244)/'Logistics record '!$AD$1</f>
        <v>15.116015418335726</v>
      </c>
      <c r="K244" s="260">
        <f>W244/'Logistics record '!$AD$1</f>
        <v>0</v>
      </c>
      <c r="L244" s="260">
        <f>Y244/'Logistics record '!$AD$1</f>
        <v>0</v>
      </c>
      <c r="M244" s="260">
        <f>AF244/'Logistics record '!$AD$1</f>
        <v>0</v>
      </c>
      <c r="N244" s="260" t="str" cm="1">
        <f t="array" ref="N244">_xlfn.IFS(
    OR(UPPER(S244)="AIR", UPPER(S244)="CPN"), "AIR",
    UPPER(S244)="TC", "LOCAL",
    TRUE, "SEA"
)</f>
        <v>AIR</v>
      </c>
      <c r="O244" s="260">
        <f t="shared" si="22"/>
        <v>15.116015418335726</v>
      </c>
      <c r="P244" s="184" t="s">
        <v>927</v>
      </c>
      <c r="Q244" s="185">
        <v>108320465260</v>
      </c>
      <c r="R244" s="186">
        <v>46181</v>
      </c>
      <c r="S244" s="187" t="s">
        <v>928</v>
      </c>
      <c r="T244" s="188">
        <v>50.5</v>
      </c>
      <c r="U244" s="188"/>
      <c r="V244" s="189">
        <v>400000</v>
      </c>
      <c r="W244" s="190"/>
      <c r="X244" s="190"/>
      <c r="Y244" s="190"/>
      <c r="Z244" s="189">
        <f t="shared" si="18"/>
        <v>400000</v>
      </c>
      <c r="AA244" s="189">
        <v>0</v>
      </c>
      <c r="AB244" s="189">
        <f t="shared" si="23"/>
        <v>400000</v>
      </c>
      <c r="AC244" s="189"/>
      <c r="AD244" s="190"/>
      <c r="AE244" s="190"/>
      <c r="AF244" s="191">
        <f t="shared" si="19"/>
        <v>0</v>
      </c>
      <c r="AG244" s="190">
        <f t="shared" si="20"/>
        <v>400000</v>
      </c>
      <c r="AH244" s="190"/>
      <c r="AI244" s="192" t="str">
        <f>VLOOKUP(Q244,[3]Sheet1!B$11:G$1489,6,0)</f>
        <v>E11</v>
      </c>
      <c r="GK244" s="194"/>
      <c r="GL244" s="195"/>
      <c r="GM244" s="196"/>
      <c r="GN244" s="197"/>
      <c r="GO244" s="198"/>
      <c r="GP244" s="199"/>
      <c r="GQ244" s="200"/>
      <c r="GR244" s="201"/>
      <c r="GS244" s="60"/>
      <c r="GT244" s="202"/>
      <c r="GU244" s="202"/>
      <c r="GV244" s="202"/>
      <c r="GW244" s="202"/>
      <c r="GX244" s="203"/>
      <c r="HA244" s="194"/>
      <c r="HB244" s="195"/>
      <c r="HC244" s="196"/>
      <c r="HD244" s="197"/>
      <c r="HE244" s="198"/>
      <c r="HF244" s="199"/>
      <c r="HG244" s="200"/>
      <c r="HH244" s="201"/>
      <c r="HI244" s="60"/>
      <c r="HJ244" s="202"/>
      <c r="HK244" s="202"/>
      <c r="HL244" s="202"/>
      <c r="HM244" s="202"/>
      <c r="HN244" s="203"/>
    </row>
    <row r="245" spans="1:222" ht="16.5" customHeight="1">
      <c r="A245" s="181">
        <v>242</v>
      </c>
      <c r="B245" s="182">
        <v>4448587290</v>
      </c>
      <c r="C245" s="183" t="s">
        <v>2498</v>
      </c>
      <c r="D245" s="184" t="s">
        <v>2499</v>
      </c>
      <c r="E245" s="184" t="str">
        <f t="shared" si="21"/>
        <v>Import</v>
      </c>
      <c r="F245" s="720" t="str" cm="1">
        <f t="array" ref="F245">_xlfn.IFS(
  OR(AI245="E11", AI245="E15"), "Raw materials",
  OR(AI245="E13", AI245="G13"), "Equipments + Toolings",
  TRUE, RIGHT(C245, 8)
)</f>
        <v>Raw materials</v>
      </c>
      <c r="G245" s="541" t="str" cm="1">
        <f t="array" ref="G245">IF(E245="Import",
  IFERROR(
    _xlfn.IFS(
      VLOOKUP(B245,[1]Material!F$5:U$90000,16,0)="LUC","Lucid",
      VLOOKUP(B245,[1]Material!F$5:U$90000,16,0)="FMC","FORD",
      OR(VLOOKUP(B245,[1]Material!F$5:U$90000,16,0)="PUR",VLOOKUP(B245,[1]Material!F$5:U$90000,16,0)="HLO"),"PURE",
      VLOOKUP(B245,[1]Material!F$5:U$90000,16,0)="AIC","AIC",
      OR(VLOOKUP(B245,[1]Material!F$5:U$90000,16,0)="AGI",VLOOKUP(B245,[1]Material!F$5:U$90000,16,0)="AGIGA"),"AGIGA",
      OR(LEFT(VLOOKUP(B245,[1]Material!F$5:U$90000,16,0),3)="EF-",VLOOKUP(B245,[1]Material!F$5:U$90000,16,0)="EFI"),"EFI",
      AND(ISNUMBER(VLOOKUP(B245,[1]Material!F$5:U$90000,16,0)),VLOOKUP(B245,[1]Material!F$5:U$90000,16,0)&gt;=100,VLOOKUP(B245,[1]Material!F$5:U$90000,16,0)&lt;=999,VLOOKUP(B245,[1]Material!F$5:U$90000,16,0)=INT(VLOOKUP(B245,[1]Material!F$5:U$90000,16,0))),"OEM",
      TRUE,""
    ),
    "không tìm thấy trong file Import"
  ),
  VLOOKUP(F245,'[2]Export shipment'!B:Y,24,0)
)</f>
        <v>PURE</v>
      </c>
      <c r="H245" s="184"/>
      <c r="I245" s="184"/>
      <c r="J245" s="260">
        <f>(V245+X245+AA245)/'Logistics record '!$AD$1</f>
        <v>15.116015418335726</v>
      </c>
      <c r="K245" s="260">
        <f>W245/'Logistics record '!$AD$1</f>
        <v>0</v>
      </c>
      <c r="L245" s="260">
        <f>Y245/'Logistics record '!$AD$1</f>
        <v>0</v>
      </c>
      <c r="M245" s="260">
        <f>AF245/'Logistics record '!$AD$1</f>
        <v>0</v>
      </c>
      <c r="N245" s="260" t="str" cm="1">
        <f t="array" ref="N245">_xlfn.IFS(
    OR(UPPER(S245)="AIR", UPPER(S245)="CPN"), "AIR",
    UPPER(S245)="TC", "LOCAL",
    TRUE, "SEA"
)</f>
        <v>AIR</v>
      </c>
      <c r="O245" s="260">
        <f t="shared" si="22"/>
        <v>15.116015418335726</v>
      </c>
      <c r="P245" s="184" t="s">
        <v>943</v>
      </c>
      <c r="Q245" s="185">
        <v>108320512530</v>
      </c>
      <c r="R245" s="186">
        <v>46181</v>
      </c>
      <c r="S245" s="187" t="s">
        <v>928</v>
      </c>
      <c r="T245" s="188">
        <v>3.4</v>
      </c>
      <c r="U245" s="188"/>
      <c r="V245" s="189">
        <v>400000</v>
      </c>
      <c r="W245" s="190"/>
      <c r="X245" s="190"/>
      <c r="Y245" s="190"/>
      <c r="Z245" s="189">
        <f t="shared" si="18"/>
        <v>400000</v>
      </c>
      <c r="AA245" s="189">
        <v>0</v>
      </c>
      <c r="AB245" s="189">
        <f t="shared" si="23"/>
        <v>400000</v>
      </c>
      <c r="AC245" s="189"/>
      <c r="AD245" s="190"/>
      <c r="AE245" s="190"/>
      <c r="AF245" s="191">
        <f t="shared" si="19"/>
        <v>0</v>
      </c>
      <c r="AG245" s="190">
        <f t="shared" si="20"/>
        <v>400000</v>
      </c>
      <c r="AH245" s="190"/>
      <c r="AI245" s="192" t="str">
        <f>VLOOKUP(Q245,[3]Sheet1!B$11:G$1489,6,0)</f>
        <v>E11</v>
      </c>
      <c r="GK245" s="194"/>
      <c r="GL245" s="195"/>
      <c r="GM245" s="196"/>
      <c r="GN245" s="197"/>
      <c r="GO245" s="198"/>
      <c r="GP245" s="199"/>
      <c r="GQ245" s="200"/>
      <c r="GR245" s="201"/>
      <c r="GS245" s="60"/>
      <c r="GT245" s="202"/>
      <c r="GU245" s="202"/>
      <c r="GV245" s="202"/>
      <c r="GW245" s="202"/>
      <c r="GX245" s="203"/>
      <c r="HA245" s="194"/>
      <c r="HB245" s="195"/>
      <c r="HC245" s="196"/>
      <c r="HD245" s="197"/>
      <c r="HE245" s="198"/>
      <c r="HF245" s="199"/>
      <c r="HG245" s="200"/>
      <c r="HH245" s="201"/>
      <c r="HI245" s="60"/>
      <c r="HJ245" s="202"/>
      <c r="HK245" s="202"/>
      <c r="HL245" s="202"/>
      <c r="HM245" s="202"/>
      <c r="HN245" s="203"/>
    </row>
    <row r="246" spans="1:222" ht="16.5" customHeight="1">
      <c r="A246" s="181">
        <v>243</v>
      </c>
      <c r="B246" s="182">
        <v>872118022055</v>
      </c>
      <c r="C246" s="598" t="s">
        <v>2500</v>
      </c>
      <c r="D246" s="184" t="s">
        <v>2035</v>
      </c>
      <c r="E246" s="184" t="str">
        <f t="shared" si="21"/>
        <v>Import</v>
      </c>
      <c r="F246" s="720" t="str" cm="1">
        <f t="array" ref="F246">_xlfn.IFS(
  OR(AI246="E11", AI246="E15"), "Raw materials",
  OR(AI246="E13", AI246="G13"), "Equipments + Toolings",
  TRUE, RIGHT(C246, 8)
)</f>
        <v>Raw materials</v>
      </c>
      <c r="G246" s="541" t="s">
        <v>1902</v>
      </c>
      <c r="H246" s="184"/>
      <c r="I246" s="184"/>
      <c r="J246" s="260">
        <f>(V246+X246+AA246)/'Logistics record '!$AD$1</f>
        <v>15.116015418335726</v>
      </c>
      <c r="K246" s="260">
        <f>W246/'Logistics record '!$AD$1</f>
        <v>0</v>
      </c>
      <c r="L246" s="260">
        <f>Y246/'Logistics record '!$AD$1</f>
        <v>0</v>
      </c>
      <c r="M246" s="260">
        <f>AF246/'Logistics record '!$AD$1</f>
        <v>0</v>
      </c>
      <c r="N246" s="260" t="str" cm="1">
        <f t="array" ref="N246">_xlfn.IFS(
    OR(UPPER(S246)="AIR", UPPER(S246)="CPN"), "AIR",
    UPPER(S246)="TC", "LOCAL",
    TRUE, "SEA"
)</f>
        <v>AIR</v>
      </c>
      <c r="O246" s="260">
        <f t="shared" si="22"/>
        <v>15.116015418335726</v>
      </c>
      <c r="P246" s="184" t="s">
        <v>937</v>
      </c>
      <c r="Q246" s="185">
        <v>108320531910</v>
      </c>
      <c r="R246" s="186">
        <v>46181</v>
      </c>
      <c r="S246" s="187" t="s">
        <v>928</v>
      </c>
      <c r="T246" s="188">
        <v>0.30000000000000004</v>
      </c>
      <c r="U246" s="188"/>
      <c r="V246" s="189">
        <v>400000</v>
      </c>
      <c r="W246" s="190"/>
      <c r="X246" s="190"/>
      <c r="Y246" s="190"/>
      <c r="Z246" s="189">
        <f t="shared" si="18"/>
        <v>400000</v>
      </c>
      <c r="AA246" s="189">
        <v>0</v>
      </c>
      <c r="AB246" s="189">
        <f t="shared" si="23"/>
        <v>400000</v>
      </c>
      <c r="AC246" s="189"/>
      <c r="AD246" s="190"/>
      <c r="AE246" s="190"/>
      <c r="AF246" s="191">
        <f t="shared" si="19"/>
        <v>0</v>
      </c>
      <c r="AG246" s="190">
        <f t="shared" si="20"/>
        <v>400000</v>
      </c>
      <c r="AH246" s="190"/>
      <c r="AI246" s="192" t="str">
        <f>VLOOKUP(Q246,[3]Sheet1!B$11:G$1489,6,0)</f>
        <v>E11</v>
      </c>
      <c r="GK246" s="194"/>
      <c r="GL246" s="195"/>
      <c r="GM246" s="196"/>
      <c r="GN246" s="197"/>
      <c r="GO246" s="198"/>
      <c r="GP246" s="199"/>
      <c r="GQ246" s="200"/>
      <c r="GR246" s="201"/>
      <c r="GS246" s="60"/>
      <c r="GT246" s="202"/>
      <c r="GU246" s="202"/>
      <c r="GV246" s="202"/>
      <c r="GW246" s="202"/>
      <c r="GX246" s="203"/>
      <c r="HA246" s="194"/>
      <c r="HB246" s="195"/>
      <c r="HC246" s="196"/>
      <c r="HD246" s="197"/>
      <c r="HE246" s="198"/>
      <c r="HF246" s="199"/>
      <c r="HG246" s="200"/>
      <c r="HH246" s="201"/>
      <c r="HI246" s="60"/>
      <c r="HJ246" s="202"/>
      <c r="HK246" s="202"/>
      <c r="HL246" s="202"/>
      <c r="HM246" s="202"/>
      <c r="HN246" s="203"/>
    </row>
    <row r="247" spans="1:222" ht="16.5" customHeight="1">
      <c r="A247" s="181">
        <v>244</v>
      </c>
      <c r="B247" s="182">
        <v>1539620644</v>
      </c>
      <c r="C247" s="183" t="s">
        <v>2501</v>
      </c>
      <c r="D247" s="184" t="s">
        <v>960</v>
      </c>
      <c r="E247" s="184" t="str">
        <f t="shared" si="21"/>
        <v>Import</v>
      </c>
      <c r="F247" s="720" t="str" cm="1">
        <f t="array" ref="F247">_xlfn.IFS(
  OR(AI247="E11", AI247="E15"), "Raw materials",
  OR(AI247="E13", AI247="G13"), "Equipments + Toolings",
  TRUE, RIGHT(C247, 8)
)</f>
        <v>Raw materials</v>
      </c>
      <c r="G247" s="541" t="str" cm="1">
        <f t="array" ref="G247">IF(E247="Import",
  IFERROR(
    _xlfn.IFS(
      VLOOKUP(B247,[1]Material!F$5:U$90000,16,0)="LUC","Lucid",
      VLOOKUP(B247,[1]Material!F$5:U$90000,16,0)="FMC","FORD",
      OR(VLOOKUP(B247,[1]Material!F$5:U$90000,16,0)="PUR",VLOOKUP(B247,[1]Material!F$5:U$90000,16,0)="HLO"),"PURE",
      VLOOKUP(B247,[1]Material!F$5:U$90000,16,0)="AIC","AIC",
      OR(VLOOKUP(B247,[1]Material!F$5:U$90000,16,0)="AGI",VLOOKUP(B247,[1]Material!F$5:U$90000,16,0)="AGIGA"),"AGIGA",
      OR(LEFT(VLOOKUP(B247,[1]Material!F$5:U$90000,16,0),3)="EF-",VLOOKUP(B247,[1]Material!F$5:U$90000,16,0)="EFI"),"EFI",
      AND(ISNUMBER(VLOOKUP(B247,[1]Material!F$5:U$90000,16,0)),VLOOKUP(B247,[1]Material!F$5:U$90000,16,0)&gt;=100,VLOOKUP(B247,[1]Material!F$5:U$90000,16,0)&lt;=999,VLOOKUP(B247,[1]Material!F$5:U$90000,16,0)=INT(VLOOKUP(B247,[1]Material!F$5:U$90000,16,0))),"OEM",
      TRUE,""
    ),
    "không tìm thấy trong file Import"
  ),
  VLOOKUP(F247,'[2]Export shipment'!B:Y,24,0)
)</f>
        <v>Lucid</v>
      </c>
      <c r="H247" s="184"/>
      <c r="I247" s="184"/>
      <c r="J247" s="260">
        <f>(V247+X247+AA247)/'Logistics record '!$AD$1</f>
        <v>15.116015418335726</v>
      </c>
      <c r="K247" s="260">
        <f>W247/'Logistics record '!$AD$1</f>
        <v>0</v>
      </c>
      <c r="L247" s="260">
        <f>Y247/'Logistics record '!$AD$1</f>
        <v>0</v>
      </c>
      <c r="M247" s="260">
        <f>AF247/'Logistics record '!$AD$1</f>
        <v>0</v>
      </c>
      <c r="N247" s="260" t="str" cm="1">
        <f t="array" ref="N247">_xlfn.IFS(
    OR(UPPER(S247)="AIR", UPPER(S247)="CPN"), "AIR",
    UPPER(S247)="TC", "LOCAL",
    TRUE, "SEA"
)</f>
        <v>AIR</v>
      </c>
      <c r="O247" s="260">
        <f t="shared" si="22"/>
        <v>15.116015418335726</v>
      </c>
      <c r="P247" s="184" t="s">
        <v>935</v>
      </c>
      <c r="Q247" s="185">
        <v>108320549520</v>
      </c>
      <c r="R247" s="186">
        <v>46181</v>
      </c>
      <c r="S247" s="187" t="s">
        <v>928</v>
      </c>
      <c r="T247" s="188">
        <v>438.1</v>
      </c>
      <c r="U247" s="188"/>
      <c r="V247" s="189">
        <v>400000</v>
      </c>
      <c r="W247" s="190"/>
      <c r="X247" s="190"/>
      <c r="Y247" s="190"/>
      <c r="Z247" s="189">
        <f t="shared" si="18"/>
        <v>400000</v>
      </c>
      <c r="AA247" s="189">
        <v>0</v>
      </c>
      <c r="AB247" s="189">
        <f t="shared" si="23"/>
        <v>400000</v>
      </c>
      <c r="AC247" s="189"/>
      <c r="AD247" s="190"/>
      <c r="AE247" s="190"/>
      <c r="AF247" s="191">
        <f t="shared" si="19"/>
        <v>0</v>
      </c>
      <c r="AG247" s="190">
        <f t="shared" si="20"/>
        <v>400000</v>
      </c>
      <c r="AH247" s="190"/>
      <c r="AI247" s="192" t="str">
        <f>VLOOKUP(Q247,[3]Sheet1!B$11:G$1489,6,0)</f>
        <v>E11</v>
      </c>
      <c r="GK247" s="194"/>
      <c r="GL247" s="195"/>
      <c r="GM247" s="196"/>
      <c r="GN247" s="197"/>
      <c r="GO247" s="198"/>
      <c r="GP247" s="199"/>
      <c r="GQ247" s="200"/>
      <c r="GR247" s="201"/>
      <c r="GS247" s="60"/>
      <c r="GT247" s="202"/>
      <c r="GU247" s="202"/>
      <c r="GV247" s="202"/>
      <c r="GW247" s="202"/>
      <c r="GX247" s="203"/>
      <c r="HA247" s="194"/>
      <c r="HB247" s="195"/>
      <c r="HC247" s="196"/>
      <c r="HD247" s="197"/>
      <c r="HE247" s="198"/>
      <c r="HF247" s="199"/>
      <c r="HG247" s="200"/>
      <c r="HH247" s="201"/>
      <c r="HI247" s="60"/>
      <c r="HJ247" s="202"/>
      <c r="HK247" s="202"/>
      <c r="HL247" s="202"/>
      <c r="HM247" s="202"/>
      <c r="HN247" s="203"/>
    </row>
    <row r="248" spans="1:222" ht="16.5" customHeight="1">
      <c r="A248" s="181">
        <v>245</v>
      </c>
      <c r="B248" s="182">
        <v>1539620644</v>
      </c>
      <c r="C248" s="183" t="s">
        <v>2501</v>
      </c>
      <c r="D248" s="184" t="s">
        <v>960</v>
      </c>
      <c r="E248" s="184" t="str">
        <f t="shared" si="21"/>
        <v>Import</v>
      </c>
      <c r="F248" s="720" t="str" cm="1">
        <f t="array" ref="F248">_xlfn.IFS(
  OR(AI248="E11", AI248="E15"), "Raw materials",
  OR(AI248="E13", AI248="G13"), "Equipments + Toolings",
  TRUE, RIGHT(C248, 8)
)</f>
        <v>Raw materials</v>
      </c>
      <c r="G248" s="541" t="str" cm="1">
        <f t="array" ref="G248">IF(E248="Import",
  IFERROR(
    _xlfn.IFS(
      VLOOKUP(B248,[1]Material!F$5:U$90000,16,0)="LUC","Lucid",
      VLOOKUP(B248,[1]Material!F$5:U$90000,16,0)="FMC","FORD",
      OR(VLOOKUP(B248,[1]Material!F$5:U$90000,16,0)="PUR",VLOOKUP(B248,[1]Material!F$5:U$90000,16,0)="HLO"),"PURE",
      VLOOKUP(B248,[1]Material!F$5:U$90000,16,0)="AIC","AIC",
      OR(VLOOKUP(B248,[1]Material!F$5:U$90000,16,0)="AGI",VLOOKUP(B248,[1]Material!F$5:U$90000,16,0)="AGIGA"),"AGIGA",
      OR(LEFT(VLOOKUP(B248,[1]Material!F$5:U$90000,16,0),3)="EF-",VLOOKUP(B248,[1]Material!F$5:U$90000,16,0)="EFI"),"EFI",
      AND(ISNUMBER(VLOOKUP(B248,[1]Material!F$5:U$90000,16,0)),VLOOKUP(B248,[1]Material!F$5:U$90000,16,0)&gt;=100,VLOOKUP(B248,[1]Material!F$5:U$90000,16,0)&lt;=999,VLOOKUP(B248,[1]Material!F$5:U$90000,16,0)=INT(VLOOKUP(B248,[1]Material!F$5:U$90000,16,0))),"OEM",
      TRUE,""
    ),
    "không tìm thấy trong file Import"
  ),
  VLOOKUP(F248,'[2]Export shipment'!B:Y,24,0)
)</f>
        <v>Lucid</v>
      </c>
      <c r="H248" s="184"/>
      <c r="I248" s="184"/>
      <c r="J248" s="260">
        <f>(V248+X248+AA248)/'Logistics record '!$AD$1</f>
        <v>11.337011563751796</v>
      </c>
      <c r="K248" s="260">
        <f>W248/'Logistics record '!$AD$1</f>
        <v>0</v>
      </c>
      <c r="L248" s="260">
        <f>Y248/'Logistics record '!$AD$1</f>
        <v>0</v>
      </c>
      <c r="M248" s="260">
        <f>AF248/'Logistics record '!$AD$1</f>
        <v>0</v>
      </c>
      <c r="N248" s="260" t="str" cm="1">
        <f t="array" ref="N248">_xlfn.IFS(
    OR(UPPER(S248)="AIR", UPPER(S248)="CPN"), "AIR",
    UPPER(S248)="TC", "LOCAL",
    TRUE, "SEA"
)</f>
        <v>AIR</v>
      </c>
      <c r="O248" s="260">
        <f t="shared" si="22"/>
        <v>11.337011563751796</v>
      </c>
      <c r="P248" s="184" t="s">
        <v>935</v>
      </c>
      <c r="Q248" s="185">
        <v>108320552650</v>
      </c>
      <c r="R248" s="186">
        <v>46181</v>
      </c>
      <c r="S248" s="187" t="s">
        <v>928</v>
      </c>
      <c r="T248" s="188">
        <v>438.1</v>
      </c>
      <c r="U248" s="188"/>
      <c r="V248" s="189">
        <v>300000</v>
      </c>
      <c r="W248" s="190"/>
      <c r="X248" s="190"/>
      <c r="Y248" s="190"/>
      <c r="Z248" s="189">
        <f t="shared" si="18"/>
        <v>300000</v>
      </c>
      <c r="AA248" s="189">
        <v>0</v>
      </c>
      <c r="AB248" s="189">
        <f t="shared" si="23"/>
        <v>300000</v>
      </c>
      <c r="AC248" s="189"/>
      <c r="AD248" s="190"/>
      <c r="AE248" s="190"/>
      <c r="AF248" s="191">
        <f t="shared" si="19"/>
        <v>0</v>
      </c>
      <c r="AG248" s="190">
        <f t="shared" si="20"/>
        <v>300000</v>
      </c>
      <c r="AH248" s="190"/>
      <c r="AI248" s="192" t="str">
        <f>VLOOKUP(Q248,[3]Sheet1!B$11:G$1489,6,0)</f>
        <v>E11</v>
      </c>
      <c r="GK248" s="194"/>
      <c r="GL248" s="195"/>
      <c r="GM248" s="196"/>
      <c r="GN248" s="197"/>
      <c r="GO248" s="198"/>
      <c r="GP248" s="199"/>
      <c r="GQ248" s="200"/>
      <c r="GR248" s="201"/>
      <c r="GS248" s="60"/>
      <c r="GT248" s="202"/>
      <c r="GU248" s="202"/>
      <c r="GV248" s="202"/>
      <c r="GW248" s="202"/>
      <c r="GX248" s="203"/>
      <c r="HA248" s="194"/>
      <c r="HB248" s="195"/>
      <c r="HC248" s="196"/>
      <c r="HD248" s="197"/>
      <c r="HE248" s="198"/>
      <c r="HF248" s="199"/>
      <c r="HG248" s="200"/>
      <c r="HH248" s="201"/>
      <c r="HI248" s="60"/>
      <c r="HJ248" s="202"/>
      <c r="HK248" s="202"/>
      <c r="HL248" s="202"/>
      <c r="HM248" s="202"/>
      <c r="HN248" s="203"/>
    </row>
    <row r="249" spans="1:222" ht="16.5" customHeight="1">
      <c r="A249" s="181">
        <v>246</v>
      </c>
      <c r="B249" s="182">
        <v>381666781690</v>
      </c>
      <c r="C249" s="598" t="s">
        <v>2502</v>
      </c>
      <c r="D249" s="184" t="s">
        <v>1498</v>
      </c>
      <c r="E249" s="184" t="str">
        <f t="shared" si="21"/>
        <v>Import</v>
      </c>
      <c r="F249" s="720" t="str" cm="1">
        <f t="array" ref="F249">_xlfn.IFS(
  OR(AI249="E11", AI249="E15"), "Raw materials",
  OR(AI249="E13", AI249="G13"), "Equipments + Toolings",
  TRUE, RIGHT(C249, 8)
)</f>
        <v>Raw materials</v>
      </c>
      <c r="G249" s="541" t="str" cm="1">
        <f t="array" ref="G249">IF(E249="Import",
  IFERROR(
    _xlfn.IFS(
      VLOOKUP(B249,[1]Material!F$5:U$90000,16,0)="LUC","Lucid",
      VLOOKUP(B249,[1]Material!F$5:U$90000,16,0)="FMC","FORD",
      OR(VLOOKUP(B249,[1]Material!F$5:U$90000,16,0)="PUR",VLOOKUP(B249,[1]Material!F$5:U$90000,16,0)="HLO"),"PURE",
      VLOOKUP(B249,[1]Material!F$5:U$90000,16,0)="AIC","AIC",
      OR(VLOOKUP(B249,[1]Material!F$5:U$90000,16,0)="AGI",VLOOKUP(B249,[1]Material!F$5:U$90000,16,0)="AGIGA"),"AGIGA",
      OR(LEFT(VLOOKUP(B249,[1]Material!F$5:U$90000,16,0),3)="EF-",VLOOKUP(B249,[1]Material!F$5:U$90000,16,0)="EFI"),"EFI",
      AND(ISNUMBER(VLOOKUP(B249,[1]Material!F$5:U$90000,16,0)),VLOOKUP(B249,[1]Material!F$5:U$90000,16,0)&gt;=100,VLOOKUP(B249,[1]Material!F$5:U$90000,16,0)&lt;=999,VLOOKUP(B249,[1]Material!F$5:U$90000,16,0)=INT(VLOOKUP(B249,[1]Material!F$5:U$90000,16,0))),"OEM",
      TRUE,""
    ),
    "không tìm thấy trong file Import"
  ),
  VLOOKUP(F249,'[2]Export shipment'!B:Y,24,0)
)</f>
        <v>EFI</v>
      </c>
      <c r="H249" s="184"/>
      <c r="I249" s="184"/>
      <c r="J249" s="260">
        <f>(V249+X249+AA249)/'Logistics record '!$AD$1</f>
        <v>15.116015418335726</v>
      </c>
      <c r="K249" s="260">
        <f>W249/'Logistics record '!$AD$1</f>
        <v>0</v>
      </c>
      <c r="L249" s="260">
        <f>Y249/'Logistics record '!$AD$1</f>
        <v>0</v>
      </c>
      <c r="M249" s="260">
        <f>AF249/'Logistics record '!$AD$1</f>
        <v>0</v>
      </c>
      <c r="N249" s="260" t="str" cm="1">
        <f t="array" ref="N249">_xlfn.IFS(
    OR(UPPER(S249)="AIR", UPPER(S249)="CPN"), "AIR",
    UPPER(S249)="TC", "LOCAL",
    TRUE, "SEA"
)</f>
        <v>AIR</v>
      </c>
      <c r="O249" s="260">
        <f t="shared" si="22"/>
        <v>15.116015418335726</v>
      </c>
      <c r="P249" s="184" t="s">
        <v>935</v>
      </c>
      <c r="Q249" s="185">
        <v>108320556630</v>
      </c>
      <c r="R249" s="186">
        <v>46181</v>
      </c>
      <c r="S249" s="187" t="s">
        <v>928</v>
      </c>
      <c r="T249" s="188">
        <v>0.5</v>
      </c>
      <c r="U249" s="188"/>
      <c r="V249" s="189">
        <v>400000</v>
      </c>
      <c r="W249" s="190"/>
      <c r="X249" s="190"/>
      <c r="Y249" s="190"/>
      <c r="Z249" s="189">
        <f t="shared" si="18"/>
        <v>400000</v>
      </c>
      <c r="AA249" s="189">
        <v>0</v>
      </c>
      <c r="AB249" s="189">
        <f t="shared" si="23"/>
        <v>400000</v>
      </c>
      <c r="AC249" s="189"/>
      <c r="AD249" s="190"/>
      <c r="AE249" s="190"/>
      <c r="AF249" s="191">
        <f t="shared" si="19"/>
        <v>0</v>
      </c>
      <c r="AG249" s="190">
        <f t="shared" si="20"/>
        <v>400000</v>
      </c>
      <c r="AH249" s="190"/>
      <c r="AI249" s="192" t="str">
        <f>VLOOKUP(Q249,[3]Sheet1!B$11:G$1489,6,0)</f>
        <v>E11</v>
      </c>
      <c r="GK249" s="194"/>
      <c r="GL249" s="195"/>
      <c r="GM249" s="196"/>
      <c r="GN249" s="197"/>
      <c r="GO249" s="198"/>
      <c r="GP249" s="199"/>
      <c r="GQ249" s="200"/>
      <c r="GR249" s="201"/>
      <c r="GS249" s="60"/>
      <c r="GT249" s="202"/>
      <c r="GU249" s="202"/>
      <c r="GV249" s="202"/>
      <c r="GW249" s="202"/>
      <c r="GX249" s="203"/>
      <c r="HA249" s="194"/>
      <c r="HB249" s="195"/>
      <c r="HC249" s="196"/>
      <c r="HD249" s="197"/>
      <c r="HE249" s="198"/>
      <c r="HF249" s="199"/>
      <c r="HG249" s="200"/>
      <c r="HH249" s="201"/>
      <c r="HI249" s="60"/>
      <c r="HJ249" s="202"/>
      <c r="HK249" s="202"/>
      <c r="HL249" s="202"/>
      <c r="HM249" s="202"/>
      <c r="HN249" s="203"/>
    </row>
    <row r="250" spans="1:222" ht="16.5" customHeight="1">
      <c r="A250" s="181">
        <v>247</v>
      </c>
      <c r="B250" s="182">
        <v>2629838385</v>
      </c>
      <c r="C250" s="598" t="s">
        <v>2503</v>
      </c>
      <c r="D250" s="184" t="s">
        <v>984</v>
      </c>
      <c r="E250" s="184" t="str">
        <f t="shared" si="21"/>
        <v>Import</v>
      </c>
      <c r="F250" s="720" t="str" cm="1">
        <f t="array" ref="F250">_xlfn.IFS(
  OR(AI250="E11", AI250="E15"), "Raw materials",
  OR(AI250="E13", AI250="G13"), "Equipments + Toolings",
  TRUE, RIGHT(C250, 8)
)</f>
        <v>Raw materials</v>
      </c>
      <c r="G250" s="541" t="str" cm="1">
        <f t="array" ref="G250">IF(E250="Import",
  IFERROR(
    _xlfn.IFS(
      VLOOKUP(B250,[1]Material!F$5:U$90000,16,0)="LUC","Lucid",
      VLOOKUP(B250,[1]Material!F$5:U$90000,16,0)="FMC","FORD",
      OR(VLOOKUP(B250,[1]Material!F$5:U$90000,16,0)="PUR",VLOOKUP(B250,[1]Material!F$5:U$90000,16,0)="HLO"),"PURE",
      VLOOKUP(B250,[1]Material!F$5:U$90000,16,0)="AIC","AIC",
      OR(VLOOKUP(B250,[1]Material!F$5:U$90000,16,0)="AGI",VLOOKUP(B250,[1]Material!F$5:U$90000,16,0)="AGIGA"),"AGIGA",
      OR(LEFT(VLOOKUP(B250,[1]Material!F$5:U$90000,16,0),3)="EF-",VLOOKUP(B250,[1]Material!F$5:U$90000,16,0)="EFI"),"EFI",
      AND(ISNUMBER(VLOOKUP(B250,[1]Material!F$5:U$90000,16,0)),VLOOKUP(B250,[1]Material!F$5:U$90000,16,0)&gt;=100,VLOOKUP(B250,[1]Material!F$5:U$90000,16,0)&lt;=999,VLOOKUP(B250,[1]Material!F$5:U$90000,16,0)=INT(VLOOKUP(B250,[1]Material!F$5:U$90000,16,0))),"OEM",
      TRUE,""
    ),
    "không tìm thấy trong file Import"
  ),
  VLOOKUP(F250,'[2]Export shipment'!B:Y,24,0)
)</f>
        <v>Lucid</v>
      </c>
      <c r="H250" s="184"/>
      <c r="I250" s="184"/>
      <c r="J250" s="260">
        <f>(V250+X250+AA250)/'Logistics record '!$AD$1</f>
        <v>15.116015418335726</v>
      </c>
      <c r="K250" s="260">
        <f>W250/'Logistics record '!$AD$1</f>
        <v>0</v>
      </c>
      <c r="L250" s="260">
        <f>Y250/'Logistics record '!$AD$1</f>
        <v>0</v>
      </c>
      <c r="M250" s="260">
        <f>AF250/'Logistics record '!$AD$1</f>
        <v>0</v>
      </c>
      <c r="N250" s="260" t="str" cm="1">
        <f t="array" ref="N250">_xlfn.IFS(
    OR(UPPER(S250)="AIR", UPPER(S250)="CPN"), "AIR",
    UPPER(S250)="TC", "LOCAL",
    TRUE, "SEA"
)</f>
        <v>AIR</v>
      </c>
      <c r="O250" s="260">
        <f t="shared" si="22"/>
        <v>15.116015418335726</v>
      </c>
      <c r="P250" s="184" t="s">
        <v>943</v>
      </c>
      <c r="Q250" s="185">
        <v>108320558250</v>
      </c>
      <c r="R250" s="186">
        <v>46181</v>
      </c>
      <c r="S250" s="187" t="s">
        <v>928</v>
      </c>
      <c r="T250" s="188">
        <v>1.3</v>
      </c>
      <c r="U250" s="188"/>
      <c r="V250" s="189">
        <v>400000</v>
      </c>
      <c r="W250" s="190"/>
      <c r="X250" s="190"/>
      <c r="Y250" s="190"/>
      <c r="Z250" s="189">
        <f t="shared" si="18"/>
        <v>400000</v>
      </c>
      <c r="AA250" s="189">
        <v>0</v>
      </c>
      <c r="AB250" s="189">
        <f t="shared" si="23"/>
        <v>400000</v>
      </c>
      <c r="AC250" s="189"/>
      <c r="AD250" s="190"/>
      <c r="AE250" s="190"/>
      <c r="AF250" s="191">
        <f t="shared" si="19"/>
        <v>0</v>
      </c>
      <c r="AG250" s="190">
        <f t="shared" si="20"/>
        <v>400000</v>
      </c>
      <c r="AH250" s="190"/>
      <c r="AI250" s="192" t="str">
        <f>VLOOKUP(Q250,[3]Sheet1!B$11:G$1489,6,0)</f>
        <v>E11</v>
      </c>
      <c r="GK250" s="194"/>
      <c r="GL250" s="195"/>
      <c r="GM250" s="196"/>
      <c r="GN250" s="197"/>
      <c r="GO250" s="198"/>
      <c r="GP250" s="199"/>
      <c r="GQ250" s="200"/>
      <c r="GR250" s="201"/>
      <c r="GS250" s="60"/>
      <c r="GT250" s="202"/>
      <c r="GU250" s="202"/>
      <c r="GV250" s="202"/>
      <c r="GW250" s="202"/>
      <c r="GX250" s="203"/>
      <c r="HA250" s="194"/>
      <c r="HB250" s="195"/>
      <c r="HC250" s="196"/>
      <c r="HD250" s="197"/>
      <c r="HE250" s="198"/>
      <c r="HF250" s="199"/>
      <c r="HG250" s="200"/>
      <c r="HH250" s="201"/>
      <c r="HI250" s="60"/>
      <c r="HJ250" s="202"/>
      <c r="HK250" s="202"/>
      <c r="HL250" s="202"/>
      <c r="HM250" s="202"/>
      <c r="HN250" s="203"/>
    </row>
    <row r="251" spans="1:222" ht="16.5" customHeight="1">
      <c r="A251" s="181">
        <v>248</v>
      </c>
      <c r="B251" s="182" t="s">
        <v>2504</v>
      </c>
      <c r="C251" s="598" t="s">
        <v>2505</v>
      </c>
      <c r="D251" s="184" t="s">
        <v>973</v>
      </c>
      <c r="E251" s="184" t="str">
        <f t="shared" si="21"/>
        <v>Import</v>
      </c>
      <c r="F251" s="720" t="str" cm="1">
        <f t="array" ref="F251">_xlfn.IFS(
  OR(AI251="E11", AI251="E15"), "Raw materials",
  OR(AI251="E13", AI251="G13"), "Equipments + Toolings",
  TRUE, RIGHT(C251, 8)
)</f>
        <v>Raw materials</v>
      </c>
      <c r="G251" s="541" t="str" cm="1">
        <f t="array" ref="G251">IF(E251="Import",
  IFERROR(
    _xlfn.IFS(
      VLOOKUP(B251,[1]Material!F$5:U$90000,16,0)="LUC","Lucid",
      VLOOKUP(B251,[1]Material!F$5:U$90000,16,0)="FMC","FORD",
      OR(VLOOKUP(B251,[1]Material!F$5:U$90000,16,0)="PUR",VLOOKUP(B251,[1]Material!F$5:U$90000,16,0)="HLO"),"PURE",
      VLOOKUP(B251,[1]Material!F$5:U$90000,16,0)="AIC","AIC",
      OR(VLOOKUP(B251,[1]Material!F$5:U$90000,16,0)="AGI",VLOOKUP(B251,[1]Material!F$5:U$90000,16,0)="AGIGA"),"AGIGA",
      OR(LEFT(VLOOKUP(B251,[1]Material!F$5:U$90000,16,0),3)="EF-",VLOOKUP(B251,[1]Material!F$5:U$90000,16,0)="EFI"),"EFI",
      AND(ISNUMBER(VLOOKUP(B251,[1]Material!F$5:U$90000,16,0)),VLOOKUP(B251,[1]Material!F$5:U$90000,16,0)&gt;=100,VLOOKUP(B251,[1]Material!F$5:U$90000,16,0)&lt;=999,VLOOKUP(B251,[1]Material!F$5:U$90000,16,0)=INT(VLOOKUP(B251,[1]Material!F$5:U$90000,16,0))),"OEM",
      TRUE,""
    ),
    "không tìm thấy trong file Import"
  ),
  VLOOKUP(F251,'[2]Export shipment'!B:Y,24,0)
)</f>
        <v>EFI</v>
      </c>
      <c r="H251" s="184"/>
      <c r="I251" s="184"/>
      <c r="J251" s="260">
        <f>(V251+X251+AA251)/'Logistics record '!$AD$1</f>
        <v>15.116015418335726</v>
      </c>
      <c r="K251" s="260">
        <f>W251/'Logistics record '!$AD$1</f>
        <v>0</v>
      </c>
      <c r="L251" s="260">
        <f>Y251/'Logistics record '!$AD$1</f>
        <v>0</v>
      </c>
      <c r="M251" s="260">
        <f>AF251/'Logistics record '!$AD$1</f>
        <v>0</v>
      </c>
      <c r="N251" s="260" t="str" cm="1">
        <f t="array" ref="N251">_xlfn.IFS(
    OR(UPPER(S251)="AIR", UPPER(S251)="CPN"), "AIR",
    UPPER(S251)="TC", "LOCAL",
    TRUE, "SEA"
)</f>
        <v>AIR</v>
      </c>
      <c r="O251" s="260">
        <f t="shared" si="22"/>
        <v>15.116015418335726</v>
      </c>
      <c r="P251" s="184" t="s">
        <v>937</v>
      </c>
      <c r="Q251" s="185">
        <v>108321492640</v>
      </c>
      <c r="R251" s="186">
        <v>46182</v>
      </c>
      <c r="S251" s="187" t="s">
        <v>65</v>
      </c>
      <c r="T251" s="188">
        <v>93</v>
      </c>
      <c r="U251" s="188"/>
      <c r="V251" s="189">
        <v>400000</v>
      </c>
      <c r="W251" s="190"/>
      <c r="X251" s="190"/>
      <c r="Y251" s="190"/>
      <c r="Z251" s="189">
        <f t="shared" si="18"/>
        <v>400000</v>
      </c>
      <c r="AA251" s="189">
        <v>0</v>
      </c>
      <c r="AB251" s="189">
        <f t="shared" si="23"/>
        <v>400000</v>
      </c>
      <c r="AC251" s="189"/>
      <c r="AD251" s="190"/>
      <c r="AE251" s="190"/>
      <c r="AF251" s="191">
        <f t="shared" si="19"/>
        <v>0</v>
      </c>
      <c r="AG251" s="190">
        <f t="shared" si="20"/>
        <v>400000</v>
      </c>
      <c r="AH251" s="190"/>
      <c r="AI251" s="192" t="str">
        <f>VLOOKUP(Q251,[3]Sheet1!B$11:G$1489,6,0)</f>
        <v>E11</v>
      </c>
      <c r="GK251" s="194"/>
      <c r="GL251" s="195"/>
      <c r="GM251" s="196"/>
      <c r="GN251" s="197"/>
      <c r="GO251" s="198"/>
      <c r="GP251" s="199"/>
      <c r="GQ251" s="200"/>
      <c r="GR251" s="201"/>
      <c r="GS251" s="60"/>
      <c r="GT251" s="202"/>
      <c r="GU251" s="202"/>
      <c r="GV251" s="202"/>
      <c r="GW251" s="202"/>
      <c r="GX251" s="203"/>
      <c r="HA251" s="194"/>
      <c r="HB251" s="195"/>
      <c r="HC251" s="196"/>
      <c r="HD251" s="197"/>
      <c r="HE251" s="198"/>
      <c r="HF251" s="199"/>
      <c r="HG251" s="200"/>
      <c r="HH251" s="201"/>
      <c r="HI251" s="60"/>
      <c r="HJ251" s="202"/>
      <c r="HK251" s="202"/>
      <c r="HL251" s="202"/>
      <c r="HM251" s="202"/>
      <c r="HN251" s="203"/>
    </row>
    <row r="252" spans="1:222" ht="16.5" customHeight="1">
      <c r="A252" s="181">
        <v>249</v>
      </c>
      <c r="B252" s="182">
        <v>527178233604</v>
      </c>
      <c r="C252" s="598" t="s">
        <v>2506</v>
      </c>
      <c r="D252" s="184" t="s">
        <v>963</v>
      </c>
      <c r="E252" s="184" t="str">
        <f t="shared" si="21"/>
        <v>Import</v>
      </c>
      <c r="F252" s="720" t="str" cm="1">
        <f t="array" ref="F252">_xlfn.IFS(
  OR(AI252="E11", AI252="E15"), "Raw materials",
  OR(AI252="E13", AI252="G13"), "Equipments + Toolings",
  TRUE, RIGHT(C252, 8)
)</f>
        <v>Raw materials</v>
      </c>
      <c r="G252" s="541" t="str" cm="1">
        <f t="array" ref="G252">IF(E252="Import",
  IFERROR(
    _xlfn.IFS(
      VLOOKUP(B252,[1]Material!F$5:U$90000,16,0)="LUC","Lucid",
      VLOOKUP(B252,[1]Material!F$5:U$90000,16,0)="FMC","FORD",
      OR(VLOOKUP(B252,[1]Material!F$5:U$90000,16,0)="PUR",VLOOKUP(B252,[1]Material!F$5:U$90000,16,0)="HLO"),"PURE",
      VLOOKUP(B252,[1]Material!F$5:U$90000,16,0)="AIC","AIC",
      OR(VLOOKUP(B252,[1]Material!F$5:U$90000,16,0)="AGI",VLOOKUP(B252,[1]Material!F$5:U$90000,16,0)="AGIGA"),"AGIGA",
      OR(LEFT(VLOOKUP(B252,[1]Material!F$5:U$90000,16,0),3)="EF-",VLOOKUP(B252,[1]Material!F$5:U$90000,16,0)="EFI"),"EFI",
      AND(ISNUMBER(VLOOKUP(B252,[1]Material!F$5:U$90000,16,0)),VLOOKUP(B252,[1]Material!F$5:U$90000,16,0)&gt;=100,VLOOKUP(B252,[1]Material!F$5:U$90000,16,0)&lt;=999,VLOOKUP(B252,[1]Material!F$5:U$90000,16,0)=INT(VLOOKUP(B252,[1]Material!F$5:U$90000,16,0))),"OEM",
      TRUE,""
    ),
    "không tìm thấy trong file Import"
  ),
  VLOOKUP(F252,'[2]Export shipment'!B:Y,24,0)
)</f>
        <v>FORD</v>
      </c>
      <c r="H252" s="184"/>
      <c r="I252" s="184"/>
      <c r="J252" s="260">
        <f>(V252+X252+AA252)/'Logistics record '!$AD$1</f>
        <v>15.116015418335726</v>
      </c>
      <c r="K252" s="260">
        <f>W252/'Logistics record '!$AD$1</f>
        <v>0</v>
      </c>
      <c r="L252" s="260">
        <f>Y252/'Logistics record '!$AD$1</f>
        <v>0</v>
      </c>
      <c r="M252" s="260">
        <f>AF252/'Logistics record '!$AD$1</f>
        <v>0</v>
      </c>
      <c r="N252" s="260" t="str" cm="1">
        <f t="array" ref="N252">_xlfn.IFS(
    OR(UPPER(S252)="AIR", UPPER(S252)="CPN"), "AIR",
    UPPER(S252)="TC", "LOCAL",
    TRUE, "SEA"
)</f>
        <v>AIR</v>
      </c>
      <c r="O252" s="260">
        <f t="shared" si="22"/>
        <v>15.116015418335726</v>
      </c>
      <c r="P252" s="184" t="s">
        <v>935</v>
      </c>
      <c r="Q252" s="185">
        <v>108322723130</v>
      </c>
      <c r="R252" s="186">
        <v>46182</v>
      </c>
      <c r="S252" s="187" t="s">
        <v>928</v>
      </c>
      <c r="T252" s="188">
        <v>37</v>
      </c>
      <c r="U252" s="188"/>
      <c r="V252" s="189">
        <v>400000</v>
      </c>
      <c r="W252" s="190"/>
      <c r="X252" s="190"/>
      <c r="Y252" s="190"/>
      <c r="Z252" s="189">
        <f t="shared" si="18"/>
        <v>400000</v>
      </c>
      <c r="AA252" s="189">
        <v>0</v>
      </c>
      <c r="AB252" s="189">
        <f t="shared" si="23"/>
        <v>400000</v>
      </c>
      <c r="AC252" s="189"/>
      <c r="AD252" s="190"/>
      <c r="AE252" s="190"/>
      <c r="AF252" s="191">
        <f t="shared" si="19"/>
        <v>0</v>
      </c>
      <c r="AG252" s="190">
        <f t="shared" si="20"/>
        <v>400000</v>
      </c>
      <c r="AH252" s="190"/>
      <c r="AI252" s="192" t="str">
        <f>VLOOKUP(Q252,[3]Sheet1!B$11:G$1489,6,0)</f>
        <v>E11</v>
      </c>
      <c r="GK252" s="194"/>
      <c r="GL252" s="195"/>
      <c r="GM252" s="196"/>
      <c r="GN252" s="197"/>
      <c r="GO252" s="198"/>
      <c r="GP252" s="199"/>
      <c r="GQ252" s="200"/>
      <c r="GR252" s="201"/>
      <c r="GS252" s="60"/>
      <c r="GT252" s="202"/>
      <c r="GU252" s="202"/>
      <c r="GV252" s="202"/>
      <c r="GW252" s="202"/>
      <c r="GX252" s="203"/>
      <c r="HA252" s="194"/>
      <c r="HB252" s="195"/>
      <c r="HC252" s="196"/>
      <c r="HD252" s="197"/>
      <c r="HE252" s="198"/>
      <c r="HF252" s="199"/>
      <c r="HG252" s="200"/>
      <c r="HH252" s="201"/>
      <c r="HI252" s="60"/>
      <c r="HJ252" s="202"/>
      <c r="HK252" s="202"/>
      <c r="HL252" s="202"/>
      <c r="HM252" s="202"/>
      <c r="HN252" s="203"/>
    </row>
    <row r="253" spans="1:222" ht="16.5" customHeight="1">
      <c r="A253" s="181">
        <v>250</v>
      </c>
      <c r="B253" s="182">
        <v>527529858787</v>
      </c>
      <c r="C253" s="598" t="s">
        <v>2507</v>
      </c>
      <c r="D253" s="184" t="s">
        <v>1905</v>
      </c>
      <c r="E253" s="184" t="str">
        <f t="shared" si="21"/>
        <v>Import</v>
      </c>
      <c r="F253" s="720" t="str" cm="1">
        <f t="array" ref="F253">_xlfn.IFS(
  OR(AI253="E11", AI253="E15"), "Raw materials",
  OR(AI253="E13", AI253="G13"), "Equipments + Toolings",
  TRUE, RIGHT(C253, 8)
)</f>
        <v>Raw materials</v>
      </c>
      <c r="G253" s="541" t="str" cm="1">
        <f t="array" ref="G253">IF(E253="Import",
  IFERROR(
    _xlfn.IFS(
      VLOOKUP(B253,[1]Material!F$5:U$90000,16,0)="LUC","Lucid",
      VLOOKUP(B253,[1]Material!F$5:U$90000,16,0)="FMC","FORD",
      OR(VLOOKUP(B253,[1]Material!F$5:U$90000,16,0)="PUR",VLOOKUP(B253,[1]Material!F$5:U$90000,16,0)="HLO"),"PURE",
      VLOOKUP(B253,[1]Material!F$5:U$90000,16,0)="AIC","AIC",
      OR(VLOOKUP(B253,[1]Material!F$5:U$90000,16,0)="AGI",VLOOKUP(B253,[1]Material!F$5:U$90000,16,0)="AGIGA"),"AGIGA",
      OR(LEFT(VLOOKUP(B253,[1]Material!F$5:U$90000,16,0),3)="EF-",VLOOKUP(B253,[1]Material!F$5:U$90000,16,0)="EFI"),"EFI",
      AND(ISNUMBER(VLOOKUP(B253,[1]Material!F$5:U$90000,16,0)),VLOOKUP(B253,[1]Material!F$5:U$90000,16,0)&gt;=100,VLOOKUP(B253,[1]Material!F$5:U$90000,16,0)&lt;=999,VLOOKUP(B253,[1]Material!F$5:U$90000,16,0)=INT(VLOOKUP(B253,[1]Material!F$5:U$90000,16,0))),"OEM",
      TRUE,""
    ),
    "không tìm thấy trong file Import"
  ),
  VLOOKUP(F253,'[2]Export shipment'!B:Y,24,0)
)</f>
        <v>PURE</v>
      </c>
      <c r="H253" s="184"/>
      <c r="I253" s="184"/>
      <c r="J253" s="260">
        <f>(V253+X253+AA253)/'Logistics record '!$AD$1</f>
        <v>15.116015418335726</v>
      </c>
      <c r="K253" s="260">
        <f>W253/'Logistics record '!$AD$1</f>
        <v>0</v>
      </c>
      <c r="L253" s="260">
        <f>Y253/'Logistics record '!$AD$1</f>
        <v>0</v>
      </c>
      <c r="M253" s="260">
        <f>AF253/'Logistics record '!$AD$1</f>
        <v>0</v>
      </c>
      <c r="N253" s="260" t="str" cm="1">
        <f t="array" ref="N253">_xlfn.IFS(
    OR(UPPER(S253)="AIR", UPPER(S253)="CPN"), "AIR",
    UPPER(S253)="TC", "LOCAL",
    TRUE, "SEA"
)</f>
        <v>AIR</v>
      </c>
      <c r="O253" s="260">
        <f t="shared" si="22"/>
        <v>15.116015418335726</v>
      </c>
      <c r="P253" s="184" t="s">
        <v>954</v>
      </c>
      <c r="Q253" s="185">
        <v>108323023100</v>
      </c>
      <c r="R253" s="186">
        <v>46182</v>
      </c>
      <c r="S253" s="187" t="s">
        <v>928</v>
      </c>
      <c r="T253" s="188">
        <v>16.3</v>
      </c>
      <c r="U253" s="188"/>
      <c r="V253" s="189">
        <v>400000</v>
      </c>
      <c r="W253" s="190"/>
      <c r="X253" s="190"/>
      <c r="Y253" s="190"/>
      <c r="Z253" s="189">
        <f t="shared" si="18"/>
        <v>400000</v>
      </c>
      <c r="AA253" s="189">
        <v>0</v>
      </c>
      <c r="AB253" s="189">
        <f t="shared" si="23"/>
        <v>400000</v>
      </c>
      <c r="AC253" s="189"/>
      <c r="AD253" s="190"/>
      <c r="AE253" s="190"/>
      <c r="AF253" s="191">
        <f t="shared" si="19"/>
        <v>0</v>
      </c>
      <c r="AG253" s="190">
        <f t="shared" si="20"/>
        <v>400000</v>
      </c>
      <c r="AH253" s="190"/>
      <c r="AI253" s="192" t="str">
        <f>VLOOKUP(Q253,[3]Sheet1!B$11:G$1489,6,0)</f>
        <v>E11</v>
      </c>
      <c r="GK253" s="194"/>
      <c r="GL253" s="195"/>
      <c r="GM253" s="196"/>
      <c r="GN253" s="197"/>
      <c r="GO253" s="198"/>
      <c r="GP253" s="199"/>
      <c r="GQ253" s="200"/>
      <c r="GR253" s="201"/>
      <c r="GS253" s="60"/>
      <c r="GT253" s="202"/>
      <c r="GU253" s="202"/>
      <c r="GV253" s="202"/>
      <c r="GW253" s="202"/>
      <c r="GX253" s="203"/>
      <c r="HA253" s="194"/>
      <c r="HB253" s="195"/>
      <c r="HC253" s="196"/>
      <c r="HD253" s="197"/>
      <c r="HE253" s="198"/>
      <c r="HF253" s="199"/>
      <c r="HG253" s="200"/>
      <c r="HH253" s="201"/>
      <c r="HI253" s="60"/>
      <c r="HJ253" s="202"/>
      <c r="HK253" s="202"/>
      <c r="HL253" s="202"/>
      <c r="HM253" s="202"/>
      <c r="HN253" s="203"/>
    </row>
    <row r="254" spans="1:222" ht="16.5" customHeight="1">
      <c r="A254" s="181">
        <v>251</v>
      </c>
      <c r="B254" s="182">
        <v>472187366030</v>
      </c>
      <c r="C254" s="598" t="s">
        <v>2508</v>
      </c>
      <c r="D254" s="184" t="s">
        <v>372</v>
      </c>
      <c r="E254" s="184" t="str">
        <f t="shared" si="21"/>
        <v>Import</v>
      </c>
      <c r="F254" s="720" t="str" cm="1">
        <f t="array" ref="F254">_xlfn.IFS(
  OR(AI254="E11", AI254="E15"), "Raw materials",
  OR(AI254="E13", AI254="G13"), "Equipments + Toolings",
  TRUE, RIGHT(C254, 8)
)</f>
        <v>Raw materials</v>
      </c>
      <c r="G254" s="541" t="str" cm="1">
        <f t="array" ref="G254">IF(E254="Import",
  IFERROR(
    _xlfn.IFS(
      VLOOKUP(B254,[1]Material!F$5:U$90000,16,0)="LUC","Lucid",
      VLOOKUP(B254,[1]Material!F$5:U$90000,16,0)="FMC","FORD",
      OR(VLOOKUP(B254,[1]Material!F$5:U$90000,16,0)="PUR",VLOOKUP(B254,[1]Material!F$5:U$90000,16,0)="HLO"),"PURE",
      VLOOKUP(B254,[1]Material!F$5:U$90000,16,0)="AIC","AIC",
      OR(VLOOKUP(B254,[1]Material!F$5:U$90000,16,0)="AGI",VLOOKUP(B254,[1]Material!F$5:U$90000,16,0)="AGIGA"),"AGIGA",
      OR(LEFT(VLOOKUP(B254,[1]Material!F$5:U$90000,16,0),3)="EF-",VLOOKUP(B254,[1]Material!F$5:U$90000,16,0)="EFI"),"EFI",
      AND(ISNUMBER(VLOOKUP(B254,[1]Material!F$5:U$90000,16,0)),VLOOKUP(B254,[1]Material!F$5:U$90000,16,0)&gt;=100,VLOOKUP(B254,[1]Material!F$5:U$90000,16,0)&lt;=999,VLOOKUP(B254,[1]Material!F$5:U$90000,16,0)=INT(VLOOKUP(B254,[1]Material!F$5:U$90000,16,0))),"OEM",
      TRUE,""
    ),
    "không tìm thấy trong file Import"
  ),
  VLOOKUP(F254,'[2]Export shipment'!B:Y,24,0)
)</f>
        <v>PURE</v>
      </c>
      <c r="H254" s="184"/>
      <c r="I254" s="184"/>
      <c r="J254" s="260">
        <f>(V254+X254+AA254)/'Logistics record '!$AD$1</f>
        <v>15.116015418335726</v>
      </c>
      <c r="K254" s="260">
        <f>W254/'Logistics record '!$AD$1</f>
        <v>0</v>
      </c>
      <c r="L254" s="260">
        <f>Y254/'Logistics record '!$AD$1</f>
        <v>0</v>
      </c>
      <c r="M254" s="260">
        <f>AF254/'Logistics record '!$AD$1</f>
        <v>0</v>
      </c>
      <c r="N254" s="260" t="str" cm="1">
        <f t="array" ref="N254">_xlfn.IFS(
    OR(UPPER(S254)="AIR", UPPER(S254)="CPN"), "AIR",
    UPPER(S254)="TC", "LOCAL",
    TRUE, "SEA"
)</f>
        <v>AIR</v>
      </c>
      <c r="O254" s="260">
        <f t="shared" si="22"/>
        <v>15.116015418335726</v>
      </c>
      <c r="P254" s="184" t="s">
        <v>937</v>
      </c>
      <c r="Q254" s="185">
        <v>108323054120</v>
      </c>
      <c r="R254" s="186">
        <v>46182</v>
      </c>
      <c r="S254" s="187" t="s">
        <v>928</v>
      </c>
      <c r="T254" s="188">
        <v>9.1</v>
      </c>
      <c r="U254" s="188"/>
      <c r="V254" s="189">
        <v>400000</v>
      </c>
      <c r="W254" s="190"/>
      <c r="X254" s="190"/>
      <c r="Y254" s="190"/>
      <c r="Z254" s="189">
        <f t="shared" si="18"/>
        <v>400000</v>
      </c>
      <c r="AA254" s="189">
        <v>0</v>
      </c>
      <c r="AB254" s="189">
        <f t="shared" si="23"/>
        <v>400000</v>
      </c>
      <c r="AC254" s="189"/>
      <c r="AD254" s="190"/>
      <c r="AE254" s="190"/>
      <c r="AF254" s="191">
        <f t="shared" si="19"/>
        <v>0</v>
      </c>
      <c r="AG254" s="190">
        <f t="shared" si="20"/>
        <v>400000</v>
      </c>
      <c r="AH254" s="190"/>
      <c r="AI254" s="192" t="str">
        <f>VLOOKUP(Q254,[3]Sheet1!B$11:G$1489,6,0)</f>
        <v>E11</v>
      </c>
      <c r="GK254" s="194"/>
      <c r="GL254" s="195"/>
      <c r="GM254" s="196"/>
      <c r="GN254" s="197"/>
      <c r="GO254" s="198"/>
      <c r="GP254" s="199"/>
      <c r="GQ254" s="200"/>
      <c r="GR254" s="201"/>
      <c r="GS254" s="60"/>
      <c r="GT254" s="202"/>
      <c r="GU254" s="202"/>
      <c r="GV254" s="202"/>
      <c r="GW254" s="202"/>
      <c r="GX254" s="203"/>
      <c r="HA254" s="194"/>
      <c r="HB254" s="195"/>
      <c r="HC254" s="196"/>
      <c r="HD254" s="197"/>
      <c r="HE254" s="198"/>
      <c r="HF254" s="199"/>
      <c r="HG254" s="200"/>
      <c r="HH254" s="201"/>
      <c r="HI254" s="60"/>
      <c r="HJ254" s="202"/>
      <c r="HK254" s="202"/>
      <c r="HL254" s="202"/>
      <c r="HM254" s="202"/>
      <c r="HN254" s="203"/>
    </row>
    <row r="255" spans="1:222" ht="16.5" customHeight="1">
      <c r="A255" s="181">
        <v>252</v>
      </c>
      <c r="B255" s="182">
        <v>5774687656</v>
      </c>
      <c r="C255" s="598" t="s">
        <v>2509</v>
      </c>
      <c r="D255" s="184" t="s">
        <v>951</v>
      </c>
      <c r="E255" s="184" t="str">
        <f t="shared" si="21"/>
        <v>Import</v>
      </c>
      <c r="F255" s="720" t="str" cm="1">
        <f t="array" ref="F255">_xlfn.IFS(
  OR(AI255="E11", AI255="E15"), "Raw materials",
  OR(AI255="E13", AI255="G13"), "Equipments + Toolings",
  TRUE, RIGHT(C255, 8)
)</f>
        <v>Raw materials</v>
      </c>
      <c r="G255" s="541" t="str" cm="1">
        <f t="array" ref="G255">IF(E255="Import",
  IFERROR(
    _xlfn.IFS(
      VLOOKUP(B255,[1]Material!F$5:U$90000,16,0)="LUC","Lucid",
      VLOOKUP(B255,[1]Material!F$5:U$90000,16,0)="FMC","FORD",
      OR(VLOOKUP(B255,[1]Material!F$5:U$90000,16,0)="PUR",VLOOKUP(B255,[1]Material!F$5:U$90000,16,0)="HLO"),"PURE",
      VLOOKUP(B255,[1]Material!F$5:U$90000,16,0)="AIC","AIC",
      OR(VLOOKUP(B255,[1]Material!F$5:U$90000,16,0)="AGI",VLOOKUP(B255,[1]Material!F$5:U$90000,16,0)="AGIGA"),"AGIGA",
      OR(LEFT(VLOOKUP(B255,[1]Material!F$5:U$90000,16,0),3)="EF-",VLOOKUP(B255,[1]Material!F$5:U$90000,16,0)="EFI"),"EFI",
      AND(ISNUMBER(VLOOKUP(B255,[1]Material!F$5:U$90000,16,0)),VLOOKUP(B255,[1]Material!F$5:U$90000,16,0)&gt;=100,VLOOKUP(B255,[1]Material!F$5:U$90000,16,0)&lt;=999,VLOOKUP(B255,[1]Material!F$5:U$90000,16,0)=INT(VLOOKUP(B255,[1]Material!F$5:U$90000,16,0))),"OEM",
      TRUE,""
    ),
    "không tìm thấy trong file Import"
  ),
  VLOOKUP(F255,'[2]Export shipment'!B:Y,24,0)
)</f>
        <v>PURE</v>
      </c>
      <c r="H255" s="184"/>
      <c r="I255" s="184"/>
      <c r="J255" s="260">
        <f>(V255+X255+AA255)/'Logistics record '!$AD$1</f>
        <v>15.116015418335726</v>
      </c>
      <c r="K255" s="260">
        <f>W255/'Logistics record '!$AD$1</f>
        <v>0</v>
      </c>
      <c r="L255" s="260">
        <f>Y255/'Logistics record '!$AD$1</f>
        <v>0</v>
      </c>
      <c r="M255" s="260">
        <f>AF255/'Logistics record '!$AD$1</f>
        <v>0</v>
      </c>
      <c r="N255" s="260" t="str" cm="1">
        <f t="array" ref="N255">_xlfn.IFS(
    OR(UPPER(S255)="AIR", UPPER(S255)="CPN"), "AIR",
    UPPER(S255)="TC", "LOCAL",
    TRUE, "SEA"
)</f>
        <v>AIR</v>
      </c>
      <c r="O255" s="260">
        <f t="shared" si="22"/>
        <v>15.116015418335726</v>
      </c>
      <c r="P255" s="184" t="s">
        <v>937</v>
      </c>
      <c r="Q255" s="185">
        <v>108323070440</v>
      </c>
      <c r="R255" s="186">
        <v>46182</v>
      </c>
      <c r="S255" s="187" t="s">
        <v>928</v>
      </c>
      <c r="T255" s="188">
        <v>1.6</v>
      </c>
      <c r="U255" s="188"/>
      <c r="V255" s="189">
        <v>400000</v>
      </c>
      <c r="W255" s="190"/>
      <c r="X255" s="190"/>
      <c r="Y255" s="190"/>
      <c r="Z255" s="189">
        <f t="shared" si="18"/>
        <v>400000</v>
      </c>
      <c r="AA255" s="189">
        <v>0</v>
      </c>
      <c r="AB255" s="189">
        <f t="shared" si="23"/>
        <v>400000</v>
      </c>
      <c r="AC255" s="189"/>
      <c r="AD255" s="190"/>
      <c r="AE255" s="190"/>
      <c r="AF255" s="191">
        <f t="shared" si="19"/>
        <v>0</v>
      </c>
      <c r="AG255" s="190">
        <f t="shared" si="20"/>
        <v>400000</v>
      </c>
      <c r="AH255" s="190"/>
      <c r="AI255" s="192" t="str">
        <f>VLOOKUP(Q255,[3]Sheet1!B$11:G$1489,6,0)</f>
        <v>E11</v>
      </c>
      <c r="GK255" s="194"/>
      <c r="GL255" s="195"/>
      <c r="GM255" s="196"/>
      <c r="GN255" s="197"/>
      <c r="GO255" s="198"/>
      <c r="GP255" s="199"/>
      <c r="GQ255" s="200"/>
      <c r="GR255" s="201"/>
      <c r="GS255" s="60"/>
      <c r="GT255" s="202"/>
      <c r="GU255" s="202"/>
      <c r="GV255" s="202"/>
      <c r="GW255" s="202"/>
      <c r="GX255" s="203"/>
      <c r="HA255" s="194"/>
      <c r="HB255" s="195"/>
      <c r="HC255" s="196"/>
      <c r="HD255" s="197"/>
      <c r="HE255" s="198"/>
      <c r="HF255" s="199"/>
      <c r="HG255" s="200"/>
      <c r="HH255" s="201"/>
      <c r="HI255" s="60"/>
      <c r="HJ255" s="202"/>
      <c r="HK255" s="202"/>
      <c r="HL255" s="202"/>
      <c r="HM255" s="202"/>
      <c r="HN255" s="203"/>
    </row>
    <row r="256" spans="1:222" ht="16.5" customHeight="1">
      <c r="A256" s="181">
        <v>253</v>
      </c>
      <c r="B256" s="182">
        <v>872629406576</v>
      </c>
      <c r="C256" s="598" t="s">
        <v>2510</v>
      </c>
      <c r="D256" s="184" t="s">
        <v>807</v>
      </c>
      <c r="E256" s="184" t="str">
        <f t="shared" si="21"/>
        <v>Import</v>
      </c>
      <c r="F256" s="720" t="str" cm="1">
        <f t="array" ref="F256">_xlfn.IFS(
  OR(AI256="E11", AI256="E15"), "Raw materials",
  OR(AI256="E13", AI256="G13"), "Equipments + Toolings",
  TRUE, RIGHT(C256, 8)
)</f>
        <v>Raw materials</v>
      </c>
      <c r="G256" s="541" t="str" cm="1">
        <f t="array" ref="G256">IF(E256="Import",
  IFERROR(
    _xlfn.IFS(
      VLOOKUP(B256,[1]Material!F$5:U$90000,16,0)="LUC","Lucid",
      VLOOKUP(B256,[1]Material!F$5:U$90000,16,0)="FMC","FORD",
      OR(VLOOKUP(B256,[1]Material!F$5:U$90000,16,0)="PUR",VLOOKUP(B256,[1]Material!F$5:U$90000,16,0)="HLO"),"PURE",
      VLOOKUP(B256,[1]Material!F$5:U$90000,16,0)="AIC","AIC",
      OR(VLOOKUP(B256,[1]Material!F$5:U$90000,16,0)="AGI",VLOOKUP(B256,[1]Material!F$5:U$90000,16,0)="AGIGA"),"AGIGA",
      OR(LEFT(VLOOKUP(B256,[1]Material!F$5:U$90000,16,0),3)="EF-",VLOOKUP(B256,[1]Material!F$5:U$90000,16,0)="EFI"),"EFI",
      AND(ISNUMBER(VLOOKUP(B256,[1]Material!F$5:U$90000,16,0)),VLOOKUP(B256,[1]Material!F$5:U$90000,16,0)&gt;=100,VLOOKUP(B256,[1]Material!F$5:U$90000,16,0)&lt;=999,VLOOKUP(B256,[1]Material!F$5:U$90000,16,0)=INT(VLOOKUP(B256,[1]Material!F$5:U$90000,16,0))),"OEM",
      TRUE,""
    ),
    "không tìm thấy trong file Import"
  ),
  VLOOKUP(F256,'[2]Export shipment'!B:Y,24,0)
)</f>
        <v>PURE</v>
      </c>
      <c r="H256" s="184"/>
      <c r="I256" s="184"/>
      <c r="J256" s="260">
        <f>(V256+X256+AA256)/'Logistics record '!$AD$1</f>
        <v>15.116015418335726</v>
      </c>
      <c r="K256" s="260">
        <f>W256/'Logistics record '!$AD$1</f>
        <v>0</v>
      </c>
      <c r="L256" s="260">
        <f>Y256/'Logistics record '!$AD$1</f>
        <v>0</v>
      </c>
      <c r="M256" s="260">
        <f>AF256/'Logistics record '!$AD$1</f>
        <v>0</v>
      </c>
      <c r="N256" s="260" t="str" cm="1">
        <f t="array" ref="N256">_xlfn.IFS(
    OR(UPPER(S256)="AIR", UPPER(S256)="CPN"), "AIR",
    UPPER(S256)="TC", "LOCAL",
    TRUE, "SEA"
)</f>
        <v>AIR</v>
      </c>
      <c r="O256" s="260">
        <f t="shared" si="22"/>
        <v>15.116015418335726</v>
      </c>
      <c r="P256" s="184" t="s">
        <v>937</v>
      </c>
      <c r="Q256" s="185">
        <v>108323105110</v>
      </c>
      <c r="R256" s="186">
        <v>46182</v>
      </c>
      <c r="S256" s="187" t="s">
        <v>928</v>
      </c>
      <c r="T256" s="188">
        <v>39.9</v>
      </c>
      <c r="U256" s="188"/>
      <c r="V256" s="189">
        <v>400000</v>
      </c>
      <c r="W256" s="190"/>
      <c r="X256" s="190"/>
      <c r="Y256" s="190"/>
      <c r="Z256" s="189">
        <f t="shared" si="18"/>
        <v>400000</v>
      </c>
      <c r="AA256" s="189">
        <v>0</v>
      </c>
      <c r="AB256" s="189">
        <f t="shared" si="23"/>
        <v>400000</v>
      </c>
      <c r="AC256" s="189"/>
      <c r="AD256" s="190"/>
      <c r="AE256" s="190"/>
      <c r="AF256" s="191">
        <f t="shared" si="19"/>
        <v>0</v>
      </c>
      <c r="AG256" s="190">
        <f t="shared" si="20"/>
        <v>400000</v>
      </c>
      <c r="AH256" s="190"/>
      <c r="AI256" s="192" t="str">
        <f>VLOOKUP(Q256,[3]Sheet1!B$11:G$1489,6,0)</f>
        <v>E11</v>
      </c>
      <c r="GK256" s="194"/>
      <c r="GL256" s="195"/>
      <c r="GM256" s="196"/>
      <c r="GN256" s="197"/>
      <c r="GO256" s="198"/>
      <c r="GP256" s="199"/>
      <c r="GQ256" s="200"/>
      <c r="GR256" s="201"/>
      <c r="GS256" s="60"/>
      <c r="GT256" s="202"/>
      <c r="GU256" s="202"/>
      <c r="GV256" s="202"/>
      <c r="GW256" s="202"/>
      <c r="GX256" s="203"/>
      <c r="HA256" s="194"/>
      <c r="HB256" s="195"/>
      <c r="HC256" s="196"/>
      <c r="HD256" s="197"/>
      <c r="HE256" s="198"/>
      <c r="HF256" s="199"/>
      <c r="HG256" s="200"/>
      <c r="HH256" s="201"/>
      <c r="HI256" s="60"/>
      <c r="HJ256" s="202"/>
      <c r="HK256" s="202"/>
      <c r="HL256" s="202"/>
      <c r="HM256" s="202"/>
      <c r="HN256" s="203"/>
    </row>
    <row r="257" spans="1:222" ht="16.5" customHeight="1">
      <c r="A257" s="181">
        <v>254</v>
      </c>
      <c r="B257" s="182">
        <v>477592566243</v>
      </c>
      <c r="C257" s="183" t="s">
        <v>2511</v>
      </c>
      <c r="D257" s="184" t="s">
        <v>335</v>
      </c>
      <c r="E257" s="184" t="str">
        <f t="shared" si="21"/>
        <v>Import</v>
      </c>
      <c r="F257" s="720" t="str" cm="1">
        <f t="array" ref="F257">_xlfn.IFS(
  OR(AI257="E11", AI257="E15"), "Raw materials",
  OR(AI257="E13", AI257="G13"), "Equipments + Toolings",
  TRUE, RIGHT(C257, 8)
)</f>
        <v>Raw materials</v>
      </c>
      <c r="G257" s="541" t="str" cm="1">
        <f t="array" ref="G257">IF(E257="Import",
  IFERROR(
    _xlfn.IFS(
      VLOOKUP(B257,[1]Material!F$5:U$90000,16,0)="LUC","Lucid",
      VLOOKUP(B257,[1]Material!F$5:U$90000,16,0)="FMC","FORD",
      OR(VLOOKUP(B257,[1]Material!F$5:U$90000,16,0)="PUR",VLOOKUP(B257,[1]Material!F$5:U$90000,16,0)="HLO"),"PURE",
      VLOOKUP(B257,[1]Material!F$5:U$90000,16,0)="AIC","AIC",
      OR(VLOOKUP(B257,[1]Material!F$5:U$90000,16,0)="AGI",VLOOKUP(B257,[1]Material!F$5:U$90000,16,0)="AGIGA"),"AGIGA",
      OR(LEFT(VLOOKUP(B257,[1]Material!F$5:U$90000,16,0),3)="EF-",VLOOKUP(B257,[1]Material!F$5:U$90000,16,0)="EFI"),"EFI",
      AND(ISNUMBER(VLOOKUP(B257,[1]Material!F$5:U$90000,16,0)),VLOOKUP(B257,[1]Material!F$5:U$90000,16,0)&gt;=100,VLOOKUP(B257,[1]Material!F$5:U$90000,16,0)&lt;=999,VLOOKUP(B257,[1]Material!F$5:U$90000,16,0)=INT(VLOOKUP(B257,[1]Material!F$5:U$90000,16,0))),"OEM",
      TRUE,""
    ),
    "không tìm thấy trong file Import"
  ),
  VLOOKUP(F257,'[2]Export shipment'!B:Y,24,0)
)</f>
        <v>Lucid</v>
      </c>
      <c r="H257" s="184"/>
      <c r="I257" s="184"/>
      <c r="J257" s="260">
        <f>(V257+X257+AA257)/'Logistics record '!$AD$1</f>
        <v>15.116015418335726</v>
      </c>
      <c r="K257" s="260">
        <f>W257/'Logistics record '!$AD$1</f>
        <v>0</v>
      </c>
      <c r="L257" s="260">
        <f>Y257/'Logistics record '!$AD$1</f>
        <v>0</v>
      </c>
      <c r="M257" s="260">
        <f>AF257/'Logistics record '!$AD$1</f>
        <v>0</v>
      </c>
      <c r="N257" s="260" t="str" cm="1">
        <f t="array" ref="N257">_xlfn.IFS(
    OR(UPPER(S257)="AIR", UPPER(S257)="CPN"), "AIR",
    UPPER(S257)="TC", "LOCAL",
    TRUE, "SEA"
)</f>
        <v>AIR</v>
      </c>
      <c r="O257" s="260">
        <f t="shared" si="22"/>
        <v>15.116015418335726</v>
      </c>
      <c r="P257" s="184" t="s">
        <v>937</v>
      </c>
      <c r="Q257" s="185">
        <v>108323175660</v>
      </c>
      <c r="R257" s="186">
        <v>46182</v>
      </c>
      <c r="S257" s="187" t="s">
        <v>928</v>
      </c>
      <c r="T257" s="188">
        <v>228.3</v>
      </c>
      <c r="U257" s="188"/>
      <c r="V257" s="189">
        <v>400000</v>
      </c>
      <c r="W257" s="190"/>
      <c r="X257" s="190"/>
      <c r="Y257" s="190"/>
      <c r="Z257" s="189">
        <f t="shared" si="18"/>
        <v>400000</v>
      </c>
      <c r="AA257" s="189">
        <v>0</v>
      </c>
      <c r="AB257" s="189">
        <f t="shared" si="23"/>
        <v>400000</v>
      </c>
      <c r="AC257" s="189"/>
      <c r="AD257" s="190"/>
      <c r="AE257" s="190"/>
      <c r="AF257" s="191">
        <f t="shared" si="19"/>
        <v>0</v>
      </c>
      <c r="AG257" s="190">
        <f t="shared" si="20"/>
        <v>400000</v>
      </c>
      <c r="AH257" s="190"/>
      <c r="AI257" s="192" t="str">
        <f>VLOOKUP(Q257,[3]Sheet1!B$11:G$1489,6,0)</f>
        <v>E11</v>
      </c>
      <c r="GK257" s="194"/>
      <c r="GL257" s="195"/>
      <c r="GM257" s="196"/>
      <c r="GN257" s="197"/>
      <c r="GO257" s="198"/>
      <c r="GP257" s="199"/>
      <c r="GQ257" s="200"/>
      <c r="GR257" s="201"/>
      <c r="GS257" s="60"/>
      <c r="GT257" s="202"/>
      <c r="GU257" s="202"/>
      <c r="GV257" s="202"/>
      <c r="GW257" s="202"/>
      <c r="GX257" s="203"/>
      <c r="HA257" s="194"/>
      <c r="HB257" s="195"/>
      <c r="HC257" s="196"/>
      <c r="HD257" s="197"/>
      <c r="HE257" s="198"/>
      <c r="HF257" s="199"/>
      <c r="HG257" s="200"/>
      <c r="HH257" s="201"/>
      <c r="HI257" s="60"/>
      <c r="HJ257" s="202"/>
      <c r="HK257" s="202"/>
      <c r="HL257" s="202"/>
      <c r="HM257" s="202"/>
      <c r="HN257" s="203"/>
    </row>
    <row r="258" spans="1:222" ht="16.5" customHeight="1">
      <c r="A258" s="181">
        <v>255</v>
      </c>
      <c r="B258" s="182">
        <v>501720330447</v>
      </c>
      <c r="C258" s="183" t="s">
        <v>2512</v>
      </c>
      <c r="D258" s="184" t="s">
        <v>2513</v>
      </c>
      <c r="E258" s="184" t="str">
        <f t="shared" si="21"/>
        <v>Import</v>
      </c>
      <c r="F258" s="720" t="str" cm="1">
        <f t="array" ref="F258">_xlfn.IFS(
  OR(AI258="E11", AI258="E15"), "Raw materials",
  OR(AI258="E13", AI258="G13"), "Equipments + Toolings",
  TRUE, RIGHT(C258, 8)
)</f>
        <v>Raw materials</v>
      </c>
      <c r="G258" s="541" t="str" cm="1">
        <f t="array" ref="G258">IF(E258="Import",
  IFERROR(
    _xlfn.IFS(
      VLOOKUP(B258,[1]Material!F$5:U$90000,16,0)="LUC","Lucid",
      VLOOKUP(B258,[1]Material!F$5:U$90000,16,0)="FMC","FORD",
      OR(VLOOKUP(B258,[1]Material!F$5:U$90000,16,0)="PUR",VLOOKUP(B258,[1]Material!F$5:U$90000,16,0)="HLO"),"PURE",
      VLOOKUP(B258,[1]Material!F$5:U$90000,16,0)="AIC","AIC",
      OR(VLOOKUP(B258,[1]Material!F$5:U$90000,16,0)="AGI",VLOOKUP(B258,[1]Material!F$5:U$90000,16,0)="AGIGA"),"AGIGA",
      OR(LEFT(VLOOKUP(B258,[1]Material!F$5:U$90000,16,0),3)="EF-",VLOOKUP(B258,[1]Material!F$5:U$90000,16,0)="EFI"),"EFI",
      AND(ISNUMBER(VLOOKUP(B258,[1]Material!F$5:U$90000,16,0)),VLOOKUP(B258,[1]Material!F$5:U$90000,16,0)&gt;=100,VLOOKUP(B258,[1]Material!F$5:U$90000,16,0)&lt;=999,VLOOKUP(B258,[1]Material!F$5:U$90000,16,0)=INT(VLOOKUP(B258,[1]Material!F$5:U$90000,16,0))),"OEM",
      TRUE,""
    ),
    "không tìm thấy trong file Import"
  ),
  VLOOKUP(F258,'[2]Export shipment'!B:Y,24,0)
)</f>
        <v>Lucid</v>
      </c>
      <c r="H258" s="184"/>
      <c r="I258" s="184"/>
      <c r="J258" s="260">
        <f>(V258+X258+AA258)/'Logistics record '!$AD$1</f>
        <v>15.116015418335726</v>
      </c>
      <c r="K258" s="260">
        <f>W258/'Logistics record '!$AD$1</f>
        <v>0</v>
      </c>
      <c r="L258" s="260">
        <f>Y258/'Logistics record '!$AD$1</f>
        <v>0</v>
      </c>
      <c r="M258" s="260">
        <f>AF258/'Logistics record '!$AD$1</f>
        <v>0</v>
      </c>
      <c r="N258" s="260" t="str" cm="1">
        <f t="array" ref="N258">_xlfn.IFS(
    OR(UPPER(S258)="AIR", UPPER(S258)="CPN"), "AIR",
    UPPER(S258)="TC", "LOCAL",
    TRUE, "SEA"
)</f>
        <v>AIR</v>
      </c>
      <c r="O258" s="260">
        <f t="shared" si="22"/>
        <v>15.116015418335726</v>
      </c>
      <c r="P258" s="184" t="s">
        <v>937</v>
      </c>
      <c r="Q258" s="185">
        <v>108323306930</v>
      </c>
      <c r="R258" s="186">
        <v>46182</v>
      </c>
      <c r="S258" s="187" t="s">
        <v>928</v>
      </c>
      <c r="T258" s="188">
        <v>1.9000000000000001</v>
      </c>
      <c r="U258" s="188"/>
      <c r="V258" s="189">
        <v>400000</v>
      </c>
      <c r="W258" s="190"/>
      <c r="X258" s="190"/>
      <c r="Y258" s="190"/>
      <c r="Z258" s="189">
        <f t="shared" si="18"/>
        <v>400000</v>
      </c>
      <c r="AA258" s="189">
        <v>0</v>
      </c>
      <c r="AB258" s="189">
        <f t="shared" si="23"/>
        <v>400000</v>
      </c>
      <c r="AC258" s="189"/>
      <c r="AD258" s="190"/>
      <c r="AE258" s="190"/>
      <c r="AF258" s="191">
        <f t="shared" si="19"/>
        <v>0</v>
      </c>
      <c r="AG258" s="190">
        <f t="shared" si="20"/>
        <v>400000</v>
      </c>
      <c r="AH258" s="190"/>
      <c r="AI258" s="192" t="str">
        <f>VLOOKUP(Q258,[3]Sheet1!B$11:G$1489,6,0)</f>
        <v>E11</v>
      </c>
      <c r="GK258" s="194"/>
      <c r="GL258" s="195"/>
      <c r="GM258" s="196"/>
      <c r="GN258" s="197"/>
      <c r="GO258" s="198"/>
      <c r="GP258" s="199"/>
      <c r="GQ258" s="200"/>
      <c r="GR258" s="201"/>
      <c r="GS258" s="60"/>
      <c r="GT258" s="202"/>
      <c r="GU258" s="202"/>
      <c r="GV258" s="202"/>
      <c r="GW258" s="202"/>
      <c r="GX258" s="203"/>
      <c r="HA258" s="194"/>
      <c r="HB258" s="195"/>
      <c r="HC258" s="196"/>
      <c r="HD258" s="197"/>
      <c r="HE258" s="198"/>
      <c r="HF258" s="199"/>
      <c r="HG258" s="200"/>
      <c r="HH258" s="201"/>
      <c r="HI258" s="60"/>
      <c r="HJ258" s="202"/>
      <c r="HK258" s="202"/>
      <c r="HL258" s="202"/>
      <c r="HM258" s="202"/>
      <c r="HN258" s="203"/>
    </row>
    <row r="259" spans="1:222" ht="16.5" customHeight="1">
      <c r="A259" s="181">
        <v>256</v>
      </c>
      <c r="B259" s="182">
        <v>381845821672</v>
      </c>
      <c r="C259" s="183" t="s">
        <v>2514</v>
      </c>
      <c r="D259" s="184" t="s">
        <v>2515</v>
      </c>
      <c r="E259" s="184" t="str">
        <f t="shared" si="21"/>
        <v>Import</v>
      </c>
      <c r="F259" s="720" t="str" cm="1">
        <f t="array" ref="F259">_xlfn.IFS(
  OR(AI259="E11", AI259="E15"), "Raw materials",
  OR(AI259="E13", AI259="G13"), "Equipments + Toolings",
  TRUE, RIGHT(C259, 8)
)</f>
        <v>Raw materials</v>
      </c>
      <c r="G259" s="541" t="str" cm="1">
        <f t="array" ref="G259">IF(E259="Import",
  IFERROR(
    _xlfn.IFS(
      VLOOKUP(B259,[1]Material!F$5:U$90000,16,0)="LUC","Lucid",
      VLOOKUP(B259,[1]Material!F$5:U$90000,16,0)="FMC","FORD",
      OR(VLOOKUP(B259,[1]Material!F$5:U$90000,16,0)="PUR",VLOOKUP(B259,[1]Material!F$5:U$90000,16,0)="HLO"),"PURE",
      VLOOKUP(B259,[1]Material!F$5:U$90000,16,0)="AIC","AIC",
      OR(VLOOKUP(B259,[1]Material!F$5:U$90000,16,0)="AGI",VLOOKUP(B259,[1]Material!F$5:U$90000,16,0)="AGIGA"),"AGIGA",
      OR(LEFT(VLOOKUP(B259,[1]Material!F$5:U$90000,16,0),3)="EF-",VLOOKUP(B259,[1]Material!F$5:U$90000,16,0)="EFI"),"EFI",
      AND(ISNUMBER(VLOOKUP(B259,[1]Material!F$5:U$90000,16,0)),VLOOKUP(B259,[1]Material!F$5:U$90000,16,0)&gt;=100,VLOOKUP(B259,[1]Material!F$5:U$90000,16,0)&lt;=999,VLOOKUP(B259,[1]Material!F$5:U$90000,16,0)=INT(VLOOKUP(B259,[1]Material!F$5:U$90000,16,0))),"OEM",
      TRUE,""
    ),
    "không tìm thấy trong file Import"
  ),
  VLOOKUP(F259,'[2]Export shipment'!B:Y,24,0)
)</f>
        <v>Lucid</v>
      </c>
      <c r="H259" s="184"/>
      <c r="I259" s="184"/>
      <c r="J259" s="260">
        <f>(V259+X259+AA259)/'Logistics record '!$AD$1</f>
        <v>15.116015418335726</v>
      </c>
      <c r="K259" s="260">
        <f>W259/'Logistics record '!$AD$1</f>
        <v>0</v>
      </c>
      <c r="L259" s="260">
        <f>Y259/'Logistics record '!$AD$1</f>
        <v>0</v>
      </c>
      <c r="M259" s="260">
        <f>AF259/'Logistics record '!$AD$1</f>
        <v>0</v>
      </c>
      <c r="N259" s="260" t="str" cm="1">
        <f t="array" ref="N259">_xlfn.IFS(
    OR(UPPER(S259)="AIR", UPPER(S259)="CPN"), "AIR",
    UPPER(S259)="TC", "LOCAL",
    TRUE, "SEA"
)</f>
        <v>AIR</v>
      </c>
      <c r="O259" s="260">
        <f t="shared" si="22"/>
        <v>15.116015418335726</v>
      </c>
      <c r="P259" s="184" t="s">
        <v>943</v>
      </c>
      <c r="Q259" s="185">
        <v>108323322920</v>
      </c>
      <c r="R259" s="186">
        <v>46182</v>
      </c>
      <c r="S259" s="187" t="s">
        <v>928</v>
      </c>
      <c r="T259" s="188">
        <v>1.5</v>
      </c>
      <c r="U259" s="188"/>
      <c r="V259" s="189">
        <v>400000</v>
      </c>
      <c r="W259" s="190"/>
      <c r="X259" s="190"/>
      <c r="Y259" s="190"/>
      <c r="Z259" s="189">
        <f t="shared" si="18"/>
        <v>400000</v>
      </c>
      <c r="AA259" s="189">
        <v>0</v>
      </c>
      <c r="AB259" s="189">
        <f t="shared" si="23"/>
        <v>400000</v>
      </c>
      <c r="AC259" s="189"/>
      <c r="AD259" s="190"/>
      <c r="AE259" s="190"/>
      <c r="AF259" s="191">
        <f t="shared" si="19"/>
        <v>0</v>
      </c>
      <c r="AG259" s="190">
        <f t="shared" si="20"/>
        <v>400000</v>
      </c>
      <c r="AH259" s="190"/>
      <c r="AI259" s="192" t="str">
        <f>VLOOKUP(Q259,[3]Sheet1!B$11:G$1489,6,0)</f>
        <v>E11</v>
      </c>
      <c r="GK259" s="194"/>
      <c r="GL259" s="195"/>
      <c r="GM259" s="196"/>
      <c r="GN259" s="197"/>
      <c r="GO259" s="198"/>
      <c r="GP259" s="199"/>
      <c r="GQ259" s="200"/>
      <c r="GR259" s="201"/>
      <c r="GS259" s="60"/>
      <c r="GT259" s="202"/>
      <c r="GU259" s="202"/>
      <c r="GV259" s="202"/>
      <c r="GW259" s="202"/>
      <c r="GX259" s="203"/>
      <c r="HA259" s="194"/>
      <c r="HB259" s="195"/>
      <c r="HC259" s="196"/>
      <c r="HD259" s="197"/>
      <c r="HE259" s="198"/>
      <c r="HF259" s="199"/>
      <c r="HG259" s="200"/>
      <c r="HH259" s="201"/>
      <c r="HI259" s="60"/>
      <c r="HJ259" s="202"/>
      <c r="HK259" s="202"/>
      <c r="HL259" s="202"/>
      <c r="HM259" s="202"/>
      <c r="HN259" s="203"/>
    </row>
    <row r="260" spans="1:222" ht="16.5" customHeight="1">
      <c r="A260" s="181">
        <v>257</v>
      </c>
      <c r="B260" s="182">
        <v>381823618757</v>
      </c>
      <c r="C260" s="598" t="s">
        <v>2516</v>
      </c>
      <c r="D260" s="184" t="s">
        <v>2517</v>
      </c>
      <c r="E260" s="184" t="str">
        <f t="shared" si="21"/>
        <v>Import</v>
      </c>
      <c r="F260" s="720" t="str" cm="1">
        <f t="array" ref="F260">_xlfn.IFS(
  OR(AI260="E11", AI260="E15"), "Raw materials",
  OR(AI260="E13", AI260="G13"), "Equipments + Toolings",
  TRUE, RIGHT(C260, 8)
)</f>
        <v>Raw materials</v>
      </c>
      <c r="G260" s="541" t="str" cm="1">
        <f t="array" ref="G260">IF(E260="Import",
  IFERROR(
    _xlfn.IFS(
      VLOOKUP(B260,[1]Material!F$5:U$90000,16,0)="LUC","Lucid",
      VLOOKUP(B260,[1]Material!F$5:U$90000,16,0)="FMC","FORD",
      OR(VLOOKUP(B260,[1]Material!F$5:U$90000,16,0)="PUR",VLOOKUP(B260,[1]Material!F$5:U$90000,16,0)="HLO"),"PURE",
      VLOOKUP(B260,[1]Material!F$5:U$90000,16,0)="AIC","AIC",
      OR(VLOOKUP(B260,[1]Material!F$5:U$90000,16,0)="AGI",VLOOKUP(B260,[1]Material!F$5:U$90000,16,0)="AGIGA"),"AGIGA",
      OR(LEFT(VLOOKUP(B260,[1]Material!F$5:U$90000,16,0),3)="EF-",VLOOKUP(B260,[1]Material!F$5:U$90000,16,0)="EFI"),"EFI",
      AND(ISNUMBER(VLOOKUP(B260,[1]Material!F$5:U$90000,16,0)),VLOOKUP(B260,[1]Material!F$5:U$90000,16,0)&gt;=100,VLOOKUP(B260,[1]Material!F$5:U$90000,16,0)&lt;=999,VLOOKUP(B260,[1]Material!F$5:U$90000,16,0)=INT(VLOOKUP(B260,[1]Material!F$5:U$90000,16,0))),"OEM",
      TRUE,""
    ),
    "không tìm thấy trong file Import"
  ),
  VLOOKUP(F260,'[2]Export shipment'!B:Y,24,0)
)</f>
        <v>FORD</v>
      </c>
      <c r="H260" s="184"/>
      <c r="I260" s="184"/>
      <c r="J260" s="260">
        <f>(V260+X260+AA260)/'Logistics record '!$AD$1</f>
        <v>15.116015418335726</v>
      </c>
      <c r="K260" s="260">
        <f>W260/'Logistics record '!$AD$1</f>
        <v>0</v>
      </c>
      <c r="L260" s="260">
        <f>Y260/'Logistics record '!$AD$1</f>
        <v>0</v>
      </c>
      <c r="M260" s="260">
        <f>AF260/'Logistics record '!$AD$1</f>
        <v>0</v>
      </c>
      <c r="N260" s="260" t="str" cm="1">
        <f t="array" ref="N260">_xlfn.IFS(
    OR(UPPER(S260)="AIR", UPPER(S260)="CPN"), "AIR",
    UPPER(S260)="TC", "LOCAL",
    TRUE, "SEA"
)</f>
        <v>AIR</v>
      </c>
      <c r="O260" s="260">
        <f t="shared" si="22"/>
        <v>15.116015418335726</v>
      </c>
      <c r="P260" s="184" t="s">
        <v>937</v>
      </c>
      <c r="Q260" s="185">
        <v>108323455000</v>
      </c>
      <c r="R260" s="186">
        <v>46182</v>
      </c>
      <c r="S260" s="187" t="s">
        <v>928</v>
      </c>
      <c r="T260" s="188">
        <v>1.4</v>
      </c>
      <c r="U260" s="188"/>
      <c r="V260" s="189">
        <v>400000</v>
      </c>
      <c r="W260" s="190"/>
      <c r="X260" s="190"/>
      <c r="Y260" s="190"/>
      <c r="Z260" s="189">
        <f t="shared" ref="Z260:Z323" si="24">SUM(V260:Y260)</f>
        <v>400000</v>
      </c>
      <c r="AA260" s="189">
        <v>0</v>
      </c>
      <c r="AB260" s="189">
        <f t="shared" si="23"/>
        <v>400000</v>
      </c>
      <c r="AC260" s="189"/>
      <c r="AD260" s="190"/>
      <c r="AE260" s="190"/>
      <c r="AF260" s="191">
        <f t="shared" ref="AF260:AF323" si="25">+SUM(AC260:AE260)</f>
        <v>0</v>
      </c>
      <c r="AG260" s="190">
        <f t="shared" ref="AG260:AG323" si="26">+AF260+AB260</f>
        <v>400000</v>
      </c>
      <c r="AH260" s="190"/>
      <c r="AI260" s="192" t="str">
        <f>VLOOKUP(Q260,[3]Sheet1!B$11:G$1489,6,0)</f>
        <v>E11</v>
      </c>
      <c r="GK260" s="194"/>
      <c r="GL260" s="195"/>
      <c r="GM260" s="196"/>
      <c r="GN260" s="197"/>
      <c r="GO260" s="198"/>
      <c r="GP260" s="199"/>
      <c r="GQ260" s="200"/>
      <c r="GR260" s="201"/>
      <c r="GS260" s="60"/>
      <c r="GT260" s="202"/>
      <c r="GU260" s="202"/>
      <c r="GV260" s="202"/>
      <c r="GW260" s="202"/>
      <c r="GX260" s="203"/>
      <c r="HA260" s="194"/>
      <c r="HB260" s="195"/>
      <c r="HC260" s="196"/>
      <c r="HD260" s="197"/>
      <c r="HE260" s="198"/>
      <c r="HF260" s="199"/>
      <c r="HG260" s="200"/>
      <c r="HH260" s="201"/>
      <c r="HI260" s="60"/>
      <c r="HJ260" s="202"/>
      <c r="HK260" s="202"/>
      <c r="HL260" s="202"/>
      <c r="HM260" s="202"/>
      <c r="HN260" s="203"/>
    </row>
    <row r="261" spans="1:222" ht="16.5" customHeight="1">
      <c r="A261" s="181">
        <v>258</v>
      </c>
      <c r="B261" s="182">
        <v>518337618146</v>
      </c>
      <c r="C261" s="183" t="s">
        <v>2518</v>
      </c>
      <c r="D261" s="184" t="s">
        <v>816</v>
      </c>
      <c r="E261" s="184" t="str">
        <f t="shared" ref="E261:E324" si="27">IF(OR(AI261="E11", AI261="E13", AI261="E15", AI261="G13"), "Import", "Export")</f>
        <v>Import</v>
      </c>
      <c r="F261" s="720" t="str" cm="1">
        <f t="array" ref="F261">_xlfn.IFS(
  OR(AI261="E11", AI261="E15"), "Raw materials",
  OR(AI261="E13", AI261="G13"), "Equipments + Toolings",
  TRUE, RIGHT(C261, 8)
)</f>
        <v>Raw materials</v>
      </c>
      <c r="G261" s="541" t="str" cm="1">
        <f t="array" ref="G261">IF(E261="Import",
  IFERROR(
    _xlfn.IFS(
      VLOOKUP(B261,[1]Material!F$5:U$90000,16,0)="LUC","Lucid",
      VLOOKUP(B261,[1]Material!F$5:U$90000,16,0)="FMC","FORD",
      OR(VLOOKUP(B261,[1]Material!F$5:U$90000,16,0)="PUR",VLOOKUP(B261,[1]Material!F$5:U$90000,16,0)="HLO"),"PURE",
      VLOOKUP(B261,[1]Material!F$5:U$90000,16,0)="AIC","AIC",
      OR(VLOOKUP(B261,[1]Material!F$5:U$90000,16,0)="AGI",VLOOKUP(B261,[1]Material!F$5:U$90000,16,0)="AGIGA"),"AGIGA",
      OR(LEFT(VLOOKUP(B261,[1]Material!F$5:U$90000,16,0),3)="EF-",VLOOKUP(B261,[1]Material!F$5:U$90000,16,0)="EFI"),"EFI",
      AND(ISNUMBER(VLOOKUP(B261,[1]Material!F$5:U$90000,16,0)),VLOOKUP(B261,[1]Material!F$5:U$90000,16,0)&gt;=100,VLOOKUP(B261,[1]Material!F$5:U$90000,16,0)&lt;=999,VLOOKUP(B261,[1]Material!F$5:U$90000,16,0)=INT(VLOOKUP(B261,[1]Material!F$5:U$90000,16,0))),"OEM",
      TRUE,""
    ),
    "không tìm thấy trong file Import"
  ),
  VLOOKUP(F261,'[2]Export shipment'!B:Y,24,0)
)</f>
        <v>PURE</v>
      </c>
      <c r="H261" s="184"/>
      <c r="I261" s="184"/>
      <c r="J261" s="260">
        <f>(V261+X261+AA261)/'Logistics record '!$AD$1</f>
        <v>15.116015418335726</v>
      </c>
      <c r="K261" s="260">
        <f>W261/'Logistics record '!$AD$1</f>
        <v>0</v>
      </c>
      <c r="L261" s="260">
        <f>Y261/'Logistics record '!$AD$1</f>
        <v>0</v>
      </c>
      <c r="M261" s="260">
        <f>AF261/'Logistics record '!$AD$1</f>
        <v>0</v>
      </c>
      <c r="N261" s="260" t="str" cm="1">
        <f t="array" ref="N261">_xlfn.IFS(
    OR(UPPER(S261)="AIR", UPPER(S261)="CPN"), "AIR",
    UPPER(S261)="TC", "LOCAL",
    TRUE, "SEA"
)</f>
        <v>AIR</v>
      </c>
      <c r="O261" s="260">
        <f t="shared" ref="O261:O324" si="28">M261+L261+K261+J261</f>
        <v>15.116015418335726</v>
      </c>
      <c r="P261" s="184" t="s">
        <v>943</v>
      </c>
      <c r="Q261" s="185">
        <v>108323660320</v>
      </c>
      <c r="R261" s="186">
        <v>46182</v>
      </c>
      <c r="S261" s="187" t="s">
        <v>928</v>
      </c>
      <c r="T261" s="188">
        <v>47.6</v>
      </c>
      <c r="U261" s="188"/>
      <c r="V261" s="189">
        <v>400000</v>
      </c>
      <c r="W261" s="190"/>
      <c r="X261" s="190"/>
      <c r="Y261" s="190"/>
      <c r="Z261" s="189">
        <f t="shared" si="24"/>
        <v>400000</v>
      </c>
      <c r="AA261" s="189">
        <v>0</v>
      </c>
      <c r="AB261" s="189">
        <f t="shared" ref="AB261:AB324" si="29">+AA261+Z261</f>
        <v>400000</v>
      </c>
      <c r="AC261" s="189"/>
      <c r="AD261" s="190"/>
      <c r="AE261" s="190"/>
      <c r="AF261" s="191">
        <f t="shared" si="25"/>
        <v>0</v>
      </c>
      <c r="AG261" s="190">
        <f t="shared" si="26"/>
        <v>400000</v>
      </c>
      <c r="AH261" s="190"/>
      <c r="AI261" s="192" t="str">
        <f>VLOOKUP(Q261,[3]Sheet1!B$11:G$1489,6,0)</f>
        <v>E11</v>
      </c>
      <c r="GK261" s="194"/>
      <c r="GL261" s="195"/>
      <c r="GM261" s="196"/>
      <c r="GN261" s="197"/>
      <c r="GO261" s="198"/>
      <c r="GP261" s="199"/>
      <c r="GQ261" s="200"/>
      <c r="GR261" s="201"/>
      <c r="GS261" s="60"/>
      <c r="GT261" s="202"/>
      <c r="GU261" s="202"/>
      <c r="GV261" s="202"/>
      <c r="GW261" s="202"/>
      <c r="GX261" s="203"/>
      <c r="HA261" s="194"/>
      <c r="HB261" s="195"/>
      <c r="HC261" s="196"/>
      <c r="HD261" s="197"/>
      <c r="HE261" s="198"/>
      <c r="HF261" s="199"/>
      <c r="HG261" s="200"/>
      <c r="HH261" s="201"/>
      <c r="HI261" s="60"/>
      <c r="HJ261" s="202"/>
      <c r="HK261" s="202"/>
      <c r="HL261" s="202"/>
      <c r="HM261" s="202"/>
      <c r="HN261" s="203"/>
    </row>
    <row r="262" spans="1:222" ht="16.5" customHeight="1">
      <c r="A262" s="181">
        <v>259</v>
      </c>
      <c r="B262" s="182">
        <v>528824607316</v>
      </c>
      <c r="C262" s="598" t="s">
        <v>2519</v>
      </c>
      <c r="D262" s="184" t="s">
        <v>963</v>
      </c>
      <c r="E262" s="184" t="str">
        <f t="shared" si="27"/>
        <v>Import</v>
      </c>
      <c r="F262" s="720" t="str" cm="1">
        <f t="array" ref="F262">_xlfn.IFS(
  OR(AI262="E11", AI262="E15"), "Raw materials",
  OR(AI262="E13", AI262="G13"), "Equipments + Toolings",
  TRUE, RIGHT(C262, 8)
)</f>
        <v>Raw materials</v>
      </c>
      <c r="G262" s="541" t="str" cm="1">
        <f t="array" ref="G262">IF(E262="Import",
  IFERROR(
    _xlfn.IFS(
      VLOOKUP(B262,[1]Material!F$5:U$90000,16,0)="LUC","Lucid",
      VLOOKUP(B262,[1]Material!F$5:U$90000,16,0)="FMC","FORD",
      OR(VLOOKUP(B262,[1]Material!F$5:U$90000,16,0)="PUR",VLOOKUP(B262,[1]Material!F$5:U$90000,16,0)="HLO"),"PURE",
      VLOOKUP(B262,[1]Material!F$5:U$90000,16,0)="AIC","AIC",
      OR(VLOOKUP(B262,[1]Material!F$5:U$90000,16,0)="AGI",VLOOKUP(B262,[1]Material!F$5:U$90000,16,0)="AGIGA"),"AGIGA",
      OR(LEFT(VLOOKUP(B262,[1]Material!F$5:U$90000,16,0),3)="EF-",VLOOKUP(B262,[1]Material!F$5:U$90000,16,0)="EFI"),"EFI",
      AND(ISNUMBER(VLOOKUP(B262,[1]Material!F$5:U$90000,16,0)),VLOOKUP(B262,[1]Material!F$5:U$90000,16,0)&gt;=100,VLOOKUP(B262,[1]Material!F$5:U$90000,16,0)&lt;=999,VLOOKUP(B262,[1]Material!F$5:U$90000,16,0)=INT(VLOOKUP(B262,[1]Material!F$5:U$90000,16,0))),"OEM",
      TRUE,""
    ),
    "không tìm thấy trong file Import"
  ),
  VLOOKUP(F262,'[2]Export shipment'!B:Y,24,0)
)</f>
        <v>OEM</v>
      </c>
      <c r="H262" s="184"/>
      <c r="I262" s="184"/>
      <c r="J262" s="260">
        <f>(V262+X262+AA262)/'Logistics record '!$AD$1</f>
        <v>15.116015418335726</v>
      </c>
      <c r="K262" s="260">
        <f>W262/'Logistics record '!$AD$1</f>
        <v>0</v>
      </c>
      <c r="L262" s="260">
        <f>Y262/'Logistics record '!$AD$1</f>
        <v>0</v>
      </c>
      <c r="M262" s="260">
        <f>AF262/'Logistics record '!$AD$1</f>
        <v>0</v>
      </c>
      <c r="N262" s="260" t="str" cm="1">
        <f t="array" ref="N262">_xlfn.IFS(
    OR(UPPER(S262)="AIR", UPPER(S262)="CPN"), "AIR",
    UPPER(S262)="TC", "LOCAL",
    TRUE, "SEA"
)</f>
        <v>AIR</v>
      </c>
      <c r="O262" s="260">
        <f t="shared" si="28"/>
        <v>15.116015418335726</v>
      </c>
      <c r="P262" s="184" t="s">
        <v>935</v>
      </c>
      <c r="Q262" s="185">
        <v>108323698010</v>
      </c>
      <c r="R262" s="186">
        <v>46182</v>
      </c>
      <c r="S262" s="187" t="s">
        <v>928</v>
      </c>
      <c r="T262" s="188">
        <v>4.0999999999999996</v>
      </c>
      <c r="U262" s="188"/>
      <c r="V262" s="189">
        <v>400000</v>
      </c>
      <c r="W262" s="190"/>
      <c r="X262" s="190"/>
      <c r="Y262" s="190"/>
      <c r="Z262" s="189">
        <f t="shared" si="24"/>
        <v>400000</v>
      </c>
      <c r="AA262" s="189">
        <v>0</v>
      </c>
      <c r="AB262" s="189">
        <f t="shared" si="29"/>
        <v>400000</v>
      </c>
      <c r="AC262" s="189"/>
      <c r="AD262" s="190"/>
      <c r="AE262" s="190"/>
      <c r="AF262" s="191">
        <f t="shared" si="25"/>
        <v>0</v>
      </c>
      <c r="AG262" s="190">
        <f t="shared" si="26"/>
        <v>400000</v>
      </c>
      <c r="AH262" s="190"/>
      <c r="AI262" s="192" t="str">
        <f>VLOOKUP(Q262,[3]Sheet1!B$11:G$1489,6,0)</f>
        <v>E11</v>
      </c>
      <c r="GK262" s="194"/>
      <c r="GL262" s="195"/>
      <c r="GM262" s="196"/>
      <c r="GN262" s="197"/>
      <c r="GO262" s="198"/>
      <c r="GP262" s="199"/>
      <c r="GQ262" s="200"/>
      <c r="GR262" s="201"/>
      <c r="GS262" s="60"/>
      <c r="GT262" s="202"/>
      <c r="GU262" s="202"/>
      <c r="GV262" s="202"/>
      <c r="GW262" s="202"/>
      <c r="GX262" s="203"/>
      <c r="HA262" s="194"/>
      <c r="HB262" s="195"/>
      <c r="HC262" s="196"/>
      <c r="HD262" s="197"/>
      <c r="HE262" s="198"/>
      <c r="HF262" s="199"/>
      <c r="HG262" s="200"/>
      <c r="HH262" s="201"/>
      <c r="HI262" s="60"/>
      <c r="HJ262" s="202"/>
      <c r="HK262" s="202"/>
      <c r="HL262" s="202"/>
      <c r="HM262" s="202"/>
      <c r="HN262" s="203"/>
    </row>
    <row r="263" spans="1:222" ht="16.5" customHeight="1">
      <c r="A263" s="181">
        <v>260</v>
      </c>
      <c r="B263" s="182">
        <v>3270210414</v>
      </c>
      <c r="C263" s="183" t="s">
        <v>2520</v>
      </c>
      <c r="D263" s="184" t="s">
        <v>2282</v>
      </c>
      <c r="E263" s="184" t="str">
        <f t="shared" si="27"/>
        <v>Import</v>
      </c>
      <c r="F263" s="720" t="str" cm="1">
        <f t="array" ref="F263">_xlfn.IFS(
  OR(AI263="E11", AI263="E15"), "Raw materials",
  OR(AI263="E13", AI263="G13"), "Equipments + Toolings",
  TRUE, RIGHT(C263, 8)
)</f>
        <v>Raw materials</v>
      </c>
      <c r="G263" s="541" t="str" cm="1">
        <f t="array" ref="G263">IF(E263="Import",
  IFERROR(
    _xlfn.IFS(
      VLOOKUP(B263,[1]Material!F$5:U$90000,16,0)="LUC","Lucid",
      VLOOKUP(B263,[1]Material!F$5:U$90000,16,0)="FMC","FORD",
      OR(VLOOKUP(B263,[1]Material!F$5:U$90000,16,0)="PUR",VLOOKUP(B263,[1]Material!F$5:U$90000,16,0)="HLO"),"PURE",
      VLOOKUP(B263,[1]Material!F$5:U$90000,16,0)="AIC","AIC",
      OR(VLOOKUP(B263,[1]Material!F$5:U$90000,16,0)="AGI",VLOOKUP(B263,[1]Material!F$5:U$90000,16,0)="AGIGA"),"AGIGA",
      OR(LEFT(VLOOKUP(B263,[1]Material!F$5:U$90000,16,0),3)="EF-",VLOOKUP(B263,[1]Material!F$5:U$90000,16,0)="EFI"),"EFI",
      AND(ISNUMBER(VLOOKUP(B263,[1]Material!F$5:U$90000,16,0)),VLOOKUP(B263,[1]Material!F$5:U$90000,16,0)&gt;=100,VLOOKUP(B263,[1]Material!F$5:U$90000,16,0)&lt;=999,VLOOKUP(B263,[1]Material!F$5:U$90000,16,0)=INT(VLOOKUP(B263,[1]Material!F$5:U$90000,16,0))),"OEM",
      TRUE,""
    ),
    "không tìm thấy trong file Import"
  ),
  VLOOKUP(F263,'[2]Export shipment'!B:Y,24,0)
)</f>
        <v>Lucid</v>
      </c>
      <c r="H263" s="184"/>
      <c r="I263" s="184"/>
      <c r="J263" s="260">
        <f>(V263+X263+AA263)/'Logistics record '!$AD$1</f>
        <v>15.116015418335726</v>
      </c>
      <c r="K263" s="260">
        <f>W263/'Logistics record '!$AD$1</f>
        <v>0</v>
      </c>
      <c r="L263" s="260">
        <f>Y263/'Logistics record '!$AD$1</f>
        <v>0</v>
      </c>
      <c r="M263" s="260">
        <f>AF263/'Logistics record '!$AD$1</f>
        <v>0</v>
      </c>
      <c r="N263" s="260" t="str" cm="1">
        <f t="array" ref="N263">_xlfn.IFS(
    OR(UPPER(S263)="AIR", UPPER(S263)="CPN"), "AIR",
    UPPER(S263)="TC", "LOCAL",
    TRUE, "SEA"
)</f>
        <v>AIR</v>
      </c>
      <c r="O263" s="260">
        <f t="shared" si="28"/>
        <v>15.116015418335726</v>
      </c>
      <c r="P263" s="184" t="s">
        <v>943</v>
      </c>
      <c r="Q263" s="185">
        <v>108323770810</v>
      </c>
      <c r="R263" s="186">
        <v>46182</v>
      </c>
      <c r="S263" s="187" t="s">
        <v>928</v>
      </c>
      <c r="T263" s="188">
        <v>3.6</v>
      </c>
      <c r="U263" s="188"/>
      <c r="V263" s="189">
        <v>400000</v>
      </c>
      <c r="W263" s="190"/>
      <c r="X263" s="190"/>
      <c r="Y263" s="190"/>
      <c r="Z263" s="189">
        <f t="shared" si="24"/>
        <v>400000</v>
      </c>
      <c r="AA263" s="189">
        <v>0</v>
      </c>
      <c r="AB263" s="189">
        <f t="shared" si="29"/>
        <v>400000</v>
      </c>
      <c r="AC263" s="189"/>
      <c r="AD263" s="190"/>
      <c r="AE263" s="190"/>
      <c r="AF263" s="191">
        <f t="shared" si="25"/>
        <v>0</v>
      </c>
      <c r="AG263" s="190">
        <f t="shared" si="26"/>
        <v>400000</v>
      </c>
      <c r="AH263" s="190"/>
      <c r="AI263" s="192" t="str">
        <f>VLOOKUP(Q263,[3]Sheet1!B$11:G$1489,6,0)</f>
        <v>E11</v>
      </c>
      <c r="GK263" s="194"/>
      <c r="GL263" s="195"/>
      <c r="GM263" s="196"/>
      <c r="GN263" s="197"/>
      <c r="GO263" s="198"/>
      <c r="GP263" s="199"/>
      <c r="GQ263" s="200"/>
      <c r="GR263" s="201"/>
      <c r="GS263" s="60"/>
      <c r="GT263" s="202"/>
      <c r="GU263" s="202"/>
      <c r="GV263" s="202"/>
      <c r="GW263" s="202"/>
      <c r="GX263" s="203"/>
      <c r="HA263" s="194"/>
      <c r="HB263" s="195"/>
      <c r="HC263" s="196"/>
      <c r="HD263" s="197"/>
      <c r="HE263" s="198"/>
      <c r="HF263" s="199"/>
      <c r="HG263" s="200"/>
      <c r="HH263" s="201"/>
      <c r="HI263" s="60"/>
      <c r="HJ263" s="202"/>
      <c r="HK263" s="202"/>
      <c r="HL263" s="202"/>
      <c r="HM263" s="202"/>
      <c r="HN263" s="203"/>
    </row>
    <row r="264" spans="1:222" ht="16.5" customHeight="1">
      <c r="A264" s="181">
        <v>261</v>
      </c>
      <c r="B264" s="182">
        <v>872752862534</v>
      </c>
      <c r="C264" s="183" t="s">
        <v>2521</v>
      </c>
      <c r="D264" s="184" t="s">
        <v>2522</v>
      </c>
      <c r="E264" s="184" t="str">
        <f t="shared" si="27"/>
        <v>Import</v>
      </c>
      <c r="F264" s="720" t="str" cm="1">
        <f t="array" ref="F264">_xlfn.IFS(
  OR(AI264="E11", AI264="E15"), "Raw materials",
  OR(AI264="E13", AI264="G13"), "Equipments + Toolings",
  TRUE, RIGHT(C264, 8)
)</f>
        <v>Raw materials</v>
      </c>
      <c r="G264" s="541" t="str" cm="1">
        <f t="array" ref="G264">IF(E264="Import",
  IFERROR(
    _xlfn.IFS(
      VLOOKUP(B264,[1]Material!F$5:U$90000,16,0)="LUC","Lucid",
      VLOOKUP(B264,[1]Material!F$5:U$90000,16,0)="FMC","FORD",
      OR(VLOOKUP(B264,[1]Material!F$5:U$90000,16,0)="PUR",VLOOKUP(B264,[1]Material!F$5:U$90000,16,0)="HLO"),"PURE",
      VLOOKUP(B264,[1]Material!F$5:U$90000,16,0)="AIC","AIC",
      OR(VLOOKUP(B264,[1]Material!F$5:U$90000,16,0)="AGI",VLOOKUP(B264,[1]Material!F$5:U$90000,16,0)="AGIGA"),"AGIGA",
      OR(LEFT(VLOOKUP(B264,[1]Material!F$5:U$90000,16,0),3)="EF-",VLOOKUP(B264,[1]Material!F$5:U$90000,16,0)="EFI"),"EFI",
      AND(ISNUMBER(VLOOKUP(B264,[1]Material!F$5:U$90000,16,0)),VLOOKUP(B264,[1]Material!F$5:U$90000,16,0)&gt;=100,VLOOKUP(B264,[1]Material!F$5:U$90000,16,0)&lt;=999,VLOOKUP(B264,[1]Material!F$5:U$90000,16,0)=INT(VLOOKUP(B264,[1]Material!F$5:U$90000,16,0))),"OEM",
      TRUE,""
    ),
    "không tìm thấy trong file Import"
  ),
  VLOOKUP(F264,'[2]Export shipment'!B:Y,24,0)
)</f>
        <v>OEM</v>
      </c>
      <c r="H264" s="184"/>
      <c r="I264" s="184"/>
      <c r="J264" s="260">
        <f>(V264+X264+AA264)/'Logistics record '!$AD$1</f>
        <v>15.116015418335726</v>
      </c>
      <c r="K264" s="260">
        <f>W264/'Logistics record '!$AD$1</f>
        <v>0</v>
      </c>
      <c r="L264" s="260">
        <f>Y264/'Logistics record '!$AD$1</f>
        <v>0</v>
      </c>
      <c r="M264" s="260">
        <f>AF264/'Logistics record '!$AD$1</f>
        <v>0</v>
      </c>
      <c r="N264" s="260" t="str" cm="1">
        <f t="array" ref="N264">_xlfn.IFS(
    OR(UPPER(S264)="AIR", UPPER(S264)="CPN"), "AIR",
    UPPER(S264)="TC", "LOCAL",
    TRUE, "SEA"
)</f>
        <v>AIR</v>
      </c>
      <c r="O264" s="260">
        <f t="shared" si="28"/>
        <v>15.116015418335726</v>
      </c>
      <c r="P264" s="184" t="s">
        <v>939</v>
      </c>
      <c r="Q264" s="185">
        <v>108323806730</v>
      </c>
      <c r="R264" s="186">
        <v>46182</v>
      </c>
      <c r="S264" s="187" t="s">
        <v>928</v>
      </c>
      <c r="T264" s="188">
        <v>37</v>
      </c>
      <c r="U264" s="188"/>
      <c r="V264" s="189">
        <v>400000</v>
      </c>
      <c r="W264" s="190"/>
      <c r="X264" s="190"/>
      <c r="Y264" s="190"/>
      <c r="Z264" s="189">
        <f t="shared" si="24"/>
        <v>400000</v>
      </c>
      <c r="AA264" s="189">
        <v>0</v>
      </c>
      <c r="AB264" s="189">
        <f t="shared" si="29"/>
        <v>400000</v>
      </c>
      <c r="AC264" s="189"/>
      <c r="AD264" s="190"/>
      <c r="AE264" s="190"/>
      <c r="AF264" s="191">
        <f t="shared" si="25"/>
        <v>0</v>
      </c>
      <c r="AG264" s="190">
        <f t="shared" si="26"/>
        <v>400000</v>
      </c>
      <c r="AH264" s="190"/>
      <c r="AI264" s="192" t="str">
        <f>VLOOKUP(Q264,[3]Sheet1!B$11:G$1489,6,0)</f>
        <v>E11</v>
      </c>
      <c r="GK264" s="194"/>
      <c r="GL264" s="195"/>
      <c r="GM264" s="196"/>
      <c r="GN264" s="197"/>
      <c r="GO264" s="198"/>
      <c r="GP264" s="199"/>
      <c r="GQ264" s="200"/>
      <c r="GR264" s="201"/>
      <c r="GS264" s="60"/>
      <c r="GT264" s="202"/>
      <c r="GU264" s="202"/>
      <c r="GV264" s="202"/>
      <c r="GW264" s="202"/>
      <c r="GX264" s="203"/>
      <c r="HA264" s="194"/>
      <c r="HB264" s="195"/>
      <c r="HC264" s="196"/>
      <c r="HD264" s="197"/>
      <c r="HE264" s="198"/>
      <c r="HF264" s="199"/>
      <c r="HG264" s="200"/>
      <c r="HH264" s="201"/>
      <c r="HI264" s="60"/>
      <c r="HJ264" s="202"/>
      <c r="HK264" s="202"/>
      <c r="HL264" s="202"/>
      <c r="HM264" s="202"/>
      <c r="HN264" s="203"/>
    </row>
    <row r="265" spans="1:222" ht="16.5" customHeight="1">
      <c r="A265" s="181">
        <v>262</v>
      </c>
      <c r="B265" s="182">
        <v>381747821205</v>
      </c>
      <c r="C265" s="598" t="s">
        <v>2523</v>
      </c>
      <c r="D265" s="184" t="s">
        <v>952</v>
      </c>
      <c r="E265" s="184" t="str">
        <f t="shared" si="27"/>
        <v>Import</v>
      </c>
      <c r="F265" s="720" t="str" cm="1">
        <f t="array" ref="F265">_xlfn.IFS(
  OR(AI265="E11", AI265="E15"), "Raw materials",
  OR(AI265="E13", AI265="G13"), "Equipments + Toolings",
  TRUE, RIGHT(C265, 8)
)</f>
        <v>Raw materials</v>
      </c>
      <c r="G265" s="541" t="str" cm="1">
        <f t="array" ref="G265">IF(E265="Import",
  IFERROR(
    _xlfn.IFS(
      VLOOKUP(B265,[1]Material!F$5:U$90000,16,0)="LUC","Lucid",
      VLOOKUP(B265,[1]Material!F$5:U$90000,16,0)="FMC","FORD",
      OR(VLOOKUP(B265,[1]Material!F$5:U$90000,16,0)="PUR",VLOOKUP(B265,[1]Material!F$5:U$90000,16,0)="HLO"),"PURE",
      VLOOKUP(B265,[1]Material!F$5:U$90000,16,0)="AIC","AIC",
      OR(VLOOKUP(B265,[1]Material!F$5:U$90000,16,0)="AGI",VLOOKUP(B265,[1]Material!F$5:U$90000,16,0)="AGIGA"),"AGIGA",
      OR(LEFT(VLOOKUP(B265,[1]Material!F$5:U$90000,16,0),3)="EF-",VLOOKUP(B265,[1]Material!F$5:U$90000,16,0)="EFI"),"EFI",
      AND(ISNUMBER(VLOOKUP(B265,[1]Material!F$5:U$90000,16,0)),VLOOKUP(B265,[1]Material!F$5:U$90000,16,0)&gt;=100,VLOOKUP(B265,[1]Material!F$5:U$90000,16,0)&lt;=999,VLOOKUP(B265,[1]Material!F$5:U$90000,16,0)=INT(VLOOKUP(B265,[1]Material!F$5:U$90000,16,0))),"OEM",
      TRUE,""
    ),
    "không tìm thấy trong file Import"
  ),
  VLOOKUP(F265,'[2]Export shipment'!B:Y,24,0)
)</f>
        <v>Lucid</v>
      </c>
      <c r="H265" s="184"/>
      <c r="I265" s="184"/>
      <c r="J265" s="260">
        <f>(V265+X265+AA265)/'Logistics record '!$AD$1</f>
        <v>15.116015418335726</v>
      </c>
      <c r="K265" s="260">
        <f>W265/'Logistics record '!$AD$1</f>
        <v>0</v>
      </c>
      <c r="L265" s="260">
        <f>Y265/'Logistics record '!$AD$1</f>
        <v>0</v>
      </c>
      <c r="M265" s="260">
        <f>AF265/'Logistics record '!$AD$1</f>
        <v>0</v>
      </c>
      <c r="N265" s="260" t="str" cm="1">
        <f t="array" ref="N265">_xlfn.IFS(
    OR(UPPER(S265)="AIR", UPPER(S265)="CPN"), "AIR",
    UPPER(S265)="TC", "LOCAL",
    TRUE, "SEA"
)</f>
        <v>AIR</v>
      </c>
      <c r="O265" s="260">
        <f t="shared" si="28"/>
        <v>15.116015418335726</v>
      </c>
      <c r="P265" s="184" t="s">
        <v>931</v>
      </c>
      <c r="Q265" s="185">
        <v>108323809640</v>
      </c>
      <c r="R265" s="186">
        <v>46182</v>
      </c>
      <c r="S265" s="187" t="s">
        <v>928</v>
      </c>
      <c r="T265" s="188">
        <v>9.3000000000000007</v>
      </c>
      <c r="U265" s="188"/>
      <c r="V265" s="189">
        <v>400000</v>
      </c>
      <c r="W265" s="190"/>
      <c r="X265" s="190"/>
      <c r="Y265" s="190"/>
      <c r="Z265" s="189">
        <f t="shared" si="24"/>
        <v>400000</v>
      </c>
      <c r="AA265" s="189">
        <v>0</v>
      </c>
      <c r="AB265" s="189">
        <f t="shared" si="29"/>
        <v>400000</v>
      </c>
      <c r="AC265" s="189"/>
      <c r="AD265" s="190"/>
      <c r="AE265" s="190"/>
      <c r="AF265" s="191">
        <f t="shared" si="25"/>
        <v>0</v>
      </c>
      <c r="AG265" s="190">
        <f t="shared" si="26"/>
        <v>400000</v>
      </c>
      <c r="AH265" s="190"/>
      <c r="AI265" s="192" t="str">
        <f>VLOOKUP(Q265,[3]Sheet1!B$11:G$1489,6,0)</f>
        <v>E11</v>
      </c>
      <c r="GK265" s="194"/>
      <c r="GL265" s="195"/>
      <c r="GM265" s="196"/>
      <c r="GN265" s="197"/>
      <c r="GO265" s="198"/>
      <c r="GP265" s="199"/>
      <c r="GQ265" s="200"/>
      <c r="GR265" s="201"/>
      <c r="GS265" s="60"/>
      <c r="GT265" s="202"/>
      <c r="GU265" s="202"/>
      <c r="GV265" s="202"/>
      <c r="GW265" s="202"/>
      <c r="GX265" s="203"/>
      <c r="HA265" s="194"/>
      <c r="HB265" s="195"/>
      <c r="HC265" s="196"/>
      <c r="HD265" s="197"/>
      <c r="HE265" s="198"/>
      <c r="HF265" s="199"/>
      <c r="HG265" s="200"/>
      <c r="HH265" s="201"/>
      <c r="HI265" s="60"/>
      <c r="HJ265" s="202"/>
      <c r="HK265" s="202"/>
      <c r="HL265" s="202"/>
      <c r="HM265" s="202"/>
      <c r="HN265" s="203"/>
    </row>
    <row r="266" spans="1:222" ht="16.5" customHeight="1">
      <c r="A266" s="181">
        <v>263</v>
      </c>
      <c r="B266" s="182">
        <v>5774685486</v>
      </c>
      <c r="C266" s="183" t="s">
        <v>2524</v>
      </c>
      <c r="D266" s="184" t="s">
        <v>973</v>
      </c>
      <c r="E266" s="184" t="str">
        <f t="shared" si="27"/>
        <v>Import</v>
      </c>
      <c r="F266" s="720" t="str" cm="1">
        <f t="array" ref="F266">_xlfn.IFS(
  OR(AI266="E11", AI266="E15"), "Raw materials",
  OR(AI266="E13", AI266="G13"), "Equipments + Toolings",
  TRUE, RIGHT(C266, 8)
)</f>
        <v>Raw materials</v>
      </c>
      <c r="G266" s="541" t="str" cm="1">
        <f t="array" ref="G266">IF(E266="Import",
  IFERROR(
    _xlfn.IFS(
      VLOOKUP(B266,[1]Material!F$5:U$90000,16,0)="LUC","Lucid",
      VLOOKUP(B266,[1]Material!F$5:U$90000,16,0)="FMC","FORD",
      OR(VLOOKUP(B266,[1]Material!F$5:U$90000,16,0)="PUR",VLOOKUP(B266,[1]Material!F$5:U$90000,16,0)="HLO"),"PURE",
      VLOOKUP(B266,[1]Material!F$5:U$90000,16,0)="AIC","AIC",
      OR(VLOOKUP(B266,[1]Material!F$5:U$90000,16,0)="AGI",VLOOKUP(B266,[1]Material!F$5:U$90000,16,0)="AGIGA"),"AGIGA",
      OR(LEFT(VLOOKUP(B266,[1]Material!F$5:U$90000,16,0),3)="EF-",VLOOKUP(B266,[1]Material!F$5:U$90000,16,0)="EFI"),"EFI",
      AND(ISNUMBER(VLOOKUP(B266,[1]Material!F$5:U$90000,16,0)),VLOOKUP(B266,[1]Material!F$5:U$90000,16,0)&gt;=100,VLOOKUP(B266,[1]Material!F$5:U$90000,16,0)&lt;=999,VLOOKUP(B266,[1]Material!F$5:U$90000,16,0)=INT(VLOOKUP(B266,[1]Material!F$5:U$90000,16,0))),"OEM",
      TRUE,""
    ),
    "không tìm thấy trong file Import"
  ),
  VLOOKUP(F266,'[2]Export shipment'!B:Y,24,0)
)</f>
        <v>Lucid</v>
      </c>
      <c r="H266" s="184"/>
      <c r="I266" s="184"/>
      <c r="J266" s="260">
        <f>(V266+X266+AA266)/'Logistics record '!$AD$1</f>
        <v>15.116015418335726</v>
      </c>
      <c r="K266" s="260">
        <f>W266/'Logistics record '!$AD$1</f>
        <v>0</v>
      </c>
      <c r="L266" s="260">
        <f>Y266/'Logistics record '!$AD$1</f>
        <v>0</v>
      </c>
      <c r="M266" s="260">
        <f>AF266/'Logistics record '!$AD$1</f>
        <v>0</v>
      </c>
      <c r="N266" s="260" t="str" cm="1">
        <f t="array" ref="N266">_xlfn.IFS(
    OR(UPPER(S266)="AIR", UPPER(S266)="CPN"), "AIR",
    UPPER(S266)="TC", "LOCAL",
    TRUE, "SEA"
)</f>
        <v>AIR</v>
      </c>
      <c r="O266" s="260">
        <f t="shared" si="28"/>
        <v>15.116015418335726</v>
      </c>
      <c r="P266" s="184" t="s">
        <v>937</v>
      </c>
      <c r="Q266" s="185">
        <v>108323956900</v>
      </c>
      <c r="R266" s="186">
        <v>46182</v>
      </c>
      <c r="S266" s="187" t="s">
        <v>928</v>
      </c>
      <c r="T266" s="188">
        <v>8.4</v>
      </c>
      <c r="U266" s="188"/>
      <c r="V266" s="189">
        <v>400000</v>
      </c>
      <c r="W266" s="190"/>
      <c r="X266" s="190"/>
      <c r="Y266" s="190"/>
      <c r="Z266" s="189">
        <f t="shared" si="24"/>
        <v>400000</v>
      </c>
      <c r="AA266" s="189">
        <v>0</v>
      </c>
      <c r="AB266" s="189">
        <f t="shared" si="29"/>
        <v>400000</v>
      </c>
      <c r="AC266" s="189"/>
      <c r="AD266" s="190"/>
      <c r="AE266" s="190"/>
      <c r="AF266" s="191">
        <f t="shared" si="25"/>
        <v>0</v>
      </c>
      <c r="AG266" s="190">
        <f t="shared" si="26"/>
        <v>400000</v>
      </c>
      <c r="AH266" s="190"/>
      <c r="AI266" s="192" t="str">
        <f>VLOOKUP(Q266,[3]Sheet1!B$11:G$1489,6,0)</f>
        <v>E11</v>
      </c>
      <c r="GK266" s="194"/>
      <c r="GL266" s="195"/>
      <c r="GM266" s="196"/>
      <c r="GN266" s="197"/>
      <c r="GO266" s="198"/>
      <c r="GP266" s="199"/>
      <c r="GQ266" s="200"/>
      <c r="GR266" s="201"/>
      <c r="GS266" s="60"/>
      <c r="GT266" s="202"/>
      <c r="GU266" s="202"/>
      <c r="GV266" s="202"/>
      <c r="GW266" s="202"/>
      <c r="GX266" s="203"/>
      <c r="HA266" s="194"/>
      <c r="HB266" s="195"/>
      <c r="HC266" s="196"/>
      <c r="HD266" s="197"/>
      <c r="HE266" s="198"/>
      <c r="HF266" s="199"/>
      <c r="HG266" s="200"/>
      <c r="HH266" s="201"/>
      <c r="HI266" s="60"/>
      <c r="HJ266" s="202"/>
      <c r="HK266" s="202"/>
      <c r="HL266" s="202"/>
      <c r="HM266" s="202"/>
      <c r="HN266" s="203"/>
    </row>
    <row r="267" spans="1:222" ht="16.5" customHeight="1">
      <c r="A267" s="181">
        <v>264</v>
      </c>
      <c r="B267" s="182">
        <v>520711083752</v>
      </c>
      <c r="C267" s="598" t="s">
        <v>2525</v>
      </c>
      <c r="D267" s="184" t="s">
        <v>1690</v>
      </c>
      <c r="E267" s="184" t="str">
        <f t="shared" si="27"/>
        <v>Import</v>
      </c>
      <c r="F267" s="720" t="str" cm="1">
        <f t="array" ref="F267">_xlfn.IFS(
  OR(AI267="E11", AI267="E15"), "Raw materials",
  OR(AI267="E13", AI267="G13"), "Equipments + Toolings",
  TRUE, RIGHT(C267, 8)
)</f>
        <v>Raw materials</v>
      </c>
      <c r="G267" s="541" t="str" cm="1">
        <f t="array" ref="G267">IF(E267="Import",
  IFERROR(
    _xlfn.IFS(
      VLOOKUP(B267,[1]Material!F$5:U$90000,16,0)="LUC","Lucid",
      VLOOKUP(B267,[1]Material!F$5:U$90000,16,0)="FMC","FORD",
      OR(VLOOKUP(B267,[1]Material!F$5:U$90000,16,0)="PUR",VLOOKUP(B267,[1]Material!F$5:U$90000,16,0)="HLO"),"PURE",
      VLOOKUP(B267,[1]Material!F$5:U$90000,16,0)="AIC","AIC",
      OR(VLOOKUP(B267,[1]Material!F$5:U$90000,16,0)="AGI",VLOOKUP(B267,[1]Material!F$5:U$90000,16,0)="AGIGA"),"AGIGA",
      OR(LEFT(VLOOKUP(B267,[1]Material!F$5:U$90000,16,0),3)="EF-",VLOOKUP(B267,[1]Material!F$5:U$90000,16,0)="EFI"),"EFI",
      AND(ISNUMBER(VLOOKUP(B267,[1]Material!F$5:U$90000,16,0)),VLOOKUP(B267,[1]Material!F$5:U$90000,16,0)&gt;=100,VLOOKUP(B267,[1]Material!F$5:U$90000,16,0)&lt;=999,VLOOKUP(B267,[1]Material!F$5:U$90000,16,0)=INT(VLOOKUP(B267,[1]Material!F$5:U$90000,16,0))),"OEM",
      TRUE,""
    ),
    "không tìm thấy trong file Import"
  ),
  VLOOKUP(F267,'[2]Export shipment'!B:Y,24,0)
)</f>
        <v>EFI</v>
      </c>
      <c r="H267" s="184"/>
      <c r="I267" s="184"/>
      <c r="J267" s="260">
        <f>(V267+X267+AA267)/'Logistics record '!$AD$1</f>
        <v>15.116015418335726</v>
      </c>
      <c r="K267" s="260">
        <f>W267/'Logistics record '!$AD$1</f>
        <v>0</v>
      </c>
      <c r="L267" s="260">
        <f>Y267/'Logistics record '!$AD$1</f>
        <v>0</v>
      </c>
      <c r="M267" s="260">
        <f>AF267/'Logistics record '!$AD$1</f>
        <v>0</v>
      </c>
      <c r="N267" s="260" t="str" cm="1">
        <f t="array" ref="N267">_xlfn.IFS(
    OR(UPPER(S267)="AIR", UPPER(S267)="CPN"), "AIR",
    UPPER(S267)="TC", "LOCAL",
    TRUE, "SEA"
)</f>
        <v>AIR</v>
      </c>
      <c r="O267" s="260">
        <f t="shared" si="28"/>
        <v>15.116015418335726</v>
      </c>
      <c r="P267" s="184" t="s">
        <v>2526</v>
      </c>
      <c r="Q267" s="185">
        <v>108324167010</v>
      </c>
      <c r="R267" s="186">
        <v>46182</v>
      </c>
      <c r="S267" s="187" t="s">
        <v>928</v>
      </c>
      <c r="T267" s="188">
        <v>3.1</v>
      </c>
      <c r="U267" s="188"/>
      <c r="V267" s="189">
        <v>400000</v>
      </c>
      <c r="W267" s="190"/>
      <c r="X267" s="190"/>
      <c r="Y267" s="190"/>
      <c r="Z267" s="189">
        <f t="shared" si="24"/>
        <v>400000</v>
      </c>
      <c r="AA267" s="189">
        <v>0</v>
      </c>
      <c r="AB267" s="189">
        <f t="shared" si="29"/>
        <v>400000</v>
      </c>
      <c r="AC267" s="189"/>
      <c r="AD267" s="190"/>
      <c r="AE267" s="190"/>
      <c r="AF267" s="191">
        <f t="shared" si="25"/>
        <v>0</v>
      </c>
      <c r="AG267" s="190">
        <f t="shared" si="26"/>
        <v>400000</v>
      </c>
      <c r="AH267" s="190"/>
      <c r="AI267" s="192" t="str">
        <f>VLOOKUP(Q267,[3]Sheet1!B$11:G$1489,6,0)</f>
        <v>E11</v>
      </c>
      <c r="GK267" s="194"/>
      <c r="GL267" s="195"/>
      <c r="GM267" s="196"/>
      <c r="GN267" s="197"/>
      <c r="GO267" s="198"/>
      <c r="GP267" s="199"/>
      <c r="GQ267" s="200"/>
      <c r="GR267" s="201"/>
      <c r="GS267" s="60"/>
      <c r="GT267" s="202"/>
      <c r="GU267" s="202"/>
      <c r="GV267" s="202"/>
      <c r="GW267" s="202"/>
      <c r="GX267" s="203"/>
      <c r="HA267" s="194"/>
      <c r="HB267" s="195"/>
      <c r="HC267" s="196"/>
      <c r="HD267" s="197"/>
      <c r="HE267" s="198"/>
      <c r="HF267" s="199"/>
      <c r="HG267" s="200"/>
      <c r="HH267" s="201"/>
      <c r="HI267" s="60"/>
      <c r="HJ267" s="202"/>
      <c r="HK267" s="202"/>
      <c r="HL267" s="202"/>
      <c r="HM267" s="202"/>
      <c r="HN267" s="203"/>
    </row>
    <row r="268" spans="1:222" ht="16.5" customHeight="1">
      <c r="A268" s="181">
        <v>265</v>
      </c>
      <c r="B268" s="182" t="s">
        <v>2527</v>
      </c>
      <c r="C268" s="183" t="s">
        <v>2528</v>
      </c>
      <c r="D268" s="184" t="s">
        <v>83</v>
      </c>
      <c r="E268" s="184" t="str">
        <f t="shared" si="27"/>
        <v>Import</v>
      </c>
      <c r="F268" s="720" t="str" cm="1">
        <f t="array" ref="F268">_xlfn.IFS(
  OR(AI268="E11", AI268="E15"), "Raw materials",
  OR(AI268="E13", AI268="G13"), "Equipments + Toolings",
  TRUE, RIGHT(C268, 8)
)</f>
        <v>Raw materials</v>
      </c>
      <c r="G268" s="541" t="str" cm="1">
        <f t="array" ref="G268">IF(E268="Import",
  IFERROR(
    _xlfn.IFS(
      VLOOKUP(B268,[1]Material!F$5:U$90000,16,0)="LUC","Lucid",
      VLOOKUP(B268,[1]Material!F$5:U$90000,16,0)="FMC","FORD",
      OR(VLOOKUP(B268,[1]Material!F$5:U$90000,16,0)="PUR",VLOOKUP(B268,[1]Material!F$5:U$90000,16,0)="HLO"),"PURE",
      VLOOKUP(B268,[1]Material!F$5:U$90000,16,0)="AIC","AIC",
      OR(VLOOKUP(B268,[1]Material!F$5:U$90000,16,0)="AGI",VLOOKUP(B268,[1]Material!F$5:U$90000,16,0)="AGIGA"),"AGIGA",
      OR(LEFT(VLOOKUP(B268,[1]Material!F$5:U$90000,16,0),3)="EF-",VLOOKUP(B268,[1]Material!F$5:U$90000,16,0)="EFI"),"EFI",
      AND(ISNUMBER(VLOOKUP(B268,[1]Material!F$5:U$90000,16,0)),VLOOKUP(B268,[1]Material!F$5:U$90000,16,0)&gt;=100,VLOOKUP(B268,[1]Material!F$5:U$90000,16,0)&lt;=999,VLOOKUP(B268,[1]Material!F$5:U$90000,16,0)=INT(VLOOKUP(B268,[1]Material!F$5:U$90000,16,0))),"OEM",
      TRUE,""
    ),
    "không tìm thấy trong file Import"
  ),
  VLOOKUP(F268,'[2]Export shipment'!B:Y,24,0)
)</f>
        <v>EFI</v>
      </c>
      <c r="H268" s="184"/>
      <c r="I268" s="184"/>
      <c r="J268" s="260">
        <f>(V268+X268+AA268)/'Logistics record '!$AD$1</f>
        <v>15.116015418335726</v>
      </c>
      <c r="K268" s="260">
        <f>W268/'Logistics record '!$AD$1</f>
        <v>0</v>
      </c>
      <c r="L268" s="260">
        <f>Y268/'Logistics record '!$AD$1</f>
        <v>463.82265134910438</v>
      </c>
      <c r="M268" s="260">
        <f>AF268/'Logistics record '!$AD$1</f>
        <v>27.508124858287356</v>
      </c>
      <c r="N268" s="260" t="str" cm="1">
        <f t="array" ref="N268">_xlfn.IFS(
    OR(UPPER(S268)="AIR", UPPER(S268)="CPN"), "AIR",
    UPPER(S268)="TC", "LOCAL",
    TRUE, "SEA"
)</f>
        <v>SEA</v>
      </c>
      <c r="O268" s="260">
        <f t="shared" si="28"/>
        <v>506.44679162572749</v>
      </c>
      <c r="P268" s="184" t="s">
        <v>927</v>
      </c>
      <c r="Q268" s="185">
        <v>108324273260</v>
      </c>
      <c r="R268" s="186">
        <v>46182</v>
      </c>
      <c r="S268" s="187" t="s">
        <v>933</v>
      </c>
      <c r="T268" s="188">
        <v>471</v>
      </c>
      <c r="U268" s="188">
        <v>0.75000000000000011</v>
      </c>
      <c r="V268" s="189">
        <v>400000</v>
      </c>
      <c r="W268" s="190"/>
      <c r="X268" s="190"/>
      <c r="Y268" s="190">
        <v>12273675</v>
      </c>
      <c r="Z268" s="189">
        <f t="shared" si="24"/>
        <v>12673675</v>
      </c>
      <c r="AA268" s="189">
        <v>0</v>
      </c>
      <c r="AB268" s="189">
        <f t="shared" si="29"/>
        <v>12673675</v>
      </c>
      <c r="AC268" s="189"/>
      <c r="AD268" s="190"/>
      <c r="AE268" s="190">
        <v>727920</v>
      </c>
      <c r="AF268" s="191">
        <f t="shared" si="25"/>
        <v>727920</v>
      </c>
      <c r="AG268" s="190">
        <f t="shared" si="26"/>
        <v>13401595</v>
      </c>
      <c r="AH268" s="190"/>
      <c r="AI268" s="192" t="str">
        <f>VLOOKUP(Q268,[3]Sheet1!B$11:G$1489,6,0)</f>
        <v>E11</v>
      </c>
      <c r="GK268" s="194"/>
      <c r="GL268" s="195"/>
      <c r="GM268" s="196"/>
      <c r="GN268" s="197"/>
      <c r="GO268" s="198"/>
      <c r="GP268" s="199"/>
      <c r="GQ268" s="200"/>
      <c r="GR268" s="201"/>
      <c r="GS268" s="60"/>
      <c r="GT268" s="202"/>
      <c r="GU268" s="202"/>
      <c r="GV268" s="202"/>
      <c r="GW268" s="202"/>
      <c r="GX268" s="203"/>
      <c r="HA268" s="194"/>
      <c r="HB268" s="195"/>
      <c r="HC268" s="196"/>
      <c r="HD268" s="197"/>
      <c r="HE268" s="198"/>
      <c r="HF268" s="199"/>
      <c r="HG268" s="200"/>
      <c r="HH268" s="201"/>
      <c r="HI268" s="60"/>
      <c r="HJ268" s="202"/>
      <c r="HK268" s="202"/>
      <c r="HL268" s="202"/>
      <c r="HM268" s="202"/>
      <c r="HN268" s="203"/>
    </row>
    <row r="269" spans="1:222" ht="16.5" customHeight="1">
      <c r="A269" s="181">
        <v>266</v>
      </c>
      <c r="B269" s="182">
        <v>381090339009</v>
      </c>
      <c r="C269" s="183" t="s">
        <v>2529</v>
      </c>
      <c r="D269" s="184" t="s">
        <v>958</v>
      </c>
      <c r="E269" s="184" t="str">
        <f t="shared" si="27"/>
        <v>Import</v>
      </c>
      <c r="F269" s="720" t="str" cm="1">
        <f t="array" ref="F269">_xlfn.IFS(
  OR(AI269="E11", AI269="E15"), "Raw materials",
  OR(AI269="E13", AI269="G13"), "Equipments + Toolings",
  TRUE, RIGHT(C269, 8)
)</f>
        <v>Raw materials</v>
      </c>
      <c r="G269" s="541" t="str" cm="1">
        <f t="array" ref="G269">IF(E269="Import",
  IFERROR(
    _xlfn.IFS(
      VLOOKUP(B269,[1]Material!F$5:U$90000,16,0)="LUC","Lucid",
      VLOOKUP(B269,[1]Material!F$5:U$90000,16,0)="FMC","FORD",
      OR(VLOOKUP(B269,[1]Material!F$5:U$90000,16,0)="PUR",VLOOKUP(B269,[1]Material!F$5:U$90000,16,0)="HLO"),"PURE",
      VLOOKUP(B269,[1]Material!F$5:U$90000,16,0)="AIC","AIC",
      OR(VLOOKUP(B269,[1]Material!F$5:U$90000,16,0)="AGI",VLOOKUP(B269,[1]Material!F$5:U$90000,16,0)="AGIGA"),"AGIGA",
      OR(LEFT(VLOOKUP(B269,[1]Material!F$5:U$90000,16,0),3)="EF-",VLOOKUP(B269,[1]Material!F$5:U$90000,16,0)="EFI"),"EFI",
      AND(ISNUMBER(VLOOKUP(B269,[1]Material!F$5:U$90000,16,0)),VLOOKUP(B269,[1]Material!F$5:U$90000,16,0)&gt;=100,VLOOKUP(B269,[1]Material!F$5:U$90000,16,0)&lt;=999,VLOOKUP(B269,[1]Material!F$5:U$90000,16,0)=INT(VLOOKUP(B269,[1]Material!F$5:U$90000,16,0))),"OEM",
      TRUE,""
    ),
    "không tìm thấy trong file Import"
  ),
  VLOOKUP(F269,'[2]Export shipment'!B:Y,24,0)
)</f>
        <v>Lucid</v>
      </c>
      <c r="H269" s="184"/>
      <c r="I269" s="184"/>
      <c r="J269" s="260">
        <f>(V269+X269+AA269)/'Logistics record '!$AD$1</f>
        <v>15.116015418335726</v>
      </c>
      <c r="K269" s="260">
        <f>W269/'Logistics record '!$AD$1</f>
        <v>0</v>
      </c>
      <c r="L269" s="260">
        <f>Y269/'Logistics record '!$AD$1</f>
        <v>0</v>
      </c>
      <c r="M269" s="260">
        <f>AF269/'Logistics record '!$AD$1</f>
        <v>0</v>
      </c>
      <c r="N269" s="260" t="str" cm="1">
        <f t="array" ref="N269">_xlfn.IFS(
    OR(UPPER(S269)="AIR", UPPER(S269)="CPN"), "AIR",
    UPPER(S269)="TC", "LOCAL",
    TRUE, "SEA"
)</f>
        <v>AIR</v>
      </c>
      <c r="O269" s="260">
        <f t="shared" si="28"/>
        <v>15.116015418335726</v>
      </c>
      <c r="P269" s="184" t="s">
        <v>959</v>
      </c>
      <c r="Q269" s="185">
        <v>108324322040</v>
      </c>
      <c r="R269" s="186">
        <v>46182</v>
      </c>
      <c r="S269" s="187" t="s">
        <v>928</v>
      </c>
      <c r="T269" s="188">
        <v>81</v>
      </c>
      <c r="U269" s="188"/>
      <c r="V269" s="189">
        <v>400000</v>
      </c>
      <c r="W269" s="190"/>
      <c r="X269" s="190"/>
      <c r="Y269" s="190"/>
      <c r="Z269" s="189">
        <f t="shared" si="24"/>
        <v>400000</v>
      </c>
      <c r="AA269" s="189">
        <v>0</v>
      </c>
      <c r="AB269" s="189">
        <f t="shared" si="29"/>
        <v>400000</v>
      </c>
      <c r="AC269" s="189"/>
      <c r="AD269" s="190"/>
      <c r="AE269" s="190"/>
      <c r="AF269" s="191">
        <f t="shared" si="25"/>
        <v>0</v>
      </c>
      <c r="AG269" s="190">
        <f t="shared" si="26"/>
        <v>400000</v>
      </c>
      <c r="AH269" s="190"/>
      <c r="AI269" s="192" t="str">
        <f>VLOOKUP(Q269,[3]Sheet1!B$11:G$1489,6,0)</f>
        <v>E11</v>
      </c>
      <c r="GK269" s="194"/>
      <c r="GL269" s="195"/>
      <c r="GM269" s="196"/>
      <c r="GN269" s="197"/>
      <c r="GO269" s="198"/>
      <c r="GP269" s="199"/>
      <c r="GQ269" s="200"/>
      <c r="GR269" s="201"/>
      <c r="GS269" s="60"/>
      <c r="GT269" s="202"/>
      <c r="GU269" s="202"/>
      <c r="GV269" s="202"/>
      <c r="GW269" s="202"/>
      <c r="GX269" s="203"/>
      <c r="HA269" s="194"/>
      <c r="HB269" s="195"/>
      <c r="HC269" s="196"/>
      <c r="HD269" s="197"/>
      <c r="HE269" s="198"/>
      <c r="HF269" s="199"/>
      <c r="HG269" s="200"/>
      <c r="HH269" s="201"/>
      <c r="HI269" s="60"/>
      <c r="HJ269" s="202"/>
      <c r="HK269" s="202"/>
      <c r="HL269" s="202"/>
      <c r="HM269" s="202"/>
      <c r="HN269" s="203"/>
    </row>
    <row r="270" spans="1:222" ht="16.5" customHeight="1">
      <c r="A270" s="181">
        <v>267</v>
      </c>
      <c r="B270" s="182">
        <v>497354649867</v>
      </c>
      <c r="C270" s="598" t="s">
        <v>2530</v>
      </c>
      <c r="D270" s="184" t="s">
        <v>83</v>
      </c>
      <c r="E270" s="184" t="str">
        <f t="shared" si="27"/>
        <v>Import</v>
      </c>
      <c r="F270" s="720" t="str" cm="1">
        <f t="array" ref="F270">_xlfn.IFS(
  OR(AI270="E11", AI270="E15"), "Raw materials",
  OR(AI270="E13", AI270="G13"), "Equipments + Toolings",
  TRUE, RIGHT(C270, 8)
)</f>
        <v>Raw materials</v>
      </c>
      <c r="G270" s="541" t="str" cm="1">
        <f t="array" ref="G270">IF(E270="Import",
  IFERROR(
    _xlfn.IFS(
      VLOOKUP(B270,[1]Material!F$5:U$90000,16,0)="LUC","Lucid",
      VLOOKUP(B270,[1]Material!F$5:U$90000,16,0)="FMC","FORD",
      OR(VLOOKUP(B270,[1]Material!F$5:U$90000,16,0)="PUR",VLOOKUP(B270,[1]Material!F$5:U$90000,16,0)="HLO"),"PURE",
      VLOOKUP(B270,[1]Material!F$5:U$90000,16,0)="AIC","AIC",
      OR(VLOOKUP(B270,[1]Material!F$5:U$90000,16,0)="AGI",VLOOKUP(B270,[1]Material!F$5:U$90000,16,0)="AGIGA"),"AGIGA",
      OR(LEFT(VLOOKUP(B270,[1]Material!F$5:U$90000,16,0),3)="EF-",VLOOKUP(B270,[1]Material!F$5:U$90000,16,0)="EFI"),"EFI",
      AND(ISNUMBER(VLOOKUP(B270,[1]Material!F$5:U$90000,16,0)),VLOOKUP(B270,[1]Material!F$5:U$90000,16,0)&gt;=100,VLOOKUP(B270,[1]Material!F$5:U$90000,16,0)&lt;=999,VLOOKUP(B270,[1]Material!F$5:U$90000,16,0)=INT(VLOOKUP(B270,[1]Material!F$5:U$90000,16,0))),"OEM",
      TRUE,""
    ),
    "không tìm thấy trong file Import"
  ),
  VLOOKUP(F270,'[2]Export shipment'!B:Y,24,0)
)</f>
        <v>EFI</v>
      </c>
      <c r="H270" s="184"/>
      <c r="I270" s="184"/>
      <c r="J270" s="260">
        <f>(V270+X270+AA270)/'Logistics record '!$AD$1</f>
        <v>15.116015418335726</v>
      </c>
      <c r="K270" s="260">
        <f>W270/'Logistics record '!$AD$1</f>
        <v>0</v>
      </c>
      <c r="L270" s="260">
        <f>Y270/'Logistics record '!$AD$1</f>
        <v>0</v>
      </c>
      <c r="M270" s="260">
        <f>AF270/'Logistics record '!$AD$1</f>
        <v>0</v>
      </c>
      <c r="N270" s="260" t="str" cm="1">
        <f t="array" ref="N270">_xlfn.IFS(
    OR(UPPER(S270)="AIR", UPPER(S270)="CPN"), "AIR",
    UPPER(S270)="TC", "LOCAL",
    TRUE, "SEA"
)</f>
        <v>AIR</v>
      </c>
      <c r="O270" s="260">
        <f t="shared" si="28"/>
        <v>15.116015418335726</v>
      </c>
      <c r="P270" s="184" t="s">
        <v>927</v>
      </c>
      <c r="Q270" s="185">
        <v>108324685930</v>
      </c>
      <c r="R270" s="186">
        <v>46182</v>
      </c>
      <c r="S270" s="187" t="s">
        <v>928</v>
      </c>
      <c r="T270" s="188">
        <v>143.6</v>
      </c>
      <c r="U270" s="188"/>
      <c r="V270" s="189">
        <v>400000</v>
      </c>
      <c r="W270" s="190"/>
      <c r="X270" s="190"/>
      <c r="Y270" s="190"/>
      <c r="Z270" s="189">
        <f t="shared" si="24"/>
        <v>400000</v>
      </c>
      <c r="AA270" s="189">
        <v>0</v>
      </c>
      <c r="AB270" s="189">
        <f t="shared" si="29"/>
        <v>400000</v>
      </c>
      <c r="AC270" s="189"/>
      <c r="AD270" s="190"/>
      <c r="AE270" s="190"/>
      <c r="AF270" s="191">
        <f t="shared" si="25"/>
        <v>0</v>
      </c>
      <c r="AG270" s="190">
        <f t="shared" si="26"/>
        <v>400000</v>
      </c>
      <c r="AH270" s="190"/>
      <c r="AI270" s="192" t="str">
        <f>VLOOKUP(Q270,[3]Sheet1!B$11:G$1489,6,0)</f>
        <v>E11</v>
      </c>
      <c r="GK270" s="194"/>
      <c r="GL270" s="195"/>
      <c r="GM270" s="196"/>
      <c r="GN270" s="197"/>
      <c r="GO270" s="198"/>
      <c r="GP270" s="199"/>
      <c r="GQ270" s="200"/>
      <c r="GR270" s="201"/>
      <c r="GS270" s="60"/>
      <c r="GT270" s="202"/>
      <c r="GU270" s="202"/>
      <c r="GV270" s="202"/>
      <c r="GW270" s="202"/>
      <c r="GX270" s="203"/>
      <c r="HA270" s="194"/>
      <c r="HB270" s="195"/>
      <c r="HC270" s="196"/>
      <c r="HD270" s="197"/>
      <c r="HE270" s="198"/>
      <c r="HF270" s="199"/>
      <c r="HG270" s="200"/>
      <c r="HH270" s="201"/>
      <c r="HI270" s="60"/>
      <c r="HJ270" s="202"/>
      <c r="HK270" s="202"/>
      <c r="HL270" s="202"/>
      <c r="HM270" s="202"/>
      <c r="HN270" s="203"/>
    </row>
    <row r="271" spans="1:222" ht="16.5" customHeight="1">
      <c r="A271" s="181">
        <v>268</v>
      </c>
      <c r="B271" s="182">
        <v>522040181189</v>
      </c>
      <c r="C271" s="183" t="s">
        <v>2531</v>
      </c>
      <c r="D271" s="184" t="s">
        <v>1994</v>
      </c>
      <c r="E271" s="184" t="str">
        <f t="shared" si="27"/>
        <v>Import</v>
      </c>
      <c r="F271" s="720" t="str" cm="1">
        <f t="array" ref="F271">_xlfn.IFS(
  OR(AI271="E11", AI271="E15"), "Raw materials",
  OR(AI271="E13", AI271="G13"), "Equipments + Toolings",
  TRUE, RIGHT(C271, 8)
)</f>
        <v>Raw materials</v>
      </c>
      <c r="G271" s="541" t="str" cm="1">
        <f t="array" ref="G271">IF(E271="Import",
  IFERROR(
    _xlfn.IFS(
      VLOOKUP(B271,[1]Material!F$5:U$90000,16,0)="LUC","Lucid",
      VLOOKUP(B271,[1]Material!F$5:U$90000,16,0)="FMC","FORD",
      OR(VLOOKUP(B271,[1]Material!F$5:U$90000,16,0)="PUR",VLOOKUP(B271,[1]Material!F$5:U$90000,16,0)="HLO"),"PURE",
      VLOOKUP(B271,[1]Material!F$5:U$90000,16,0)="AIC","AIC",
      OR(VLOOKUP(B271,[1]Material!F$5:U$90000,16,0)="AGI",VLOOKUP(B271,[1]Material!F$5:U$90000,16,0)="AGIGA"),"AGIGA",
      OR(LEFT(VLOOKUP(B271,[1]Material!F$5:U$90000,16,0),3)="EF-",VLOOKUP(B271,[1]Material!F$5:U$90000,16,0)="EFI"),"EFI",
      AND(ISNUMBER(VLOOKUP(B271,[1]Material!F$5:U$90000,16,0)),VLOOKUP(B271,[1]Material!F$5:U$90000,16,0)&gt;=100,VLOOKUP(B271,[1]Material!F$5:U$90000,16,0)&lt;=999,VLOOKUP(B271,[1]Material!F$5:U$90000,16,0)=INT(VLOOKUP(B271,[1]Material!F$5:U$90000,16,0))),"OEM",
      TRUE,""
    ),
    "không tìm thấy trong file Import"
  ),
  VLOOKUP(F271,'[2]Export shipment'!B:Y,24,0)
)</f>
        <v>PURE</v>
      </c>
      <c r="H271" s="184"/>
      <c r="I271" s="184"/>
      <c r="J271" s="260">
        <f>(V271+X271+AA271)/'Logistics record '!$AD$1</f>
        <v>15.116015418335726</v>
      </c>
      <c r="K271" s="260">
        <f>W271/'Logistics record '!$AD$1</f>
        <v>0</v>
      </c>
      <c r="L271" s="260">
        <f>Y271/'Logistics record '!$AD$1</f>
        <v>0</v>
      </c>
      <c r="M271" s="260">
        <f>AF271/'Logistics record '!$AD$1</f>
        <v>0</v>
      </c>
      <c r="N271" s="260" t="str" cm="1">
        <f t="array" ref="N271">_xlfn.IFS(
    OR(UPPER(S271)="AIR", UPPER(S271)="CPN"), "AIR",
    UPPER(S271)="TC", "LOCAL",
    TRUE, "SEA"
)</f>
        <v>AIR</v>
      </c>
      <c r="O271" s="260">
        <f t="shared" si="28"/>
        <v>15.116015418335726</v>
      </c>
      <c r="P271" s="184" t="s">
        <v>939</v>
      </c>
      <c r="Q271" s="185">
        <v>108324703800</v>
      </c>
      <c r="R271" s="186">
        <v>46182</v>
      </c>
      <c r="S271" s="187" t="s">
        <v>928</v>
      </c>
      <c r="T271" s="188">
        <v>2.5</v>
      </c>
      <c r="U271" s="188"/>
      <c r="V271" s="189">
        <v>400000</v>
      </c>
      <c r="W271" s="190"/>
      <c r="X271" s="190"/>
      <c r="Y271" s="190"/>
      <c r="Z271" s="189">
        <f t="shared" si="24"/>
        <v>400000</v>
      </c>
      <c r="AA271" s="189">
        <v>0</v>
      </c>
      <c r="AB271" s="189">
        <f t="shared" si="29"/>
        <v>400000</v>
      </c>
      <c r="AC271" s="189"/>
      <c r="AD271" s="190"/>
      <c r="AE271" s="190"/>
      <c r="AF271" s="191">
        <f t="shared" si="25"/>
        <v>0</v>
      </c>
      <c r="AG271" s="190">
        <f t="shared" si="26"/>
        <v>400000</v>
      </c>
      <c r="AH271" s="190"/>
      <c r="AI271" s="192" t="str">
        <f>VLOOKUP(Q271,[3]Sheet1!B$11:G$1489,6,0)</f>
        <v>E11</v>
      </c>
      <c r="GK271" s="194"/>
      <c r="GL271" s="195"/>
      <c r="GM271" s="196"/>
      <c r="GN271" s="197"/>
      <c r="GO271" s="198"/>
      <c r="GP271" s="199"/>
      <c r="GQ271" s="200"/>
      <c r="GR271" s="201"/>
      <c r="GS271" s="60"/>
      <c r="GT271" s="202"/>
      <c r="GU271" s="202"/>
      <c r="GV271" s="202"/>
      <c r="GW271" s="202"/>
      <c r="GX271" s="203"/>
      <c r="HA271" s="194"/>
      <c r="HB271" s="195"/>
      <c r="HC271" s="196"/>
      <c r="HD271" s="197"/>
      <c r="HE271" s="198"/>
      <c r="HF271" s="199"/>
      <c r="HG271" s="200"/>
      <c r="HH271" s="201"/>
      <c r="HI271" s="60"/>
      <c r="HJ271" s="202"/>
      <c r="HK271" s="202"/>
      <c r="HL271" s="202"/>
      <c r="HM271" s="202"/>
      <c r="HN271" s="203"/>
    </row>
    <row r="272" spans="1:222" ht="16.5" customHeight="1">
      <c r="A272" s="181">
        <v>269</v>
      </c>
      <c r="B272" s="182">
        <v>381196656206</v>
      </c>
      <c r="C272" s="598" t="s">
        <v>2532</v>
      </c>
      <c r="D272" s="184" t="s">
        <v>958</v>
      </c>
      <c r="E272" s="184" t="str">
        <f t="shared" si="27"/>
        <v>Import</v>
      </c>
      <c r="F272" s="720" t="str" cm="1">
        <f t="array" ref="F272">_xlfn.IFS(
  OR(AI272="E11", AI272="E15"), "Raw materials",
  OR(AI272="E13", AI272="G13"), "Equipments + Toolings",
  TRUE, RIGHT(C272, 8)
)</f>
        <v>Raw materials</v>
      </c>
      <c r="G272" s="541" t="str" cm="1">
        <f t="array" ref="G272">IF(E272="Import",
  IFERROR(
    _xlfn.IFS(
      VLOOKUP(B272,[1]Material!F$5:U$90000,16,0)="LUC","Lucid",
      VLOOKUP(B272,[1]Material!F$5:U$90000,16,0)="FMC","FORD",
      OR(VLOOKUP(B272,[1]Material!F$5:U$90000,16,0)="PUR",VLOOKUP(B272,[1]Material!F$5:U$90000,16,0)="HLO"),"PURE",
      VLOOKUP(B272,[1]Material!F$5:U$90000,16,0)="AIC","AIC",
      OR(VLOOKUP(B272,[1]Material!F$5:U$90000,16,0)="AGI",VLOOKUP(B272,[1]Material!F$5:U$90000,16,0)="AGIGA"),"AGIGA",
      OR(LEFT(VLOOKUP(B272,[1]Material!F$5:U$90000,16,0),3)="EF-",VLOOKUP(B272,[1]Material!F$5:U$90000,16,0)="EFI"),"EFI",
      AND(ISNUMBER(VLOOKUP(B272,[1]Material!F$5:U$90000,16,0)),VLOOKUP(B272,[1]Material!F$5:U$90000,16,0)&gt;=100,VLOOKUP(B272,[1]Material!F$5:U$90000,16,0)&lt;=999,VLOOKUP(B272,[1]Material!F$5:U$90000,16,0)=INT(VLOOKUP(B272,[1]Material!F$5:U$90000,16,0))),"OEM",
      TRUE,""
    ),
    "không tìm thấy trong file Import"
  ),
  VLOOKUP(F272,'[2]Export shipment'!B:Y,24,0)
)</f>
        <v>Lucid</v>
      </c>
      <c r="H272" s="184"/>
      <c r="I272" s="184"/>
      <c r="J272" s="260">
        <f>(V272+X272+AA272)/'Logistics record '!$AD$1</f>
        <v>15.116015418335726</v>
      </c>
      <c r="K272" s="260">
        <f>W272/'Logistics record '!$AD$1</f>
        <v>0</v>
      </c>
      <c r="L272" s="260">
        <f>Y272/'Logistics record '!$AD$1</f>
        <v>0</v>
      </c>
      <c r="M272" s="260">
        <f>AF272/'Logistics record '!$AD$1</f>
        <v>0</v>
      </c>
      <c r="N272" s="260" t="str" cm="1">
        <f t="array" ref="N272">_xlfn.IFS(
    OR(UPPER(S272)="AIR", UPPER(S272)="CPN"), "AIR",
    UPPER(S272)="TC", "LOCAL",
    TRUE, "SEA"
)</f>
        <v>AIR</v>
      </c>
      <c r="O272" s="260">
        <f t="shared" si="28"/>
        <v>15.116015418335726</v>
      </c>
      <c r="P272" s="184" t="s">
        <v>959</v>
      </c>
      <c r="Q272" s="185">
        <v>108325142700</v>
      </c>
      <c r="R272" s="186">
        <v>46183</v>
      </c>
      <c r="S272" s="187" t="s">
        <v>928</v>
      </c>
      <c r="T272" s="188">
        <v>78</v>
      </c>
      <c r="U272" s="188"/>
      <c r="V272" s="189">
        <v>400000</v>
      </c>
      <c r="W272" s="190"/>
      <c r="X272" s="190"/>
      <c r="Y272" s="190"/>
      <c r="Z272" s="189">
        <f t="shared" si="24"/>
        <v>400000</v>
      </c>
      <c r="AA272" s="189">
        <v>0</v>
      </c>
      <c r="AB272" s="189">
        <f t="shared" si="29"/>
        <v>400000</v>
      </c>
      <c r="AC272" s="189"/>
      <c r="AD272" s="190"/>
      <c r="AE272" s="190"/>
      <c r="AF272" s="191">
        <f t="shared" si="25"/>
        <v>0</v>
      </c>
      <c r="AG272" s="190">
        <f t="shared" si="26"/>
        <v>400000</v>
      </c>
      <c r="AH272" s="190"/>
      <c r="AI272" s="192" t="str">
        <f>VLOOKUP(Q272,[3]Sheet1!B$11:G$1489,6,0)</f>
        <v>E11</v>
      </c>
      <c r="GK272" s="194"/>
      <c r="GL272" s="195"/>
      <c r="GM272" s="196"/>
      <c r="GN272" s="197"/>
      <c r="GO272" s="198"/>
      <c r="GP272" s="199"/>
      <c r="GQ272" s="200"/>
      <c r="GR272" s="201"/>
      <c r="GS272" s="60"/>
      <c r="GT272" s="202"/>
      <c r="GU272" s="202"/>
      <c r="GV272" s="202"/>
      <c r="GW272" s="202"/>
      <c r="GX272" s="203"/>
      <c r="HA272" s="194"/>
      <c r="HB272" s="195"/>
      <c r="HC272" s="196"/>
      <c r="HD272" s="197"/>
      <c r="HE272" s="198"/>
      <c r="HF272" s="199"/>
      <c r="HG272" s="200"/>
      <c r="HH272" s="201"/>
      <c r="HI272" s="60"/>
      <c r="HJ272" s="202"/>
      <c r="HK272" s="202"/>
      <c r="HL272" s="202"/>
      <c r="HM272" s="202"/>
      <c r="HN272" s="203"/>
    </row>
    <row r="273" spans="1:222" ht="16.5" customHeight="1">
      <c r="A273" s="181">
        <v>270</v>
      </c>
      <c r="B273" s="182" t="s">
        <v>2533</v>
      </c>
      <c r="C273" s="598" t="s">
        <v>2534</v>
      </c>
      <c r="D273" s="184" t="s">
        <v>973</v>
      </c>
      <c r="E273" s="184" t="str">
        <f t="shared" si="27"/>
        <v>Import</v>
      </c>
      <c r="F273" s="720" t="str" cm="1">
        <f t="array" ref="F273">_xlfn.IFS(
  OR(AI273="E11", AI273="E15"), "Raw materials",
  OR(AI273="E13", AI273="G13"), "Equipments + Toolings",
  TRUE, RIGHT(C273, 8)
)</f>
        <v>Raw materials</v>
      </c>
      <c r="G273" s="541" t="str" cm="1">
        <f t="array" ref="G273">IF(E273="Import",
  IFERROR(
    _xlfn.IFS(
      VLOOKUP(B273,[1]Material!F$5:U$90000,16,0)="LUC","Lucid",
      VLOOKUP(B273,[1]Material!F$5:U$90000,16,0)="FMC","FORD",
      OR(VLOOKUP(B273,[1]Material!F$5:U$90000,16,0)="PUR",VLOOKUP(B273,[1]Material!F$5:U$90000,16,0)="HLO"),"PURE",
      VLOOKUP(B273,[1]Material!F$5:U$90000,16,0)="AIC","AIC",
      OR(VLOOKUP(B273,[1]Material!F$5:U$90000,16,0)="AGI",VLOOKUP(B273,[1]Material!F$5:U$90000,16,0)="AGIGA"),"AGIGA",
      OR(LEFT(VLOOKUP(B273,[1]Material!F$5:U$90000,16,0),3)="EF-",VLOOKUP(B273,[1]Material!F$5:U$90000,16,0)="EFI"),"EFI",
      AND(ISNUMBER(VLOOKUP(B273,[1]Material!F$5:U$90000,16,0)),VLOOKUP(B273,[1]Material!F$5:U$90000,16,0)&gt;=100,VLOOKUP(B273,[1]Material!F$5:U$90000,16,0)&lt;=999,VLOOKUP(B273,[1]Material!F$5:U$90000,16,0)=INT(VLOOKUP(B273,[1]Material!F$5:U$90000,16,0))),"OEM",
      TRUE,""
    ),
    "không tìm thấy trong file Import"
  ),
  VLOOKUP(F273,'[2]Export shipment'!B:Y,24,0)
)</f>
        <v>PURE</v>
      </c>
      <c r="H273" s="184"/>
      <c r="I273" s="184"/>
      <c r="J273" s="260">
        <f>(V273+X273+AA273)/'Logistics record '!$AD$1</f>
        <v>15.116015418335726</v>
      </c>
      <c r="K273" s="260">
        <f>W273/'Logistics record '!$AD$1</f>
        <v>0</v>
      </c>
      <c r="L273" s="260">
        <f>Y273/'Logistics record '!$AD$1</f>
        <v>0</v>
      </c>
      <c r="M273" s="260">
        <f>AF273/'Logistics record '!$AD$1</f>
        <v>0</v>
      </c>
      <c r="N273" s="260" t="str" cm="1">
        <f t="array" ref="N273">_xlfn.IFS(
    OR(UPPER(S273)="AIR", UPPER(S273)="CPN"), "AIR",
    UPPER(S273)="TC", "LOCAL",
    TRUE, "SEA"
)</f>
        <v>AIR</v>
      </c>
      <c r="O273" s="260">
        <f t="shared" si="28"/>
        <v>15.116015418335726</v>
      </c>
      <c r="P273" s="184" t="s">
        <v>937</v>
      </c>
      <c r="Q273" s="185">
        <v>108325362830</v>
      </c>
      <c r="R273" s="186">
        <v>46183</v>
      </c>
      <c r="S273" s="187" t="s">
        <v>65</v>
      </c>
      <c r="T273" s="188">
        <v>64.5</v>
      </c>
      <c r="U273" s="188"/>
      <c r="V273" s="189">
        <v>400000</v>
      </c>
      <c r="W273" s="190"/>
      <c r="X273" s="190"/>
      <c r="Y273" s="190"/>
      <c r="Z273" s="189">
        <f t="shared" si="24"/>
        <v>400000</v>
      </c>
      <c r="AA273" s="189">
        <v>0</v>
      </c>
      <c r="AB273" s="189">
        <f t="shared" si="29"/>
        <v>400000</v>
      </c>
      <c r="AC273" s="189"/>
      <c r="AD273" s="190"/>
      <c r="AE273" s="190"/>
      <c r="AF273" s="191">
        <f t="shared" si="25"/>
        <v>0</v>
      </c>
      <c r="AG273" s="190">
        <f t="shared" si="26"/>
        <v>400000</v>
      </c>
      <c r="AH273" s="190"/>
      <c r="AI273" s="192" t="str">
        <f>VLOOKUP(Q273,[3]Sheet1!B$11:G$1489,6,0)</f>
        <v>E11</v>
      </c>
      <c r="GK273" s="194"/>
      <c r="GL273" s="195"/>
      <c r="GM273" s="196"/>
      <c r="GN273" s="197"/>
      <c r="GO273" s="198"/>
      <c r="GP273" s="199"/>
      <c r="GQ273" s="200"/>
      <c r="GR273" s="201"/>
      <c r="GS273" s="60"/>
      <c r="GT273" s="202"/>
      <c r="GU273" s="202"/>
      <c r="GV273" s="202"/>
      <c r="GW273" s="202"/>
      <c r="GX273" s="203"/>
      <c r="HA273" s="194"/>
      <c r="HB273" s="195"/>
      <c r="HC273" s="196"/>
      <c r="HD273" s="197"/>
      <c r="HE273" s="198"/>
      <c r="HF273" s="199"/>
      <c r="HG273" s="200"/>
      <c r="HH273" s="201"/>
      <c r="HI273" s="60"/>
      <c r="HJ273" s="202"/>
      <c r="HK273" s="202"/>
      <c r="HL273" s="202"/>
      <c r="HM273" s="202"/>
      <c r="HN273" s="203"/>
    </row>
    <row r="274" spans="1:222" ht="16.5" customHeight="1">
      <c r="A274" s="181">
        <v>271</v>
      </c>
      <c r="B274" s="182">
        <v>872753640780</v>
      </c>
      <c r="C274" s="183" t="s">
        <v>2535</v>
      </c>
      <c r="D274" s="184" t="s">
        <v>2170</v>
      </c>
      <c r="E274" s="184" t="str">
        <f t="shared" si="27"/>
        <v>Import</v>
      </c>
      <c r="F274" s="720" t="str" cm="1">
        <f t="array" ref="F274">_xlfn.IFS(
  OR(AI274="E11", AI274="E15"), "Raw materials",
  OR(AI274="E13", AI274="G13"), "Equipments + Toolings",
  TRUE, RIGHT(C274, 8)
)</f>
        <v>Raw materials</v>
      </c>
      <c r="G274" s="541" t="str" cm="1">
        <f t="array" ref="G274">IF(E274="Import",
  IFERROR(
    _xlfn.IFS(
      VLOOKUP(B274,[1]Material!F$5:U$90000,16,0)="LUC","Lucid",
      VLOOKUP(B274,[1]Material!F$5:U$90000,16,0)="FMC","FORD",
      OR(VLOOKUP(B274,[1]Material!F$5:U$90000,16,0)="PUR",VLOOKUP(B274,[1]Material!F$5:U$90000,16,0)="HLO"),"PURE",
      VLOOKUP(B274,[1]Material!F$5:U$90000,16,0)="AIC","AIC",
      OR(VLOOKUP(B274,[1]Material!F$5:U$90000,16,0)="AGI",VLOOKUP(B274,[1]Material!F$5:U$90000,16,0)="AGIGA"),"AGIGA",
      OR(LEFT(VLOOKUP(B274,[1]Material!F$5:U$90000,16,0),3)="EF-",VLOOKUP(B274,[1]Material!F$5:U$90000,16,0)="EFI"),"EFI",
      AND(ISNUMBER(VLOOKUP(B274,[1]Material!F$5:U$90000,16,0)),VLOOKUP(B274,[1]Material!F$5:U$90000,16,0)&gt;=100,VLOOKUP(B274,[1]Material!F$5:U$90000,16,0)&lt;=999,VLOOKUP(B274,[1]Material!F$5:U$90000,16,0)=INT(VLOOKUP(B274,[1]Material!F$5:U$90000,16,0))),"OEM",
      TRUE,""
    ),
    "không tìm thấy trong file Import"
  ),
  VLOOKUP(F274,'[2]Export shipment'!B:Y,24,0)
)</f>
        <v>OEM</v>
      </c>
      <c r="H274" s="184"/>
      <c r="I274" s="184"/>
      <c r="J274" s="260">
        <f>(V274+X274+AA274)/'Logistics record '!$AD$1</f>
        <v>15.116015418335726</v>
      </c>
      <c r="K274" s="260">
        <f>W274/'Logistics record '!$AD$1</f>
        <v>0</v>
      </c>
      <c r="L274" s="260">
        <f>Y274/'Logistics record '!$AD$1</f>
        <v>0</v>
      </c>
      <c r="M274" s="260">
        <f>AF274/'Logistics record '!$AD$1</f>
        <v>0</v>
      </c>
      <c r="N274" s="260" t="str" cm="1">
        <f t="array" ref="N274">_xlfn.IFS(
    OR(UPPER(S274)="AIR", UPPER(S274)="CPN"), "AIR",
    UPPER(S274)="TC", "LOCAL",
    TRUE, "SEA"
)</f>
        <v>AIR</v>
      </c>
      <c r="O274" s="260">
        <f t="shared" si="28"/>
        <v>15.116015418335726</v>
      </c>
      <c r="P274" s="184" t="s">
        <v>931</v>
      </c>
      <c r="Q274" s="185">
        <v>108325566900</v>
      </c>
      <c r="R274" s="186">
        <v>46183</v>
      </c>
      <c r="S274" s="187" t="s">
        <v>928</v>
      </c>
      <c r="T274" s="188">
        <v>60</v>
      </c>
      <c r="U274" s="188"/>
      <c r="V274" s="189">
        <v>400000</v>
      </c>
      <c r="W274" s="190"/>
      <c r="X274" s="190"/>
      <c r="Y274" s="190"/>
      <c r="Z274" s="189">
        <f t="shared" si="24"/>
        <v>400000</v>
      </c>
      <c r="AA274" s="189">
        <v>0</v>
      </c>
      <c r="AB274" s="189">
        <f t="shared" si="29"/>
        <v>400000</v>
      </c>
      <c r="AC274" s="189"/>
      <c r="AD274" s="190"/>
      <c r="AE274" s="190"/>
      <c r="AF274" s="191">
        <f t="shared" si="25"/>
        <v>0</v>
      </c>
      <c r="AG274" s="190">
        <f t="shared" si="26"/>
        <v>400000</v>
      </c>
      <c r="AH274" s="190"/>
      <c r="AI274" s="192" t="str">
        <f>VLOOKUP(Q274,[3]Sheet1!B$11:G$1489,6,0)</f>
        <v>E11</v>
      </c>
      <c r="GK274" s="194"/>
      <c r="GL274" s="195"/>
      <c r="GM274" s="196"/>
      <c r="GN274" s="197"/>
      <c r="GO274" s="198"/>
      <c r="GP274" s="199"/>
      <c r="GQ274" s="200"/>
      <c r="GR274" s="201"/>
      <c r="GS274" s="60"/>
      <c r="GT274" s="202"/>
      <c r="GU274" s="202"/>
      <c r="GV274" s="202"/>
      <c r="GW274" s="202"/>
      <c r="GX274" s="203"/>
      <c r="HA274" s="194"/>
      <c r="HB274" s="195"/>
      <c r="HC274" s="196"/>
      <c r="HD274" s="197"/>
      <c r="HE274" s="198"/>
      <c r="HF274" s="199"/>
      <c r="HG274" s="200"/>
      <c r="HH274" s="201"/>
      <c r="HI274" s="60"/>
      <c r="HJ274" s="202"/>
      <c r="HK274" s="202"/>
      <c r="HL274" s="202"/>
      <c r="HM274" s="202"/>
      <c r="HN274" s="203"/>
    </row>
    <row r="275" spans="1:222" ht="16.5" customHeight="1">
      <c r="A275" s="181">
        <v>272</v>
      </c>
      <c r="B275" s="182">
        <v>500395153215</v>
      </c>
      <c r="C275" s="598" t="s">
        <v>2536</v>
      </c>
      <c r="D275" s="184" t="s">
        <v>1699</v>
      </c>
      <c r="E275" s="184" t="str">
        <f t="shared" si="27"/>
        <v>Import</v>
      </c>
      <c r="F275" s="720" t="str" cm="1">
        <f t="array" ref="F275">_xlfn.IFS(
  OR(AI275="E11", AI275="E15"), "Raw materials",
  OR(AI275="E13", AI275="G13"), "Equipments + Toolings",
  TRUE, RIGHT(C275, 8)
)</f>
        <v>Raw materials</v>
      </c>
      <c r="G275" s="541" t="str" cm="1">
        <f t="array" ref="G275">IF(E275="Import",
  IFERROR(
    _xlfn.IFS(
      VLOOKUP(B275,[1]Material!F$5:U$90000,16,0)="LUC","Lucid",
      VLOOKUP(B275,[1]Material!F$5:U$90000,16,0)="FMC","FORD",
      OR(VLOOKUP(B275,[1]Material!F$5:U$90000,16,0)="PUR",VLOOKUP(B275,[1]Material!F$5:U$90000,16,0)="HLO"),"PURE",
      VLOOKUP(B275,[1]Material!F$5:U$90000,16,0)="AIC","AIC",
      OR(VLOOKUP(B275,[1]Material!F$5:U$90000,16,0)="AGI",VLOOKUP(B275,[1]Material!F$5:U$90000,16,0)="AGIGA"),"AGIGA",
      OR(LEFT(VLOOKUP(B275,[1]Material!F$5:U$90000,16,0),3)="EF-",VLOOKUP(B275,[1]Material!F$5:U$90000,16,0)="EFI"),"EFI",
      AND(ISNUMBER(VLOOKUP(B275,[1]Material!F$5:U$90000,16,0)),VLOOKUP(B275,[1]Material!F$5:U$90000,16,0)&gt;=100,VLOOKUP(B275,[1]Material!F$5:U$90000,16,0)&lt;=999,VLOOKUP(B275,[1]Material!F$5:U$90000,16,0)=INT(VLOOKUP(B275,[1]Material!F$5:U$90000,16,0))),"OEM",
      TRUE,""
    ),
    "không tìm thấy trong file Import"
  ),
  VLOOKUP(F275,'[2]Export shipment'!B:Y,24,0)
)</f>
        <v>OEM</v>
      </c>
      <c r="H275" s="184"/>
      <c r="I275" s="184"/>
      <c r="J275" s="260">
        <f>(V275+X275+AA275)/'Logistics record '!$AD$1</f>
        <v>15.116015418335726</v>
      </c>
      <c r="K275" s="260">
        <f>W275/'Logistics record '!$AD$1</f>
        <v>0</v>
      </c>
      <c r="L275" s="260">
        <f>Y275/'Logistics record '!$AD$1</f>
        <v>0</v>
      </c>
      <c r="M275" s="260">
        <f>AF275/'Logistics record '!$AD$1</f>
        <v>0</v>
      </c>
      <c r="N275" s="260" t="str" cm="1">
        <f t="array" ref="N275">_xlfn.IFS(
    OR(UPPER(S275)="AIR", UPPER(S275)="CPN"), "AIR",
    UPPER(S275)="TC", "LOCAL",
    TRUE, "SEA"
)</f>
        <v>AIR</v>
      </c>
      <c r="O275" s="260">
        <f t="shared" si="28"/>
        <v>15.116015418335726</v>
      </c>
      <c r="P275" s="184" t="s">
        <v>959</v>
      </c>
      <c r="Q275" s="185">
        <v>108326595200</v>
      </c>
      <c r="R275" s="186">
        <v>46183</v>
      </c>
      <c r="S275" s="187" t="s">
        <v>928</v>
      </c>
      <c r="T275" s="188">
        <v>3.8</v>
      </c>
      <c r="U275" s="188"/>
      <c r="V275" s="189">
        <v>400000</v>
      </c>
      <c r="W275" s="190"/>
      <c r="X275" s="190"/>
      <c r="Y275" s="190"/>
      <c r="Z275" s="189">
        <f t="shared" si="24"/>
        <v>400000</v>
      </c>
      <c r="AA275" s="189">
        <v>0</v>
      </c>
      <c r="AB275" s="189">
        <f t="shared" si="29"/>
        <v>400000</v>
      </c>
      <c r="AC275" s="189"/>
      <c r="AD275" s="190"/>
      <c r="AE275" s="190"/>
      <c r="AF275" s="191">
        <f t="shared" si="25"/>
        <v>0</v>
      </c>
      <c r="AG275" s="190">
        <f t="shared" si="26"/>
        <v>400000</v>
      </c>
      <c r="AH275" s="190"/>
      <c r="AI275" s="192" t="str">
        <f>VLOOKUP(Q275,[3]Sheet1!B$11:G$1489,6,0)</f>
        <v>E11</v>
      </c>
      <c r="GK275" s="194"/>
      <c r="GL275" s="195"/>
      <c r="GM275" s="196"/>
      <c r="GN275" s="197"/>
      <c r="GO275" s="198"/>
      <c r="GP275" s="199"/>
      <c r="GQ275" s="200"/>
      <c r="GR275" s="201"/>
      <c r="GS275" s="60"/>
      <c r="GT275" s="202"/>
      <c r="GU275" s="202"/>
      <c r="GV275" s="202"/>
      <c r="GW275" s="202"/>
      <c r="GX275" s="203"/>
      <c r="HA275" s="194"/>
      <c r="HB275" s="195"/>
      <c r="HC275" s="196"/>
      <c r="HD275" s="197"/>
      <c r="HE275" s="198"/>
      <c r="HF275" s="199"/>
      <c r="HG275" s="200"/>
      <c r="HH275" s="201"/>
      <c r="HI275" s="60"/>
      <c r="HJ275" s="202"/>
      <c r="HK275" s="202"/>
      <c r="HL275" s="202"/>
      <c r="HM275" s="202"/>
      <c r="HN275" s="203"/>
    </row>
    <row r="276" spans="1:222" ht="16.5" customHeight="1">
      <c r="A276" s="181">
        <v>273</v>
      </c>
      <c r="B276" s="182">
        <v>381897161090</v>
      </c>
      <c r="C276" s="598" t="s">
        <v>2537</v>
      </c>
      <c r="D276" s="184" t="s">
        <v>1702</v>
      </c>
      <c r="E276" s="184" t="str">
        <f t="shared" si="27"/>
        <v>Import</v>
      </c>
      <c r="F276" s="720" t="str" cm="1">
        <f t="array" ref="F276">_xlfn.IFS(
  OR(AI276="E11", AI276="E15"), "Raw materials",
  OR(AI276="E13", AI276="G13"), "Equipments + Toolings",
  TRUE, RIGHT(C276, 8)
)</f>
        <v>Raw materials</v>
      </c>
      <c r="G276" s="541" t="str" cm="1">
        <f t="array" ref="G276">IF(E276="Import",
  IFERROR(
    _xlfn.IFS(
      VLOOKUP(B276,[1]Material!F$5:U$90000,16,0)="LUC","Lucid",
      VLOOKUP(B276,[1]Material!F$5:U$90000,16,0)="FMC","FORD",
      OR(VLOOKUP(B276,[1]Material!F$5:U$90000,16,0)="PUR",VLOOKUP(B276,[1]Material!F$5:U$90000,16,0)="HLO"),"PURE",
      VLOOKUP(B276,[1]Material!F$5:U$90000,16,0)="AIC","AIC",
      OR(VLOOKUP(B276,[1]Material!F$5:U$90000,16,0)="AGI",VLOOKUP(B276,[1]Material!F$5:U$90000,16,0)="AGIGA"),"AGIGA",
      OR(LEFT(VLOOKUP(B276,[1]Material!F$5:U$90000,16,0),3)="EF-",VLOOKUP(B276,[1]Material!F$5:U$90000,16,0)="EFI"),"EFI",
      AND(ISNUMBER(VLOOKUP(B276,[1]Material!F$5:U$90000,16,0)),VLOOKUP(B276,[1]Material!F$5:U$90000,16,0)&gt;=100,VLOOKUP(B276,[1]Material!F$5:U$90000,16,0)&lt;=999,VLOOKUP(B276,[1]Material!F$5:U$90000,16,0)=INT(VLOOKUP(B276,[1]Material!F$5:U$90000,16,0))),"OEM",
      TRUE,""
    ),
    "không tìm thấy trong file Import"
  ),
  VLOOKUP(F276,'[2]Export shipment'!B:Y,24,0)
)</f>
        <v>PURE</v>
      </c>
      <c r="H276" s="184"/>
      <c r="I276" s="184"/>
      <c r="J276" s="260">
        <f>(V276+X276+AA276)/'Logistics record '!$AD$1</f>
        <v>15.116015418335726</v>
      </c>
      <c r="K276" s="260">
        <f>W276/'Logistics record '!$AD$1</f>
        <v>0</v>
      </c>
      <c r="L276" s="260">
        <f>Y276/'Logistics record '!$AD$1</f>
        <v>0</v>
      </c>
      <c r="M276" s="260">
        <f>AF276/'Logistics record '!$AD$1</f>
        <v>0</v>
      </c>
      <c r="N276" s="260" t="str" cm="1">
        <f t="array" ref="N276">_xlfn.IFS(
    OR(UPPER(S276)="AIR", UPPER(S276)="CPN"), "AIR",
    UPPER(S276)="TC", "LOCAL",
    TRUE, "SEA"
)</f>
        <v>AIR</v>
      </c>
      <c r="O276" s="260">
        <f t="shared" si="28"/>
        <v>15.116015418335726</v>
      </c>
      <c r="P276" s="184" t="s">
        <v>937</v>
      </c>
      <c r="Q276" s="185">
        <v>108326645010</v>
      </c>
      <c r="R276" s="186">
        <v>46183</v>
      </c>
      <c r="S276" s="187" t="s">
        <v>928</v>
      </c>
      <c r="T276" s="188">
        <v>0.9</v>
      </c>
      <c r="U276" s="188"/>
      <c r="V276" s="189">
        <v>400000</v>
      </c>
      <c r="W276" s="190"/>
      <c r="X276" s="190"/>
      <c r="Y276" s="190"/>
      <c r="Z276" s="189">
        <f t="shared" si="24"/>
        <v>400000</v>
      </c>
      <c r="AA276" s="189">
        <v>0</v>
      </c>
      <c r="AB276" s="189">
        <f t="shared" si="29"/>
        <v>400000</v>
      </c>
      <c r="AC276" s="189"/>
      <c r="AD276" s="190"/>
      <c r="AE276" s="190"/>
      <c r="AF276" s="191">
        <f t="shared" si="25"/>
        <v>0</v>
      </c>
      <c r="AG276" s="190">
        <f t="shared" si="26"/>
        <v>400000</v>
      </c>
      <c r="AH276" s="190"/>
      <c r="AI276" s="192" t="str">
        <f>VLOOKUP(Q276,[3]Sheet1!B$11:G$1489,6,0)</f>
        <v>E11</v>
      </c>
      <c r="GK276" s="194"/>
      <c r="GL276" s="195"/>
      <c r="GM276" s="196"/>
      <c r="GN276" s="197"/>
      <c r="GO276" s="198"/>
      <c r="GP276" s="199"/>
      <c r="GQ276" s="200"/>
      <c r="GR276" s="201"/>
      <c r="GS276" s="60"/>
      <c r="GT276" s="202"/>
      <c r="GU276" s="202"/>
      <c r="GV276" s="202"/>
      <c r="GW276" s="202"/>
      <c r="GX276" s="203"/>
      <c r="HA276" s="194"/>
      <c r="HB276" s="195"/>
      <c r="HC276" s="196"/>
      <c r="HD276" s="197"/>
      <c r="HE276" s="198"/>
      <c r="HF276" s="199"/>
      <c r="HG276" s="200"/>
      <c r="HH276" s="201"/>
      <c r="HI276" s="60"/>
      <c r="HJ276" s="202"/>
      <c r="HK276" s="202"/>
      <c r="HL276" s="202"/>
      <c r="HM276" s="202"/>
      <c r="HN276" s="203"/>
    </row>
    <row r="277" spans="1:222" ht="16.5" customHeight="1">
      <c r="A277" s="181">
        <v>274</v>
      </c>
      <c r="B277" s="182">
        <v>381824860454</v>
      </c>
      <c r="C277" s="598" t="s">
        <v>2538</v>
      </c>
      <c r="D277" s="184" t="s">
        <v>1498</v>
      </c>
      <c r="E277" s="184" t="str">
        <f t="shared" si="27"/>
        <v>Import</v>
      </c>
      <c r="F277" s="720" t="str" cm="1">
        <f t="array" ref="F277">_xlfn.IFS(
  OR(AI277="E11", AI277="E15"), "Raw materials",
  OR(AI277="E13", AI277="G13"), "Equipments + Toolings",
  TRUE, RIGHT(C277, 8)
)</f>
        <v>Raw materials</v>
      </c>
      <c r="G277" s="541" t="str" cm="1">
        <f t="array" ref="G277">IF(E277="Import",
  IFERROR(
    _xlfn.IFS(
      VLOOKUP(B277,[1]Material!F$5:U$90000,16,0)="LUC","Lucid",
      VLOOKUP(B277,[1]Material!F$5:U$90000,16,0)="FMC","FORD",
      OR(VLOOKUP(B277,[1]Material!F$5:U$90000,16,0)="PUR",VLOOKUP(B277,[1]Material!F$5:U$90000,16,0)="HLO"),"PURE",
      VLOOKUP(B277,[1]Material!F$5:U$90000,16,0)="AIC","AIC",
      OR(VLOOKUP(B277,[1]Material!F$5:U$90000,16,0)="AGI",VLOOKUP(B277,[1]Material!F$5:U$90000,16,0)="AGIGA"),"AGIGA",
      OR(LEFT(VLOOKUP(B277,[1]Material!F$5:U$90000,16,0),3)="EF-",VLOOKUP(B277,[1]Material!F$5:U$90000,16,0)="EFI"),"EFI",
      AND(ISNUMBER(VLOOKUP(B277,[1]Material!F$5:U$90000,16,0)),VLOOKUP(B277,[1]Material!F$5:U$90000,16,0)&gt;=100,VLOOKUP(B277,[1]Material!F$5:U$90000,16,0)&lt;=999,VLOOKUP(B277,[1]Material!F$5:U$90000,16,0)=INT(VLOOKUP(B277,[1]Material!F$5:U$90000,16,0))),"OEM",
      TRUE,""
    ),
    "không tìm thấy trong file Import"
  ),
  VLOOKUP(F277,'[2]Export shipment'!B:Y,24,0)
)</f>
        <v>EFI</v>
      </c>
      <c r="H277" s="184"/>
      <c r="I277" s="184"/>
      <c r="J277" s="260">
        <f>(V277+X277+AA277)/'Logistics record '!$AD$1</f>
        <v>15.116015418335726</v>
      </c>
      <c r="K277" s="260">
        <f>W277/'Logistics record '!$AD$1</f>
        <v>0</v>
      </c>
      <c r="L277" s="260">
        <f>Y277/'Logistics record '!$AD$1</f>
        <v>0</v>
      </c>
      <c r="M277" s="260">
        <f>AF277/'Logistics record '!$AD$1</f>
        <v>0</v>
      </c>
      <c r="N277" s="260" t="str" cm="1">
        <f t="array" ref="N277">_xlfn.IFS(
    OR(UPPER(S277)="AIR", UPPER(S277)="CPN"), "AIR",
    UPPER(S277)="TC", "LOCAL",
    TRUE, "SEA"
)</f>
        <v>AIR</v>
      </c>
      <c r="O277" s="260">
        <f t="shared" si="28"/>
        <v>15.116015418335726</v>
      </c>
      <c r="P277" s="184" t="s">
        <v>935</v>
      </c>
      <c r="Q277" s="185">
        <v>108326752220</v>
      </c>
      <c r="R277" s="186">
        <v>46183</v>
      </c>
      <c r="S277" s="187" t="s">
        <v>928</v>
      </c>
      <c r="T277" s="188">
        <v>0.5</v>
      </c>
      <c r="U277" s="188"/>
      <c r="V277" s="189">
        <v>400000</v>
      </c>
      <c r="W277" s="190"/>
      <c r="X277" s="190"/>
      <c r="Y277" s="190"/>
      <c r="Z277" s="189">
        <f t="shared" si="24"/>
        <v>400000</v>
      </c>
      <c r="AA277" s="189">
        <v>0</v>
      </c>
      <c r="AB277" s="189">
        <f t="shared" si="29"/>
        <v>400000</v>
      </c>
      <c r="AC277" s="189"/>
      <c r="AD277" s="190"/>
      <c r="AE277" s="190"/>
      <c r="AF277" s="191">
        <f t="shared" si="25"/>
        <v>0</v>
      </c>
      <c r="AG277" s="190">
        <f t="shared" si="26"/>
        <v>400000</v>
      </c>
      <c r="AH277" s="190"/>
      <c r="AI277" s="192" t="str">
        <f>VLOOKUP(Q277,[3]Sheet1!B$11:G$1489,6,0)</f>
        <v>E11</v>
      </c>
      <c r="GK277" s="194"/>
      <c r="GL277" s="195"/>
      <c r="GM277" s="196"/>
      <c r="GN277" s="197"/>
      <c r="GO277" s="198"/>
      <c r="GP277" s="199"/>
      <c r="GQ277" s="200"/>
      <c r="GR277" s="201"/>
      <c r="GS277" s="60"/>
      <c r="GT277" s="202"/>
      <c r="GU277" s="202"/>
      <c r="GV277" s="202"/>
      <c r="GW277" s="202"/>
      <c r="GX277" s="203"/>
      <c r="HA277" s="194"/>
      <c r="HB277" s="195"/>
      <c r="HC277" s="196"/>
      <c r="HD277" s="197"/>
      <c r="HE277" s="198"/>
      <c r="HF277" s="199"/>
      <c r="HG277" s="200"/>
      <c r="HH277" s="201"/>
      <c r="HI277" s="60"/>
      <c r="HJ277" s="202"/>
      <c r="HK277" s="202"/>
      <c r="HL277" s="202"/>
      <c r="HM277" s="202"/>
      <c r="HN277" s="203"/>
    </row>
    <row r="278" spans="1:222" ht="16.5" customHeight="1">
      <c r="A278" s="181">
        <v>275</v>
      </c>
      <c r="B278" s="182">
        <v>381854847416</v>
      </c>
      <c r="C278" s="598" t="s">
        <v>2539</v>
      </c>
      <c r="D278" s="184" t="s">
        <v>952</v>
      </c>
      <c r="E278" s="184" t="str">
        <f t="shared" si="27"/>
        <v>Import</v>
      </c>
      <c r="F278" s="720" t="str" cm="1">
        <f t="array" ref="F278">_xlfn.IFS(
  OR(AI278="E11", AI278="E15"), "Raw materials",
  OR(AI278="E13", AI278="G13"), "Equipments + Toolings",
  TRUE, RIGHT(C278, 8)
)</f>
        <v>Raw materials</v>
      </c>
      <c r="G278" s="541" t="str" cm="1">
        <f t="array" ref="G278">IF(E278="Import",
  IFERROR(
    _xlfn.IFS(
      VLOOKUP(B278,[1]Material!F$5:U$90000,16,0)="LUC","Lucid",
      VLOOKUP(B278,[1]Material!F$5:U$90000,16,0)="FMC","FORD",
      OR(VLOOKUP(B278,[1]Material!F$5:U$90000,16,0)="PUR",VLOOKUP(B278,[1]Material!F$5:U$90000,16,0)="HLO"),"PURE",
      VLOOKUP(B278,[1]Material!F$5:U$90000,16,0)="AIC","AIC",
      OR(VLOOKUP(B278,[1]Material!F$5:U$90000,16,0)="AGI",VLOOKUP(B278,[1]Material!F$5:U$90000,16,0)="AGIGA"),"AGIGA",
      OR(LEFT(VLOOKUP(B278,[1]Material!F$5:U$90000,16,0),3)="EF-",VLOOKUP(B278,[1]Material!F$5:U$90000,16,0)="EFI"),"EFI",
      AND(ISNUMBER(VLOOKUP(B278,[1]Material!F$5:U$90000,16,0)),VLOOKUP(B278,[1]Material!F$5:U$90000,16,0)&gt;=100,VLOOKUP(B278,[1]Material!F$5:U$90000,16,0)&lt;=999,VLOOKUP(B278,[1]Material!F$5:U$90000,16,0)=INT(VLOOKUP(B278,[1]Material!F$5:U$90000,16,0))),"OEM",
      TRUE,""
    ),
    "không tìm thấy trong file Import"
  ),
  VLOOKUP(F278,'[2]Export shipment'!B:Y,24,0)
)</f>
        <v>Lucid</v>
      </c>
      <c r="H278" s="184"/>
      <c r="I278" s="184"/>
      <c r="J278" s="260">
        <f>(V278+X278+AA278)/'Logistics record '!$AD$1</f>
        <v>15.116015418335726</v>
      </c>
      <c r="K278" s="260">
        <f>W278/'Logistics record '!$AD$1</f>
        <v>0</v>
      </c>
      <c r="L278" s="260">
        <f>Y278/'Logistics record '!$AD$1</f>
        <v>0</v>
      </c>
      <c r="M278" s="260">
        <f>AF278/'Logistics record '!$AD$1</f>
        <v>0</v>
      </c>
      <c r="N278" s="260" t="str" cm="1">
        <f t="array" ref="N278">_xlfn.IFS(
    OR(UPPER(S278)="AIR", UPPER(S278)="CPN"), "AIR",
    UPPER(S278)="TC", "LOCAL",
    TRUE, "SEA"
)</f>
        <v>AIR</v>
      </c>
      <c r="O278" s="260">
        <f t="shared" si="28"/>
        <v>15.116015418335726</v>
      </c>
      <c r="P278" s="184" t="s">
        <v>931</v>
      </c>
      <c r="Q278" s="185">
        <v>108326895460</v>
      </c>
      <c r="R278" s="186">
        <v>46183</v>
      </c>
      <c r="S278" s="187" t="s">
        <v>928</v>
      </c>
      <c r="T278" s="188">
        <v>17.5</v>
      </c>
      <c r="U278" s="188"/>
      <c r="V278" s="189">
        <v>400000</v>
      </c>
      <c r="W278" s="190"/>
      <c r="X278" s="190"/>
      <c r="Y278" s="190"/>
      <c r="Z278" s="189">
        <f t="shared" si="24"/>
        <v>400000</v>
      </c>
      <c r="AA278" s="189">
        <v>0</v>
      </c>
      <c r="AB278" s="189">
        <f t="shared" si="29"/>
        <v>400000</v>
      </c>
      <c r="AC278" s="189"/>
      <c r="AD278" s="190"/>
      <c r="AE278" s="190"/>
      <c r="AF278" s="191">
        <f t="shared" si="25"/>
        <v>0</v>
      </c>
      <c r="AG278" s="190">
        <f t="shared" si="26"/>
        <v>400000</v>
      </c>
      <c r="AH278" s="190"/>
      <c r="AI278" s="192" t="str">
        <f>VLOOKUP(Q278,[3]Sheet1!B$11:G$1489,6,0)</f>
        <v>E11</v>
      </c>
      <c r="GK278" s="194"/>
      <c r="GL278" s="195"/>
      <c r="GM278" s="196"/>
      <c r="GN278" s="197"/>
      <c r="GO278" s="198"/>
      <c r="GP278" s="199"/>
      <c r="GQ278" s="200"/>
      <c r="GR278" s="201"/>
      <c r="GS278" s="60"/>
      <c r="GT278" s="202"/>
      <c r="GU278" s="202"/>
      <c r="GV278" s="202"/>
      <c r="GW278" s="202"/>
      <c r="GX278" s="203"/>
      <c r="HA278" s="194"/>
      <c r="HB278" s="195"/>
      <c r="HC278" s="196"/>
      <c r="HD278" s="197"/>
      <c r="HE278" s="198"/>
      <c r="HF278" s="199"/>
      <c r="HG278" s="200"/>
      <c r="HH278" s="201"/>
      <c r="HI278" s="60"/>
      <c r="HJ278" s="202"/>
      <c r="HK278" s="202"/>
      <c r="HL278" s="202"/>
      <c r="HM278" s="202"/>
      <c r="HN278" s="203"/>
    </row>
    <row r="279" spans="1:222" ht="16.5" customHeight="1">
      <c r="A279" s="181">
        <v>276</v>
      </c>
      <c r="B279" s="182">
        <v>818547865266</v>
      </c>
      <c r="C279" s="598" t="s">
        <v>2540</v>
      </c>
      <c r="D279" s="184" t="s">
        <v>2513</v>
      </c>
      <c r="E279" s="184" t="str">
        <f t="shared" si="27"/>
        <v>Import</v>
      </c>
      <c r="F279" s="720" t="str" cm="1">
        <f t="array" ref="F279">_xlfn.IFS(
  OR(AI279="E11", AI279="E15"), "Raw materials",
  OR(AI279="E13", AI279="G13"), "Equipments + Toolings",
  TRUE, RIGHT(C279, 8)
)</f>
        <v>Raw materials</v>
      </c>
      <c r="G279" s="541" t="str" cm="1">
        <f t="array" ref="G279">IF(E279="Import",
  IFERROR(
    _xlfn.IFS(
      VLOOKUP(B279,[1]Material!F$5:U$90000,16,0)="LUC","Lucid",
      VLOOKUP(B279,[1]Material!F$5:U$90000,16,0)="FMC","FORD",
      OR(VLOOKUP(B279,[1]Material!F$5:U$90000,16,0)="PUR",VLOOKUP(B279,[1]Material!F$5:U$90000,16,0)="HLO"),"PURE",
      VLOOKUP(B279,[1]Material!F$5:U$90000,16,0)="AIC","AIC",
      OR(VLOOKUP(B279,[1]Material!F$5:U$90000,16,0)="AGI",VLOOKUP(B279,[1]Material!F$5:U$90000,16,0)="AGIGA"),"AGIGA",
      OR(LEFT(VLOOKUP(B279,[1]Material!F$5:U$90000,16,0),3)="EF-",VLOOKUP(B279,[1]Material!F$5:U$90000,16,0)="EFI"),"EFI",
      AND(ISNUMBER(VLOOKUP(B279,[1]Material!F$5:U$90000,16,0)),VLOOKUP(B279,[1]Material!F$5:U$90000,16,0)&gt;=100,VLOOKUP(B279,[1]Material!F$5:U$90000,16,0)&lt;=999,VLOOKUP(B279,[1]Material!F$5:U$90000,16,0)=INT(VLOOKUP(B279,[1]Material!F$5:U$90000,16,0))),"OEM",
      TRUE,""
    ),
    "không tìm thấy trong file Import"
  ),
  VLOOKUP(F279,'[2]Export shipment'!B:Y,24,0)
)</f>
        <v>Lucid</v>
      </c>
      <c r="H279" s="184"/>
      <c r="I279" s="184"/>
      <c r="J279" s="260">
        <f>(V279+X279+AA279)/'Logistics record '!$AD$1</f>
        <v>15.116015418335726</v>
      </c>
      <c r="K279" s="260">
        <f>W279/'Logistics record '!$AD$1</f>
        <v>0</v>
      </c>
      <c r="L279" s="260">
        <f>Y279/'Logistics record '!$AD$1</f>
        <v>0</v>
      </c>
      <c r="M279" s="260">
        <f>AF279/'Logistics record '!$AD$1</f>
        <v>0</v>
      </c>
      <c r="N279" s="260" t="str" cm="1">
        <f t="array" ref="N279">_xlfn.IFS(
    OR(UPPER(S279)="AIR", UPPER(S279)="CPN"), "AIR",
    UPPER(S279)="TC", "LOCAL",
    TRUE, "SEA"
)</f>
        <v>AIR</v>
      </c>
      <c r="O279" s="260">
        <f t="shared" si="28"/>
        <v>15.116015418335726</v>
      </c>
      <c r="P279" s="184" t="s">
        <v>937</v>
      </c>
      <c r="Q279" s="185">
        <v>108326961520</v>
      </c>
      <c r="R279" s="186">
        <v>46183</v>
      </c>
      <c r="S279" s="187" t="s">
        <v>928</v>
      </c>
      <c r="T279" s="188">
        <v>0.9</v>
      </c>
      <c r="U279" s="188"/>
      <c r="V279" s="189">
        <v>400000</v>
      </c>
      <c r="W279" s="190"/>
      <c r="X279" s="190"/>
      <c r="Y279" s="190"/>
      <c r="Z279" s="189">
        <f t="shared" si="24"/>
        <v>400000</v>
      </c>
      <c r="AA279" s="189">
        <v>0</v>
      </c>
      <c r="AB279" s="189">
        <f t="shared" si="29"/>
        <v>400000</v>
      </c>
      <c r="AC279" s="189"/>
      <c r="AD279" s="190"/>
      <c r="AE279" s="190"/>
      <c r="AF279" s="191">
        <f t="shared" si="25"/>
        <v>0</v>
      </c>
      <c r="AG279" s="190">
        <f t="shared" si="26"/>
        <v>400000</v>
      </c>
      <c r="AH279" s="190"/>
      <c r="AI279" s="192" t="str">
        <f>VLOOKUP(Q279,[3]Sheet1!B$11:G$1489,6,0)</f>
        <v>E11</v>
      </c>
      <c r="GK279" s="194"/>
      <c r="GL279" s="195"/>
      <c r="GM279" s="196"/>
      <c r="GN279" s="197"/>
      <c r="GO279" s="198"/>
      <c r="GP279" s="199"/>
      <c r="GQ279" s="200"/>
      <c r="GR279" s="201"/>
      <c r="GS279" s="60"/>
      <c r="GT279" s="202"/>
      <c r="GU279" s="202"/>
      <c r="GV279" s="202"/>
      <c r="GW279" s="202"/>
      <c r="GX279" s="203"/>
      <c r="HA279" s="194"/>
      <c r="HB279" s="195"/>
      <c r="HC279" s="196"/>
      <c r="HD279" s="197"/>
      <c r="HE279" s="198"/>
      <c r="HF279" s="199"/>
      <c r="HG279" s="200"/>
      <c r="HH279" s="201"/>
      <c r="HI279" s="60"/>
      <c r="HJ279" s="202"/>
      <c r="HK279" s="202"/>
      <c r="HL279" s="202"/>
      <c r="HM279" s="202"/>
      <c r="HN279" s="203"/>
    </row>
    <row r="280" spans="1:222" ht="16.5" customHeight="1">
      <c r="A280" s="181">
        <v>277</v>
      </c>
      <c r="B280" s="182" t="s">
        <v>2541</v>
      </c>
      <c r="C280" s="598" t="s">
        <v>2542</v>
      </c>
      <c r="D280" s="184" t="s">
        <v>614</v>
      </c>
      <c r="E280" s="184" t="str">
        <f t="shared" si="27"/>
        <v>Import</v>
      </c>
      <c r="F280" s="720" t="str" cm="1">
        <f t="array" ref="F280">_xlfn.IFS(
  OR(AI280="E11", AI280="E15"), "Raw materials",
  OR(AI280="E13", AI280="G13"), "Equipments + Toolings",
  TRUE, RIGHT(C280, 8)
)</f>
        <v>Raw materials</v>
      </c>
      <c r="G280" s="541" t="str" cm="1">
        <f t="array" ref="G280">IF(E280="Import",
  IFERROR(
    _xlfn.IFS(
      VLOOKUP(B280,[1]Material!F$5:U$90000,16,0)="LUC","Lucid",
      VLOOKUP(B280,[1]Material!F$5:U$90000,16,0)="FMC","FORD",
      OR(VLOOKUP(B280,[1]Material!F$5:U$90000,16,0)="PUR",VLOOKUP(B280,[1]Material!F$5:U$90000,16,0)="HLO"),"PURE",
      VLOOKUP(B280,[1]Material!F$5:U$90000,16,0)="AIC","AIC",
      OR(VLOOKUP(B280,[1]Material!F$5:U$90000,16,0)="AGI",VLOOKUP(B280,[1]Material!F$5:U$90000,16,0)="AGIGA"),"AGIGA",
      OR(LEFT(VLOOKUP(B280,[1]Material!F$5:U$90000,16,0),3)="EF-",VLOOKUP(B280,[1]Material!F$5:U$90000,16,0)="EFI"),"EFI",
      AND(ISNUMBER(VLOOKUP(B280,[1]Material!F$5:U$90000,16,0)),VLOOKUP(B280,[1]Material!F$5:U$90000,16,0)&gt;=100,VLOOKUP(B280,[1]Material!F$5:U$90000,16,0)&lt;=999,VLOOKUP(B280,[1]Material!F$5:U$90000,16,0)=INT(VLOOKUP(B280,[1]Material!F$5:U$90000,16,0))),"OEM",
      TRUE,""
    ),
    "không tìm thấy trong file Import"
  ),
  VLOOKUP(F280,'[2]Export shipment'!B:Y,24,0)
)</f>
        <v>PURE</v>
      </c>
      <c r="H280" s="184"/>
      <c r="I280" s="184"/>
      <c r="J280" s="260">
        <f>(V280+X280+AA280)/'Logistics record '!$AD$1</f>
        <v>15.116015418335726</v>
      </c>
      <c r="K280" s="260">
        <f>W280/'Logistics record '!$AD$1</f>
        <v>79.359080946262566</v>
      </c>
      <c r="L280" s="260">
        <f>Y280/'Logistics record '!$AD$1</f>
        <v>424.77776131811657</v>
      </c>
      <c r="M280" s="260">
        <f>AF280/'Logistics record '!$AD$1</f>
        <v>59.260826846043386</v>
      </c>
      <c r="N280" s="260" t="str" cm="1">
        <f t="array" ref="N280">_xlfn.IFS(
    OR(UPPER(S280)="AIR", UPPER(S280)="CPN"), "AIR",
    UPPER(S280)="TC", "LOCAL",
    TRUE, "SEA"
)</f>
        <v>SEA</v>
      </c>
      <c r="O280" s="260">
        <f t="shared" si="28"/>
        <v>578.51368452875818</v>
      </c>
      <c r="P280" s="184" t="s">
        <v>931</v>
      </c>
      <c r="Q280" s="185">
        <v>108326967230</v>
      </c>
      <c r="R280" s="186">
        <v>46183</v>
      </c>
      <c r="S280" s="187" t="s">
        <v>933</v>
      </c>
      <c r="T280" s="188">
        <v>451.17</v>
      </c>
      <c r="U280" s="188">
        <v>1.7240000000000002</v>
      </c>
      <c r="V280" s="189">
        <v>400000</v>
      </c>
      <c r="W280" s="190">
        <v>2100000</v>
      </c>
      <c r="X280" s="190"/>
      <c r="Y280" s="190">
        <v>11240469.120000001</v>
      </c>
      <c r="Z280" s="189">
        <f t="shared" si="24"/>
        <v>13740469.120000001</v>
      </c>
      <c r="AA280" s="189">
        <v>0</v>
      </c>
      <c r="AB280" s="189">
        <f t="shared" si="29"/>
        <v>13740469.120000001</v>
      </c>
      <c r="AC280" s="189"/>
      <c r="AD280" s="190"/>
      <c r="AE280" s="190">
        <v>1568160</v>
      </c>
      <c r="AF280" s="191">
        <f t="shared" si="25"/>
        <v>1568160</v>
      </c>
      <c r="AG280" s="190">
        <f t="shared" si="26"/>
        <v>15308629.120000001</v>
      </c>
      <c r="AH280" s="190"/>
      <c r="AI280" s="192" t="str">
        <f>VLOOKUP(Q280,[3]Sheet1!B$11:G$1489,6,0)</f>
        <v>E11</v>
      </c>
      <c r="GK280" s="194"/>
      <c r="GL280" s="195"/>
      <c r="GM280" s="196"/>
      <c r="GN280" s="197"/>
      <c r="GO280" s="198"/>
      <c r="GP280" s="199"/>
      <c r="GQ280" s="200"/>
      <c r="GR280" s="201"/>
      <c r="GS280" s="60"/>
      <c r="GT280" s="202"/>
      <c r="GU280" s="202"/>
      <c r="GV280" s="202"/>
      <c r="GW280" s="202"/>
      <c r="GX280" s="203"/>
      <c r="HA280" s="194"/>
      <c r="HB280" s="195"/>
      <c r="HC280" s="196"/>
      <c r="HD280" s="197"/>
      <c r="HE280" s="198"/>
      <c r="HF280" s="199"/>
      <c r="HG280" s="200"/>
      <c r="HH280" s="201"/>
      <c r="HI280" s="60"/>
      <c r="HJ280" s="202"/>
      <c r="HK280" s="202"/>
      <c r="HL280" s="202"/>
      <c r="HM280" s="202"/>
      <c r="HN280" s="203"/>
    </row>
    <row r="281" spans="1:222" ht="16.5" customHeight="1">
      <c r="A281" s="181">
        <v>278</v>
      </c>
      <c r="B281" s="182">
        <v>381894026946</v>
      </c>
      <c r="C281" s="598" t="s">
        <v>2543</v>
      </c>
      <c r="D281" s="184" t="s">
        <v>1702</v>
      </c>
      <c r="E281" s="184" t="str">
        <f t="shared" si="27"/>
        <v>Import</v>
      </c>
      <c r="F281" s="720" t="str" cm="1">
        <f t="array" ref="F281">_xlfn.IFS(
  OR(AI281="E11", AI281="E15"), "Raw materials",
  OR(AI281="E13", AI281="G13"), "Equipments + Toolings",
  TRUE, RIGHT(C281, 8)
)</f>
        <v>Raw materials</v>
      </c>
      <c r="G281" s="541" t="str" cm="1">
        <f t="array" ref="G281">IF(E281="Import",
  IFERROR(
    _xlfn.IFS(
      VLOOKUP(B281,[1]Material!F$5:U$90000,16,0)="LUC","Lucid",
      VLOOKUP(B281,[1]Material!F$5:U$90000,16,0)="FMC","FORD",
      OR(VLOOKUP(B281,[1]Material!F$5:U$90000,16,0)="PUR",VLOOKUP(B281,[1]Material!F$5:U$90000,16,0)="HLO"),"PURE",
      VLOOKUP(B281,[1]Material!F$5:U$90000,16,0)="AIC","AIC",
      OR(VLOOKUP(B281,[1]Material!F$5:U$90000,16,0)="AGI",VLOOKUP(B281,[1]Material!F$5:U$90000,16,0)="AGIGA"),"AGIGA",
      OR(LEFT(VLOOKUP(B281,[1]Material!F$5:U$90000,16,0),3)="EF-",VLOOKUP(B281,[1]Material!F$5:U$90000,16,0)="EFI"),"EFI",
      AND(ISNUMBER(VLOOKUP(B281,[1]Material!F$5:U$90000,16,0)),VLOOKUP(B281,[1]Material!F$5:U$90000,16,0)&gt;=100,VLOOKUP(B281,[1]Material!F$5:U$90000,16,0)&lt;=999,VLOOKUP(B281,[1]Material!F$5:U$90000,16,0)=INT(VLOOKUP(B281,[1]Material!F$5:U$90000,16,0))),"OEM",
      TRUE,""
    ),
    "không tìm thấy trong file Import"
  ),
  VLOOKUP(F281,'[2]Export shipment'!B:Y,24,0)
)</f>
        <v>FORD</v>
      </c>
      <c r="H281" s="184"/>
      <c r="I281" s="184"/>
      <c r="J281" s="260">
        <f>(V281+X281+AA281)/'Logistics record '!$AD$1</f>
        <v>15.116015418335726</v>
      </c>
      <c r="K281" s="260">
        <f>W281/'Logistics record '!$AD$1</f>
        <v>0</v>
      </c>
      <c r="L281" s="260">
        <f>Y281/'Logistics record '!$AD$1</f>
        <v>0</v>
      </c>
      <c r="M281" s="260">
        <f>AF281/'Logistics record '!$AD$1</f>
        <v>0</v>
      </c>
      <c r="N281" s="260" t="str" cm="1">
        <f t="array" ref="N281">_xlfn.IFS(
    OR(UPPER(S281)="AIR", UPPER(S281)="CPN"), "AIR",
    UPPER(S281)="TC", "LOCAL",
    TRUE, "SEA"
)</f>
        <v>AIR</v>
      </c>
      <c r="O281" s="260">
        <f t="shared" si="28"/>
        <v>15.116015418335726</v>
      </c>
      <c r="P281" s="184" t="s">
        <v>937</v>
      </c>
      <c r="Q281" s="185">
        <v>108327045410</v>
      </c>
      <c r="R281" s="186">
        <v>46183</v>
      </c>
      <c r="S281" s="187" t="s">
        <v>928</v>
      </c>
      <c r="T281" s="188">
        <v>1.8</v>
      </c>
      <c r="U281" s="188"/>
      <c r="V281" s="189">
        <v>400000</v>
      </c>
      <c r="W281" s="190"/>
      <c r="X281" s="190"/>
      <c r="Y281" s="190"/>
      <c r="Z281" s="189">
        <f t="shared" si="24"/>
        <v>400000</v>
      </c>
      <c r="AA281" s="189">
        <v>0</v>
      </c>
      <c r="AB281" s="189">
        <f t="shared" si="29"/>
        <v>400000</v>
      </c>
      <c r="AC281" s="189"/>
      <c r="AD281" s="190"/>
      <c r="AE281" s="190"/>
      <c r="AF281" s="191">
        <f t="shared" si="25"/>
        <v>0</v>
      </c>
      <c r="AG281" s="190">
        <f t="shared" si="26"/>
        <v>400000</v>
      </c>
      <c r="AH281" s="190"/>
      <c r="AI281" s="192" t="str">
        <f>VLOOKUP(Q281,[3]Sheet1!B$11:G$1489,6,0)</f>
        <v>E11</v>
      </c>
      <c r="GK281" s="194"/>
      <c r="GL281" s="195"/>
      <c r="GM281" s="196"/>
      <c r="GN281" s="197"/>
      <c r="GO281" s="198"/>
      <c r="GP281" s="199"/>
      <c r="GQ281" s="200"/>
      <c r="GR281" s="201"/>
      <c r="GS281" s="60"/>
      <c r="GT281" s="202"/>
      <c r="GU281" s="202"/>
      <c r="GV281" s="202"/>
      <c r="GW281" s="202"/>
      <c r="GX281" s="203"/>
      <c r="HA281" s="194"/>
      <c r="HB281" s="195"/>
      <c r="HC281" s="196"/>
      <c r="HD281" s="197"/>
      <c r="HE281" s="198"/>
      <c r="HF281" s="199"/>
      <c r="HG281" s="200"/>
      <c r="HH281" s="201"/>
      <c r="HI281" s="60"/>
      <c r="HJ281" s="202"/>
      <c r="HK281" s="202"/>
      <c r="HL281" s="202"/>
      <c r="HM281" s="202"/>
      <c r="HN281" s="203"/>
    </row>
    <row r="282" spans="1:222" ht="16.5" customHeight="1">
      <c r="A282" s="181">
        <v>279</v>
      </c>
      <c r="B282" s="182">
        <v>381860195105</v>
      </c>
      <c r="C282" s="183" t="s">
        <v>2544</v>
      </c>
      <c r="D282" s="184" t="s">
        <v>1702</v>
      </c>
      <c r="E282" s="184" t="str">
        <f t="shared" si="27"/>
        <v>Import</v>
      </c>
      <c r="F282" s="720" t="str" cm="1">
        <f t="array" ref="F282">_xlfn.IFS(
  OR(AI282="E11", AI282="E15"), "Raw materials",
  OR(AI282="E13", AI282="G13"), "Equipments + Toolings",
  TRUE, RIGHT(C282, 8)
)</f>
        <v>Raw materials</v>
      </c>
      <c r="G282" s="541" t="str" cm="1">
        <f t="array" ref="G282">IF(E282="Import",
  IFERROR(
    _xlfn.IFS(
      VLOOKUP(B282,[1]Material!F$5:U$90000,16,0)="LUC","Lucid",
      VLOOKUP(B282,[1]Material!F$5:U$90000,16,0)="FMC","FORD",
      OR(VLOOKUP(B282,[1]Material!F$5:U$90000,16,0)="PUR",VLOOKUP(B282,[1]Material!F$5:U$90000,16,0)="HLO"),"PURE",
      VLOOKUP(B282,[1]Material!F$5:U$90000,16,0)="AIC","AIC",
      OR(VLOOKUP(B282,[1]Material!F$5:U$90000,16,0)="AGI",VLOOKUP(B282,[1]Material!F$5:U$90000,16,0)="AGIGA"),"AGIGA",
      OR(LEFT(VLOOKUP(B282,[1]Material!F$5:U$90000,16,0),3)="EF-",VLOOKUP(B282,[1]Material!F$5:U$90000,16,0)="EFI"),"EFI",
      AND(ISNUMBER(VLOOKUP(B282,[1]Material!F$5:U$90000,16,0)),VLOOKUP(B282,[1]Material!F$5:U$90000,16,0)&gt;=100,VLOOKUP(B282,[1]Material!F$5:U$90000,16,0)&lt;=999,VLOOKUP(B282,[1]Material!F$5:U$90000,16,0)=INT(VLOOKUP(B282,[1]Material!F$5:U$90000,16,0))),"OEM",
      TRUE,""
    ),
    "không tìm thấy trong file Import"
  ),
  VLOOKUP(F282,'[2]Export shipment'!B:Y,24,0)
)</f>
        <v>EFI</v>
      </c>
      <c r="H282" s="184"/>
      <c r="I282" s="184"/>
      <c r="J282" s="260">
        <f>(V282+X282+AA282)/'Logistics record '!$AD$1</f>
        <v>15.116015418335726</v>
      </c>
      <c r="K282" s="260">
        <f>W282/'Logistics record '!$AD$1</f>
        <v>0</v>
      </c>
      <c r="L282" s="260">
        <f>Y282/'Logistics record '!$AD$1</f>
        <v>0</v>
      </c>
      <c r="M282" s="260">
        <f>AF282/'Logistics record '!$AD$1</f>
        <v>0</v>
      </c>
      <c r="N282" s="260" t="str" cm="1">
        <f t="array" ref="N282">_xlfn.IFS(
    OR(UPPER(S282)="AIR", UPPER(S282)="CPN"), "AIR",
    UPPER(S282)="TC", "LOCAL",
    TRUE, "SEA"
)</f>
        <v>AIR</v>
      </c>
      <c r="O282" s="260">
        <f t="shared" si="28"/>
        <v>15.116015418335726</v>
      </c>
      <c r="P282" s="184" t="s">
        <v>937</v>
      </c>
      <c r="Q282" s="185">
        <v>108327059520</v>
      </c>
      <c r="R282" s="186">
        <v>46183</v>
      </c>
      <c r="S282" s="187" t="s">
        <v>928</v>
      </c>
      <c r="T282" s="188">
        <v>0.5</v>
      </c>
      <c r="U282" s="188"/>
      <c r="V282" s="189">
        <v>400000</v>
      </c>
      <c r="W282" s="190"/>
      <c r="X282" s="190"/>
      <c r="Y282" s="190"/>
      <c r="Z282" s="189">
        <f t="shared" si="24"/>
        <v>400000</v>
      </c>
      <c r="AA282" s="189">
        <v>0</v>
      </c>
      <c r="AB282" s="189">
        <f t="shared" si="29"/>
        <v>400000</v>
      </c>
      <c r="AC282" s="189"/>
      <c r="AD282" s="190"/>
      <c r="AE282" s="190"/>
      <c r="AF282" s="191">
        <f t="shared" si="25"/>
        <v>0</v>
      </c>
      <c r="AG282" s="190">
        <f t="shared" si="26"/>
        <v>400000</v>
      </c>
      <c r="AH282" s="190"/>
      <c r="AI282" s="192" t="str">
        <f>VLOOKUP(Q282,[3]Sheet1!B$11:G$1489,6,0)</f>
        <v>E11</v>
      </c>
      <c r="GK282" s="194"/>
      <c r="GL282" s="195"/>
      <c r="GM282" s="196"/>
      <c r="GN282" s="197"/>
      <c r="GO282" s="198"/>
      <c r="GP282" s="199"/>
      <c r="GQ282" s="200"/>
      <c r="GR282" s="201"/>
      <c r="GS282" s="60"/>
      <c r="GT282" s="202"/>
      <c r="GU282" s="202"/>
      <c r="GV282" s="202"/>
      <c r="GW282" s="202"/>
      <c r="GX282" s="203"/>
      <c r="HA282" s="194"/>
      <c r="HB282" s="195"/>
      <c r="HC282" s="196"/>
      <c r="HD282" s="197"/>
      <c r="HE282" s="198"/>
      <c r="HF282" s="199"/>
      <c r="HG282" s="200"/>
      <c r="HH282" s="201"/>
      <c r="HI282" s="60"/>
      <c r="HJ282" s="202"/>
      <c r="HK282" s="202"/>
      <c r="HL282" s="202"/>
      <c r="HM282" s="202"/>
      <c r="HN282" s="203"/>
    </row>
    <row r="283" spans="1:222" ht="16.5" customHeight="1">
      <c r="A283" s="181">
        <v>280</v>
      </c>
      <c r="B283" s="182">
        <v>818547865244</v>
      </c>
      <c r="C283" s="183" t="s">
        <v>2545</v>
      </c>
      <c r="D283" s="184" t="s">
        <v>2513</v>
      </c>
      <c r="E283" s="184" t="str">
        <f t="shared" si="27"/>
        <v>Import</v>
      </c>
      <c r="F283" s="720" t="str" cm="1">
        <f t="array" ref="F283">_xlfn.IFS(
  OR(AI283="E11", AI283="E15"), "Raw materials",
  OR(AI283="E13", AI283="G13"), "Equipments + Toolings",
  TRUE, RIGHT(C283, 8)
)</f>
        <v>Raw materials</v>
      </c>
      <c r="G283" s="541" t="str" cm="1">
        <f t="array" ref="G283">IF(E283="Import",
  IFERROR(
    _xlfn.IFS(
      VLOOKUP(B283,[1]Material!F$5:U$90000,16,0)="LUC","Lucid",
      VLOOKUP(B283,[1]Material!F$5:U$90000,16,0)="FMC","FORD",
      OR(VLOOKUP(B283,[1]Material!F$5:U$90000,16,0)="PUR",VLOOKUP(B283,[1]Material!F$5:U$90000,16,0)="HLO"),"PURE",
      VLOOKUP(B283,[1]Material!F$5:U$90000,16,0)="AIC","AIC",
      OR(VLOOKUP(B283,[1]Material!F$5:U$90000,16,0)="AGI",VLOOKUP(B283,[1]Material!F$5:U$90000,16,0)="AGIGA"),"AGIGA",
      OR(LEFT(VLOOKUP(B283,[1]Material!F$5:U$90000,16,0),3)="EF-",VLOOKUP(B283,[1]Material!F$5:U$90000,16,0)="EFI"),"EFI",
      AND(ISNUMBER(VLOOKUP(B283,[1]Material!F$5:U$90000,16,0)),VLOOKUP(B283,[1]Material!F$5:U$90000,16,0)&gt;=100,VLOOKUP(B283,[1]Material!F$5:U$90000,16,0)&lt;=999,VLOOKUP(B283,[1]Material!F$5:U$90000,16,0)=INT(VLOOKUP(B283,[1]Material!F$5:U$90000,16,0))),"OEM",
      TRUE,""
    ),
    "không tìm thấy trong file Import"
  ),
  VLOOKUP(F283,'[2]Export shipment'!B:Y,24,0)
)</f>
        <v>Lucid</v>
      </c>
      <c r="H283" s="184"/>
      <c r="I283" s="184"/>
      <c r="J283" s="260">
        <f>(V283+X283+AA283)/'Logistics record '!$AD$1</f>
        <v>15.116015418335726</v>
      </c>
      <c r="K283" s="260">
        <f>W283/'Logistics record '!$AD$1</f>
        <v>0</v>
      </c>
      <c r="L283" s="260">
        <f>Y283/'Logistics record '!$AD$1</f>
        <v>0</v>
      </c>
      <c r="M283" s="260">
        <f>AF283/'Logistics record '!$AD$1</f>
        <v>0</v>
      </c>
      <c r="N283" s="260" t="str" cm="1">
        <f t="array" ref="N283">_xlfn.IFS(
    OR(UPPER(S283)="AIR", UPPER(S283)="CPN"), "AIR",
    UPPER(S283)="TC", "LOCAL",
    TRUE, "SEA"
)</f>
        <v>AIR</v>
      </c>
      <c r="O283" s="260">
        <f t="shared" si="28"/>
        <v>15.116015418335726</v>
      </c>
      <c r="P283" s="184" t="s">
        <v>937</v>
      </c>
      <c r="Q283" s="185">
        <v>108327159510</v>
      </c>
      <c r="R283" s="186">
        <v>46183</v>
      </c>
      <c r="S283" s="187" t="s">
        <v>928</v>
      </c>
      <c r="T283" s="188">
        <v>5.5</v>
      </c>
      <c r="U283" s="188"/>
      <c r="V283" s="189">
        <v>400000</v>
      </c>
      <c r="W283" s="190"/>
      <c r="X283" s="190"/>
      <c r="Y283" s="190"/>
      <c r="Z283" s="189">
        <f t="shared" si="24"/>
        <v>400000</v>
      </c>
      <c r="AA283" s="189">
        <v>0</v>
      </c>
      <c r="AB283" s="189">
        <f t="shared" si="29"/>
        <v>400000</v>
      </c>
      <c r="AC283" s="189"/>
      <c r="AD283" s="190"/>
      <c r="AE283" s="190"/>
      <c r="AF283" s="191">
        <f t="shared" si="25"/>
        <v>0</v>
      </c>
      <c r="AG283" s="190">
        <f t="shared" si="26"/>
        <v>400000</v>
      </c>
      <c r="AH283" s="190"/>
      <c r="AI283" s="192" t="str">
        <f>VLOOKUP(Q283,[3]Sheet1!B$11:G$1489,6,0)</f>
        <v>E11</v>
      </c>
      <c r="GK283" s="194"/>
      <c r="GL283" s="195"/>
      <c r="GM283" s="196"/>
      <c r="GN283" s="197"/>
      <c r="GO283" s="198"/>
      <c r="GP283" s="199"/>
      <c r="GQ283" s="200"/>
      <c r="GR283" s="201"/>
      <c r="GS283" s="60"/>
      <c r="GT283" s="202"/>
      <c r="GU283" s="202"/>
      <c r="GV283" s="202"/>
      <c r="GW283" s="202"/>
      <c r="GX283" s="203"/>
      <c r="HA283" s="194"/>
      <c r="HB283" s="195"/>
      <c r="HC283" s="196"/>
      <c r="HD283" s="197"/>
      <c r="HE283" s="198"/>
      <c r="HF283" s="199"/>
      <c r="HG283" s="200"/>
      <c r="HH283" s="201"/>
      <c r="HI283" s="60"/>
      <c r="HJ283" s="202"/>
      <c r="HK283" s="202"/>
      <c r="HL283" s="202"/>
      <c r="HM283" s="202"/>
      <c r="HN283" s="203"/>
    </row>
    <row r="284" spans="1:222" ht="16.5" customHeight="1">
      <c r="A284" s="181">
        <v>281</v>
      </c>
      <c r="B284" s="182">
        <v>526433759854</v>
      </c>
      <c r="C284" s="183" t="s">
        <v>2546</v>
      </c>
      <c r="D284" s="184" t="s">
        <v>950</v>
      </c>
      <c r="E284" s="184" t="str">
        <f t="shared" si="27"/>
        <v>Import</v>
      </c>
      <c r="F284" s="720" t="str" cm="1">
        <f t="array" ref="F284">_xlfn.IFS(
  OR(AI284="E11", AI284="E15"), "Raw materials",
  OR(AI284="E13", AI284="G13"), "Equipments + Toolings",
  TRUE, RIGHT(C284, 8)
)</f>
        <v>Raw materials</v>
      </c>
      <c r="G284" s="541" t="str" cm="1">
        <f t="array" ref="G284">IF(E284="Import",
  IFERROR(
    _xlfn.IFS(
      VLOOKUP(B284,[1]Material!F$5:U$90000,16,0)="LUC","Lucid",
      VLOOKUP(B284,[1]Material!F$5:U$90000,16,0)="FMC","FORD",
      OR(VLOOKUP(B284,[1]Material!F$5:U$90000,16,0)="PUR",VLOOKUP(B284,[1]Material!F$5:U$90000,16,0)="HLO"),"PURE",
      VLOOKUP(B284,[1]Material!F$5:U$90000,16,0)="AIC","AIC",
      OR(VLOOKUP(B284,[1]Material!F$5:U$90000,16,0)="AGI",VLOOKUP(B284,[1]Material!F$5:U$90000,16,0)="AGIGA"),"AGIGA",
      OR(LEFT(VLOOKUP(B284,[1]Material!F$5:U$90000,16,0),3)="EF-",VLOOKUP(B284,[1]Material!F$5:U$90000,16,0)="EFI"),"EFI",
      AND(ISNUMBER(VLOOKUP(B284,[1]Material!F$5:U$90000,16,0)),VLOOKUP(B284,[1]Material!F$5:U$90000,16,0)&gt;=100,VLOOKUP(B284,[1]Material!F$5:U$90000,16,0)&lt;=999,VLOOKUP(B284,[1]Material!F$5:U$90000,16,0)=INT(VLOOKUP(B284,[1]Material!F$5:U$90000,16,0))),"OEM",
      TRUE,""
    ),
    "không tìm thấy trong file Import"
  ),
  VLOOKUP(F284,'[2]Export shipment'!B:Y,24,0)
)</f>
        <v>OEM</v>
      </c>
      <c r="H284" s="184"/>
      <c r="I284" s="184"/>
      <c r="J284" s="260">
        <f>(V284+X284+AA284)/'Logistics record '!$AD$1</f>
        <v>15.116015418335726</v>
      </c>
      <c r="K284" s="260">
        <f>W284/'Logistics record '!$AD$1</f>
        <v>0</v>
      </c>
      <c r="L284" s="260">
        <f>Y284/'Logistics record '!$AD$1</f>
        <v>0</v>
      </c>
      <c r="M284" s="260">
        <f>AF284/'Logistics record '!$AD$1</f>
        <v>0</v>
      </c>
      <c r="N284" s="260" t="str" cm="1">
        <f t="array" ref="N284">_xlfn.IFS(
    OR(UPPER(S284)="AIR", UPPER(S284)="CPN"), "AIR",
    UPPER(S284)="TC", "LOCAL",
    TRUE, "SEA"
)</f>
        <v>AIR</v>
      </c>
      <c r="O284" s="260">
        <f t="shared" si="28"/>
        <v>15.116015418335726</v>
      </c>
      <c r="P284" s="184" t="s">
        <v>935</v>
      </c>
      <c r="Q284" s="185">
        <v>108327268340</v>
      </c>
      <c r="R284" s="186">
        <v>46183</v>
      </c>
      <c r="S284" s="187" t="s">
        <v>928</v>
      </c>
      <c r="T284" s="188">
        <v>8.3000000000000007</v>
      </c>
      <c r="U284" s="188"/>
      <c r="V284" s="189">
        <v>400000</v>
      </c>
      <c r="W284" s="190"/>
      <c r="X284" s="190"/>
      <c r="Y284" s="190"/>
      <c r="Z284" s="189">
        <f t="shared" si="24"/>
        <v>400000</v>
      </c>
      <c r="AA284" s="189">
        <v>0</v>
      </c>
      <c r="AB284" s="189">
        <f t="shared" si="29"/>
        <v>400000</v>
      </c>
      <c r="AC284" s="189"/>
      <c r="AD284" s="190"/>
      <c r="AE284" s="190"/>
      <c r="AF284" s="191">
        <f t="shared" si="25"/>
        <v>0</v>
      </c>
      <c r="AG284" s="190">
        <f t="shared" si="26"/>
        <v>400000</v>
      </c>
      <c r="AH284" s="190"/>
      <c r="AI284" s="192" t="str">
        <f>VLOOKUP(Q284,[3]Sheet1!B$11:G$1489,6,0)</f>
        <v>E11</v>
      </c>
      <c r="GK284" s="194"/>
      <c r="GL284" s="195"/>
      <c r="GM284" s="196"/>
      <c r="GN284" s="197"/>
      <c r="GO284" s="198"/>
      <c r="GP284" s="199"/>
      <c r="GQ284" s="200"/>
      <c r="GR284" s="201"/>
      <c r="GS284" s="60"/>
      <c r="GT284" s="202"/>
      <c r="GU284" s="202"/>
      <c r="GV284" s="202"/>
      <c r="GW284" s="202"/>
      <c r="GX284" s="203"/>
      <c r="HA284" s="194"/>
      <c r="HB284" s="195"/>
      <c r="HC284" s="196"/>
      <c r="HD284" s="197"/>
      <c r="HE284" s="198"/>
      <c r="HF284" s="199"/>
      <c r="HG284" s="200"/>
      <c r="HH284" s="201"/>
      <c r="HI284" s="60"/>
      <c r="HJ284" s="202"/>
      <c r="HK284" s="202"/>
      <c r="HL284" s="202"/>
      <c r="HM284" s="202"/>
      <c r="HN284" s="203"/>
    </row>
    <row r="285" spans="1:222" ht="16.5" customHeight="1">
      <c r="A285" s="181">
        <v>282</v>
      </c>
      <c r="B285" s="182">
        <v>381847534714</v>
      </c>
      <c r="C285" s="598" t="s">
        <v>2547</v>
      </c>
      <c r="D285" s="184" t="s">
        <v>802</v>
      </c>
      <c r="E285" s="184" t="str">
        <f t="shared" si="27"/>
        <v>Import</v>
      </c>
      <c r="F285" s="720" t="str" cm="1">
        <f t="array" ref="F285">_xlfn.IFS(
  OR(AI285="E11", AI285="E15"), "Raw materials",
  OR(AI285="E13", AI285="G13"), "Equipments + Toolings",
  TRUE, RIGHT(C285, 8)
)</f>
        <v>Raw materials</v>
      </c>
      <c r="G285" s="541" t="str" cm="1">
        <f t="array" ref="G285">IF(E285="Import",
  IFERROR(
    _xlfn.IFS(
      VLOOKUP(B285,[1]Material!F$5:U$90000,16,0)="LUC","Lucid",
      VLOOKUP(B285,[1]Material!F$5:U$90000,16,0)="FMC","FORD",
      OR(VLOOKUP(B285,[1]Material!F$5:U$90000,16,0)="PUR",VLOOKUP(B285,[1]Material!F$5:U$90000,16,0)="HLO"),"PURE",
      VLOOKUP(B285,[1]Material!F$5:U$90000,16,0)="AIC","AIC",
      OR(VLOOKUP(B285,[1]Material!F$5:U$90000,16,0)="AGI",VLOOKUP(B285,[1]Material!F$5:U$90000,16,0)="AGIGA"),"AGIGA",
      OR(LEFT(VLOOKUP(B285,[1]Material!F$5:U$90000,16,0),3)="EF-",VLOOKUP(B285,[1]Material!F$5:U$90000,16,0)="EFI"),"EFI",
      AND(ISNUMBER(VLOOKUP(B285,[1]Material!F$5:U$90000,16,0)),VLOOKUP(B285,[1]Material!F$5:U$90000,16,0)&gt;=100,VLOOKUP(B285,[1]Material!F$5:U$90000,16,0)&lt;=999,VLOOKUP(B285,[1]Material!F$5:U$90000,16,0)=INT(VLOOKUP(B285,[1]Material!F$5:U$90000,16,0))),"OEM",
      TRUE,""
    ),
    "không tìm thấy trong file Import"
  ),
  VLOOKUP(F285,'[2]Export shipment'!B:Y,24,0)
)</f>
        <v>EFI</v>
      </c>
      <c r="H285" s="184"/>
      <c r="I285" s="184"/>
      <c r="J285" s="260">
        <f>(V285+X285+AA285)/'Logistics record '!$AD$1</f>
        <v>15.116015418335726</v>
      </c>
      <c r="K285" s="260">
        <f>W285/'Logistics record '!$AD$1</f>
        <v>0</v>
      </c>
      <c r="L285" s="260">
        <f>Y285/'Logistics record '!$AD$1</f>
        <v>0</v>
      </c>
      <c r="M285" s="260">
        <f>AF285/'Logistics record '!$AD$1</f>
        <v>0</v>
      </c>
      <c r="N285" s="260" t="str" cm="1">
        <f t="array" ref="N285">_xlfn.IFS(
    OR(UPPER(S285)="AIR", UPPER(S285)="CPN"), "AIR",
    UPPER(S285)="TC", "LOCAL",
    TRUE, "SEA"
)</f>
        <v>AIR</v>
      </c>
      <c r="O285" s="260">
        <f t="shared" si="28"/>
        <v>15.116015418335726</v>
      </c>
      <c r="P285" s="184" t="s">
        <v>931</v>
      </c>
      <c r="Q285" s="185">
        <v>108327328910</v>
      </c>
      <c r="R285" s="186">
        <v>46183</v>
      </c>
      <c r="S285" s="187" t="s">
        <v>928</v>
      </c>
      <c r="T285" s="188">
        <v>0.4</v>
      </c>
      <c r="U285" s="188"/>
      <c r="V285" s="189">
        <v>400000</v>
      </c>
      <c r="W285" s="190"/>
      <c r="X285" s="190"/>
      <c r="Y285" s="190"/>
      <c r="Z285" s="189">
        <f t="shared" si="24"/>
        <v>400000</v>
      </c>
      <c r="AA285" s="189">
        <v>0</v>
      </c>
      <c r="AB285" s="189">
        <f t="shared" si="29"/>
        <v>400000</v>
      </c>
      <c r="AC285" s="189"/>
      <c r="AD285" s="190"/>
      <c r="AE285" s="190"/>
      <c r="AF285" s="191">
        <f t="shared" si="25"/>
        <v>0</v>
      </c>
      <c r="AG285" s="190">
        <f t="shared" si="26"/>
        <v>400000</v>
      </c>
      <c r="AH285" s="190"/>
      <c r="AI285" s="192" t="str">
        <f>VLOOKUP(Q285,[3]Sheet1!B$11:G$1489,6,0)</f>
        <v>E11</v>
      </c>
      <c r="GK285" s="194"/>
      <c r="GL285" s="195"/>
      <c r="GM285" s="196"/>
      <c r="GN285" s="197"/>
      <c r="GO285" s="198"/>
      <c r="GP285" s="199"/>
      <c r="GQ285" s="200"/>
      <c r="GR285" s="201"/>
      <c r="GS285" s="60"/>
      <c r="GT285" s="202"/>
      <c r="GU285" s="202"/>
      <c r="GV285" s="202"/>
      <c r="GW285" s="202"/>
      <c r="GX285" s="203"/>
      <c r="HA285" s="194"/>
      <c r="HB285" s="195"/>
      <c r="HC285" s="196"/>
      <c r="HD285" s="197"/>
      <c r="HE285" s="198"/>
      <c r="HF285" s="199"/>
      <c r="HG285" s="200"/>
      <c r="HH285" s="201"/>
      <c r="HI285" s="60"/>
      <c r="HJ285" s="202"/>
      <c r="HK285" s="202"/>
      <c r="HL285" s="202"/>
      <c r="HM285" s="202"/>
      <c r="HN285" s="203"/>
    </row>
    <row r="286" spans="1:222" ht="16.5" customHeight="1">
      <c r="A286" s="181">
        <v>283</v>
      </c>
      <c r="B286" s="182">
        <v>381895018874</v>
      </c>
      <c r="C286" s="183" t="s">
        <v>2548</v>
      </c>
      <c r="D286" s="184" t="s">
        <v>2446</v>
      </c>
      <c r="E286" s="184" t="str">
        <f t="shared" si="27"/>
        <v>Import</v>
      </c>
      <c r="F286" s="720" t="str" cm="1">
        <f t="array" ref="F286">_xlfn.IFS(
  OR(AI286="E11", AI286="E15"), "Raw materials",
  OR(AI286="E13", AI286="G13"), "Equipments + Toolings",
  TRUE, RIGHT(C286, 8)
)</f>
        <v>Raw materials</v>
      </c>
      <c r="G286" s="541" t="str" cm="1">
        <f t="array" ref="G286">IF(E286="Import",
  IFERROR(
    _xlfn.IFS(
      VLOOKUP(B286,[1]Material!F$5:U$90000,16,0)="LUC","Lucid",
      VLOOKUP(B286,[1]Material!F$5:U$90000,16,0)="FMC","FORD",
      OR(VLOOKUP(B286,[1]Material!F$5:U$90000,16,0)="PUR",VLOOKUP(B286,[1]Material!F$5:U$90000,16,0)="HLO"),"PURE",
      VLOOKUP(B286,[1]Material!F$5:U$90000,16,0)="AIC","AIC",
      OR(VLOOKUP(B286,[1]Material!F$5:U$90000,16,0)="AGI",VLOOKUP(B286,[1]Material!F$5:U$90000,16,0)="AGIGA"),"AGIGA",
      OR(LEFT(VLOOKUP(B286,[1]Material!F$5:U$90000,16,0),3)="EF-",VLOOKUP(B286,[1]Material!F$5:U$90000,16,0)="EFI"),"EFI",
      AND(ISNUMBER(VLOOKUP(B286,[1]Material!F$5:U$90000,16,0)),VLOOKUP(B286,[1]Material!F$5:U$90000,16,0)&gt;=100,VLOOKUP(B286,[1]Material!F$5:U$90000,16,0)&lt;=999,VLOOKUP(B286,[1]Material!F$5:U$90000,16,0)=INT(VLOOKUP(B286,[1]Material!F$5:U$90000,16,0))),"OEM",
      TRUE,""
    ),
    "không tìm thấy trong file Import"
  ),
  VLOOKUP(F286,'[2]Export shipment'!B:Y,24,0)
)</f>
        <v>PURE</v>
      </c>
      <c r="H286" s="184"/>
      <c r="I286" s="184"/>
      <c r="J286" s="260">
        <f>(V286+X286+AA286)/'Logistics record '!$AD$1</f>
        <v>15.116015418335726</v>
      </c>
      <c r="K286" s="260">
        <f>W286/'Logistics record '!$AD$1</f>
        <v>0</v>
      </c>
      <c r="L286" s="260">
        <f>Y286/'Logistics record '!$AD$1</f>
        <v>0</v>
      </c>
      <c r="M286" s="260">
        <f>AF286/'Logistics record '!$AD$1</f>
        <v>0</v>
      </c>
      <c r="N286" s="260" t="str" cm="1">
        <f t="array" ref="N286">_xlfn.IFS(
    OR(UPPER(S286)="AIR", UPPER(S286)="CPN"), "AIR",
    UPPER(S286)="TC", "LOCAL",
    TRUE, "SEA"
)</f>
        <v>AIR</v>
      </c>
      <c r="O286" s="260">
        <f t="shared" si="28"/>
        <v>15.116015418335726</v>
      </c>
      <c r="P286" s="184" t="s">
        <v>937</v>
      </c>
      <c r="Q286" s="185">
        <v>108327422710</v>
      </c>
      <c r="R286" s="186">
        <v>46183</v>
      </c>
      <c r="S286" s="187" t="s">
        <v>928</v>
      </c>
      <c r="T286" s="188">
        <v>2</v>
      </c>
      <c r="U286" s="188"/>
      <c r="V286" s="189">
        <v>400000</v>
      </c>
      <c r="W286" s="190"/>
      <c r="X286" s="190"/>
      <c r="Y286" s="190"/>
      <c r="Z286" s="189">
        <f t="shared" si="24"/>
        <v>400000</v>
      </c>
      <c r="AA286" s="189">
        <v>0</v>
      </c>
      <c r="AB286" s="189">
        <f t="shared" si="29"/>
        <v>400000</v>
      </c>
      <c r="AC286" s="189"/>
      <c r="AD286" s="190"/>
      <c r="AE286" s="190"/>
      <c r="AF286" s="191">
        <f t="shared" si="25"/>
        <v>0</v>
      </c>
      <c r="AG286" s="190">
        <f t="shared" si="26"/>
        <v>400000</v>
      </c>
      <c r="AH286" s="190"/>
      <c r="AI286" s="192" t="str">
        <f>VLOOKUP(Q286,[3]Sheet1!B$11:G$1489,6,0)</f>
        <v>E11</v>
      </c>
      <c r="GK286" s="194"/>
      <c r="GL286" s="195"/>
      <c r="GM286" s="196"/>
      <c r="GN286" s="197"/>
      <c r="GO286" s="198"/>
      <c r="GP286" s="199"/>
      <c r="GQ286" s="200"/>
      <c r="GR286" s="201"/>
      <c r="GS286" s="60"/>
      <c r="GT286" s="202"/>
      <c r="GU286" s="202"/>
      <c r="GV286" s="202"/>
      <c r="GW286" s="202"/>
      <c r="GX286" s="203"/>
      <c r="HA286" s="194"/>
      <c r="HB286" s="195"/>
      <c r="HC286" s="196"/>
      <c r="HD286" s="197"/>
      <c r="HE286" s="198"/>
      <c r="HF286" s="199"/>
      <c r="HG286" s="200"/>
      <c r="HH286" s="201"/>
      <c r="HI286" s="60"/>
      <c r="HJ286" s="202"/>
      <c r="HK286" s="202"/>
      <c r="HL286" s="202"/>
      <c r="HM286" s="202"/>
      <c r="HN286" s="203"/>
    </row>
    <row r="287" spans="1:222" ht="16.5" customHeight="1">
      <c r="A287" s="181">
        <v>284</v>
      </c>
      <c r="B287" s="182">
        <v>381660504209</v>
      </c>
      <c r="C287" s="183" t="s">
        <v>2549</v>
      </c>
      <c r="D287" s="184" t="s">
        <v>2446</v>
      </c>
      <c r="E287" s="184" t="str">
        <f t="shared" si="27"/>
        <v>Import</v>
      </c>
      <c r="F287" s="720" t="str" cm="1">
        <f t="array" ref="F287">_xlfn.IFS(
  OR(AI287="E11", AI287="E15"), "Raw materials",
  OR(AI287="E13", AI287="G13"), "Equipments + Toolings",
  TRUE, RIGHT(C287, 8)
)</f>
        <v>Raw materials</v>
      </c>
      <c r="G287" s="541" t="str" cm="1">
        <f t="array" ref="G287">IF(E287="Import",
  IFERROR(
    _xlfn.IFS(
      VLOOKUP(B287,[1]Material!F$5:U$90000,16,0)="LUC","Lucid",
      VLOOKUP(B287,[1]Material!F$5:U$90000,16,0)="FMC","FORD",
      OR(VLOOKUP(B287,[1]Material!F$5:U$90000,16,0)="PUR",VLOOKUP(B287,[1]Material!F$5:U$90000,16,0)="HLO"),"PURE",
      VLOOKUP(B287,[1]Material!F$5:U$90000,16,0)="AIC","AIC",
      OR(VLOOKUP(B287,[1]Material!F$5:U$90000,16,0)="AGI",VLOOKUP(B287,[1]Material!F$5:U$90000,16,0)="AGIGA"),"AGIGA",
      OR(LEFT(VLOOKUP(B287,[1]Material!F$5:U$90000,16,0),3)="EF-",VLOOKUP(B287,[1]Material!F$5:U$90000,16,0)="EFI"),"EFI",
      AND(ISNUMBER(VLOOKUP(B287,[1]Material!F$5:U$90000,16,0)),VLOOKUP(B287,[1]Material!F$5:U$90000,16,0)&gt;=100,VLOOKUP(B287,[1]Material!F$5:U$90000,16,0)&lt;=999,VLOOKUP(B287,[1]Material!F$5:U$90000,16,0)=INT(VLOOKUP(B287,[1]Material!F$5:U$90000,16,0))),"OEM",
      TRUE,""
    ),
    "không tìm thấy trong file Import"
  ),
  VLOOKUP(F287,'[2]Export shipment'!B:Y,24,0)
)</f>
        <v>PURE</v>
      </c>
      <c r="H287" s="184"/>
      <c r="I287" s="184"/>
      <c r="J287" s="260">
        <f>(V287+X287+AA287)/'Logistics record '!$AD$1</f>
        <v>15.116015418335726</v>
      </c>
      <c r="K287" s="260">
        <f>W287/'Logistics record '!$AD$1</f>
        <v>0</v>
      </c>
      <c r="L287" s="260">
        <f>Y287/'Logistics record '!$AD$1</f>
        <v>0</v>
      </c>
      <c r="M287" s="260">
        <f>AF287/'Logistics record '!$AD$1</f>
        <v>0</v>
      </c>
      <c r="N287" s="260" t="str" cm="1">
        <f t="array" ref="N287">_xlfn.IFS(
    OR(UPPER(S287)="AIR", UPPER(S287)="CPN"), "AIR",
    UPPER(S287)="TC", "LOCAL",
    TRUE, "SEA"
)</f>
        <v>AIR</v>
      </c>
      <c r="O287" s="260">
        <f t="shared" si="28"/>
        <v>15.116015418335726</v>
      </c>
      <c r="P287" s="184" t="s">
        <v>937</v>
      </c>
      <c r="Q287" s="185">
        <v>108327660230</v>
      </c>
      <c r="R287" s="186">
        <v>46183</v>
      </c>
      <c r="S287" s="187" t="s">
        <v>928</v>
      </c>
      <c r="T287" s="188">
        <v>5</v>
      </c>
      <c r="U287" s="188"/>
      <c r="V287" s="189">
        <v>400000</v>
      </c>
      <c r="W287" s="190"/>
      <c r="X287" s="190"/>
      <c r="Y287" s="190"/>
      <c r="Z287" s="189">
        <f t="shared" si="24"/>
        <v>400000</v>
      </c>
      <c r="AA287" s="189">
        <v>0</v>
      </c>
      <c r="AB287" s="189">
        <f t="shared" si="29"/>
        <v>400000</v>
      </c>
      <c r="AC287" s="189"/>
      <c r="AD287" s="190"/>
      <c r="AE287" s="190"/>
      <c r="AF287" s="191">
        <f t="shared" si="25"/>
        <v>0</v>
      </c>
      <c r="AG287" s="190">
        <f t="shared" si="26"/>
        <v>400000</v>
      </c>
      <c r="AH287" s="190"/>
      <c r="AI287" s="192" t="str">
        <f>VLOOKUP(Q287,[3]Sheet1!B$11:G$1489,6,0)</f>
        <v>E11</v>
      </c>
      <c r="GK287" s="194"/>
      <c r="GL287" s="195"/>
      <c r="GM287" s="196"/>
      <c r="GN287" s="197"/>
      <c r="GO287" s="198"/>
      <c r="GP287" s="199"/>
      <c r="GQ287" s="200"/>
      <c r="GR287" s="201"/>
      <c r="GS287" s="60"/>
      <c r="GT287" s="202"/>
      <c r="GU287" s="202"/>
      <c r="GV287" s="202"/>
      <c r="GW287" s="202"/>
      <c r="GX287" s="203"/>
      <c r="HA287" s="194"/>
      <c r="HB287" s="195"/>
      <c r="HC287" s="196"/>
      <c r="HD287" s="197"/>
      <c r="HE287" s="198"/>
      <c r="HF287" s="199"/>
      <c r="HG287" s="200"/>
      <c r="HH287" s="201"/>
      <c r="HI287" s="60"/>
      <c r="HJ287" s="202"/>
      <c r="HK287" s="202"/>
      <c r="HL287" s="202"/>
      <c r="HM287" s="202"/>
      <c r="HN287" s="203"/>
    </row>
    <row r="288" spans="1:222" ht="16.5" customHeight="1">
      <c r="A288" s="181">
        <v>285</v>
      </c>
      <c r="B288" s="182">
        <v>527390655812</v>
      </c>
      <c r="C288" s="183" t="s">
        <v>2550</v>
      </c>
      <c r="D288" s="184" t="s">
        <v>1994</v>
      </c>
      <c r="E288" s="184" t="str">
        <f t="shared" si="27"/>
        <v>Import</v>
      </c>
      <c r="F288" s="720" t="str" cm="1">
        <f t="array" ref="F288">_xlfn.IFS(
  OR(AI288="E11", AI288="E15"), "Raw materials",
  OR(AI288="E13", AI288="G13"), "Equipments + Toolings",
  TRUE, RIGHT(C288, 8)
)</f>
        <v>Raw materials</v>
      </c>
      <c r="G288" s="541" t="str" cm="1">
        <f t="array" ref="G288">IF(E288="Import",
  IFERROR(
    _xlfn.IFS(
      VLOOKUP(B288,[1]Material!F$5:U$90000,16,0)="LUC","Lucid",
      VLOOKUP(B288,[1]Material!F$5:U$90000,16,0)="FMC","FORD",
      OR(VLOOKUP(B288,[1]Material!F$5:U$90000,16,0)="PUR",VLOOKUP(B288,[1]Material!F$5:U$90000,16,0)="HLO"),"PURE",
      VLOOKUP(B288,[1]Material!F$5:U$90000,16,0)="AIC","AIC",
      OR(VLOOKUP(B288,[1]Material!F$5:U$90000,16,0)="AGI",VLOOKUP(B288,[1]Material!F$5:U$90000,16,0)="AGIGA"),"AGIGA",
      OR(LEFT(VLOOKUP(B288,[1]Material!F$5:U$90000,16,0),3)="EF-",VLOOKUP(B288,[1]Material!F$5:U$90000,16,0)="EFI"),"EFI",
      AND(ISNUMBER(VLOOKUP(B288,[1]Material!F$5:U$90000,16,0)),VLOOKUP(B288,[1]Material!F$5:U$90000,16,0)&gt;=100,VLOOKUP(B288,[1]Material!F$5:U$90000,16,0)&lt;=999,VLOOKUP(B288,[1]Material!F$5:U$90000,16,0)=INT(VLOOKUP(B288,[1]Material!F$5:U$90000,16,0))),"OEM",
      TRUE,""
    ),
    "không tìm thấy trong file Import"
  ),
  VLOOKUP(F288,'[2]Export shipment'!B:Y,24,0)
)</f>
        <v>PURE</v>
      </c>
      <c r="H288" s="184"/>
      <c r="I288" s="184"/>
      <c r="J288" s="260">
        <f>(V288+X288+AA288)/'Logistics record '!$AD$1</f>
        <v>15.116015418335726</v>
      </c>
      <c r="K288" s="260">
        <f>W288/'Logistics record '!$AD$1</f>
        <v>0</v>
      </c>
      <c r="L288" s="260">
        <f>Y288/'Logistics record '!$AD$1</f>
        <v>0</v>
      </c>
      <c r="M288" s="260">
        <f>AF288/'Logistics record '!$AD$1</f>
        <v>0</v>
      </c>
      <c r="N288" s="260" t="str" cm="1">
        <f t="array" ref="N288">_xlfn.IFS(
    OR(UPPER(S288)="AIR", UPPER(S288)="CPN"), "AIR",
    UPPER(S288)="TC", "LOCAL",
    TRUE, "SEA"
)</f>
        <v>AIR</v>
      </c>
      <c r="O288" s="260">
        <f t="shared" si="28"/>
        <v>15.116015418335726</v>
      </c>
      <c r="P288" s="184" t="s">
        <v>939</v>
      </c>
      <c r="Q288" s="185">
        <v>108327903830</v>
      </c>
      <c r="R288" s="186">
        <v>46183</v>
      </c>
      <c r="S288" s="187" t="s">
        <v>928</v>
      </c>
      <c r="T288" s="188">
        <v>38.200000000000003</v>
      </c>
      <c r="U288" s="188"/>
      <c r="V288" s="189">
        <v>400000</v>
      </c>
      <c r="W288" s="190"/>
      <c r="X288" s="190"/>
      <c r="Y288" s="190"/>
      <c r="Z288" s="189">
        <f t="shared" si="24"/>
        <v>400000</v>
      </c>
      <c r="AA288" s="189">
        <v>0</v>
      </c>
      <c r="AB288" s="189">
        <f t="shared" si="29"/>
        <v>400000</v>
      </c>
      <c r="AC288" s="189"/>
      <c r="AD288" s="190"/>
      <c r="AE288" s="190"/>
      <c r="AF288" s="191">
        <f t="shared" si="25"/>
        <v>0</v>
      </c>
      <c r="AG288" s="190">
        <f t="shared" si="26"/>
        <v>400000</v>
      </c>
      <c r="AH288" s="190"/>
      <c r="AI288" s="192" t="str">
        <f>VLOOKUP(Q288,[3]Sheet1!B$11:G$1489,6,0)</f>
        <v>E11</v>
      </c>
      <c r="GK288" s="194"/>
      <c r="GL288" s="195"/>
      <c r="GM288" s="196"/>
      <c r="GN288" s="197"/>
      <c r="GO288" s="198"/>
      <c r="GP288" s="199"/>
      <c r="GQ288" s="200"/>
      <c r="GR288" s="201"/>
      <c r="GS288" s="60"/>
      <c r="GT288" s="202"/>
      <c r="GU288" s="202"/>
      <c r="GV288" s="202"/>
      <c r="GW288" s="202"/>
      <c r="GX288" s="203"/>
      <c r="HA288" s="194"/>
      <c r="HB288" s="195"/>
      <c r="HC288" s="196"/>
      <c r="HD288" s="197"/>
      <c r="HE288" s="198"/>
      <c r="HF288" s="199"/>
      <c r="HG288" s="200"/>
      <c r="HH288" s="201"/>
      <c r="HI288" s="60"/>
      <c r="HJ288" s="202"/>
      <c r="HK288" s="202"/>
      <c r="HL288" s="202"/>
      <c r="HM288" s="202"/>
      <c r="HN288" s="203"/>
    </row>
    <row r="289" spans="1:222" ht="16.5" customHeight="1">
      <c r="A289" s="181">
        <v>286</v>
      </c>
      <c r="B289" s="182">
        <v>381459220583</v>
      </c>
      <c r="C289" s="183" t="s">
        <v>2551</v>
      </c>
      <c r="D289" s="184" t="s">
        <v>958</v>
      </c>
      <c r="E289" s="184" t="str">
        <f t="shared" si="27"/>
        <v>Import</v>
      </c>
      <c r="F289" s="720" t="str" cm="1">
        <f t="array" ref="F289">_xlfn.IFS(
  OR(AI289="E11", AI289="E15"), "Raw materials",
  OR(AI289="E13", AI289="G13"), "Equipments + Toolings",
  TRUE, RIGHT(C289, 8)
)</f>
        <v>Raw materials</v>
      </c>
      <c r="G289" s="541" t="s">
        <v>94</v>
      </c>
      <c r="H289" s="184"/>
      <c r="I289" s="184"/>
      <c r="J289" s="260">
        <f>(V289+X289+AA289)/'Logistics record '!$AD$1</f>
        <v>15.116015418335726</v>
      </c>
      <c r="K289" s="260">
        <f>W289/'Logistics record '!$AD$1</f>
        <v>0</v>
      </c>
      <c r="L289" s="260">
        <f>Y289/'Logistics record '!$AD$1</f>
        <v>0</v>
      </c>
      <c r="M289" s="260">
        <f>AF289/'Logistics record '!$AD$1</f>
        <v>0</v>
      </c>
      <c r="N289" s="260" t="str" cm="1">
        <f t="array" ref="N289">_xlfn.IFS(
    OR(UPPER(S289)="AIR", UPPER(S289)="CPN"), "AIR",
    UPPER(S289)="TC", "LOCAL",
    TRUE, "SEA"
)</f>
        <v>AIR</v>
      </c>
      <c r="O289" s="260">
        <f t="shared" si="28"/>
        <v>15.116015418335726</v>
      </c>
      <c r="P289" s="184" t="s">
        <v>959</v>
      </c>
      <c r="Q289" s="185">
        <v>108328575350</v>
      </c>
      <c r="R289" s="186">
        <v>46183</v>
      </c>
      <c r="S289" s="187" t="s">
        <v>928</v>
      </c>
      <c r="T289" s="188">
        <v>33</v>
      </c>
      <c r="U289" s="188"/>
      <c r="V289" s="189">
        <v>400000</v>
      </c>
      <c r="W289" s="190"/>
      <c r="X289" s="190"/>
      <c r="Y289" s="190"/>
      <c r="Z289" s="189">
        <f t="shared" si="24"/>
        <v>400000</v>
      </c>
      <c r="AA289" s="189">
        <v>0</v>
      </c>
      <c r="AB289" s="189">
        <f t="shared" si="29"/>
        <v>400000</v>
      </c>
      <c r="AC289" s="189"/>
      <c r="AD289" s="190"/>
      <c r="AE289" s="190"/>
      <c r="AF289" s="191">
        <f t="shared" si="25"/>
        <v>0</v>
      </c>
      <c r="AG289" s="190">
        <f t="shared" si="26"/>
        <v>400000</v>
      </c>
      <c r="AH289" s="190"/>
      <c r="AI289" s="192" t="str">
        <f>VLOOKUP(Q289,[3]Sheet1!B$11:G$1489,6,0)</f>
        <v>E11</v>
      </c>
      <c r="GK289" s="194"/>
      <c r="GL289" s="195"/>
      <c r="GM289" s="196"/>
      <c r="GN289" s="197"/>
      <c r="GO289" s="198"/>
      <c r="GP289" s="199"/>
      <c r="GQ289" s="200"/>
      <c r="GR289" s="201"/>
      <c r="GS289" s="60"/>
      <c r="GT289" s="202"/>
      <c r="GU289" s="202"/>
      <c r="GV289" s="202"/>
      <c r="GW289" s="202"/>
      <c r="GX289" s="203"/>
      <c r="HA289" s="194"/>
      <c r="HB289" s="195"/>
      <c r="HC289" s="196"/>
      <c r="HD289" s="197"/>
      <c r="HE289" s="198"/>
      <c r="HF289" s="199"/>
      <c r="HG289" s="200"/>
      <c r="HH289" s="201"/>
      <c r="HI289" s="60"/>
      <c r="HJ289" s="202"/>
      <c r="HK289" s="202"/>
      <c r="HL289" s="202"/>
      <c r="HM289" s="202"/>
      <c r="HN289" s="203"/>
    </row>
    <row r="290" spans="1:222" ht="16.5" customHeight="1">
      <c r="A290" s="181">
        <v>287</v>
      </c>
      <c r="B290" s="182">
        <v>483570647219</v>
      </c>
      <c r="C290" s="598" t="s">
        <v>2552</v>
      </c>
      <c r="D290" s="184" t="s">
        <v>110</v>
      </c>
      <c r="E290" s="184" t="str">
        <f t="shared" si="27"/>
        <v>Import</v>
      </c>
      <c r="F290" s="720" t="str" cm="1">
        <f t="array" ref="F290">_xlfn.IFS(
  OR(AI290="E11", AI290="E15"), "Raw materials",
  OR(AI290="E13", AI290="G13"), "Equipments + Toolings",
  TRUE, RIGHT(C290, 8)
)</f>
        <v>Raw materials</v>
      </c>
      <c r="G290" s="541" t="str" cm="1">
        <f t="array" ref="G290">IF(E290="Import",
  IFERROR(
    _xlfn.IFS(
      VLOOKUP(B290,[1]Material!F$5:U$90000,16,0)="LUC","Lucid",
      VLOOKUP(B290,[1]Material!F$5:U$90000,16,0)="FMC","FORD",
      OR(VLOOKUP(B290,[1]Material!F$5:U$90000,16,0)="PUR",VLOOKUP(B290,[1]Material!F$5:U$90000,16,0)="HLO"),"PURE",
      VLOOKUP(B290,[1]Material!F$5:U$90000,16,0)="AIC","AIC",
      OR(VLOOKUP(B290,[1]Material!F$5:U$90000,16,0)="AGI",VLOOKUP(B290,[1]Material!F$5:U$90000,16,0)="AGIGA"),"AGIGA",
      OR(LEFT(VLOOKUP(B290,[1]Material!F$5:U$90000,16,0),3)="EF-",VLOOKUP(B290,[1]Material!F$5:U$90000,16,0)="EFI"),"EFI",
      AND(ISNUMBER(VLOOKUP(B290,[1]Material!F$5:U$90000,16,0)),VLOOKUP(B290,[1]Material!F$5:U$90000,16,0)&gt;=100,VLOOKUP(B290,[1]Material!F$5:U$90000,16,0)&lt;=999,VLOOKUP(B290,[1]Material!F$5:U$90000,16,0)=INT(VLOOKUP(B290,[1]Material!F$5:U$90000,16,0))),"OEM",
      TRUE,""
    ),
    "không tìm thấy trong file Import"
  ),
  VLOOKUP(F290,'[2]Export shipment'!B:Y,24,0)
)</f>
        <v>PURE</v>
      </c>
      <c r="H290" s="184"/>
      <c r="I290" s="184"/>
      <c r="J290" s="260">
        <f>(V290+X290+AA290)/'Logistics record '!$AD$1</f>
        <v>15.116015418335726</v>
      </c>
      <c r="K290" s="260">
        <f>W290/'Logistics record '!$AD$1</f>
        <v>0</v>
      </c>
      <c r="L290" s="260">
        <f>Y290/'Logistics record '!$AD$1</f>
        <v>0</v>
      </c>
      <c r="M290" s="260">
        <f>AF290/'Logistics record '!$AD$1</f>
        <v>0</v>
      </c>
      <c r="N290" s="260" t="str" cm="1">
        <f t="array" ref="N290">_xlfn.IFS(
    OR(UPPER(S290)="AIR", UPPER(S290)="CPN"), "AIR",
    UPPER(S290)="TC", "LOCAL",
    TRUE, "SEA"
)</f>
        <v>AIR</v>
      </c>
      <c r="O290" s="260">
        <f t="shared" si="28"/>
        <v>15.116015418335726</v>
      </c>
      <c r="P290" s="184" t="s">
        <v>935</v>
      </c>
      <c r="Q290" s="185">
        <v>108328609320</v>
      </c>
      <c r="R290" s="186">
        <v>46183</v>
      </c>
      <c r="S290" s="187" t="s">
        <v>928</v>
      </c>
      <c r="T290" s="188">
        <v>6.6</v>
      </c>
      <c r="U290" s="188"/>
      <c r="V290" s="189">
        <v>400000</v>
      </c>
      <c r="W290" s="190"/>
      <c r="X290" s="190"/>
      <c r="Y290" s="190"/>
      <c r="Z290" s="189">
        <f t="shared" si="24"/>
        <v>400000</v>
      </c>
      <c r="AA290" s="189">
        <v>0</v>
      </c>
      <c r="AB290" s="189">
        <f t="shared" si="29"/>
        <v>400000</v>
      </c>
      <c r="AC290" s="189"/>
      <c r="AD290" s="190"/>
      <c r="AE290" s="190"/>
      <c r="AF290" s="191">
        <f t="shared" si="25"/>
        <v>0</v>
      </c>
      <c r="AG290" s="190">
        <f t="shared" si="26"/>
        <v>400000</v>
      </c>
      <c r="AH290" s="190"/>
      <c r="AI290" s="192" t="str">
        <f>VLOOKUP(Q290,[3]Sheet1!B$11:G$1489,6,0)</f>
        <v>E11</v>
      </c>
      <c r="GK290" s="194"/>
      <c r="GL290" s="195"/>
      <c r="GM290" s="196"/>
      <c r="GN290" s="197"/>
      <c r="GO290" s="198"/>
      <c r="GP290" s="199"/>
      <c r="GQ290" s="200"/>
      <c r="GR290" s="201"/>
      <c r="GS290" s="60"/>
      <c r="GT290" s="202"/>
      <c r="GU290" s="202"/>
      <c r="GV290" s="202"/>
      <c r="GW290" s="202"/>
      <c r="GX290" s="203"/>
      <c r="HA290" s="194"/>
      <c r="HB290" s="195"/>
      <c r="HC290" s="196"/>
      <c r="HD290" s="197"/>
      <c r="HE290" s="198"/>
      <c r="HF290" s="199"/>
      <c r="HG290" s="200"/>
      <c r="HH290" s="201"/>
      <c r="HI290" s="60"/>
      <c r="HJ290" s="202"/>
      <c r="HK290" s="202"/>
      <c r="HL290" s="202"/>
      <c r="HM290" s="202"/>
      <c r="HN290" s="203"/>
    </row>
    <row r="291" spans="1:222" ht="16.5" customHeight="1">
      <c r="A291" s="181">
        <v>288</v>
      </c>
      <c r="B291" s="182">
        <v>527159112240</v>
      </c>
      <c r="C291" s="598" t="s">
        <v>2553</v>
      </c>
      <c r="D291" s="184" t="s">
        <v>968</v>
      </c>
      <c r="E291" s="184" t="str">
        <f t="shared" si="27"/>
        <v>Import</v>
      </c>
      <c r="F291" s="720" t="str" cm="1">
        <f t="array" ref="F291">_xlfn.IFS(
  OR(AI291="E11", AI291="E15"), "Raw materials",
  OR(AI291="E13", AI291="G13"), "Equipments + Toolings",
  TRUE, RIGHT(C291, 8)
)</f>
        <v>Raw materials</v>
      </c>
      <c r="G291" s="541" t="str" cm="1">
        <f t="array" ref="G291">IF(E291="Import",
  IFERROR(
    _xlfn.IFS(
      VLOOKUP(B291,[1]Material!F$5:U$90000,16,0)="LUC","Lucid",
      VLOOKUP(B291,[1]Material!F$5:U$90000,16,0)="FMC","FORD",
      OR(VLOOKUP(B291,[1]Material!F$5:U$90000,16,0)="PUR",VLOOKUP(B291,[1]Material!F$5:U$90000,16,0)="HLO"),"PURE",
      VLOOKUP(B291,[1]Material!F$5:U$90000,16,0)="AIC","AIC",
      OR(VLOOKUP(B291,[1]Material!F$5:U$90000,16,0)="AGI",VLOOKUP(B291,[1]Material!F$5:U$90000,16,0)="AGIGA"),"AGIGA",
      OR(LEFT(VLOOKUP(B291,[1]Material!F$5:U$90000,16,0),3)="EF-",VLOOKUP(B291,[1]Material!F$5:U$90000,16,0)="EFI"),"EFI",
      AND(ISNUMBER(VLOOKUP(B291,[1]Material!F$5:U$90000,16,0)),VLOOKUP(B291,[1]Material!F$5:U$90000,16,0)&gt;=100,VLOOKUP(B291,[1]Material!F$5:U$90000,16,0)&lt;=999,VLOOKUP(B291,[1]Material!F$5:U$90000,16,0)=INT(VLOOKUP(B291,[1]Material!F$5:U$90000,16,0))),"OEM",
      TRUE,""
    ),
    "không tìm thấy trong file Import"
  ),
  VLOOKUP(F291,'[2]Export shipment'!B:Y,24,0)
)</f>
        <v>EFI</v>
      </c>
      <c r="H291" s="184"/>
      <c r="I291" s="184"/>
      <c r="J291" s="260">
        <f>(V291+X291+AA291)/'Logistics record '!$AD$1</f>
        <v>15.116015418335726</v>
      </c>
      <c r="K291" s="260">
        <f>W291/'Logistics record '!$AD$1</f>
        <v>0</v>
      </c>
      <c r="L291" s="260">
        <f>Y291/'Logistics record '!$AD$1</f>
        <v>0</v>
      </c>
      <c r="M291" s="260">
        <f>AF291/'Logistics record '!$AD$1</f>
        <v>0</v>
      </c>
      <c r="N291" s="260" t="str" cm="1">
        <f t="array" ref="N291">_xlfn.IFS(
    OR(UPPER(S291)="AIR", UPPER(S291)="CPN"), "AIR",
    UPPER(S291)="TC", "LOCAL",
    TRUE, "SEA"
)</f>
        <v>AIR</v>
      </c>
      <c r="O291" s="260">
        <f t="shared" si="28"/>
        <v>15.116015418335726</v>
      </c>
      <c r="P291" s="184" t="s">
        <v>935</v>
      </c>
      <c r="Q291" s="185">
        <v>108329097660</v>
      </c>
      <c r="R291" s="186">
        <v>46184</v>
      </c>
      <c r="S291" s="187" t="s">
        <v>928</v>
      </c>
      <c r="T291" s="188">
        <v>6.2</v>
      </c>
      <c r="U291" s="188"/>
      <c r="V291" s="189">
        <v>400000</v>
      </c>
      <c r="W291" s="190"/>
      <c r="X291" s="190"/>
      <c r="Y291" s="190"/>
      <c r="Z291" s="189">
        <f t="shared" si="24"/>
        <v>400000</v>
      </c>
      <c r="AA291" s="189">
        <v>0</v>
      </c>
      <c r="AB291" s="189">
        <f t="shared" si="29"/>
        <v>400000</v>
      </c>
      <c r="AC291" s="189"/>
      <c r="AD291" s="190"/>
      <c r="AE291" s="190"/>
      <c r="AF291" s="191">
        <f t="shared" si="25"/>
        <v>0</v>
      </c>
      <c r="AG291" s="190">
        <f t="shared" si="26"/>
        <v>400000</v>
      </c>
      <c r="AH291" s="190"/>
      <c r="AI291" s="192" t="str">
        <f>VLOOKUP(Q291,[3]Sheet1!B$11:G$1489,6,0)</f>
        <v>E11</v>
      </c>
      <c r="GK291" s="194"/>
      <c r="GL291" s="195"/>
      <c r="GM291" s="196"/>
      <c r="GN291" s="197"/>
      <c r="GO291" s="198"/>
      <c r="GP291" s="199"/>
      <c r="GQ291" s="200"/>
      <c r="GR291" s="201"/>
      <c r="GS291" s="60"/>
      <c r="GT291" s="202"/>
      <c r="GU291" s="202"/>
      <c r="GV291" s="202"/>
      <c r="GW291" s="202"/>
      <c r="GX291" s="203"/>
      <c r="HA291" s="194"/>
      <c r="HB291" s="195"/>
      <c r="HC291" s="196"/>
      <c r="HD291" s="197"/>
      <c r="HE291" s="198"/>
      <c r="HF291" s="199"/>
      <c r="HG291" s="200"/>
      <c r="HH291" s="201"/>
      <c r="HI291" s="60"/>
      <c r="HJ291" s="202"/>
      <c r="HK291" s="202"/>
      <c r="HL291" s="202"/>
      <c r="HM291" s="202"/>
      <c r="HN291" s="203"/>
    </row>
    <row r="292" spans="1:222" ht="16.5" customHeight="1">
      <c r="A292" s="181">
        <v>289</v>
      </c>
      <c r="B292" s="182">
        <v>409298924303</v>
      </c>
      <c r="C292" s="183" t="s">
        <v>2554</v>
      </c>
      <c r="D292" s="184" t="s">
        <v>378</v>
      </c>
      <c r="E292" s="184" t="str">
        <f t="shared" si="27"/>
        <v>Import</v>
      </c>
      <c r="F292" s="720" t="str" cm="1">
        <f t="array" ref="F292">_xlfn.IFS(
  OR(AI292="E11", AI292="E15"), "Raw materials",
  OR(AI292="E13", AI292="G13"), "Equipments + Toolings",
  TRUE, RIGHT(C292, 8)
)</f>
        <v>Raw materials</v>
      </c>
      <c r="G292" s="541" t="str" cm="1">
        <f t="array" ref="G292">IF(E292="Import",
  IFERROR(
    _xlfn.IFS(
      VLOOKUP(B292,[1]Material!F$5:U$90000,16,0)="LUC","Lucid",
      VLOOKUP(B292,[1]Material!F$5:U$90000,16,0)="FMC","FORD",
      OR(VLOOKUP(B292,[1]Material!F$5:U$90000,16,0)="PUR",VLOOKUP(B292,[1]Material!F$5:U$90000,16,0)="HLO"),"PURE",
      VLOOKUP(B292,[1]Material!F$5:U$90000,16,0)="AIC","AIC",
      OR(VLOOKUP(B292,[1]Material!F$5:U$90000,16,0)="AGI",VLOOKUP(B292,[1]Material!F$5:U$90000,16,0)="AGIGA"),"AGIGA",
      OR(LEFT(VLOOKUP(B292,[1]Material!F$5:U$90000,16,0),3)="EF-",VLOOKUP(B292,[1]Material!F$5:U$90000,16,0)="EFI"),"EFI",
      AND(ISNUMBER(VLOOKUP(B292,[1]Material!F$5:U$90000,16,0)),VLOOKUP(B292,[1]Material!F$5:U$90000,16,0)&gt;=100,VLOOKUP(B292,[1]Material!F$5:U$90000,16,0)&lt;=999,VLOOKUP(B292,[1]Material!F$5:U$90000,16,0)=INT(VLOOKUP(B292,[1]Material!F$5:U$90000,16,0))),"OEM",
      TRUE,""
    ),
    "không tìm thấy trong file Import"
  ),
  VLOOKUP(F292,'[2]Export shipment'!B:Y,24,0)
)</f>
        <v>EFI</v>
      </c>
      <c r="H292" s="184"/>
      <c r="I292" s="184"/>
      <c r="J292" s="260">
        <f>(V292+X292+AA292)/'Logistics record '!$AD$1</f>
        <v>15.116015418335726</v>
      </c>
      <c r="K292" s="260">
        <f>W292/'Logistics record '!$AD$1</f>
        <v>0</v>
      </c>
      <c r="L292" s="260">
        <f>Y292/'Logistics record '!$AD$1</f>
        <v>0</v>
      </c>
      <c r="M292" s="260">
        <f>AF292/'Logistics record '!$AD$1</f>
        <v>0</v>
      </c>
      <c r="N292" s="260" t="str" cm="1">
        <f t="array" ref="N292">_xlfn.IFS(
    OR(UPPER(S292)="AIR", UPPER(S292)="CPN"), "AIR",
    UPPER(S292)="TC", "LOCAL",
    TRUE, "SEA"
)</f>
        <v>AIR</v>
      </c>
      <c r="O292" s="260">
        <f t="shared" si="28"/>
        <v>15.116015418335726</v>
      </c>
      <c r="P292" s="184" t="s">
        <v>937</v>
      </c>
      <c r="Q292" s="185">
        <v>108329189620</v>
      </c>
      <c r="R292" s="186">
        <v>46184</v>
      </c>
      <c r="S292" s="187" t="s">
        <v>928</v>
      </c>
      <c r="T292" s="188">
        <v>6.5</v>
      </c>
      <c r="U292" s="188"/>
      <c r="V292" s="189">
        <v>400000</v>
      </c>
      <c r="W292" s="190"/>
      <c r="X292" s="190"/>
      <c r="Y292" s="190"/>
      <c r="Z292" s="189">
        <f t="shared" si="24"/>
        <v>400000</v>
      </c>
      <c r="AA292" s="189">
        <v>0</v>
      </c>
      <c r="AB292" s="189">
        <f t="shared" si="29"/>
        <v>400000</v>
      </c>
      <c r="AC292" s="189"/>
      <c r="AD292" s="190"/>
      <c r="AE292" s="190"/>
      <c r="AF292" s="191">
        <f t="shared" si="25"/>
        <v>0</v>
      </c>
      <c r="AG292" s="190">
        <f t="shared" si="26"/>
        <v>400000</v>
      </c>
      <c r="AH292" s="190"/>
      <c r="AI292" s="192" t="str">
        <f>VLOOKUP(Q292,[3]Sheet1!B$11:G$1489,6,0)</f>
        <v>E11</v>
      </c>
      <c r="GK292" s="194"/>
      <c r="GL292" s="195"/>
      <c r="GM292" s="196"/>
      <c r="GN292" s="197"/>
      <c r="GO292" s="198"/>
      <c r="GP292" s="199"/>
      <c r="GQ292" s="200"/>
      <c r="GR292" s="201"/>
      <c r="GS292" s="60"/>
      <c r="GT292" s="202"/>
      <c r="GU292" s="202"/>
      <c r="GV292" s="202"/>
      <c r="GW292" s="202"/>
      <c r="GX292" s="203"/>
      <c r="HA292" s="194"/>
      <c r="HB292" s="195"/>
      <c r="HC292" s="196"/>
      <c r="HD292" s="197"/>
      <c r="HE292" s="198"/>
      <c r="HF292" s="199"/>
      <c r="HG292" s="200"/>
      <c r="HH292" s="201"/>
      <c r="HI292" s="60"/>
      <c r="HJ292" s="202"/>
      <c r="HK292" s="202"/>
      <c r="HL292" s="202"/>
      <c r="HM292" s="202"/>
      <c r="HN292" s="203"/>
    </row>
    <row r="293" spans="1:222" ht="16.5" customHeight="1">
      <c r="A293" s="181">
        <v>290</v>
      </c>
      <c r="B293" s="182">
        <v>872881089343</v>
      </c>
      <c r="C293" s="183" t="s">
        <v>2555</v>
      </c>
      <c r="D293" s="184" t="s">
        <v>2556</v>
      </c>
      <c r="E293" s="184" t="str">
        <f t="shared" si="27"/>
        <v>Import</v>
      </c>
      <c r="F293" s="720" t="str" cm="1">
        <f t="array" ref="F293">_xlfn.IFS(
  OR(AI293="E11", AI293="E15"), "Raw materials",
  OR(AI293="E13", AI293="G13"), "Equipments + Toolings",
  TRUE, RIGHT(C293, 8)
)</f>
        <v>Raw materials</v>
      </c>
      <c r="G293" s="541" t="str" cm="1">
        <f t="array" ref="G293">IF(E293="Import",
  IFERROR(
    _xlfn.IFS(
      VLOOKUP(B293,[1]Material!F$5:U$90000,16,0)="LUC","Lucid",
      VLOOKUP(B293,[1]Material!F$5:U$90000,16,0)="FMC","FORD",
      OR(VLOOKUP(B293,[1]Material!F$5:U$90000,16,0)="PUR",VLOOKUP(B293,[1]Material!F$5:U$90000,16,0)="HLO"),"PURE",
      VLOOKUP(B293,[1]Material!F$5:U$90000,16,0)="AIC","AIC",
      OR(VLOOKUP(B293,[1]Material!F$5:U$90000,16,0)="AGI",VLOOKUP(B293,[1]Material!F$5:U$90000,16,0)="AGIGA"),"AGIGA",
      OR(LEFT(VLOOKUP(B293,[1]Material!F$5:U$90000,16,0),3)="EF-",VLOOKUP(B293,[1]Material!F$5:U$90000,16,0)="EFI"),"EFI",
      AND(ISNUMBER(VLOOKUP(B293,[1]Material!F$5:U$90000,16,0)),VLOOKUP(B293,[1]Material!F$5:U$90000,16,0)&gt;=100,VLOOKUP(B293,[1]Material!F$5:U$90000,16,0)&lt;=999,VLOOKUP(B293,[1]Material!F$5:U$90000,16,0)=INT(VLOOKUP(B293,[1]Material!F$5:U$90000,16,0))),"OEM",
      TRUE,""
    ),
    "không tìm thấy trong file Import"
  ),
  VLOOKUP(F293,'[2]Export shipment'!B:Y,24,0)
)</f>
        <v>OEM</v>
      </c>
      <c r="H293" s="184"/>
      <c r="I293" s="184"/>
      <c r="J293" s="260">
        <f>(V293+X293+AA293)/'Logistics record '!$AD$1</f>
        <v>15.116015418335726</v>
      </c>
      <c r="K293" s="260">
        <f>W293/'Logistics record '!$AD$1</f>
        <v>0</v>
      </c>
      <c r="L293" s="260">
        <f>Y293/'Logistics record '!$AD$1</f>
        <v>0</v>
      </c>
      <c r="M293" s="260">
        <f>AF293/'Logistics record '!$AD$1</f>
        <v>0</v>
      </c>
      <c r="N293" s="260" t="str" cm="1">
        <f t="array" ref="N293">_xlfn.IFS(
    OR(UPPER(S293)="AIR", UPPER(S293)="CPN"), "AIR",
    UPPER(S293)="TC", "LOCAL",
    TRUE, "SEA"
)</f>
        <v>AIR</v>
      </c>
      <c r="O293" s="260">
        <f t="shared" si="28"/>
        <v>15.116015418335726</v>
      </c>
      <c r="P293" s="542" t="s">
        <v>937</v>
      </c>
      <c r="Q293" s="185">
        <v>108330405960</v>
      </c>
      <c r="R293" s="186">
        <v>46184</v>
      </c>
      <c r="S293" s="187" t="s">
        <v>928</v>
      </c>
      <c r="T293" s="188">
        <v>2.6</v>
      </c>
      <c r="U293" s="188"/>
      <c r="V293" s="189">
        <v>400000</v>
      </c>
      <c r="W293" s="190"/>
      <c r="X293" s="190"/>
      <c r="Y293" s="190"/>
      <c r="Z293" s="189">
        <f t="shared" si="24"/>
        <v>400000</v>
      </c>
      <c r="AA293" s="189">
        <v>0</v>
      </c>
      <c r="AB293" s="189">
        <f t="shared" si="29"/>
        <v>400000</v>
      </c>
      <c r="AC293" s="189"/>
      <c r="AD293" s="190"/>
      <c r="AE293" s="190"/>
      <c r="AF293" s="191">
        <f t="shared" si="25"/>
        <v>0</v>
      </c>
      <c r="AG293" s="190">
        <f t="shared" si="26"/>
        <v>400000</v>
      </c>
      <c r="AH293" s="190"/>
      <c r="AI293" s="192" t="str">
        <f>VLOOKUP(Q293,[3]Sheet1!B$11:G$1489,6,0)</f>
        <v>E11</v>
      </c>
      <c r="GK293" s="194"/>
      <c r="GL293" s="195"/>
      <c r="GM293" s="196"/>
      <c r="GN293" s="197"/>
      <c r="GO293" s="198"/>
      <c r="GP293" s="199"/>
      <c r="GQ293" s="200"/>
      <c r="GR293" s="201"/>
      <c r="GS293" s="60"/>
      <c r="GT293" s="202"/>
      <c r="GU293" s="202"/>
      <c r="GV293" s="202"/>
      <c r="GW293" s="202"/>
      <c r="GX293" s="203"/>
      <c r="HA293" s="194"/>
      <c r="HB293" s="195"/>
      <c r="HC293" s="196"/>
      <c r="HD293" s="197"/>
      <c r="HE293" s="198"/>
      <c r="HF293" s="199"/>
      <c r="HG293" s="200"/>
      <c r="HH293" s="201"/>
      <c r="HI293" s="60"/>
      <c r="HJ293" s="202"/>
      <c r="HK293" s="202"/>
      <c r="HL293" s="202"/>
      <c r="HM293" s="202"/>
      <c r="HN293" s="203"/>
    </row>
    <row r="294" spans="1:222" ht="16.5" customHeight="1">
      <c r="A294" s="181">
        <v>291</v>
      </c>
      <c r="B294" s="182">
        <v>872873986800</v>
      </c>
      <c r="C294" s="183" t="s">
        <v>2557</v>
      </c>
      <c r="D294" s="184" t="s">
        <v>375</v>
      </c>
      <c r="E294" s="184" t="str">
        <f t="shared" si="27"/>
        <v>Import</v>
      </c>
      <c r="F294" s="720" t="str" cm="1">
        <f t="array" ref="F294">_xlfn.IFS(
  OR(AI294="E11", AI294="E15"), "Raw materials",
  OR(AI294="E13", AI294="G13"), "Equipments + Toolings",
  TRUE, RIGHT(C294, 8)
)</f>
        <v>Raw materials</v>
      </c>
      <c r="G294" s="541" t="str" cm="1">
        <f t="array" ref="G294">IF(E294="Import",
  IFERROR(
    _xlfn.IFS(
      VLOOKUP(B294,[1]Material!F$5:U$90000,16,0)="LUC","Lucid",
      VLOOKUP(B294,[1]Material!F$5:U$90000,16,0)="FMC","FORD",
      OR(VLOOKUP(B294,[1]Material!F$5:U$90000,16,0)="PUR",VLOOKUP(B294,[1]Material!F$5:U$90000,16,0)="HLO"),"PURE",
      VLOOKUP(B294,[1]Material!F$5:U$90000,16,0)="AIC","AIC",
      OR(VLOOKUP(B294,[1]Material!F$5:U$90000,16,0)="AGI",VLOOKUP(B294,[1]Material!F$5:U$90000,16,0)="AGIGA"),"AGIGA",
      OR(LEFT(VLOOKUP(B294,[1]Material!F$5:U$90000,16,0),3)="EF-",VLOOKUP(B294,[1]Material!F$5:U$90000,16,0)="EFI"),"EFI",
      AND(ISNUMBER(VLOOKUP(B294,[1]Material!F$5:U$90000,16,0)),VLOOKUP(B294,[1]Material!F$5:U$90000,16,0)&gt;=100,VLOOKUP(B294,[1]Material!F$5:U$90000,16,0)&lt;=999,VLOOKUP(B294,[1]Material!F$5:U$90000,16,0)=INT(VLOOKUP(B294,[1]Material!F$5:U$90000,16,0))),"OEM",
      TRUE,""
    ),
    "không tìm thấy trong file Import"
  ),
  VLOOKUP(F294,'[2]Export shipment'!B:Y,24,0)
)</f>
        <v>PURE</v>
      </c>
      <c r="H294" s="184"/>
      <c r="I294" s="184"/>
      <c r="J294" s="260">
        <f>(V294+X294+AA294)/'Logistics record '!$AD$1</f>
        <v>15.116015418335726</v>
      </c>
      <c r="K294" s="260">
        <f>W294/'Logistics record '!$AD$1</f>
        <v>0</v>
      </c>
      <c r="L294" s="260">
        <f>Y294/'Logistics record '!$AD$1</f>
        <v>0</v>
      </c>
      <c r="M294" s="260">
        <f>AF294/'Logistics record '!$AD$1</f>
        <v>0</v>
      </c>
      <c r="N294" s="260" t="str" cm="1">
        <f t="array" ref="N294">_xlfn.IFS(
    OR(UPPER(S294)="AIR", UPPER(S294)="CPN"), "AIR",
    UPPER(S294)="TC", "LOCAL",
    TRUE, "SEA"
)</f>
        <v>AIR</v>
      </c>
      <c r="O294" s="260">
        <f t="shared" si="28"/>
        <v>15.116015418335726</v>
      </c>
      <c r="P294" s="184" t="s">
        <v>937</v>
      </c>
      <c r="Q294" s="185">
        <v>108330456950</v>
      </c>
      <c r="R294" s="186">
        <v>46184</v>
      </c>
      <c r="S294" s="187" t="s">
        <v>928</v>
      </c>
      <c r="T294" s="188">
        <v>36</v>
      </c>
      <c r="U294" s="188"/>
      <c r="V294" s="189">
        <v>400000</v>
      </c>
      <c r="W294" s="190"/>
      <c r="X294" s="190"/>
      <c r="Y294" s="190"/>
      <c r="Z294" s="189">
        <f t="shared" si="24"/>
        <v>400000</v>
      </c>
      <c r="AA294" s="189">
        <v>0</v>
      </c>
      <c r="AB294" s="189">
        <f t="shared" si="29"/>
        <v>400000</v>
      </c>
      <c r="AC294" s="189"/>
      <c r="AD294" s="190"/>
      <c r="AE294" s="190"/>
      <c r="AF294" s="191">
        <f t="shared" si="25"/>
        <v>0</v>
      </c>
      <c r="AG294" s="190">
        <f t="shared" si="26"/>
        <v>400000</v>
      </c>
      <c r="AH294" s="190"/>
      <c r="AI294" s="192" t="str">
        <f>VLOOKUP(Q294,[3]Sheet1!B$11:G$1489,6,0)</f>
        <v>E11</v>
      </c>
      <c r="GK294" s="194"/>
      <c r="GL294" s="195"/>
      <c r="GM294" s="196"/>
      <c r="GN294" s="197"/>
      <c r="GO294" s="198"/>
      <c r="GP294" s="199"/>
      <c r="GQ294" s="200"/>
      <c r="GR294" s="201"/>
      <c r="GS294" s="60"/>
      <c r="GT294" s="202"/>
      <c r="GU294" s="202"/>
      <c r="GV294" s="202"/>
      <c r="GW294" s="202"/>
      <c r="GX294" s="203"/>
      <c r="HA294" s="194"/>
      <c r="HB294" s="195"/>
      <c r="HC294" s="196"/>
      <c r="HD294" s="197"/>
      <c r="HE294" s="198"/>
      <c r="HF294" s="199"/>
      <c r="HG294" s="200"/>
      <c r="HH294" s="201"/>
      <c r="HI294" s="60"/>
      <c r="HJ294" s="202"/>
      <c r="HK294" s="202"/>
      <c r="HL294" s="202"/>
      <c r="HM294" s="202"/>
      <c r="HN294" s="203"/>
    </row>
    <row r="295" spans="1:222" ht="16.5" customHeight="1">
      <c r="A295" s="181">
        <v>292</v>
      </c>
      <c r="B295" s="182">
        <v>409298925295</v>
      </c>
      <c r="C295" s="183" t="s">
        <v>2558</v>
      </c>
      <c r="D295" s="184" t="s">
        <v>378</v>
      </c>
      <c r="E295" s="184" t="str">
        <f t="shared" si="27"/>
        <v>Import</v>
      </c>
      <c r="F295" s="720" t="str" cm="1">
        <f t="array" ref="F295">_xlfn.IFS(
  OR(AI295="E11", AI295="E15"), "Raw materials",
  OR(AI295="E13", AI295="G13"), "Equipments + Toolings",
  TRUE, RIGHT(C295, 8)
)</f>
        <v>Raw materials</v>
      </c>
      <c r="G295" s="541" t="str" cm="1">
        <f t="array" ref="G295">IF(E295="Import",
  IFERROR(
    _xlfn.IFS(
      VLOOKUP(B295,[1]Material!F$5:U$90000,16,0)="LUC","Lucid",
      VLOOKUP(B295,[1]Material!F$5:U$90000,16,0)="FMC","FORD",
      OR(VLOOKUP(B295,[1]Material!F$5:U$90000,16,0)="PUR",VLOOKUP(B295,[1]Material!F$5:U$90000,16,0)="HLO"),"PURE",
      VLOOKUP(B295,[1]Material!F$5:U$90000,16,0)="AIC","AIC",
      OR(VLOOKUP(B295,[1]Material!F$5:U$90000,16,0)="AGI",VLOOKUP(B295,[1]Material!F$5:U$90000,16,0)="AGIGA"),"AGIGA",
      OR(LEFT(VLOOKUP(B295,[1]Material!F$5:U$90000,16,0),3)="EF-",VLOOKUP(B295,[1]Material!F$5:U$90000,16,0)="EFI"),"EFI",
      AND(ISNUMBER(VLOOKUP(B295,[1]Material!F$5:U$90000,16,0)),VLOOKUP(B295,[1]Material!F$5:U$90000,16,0)&gt;=100,VLOOKUP(B295,[1]Material!F$5:U$90000,16,0)&lt;=999,VLOOKUP(B295,[1]Material!F$5:U$90000,16,0)=INT(VLOOKUP(B295,[1]Material!F$5:U$90000,16,0))),"OEM",
      TRUE,""
    ),
    "không tìm thấy trong file Import"
  ),
  VLOOKUP(F295,'[2]Export shipment'!B:Y,24,0)
)</f>
        <v>Lucid</v>
      </c>
      <c r="H295" s="184"/>
      <c r="I295" s="184"/>
      <c r="J295" s="260">
        <f>(V295+X295+AA295)/'Logistics record '!$AD$1</f>
        <v>15.116015418335726</v>
      </c>
      <c r="K295" s="260">
        <f>W295/'Logistics record '!$AD$1</f>
        <v>0</v>
      </c>
      <c r="L295" s="260">
        <f>Y295/'Logistics record '!$AD$1</f>
        <v>0</v>
      </c>
      <c r="M295" s="260">
        <f>AF295/'Logistics record '!$AD$1</f>
        <v>0</v>
      </c>
      <c r="N295" s="260" t="str" cm="1">
        <f t="array" ref="N295">_xlfn.IFS(
    OR(UPPER(S295)="AIR", UPPER(S295)="CPN"), "AIR",
    UPPER(S295)="TC", "LOCAL",
    TRUE, "SEA"
)</f>
        <v>AIR</v>
      </c>
      <c r="O295" s="260">
        <f t="shared" si="28"/>
        <v>15.116015418335726</v>
      </c>
      <c r="P295" s="184" t="s">
        <v>937</v>
      </c>
      <c r="Q295" s="185">
        <v>108330517410</v>
      </c>
      <c r="R295" s="186">
        <v>46184</v>
      </c>
      <c r="S295" s="187" t="s">
        <v>928</v>
      </c>
      <c r="T295" s="188">
        <v>21.8</v>
      </c>
      <c r="U295" s="188"/>
      <c r="V295" s="189">
        <v>400000</v>
      </c>
      <c r="W295" s="190"/>
      <c r="X295" s="190"/>
      <c r="Y295" s="190"/>
      <c r="Z295" s="189">
        <f t="shared" si="24"/>
        <v>400000</v>
      </c>
      <c r="AA295" s="189">
        <v>0</v>
      </c>
      <c r="AB295" s="189">
        <f t="shared" si="29"/>
        <v>400000</v>
      </c>
      <c r="AC295" s="189"/>
      <c r="AD295" s="190"/>
      <c r="AE295" s="190"/>
      <c r="AF295" s="191">
        <f t="shared" si="25"/>
        <v>0</v>
      </c>
      <c r="AG295" s="190">
        <f t="shared" si="26"/>
        <v>400000</v>
      </c>
      <c r="AH295" s="190"/>
      <c r="AI295" s="192" t="str">
        <f>VLOOKUP(Q295,[3]Sheet1!B$11:G$1489,6,0)</f>
        <v>E11</v>
      </c>
      <c r="GK295" s="194"/>
      <c r="GL295" s="195"/>
      <c r="GM295" s="196"/>
      <c r="GN295" s="197"/>
      <c r="GO295" s="198"/>
      <c r="GP295" s="199"/>
      <c r="GQ295" s="200"/>
      <c r="GR295" s="201"/>
      <c r="GS295" s="60"/>
      <c r="GT295" s="202"/>
      <c r="GU295" s="202"/>
      <c r="GV295" s="202"/>
      <c r="GW295" s="202"/>
      <c r="GX295" s="203"/>
      <c r="HA295" s="194"/>
      <c r="HB295" s="195"/>
      <c r="HC295" s="196"/>
      <c r="HD295" s="197"/>
      <c r="HE295" s="198"/>
      <c r="HF295" s="199"/>
      <c r="HG295" s="200"/>
      <c r="HH295" s="201"/>
      <c r="HI295" s="60"/>
      <c r="HJ295" s="202"/>
      <c r="HK295" s="202"/>
      <c r="HL295" s="202"/>
      <c r="HM295" s="202"/>
      <c r="HN295" s="203"/>
    </row>
    <row r="296" spans="1:222" ht="16.5" customHeight="1">
      <c r="A296" s="181">
        <v>293</v>
      </c>
      <c r="B296" s="182">
        <v>529366822170</v>
      </c>
      <c r="C296" s="183" t="s">
        <v>2559</v>
      </c>
      <c r="D296" s="184" t="s">
        <v>957</v>
      </c>
      <c r="E296" s="184" t="str">
        <f t="shared" si="27"/>
        <v>Import</v>
      </c>
      <c r="F296" s="720" t="str" cm="1">
        <f t="array" ref="F296">_xlfn.IFS(
  OR(AI296="E11", AI296="E15"), "Raw materials",
  OR(AI296="E13", AI296="G13"), "Equipments + Toolings",
  TRUE, RIGHT(C296, 8)
)</f>
        <v>Raw materials</v>
      </c>
      <c r="G296" s="541" t="str" cm="1">
        <f t="array" ref="G296">IF(E296="Import",
  IFERROR(
    _xlfn.IFS(
      VLOOKUP(B296,[1]Material!F$5:U$90000,16,0)="LUC","Lucid",
      VLOOKUP(B296,[1]Material!F$5:U$90000,16,0)="FMC","FORD",
      OR(VLOOKUP(B296,[1]Material!F$5:U$90000,16,0)="PUR",VLOOKUP(B296,[1]Material!F$5:U$90000,16,0)="HLO"),"PURE",
      VLOOKUP(B296,[1]Material!F$5:U$90000,16,0)="AIC","AIC",
      OR(VLOOKUP(B296,[1]Material!F$5:U$90000,16,0)="AGI",VLOOKUP(B296,[1]Material!F$5:U$90000,16,0)="AGIGA"),"AGIGA",
      OR(LEFT(VLOOKUP(B296,[1]Material!F$5:U$90000,16,0),3)="EF-",VLOOKUP(B296,[1]Material!F$5:U$90000,16,0)="EFI"),"EFI",
      AND(ISNUMBER(VLOOKUP(B296,[1]Material!F$5:U$90000,16,0)),VLOOKUP(B296,[1]Material!F$5:U$90000,16,0)&gt;=100,VLOOKUP(B296,[1]Material!F$5:U$90000,16,0)&lt;=999,VLOOKUP(B296,[1]Material!F$5:U$90000,16,0)=INT(VLOOKUP(B296,[1]Material!F$5:U$90000,16,0))),"OEM",
      TRUE,""
    ),
    "không tìm thấy trong file Import"
  ),
  VLOOKUP(F296,'[2]Export shipment'!B:Y,24,0)
)</f>
        <v>FORD</v>
      </c>
      <c r="H296" s="184"/>
      <c r="I296" s="184"/>
      <c r="J296" s="260">
        <f>(V296+X296+AA296)/'Logistics record '!$AD$1</f>
        <v>15.116015418335726</v>
      </c>
      <c r="K296" s="260">
        <f>W296/'Logistics record '!$AD$1</f>
        <v>0</v>
      </c>
      <c r="L296" s="260">
        <f>Y296/'Logistics record '!$AD$1</f>
        <v>0</v>
      </c>
      <c r="M296" s="260">
        <f>AF296/'Logistics record '!$AD$1</f>
        <v>0</v>
      </c>
      <c r="N296" s="260" t="str" cm="1">
        <f t="array" ref="N296">_xlfn.IFS(
    OR(UPPER(S296)="AIR", UPPER(S296)="CPN"), "AIR",
    UPPER(S296)="TC", "LOCAL",
    TRUE, "SEA"
)</f>
        <v>AIR</v>
      </c>
      <c r="O296" s="260">
        <f t="shared" si="28"/>
        <v>15.116015418335726</v>
      </c>
      <c r="P296" s="184" t="s">
        <v>935</v>
      </c>
      <c r="Q296" s="185">
        <v>108330595550</v>
      </c>
      <c r="R296" s="186">
        <v>46184</v>
      </c>
      <c r="S296" s="187" t="s">
        <v>928</v>
      </c>
      <c r="T296" s="188">
        <v>8.9</v>
      </c>
      <c r="U296" s="188"/>
      <c r="V296" s="189">
        <v>400000</v>
      </c>
      <c r="W296" s="190"/>
      <c r="X296" s="190"/>
      <c r="Y296" s="190"/>
      <c r="Z296" s="189">
        <f t="shared" si="24"/>
        <v>400000</v>
      </c>
      <c r="AA296" s="189">
        <v>0</v>
      </c>
      <c r="AB296" s="189">
        <f t="shared" si="29"/>
        <v>400000</v>
      </c>
      <c r="AC296" s="189"/>
      <c r="AD296" s="190"/>
      <c r="AE296" s="190"/>
      <c r="AF296" s="191">
        <f t="shared" si="25"/>
        <v>0</v>
      </c>
      <c r="AG296" s="190">
        <f t="shared" si="26"/>
        <v>400000</v>
      </c>
      <c r="AH296" s="190"/>
      <c r="AI296" s="192" t="str">
        <f>VLOOKUP(Q296,[3]Sheet1!B$11:G$1489,6,0)</f>
        <v>E11</v>
      </c>
      <c r="GK296" s="194"/>
      <c r="GL296" s="195"/>
      <c r="GM296" s="196"/>
      <c r="GN296" s="197"/>
      <c r="GO296" s="198"/>
      <c r="GP296" s="199"/>
      <c r="GQ296" s="200"/>
      <c r="GR296" s="201"/>
      <c r="GS296" s="60"/>
      <c r="GT296" s="202"/>
      <c r="GU296" s="202"/>
      <c r="GV296" s="202"/>
      <c r="GW296" s="202"/>
      <c r="GX296" s="203"/>
      <c r="HA296" s="194"/>
      <c r="HB296" s="195"/>
      <c r="HC296" s="196"/>
      <c r="HD296" s="197"/>
      <c r="HE296" s="198"/>
      <c r="HF296" s="199"/>
      <c r="HG296" s="200"/>
      <c r="HH296" s="201"/>
      <c r="HI296" s="60"/>
      <c r="HJ296" s="202"/>
      <c r="HK296" s="202"/>
      <c r="HL296" s="202"/>
      <c r="HM296" s="202"/>
      <c r="HN296" s="203"/>
    </row>
    <row r="297" spans="1:222" ht="16.5" customHeight="1">
      <c r="A297" s="181">
        <v>294</v>
      </c>
      <c r="B297" s="182">
        <v>493602841709</v>
      </c>
      <c r="C297" s="598" t="s">
        <v>2560</v>
      </c>
      <c r="D297" s="184" t="s">
        <v>972</v>
      </c>
      <c r="E297" s="184" t="str">
        <f t="shared" si="27"/>
        <v>Import</v>
      </c>
      <c r="F297" s="720" t="str" cm="1">
        <f t="array" ref="F297">_xlfn.IFS(
  OR(AI297="E11", AI297="E15"), "Raw materials",
  OR(AI297="E13", AI297="G13"), "Equipments + Toolings",
  TRUE, RIGHT(C297, 8)
)</f>
        <v>Raw materials</v>
      </c>
      <c r="G297" s="541" t="str" cm="1">
        <f t="array" ref="G297">IF(E297="Import",
  IFERROR(
    _xlfn.IFS(
      VLOOKUP(B297,[1]Material!F$5:U$90000,16,0)="LUC","Lucid",
      VLOOKUP(B297,[1]Material!F$5:U$90000,16,0)="FMC","FORD",
      OR(VLOOKUP(B297,[1]Material!F$5:U$90000,16,0)="PUR",VLOOKUP(B297,[1]Material!F$5:U$90000,16,0)="HLO"),"PURE",
      VLOOKUP(B297,[1]Material!F$5:U$90000,16,0)="AIC","AIC",
      OR(VLOOKUP(B297,[1]Material!F$5:U$90000,16,0)="AGI",VLOOKUP(B297,[1]Material!F$5:U$90000,16,0)="AGIGA"),"AGIGA",
      OR(LEFT(VLOOKUP(B297,[1]Material!F$5:U$90000,16,0),3)="EF-",VLOOKUP(B297,[1]Material!F$5:U$90000,16,0)="EFI"),"EFI",
      AND(ISNUMBER(VLOOKUP(B297,[1]Material!F$5:U$90000,16,0)),VLOOKUP(B297,[1]Material!F$5:U$90000,16,0)&gt;=100,VLOOKUP(B297,[1]Material!F$5:U$90000,16,0)&lt;=999,VLOOKUP(B297,[1]Material!F$5:U$90000,16,0)=INT(VLOOKUP(B297,[1]Material!F$5:U$90000,16,0))),"OEM",
      TRUE,""
    ),
    "không tìm thấy trong file Import"
  ),
  VLOOKUP(F297,'[2]Export shipment'!B:Y,24,0)
)</f>
        <v>EFI</v>
      </c>
      <c r="H297" s="184"/>
      <c r="I297" s="184"/>
      <c r="J297" s="260">
        <f>(V297+X297+AA297)/'Logistics record '!$AD$1</f>
        <v>15.116015418335726</v>
      </c>
      <c r="K297" s="260">
        <f>W297/'Logistics record '!$AD$1</f>
        <v>0</v>
      </c>
      <c r="L297" s="260">
        <f>Y297/'Logistics record '!$AD$1</f>
        <v>0</v>
      </c>
      <c r="M297" s="260">
        <f>AF297/'Logistics record '!$AD$1</f>
        <v>0</v>
      </c>
      <c r="N297" s="260" t="str" cm="1">
        <f t="array" ref="N297">_xlfn.IFS(
    OR(UPPER(S297)="AIR", UPPER(S297)="CPN"), "AIR",
    UPPER(S297)="TC", "LOCAL",
    TRUE, "SEA"
)</f>
        <v>AIR</v>
      </c>
      <c r="O297" s="260">
        <f t="shared" si="28"/>
        <v>15.116015418335726</v>
      </c>
      <c r="P297" s="184" t="s">
        <v>935</v>
      </c>
      <c r="Q297" s="185">
        <v>108330674650</v>
      </c>
      <c r="R297" s="186">
        <v>46184</v>
      </c>
      <c r="S297" s="187" t="s">
        <v>928</v>
      </c>
      <c r="T297" s="188">
        <v>0.60000000000000009</v>
      </c>
      <c r="U297" s="188"/>
      <c r="V297" s="189">
        <v>400000</v>
      </c>
      <c r="W297" s="190"/>
      <c r="X297" s="190"/>
      <c r="Y297" s="190"/>
      <c r="Z297" s="189">
        <f t="shared" si="24"/>
        <v>400000</v>
      </c>
      <c r="AA297" s="189">
        <v>0</v>
      </c>
      <c r="AB297" s="189">
        <f t="shared" si="29"/>
        <v>400000</v>
      </c>
      <c r="AC297" s="189"/>
      <c r="AD297" s="190"/>
      <c r="AE297" s="190"/>
      <c r="AF297" s="191">
        <f t="shared" si="25"/>
        <v>0</v>
      </c>
      <c r="AG297" s="190">
        <f t="shared" si="26"/>
        <v>400000</v>
      </c>
      <c r="AH297" s="190"/>
      <c r="AI297" s="192" t="str">
        <f>VLOOKUP(Q297,[3]Sheet1!B$11:G$1489,6,0)</f>
        <v>E11</v>
      </c>
      <c r="GK297" s="194"/>
      <c r="GL297" s="195"/>
      <c r="GM297" s="196"/>
      <c r="GN297" s="197"/>
      <c r="GO297" s="198"/>
      <c r="GP297" s="199"/>
      <c r="GQ297" s="200"/>
      <c r="GR297" s="201"/>
      <c r="GS297" s="60"/>
      <c r="GT297" s="202"/>
      <c r="GU297" s="202"/>
      <c r="GV297" s="202"/>
      <c r="GW297" s="202"/>
      <c r="GX297" s="203"/>
      <c r="HA297" s="194"/>
      <c r="HB297" s="195"/>
      <c r="HC297" s="196"/>
      <c r="HD297" s="197"/>
      <c r="HE297" s="198"/>
      <c r="HF297" s="199"/>
      <c r="HG297" s="200"/>
      <c r="HH297" s="201"/>
      <c r="HI297" s="60"/>
      <c r="HJ297" s="202"/>
      <c r="HK297" s="202"/>
      <c r="HL297" s="202"/>
      <c r="HM297" s="202"/>
      <c r="HN297" s="203"/>
    </row>
    <row r="298" spans="1:222" ht="16.5" customHeight="1">
      <c r="A298" s="181">
        <v>295</v>
      </c>
      <c r="B298" s="182" t="s">
        <v>2561</v>
      </c>
      <c r="C298" s="598" t="s">
        <v>2562</v>
      </c>
      <c r="D298" s="184" t="s">
        <v>327</v>
      </c>
      <c r="E298" s="184" t="str">
        <f t="shared" si="27"/>
        <v>Import</v>
      </c>
      <c r="F298" s="720" t="str" cm="1">
        <f t="array" ref="F298">_xlfn.IFS(
  OR(AI298="E11", AI298="E15"), "Raw materials",
  OR(AI298="E13", AI298="G13"), "Equipments + Toolings",
  TRUE, RIGHT(C298, 8)
)</f>
        <v>Raw materials</v>
      </c>
      <c r="G298" s="541" t="str" cm="1">
        <f t="array" ref="G298">IF(E298="Import",
  IFERROR(
    _xlfn.IFS(
      VLOOKUP(B298,[1]Material!F$5:U$90000,16,0)="LUC","Lucid",
      VLOOKUP(B298,[1]Material!F$5:U$90000,16,0)="FMC","FORD",
      OR(VLOOKUP(B298,[1]Material!F$5:U$90000,16,0)="PUR",VLOOKUP(B298,[1]Material!F$5:U$90000,16,0)="HLO"),"PURE",
      VLOOKUP(B298,[1]Material!F$5:U$90000,16,0)="AIC","AIC",
      OR(VLOOKUP(B298,[1]Material!F$5:U$90000,16,0)="AGI",VLOOKUP(B298,[1]Material!F$5:U$90000,16,0)="AGIGA"),"AGIGA",
      OR(LEFT(VLOOKUP(B298,[1]Material!F$5:U$90000,16,0),3)="EF-",VLOOKUP(B298,[1]Material!F$5:U$90000,16,0)="EFI"),"EFI",
      AND(ISNUMBER(VLOOKUP(B298,[1]Material!F$5:U$90000,16,0)),VLOOKUP(B298,[1]Material!F$5:U$90000,16,0)&gt;=100,VLOOKUP(B298,[1]Material!F$5:U$90000,16,0)&lt;=999,VLOOKUP(B298,[1]Material!F$5:U$90000,16,0)=INT(VLOOKUP(B298,[1]Material!F$5:U$90000,16,0))),"OEM",
      TRUE,""
    ),
    "không tìm thấy trong file Import"
  ),
  VLOOKUP(F298,'[2]Export shipment'!B:Y,24,0)
)</f>
        <v>PURE</v>
      </c>
      <c r="H298" s="184"/>
      <c r="I298" s="184"/>
      <c r="J298" s="260">
        <f>(V298+X298+AA298)/'Logistics record '!$AD$1</f>
        <v>15.116015418335726</v>
      </c>
      <c r="K298" s="260">
        <f>W298/'Logistics record '!$AD$1</f>
        <v>143.6021464741894</v>
      </c>
      <c r="L298" s="260">
        <f>Y298/'Logistics record '!$AD$1</f>
        <v>1336.3174892298389</v>
      </c>
      <c r="M298" s="260">
        <f>AF298/'Logistics record '!$AD$1</f>
        <v>149.3377673645227</v>
      </c>
      <c r="N298" s="260" t="str" cm="1">
        <f t="array" ref="N298">_xlfn.IFS(
    OR(UPPER(S298)="AIR", UPPER(S298)="CPN"), "AIR",
    UPPER(S298)="TC", "LOCAL",
    TRUE, "SEA"
)</f>
        <v>SEA</v>
      </c>
      <c r="O298" s="260">
        <f t="shared" si="28"/>
        <v>1644.3734184868867</v>
      </c>
      <c r="P298" s="184" t="s">
        <v>932</v>
      </c>
      <c r="Q298" s="185">
        <v>108331025460</v>
      </c>
      <c r="R298" s="186">
        <v>46184</v>
      </c>
      <c r="S298" s="187" t="s">
        <v>933</v>
      </c>
      <c r="T298" s="188">
        <v>1893.5</v>
      </c>
      <c r="U298" s="188">
        <v>10.55</v>
      </c>
      <c r="V298" s="189">
        <v>400000</v>
      </c>
      <c r="W298" s="190">
        <v>3800000</v>
      </c>
      <c r="X298" s="190"/>
      <c r="Y298" s="190">
        <v>35361633.399999999</v>
      </c>
      <c r="Z298" s="189">
        <f t="shared" si="24"/>
        <v>39561633.399999999</v>
      </c>
      <c r="AA298" s="189">
        <v>0</v>
      </c>
      <c r="AB298" s="189">
        <f t="shared" si="29"/>
        <v>39561633.399999999</v>
      </c>
      <c r="AC298" s="189">
        <v>30296</v>
      </c>
      <c r="AD298" s="190"/>
      <c r="AE298" s="190">
        <v>3921480</v>
      </c>
      <c r="AF298" s="191">
        <f t="shared" si="25"/>
        <v>3951776</v>
      </c>
      <c r="AG298" s="190">
        <f t="shared" si="26"/>
        <v>43513409.399999999</v>
      </c>
      <c r="AH298" s="190"/>
      <c r="AI298" s="192" t="str">
        <f>VLOOKUP(Q298,[3]Sheet1!B$11:G$1489,6,0)</f>
        <v>E11</v>
      </c>
      <c r="GK298" s="194"/>
      <c r="GL298" s="195"/>
      <c r="GM298" s="196"/>
      <c r="GN298" s="197"/>
      <c r="GO298" s="198"/>
      <c r="GP298" s="199"/>
      <c r="GQ298" s="200"/>
      <c r="GR298" s="201"/>
      <c r="GS298" s="60"/>
      <c r="GT298" s="202"/>
      <c r="GU298" s="202"/>
      <c r="GV298" s="202"/>
      <c r="GW298" s="202"/>
      <c r="GX298" s="203"/>
      <c r="HA298" s="194"/>
      <c r="HB298" s="195"/>
      <c r="HC298" s="196"/>
      <c r="HD298" s="197"/>
      <c r="HE298" s="198"/>
      <c r="HF298" s="199"/>
      <c r="HG298" s="200"/>
      <c r="HH298" s="201"/>
      <c r="HI298" s="60"/>
      <c r="HJ298" s="202"/>
      <c r="HK298" s="202"/>
      <c r="HL298" s="202"/>
      <c r="HM298" s="202"/>
      <c r="HN298" s="203"/>
    </row>
    <row r="299" spans="1:222" ht="16.5" customHeight="1">
      <c r="A299" s="181">
        <v>296</v>
      </c>
      <c r="B299" s="182" t="s">
        <v>2563</v>
      </c>
      <c r="C299" s="598" t="s">
        <v>2564</v>
      </c>
      <c r="D299" s="184" t="s">
        <v>330</v>
      </c>
      <c r="E299" s="184" t="str">
        <f t="shared" si="27"/>
        <v>Import</v>
      </c>
      <c r="F299" s="720" t="str" cm="1">
        <f t="array" ref="F299">_xlfn.IFS(
  OR(AI299="E11", AI299="E15"), "Raw materials",
  OR(AI299="E13", AI299="G13"), "Equipments + Toolings",
  TRUE, RIGHT(C299, 8)
)</f>
        <v>Raw materials</v>
      </c>
      <c r="G299" s="541" t="str" cm="1">
        <f t="array" ref="G299">IF(E299="Import",
  IFERROR(
    _xlfn.IFS(
      VLOOKUP(B299,[1]Material!F$5:U$90000,16,0)="LUC","Lucid",
      VLOOKUP(B299,[1]Material!F$5:U$90000,16,0)="FMC","FORD",
      OR(VLOOKUP(B299,[1]Material!F$5:U$90000,16,0)="PUR",VLOOKUP(B299,[1]Material!F$5:U$90000,16,0)="HLO"),"PURE",
      VLOOKUP(B299,[1]Material!F$5:U$90000,16,0)="AIC","AIC",
      OR(VLOOKUP(B299,[1]Material!F$5:U$90000,16,0)="AGI",VLOOKUP(B299,[1]Material!F$5:U$90000,16,0)="AGIGA"),"AGIGA",
      OR(LEFT(VLOOKUP(B299,[1]Material!F$5:U$90000,16,0),3)="EF-",VLOOKUP(B299,[1]Material!F$5:U$90000,16,0)="EFI"),"EFI",
      AND(ISNUMBER(VLOOKUP(B299,[1]Material!F$5:U$90000,16,0)),VLOOKUP(B299,[1]Material!F$5:U$90000,16,0)&gt;=100,VLOOKUP(B299,[1]Material!F$5:U$90000,16,0)&lt;=999,VLOOKUP(B299,[1]Material!F$5:U$90000,16,0)=INT(VLOOKUP(B299,[1]Material!F$5:U$90000,16,0))),"OEM",
      TRUE,""
    ),
    "không tìm thấy trong file Import"
  ),
  VLOOKUP(F299,'[2]Export shipment'!B:Y,24,0)
)</f>
        <v>PURE</v>
      </c>
      <c r="H299" s="184"/>
      <c r="I299" s="184"/>
      <c r="J299" s="260">
        <f>(V299+X299+AA299)/'Logistics record '!$AD$1</f>
        <v>15.116015418335726</v>
      </c>
      <c r="K299" s="260">
        <f>W299/'Logistics record '!$AD$1</f>
        <v>0</v>
      </c>
      <c r="L299" s="260">
        <f>Y299/'Logistics record '!$AD$1</f>
        <v>120.13430730859343</v>
      </c>
      <c r="M299" s="260">
        <f>AF299/'Logistics record '!$AD$1</f>
        <v>45.465951175270199</v>
      </c>
      <c r="N299" s="260" t="str" cm="1">
        <f t="array" ref="N299">_xlfn.IFS(
    OR(UPPER(S299)="AIR", UPPER(S299)="CPN"), "AIR",
    UPPER(S299)="TC", "LOCAL",
    TRUE, "SEA"
)</f>
        <v>SEA</v>
      </c>
      <c r="O299" s="260">
        <f t="shared" si="28"/>
        <v>180.71627390219936</v>
      </c>
      <c r="P299" s="184" t="s">
        <v>932</v>
      </c>
      <c r="Q299" s="185">
        <v>108331312500</v>
      </c>
      <c r="R299" s="186">
        <v>46184</v>
      </c>
      <c r="S299" s="187" t="s">
        <v>933</v>
      </c>
      <c r="T299" s="188">
        <v>709.245</v>
      </c>
      <c r="U299" s="188">
        <v>2.5100000000000002</v>
      </c>
      <c r="V299" s="189">
        <v>400000</v>
      </c>
      <c r="W299" s="190"/>
      <c r="X299" s="190"/>
      <c r="Y299" s="190">
        <v>3178994.0399999996</v>
      </c>
      <c r="Z299" s="189">
        <f t="shared" si="24"/>
        <v>3578994.0399999996</v>
      </c>
      <c r="AA299" s="189">
        <v>0</v>
      </c>
      <c r="AB299" s="189">
        <f t="shared" si="29"/>
        <v>3578994.0399999996</v>
      </c>
      <c r="AC299" s="189"/>
      <c r="AD299" s="190"/>
      <c r="AE299" s="190">
        <v>1203120</v>
      </c>
      <c r="AF299" s="191">
        <f t="shared" si="25"/>
        <v>1203120</v>
      </c>
      <c r="AG299" s="190">
        <f t="shared" si="26"/>
        <v>4782114.0399999991</v>
      </c>
      <c r="AH299" s="190"/>
      <c r="AI299" s="192" t="str">
        <f>VLOOKUP(Q299,[3]Sheet1!B$11:G$1489,6,0)</f>
        <v>E11</v>
      </c>
      <c r="GK299" s="194"/>
      <c r="GL299" s="195"/>
      <c r="GM299" s="196"/>
      <c r="GN299" s="197"/>
      <c r="GO299" s="198"/>
      <c r="GP299" s="199"/>
      <c r="GQ299" s="200"/>
      <c r="GR299" s="201"/>
      <c r="GS299" s="60"/>
      <c r="GT299" s="202"/>
      <c r="GU299" s="202"/>
      <c r="GV299" s="202"/>
      <c r="GW299" s="202"/>
      <c r="GX299" s="203"/>
      <c r="HA299" s="194"/>
      <c r="HB299" s="195"/>
      <c r="HC299" s="196"/>
      <c r="HD299" s="197"/>
      <c r="HE299" s="198"/>
      <c r="HF299" s="199"/>
      <c r="HG299" s="200"/>
      <c r="HH299" s="201"/>
      <c r="HI299" s="60"/>
      <c r="HJ299" s="202"/>
      <c r="HK299" s="202"/>
      <c r="HL299" s="202"/>
      <c r="HM299" s="202"/>
      <c r="HN299" s="203"/>
    </row>
    <row r="300" spans="1:222" ht="16.5" customHeight="1">
      <c r="A300" s="181">
        <v>297</v>
      </c>
      <c r="B300" s="182">
        <v>494686585801</v>
      </c>
      <c r="C300" s="598" t="s">
        <v>2565</v>
      </c>
      <c r="D300" s="184" t="s">
        <v>523</v>
      </c>
      <c r="E300" s="184" t="str">
        <f t="shared" si="27"/>
        <v>Import</v>
      </c>
      <c r="F300" s="720" t="str" cm="1">
        <f t="array" ref="F300">_xlfn.IFS(
  OR(AI300="E11", AI300="E15"), "Raw materials",
  OR(AI300="E13", AI300="G13"), "Equipments + Toolings",
  TRUE, RIGHT(C300, 8)
)</f>
        <v>Raw materials</v>
      </c>
      <c r="G300" s="541" t="str" cm="1">
        <f t="array" ref="G300">IF(E300="Import",
  IFERROR(
    _xlfn.IFS(
      VLOOKUP(B300,[1]Material!F$5:U$90000,16,0)="LUC","Lucid",
      VLOOKUP(B300,[1]Material!F$5:U$90000,16,0)="FMC","FORD",
      OR(VLOOKUP(B300,[1]Material!F$5:U$90000,16,0)="PUR",VLOOKUP(B300,[1]Material!F$5:U$90000,16,0)="HLO"),"PURE",
      VLOOKUP(B300,[1]Material!F$5:U$90000,16,0)="AIC","AIC",
      OR(VLOOKUP(B300,[1]Material!F$5:U$90000,16,0)="AGI",VLOOKUP(B300,[1]Material!F$5:U$90000,16,0)="AGIGA"),"AGIGA",
      OR(LEFT(VLOOKUP(B300,[1]Material!F$5:U$90000,16,0),3)="EF-",VLOOKUP(B300,[1]Material!F$5:U$90000,16,0)="EFI"),"EFI",
      AND(ISNUMBER(VLOOKUP(B300,[1]Material!F$5:U$90000,16,0)),VLOOKUP(B300,[1]Material!F$5:U$90000,16,0)&gt;=100,VLOOKUP(B300,[1]Material!F$5:U$90000,16,0)&lt;=999,VLOOKUP(B300,[1]Material!F$5:U$90000,16,0)=INT(VLOOKUP(B300,[1]Material!F$5:U$90000,16,0))),"OEM",
      TRUE,""
    ),
    "không tìm thấy trong file Import"
  ),
  VLOOKUP(F300,'[2]Export shipment'!B:Y,24,0)
)</f>
        <v>EFI</v>
      </c>
      <c r="H300" s="184"/>
      <c r="I300" s="184"/>
      <c r="J300" s="260">
        <f>(V300+X300+AA300)/'Logistics record '!$AD$1</f>
        <v>15.116015418335726</v>
      </c>
      <c r="K300" s="260">
        <f>W300/'Logistics record '!$AD$1</f>
        <v>0</v>
      </c>
      <c r="L300" s="260">
        <f>Y300/'Logistics record '!$AD$1</f>
        <v>0</v>
      </c>
      <c r="M300" s="260">
        <f>AF300/'Logistics record '!$AD$1</f>
        <v>0</v>
      </c>
      <c r="N300" s="260" t="str" cm="1">
        <f t="array" ref="N300">_xlfn.IFS(
    OR(UPPER(S300)="AIR", UPPER(S300)="CPN"), "AIR",
    UPPER(S300)="TC", "LOCAL",
    TRUE, "SEA"
)</f>
        <v>AIR</v>
      </c>
      <c r="O300" s="260">
        <f t="shared" si="28"/>
        <v>15.116015418335726</v>
      </c>
      <c r="P300" s="184" t="s">
        <v>931</v>
      </c>
      <c r="Q300" s="185">
        <v>108331444320</v>
      </c>
      <c r="R300" s="186">
        <v>46184</v>
      </c>
      <c r="S300" s="187" t="s">
        <v>928</v>
      </c>
      <c r="T300" s="188">
        <v>18.899999999999999</v>
      </c>
      <c r="U300" s="188"/>
      <c r="V300" s="189">
        <v>400000</v>
      </c>
      <c r="W300" s="190"/>
      <c r="X300" s="190"/>
      <c r="Y300" s="190"/>
      <c r="Z300" s="189">
        <f t="shared" si="24"/>
        <v>400000</v>
      </c>
      <c r="AA300" s="189">
        <v>0</v>
      </c>
      <c r="AB300" s="189">
        <f t="shared" si="29"/>
        <v>400000</v>
      </c>
      <c r="AC300" s="189"/>
      <c r="AD300" s="190"/>
      <c r="AE300" s="190"/>
      <c r="AF300" s="191">
        <f t="shared" si="25"/>
        <v>0</v>
      </c>
      <c r="AG300" s="190">
        <f t="shared" si="26"/>
        <v>400000</v>
      </c>
      <c r="AH300" s="190"/>
      <c r="AI300" s="192" t="str">
        <f>VLOOKUP(Q300,[3]Sheet1!B$11:G$1489,6,0)</f>
        <v>E11</v>
      </c>
      <c r="GK300" s="194"/>
      <c r="GL300" s="195"/>
      <c r="GM300" s="196"/>
      <c r="GN300" s="197"/>
      <c r="GO300" s="198"/>
      <c r="GP300" s="199"/>
      <c r="GQ300" s="200"/>
      <c r="GR300" s="201"/>
      <c r="GS300" s="60"/>
      <c r="GT300" s="202"/>
      <c r="GU300" s="202"/>
      <c r="GV300" s="202"/>
      <c r="GW300" s="202"/>
      <c r="GX300" s="203"/>
      <c r="HA300" s="194"/>
      <c r="HB300" s="195"/>
      <c r="HC300" s="196"/>
      <c r="HD300" s="197"/>
      <c r="HE300" s="198"/>
      <c r="HF300" s="199"/>
      <c r="HG300" s="200"/>
      <c r="HH300" s="201"/>
      <c r="HI300" s="60"/>
      <c r="HJ300" s="202"/>
      <c r="HK300" s="202"/>
      <c r="HL300" s="202"/>
      <c r="HM300" s="202"/>
      <c r="HN300" s="203"/>
    </row>
    <row r="301" spans="1:222" ht="16.5" customHeight="1">
      <c r="A301" s="181">
        <v>298</v>
      </c>
      <c r="B301" s="182">
        <v>469369346976</v>
      </c>
      <c r="C301" s="598" t="s">
        <v>2566</v>
      </c>
      <c r="D301" s="184" t="s">
        <v>819</v>
      </c>
      <c r="E301" s="184" t="str">
        <f t="shared" si="27"/>
        <v>Import</v>
      </c>
      <c r="F301" s="720" t="str" cm="1">
        <f t="array" ref="F301">_xlfn.IFS(
  OR(AI301="E11", AI301="E15"), "Raw materials",
  OR(AI301="E13", AI301="G13"), "Equipments + Toolings",
  TRUE, RIGHT(C301, 8)
)</f>
        <v>Raw materials</v>
      </c>
      <c r="G301" s="541" t="str" cm="1">
        <f t="array" ref="G301">IF(E301="Import",
  IFERROR(
    _xlfn.IFS(
      VLOOKUP(B301,[1]Material!F$5:U$90000,16,0)="LUC","Lucid",
      VLOOKUP(B301,[1]Material!F$5:U$90000,16,0)="FMC","FORD",
      OR(VLOOKUP(B301,[1]Material!F$5:U$90000,16,0)="PUR",VLOOKUP(B301,[1]Material!F$5:U$90000,16,0)="HLO"),"PURE",
      VLOOKUP(B301,[1]Material!F$5:U$90000,16,0)="AIC","AIC",
      OR(VLOOKUP(B301,[1]Material!F$5:U$90000,16,0)="AGI",VLOOKUP(B301,[1]Material!F$5:U$90000,16,0)="AGIGA"),"AGIGA",
      OR(LEFT(VLOOKUP(B301,[1]Material!F$5:U$90000,16,0),3)="EF-",VLOOKUP(B301,[1]Material!F$5:U$90000,16,0)="EFI"),"EFI",
      AND(ISNUMBER(VLOOKUP(B301,[1]Material!F$5:U$90000,16,0)),VLOOKUP(B301,[1]Material!F$5:U$90000,16,0)&gt;=100,VLOOKUP(B301,[1]Material!F$5:U$90000,16,0)&lt;=999,VLOOKUP(B301,[1]Material!F$5:U$90000,16,0)=INT(VLOOKUP(B301,[1]Material!F$5:U$90000,16,0))),"OEM",
      TRUE,""
    ),
    "không tìm thấy trong file Import"
  ),
  VLOOKUP(F301,'[2]Export shipment'!B:Y,24,0)
)</f>
        <v>EFI</v>
      </c>
      <c r="H301" s="184"/>
      <c r="I301" s="184"/>
      <c r="J301" s="260">
        <f>(V301+X301+AA301)/'Logistics record '!$AD$1</f>
        <v>15.116015418335726</v>
      </c>
      <c r="K301" s="260">
        <f>W301/'Logistics record '!$AD$1</f>
        <v>0</v>
      </c>
      <c r="L301" s="260">
        <f>Y301/'Logistics record '!$AD$1</f>
        <v>0</v>
      </c>
      <c r="M301" s="260">
        <f>AF301/'Logistics record '!$AD$1</f>
        <v>0</v>
      </c>
      <c r="N301" s="260" t="str" cm="1">
        <f t="array" ref="N301">_xlfn.IFS(
    OR(UPPER(S301)="AIR", UPPER(S301)="CPN"), "AIR",
    UPPER(S301)="TC", "LOCAL",
    TRUE, "SEA"
)</f>
        <v>AIR</v>
      </c>
      <c r="O301" s="260">
        <f t="shared" si="28"/>
        <v>15.116015418335726</v>
      </c>
      <c r="P301" s="184" t="s">
        <v>932</v>
      </c>
      <c r="Q301" s="185">
        <v>108331628750</v>
      </c>
      <c r="R301" s="186">
        <v>46184</v>
      </c>
      <c r="S301" s="187" t="s">
        <v>928</v>
      </c>
      <c r="T301" s="188">
        <v>0.60000000000000009</v>
      </c>
      <c r="U301" s="188"/>
      <c r="V301" s="189">
        <v>400000</v>
      </c>
      <c r="W301" s="190"/>
      <c r="X301" s="190"/>
      <c r="Y301" s="190"/>
      <c r="Z301" s="189">
        <f t="shared" si="24"/>
        <v>400000</v>
      </c>
      <c r="AA301" s="189">
        <v>0</v>
      </c>
      <c r="AB301" s="189">
        <f t="shared" si="29"/>
        <v>400000</v>
      </c>
      <c r="AC301" s="189"/>
      <c r="AD301" s="190"/>
      <c r="AE301" s="190"/>
      <c r="AF301" s="191">
        <f t="shared" si="25"/>
        <v>0</v>
      </c>
      <c r="AG301" s="190">
        <f t="shared" si="26"/>
        <v>400000</v>
      </c>
      <c r="AH301" s="190"/>
      <c r="AI301" s="192" t="str">
        <f>VLOOKUP(Q301,[3]Sheet1!B$11:G$1489,6,0)</f>
        <v>E11</v>
      </c>
      <c r="GK301" s="194"/>
      <c r="GL301" s="195"/>
      <c r="GM301" s="196"/>
      <c r="GN301" s="197"/>
      <c r="GO301" s="198"/>
      <c r="GP301" s="199"/>
      <c r="GQ301" s="200"/>
      <c r="GR301" s="201"/>
      <c r="GS301" s="60"/>
      <c r="GT301" s="202"/>
      <c r="GU301" s="202"/>
      <c r="GV301" s="202"/>
      <c r="GW301" s="202"/>
      <c r="GX301" s="203"/>
      <c r="HA301" s="194"/>
      <c r="HB301" s="195"/>
      <c r="HC301" s="196"/>
      <c r="HD301" s="197"/>
      <c r="HE301" s="198"/>
      <c r="HF301" s="199"/>
      <c r="HG301" s="200"/>
      <c r="HH301" s="201"/>
      <c r="HI301" s="60"/>
      <c r="HJ301" s="202"/>
      <c r="HK301" s="202"/>
      <c r="HL301" s="202"/>
      <c r="HM301" s="202"/>
      <c r="HN301" s="203"/>
    </row>
    <row r="302" spans="1:222" ht="16.5" customHeight="1">
      <c r="A302" s="181">
        <v>299</v>
      </c>
      <c r="B302" s="182" t="s">
        <v>2567</v>
      </c>
      <c r="C302" s="598" t="s">
        <v>2568</v>
      </c>
      <c r="D302" s="184" t="s">
        <v>940</v>
      </c>
      <c r="E302" s="184" t="str">
        <f t="shared" si="27"/>
        <v>Import</v>
      </c>
      <c r="F302" s="720" t="str" cm="1">
        <f t="array" ref="F302">_xlfn.IFS(
  OR(AI302="E11", AI302="E15"), "Raw materials",
  OR(AI302="E13", AI302="G13"), "Equipments + Toolings",
  TRUE, RIGHT(C302, 8)
)</f>
        <v>Raw materials</v>
      </c>
      <c r="G302" s="541" t="str" cm="1">
        <f t="array" ref="G302">IF(E302="Import",
  IFERROR(
    _xlfn.IFS(
      VLOOKUP(B302,[1]Material!F$5:U$90000,16,0)="LUC","Lucid",
      VLOOKUP(B302,[1]Material!F$5:U$90000,16,0)="FMC","FORD",
      OR(VLOOKUP(B302,[1]Material!F$5:U$90000,16,0)="PUR",VLOOKUP(B302,[1]Material!F$5:U$90000,16,0)="HLO"),"PURE",
      VLOOKUP(B302,[1]Material!F$5:U$90000,16,0)="AIC","AIC",
      OR(VLOOKUP(B302,[1]Material!F$5:U$90000,16,0)="AGI",VLOOKUP(B302,[1]Material!F$5:U$90000,16,0)="AGIGA"),"AGIGA",
      OR(LEFT(VLOOKUP(B302,[1]Material!F$5:U$90000,16,0),3)="EF-",VLOOKUP(B302,[1]Material!F$5:U$90000,16,0)="EFI"),"EFI",
      AND(ISNUMBER(VLOOKUP(B302,[1]Material!F$5:U$90000,16,0)),VLOOKUP(B302,[1]Material!F$5:U$90000,16,0)&gt;=100,VLOOKUP(B302,[1]Material!F$5:U$90000,16,0)&lt;=999,VLOOKUP(B302,[1]Material!F$5:U$90000,16,0)=INT(VLOOKUP(B302,[1]Material!F$5:U$90000,16,0))),"OEM",
      TRUE,""
    ),
    "không tìm thấy trong file Import"
  ),
  VLOOKUP(F302,'[2]Export shipment'!B:Y,24,0)
)</f>
        <v>PURE</v>
      </c>
      <c r="H302" s="184" t="e">
        <f>VLOOKUP(B302,[4]Export!I$3627:J$3898,2,0)</f>
        <v>#N/A</v>
      </c>
      <c r="I302" s="184" t="s">
        <v>2089</v>
      </c>
      <c r="J302" s="260">
        <f>(V302+X302+AA302)/'Logistics record '!$AD$1</f>
        <v>15.116015418335726</v>
      </c>
      <c r="K302" s="260">
        <f>W302/'Logistics record '!$AD$1</f>
        <v>0</v>
      </c>
      <c r="L302" s="260">
        <f>Y302/'Logistics record '!$AD$1</f>
        <v>0</v>
      </c>
      <c r="M302" s="260">
        <f>AF302/'Logistics record '!$AD$1</f>
        <v>60.750510165520367</v>
      </c>
      <c r="N302" s="260" t="str" cm="1">
        <f t="array" ref="N302">_xlfn.IFS(
    OR(UPPER(S302)="AIR", UPPER(S302)="CPN"), "AIR",
    UPPER(S302)="TC", "LOCAL",
    TRUE, "SEA"
)</f>
        <v>AIR</v>
      </c>
      <c r="O302" s="260">
        <f t="shared" si="28"/>
        <v>75.866525583856088</v>
      </c>
      <c r="P302" s="184" t="s">
        <v>949</v>
      </c>
      <c r="Q302" s="185">
        <v>108333073810</v>
      </c>
      <c r="R302" s="186">
        <v>46185</v>
      </c>
      <c r="S302" s="187" t="s">
        <v>65</v>
      </c>
      <c r="T302" s="188">
        <v>3.4</v>
      </c>
      <c r="U302" s="188"/>
      <c r="V302" s="189">
        <v>400000</v>
      </c>
      <c r="W302" s="190"/>
      <c r="X302" s="190"/>
      <c r="Y302" s="190"/>
      <c r="Z302" s="189">
        <f t="shared" si="24"/>
        <v>400000</v>
      </c>
      <c r="AA302" s="189">
        <v>0</v>
      </c>
      <c r="AB302" s="189">
        <f t="shared" si="29"/>
        <v>400000</v>
      </c>
      <c r="AC302" s="189"/>
      <c r="AD302" s="190">
        <v>1220400</v>
      </c>
      <c r="AE302" s="190">
        <v>387180</v>
      </c>
      <c r="AF302" s="191">
        <f t="shared" si="25"/>
        <v>1607580</v>
      </c>
      <c r="AG302" s="190">
        <f t="shared" si="26"/>
        <v>2007580</v>
      </c>
      <c r="AH302" s="190"/>
      <c r="AI302" s="192" t="str">
        <f>VLOOKUP(Q302,[3]Sheet1!B$11:G$1489,6,0)</f>
        <v>E11</v>
      </c>
      <c r="GK302" s="194"/>
      <c r="GL302" s="195"/>
      <c r="GM302" s="196"/>
      <c r="GN302" s="197"/>
      <c r="GO302" s="198"/>
      <c r="GP302" s="199"/>
      <c r="GQ302" s="200"/>
      <c r="GR302" s="201"/>
      <c r="GS302" s="60"/>
      <c r="GT302" s="202"/>
      <c r="GU302" s="202"/>
      <c r="GV302" s="202"/>
      <c r="GW302" s="202"/>
      <c r="GX302" s="203"/>
      <c r="HA302" s="194"/>
      <c r="HB302" s="195"/>
      <c r="HC302" s="196"/>
      <c r="HD302" s="197"/>
      <c r="HE302" s="198"/>
      <c r="HF302" s="199"/>
      <c r="HG302" s="200"/>
      <c r="HH302" s="201"/>
      <c r="HI302" s="60"/>
      <c r="HJ302" s="202"/>
      <c r="HK302" s="202"/>
      <c r="HL302" s="202"/>
      <c r="HM302" s="202"/>
      <c r="HN302" s="203"/>
    </row>
    <row r="303" spans="1:222" ht="16.5" customHeight="1">
      <c r="A303" s="181">
        <v>300</v>
      </c>
      <c r="B303" s="182" t="s">
        <v>2569</v>
      </c>
      <c r="C303" s="598" t="s">
        <v>2570</v>
      </c>
      <c r="D303" s="184" t="s">
        <v>940</v>
      </c>
      <c r="E303" s="184" t="str">
        <f t="shared" si="27"/>
        <v>Import</v>
      </c>
      <c r="F303" s="720" t="str" cm="1">
        <f t="array" ref="F303">_xlfn.IFS(
  OR(AI303="E11", AI303="E15"), "Raw materials",
  OR(AI303="E13", AI303="G13"), "Equipments + Toolings",
  TRUE, RIGHT(C303, 8)
)</f>
        <v>Raw materials</v>
      </c>
      <c r="G303" s="541" t="str" cm="1">
        <f t="array" ref="G303">IF(E303="Import",
  IFERROR(
    _xlfn.IFS(
      VLOOKUP(B303,[1]Material!F$5:U$90000,16,0)="LUC","Lucid",
      VLOOKUP(B303,[1]Material!F$5:U$90000,16,0)="FMC","FORD",
      OR(VLOOKUP(B303,[1]Material!F$5:U$90000,16,0)="PUR",VLOOKUP(B303,[1]Material!F$5:U$90000,16,0)="HLO"),"PURE",
      VLOOKUP(B303,[1]Material!F$5:U$90000,16,0)="AIC","AIC",
      OR(VLOOKUP(B303,[1]Material!F$5:U$90000,16,0)="AGI",VLOOKUP(B303,[1]Material!F$5:U$90000,16,0)="AGIGA"),"AGIGA",
      OR(LEFT(VLOOKUP(B303,[1]Material!F$5:U$90000,16,0),3)="EF-",VLOOKUP(B303,[1]Material!F$5:U$90000,16,0)="EFI"),"EFI",
      AND(ISNUMBER(VLOOKUP(B303,[1]Material!F$5:U$90000,16,0)),VLOOKUP(B303,[1]Material!F$5:U$90000,16,0)&gt;=100,VLOOKUP(B303,[1]Material!F$5:U$90000,16,0)&lt;=999,VLOOKUP(B303,[1]Material!F$5:U$90000,16,0)=INT(VLOOKUP(B303,[1]Material!F$5:U$90000,16,0))),"OEM",
      TRUE,""
    ),
    "không tìm thấy trong file Import"
  ),
  VLOOKUP(F303,'[2]Export shipment'!B:Y,24,0)
)</f>
        <v>PURE</v>
      </c>
      <c r="H303" s="184" t="e">
        <f>VLOOKUP(B303,[4]Export!I$3627:J$3898,2,0)</f>
        <v>#N/A</v>
      </c>
      <c r="I303" s="184" t="s">
        <v>2089</v>
      </c>
      <c r="J303" s="260">
        <f>(V303+X303+AA303)/'Logistics record '!$AD$1</f>
        <v>15.116015418335726</v>
      </c>
      <c r="K303" s="260">
        <f>W303/'Logistics record '!$AD$1</f>
        <v>0</v>
      </c>
      <c r="L303" s="260">
        <f>Y303/'Logistics record '!$AD$1</f>
        <v>0</v>
      </c>
      <c r="M303" s="260">
        <f>AF303/'Logistics record '!$AD$1</f>
        <v>60.750510165520367</v>
      </c>
      <c r="N303" s="260" t="str" cm="1">
        <f t="array" ref="N303">_xlfn.IFS(
    OR(UPPER(S303)="AIR", UPPER(S303)="CPN"), "AIR",
    UPPER(S303)="TC", "LOCAL",
    TRUE, "SEA"
)</f>
        <v>AIR</v>
      </c>
      <c r="O303" s="260">
        <f t="shared" si="28"/>
        <v>75.866525583856088</v>
      </c>
      <c r="P303" s="184" t="s">
        <v>949</v>
      </c>
      <c r="Q303" s="185">
        <v>108333091200</v>
      </c>
      <c r="R303" s="186">
        <v>46185</v>
      </c>
      <c r="S303" s="187" t="s">
        <v>65</v>
      </c>
      <c r="T303" s="188">
        <v>3.4</v>
      </c>
      <c r="U303" s="188"/>
      <c r="V303" s="189">
        <v>400000</v>
      </c>
      <c r="W303" s="190"/>
      <c r="X303" s="190"/>
      <c r="Y303" s="190"/>
      <c r="Z303" s="189">
        <f t="shared" si="24"/>
        <v>400000</v>
      </c>
      <c r="AA303" s="189">
        <v>0</v>
      </c>
      <c r="AB303" s="189">
        <f t="shared" si="29"/>
        <v>400000</v>
      </c>
      <c r="AC303" s="189"/>
      <c r="AD303" s="190">
        <v>1220400</v>
      </c>
      <c r="AE303" s="190">
        <v>387180</v>
      </c>
      <c r="AF303" s="191">
        <f t="shared" si="25"/>
        <v>1607580</v>
      </c>
      <c r="AG303" s="190">
        <f t="shared" si="26"/>
        <v>2007580</v>
      </c>
      <c r="AH303" s="190"/>
      <c r="AI303" s="192" t="str">
        <f>VLOOKUP(Q303,[3]Sheet1!B$11:G$1489,6,0)</f>
        <v>E11</v>
      </c>
      <c r="GK303" s="194"/>
      <c r="GL303" s="195"/>
      <c r="GM303" s="196"/>
      <c r="GN303" s="197"/>
      <c r="GO303" s="198"/>
      <c r="GP303" s="199"/>
      <c r="GQ303" s="200"/>
      <c r="GR303" s="201"/>
      <c r="GS303" s="60"/>
      <c r="GT303" s="202"/>
      <c r="GU303" s="202"/>
      <c r="GV303" s="202"/>
      <c r="GW303" s="202"/>
      <c r="GX303" s="203"/>
      <c r="HA303" s="194"/>
      <c r="HB303" s="195"/>
      <c r="HC303" s="196"/>
      <c r="HD303" s="197"/>
      <c r="HE303" s="198"/>
      <c r="HF303" s="199"/>
      <c r="HG303" s="200"/>
      <c r="HH303" s="201"/>
      <c r="HI303" s="60"/>
      <c r="HJ303" s="202"/>
      <c r="HK303" s="202"/>
      <c r="HL303" s="202"/>
      <c r="HM303" s="202"/>
      <c r="HN303" s="203"/>
    </row>
    <row r="304" spans="1:222" ht="16.5" customHeight="1">
      <c r="A304" s="181">
        <v>301</v>
      </c>
      <c r="B304" s="182" t="s">
        <v>2571</v>
      </c>
      <c r="C304" s="598" t="s">
        <v>2572</v>
      </c>
      <c r="D304" s="184" t="s">
        <v>940</v>
      </c>
      <c r="E304" s="184" t="str">
        <f t="shared" si="27"/>
        <v>Import</v>
      </c>
      <c r="F304" s="720" t="str" cm="1">
        <f t="array" ref="F304">_xlfn.IFS(
  OR(AI304="E11", AI304="E15"), "Raw materials",
  OR(AI304="E13", AI304="G13"), "Equipments + Toolings",
  TRUE, RIGHT(C304, 8)
)</f>
        <v>Raw materials</v>
      </c>
      <c r="G304" s="541" t="str" cm="1">
        <f t="array" ref="G304">IF(E304="Import",
  IFERROR(
    _xlfn.IFS(
      VLOOKUP(B304,[1]Material!F$5:U$90000,16,0)="LUC","Lucid",
      VLOOKUP(B304,[1]Material!F$5:U$90000,16,0)="FMC","FORD",
      OR(VLOOKUP(B304,[1]Material!F$5:U$90000,16,0)="PUR",VLOOKUP(B304,[1]Material!F$5:U$90000,16,0)="HLO"),"PURE",
      VLOOKUP(B304,[1]Material!F$5:U$90000,16,0)="AIC","AIC",
      OR(VLOOKUP(B304,[1]Material!F$5:U$90000,16,0)="AGI",VLOOKUP(B304,[1]Material!F$5:U$90000,16,0)="AGIGA"),"AGIGA",
      OR(LEFT(VLOOKUP(B304,[1]Material!F$5:U$90000,16,0),3)="EF-",VLOOKUP(B304,[1]Material!F$5:U$90000,16,0)="EFI"),"EFI",
      AND(ISNUMBER(VLOOKUP(B304,[1]Material!F$5:U$90000,16,0)),VLOOKUP(B304,[1]Material!F$5:U$90000,16,0)&gt;=100,VLOOKUP(B304,[1]Material!F$5:U$90000,16,0)&lt;=999,VLOOKUP(B304,[1]Material!F$5:U$90000,16,0)=INT(VLOOKUP(B304,[1]Material!F$5:U$90000,16,0))),"OEM",
      TRUE,""
    ),
    "không tìm thấy trong file Import"
  ),
  VLOOKUP(F304,'[2]Export shipment'!B:Y,24,0)
)</f>
        <v>PURE</v>
      </c>
      <c r="H304" s="184" t="e">
        <f>VLOOKUP(B304,[4]Export!I$3627:J$3898,2,0)</f>
        <v>#N/A</v>
      </c>
      <c r="I304" s="184" t="s">
        <v>2089</v>
      </c>
      <c r="J304" s="260">
        <f>(V304+X304+AA304)/'Logistics record '!$AD$1</f>
        <v>15.116015418335726</v>
      </c>
      <c r="K304" s="260">
        <f>W304/'Logistics record '!$AD$1</f>
        <v>0</v>
      </c>
      <c r="L304" s="260">
        <f>Y304/'Logistics record '!$AD$1</f>
        <v>0</v>
      </c>
      <c r="M304" s="260">
        <f>AF304/'Logistics record '!$AD$1</f>
        <v>60.750510165520367</v>
      </c>
      <c r="N304" s="260" t="str" cm="1">
        <f t="array" ref="N304">_xlfn.IFS(
    OR(UPPER(S304)="AIR", UPPER(S304)="CPN"), "AIR",
    UPPER(S304)="TC", "LOCAL",
    TRUE, "SEA"
)</f>
        <v>AIR</v>
      </c>
      <c r="O304" s="260">
        <f t="shared" si="28"/>
        <v>75.866525583856088</v>
      </c>
      <c r="P304" s="184" t="s">
        <v>949</v>
      </c>
      <c r="Q304" s="185">
        <v>108333096540</v>
      </c>
      <c r="R304" s="186">
        <v>46185</v>
      </c>
      <c r="S304" s="187" t="s">
        <v>65</v>
      </c>
      <c r="T304" s="188">
        <v>3.4</v>
      </c>
      <c r="U304" s="188"/>
      <c r="V304" s="189">
        <v>400000</v>
      </c>
      <c r="W304" s="190"/>
      <c r="X304" s="190"/>
      <c r="Y304" s="190"/>
      <c r="Z304" s="189">
        <f t="shared" si="24"/>
        <v>400000</v>
      </c>
      <c r="AA304" s="189">
        <v>0</v>
      </c>
      <c r="AB304" s="189">
        <f t="shared" si="29"/>
        <v>400000</v>
      </c>
      <c r="AC304" s="189"/>
      <c r="AD304" s="190">
        <v>1220400</v>
      </c>
      <c r="AE304" s="190">
        <v>387180</v>
      </c>
      <c r="AF304" s="191">
        <f t="shared" si="25"/>
        <v>1607580</v>
      </c>
      <c r="AG304" s="190">
        <f t="shared" si="26"/>
        <v>2007580</v>
      </c>
      <c r="AH304" s="190"/>
      <c r="AI304" s="192" t="str">
        <f>VLOOKUP(Q304,[3]Sheet1!B$11:G$1489,6,0)</f>
        <v>E11</v>
      </c>
      <c r="GK304" s="194"/>
      <c r="GL304" s="195"/>
      <c r="GM304" s="196"/>
      <c r="GN304" s="197"/>
      <c r="GO304" s="198"/>
      <c r="GP304" s="199"/>
      <c r="GQ304" s="200"/>
      <c r="GR304" s="201"/>
      <c r="GS304" s="60"/>
      <c r="GT304" s="202"/>
      <c r="GU304" s="202"/>
      <c r="GV304" s="202"/>
      <c r="GW304" s="202"/>
      <c r="GX304" s="203"/>
      <c r="HA304" s="194"/>
      <c r="HB304" s="195"/>
      <c r="HC304" s="196"/>
      <c r="HD304" s="197"/>
      <c r="HE304" s="198"/>
      <c r="HF304" s="199"/>
      <c r="HG304" s="200"/>
      <c r="HH304" s="201"/>
      <c r="HI304" s="60"/>
      <c r="HJ304" s="202"/>
      <c r="HK304" s="202"/>
      <c r="HL304" s="202"/>
      <c r="HM304" s="202"/>
      <c r="HN304" s="203"/>
    </row>
    <row r="305" spans="1:222" ht="16.5" customHeight="1">
      <c r="A305" s="181">
        <v>302</v>
      </c>
      <c r="B305" s="182" t="s">
        <v>2573</v>
      </c>
      <c r="C305" s="598" t="s">
        <v>2574</v>
      </c>
      <c r="D305" s="184" t="s">
        <v>940</v>
      </c>
      <c r="E305" s="184" t="str">
        <f t="shared" si="27"/>
        <v>Import</v>
      </c>
      <c r="F305" s="720" t="str" cm="1">
        <f t="array" ref="F305">_xlfn.IFS(
  OR(AI305="E11", AI305="E15"), "Raw materials",
  OR(AI305="E13", AI305="G13"), "Equipments + Toolings",
  TRUE, RIGHT(C305, 8)
)</f>
        <v>Raw materials</v>
      </c>
      <c r="G305" s="541" t="str" cm="1">
        <f t="array" ref="G305">IF(E305="Import",
  IFERROR(
    _xlfn.IFS(
      VLOOKUP(B305,[1]Material!F$5:U$90000,16,0)="LUC","Lucid",
      VLOOKUP(B305,[1]Material!F$5:U$90000,16,0)="FMC","FORD",
      OR(VLOOKUP(B305,[1]Material!F$5:U$90000,16,0)="PUR",VLOOKUP(B305,[1]Material!F$5:U$90000,16,0)="HLO"),"PURE",
      VLOOKUP(B305,[1]Material!F$5:U$90000,16,0)="AIC","AIC",
      OR(VLOOKUP(B305,[1]Material!F$5:U$90000,16,0)="AGI",VLOOKUP(B305,[1]Material!F$5:U$90000,16,0)="AGIGA"),"AGIGA",
      OR(LEFT(VLOOKUP(B305,[1]Material!F$5:U$90000,16,0),3)="EF-",VLOOKUP(B305,[1]Material!F$5:U$90000,16,0)="EFI"),"EFI",
      AND(ISNUMBER(VLOOKUP(B305,[1]Material!F$5:U$90000,16,0)),VLOOKUP(B305,[1]Material!F$5:U$90000,16,0)&gt;=100,VLOOKUP(B305,[1]Material!F$5:U$90000,16,0)&lt;=999,VLOOKUP(B305,[1]Material!F$5:U$90000,16,0)=INT(VLOOKUP(B305,[1]Material!F$5:U$90000,16,0))),"OEM",
      TRUE,""
    ),
    "không tìm thấy trong file Import"
  ),
  VLOOKUP(F305,'[2]Export shipment'!B:Y,24,0)
)</f>
        <v>PURE</v>
      </c>
      <c r="H305" s="184" t="e">
        <f>VLOOKUP(B305,[4]Export!I$3627:J$3898,2,0)</f>
        <v>#N/A</v>
      </c>
      <c r="I305" s="184" t="s">
        <v>2089</v>
      </c>
      <c r="J305" s="260">
        <f>(V305+X305+AA305)/'Logistics record '!$AD$1</f>
        <v>15.116015418335726</v>
      </c>
      <c r="K305" s="260">
        <f>W305/'Logistics record '!$AD$1</f>
        <v>0</v>
      </c>
      <c r="L305" s="260">
        <f>Y305/'Logistics record '!$AD$1</f>
        <v>0</v>
      </c>
      <c r="M305" s="260">
        <f>AF305/'Logistics record '!$AD$1</f>
        <v>60.750510165520367</v>
      </c>
      <c r="N305" s="260" t="str" cm="1">
        <f t="array" ref="N305">_xlfn.IFS(
    OR(UPPER(S305)="AIR", UPPER(S305)="CPN"), "AIR",
    UPPER(S305)="TC", "LOCAL",
    TRUE, "SEA"
)</f>
        <v>AIR</v>
      </c>
      <c r="O305" s="260">
        <f t="shared" si="28"/>
        <v>75.866525583856088</v>
      </c>
      <c r="P305" s="543" t="s">
        <v>949</v>
      </c>
      <c r="Q305" s="544">
        <v>108333169930</v>
      </c>
      <c r="R305" s="545">
        <v>46185</v>
      </c>
      <c r="S305" s="546" t="s">
        <v>65</v>
      </c>
      <c r="T305" s="547">
        <v>3.4</v>
      </c>
      <c r="U305" s="547"/>
      <c r="V305" s="548">
        <v>400000</v>
      </c>
      <c r="W305" s="204"/>
      <c r="X305" s="204"/>
      <c r="Y305" s="204"/>
      <c r="Z305" s="548">
        <f t="shared" si="24"/>
        <v>400000</v>
      </c>
      <c r="AA305" s="548">
        <v>0</v>
      </c>
      <c r="AB305" s="189">
        <f t="shared" si="29"/>
        <v>400000</v>
      </c>
      <c r="AC305" s="548"/>
      <c r="AD305" s="204">
        <v>1220400</v>
      </c>
      <c r="AE305" s="204">
        <v>387180</v>
      </c>
      <c r="AF305" s="191">
        <f t="shared" si="25"/>
        <v>1607580</v>
      </c>
      <c r="AG305" s="190">
        <f t="shared" si="26"/>
        <v>2007580</v>
      </c>
      <c r="AH305" s="190"/>
      <c r="AI305" s="192" t="str">
        <f>VLOOKUP(Q305,[3]Sheet1!B$11:G$1489,6,0)</f>
        <v>E11</v>
      </c>
      <c r="GK305" s="194"/>
      <c r="GL305" s="195"/>
      <c r="GM305" s="196"/>
      <c r="GN305" s="197"/>
      <c r="GO305" s="198"/>
      <c r="GP305" s="199"/>
      <c r="GQ305" s="200"/>
      <c r="GR305" s="201"/>
      <c r="GS305" s="60"/>
      <c r="GT305" s="202"/>
      <c r="GU305" s="202"/>
      <c r="GV305" s="202"/>
      <c r="GW305" s="202"/>
      <c r="GX305" s="203"/>
      <c r="HA305" s="194"/>
      <c r="HB305" s="195"/>
      <c r="HC305" s="196"/>
      <c r="HD305" s="197"/>
      <c r="HE305" s="198"/>
      <c r="HF305" s="199"/>
      <c r="HG305" s="200"/>
      <c r="HH305" s="201"/>
      <c r="HI305" s="60"/>
      <c r="HJ305" s="202"/>
      <c r="HK305" s="202"/>
      <c r="HL305" s="202"/>
      <c r="HM305" s="202"/>
      <c r="HN305" s="203"/>
    </row>
    <row r="306" spans="1:222" ht="16.5" customHeight="1">
      <c r="A306" s="181">
        <v>303</v>
      </c>
      <c r="B306" s="182" t="s">
        <v>2575</v>
      </c>
      <c r="C306" s="598" t="s">
        <v>2576</v>
      </c>
      <c r="D306" s="184" t="s">
        <v>940</v>
      </c>
      <c r="E306" s="184" t="str">
        <f t="shared" si="27"/>
        <v>Import</v>
      </c>
      <c r="F306" s="720" t="str" cm="1">
        <f t="array" ref="F306">_xlfn.IFS(
  OR(AI306="E11", AI306="E15"), "Raw materials",
  OR(AI306="E13", AI306="G13"), "Equipments + Toolings",
  TRUE, RIGHT(C306, 8)
)</f>
        <v>Raw materials</v>
      </c>
      <c r="G306" s="541" t="str" cm="1">
        <f t="array" ref="G306">IF(E306="Import",
  IFERROR(
    _xlfn.IFS(
      VLOOKUP(B306,[1]Material!F$5:U$90000,16,0)="LUC","Lucid",
      VLOOKUP(B306,[1]Material!F$5:U$90000,16,0)="FMC","FORD",
      OR(VLOOKUP(B306,[1]Material!F$5:U$90000,16,0)="PUR",VLOOKUP(B306,[1]Material!F$5:U$90000,16,0)="HLO"),"PURE",
      VLOOKUP(B306,[1]Material!F$5:U$90000,16,0)="AIC","AIC",
      OR(VLOOKUP(B306,[1]Material!F$5:U$90000,16,0)="AGI",VLOOKUP(B306,[1]Material!F$5:U$90000,16,0)="AGIGA"),"AGIGA",
      OR(LEFT(VLOOKUP(B306,[1]Material!F$5:U$90000,16,0),3)="EF-",VLOOKUP(B306,[1]Material!F$5:U$90000,16,0)="EFI"),"EFI",
      AND(ISNUMBER(VLOOKUP(B306,[1]Material!F$5:U$90000,16,0)),VLOOKUP(B306,[1]Material!F$5:U$90000,16,0)&gt;=100,VLOOKUP(B306,[1]Material!F$5:U$90000,16,0)&lt;=999,VLOOKUP(B306,[1]Material!F$5:U$90000,16,0)=INT(VLOOKUP(B306,[1]Material!F$5:U$90000,16,0))),"OEM",
      TRUE,""
    ),
    "không tìm thấy trong file Import"
  ),
  VLOOKUP(F306,'[2]Export shipment'!B:Y,24,0)
)</f>
        <v>PURE</v>
      </c>
      <c r="H306" s="184" t="e">
        <f>VLOOKUP(B306,[4]Export!I$3627:J$3898,2,0)</f>
        <v>#N/A</v>
      </c>
      <c r="I306" s="184" t="s">
        <v>2089</v>
      </c>
      <c r="J306" s="260">
        <f>(V306+X306+AA306)/'Logistics record '!$AD$1</f>
        <v>15.116015418335726</v>
      </c>
      <c r="K306" s="260">
        <f>W306/'Logistics record '!$AD$1</f>
        <v>0</v>
      </c>
      <c r="L306" s="260">
        <f>Y306/'Logistics record '!$AD$1</f>
        <v>0</v>
      </c>
      <c r="M306" s="260">
        <f>AF306/'Logistics record '!$AD$1</f>
        <v>60.750510165520367</v>
      </c>
      <c r="N306" s="260" t="str" cm="1">
        <f t="array" ref="N306">_xlfn.IFS(
    OR(UPPER(S306)="AIR", UPPER(S306)="CPN"), "AIR",
    UPPER(S306)="TC", "LOCAL",
    TRUE, "SEA"
)</f>
        <v>AIR</v>
      </c>
      <c r="O306" s="260">
        <f t="shared" si="28"/>
        <v>75.866525583856088</v>
      </c>
      <c r="P306" s="543" t="s">
        <v>949</v>
      </c>
      <c r="Q306" s="544">
        <v>108333186030</v>
      </c>
      <c r="R306" s="545">
        <v>46185</v>
      </c>
      <c r="S306" s="546" t="s">
        <v>65</v>
      </c>
      <c r="T306" s="547">
        <v>3.4</v>
      </c>
      <c r="U306" s="547"/>
      <c r="V306" s="548">
        <v>400000</v>
      </c>
      <c r="W306" s="204"/>
      <c r="X306" s="204"/>
      <c r="Y306" s="204"/>
      <c r="Z306" s="548">
        <f t="shared" si="24"/>
        <v>400000</v>
      </c>
      <c r="AA306" s="548">
        <v>0</v>
      </c>
      <c r="AB306" s="189">
        <f t="shared" si="29"/>
        <v>400000</v>
      </c>
      <c r="AC306" s="548"/>
      <c r="AD306" s="204">
        <v>1220400</v>
      </c>
      <c r="AE306" s="204">
        <v>387180</v>
      </c>
      <c r="AF306" s="191">
        <f t="shared" si="25"/>
        <v>1607580</v>
      </c>
      <c r="AG306" s="190">
        <f t="shared" si="26"/>
        <v>2007580</v>
      </c>
      <c r="AH306" s="190"/>
      <c r="AI306" s="192" t="str">
        <f>VLOOKUP(Q306,[3]Sheet1!B$11:G$1489,6,0)</f>
        <v>E11</v>
      </c>
      <c r="GK306" s="194"/>
      <c r="GL306" s="195"/>
      <c r="GM306" s="196"/>
      <c r="GN306" s="197"/>
      <c r="GO306" s="198"/>
      <c r="GP306" s="199"/>
      <c r="GQ306" s="200"/>
      <c r="GR306" s="201"/>
      <c r="GS306" s="60"/>
      <c r="GT306" s="202"/>
      <c r="GU306" s="202"/>
      <c r="GV306" s="202"/>
      <c r="GW306" s="202"/>
      <c r="GX306" s="203"/>
      <c r="HA306" s="194"/>
      <c r="HB306" s="195"/>
      <c r="HC306" s="196"/>
      <c r="HD306" s="197"/>
      <c r="HE306" s="198"/>
      <c r="HF306" s="199"/>
      <c r="HG306" s="200"/>
      <c r="HH306" s="201"/>
      <c r="HI306" s="60"/>
      <c r="HJ306" s="202"/>
      <c r="HK306" s="202"/>
      <c r="HL306" s="202"/>
      <c r="HM306" s="202"/>
      <c r="HN306" s="203"/>
    </row>
    <row r="307" spans="1:222" ht="16.5" customHeight="1">
      <c r="A307" s="181">
        <v>304</v>
      </c>
      <c r="B307" s="182" t="s">
        <v>2577</v>
      </c>
      <c r="C307" s="598" t="s">
        <v>2578</v>
      </c>
      <c r="D307" s="184" t="s">
        <v>940</v>
      </c>
      <c r="E307" s="184" t="str">
        <f t="shared" si="27"/>
        <v>Import</v>
      </c>
      <c r="F307" s="720" t="str" cm="1">
        <f t="array" ref="F307">_xlfn.IFS(
  OR(AI307="E11", AI307="E15"), "Raw materials",
  OR(AI307="E13", AI307="G13"), "Equipments + Toolings",
  TRUE, RIGHT(C307, 8)
)</f>
        <v>Raw materials</v>
      </c>
      <c r="G307" s="541" t="str" cm="1">
        <f t="array" ref="G307">IF(E307="Import",
  IFERROR(
    _xlfn.IFS(
      VLOOKUP(B307,[1]Material!F$5:U$90000,16,0)="LUC","Lucid",
      VLOOKUP(B307,[1]Material!F$5:U$90000,16,0)="FMC","FORD",
      OR(VLOOKUP(B307,[1]Material!F$5:U$90000,16,0)="PUR",VLOOKUP(B307,[1]Material!F$5:U$90000,16,0)="HLO"),"PURE",
      VLOOKUP(B307,[1]Material!F$5:U$90000,16,0)="AIC","AIC",
      OR(VLOOKUP(B307,[1]Material!F$5:U$90000,16,0)="AGI",VLOOKUP(B307,[1]Material!F$5:U$90000,16,0)="AGIGA"),"AGIGA",
      OR(LEFT(VLOOKUP(B307,[1]Material!F$5:U$90000,16,0),3)="EF-",VLOOKUP(B307,[1]Material!F$5:U$90000,16,0)="EFI"),"EFI",
      AND(ISNUMBER(VLOOKUP(B307,[1]Material!F$5:U$90000,16,0)),VLOOKUP(B307,[1]Material!F$5:U$90000,16,0)&gt;=100,VLOOKUP(B307,[1]Material!F$5:U$90000,16,0)&lt;=999,VLOOKUP(B307,[1]Material!F$5:U$90000,16,0)=INT(VLOOKUP(B307,[1]Material!F$5:U$90000,16,0))),"OEM",
      TRUE,""
    ),
    "không tìm thấy trong file Import"
  ),
  VLOOKUP(F307,'[2]Export shipment'!B:Y,24,0)
)</f>
        <v>PURE</v>
      </c>
      <c r="H307" s="184" t="e">
        <f>VLOOKUP(B307,[4]Export!I$3627:J$3898,2,0)</f>
        <v>#N/A</v>
      </c>
      <c r="I307" s="184" t="s">
        <v>2089</v>
      </c>
      <c r="J307" s="260">
        <f>(V307+X307+AA307)/'Logistics record '!$AD$1</f>
        <v>15.116015418335726</v>
      </c>
      <c r="K307" s="260">
        <f>W307/'Logistics record '!$AD$1</f>
        <v>22.674023127503592</v>
      </c>
      <c r="L307" s="260">
        <f>Y307/'Logistics record '!$AD$1</f>
        <v>0</v>
      </c>
      <c r="M307" s="260">
        <f>AF307/'Logistics record '!$AD$1</f>
        <v>60.750510165520367</v>
      </c>
      <c r="N307" s="260" t="str" cm="1">
        <f t="array" ref="N307">_xlfn.IFS(
    OR(UPPER(S307)="AIR", UPPER(S307)="CPN"), "AIR",
    UPPER(S307)="TC", "LOCAL",
    TRUE, "SEA"
)</f>
        <v>AIR</v>
      </c>
      <c r="O307" s="260">
        <f t="shared" si="28"/>
        <v>98.540548711359676</v>
      </c>
      <c r="P307" s="184" t="s">
        <v>949</v>
      </c>
      <c r="Q307" s="185">
        <v>108333236910</v>
      </c>
      <c r="R307" s="186">
        <v>46185</v>
      </c>
      <c r="S307" s="187" t="s">
        <v>65</v>
      </c>
      <c r="T307" s="188">
        <v>2.2000000000000002</v>
      </c>
      <c r="U307" s="188"/>
      <c r="V307" s="189">
        <v>400000</v>
      </c>
      <c r="W307" s="190">
        <v>600000</v>
      </c>
      <c r="X307" s="190"/>
      <c r="Y307" s="190"/>
      <c r="Z307" s="189">
        <f t="shared" si="24"/>
        <v>1000000</v>
      </c>
      <c r="AA307" s="189">
        <v>0</v>
      </c>
      <c r="AB307" s="189">
        <f t="shared" si="29"/>
        <v>1000000</v>
      </c>
      <c r="AC307" s="189"/>
      <c r="AD307" s="190">
        <v>1220400</v>
      </c>
      <c r="AE307" s="190">
        <v>387180</v>
      </c>
      <c r="AF307" s="191">
        <f t="shared" si="25"/>
        <v>1607580</v>
      </c>
      <c r="AG307" s="190">
        <f t="shared" si="26"/>
        <v>2607580</v>
      </c>
      <c r="AH307" s="190"/>
      <c r="AI307" s="192" t="str">
        <f>VLOOKUP(Q307,[3]Sheet1!B$11:G$1489,6,0)</f>
        <v>E11</v>
      </c>
      <c r="GK307" s="194"/>
      <c r="GL307" s="195"/>
      <c r="GM307" s="196"/>
      <c r="GN307" s="197"/>
      <c r="GO307" s="198"/>
      <c r="GP307" s="199"/>
      <c r="GQ307" s="200"/>
      <c r="GR307" s="201"/>
      <c r="GS307" s="60"/>
      <c r="GT307" s="202"/>
      <c r="GU307" s="202"/>
      <c r="GV307" s="202"/>
      <c r="GW307" s="202"/>
      <c r="GX307" s="203"/>
      <c r="HA307" s="194"/>
      <c r="HB307" s="195"/>
      <c r="HC307" s="196"/>
      <c r="HD307" s="197"/>
      <c r="HE307" s="198"/>
      <c r="HF307" s="199"/>
      <c r="HG307" s="200"/>
      <c r="HH307" s="201"/>
      <c r="HI307" s="60"/>
      <c r="HJ307" s="202"/>
      <c r="HK307" s="202"/>
      <c r="HL307" s="202"/>
      <c r="HM307" s="202"/>
      <c r="HN307" s="203"/>
    </row>
    <row r="308" spans="1:222" ht="16.5" customHeight="1">
      <c r="A308" s="181">
        <v>305</v>
      </c>
      <c r="B308" s="182" t="s">
        <v>2579</v>
      </c>
      <c r="C308" s="598" t="s">
        <v>2580</v>
      </c>
      <c r="D308" s="184" t="s">
        <v>940</v>
      </c>
      <c r="E308" s="184" t="str">
        <f t="shared" si="27"/>
        <v>Import</v>
      </c>
      <c r="F308" s="720" t="str" cm="1">
        <f t="array" ref="F308">_xlfn.IFS(
  OR(AI308="E11", AI308="E15"), "Raw materials",
  OR(AI308="E13", AI308="G13"), "Equipments + Toolings",
  TRUE, RIGHT(C308, 8)
)</f>
        <v>Raw materials</v>
      </c>
      <c r="G308" s="541" t="str" cm="1">
        <f t="array" ref="G308">IF(E308="Import",
  IFERROR(
    _xlfn.IFS(
      VLOOKUP(B308,[1]Material!F$5:U$90000,16,0)="LUC","Lucid",
      VLOOKUP(B308,[1]Material!F$5:U$90000,16,0)="FMC","FORD",
      OR(VLOOKUP(B308,[1]Material!F$5:U$90000,16,0)="PUR",VLOOKUP(B308,[1]Material!F$5:U$90000,16,0)="HLO"),"PURE",
      VLOOKUP(B308,[1]Material!F$5:U$90000,16,0)="AIC","AIC",
      OR(VLOOKUP(B308,[1]Material!F$5:U$90000,16,0)="AGI",VLOOKUP(B308,[1]Material!F$5:U$90000,16,0)="AGIGA"),"AGIGA",
      OR(LEFT(VLOOKUP(B308,[1]Material!F$5:U$90000,16,0),3)="EF-",VLOOKUP(B308,[1]Material!F$5:U$90000,16,0)="EFI"),"EFI",
      AND(ISNUMBER(VLOOKUP(B308,[1]Material!F$5:U$90000,16,0)),VLOOKUP(B308,[1]Material!F$5:U$90000,16,0)&gt;=100,VLOOKUP(B308,[1]Material!F$5:U$90000,16,0)&lt;=999,VLOOKUP(B308,[1]Material!F$5:U$90000,16,0)=INT(VLOOKUP(B308,[1]Material!F$5:U$90000,16,0))),"OEM",
      TRUE,""
    ),
    "không tìm thấy trong file Import"
  ),
  VLOOKUP(F308,'[2]Export shipment'!B:Y,24,0)
)</f>
        <v>PURE</v>
      </c>
      <c r="H308" s="184" t="e">
        <f>VLOOKUP(B308,[4]Export!I$3627:J$3898,2,0)</f>
        <v>#N/A</v>
      </c>
      <c r="I308" s="184" t="s">
        <v>2089</v>
      </c>
      <c r="J308" s="260">
        <f>(V308+X308+AA308)/'Logistics record '!$AD$1</f>
        <v>15.116015418335726</v>
      </c>
      <c r="K308" s="260">
        <f>W308/'Logistics record '!$AD$1</f>
        <v>0</v>
      </c>
      <c r="L308" s="260">
        <f>Y308/'Logistics record '!$AD$1</f>
        <v>0</v>
      </c>
      <c r="M308" s="260">
        <f>AF308/'Logistics record '!$AD$1</f>
        <v>60.750510165520367</v>
      </c>
      <c r="N308" s="260" t="str" cm="1">
        <f t="array" ref="N308">_xlfn.IFS(
    OR(UPPER(S308)="AIR", UPPER(S308)="CPN"), "AIR",
    UPPER(S308)="TC", "LOCAL",
    TRUE, "SEA"
)</f>
        <v>AIR</v>
      </c>
      <c r="O308" s="260">
        <f t="shared" si="28"/>
        <v>75.866525583856088</v>
      </c>
      <c r="P308" s="184" t="s">
        <v>949</v>
      </c>
      <c r="Q308" s="185">
        <v>108333277950</v>
      </c>
      <c r="R308" s="186">
        <v>46185</v>
      </c>
      <c r="S308" s="187" t="s">
        <v>65</v>
      </c>
      <c r="T308" s="188">
        <v>3.4</v>
      </c>
      <c r="U308" s="188"/>
      <c r="V308" s="189">
        <v>400000</v>
      </c>
      <c r="W308" s="190"/>
      <c r="X308" s="190"/>
      <c r="Y308" s="190"/>
      <c r="Z308" s="189">
        <f t="shared" si="24"/>
        <v>400000</v>
      </c>
      <c r="AA308" s="189">
        <v>0</v>
      </c>
      <c r="AB308" s="189">
        <f t="shared" si="29"/>
        <v>400000</v>
      </c>
      <c r="AC308" s="189"/>
      <c r="AD308" s="190">
        <v>1220400</v>
      </c>
      <c r="AE308" s="190">
        <v>387180</v>
      </c>
      <c r="AF308" s="191">
        <f t="shared" si="25"/>
        <v>1607580</v>
      </c>
      <c r="AG308" s="190">
        <f t="shared" si="26"/>
        <v>2007580</v>
      </c>
      <c r="AH308" s="190"/>
      <c r="AI308" s="192" t="str">
        <f>VLOOKUP(Q308,[3]Sheet1!B$11:G$1489,6,0)</f>
        <v>E11</v>
      </c>
      <c r="GK308" s="194"/>
      <c r="GL308" s="195"/>
      <c r="GM308" s="196"/>
      <c r="GN308" s="197"/>
      <c r="GO308" s="198"/>
      <c r="GP308" s="199"/>
      <c r="GQ308" s="200"/>
      <c r="GR308" s="201"/>
      <c r="GS308" s="60"/>
      <c r="GT308" s="202"/>
      <c r="GU308" s="202"/>
      <c r="GV308" s="202"/>
      <c r="GW308" s="202"/>
      <c r="GX308" s="203"/>
      <c r="HA308" s="194"/>
      <c r="HB308" s="195"/>
      <c r="HC308" s="196"/>
      <c r="HD308" s="197"/>
      <c r="HE308" s="198"/>
      <c r="HF308" s="199"/>
      <c r="HG308" s="200"/>
      <c r="HH308" s="201"/>
      <c r="HI308" s="60"/>
      <c r="HJ308" s="202"/>
      <c r="HK308" s="202"/>
      <c r="HL308" s="202"/>
      <c r="HM308" s="202"/>
      <c r="HN308" s="203"/>
    </row>
    <row r="309" spans="1:222" ht="16.5" customHeight="1">
      <c r="A309" s="181">
        <v>306</v>
      </c>
      <c r="B309" s="182" t="s">
        <v>2581</v>
      </c>
      <c r="C309" s="598" t="s">
        <v>2582</v>
      </c>
      <c r="D309" s="184" t="s">
        <v>940</v>
      </c>
      <c r="E309" s="184" t="str">
        <f t="shared" si="27"/>
        <v>Import</v>
      </c>
      <c r="F309" s="720" t="str" cm="1">
        <f t="array" ref="F309">_xlfn.IFS(
  OR(AI309="E11", AI309="E15"), "Raw materials",
  OR(AI309="E13", AI309="G13"), "Equipments + Toolings",
  TRUE, RIGHT(C309, 8)
)</f>
        <v>Raw materials</v>
      </c>
      <c r="G309" s="541" t="str" cm="1">
        <f t="array" ref="G309">IF(E309="Import",
  IFERROR(
    _xlfn.IFS(
      VLOOKUP(B309,[1]Material!F$5:U$90000,16,0)="LUC","Lucid",
      VLOOKUP(B309,[1]Material!F$5:U$90000,16,0)="FMC","FORD",
      OR(VLOOKUP(B309,[1]Material!F$5:U$90000,16,0)="PUR",VLOOKUP(B309,[1]Material!F$5:U$90000,16,0)="HLO"),"PURE",
      VLOOKUP(B309,[1]Material!F$5:U$90000,16,0)="AIC","AIC",
      OR(VLOOKUP(B309,[1]Material!F$5:U$90000,16,0)="AGI",VLOOKUP(B309,[1]Material!F$5:U$90000,16,0)="AGIGA"),"AGIGA",
      OR(LEFT(VLOOKUP(B309,[1]Material!F$5:U$90000,16,0),3)="EF-",VLOOKUP(B309,[1]Material!F$5:U$90000,16,0)="EFI"),"EFI",
      AND(ISNUMBER(VLOOKUP(B309,[1]Material!F$5:U$90000,16,0)),VLOOKUP(B309,[1]Material!F$5:U$90000,16,0)&gt;=100,VLOOKUP(B309,[1]Material!F$5:U$90000,16,0)&lt;=999,VLOOKUP(B309,[1]Material!F$5:U$90000,16,0)=INT(VLOOKUP(B309,[1]Material!F$5:U$90000,16,0))),"OEM",
      TRUE,""
    ),
    "không tìm thấy trong file Import"
  ),
  VLOOKUP(F309,'[2]Export shipment'!B:Y,24,0)
)</f>
        <v>PURE</v>
      </c>
      <c r="H309" s="184" t="e">
        <f>VLOOKUP(B309,[4]Export!I$3627:J$3898,2,0)</f>
        <v>#N/A</v>
      </c>
      <c r="I309" s="184" t="s">
        <v>2089</v>
      </c>
      <c r="J309" s="260">
        <f>(V309+X309+AA309)/'Logistics record '!$AD$1</f>
        <v>15.116015418335726</v>
      </c>
      <c r="K309" s="260">
        <f>W309/'Logistics record '!$AD$1</f>
        <v>0</v>
      </c>
      <c r="L309" s="260">
        <f>Y309/'Logistics record '!$AD$1</f>
        <v>0</v>
      </c>
      <c r="M309" s="260">
        <f>AF309/'Logistics record '!$AD$1</f>
        <v>60.750510165520367</v>
      </c>
      <c r="N309" s="260" t="str" cm="1">
        <f t="array" ref="N309">_xlfn.IFS(
    OR(UPPER(S309)="AIR", UPPER(S309)="CPN"), "AIR",
    UPPER(S309)="TC", "LOCAL",
    TRUE, "SEA"
)</f>
        <v>AIR</v>
      </c>
      <c r="O309" s="260">
        <f t="shared" si="28"/>
        <v>75.866525583856088</v>
      </c>
      <c r="P309" s="184" t="s">
        <v>949</v>
      </c>
      <c r="Q309" s="185">
        <v>108333314020</v>
      </c>
      <c r="R309" s="186">
        <v>46185</v>
      </c>
      <c r="S309" s="187" t="s">
        <v>65</v>
      </c>
      <c r="T309" s="188">
        <v>3.4</v>
      </c>
      <c r="U309" s="188"/>
      <c r="V309" s="189">
        <v>400000</v>
      </c>
      <c r="W309" s="190"/>
      <c r="X309" s="190"/>
      <c r="Y309" s="190"/>
      <c r="Z309" s="189">
        <f t="shared" si="24"/>
        <v>400000</v>
      </c>
      <c r="AA309" s="189">
        <v>0</v>
      </c>
      <c r="AB309" s="189">
        <f t="shared" si="29"/>
        <v>400000</v>
      </c>
      <c r="AC309" s="189"/>
      <c r="AD309" s="190">
        <v>1220400</v>
      </c>
      <c r="AE309" s="190">
        <v>387180</v>
      </c>
      <c r="AF309" s="191">
        <f t="shared" si="25"/>
        <v>1607580</v>
      </c>
      <c r="AG309" s="190">
        <f t="shared" si="26"/>
        <v>2007580</v>
      </c>
      <c r="AH309" s="190"/>
      <c r="AI309" s="192" t="str">
        <f>VLOOKUP(Q309,[3]Sheet1!B$11:G$1489,6,0)</f>
        <v>E11</v>
      </c>
      <c r="GK309" s="194"/>
      <c r="GL309" s="195"/>
      <c r="GM309" s="196"/>
      <c r="GN309" s="197"/>
      <c r="GO309" s="198"/>
      <c r="GP309" s="199"/>
      <c r="GQ309" s="200"/>
      <c r="GR309" s="201"/>
      <c r="GS309" s="60"/>
      <c r="GT309" s="202"/>
      <c r="GU309" s="202"/>
      <c r="GV309" s="202"/>
      <c r="GW309" s="202"/>
      <c r="GX309" s="203"/>
      <c r="HA309" s="194"/>
      <c r="HB309" s="195"/>
      <c r="HC309" s="196"/>
      <c r="HD309" s="197"/>
      <c r="HE309" s="198"/>
      <c r="HF309" s="199"/>
      <c r="HG309" s="200"/>
      <c r="HH309" s="201"/>
      <c r="HI309" s="60"/>
      <c r="HJ309" s="202"/>
      <c r="HK309" s="202"/>
      <c r="HL309" s="202"/>
      <c r="HM309" s="202"/>
      <c r="HN309" s="203"/>
    </row>
    <row r="310" spans="1:222" ht="16.5" customHeight="1">
      <c r="A310" s="181">
        <v>307</v>
      </c>
      <c r="B310" s="182" t="s">
        <v>2583</v>
      </c>
      <c r="C310" s="598" t="s">
        <v>2584</v>
      </c>
      <c r="D310" s="184" t="s">
        <v>940</v>
      </c>
      <c r="E310" s="184" t="str">
        <f t="shared" si="27"/>
        <v>Import</v>
      </c>
      <c r="F310" s="720" t="str" cm="1">
        <f t="array" ref="F310">_xlfn.IFS(
  OR(AI310="E11", AI310="E15"), "Raw materials",
  OR(AI310="E13", AI310="G13"), "Equipments + Toolings",
  TRUE, RIGHT(C310, 8)
)</f>
        <v>Raw materials</v>
      </c>
      <c r="G310" s="541" t="str" cm="1">
        <f t="array" ref="G310">IF(E310="Import",
  IFERROR(
    _xlfn.IFS(
      VLOOKUP(B310,[1]Material!F$5:U$90000,16,0)="LUC","Lucid",
      VLOOKUP(B310,[1]Material!F$5:U$90000,16,0)="FMC","FORD",
      OR(VLOOKUP(B310,[1]Material!F$5:U$90000,16,0)="PUR",VLOOKUP(B310,[1]Material!F$5:U$90000,16,0)="HLO"),"PURE",
      VLOOKUP(B310,[1]Material!F$5:U$90000,16,0)="AIC","AIC",
      OR(VLOOKUP(B310,[1]Material!F$5:U$90000,16,0)="AGI",VLOOKUP(B310,[1]Material!F$5:U$90000,16,0)="AGIGA"),"AGIGA",
      OR(LEFT(VLOOKUP(B310,[1]Material!F$5:U$90000,16,0),3)="EF-",VLOOKUP(B310,[1]Material!F$5:U$90000,16,0)="EFI"),"EFI",
      AND(ISNUMBER(VLOOKUP(B310,[1]Material!F$5:U$90000,16,0)),VLOOKUP(B310,[1]Material!F$5:U$90000,16,0)&gt;=100,VLOOKUP(B310,[1]Material!F$5:U$90000,16,0)&lt;=999,VLOOKUP(B310,[1]Material!F$5:U$90000,16,0)=INT(VLOOKUP(B310,[1]Material!F$5:U$90000,16,0))),"OEM",
      TRUE,""
    ),
    "không tìm thấy trong file Import"
  ),
  VLOOKUP(F310,'[2]Export shipment'!B:Y,24,0)
)</f>
        <v>PURE</v>
      </c>
      <c r="H310" s="184" t="e">
        <f>VLOOKUP(B310,[4]Export!I$3627:J$3898,2,0)</f>
        <v>#N/A</v>
      </c>
      <c r="I310" s="184" t="s">
        <v>2089</v>
      </c>
      <c r="J310" s="260">
        <f>(V310+X310+AA310)/'Logistics record '!$AD$1</f>
        <v>15.116015418335726</v>
      </c>
      <c r="K310" s="260">
        <f>W310/'Logistics record '!$AD$1</f>
        <v>0</v>
      </c>
      <c r="L310" s="260">
        <f>Y310/'Logistics record '!$AD$1</f>
        <v>0</v>
      </c>
      <c r="M310" s="260">
        <f>AF310/'Logistics record '!$AD$1</f>
        <v>60.750510165520367</v>
      </c>
      <c r="N310" s="260" t="str" cm="1">
        <f t="array" ref="N310">_xlfn.IFS(
    OR(UPPER(S310)="AIR", UPPER(S310)="CPN"), "AIR",
    UPPER(S310)="TC", "LOCAL",
    TRUE, "SEA"
)</f>
        <v>AIR</v>
      </c>
      <c r="O310" s="260">
        <f t="shared" si="28"/>
        <v>75.866525583856088</v>
      </c>
      <c r="P310" s="184" t="s">
        <v>949</v>
      </c>
      <c r="Q310" s="185">
        <v>108333327760</v>
      </c>
      <c r="R310" s="186">
        <v>46185</v>
      </c>
      <c r="S310" s="187" t="s">
        <v>65</v>
      </c>
      <c r="T310" s="188">
        <v>3.4</v>
      </c>
      <c r="U310" s="188"/>
      <c r="V310" s="189">
        <v>400000</v>
      </c>
      <c r="W310" s="190"/>
      <c r="X310" s="190"/>
      <c r="Y310" s="190"/>
      <c r="Z310" s="189">
        <f t="shared" si="24"/>
        <v>400000</v>
      </c>
      <c r="AA310" s="189">
        <v>0</v>
      </c>
      <c r="AB310" s="189">
        <f t="shared" si="29"/>
        <v>400000</v>
      </c>
      <c r="AC310" s="189"/>
      <c r="AD310" s="190">
        <v>1220400</v>
      </c>
      <c r="AE310" s="190">
        <v>387180</v>
      </c>
      <c r="AF310" s="191">
        <f t="shared" si="25"/>
        <v>1607580</v>
      </c>
      <c r="AG310" s="190">
        <f t="shared" si="26"/>
        <v>2007580</v>
      </c>
      <c r="AH310" s="190"/>
      <c r="AI310" s="192" t="str">
        <f>VLOOKUP(Q310,[3]Sheet1!B$11:G$1489,6,0)</f>
        <v>E11</v>
      </c>
      <c r="GK310" s="194"/>
      <c r="GL310" s="195"/>
      <c r="GM310" s="196"/>
      <c r="GN310" s="197"/>
      <c r="GO310" s="198"/>
      <c r="GP310" s="199"/>
      <c r="GQ310" s="200"/>
      <c r="GR310" s="201"/>
      <c r="GS310" s="60"/>
      <c r="GT310" s="202"/>
      <c r="GU310" s="202"/>
      <c r="GV310" s="202"/>
      <c r="GW310" s="202"/>
      <c r="GX310" s="203"/>
      <c r="HA310" s="194"/>
      <c r="HB310" s="195"/>
      <c r="HC310" s="196"/>
      <c r="HD310" s="197"/>
      <c r="HE310" s="198"/>
      <c r="HF310" s="199"/>
      <c r="HG310" s="200"/>
      <c r="HH310" s="201"/>
      <c r="HI310" s="60"/>
      <c r="HJ310" s="202"/>
      <c r="HK310" s="202"/>
      <c r="HL310" s="202"/>
      <c r="HM310" s="202"/>
      <c r="HN310" s="203"/>
    </row>
    <row r="311" spans="1:222" ht="16.5" customHeight="1">
      <c r="A311" s="181">
        <v>308</v>
      </c>
      <c r="B311" s="182">
        <v>872883162342</v>
      </c>
      <c r="C311" s="598" t="s">
        <v>2585</v>
      </c>
      <c r="D311" s="184" t="s">
        <v>649</v>
      </c>
      <c r="E311" s="184" t="str">
        <f t="shared" si="27"/>
        <v>Import</v>
      </c>
      <c r="F311" s="720" t="str" cm="1">
        <f t="array" ref="F311">_xlfn.IFS(
  OR(AI311="E11", AI311="E15"), "Raw materials",
  OR(AI311="E13", AI311="G13"), "Equipments + Toolings",
  TRUE, RIGHT(C311, 8)
)</f>
        <v>Raw materials</v>
      </c>
      <c r="G311" s="541" t="str" cm="1">
        <f t="array" ref="G311">IF(E311="Import",
  IFERROR(
    _xlfn.IFS(
      VLOOKUP(B311,[1]Material!F$5:U$90000,16,0)="LUC","Lucid",
      VLOOKUP(B311,[1]Material!F$5:U$90000,16,0)="FMC","FORD",
      OR(VLOOKUP(B311,[1]Material!F$5:U$90000,16,0)="PUR",VLOOKUP(B311,[1]Material!F$5:U$90000,16,0)="HLO"),"PURE",
      VLOOKUP(B311,[1]Material!F$5:U$90000,16,0)="AIC","AIC",
      OR(VLOOKUP(B311,[1]Material!F$5:U$90000,16,0)="AGI",VLOOKUP(B311,[1]Material!F$5:U$90000,16,0)="AGIGA"),"AGIGA",
      OR(LEFT(VLOOKUP(B311,[1]Material!F$5:U$90000,16,0),3)="EF-",VLOOKUP(B311,[1]Material!F$5:U$90000,16,0)="EFI"),"EFI",
      AND(ISNUMBER(VLOOKUP(B311,[1]Material!F$5:U$90000,16,0)),VLOOKUP(B311,[1]Material!F$5:U$90000,16,0)&gt;=100,VLOOKUP(B311,[1]Material!F$5:U$90000,16,0)&lt;=999,VLOOKUP(B311,[1]Material!F$5:U$90000,16,0)=INT(VLOOKUP(B311,[1]Material!F$5:U$90000,16,0))),"OEM",
      TRUE,""
    ),
    "không tìm thấy trong file Import"
  ),
  VLOOKUP(F311,'[2]Export shipment'!B:Y,24,0)
)</f>
        <v>OEM</v>
      </c>
      <c r="H311" s="184"/>
      <c r="I311" s="184"/>
      <c r="J311" s="260">
        <f>(V311+X311+AA311)/'Logistics record '!$AD$1</f>
        <v>15.116015418335726</v>
      </c>
      <c r="K311" s="260">
        <f>W311/'Logistics record '!$AD$1</f>
        <v>0</v>
      </c>
      <c r="L311" s="260">
        <f>Y311/'Logistics record '!$AD$1</f>
        <v>0</v>
      </c>
      <c r="M311" s="260">
        <f>AF311/'Logistics record '!$AD$1</f>
        <v>0</v>
      </c>
      <c r="N311" s="260" t="str" cm="1">
        <f t="array" ref="N311">_xlfn.IFS(
    OR(UPPER(S311)="AIR", UPPER(S311)="CPN"), "AIR",
    UPPER(S311)="TC", "LOCAL",
    TRUE, "SEA"
)</f>
        <v>AIR</v>
      </c>
      <c r="O311" s="260">
        <f t="shared" si="28"/>
        <v>15.116015418335726</v>
      </c>
      <c r="P311" s="184" t="s">
        <v>927</v>
      </c>
      <c r="Q311" s="185">
        <v>108333570920</v>
      </c>
      <c r="R311" s="186">
        <v>46185</v>
      </c>
      <c r="S311" s="187" t="s">
        <v>928</v>
      </c>
      <c r="T311" s="188">
        <v>29</v>
      </c>
      <c r="U311" s="188"/>
      <c r="V311" s="189">
        <v>400000</v>
      </c>
      <c r="W311" s="190"/>
      <c r="X311" s="190"/>
      <c r="Y311" s="190"/>
      <c r="Z311" s="189">
        <f t="shared" si="24"/>
        <v>400000</v>
      </c>
      <c r="AA311" s="189">
        <v>0</v>
      </c>
      <c r="AB311" s="189">
        <f t="shared" si="29"/>
        <v>400000</v>
      </c>
      <c r="AC311" s="189"/>
      <c r="AD311" s="190"/>
      <c r="AE311" s="190"/>
      <c r="AF311" s="191">
        <f t="shared" si="25"/>
        <v>0</v>
      </c>
      <c r="AG311" s="190">
        <f t="shared" si="26"/>
        <v>400000</v>
      </c>
      <c r="AH311" s="190"/>
      <c r="AI311" s="192" t="str">
        <f>VLOOKUP(Q311,[3]Sheet1!B$11:G$1489,6,0)</f>
        <v>E11</v>
      </c>
      <c r="GK311" s="194"/>
      <c r="GL311" s="195"/>
      <c r="GM311" s="196"/>
      <c r="GN311" s="197"/>
      <c r="GO311" s="198"/>
      <c r="GP311" s="199"/>
      <c r="GQ311" s="200"/>
      <c r="GR311" s="201"/>
      <c r="GS311" s="60"/>
      <c r="GT311" s="202"/>
      <c r="GU311" s="202"/>
      <c r="GV311" s="202"/>
      <c r="GW311" s="202"/>
      <c r="GX311" s="203"/>
      <c r="HA311" s="194"/>
      <c r="HB311" s="195"/>
      <c r="HC311" s="196"/>
      <c r="HD311" s="197"/>
      <c r="HE311" s="198"/>
      <c r="HF311" s="199"/>
      <c r="HG311" s="200"/>
      <c r="HH311" s="201"/>
      <c r="HI311" s="60"/>
      <c r="HJ311" s="202"/>
      <c r="HK311" s="202"/>
      <c r="HL311" s="202"/>
      <c r="HM311" s="202"/>
      <c r="HN311" s="203"/>
    </row>
    <row r="312" spans="1:222" ht="16.5" customHeight="1">
      <c r="A312" s="181">
        <v>309</v>
      </c>
      <c r="B312" s="182">
        <v>493602845461</v>
      </c>
      <c r="C312" s="598" t="s">
        <v>2586</v>
      </c>
      <c r="D312" s="184" t="s">
        <v>972</v>
      </c>
      <c r="E312" s="184" t="str">
        <f t="shared" si="27"/>
        <v>Import</v>
      </c>
      <c r="F312" s="720" t="str" cm="1">
        <f t="array" ref="F312">_xlfn.IFS(
  OR(AI312="E11", AI312="E15"), "Raw materials",
  OR(AI312="E13", AI312="G13"), "Equipments + Toolings",
  TRUE, RIGHT(C312, 8)
)</f>
        <v>Raw materials</v>
      </c>
      <c r="G312" s="541" t="str" cm="1">
        <f t="array" ref="G312">IF(E312="Import",
  IFERROR(
    _xlfn.IFS(
      VLOOKUP(B312,[1]Material!F$5:U$90000,16,0)="LUC","Lucid",
      VLOOKUP(B312,[1]Material!F$5:U$90000,16,0)="FMC","FORD",
      OR(VLOOKUP(B312,[1]Material!F$5:U$90000,16,0)="PUR",VLOOKUP(B312,[1]Material!F$5:U$90000,16,0)="HLO"),"PURE",
      VLOOKUP(B312,[1]Material!F$5:U$90000,16,0)="AIC","AIC",
      OR(VLOOKUP(B312,[1]Material!F$5:U$90000,16,0)="AGI",VLOOKUP(B312,[1]Material!F$5:U$90000,16,0)="AGIGA"),"AGIGA",
      OR(LEFT(VLOOKUP(B312,[1]Material!F$5:U$90000,16,0),3)="EF-",VLOOKUP(B312,[1]Material!F$5:U$90000,16,0)="EFI"),"EFI",
      AND(ISNUMBER(VLOOKUP(B312,[1]Material!F$5:U$90000,16,0)),VLOOKUP(B312,[1]Material!F$5:U$90000,16,0)&gt;=100,VLOOKUP(B312,[1]Material!F$5:U$90000,16,0)&lt;=999,VLOOKUP(B312,[1]Material!F$5:U$90000,16,0)=INT(VLOOKUP(B312,[1]Material!F$5:U$90000,16,0))),"OEM",
      TRUE,""
    ),
    "không tìm thấy trong file Import"
  ),
  VLOOKUP(F312,'[2]Export shipment'!B:Y,24,0)
)</f>
        <v>EFI</v>
      </c>
      <c r="H312" s="184"/>
      <c r="I312" s="184"/>
      <c r="J312" s="260">
        <f>(V312+X312+AA312)/'Logistics record '!$AD$1</f>
        <v>15.116015418335726</v>
      </c>
      <c r="K312" s="260">
        <f>W312/'Logistics record '!$AD$1</f>
        <v>0</v>
      </c>
      <c r="L312" s="260">
        <f>Y312/'Logistics record '!$AD$1</f>
        <v>0</v>
      </c>
      <c r="M312" s="260">
        <f>AF312/'Logistics record '!$AD$1</f>
        <v>0</v>
      </c>
      <c r="N312" s="260" t="str" cm="1">
        <f t="array" ref="N312">_xlfn.IFS(
    OR(UPPER(S312)="AIR", UPPER(S312)="CPN"), "AIR",
    UPPER(S312)="TC", "LOCAL",
    TRUE, "SEA"
)</f>
        <v>AIR</v>
      </c>
      <c r="O312" s="260">
        <f t="shared" si="28"/>
        <v>15.116015418335726</v>
      </c>
      <c r="P312" s="184" t="s">
        <v>935</v>
      </c>
      <c r="Q312" s="185">
        <v>108334489910</v>
      </c>
      <c r="R312" s="186">
        <v>46185</v>
      </c>
      <c r="S312" s="187" t="s">
        <v>928</v>
      </c>
      <c r="T312" s="188">
        <v>0.5</v>
      </c>
      <c r="U312" s="188"/>
      <c r="V312" s="189">
        <v>400000</v>
      </c>
      <c r="W312" s="190"/>
      <c r="X312" s="190"/>
      <c r="Y312" s="190"/>
      <c r="Z312" s="189">
        <f t="shared" si="24"/>
        <v>400000</v>
      </c>
      <c r="AA312" s="189">
        <v>0</v>
      </c>
      <c r="AB312" s="189">
        <f t="shared" si="29"/>
        <v>400000</v>
      </c>
      <c r="AC312" s="189"/>
      <c r="AD312" s="190"/>
      <c r="AE312" s="190"/>
      <c r="AF312" s="191">
        <f t="shared" si="25"/>
        <v>0</v>
      </c>
      <c r="AG312" s="190">
        <f t="shared" si="26"/>
        <v>400000</v>
      </c>
      <c r="AH312" s="190"/>
      <c r="AI312" s="192" t="str">
        <f>VLOOKUP(Q312,[3]Sheet1!B$11:G$1489,6,0)</f>
        <v>E11</v>
      </c>
      <c r="GK312" s="194"/>
      <c r="GL312" s="195"/>
      <c r="GM312" s="196"/>
      <c r="GN312" s="197"/>
      <c r="GO312" s="198"/>
      <c r="GP312" s="199"/>
      <c r="GQ312" s="200"/>
      <c r="GR312" s="201"/>
      <c r="GS312" s="60"/>
      <c r="GT312" s="202"/>
      <c r="GU312" s="202"/>
      <c r="GV312" s="202"/>
      <c r="GW312" s="202"/>
      <c r="GX312" s="203"/>
      <c r="HA312" s="194"/>
      <c r="HB312" s="195"/>
      <c r="HC312" s="196"/>
      <c r="HD312" s="197"/>
      <c r="HE312" s="198"/>
      <c r="HF312" s="199"/>
      <c r="HG312" s="200"/>
      <c r="HH312" s="201"/>
      <c r="HI312" s="60"/>
      <c r="HJ312" s="202"/>
      <c r="HK312" s="202"/>
      <c r="HL312" s="202"/>
      <c r="HM312" s="202"/>
      <c r="HN312" s="203"/>
    </row>
    <row r="313" spans="1:222" ht="16.5" customHeight="1">
      <c r="A313" s="181">
        <v>310</v>
      </c>
      <c r="B313" s="182" t="s">
        <v>2587</v>
      </c>
      <c r="C313" s="598" t="s">
        <v>2588</v>
      </c>
      <c r="D313" s="184" t="s">
        <v>2589</v>
      </c>
      <c r="E313" s="184" t="str">
        <f t="shared" si="27"/>
        <v>Import</v>
      </c>
      <c r="F313" s="720" t="str" cm="1">
        <f t="array" ref="F313">_xlfn.IFS(
  OR(AI313="E11", AI313="E15"), "Raw materials",
  OR(AI313="E13", AI313="G13"), "Equipments + Toolings",
  TRUE, RIGHT(C313, 8)
)</f>
        <v>Raw materials</v>
      </c>
      <c r="G313" s="541" t="str" cm="1">
        <f t="array" ref="G313">IF(E313="Import",
  IFERROR(
    _xlfn.IFS(
      VLOOKUP(B313,[1]Material!F$5:U$90000,16,0)="LUC","Lucid",
      VLOOKUP(B313,[1]Material!F$5:U$90000,16,0)="FMC","FORD",
      OR(VLOOKUP(B313,[1]Material!F$5:U$90000,16,0)="PUR",VLOOKUP(B313,[1]Material!F$5:U$90000,16,0)="HLO"),"PURE",
      VLOOKUP(B313,[1]Material!F$5:U$90000,16,0)="AIC","AIC",
      OR(VLOOKUP(B313,[1]Material!F$5:U$90000,16,0)="AGI",VLOOKUP(B313,[1]Material!F$5:U$90000,16,0)="AGIGA"),"AGIGA",
      OR(LEFT(VLOOKUP(B313,[1]Material!F$5:U$90000,16,0),3)="EF-",VLOOKUP(B313,[1]Material!F$5:U$90000,16,0)="EFI"),"EFI",
      AND(ISNUMBER(VLOOKUP(B313,[1]Material!F$5:U$90000,16,0)),VLOOKUP(B313,[1]Material!F$5:U$90000,16,0)&gt;=100,VLOOKUP(B313,[1]Material!F$5:U$90000,16,0)&lt;=999,VLOOKUP(B313,[1]Material!F$5:U$90000,16,0)=INT(VLOOKUP(B313,[1]Material!F$5:U$90000,16,0))),"OEM",
      TRUE,""
    ),
    "không tìm thấy trong file Import"
  ),
  VLOOKUP(F313,'[2]Export shipment'!B:Y,24,0)
)</f>
        <v>FORD</v>
      </c>
      <c r="H313" s="184"/>
      <c r="I313" s="184"/>
      <c r="J313" s="260">
        <f>(V313+X313+AA313)/'Logistics record '!$AD$1</f>
        <v>15.116015418335726</v>
      </c>
      <c r="K313" s="260">
        <f>W313/'Logistics record '!$AD$1</f>
        <v>0</v>
      </c>
      <c r="L313" s="260">
        <f>Y313/'Logistics record '!$AD$1</f>
        <v>0</v>
      </c>
      <c r="M313" s="260">
        <f>AF313/'Logistics record '!$AD$1</f>
        <v>0</v>
      </c>
      <c r="N313" s="260" t="str" cm="1">
        <f t="array" ref="N313">_xlfn.IFS(
    OR(UPPER(S313)="AIR", UPPER(S313)="CPN"), "AIR",
    UPPER(S313)="TC", "LOCAL",
    TRUE, "SEA"
)</f>
        <v>AIR</v>
      </c>
      <c r="O313" s="260">
        <f t="shared" si="28"/>
        <v>15.116015418335726</v>
      </c>
      <c r="P313" s="184" t="s">
        <v>935</v>
      </c>
      <c r="Q313" s="185">
        <v>108334959020</v>
      </c>
      <c r="R313" s="186">
        <v>46185</v>
      </c>
      <c r="S313" s="187" t="s">
        <v>65</v>
      </c>
      <c r="T313" s="188">
        <v>2</v>
      </c>
      <c r="U313" s="188"/>
      <c r="V313" s="189">
        <v>400000</v>
      </c>
      <c r="W313" s="190"/>
      <c r="X313" s="190"/>
      <c r="Y313" s="190"/>
      <c r="Z313" s="189">
        <f t="shared" si="24"/>
        <v>400000</v>
      </c>
      <c r="AA313" s="189">
        <v>0</v>
      </c>
      <c r="AB313" s="189">
        <f t="shared" si="29"/>
        <v>400000</v>
      </c>
      <c r="AC313" s="189"/>
      <c r="AD313" s="190"/>
      <c r="AE313" s="190"/>
      <c r="AF313" s="191">
        <f t="shared" si="25"/>
        <v>0</v>
      </c>
      <c r="AG313" s="190">
        <f t="shared" si="26"/>
        <v>400000</v>
      </c>
      <c r="AH313" s="190"/>
      <c r="AI313" s="192" t="str">
        <f>VLOOKUP(Q313,[3]Sheet1!B$11:G$1489,6,0)</f>
        <v>E11</v>
      </c>
      <c r="GK313" s="194"/>
      <c r="GL313" s="195"/>
      <c r="GM313" s="196"/>
      <c r="GN313" s="197"/>
      <c r="GO313" s="198"/>
      <c r="GP313" s="199"/>
      <c r="GQ313" s="200"/>
      <c r="GR313" s="201"/>
      <c r="GS313" s="60"/>
      <c r="GT313" s="202"/>
      <c r="GU313" s="202"/>
      <c r="GV313" s="202"/>
      <c r="GW313" s="202"/>
      <c r="GX313" s="203"/>
      <c r="HA313" s="194"/>
      <c r="HB313" s="195"/>
      <c r="HC313" s="196"/>
      <c r="HD313" s="197"/>
      <c r="HE313" s="198"/>
      <c r="HF313" s="199"/>
      <c r="HG313" s="200"/>
      <c r="HH313" s="201"/>
      <c r="HI313" s="60"/>
      <c r="HJ313" s="202"/>
      <c r="HK313" s="202"/>
      <c r="HL313" s="202"/>
      <c r="HM313" s="202"/>
      <c r="HN313" s="203"/>
    </row>
    <row r="314" spans="1:222" ht="16.5" customHeight="1">
      <c r="A314" s="181">
        <v>311</v>
      </c>
      <c r="B314" s="182">
        <v>872931345031</v>
      </c>
      <c r="C314" s="598" t="s">
        <v>2590</v>
      </c>
      <c r="D314" s="184" t="s">
        <v>2497</v>
      </c>
      <c r="E314" s="184" t="str">
        <f t="shared" si="27"/>
        <v>Import</v>
      </c>
      <c r="F314" s="720" t="str" cm="1">
        <f t="array" ref="F314">_xlfn.IFS(
  OR(AI314="E11", AI314="E15"), "Raw materials",
  OR(AI314="E13", AI314="G13"), "Equipments + Toolings",
  TRUE, RIGHT(C314, 8)
)</f>
        <v>Raw materials</v>
      </c>
      <c r="G314" s="541" t="str" cm="1">
        <f t="array" ref="G314">IF(E314="Import",
  IFERROR(
    _xlfn.IFS(
      VLOOKUP(B314,[1]Material!F$5:U$90000,16,0)="LUC","Lucid",
      VLOOKUP(B314,[1]Material!F$5:U$90000,16,0)="FMC","FORD",
      OR(VLOOKUP(B314,[1]Material!F$5:U$90000,16,0)="PUR",VLOOKUP(B314,[1]Material!F$5:U$90000,16,0)="HLO"),"PURE",
      VLOOKUP(B314,[1]Material!F$5:U$90000,16,0)="AIC","AIC",
      OR(VLOOKUP(B314,[1]Material!F$5:U$90000,16,0)="AGI",VLOOKUP(B314,[1]Material!F$5:U$90000,16,0)="AGIGA"),"AGIGA",
      OR(LEFT(VLOOKUP(B314,[1]Material!F$5:U$90000,16,0),3)="EF-",VLOOKUP(B314,[1]Material!F$5:U$90000,16,0)="EFI"),"EFI",
      AND(ISNUMBER(VLOOKUP(B314,[1]Material!F$5:U$90000,16,0)),VLOOKUP(B314,[1]Material!F$5:U$90000,16,0)&gt;=100,VLOOKUP(B314,[1]Material!F$5:U$90000,16,0)&lt;=999,VLOOKUP(B314,[1]Material!F$5:U$90000,16,0)=INT(VLOOKUP(B314,[1]Material!F$5:U$90000,16,0))),"OEM",
      TRUE,""
    ),
    "không tìm thấy trong file Import"
  ),
  VLOOKUP(F314,'[2]Export shipment'!B:Y,24,0)
)</f>
        <v>OEM</v>
      </c>
      <c r="H314" s="184"/>
      <c r="I314" s="184"/>
      <c r="J314" s="260">
        <f>(V314+X314+AA314)/'Logistics record '!$AD$1</f>
        <v>15.116015418335726</v>
      </c>
      <c r="K314" s="260">
        <f>W314/'Logistics record '!$AD$1</f>
        <v>0</v>
      </c>
      <c r="L314" s="260">
        <f>Y314/'Logistics record '!$AD$1</f>
        <v>0</v>
      </c>
      <c r="M314" s="260">
        <f>AF314/'Logistics record '!$AD$1</f>
        <v>0</v>
      </c>
      <c r="N314" s="260" t="str" cm="1">
        <f t="array" ref="N314">_xlfn.IFS(
    OR(UPPER(S314)="AIR", UPPER(S314)="CPN"), "AIR",
    UPPER(S314)="TC", "LOCAL",
    TRUE, "SEA"
)</f>
        <v>AIR</v>
      </c>
      <c r="O314" s="260">
        <f t="shared" si="28"/>
        <v>15.116015418335726</v>
      </c>
      <c r="P314" s="184" t="s">
        <v>927</v>
      </c>
      <c r="Q314" s="185">
        <v>108335395120</v>
      </c>
      <c r="R314" s="186">
        <v>46185</v>
      </c>
      <c r="S314" s="187" t="s">
        <v>928</v>
      </c>
      <c r="T314" s="188">
        <v>0.5</v>
      </c>
      <c r="U314" s="188"/>
      <c r="V314" s="189">
        <v>400000</v>
      </c>
      <c r="W314" s="190"/>
      <c r="X314" s="190"/>
      <c r="Y314" s="190"/>
      <c r="Z314" s="189">
        <f t="shared" si="24"/>
        <v>400000</v>
      </c>
      <c r="AA314" s="189">
        <v>0</v>
      </c>
      <c r="AB314" s="189">
        <f t="shared" si="29"/>
        <v>400000</v>
      </c>
      <c r="AC314" s="189"/>
      <c r="AD314" s="190"/>
      <c r="AE314" s="190"/>
      <c r="AF314" s="191">
        <f t="shared" si="25"/>
        <v>0</v>
      </c>
      <c r="AG314" s="190">
        <f t="shared" si="26"/>
        <v>400000</v>
      </c>
      <c r="AH314" s="190"/>
      <c r="AI314" s="192" t="str">
        <f>VLOOKUP(Q314,[3]Sheet1!B$11:G$1489,6,0)</f>
        <v>E11</v>
      </c>
      <c r="GK314" s="194"/>
      <c r="GL314" s="195"/>
      <c r="GM314" s="196"/>
      <c r="GN314" s="197"/>
      <c r="GO314" s="198"/>
      <c r="GP314" s="199"/>
      <c r="GQ314" s="200"/>
      <c r="GR314" s="201"/>
      <c r="GS314" s="60"/>
      <c r="GT314" s="202"/>
      <c r="GU314" s="202"/>
      <c r="GV314" s="202"/>
      <c r="GW314" s="202"/>
      <c r="GX314" s="203"/>
      <c r="HA314" s="194"/>
      <c r="HB314" s="195"/>
      <c r="HC314" s="196"/>
      <c r="HD314" s="197"/>
      <c r="HE314" s="198"/>
      <c r="HF314" s="199"/>
      <c r="HG314" s="200"/>
      <c r="HH314" s="201"/>
      <c r="HI314" s="60"/>
      <c r="HJ314" s="202"/>
      <c r="HK314" s="202"/>
      <c r="HL314" s="202"/>
      <c r="HM314" s="202"/>
      <c r="HN314" s="203"/>
    </row>
    <row r="315" spans="1:222" ht="16.5" customHeight="1">
      <c r="A315" s="181">
        <v>312</v>
      </c>
      <c r="B315" s="182">
        <v>510007366917</v>
      </c>
      <c r="C315" s="598" t="s">
        <v>2591</v>
      </c>
      <c r="D315" s="184" t="s">
        <v>1999</v>
      </c>
      <c r="E315" s="184" t="str">
        <f t="shared" si="27"/>
        <v>Import</v>
      </c>
      <c r="F315" s="720" t="str" cm="1">
        <f t="array" ref="F315">_xlfn.IFS(
  OR(AI315="E11", AI315="E15"), "Raw materials",
  OR(AI315="E13", AI315="G13"), "Equipments + Toolings",
  TRUE, RIGHT(C315, 8)
)</f>
        <v>Raw materials</v>
      </c>
      <c r="G315" s="541" t="str" cm="1">
        <f t="array" ref="G315">IF(E315="Import",
  IFERROR(
    _xlfn.IFS(
      VLOOKUP(B315,[1]Material!F$5:U$90000,16,0)="LUC","Lucid",
      VLOOKUP(B315,[1]Material!F$5:U$90000,16,0)="FMC","FORD",
      OR(VLOOKUP(B315,[1]Material!F$5:U$90000,16,0)="PUR",VLOOKUP(B315,[1]Material!F$5:U$90000,16,0)="HLO"),"PURE",
      VLOOKUP(B315,[1]Material!F$5:U$90000,16,0)="AIC","AIC",
      OR(VLOOKUP(B315,[1]Material!F$5:U$90000,16,0)="AGI",VLOOKUP(B315,[1]Material!F$5:U$90000,16,0)="AGIGA"),"AGIGA",
      OR(LEFT(VLOOKUP(B315,[1]Material!F$5:U$90000,16,0),3)="EF-",VLOOKUP(B315,[1]Material!F$5:U$90000,16,0)="EFI"),"EFI",
      AND(ISNUMBER(VLOOKUP(B315,[1]Material!F$5:U$90000,16,0)),VLOOKUP(B315,[1]Material!F$5:U$90000,16,0)&gt;=100,VLOOKUP(B315,[1]Material!F$5:U$90000,16,0)&lt;=999,VLOOKUP(B315,[1]Material!F$5:U$90000,16,0)=INT(VLOOKUP(B315,[1]Material!F$5:U$90000,16,0))),"OEM",
      TRUE,""
    ),
    "không tìm thấy trong file Import"
  ),
  VLOOKUP(F315,'[2]Export shipment'!B:Y,24,0)
)</f>
        <v>OEM</v>
      </c>
      <c r="H315" s="184"/>
      <c r="I315" s="184"/>
      <c r="J315" s="260">
        <f>(V315+X315+AA315)/'Logistics record '!$AD$1</f>
        <v>15.116015418335726</v>
      </c>
      <c r="K315" s="260">
        <f>W315/'Logistics record '!$AD$1</f>
        <v>0</v>
      </c>
      <c r="L315" s="260">
        <f>Y315/'Logistics record '!$AD$1</f>
        <v>0</v>
      </c>
      <c r="M315" s="260">
        <f>AF315/'Logistics record '!$AD$1</f>
        <v>0</v>
      </c>
      <c r="N315" s="260" t="str" cm="1">
        <f t="array" ref="N315">_xlfn.IFS(
    OR(UPPER(S315)="AIR", UPPER(S315)="CPN"), "AIR",
    UPPER(S315)="TC", "LOCAL",
    TRUE, "SEA"
)</f>
        <v>AIR</v>
      </c>
      <c r="O315" s="260">
        <f t="shared" si="28"/>
        <v>15.116015418335726</v>
      </c>
      <c r="P315" s="184" t="s">
        <v>927</v>
      </c>
      <c r="Q315" s="185">
        <v>108336419550</v>
      </c>
      <c r="R315" s="186">
        <v>46185</v>
      </c>
      <c r="S315" s="187" t="s">
        <v>928</v>
      </c>
      <c r="T315" s="188">
        <v>42.7</v>
      </c>
      <c r="U315" s="188"/>
      <c r="V315" s="189">
        <v>400000</v>
      </c>
      <c r="W315" s="190"/>
      <c r="X315" s="190"/>
      <c r="Y315" s="190"/>
      <c r="Z315" s="189">
        <f t="shared" si="24"/>
        <v>400000</v>
      </c>
      <c r="AA315" s="189">
        <v>0</v>
      </c>
      <c r="AB315" s="189">
        <f t="shared" si="29"/>
        <v>400000</v>
      </c>
      <c r="AC315" s="189"/>
      <c r="AD315" s="190"/>
      <c r="AE315" s="190"/>
      <c r="AF315" s="191">
        <f t="shared" si="25"/>
        <v>0</v>
      </c>
      <c r="AG315" s="190">
        <f t="shared" si="26"/>
        <v>400000</v>
      </c>
      <c r="AH315" s="190"/>
      <c r="AI315" s="192" t="str">
        <f>VLOOKUP(Q315,[3]Sheet1!B$11:G$1489,6,0)</f>
        <v>E11</v>
      </c>
      <c r="GK315" s="194"/>
      <c r="GL315" s="195"/>
      <c r="GM315" s="196"/>
      <c r="GN315" s="197"/>
      <c r="GO315" s="198"/>
      <c r="GP315" s="199"/>
      <c r="GQ315" s="200"/>
      <c r="GR315" s="201"/>
      <c r="GS315" s="60"/>
      <c r="GT315" s="202"/>
      <c r="GU315" s="202"/>
      <c r="GV315" s="202"/>
      <c r="GW315" s="202"/>
      <c r="GX315" s="203"/>
      <c r="HA315" s="194"/>
      <c r="HB315" s="195"/>
      <c r="HC315" s="196"/>
      <c r="HD315" s="197"/>
      <c r="HE315" s="198"/>
      <c r="HF315" s="199"/>
      <c r="HG315" s="200"/>
      <c r="HH315" s="201"/>
      <c r="HI315" s="60"/>
      <c r="HJ315" s="202"/>
      <c r="HK315" s="202"/>
      <c r="HL315" s="202"/>
      <c r="HM315" s="202"/>
      <c r="HN315" s="203"/>
    </row>
    <row r="316" spans="1:222" ht="16.5" customHeight="1">
      <c r="A316" s="181">
        <v>313</v>
      </c>
      <c r="B316" s="182">
        <v>872563378597</v>
      </c>
      <c r="C316" s="183" t="s">
        <v>2592</v>
      </c>
      <c r="D316" s="184" t="s">
        <v>2041</v>
      </c>
      <c r="E316" s="184" t="str">
        <f t="shared" si="27"/>
        <v>Import</v>
      </c>
      <c r="F316" s="720" t="str" cm="1">
        <f t="array" ref="F316">_xlfn.IFS(
  OR(AI316="E11", AI316="E15"), "Raw materials",
  OR(AI316="E13", AI316="G13"), "Equipments + Toolings",
  TRUE, RIGHT(C316, 8)
)</f>
        <v>Raw materials</v>
      </c>
      <c r="G316" s="541" t="str" cm="1">
        <f t="array" ref="G316">IF(E316="Import",
  IFERROR(
    _xlfn.IFS(
      VLOOKUP(B316,[1]Material!F$5:U$90000,16,0)="LUC","Lucid",
      VLOOKUP(B316,[1]Material!F$5:U$90000,16,0)="FMC","FORD",
      OR(VLOOKUP(B316,[1]Material!F$5:U$90000,16,0)="PUR",VLOOKUP(B316,[1]Material!F$5:U$90000,16,0)="HLO"),"PURE",
      VLOOKUP(B316,[1]Material!F$5:U$90000,16,0)="AIC","AIC",
      OR(VLOOKUP(B316,[1]Material!F$5:U$90000,16,0)="AGI",VLOOKUP(B316,[1]Material!F$5:U$90000,16,0)="AGIGA"),"AGIGA",
      OR(LEFT(VLOOKUP(B316,[1]Material!F$5:U$90000,16,0),3)="EF-",VLOOKUP(B316,[1]Material!F$5:U$90000,16,0)="EFI"),"EFI",
      AND(ISNUMBER(VLOOKUP(B316,[1]Material!F$5:U$90000,16,0)),VLOOKUP(B316,[1]Material!F$5:U$90000,16,0)&gt;=100,VLOOKUP(B316,[1]Material!F$5:U$90000,16,0)&lt;=999,VLOOKUP(B316,[1]Material!F$5:U$90000,16,0)=INT(VLOOKUP(B316,[1]Material!F$5:U$90000,16,0))),"OEM",
      TRUE,""
    ),
    "không tìm thấy trong file Import"
  ),
  VLOOKUP(F316,'[2]Export shipment'!B:Y,24,0)
)</f>
        <v>PURE</v>
      </c>
      <c r="H316" s="184"/>
      <c r="I316" s="184"/>
      <c r="J316" s="260">
        <f>(V316+X316+AA316)/'Logistics record '!$AD$1</f>
        <v>15.116015418335726</v>
      </c>
      <c r="K316" s="260">
        <f>W316/'Logistics record '!$AD$1</f>
        <v>0</v>
      </c>
      <c r="L316" s="260">
        <f>Y316/'Logistics record '!$AD$1</f>
        <v>0</v>
      </c>
      <c r="M316" s="260">
        <f>AF316/'Logistics record '!$AD$1</f>
        <v>0</v>
      </c>
      <c r="N316" s="260" t="str" cm="1">
        <f t="array" ref="N316">_xlfn.IFS(
    OR(UPPER(S316)="AIR", UPPER(S316)="CPN"), "AIR",
    UPPER(S316)="TC", "LOCAL",
    TRUE, "SEA"
)</f>
        <v>AIR</v>
      </c>
      <c r="O316" s="260">
        <f t="shared" si="28"/>
        <v>15.116015418335726</v>
      </c>
      <c r="P316" s="184" t="s">
        <v>935</v>
      </c>
      <c r="Q316" s="185">
        <v>108336448730</v>
      </c>
      <c r="R316" s="186">
        <v>46185</v>
      </c>
      <c r="S316" s="187" t="s">
        <v>928</v>
      </c>
      <c r="T316" s="188">
        <v>3.4</v>
      </c>
      <c r="U316" s="188"/>
      <c r="V316" s="189">
        <v>400000</v>
      </c>
      <c r="W316" s="190"/>
      <c r="X316" s="190"/>
      <c r="Y316" s="190"/>
      <c r="Z316" s="189">
        <f t="shared" si="24"/>
        <v>400000</v>
      </c>
      <c r="AA316" s="189">
        <v>0</v>
      </c>
      <c r="AB316" s="189">
        <f t="shared" si="29"/>
        <v>400000</v>
      </c>
      <c r="AC316" s="189"/>
      <c r="AD316" s="190"/>
      <c r="AE316" s="190"/>
      <c r="AF316" s="191">
        <f t="shared" si="25"/>
        <v>0</v>
      </c>
      <c r="AG316" s="190">
        <f t="shared" si="26"/>
        <v>400000</v>
      </c>
      <c r="AH316" s="190"/>
      <c r="AI316" s="192" t="str">
        <f>VLOOKUP(Q316,[3]Sheet1!B$11:G$1489,6,0)</f>
        <v>E11</v>
      </c>
      <c r="GK316" s="194"/>
      <c r="GL316" s="195"/>
      <c r="GM316" s="196"/>
      <c r="GN316" s="197"/>
      <c r="GO316" s="198"/>
      <c r="GP316" s="199"/>
      <c r="GQ316" s="200"/>
      <c r="GR316" s="201"/>
      <c r="GS316" s="60"/>
      <c r="GT316" s="202"/>
      <c r="GU316" s="202"/>
      <c r="GV316" s="202"/>
      <c r="GW316" s="202"/>
      <c r="GX316" s="203"/>
      <c r="HA316" s="194"/>
      <c r="HB316" s="195"/>
      <c r="HC316" s="196"/>
      <c r="HD316" s="197"/>
      <c r="HE316" s="198"/>
      <c r="HF316" s="199"/>
      <c r="HG316" s="200"/>
      <c r="HH316" s="201"/>
      <c r="HI316" s="60"/>
      <c r="HJ316" s="202"/>
      <c r="HK316" s="202"/>
      <c r="HL316" s="202"/>
      <c r="HM316" s="202"/>
      <c r="HN316" s="203"/>
    </row>
    <row r="317" spans="1:222" ht="16.5" customHeight="1">
      <c r="A317" s="181">
        <v>314</v>
      </c>
      <c r="B317" s="182">
        <v>510007364362</v>
      </c>
      <c r="C317" s="183" t="s">
        <v>2593</v>
      </c>
      <c r="D317" s="184" t="s">
        <v>823</v>
      </c>
      <c r="E317" s="184" t="str">
        <f t="shared" si="27"/>
        <v>Import</v>
      </c>
      <c r="F317" s="720" t="str" cm="1">
        <f t="array" ref="F317">_xlfn.IFS(
  OR(AI317="E11", AI317="E15"), "Raw materials",
  OR(AI317="E13", AI317="G13"), "Equipments + Toolings",
  TRUE, RIGHT(C317, 8)
)</f>
        <v>Raw materials</v>
      </c>
      <c r="G317" s="541" t="str" cm="1">
        <f t="array" ref="G317">IF(E317="Import",
  IFERROR(
    _xlfn.IFS(
      VLOOKUP(B317,[1]Material!F$5:U$90000,16,0)="LUC","Lucid",
      VLOOKUP(B317,[1]Material!F$5:U$90000,16,0)="FMC","FORD",
      OR(VLOOKUP(B317,[1]Material!F$5:U$90000,16,0)="PUR",VLOOKUP(B317,[1]Material!F$5:U$90000,16,0)="HLO"),"PURE",
      VLOOKUP(B317,[1]Material!F$5:U$90000,16,0)="AIC","AIC",
      OR(VLOOKUP(B317,[1]Material!F$5:U$90000,16,0)="AGI",VLOOKUP(B317,[1]Material!F$5:U$90000,16,0)="AGIGA"),"AGIGA",
      OR(LEFT(VLOOKUP(B317,[1]Material!F$5:U$90000,16,0),3)="EF-",VLOOKUP(B317,[1]Material!F$5:U$90000,16,0)="EFI"),"EFI",
      AND(ISNUMBER(VLOOKUP(B317,[1]Material!F$5:U$90000,16,0)),VLOOKUP(B317,[1]Material!F$5:U$90000,16,0)&gt;=100,VLOOKUP(B317,[1]Material!F$5:U$90000,16,0)&lt;=999,VLOOKUP(B317,[1]Material!F$5:U$90000,16,0)=INT(VLOOKUP(B317,[1]Material!F$5:U$90000,16,0))),"OEM",
      TRUE,""
    ),
    "không tìm thấy trong file Import"
  ),
  VLOOKUP(F317,'[2]Export shipment'!B:Y,24,0)
)</f>
        <v>PURE</v>
      </c>
      <c r="H317" s="184"/>
      <c r="I317" s="184"/>
      <c r="J317" s="260">
        <f>(V317+X317+AA317)/'Logistics record '!$AD$1</f>
        <v>15.116015418335726</v>
      </c>
      <c r="K317" s="260">
        <f>W317/'Logistics record '!$AD$1</f>
        <v>0</v>
      </c>
      <c r="L317" s="260">
        <f>Y317/'Logistics record '!$AD$1</f>
        <v>0</v>
      </c>
      <c r="M317" s="260">
        <f>AF317/'Logistics record '!$AD$1</f>
        <v>0</v>
      </c>
      <c r="N317" s="260" t="str" cm="1">
        <f t="array" ref="N317">_xlfn.IFS(
    OR(UPPER(S317)="AIR", UPPER(S317)="CPN"), "AIR",
    UPPER(S317)="TC", "LOCAL",
    TRUE, "SEA"
)</f>
        <v>AIR</v>
      </c>
      <c r="O317" s="260">
        <f t="shared" si="28"/>
        <v>15.116015418335726</v>
      </c>
      <c r="P317" s="184" t="s">
        <v>927</v>
      </c>
      <c r="Q317" s="185">
        <v>108336473340</v>
      </c>
      <c r="R317" s="186">
        <v>46185</v>
      </c>
      <c r="S317" s="187" t="s">
        <v>928</v>
      </c>
      <c r="T317" s="188">
        <v>62</v>
      </c>
      <c r="U317" s="188"/>
      <c r="V317" s="189">
        <v>400000</v>
      </c>
      <c r="W317" s="190"/>
      <c r="X317" s="190"/>
      <c r="Y317" s="190"/>
      <c r="Z317" s="189">
        <f t="shared" si="24"/>
        <v>400000</v>
      </c>
      <c r="AA317" s="189">
        <v>0</v>
      </c>
      <c r="AB317" s="189">
        <f t="shared" si="29"/>
        <v>400000</v>
      </c>
      <c r="AC317" s="189"/>
      <c r="AD317" s="190"/>
      <c r="AE317" s="190"/>
      <c r="AF317" s="191">
        <f t="shared" si="25"/>
        <v>0</v>
      </c>
      <c r="AG317" s="190">
        <f t="shared" si="26"/>
        <v>400000</v>
      </c>
      <c r="AH317" s="190"/>
      <c r="AI317" s="192" t="str">
        <f>VLOOKUP(Q317,[3]Sheet1!B$11:G$1489,6,0)</f>
        <v>E11</v>
      </c>
      <c r="GK317" s="194"/>
      <c r="GL317" s="195"/>
      <c r="GM317" s="196"/>
      <c r="GN317" s="197"/>
      <c r="GO317" s="198"/>
      <c r="GP317" s="199"/>
      <c r="GQ317" s="200"/>
      <c r="GR317" s="201"/>
      <c r="GS317" s="60"/>
      <c r="GT317" s="202"/>
      <c r="GU317" s="202"/>
      <c r="GV317" s="202"/>
      <c r="GW317" s="202"/>
      <c r="GX317" s="203"/>
      <c r="HA317" s="194"/>
      <c r="HB317" s="195"/>
      <c r="HC317" s="196"/>
      <c r="HD317" s="197"/>
      <c r="HE317" s="198"/>
      <c r="HF317" s="199"/>
      <c r="HG317" s="200"/>
      <c r="HH317" s="201"/>
      <c r="HI317" s="60"/>
      <c r="HJ317" s="202"/>
      <c r="HK317" s="202"/>
      <c r="HL317" s="202"/>
      <c r="HM317" s="202"/>
      <c r="HN317" s="203"/>
    </row>
    <row r="318" spans="1:222" ht="16.5" customHeight="1">
      <c r="A318" s="181">
        <v>315</v>
      </c>
      <c r="B318" s="182">
        <v>510007364362</v>
      </c>
      <c r="C318" s="598" t="s">
        <v>2593</v>
      </c>
      <c r="D318" s="184" t="s">
        <v>823</v>
      </c>
      <c r="E318" s="184" t="str">
        <f t="shared" si="27"/>
        <v>Import</v>
      </c>
      <c r="F318" s="720" t="str" cm="1">
        <f t="array" ref="F318">_xlfn.IFS(
  OR(AI318="E11", AI318="E15"), "Raw materials",
  OR(AI318="E13", AI318="G13"), "Equipments + Toolings",
  TRUE, RIGHT(C318, 8)
)</f>
        <v>Raw materials</v>
      </c>
      <c r="G318" s="541" t="str" cm="1">
        <f t="array" ref="G318">IF(E318="Import",
  IFERROR(
    _xlfn.IFS(
      VLOOKUP(B318,[1]Material!F$5:U$90000,16,0)="LUC","Lucid",
      VLOOKUP(B318,[1]Material!F$5:U$90000,16,0)="FMC","FORD",
      OR(VLOOKUP(B318,[1]Material!F$5:U$90000,16,0)="PUR",VLOOKUP(B318,[1]Material!F$5:U$90000,16,0)="HLO"),"PURE",
      VLOOKUP(B318,[1]Material!F$5:U$90000,16,0)="AIC","AIC",
      OR(VLOOKUP(B318,[1]Material!F$5:U$90000,16,0)="AGI",VLOOKUP(B318,[1]Material!F$5:U$90000,16,0)="AGIGA"),"AGIGA",
      OR(LEFT(VLOOKUP(B318,[1]Material!F$5:U$90000,16,0),3)="EF-",VLOOKUP(B318,[1]Material!F$5:U$90000,16,0)="EFI"),"EFI",
      AND(ISNUMBER(VLOOKUP(B318,[1]Material!F$5:U$90000,16,0)),VLOOKUP(B318,[1]Material!F$5:U$90000,16,0)&gt;=100,VLOOKUP(B318,[1]Material!F$5:U$90000,16,0)&lt;=999,VLOOKUP(B318,[1]Material!F$5:U$90000,16,0)=INT(VLOOKUP(B318,[1]Material!F$5:U$90000,16,0))),"OEM",
      TRUE,""
    ),
    "không tìm thấy trong file Import"
  ),
  VLOOKUP(F318,'[2]Export shipment'!B:Y,24,0)
)</f>
        <v>PURE</v>
      </c>
      <c r="H318" s="184"/>
      <c r="I318" s="184"/>
      <c r="J318" s="260">
        <f>(V318+X318+AA318)/'Logistics record '!$AD$1</f>
        <v>11.337011563751796</v>
      </c>
      <c r="K318" s="260">
        <f>W318/'Logistics record '!$AD$1</f>
        <v>0</v>
      </c>
      <c r="L318" s="260">
        <f>Y318/'Logistics record '!$AD$1</f>
        <v>0</v>
      </c>
      <c r="M318" s="260">
        <f>AF318/'Logistics record '!$AD$1</f>
        <v>0</v>
      </c>
      <c r="N318" s="260" t="str" cm="1">
        <f t="array" ref="N318">_xlfn.IFS(
    OR(UPPER(S318)="AIR", UPPER(S318)="CPN"), "AIR",
    UPPER(S318)="TC", "LOCAL",
    TRUE, "SEA"
)</f>
        <v>AIR</v>
      </c>
      <c r="O318" s="260">
        <f t="shared" si="28"/>
        <v>11.337011563751796</v>
      </c>
      <c r="P318" s="184" t="s">
        <v>927</v>
      </c>
      <c r="Q318" s="185">
        <v>108336474740</v>
      </c>
      <c r="R318" s="186">
        <v>46185</v>
      </c>
      <c r="S318" s="187" t="s">
        <v>928</v>
      </c>
      <c r="T318" s="188">
        <v>62</v>
      </c>
      <c r="U318" s="188"/>
      <c r="V318" s="189">
        <v>300000</v>
      </c>
      <c r="W318" s="190"/>
      <c r="X318" s="190"/>
      <c r="Y318" s="190"/>
      <c r="Z318" s="189">
        <f t="shared" si="24"/>
        <v>300000</v>
      </c>
      <c r="AA318" s="189">
        <v>0</v>
      </c>
      <c r="AB318" s="189">
        <f t="shared" si="29"/>
        <v>300000</v>
      </c>
      <c r="AC318" s="189"/>
      <c r="AD318" s="190"/>
      <c r="AE318" s="190"/>
      <c r="AF318" s="191">
        <f t="shared" si="25"/>
        <v>0</v>
      </c>
      <c r="AG318" s="190">
        <f t="shared" si="26"/>
        <v>300000</v>
      </c>
      <c r="AH318" s="190"/>
      <c r="AI318" s="192" t="str">
        <f>VLOOKUP(Q318,[3]Sheet1!B$11:G$1489,6,0)</f>
        <v>E11</v>
      </c>
      <c r="GK318" s="194"/>
      <c r="GL318" s="195"/>
      <c r="GM318" s="196"/>
      <c r="GN318" s="197"/>
      <c r="GO318" s="198"/>
      <c r="GP318" s="199"/>
      <c r="GQ318" s="200"/>
      <c r="GR318" s="201"/>
      <c r="GS318" s="60"/>
      <c r="GT318" s="202"/>
      <c r="GU318" s="202"/>
      <c r="GV318" s="202"/>
      <c r="GW318" s="202"/>
      <c r="GX318" s="203"/>
      <c r="HA318" s="194"/>
      <c r="HB318" s="195"/>
      <c r="HC318" s="196"/>
      <c r="HD318" s="197"/>
      <c r="HE318" s="198"/>
      <c r="HF318" s="199"/>
      <c r="HG318" s="200"/>
      <c r="HH318" s="201"/>
      <c r="HI318" s="60"/>
      <c r="HJ318" s="202"/>
      <c r="HK318" s="202"/>
      <c r="HL318" s="202"/>
      <c r="HM318" s="202"/>
      <c r="HN318" s="203"/>
    </row>
    <row r="319" spans="1:222" ht="16.5" customHeight="1">
      <c r="A319" s="181">
        <v>316</v>
      </c>
      <c r="B319" s="182">
        <v>872690078492</v>
      </c>
      <c r="C319" s="183" t="s">
        <v>2594</v>
      </c>
      <c r="D319" s="184" t="s">
        <v>2040</v>
      </c>
      <c r="E319" s="184" t="str">
        <f t="shared" si="27"/>
        <v>Import</v>
      </c>
      <c r="F319" s="720" t="str" cm="1">
        <f t="array" ref="F319">_xlfn.IFS(
  OR(AI319="E11", AI319="E15"), "Raw materials",
  OR(AI319="E13", AI319="G13"), "Equipments + Toolings",
  TRUE, RIGHT(C319, 8)
)</f>
        <v>Raw materials</v>
      </c>
      <c r="G319" s="541" t="str" cm="1">
        <f t="array" ref="G319">IF(E319="Import",
  IFERROR(
    _xlfn.IFS(
      VLOOKUP(B319,[1]Material!F$5:U$90000,16,0)="LUC","Lucid",
      VLOOKUP(B319,[1]Material!F$5:U$90000,16,0)="FMC","FORD",
      OR(VLOOKUP(B319,[1]Material!F$5:U$90000,16,0)="PUR",VLOOKUP(B319,[1]Material!F$5:U$90000,16,0)="HLO"),"PURE",
      VLOOKUP(B319,[1]Material!F$5:U$90000,16,0)="AIC","AIC",
      OR(VLOOKUP(B319,[1]Material!F$5:U$90000,16,0)="AGI",VLOOKUP(B319,[1]Material!F$5:U$90000,16,0)="AGIGA"),"AGIGA",
      OR(LEFT(VLOOKUP(B319,[1]Material!F$5:U$90000,16,0),3)="EF-",VLOOKUP(B319,[1]Material!F$5:U$90000,16,0)="EFI"),"EFI",
      AND(ISNUMBER(VLOOKUP(B319,[1]Material!F$5:U$90000,16,0)),VLOOKUP(B319,[1]Material!F$5:U$90000,16,0)&gt;=100,VLOOKUP(B319,[1]Material!F$5:U$90000,16,0)&lt;=999,VLOOKUP(B319,[1]Material!F$5:U$90000,16,0)=INT(VLOOKUP(B319,[1]Material!F$5:U$90000,16,0))),"OEM",
      TRUE,""
    ),
    "không tìm thấy trong file Import"
  ),
  VLOOKUP(F319,'[2]Export shipment'!B:Y,24,0)
)</f>
        <v>OEM</v>
      </c>
      <c r="H319" s="184"/>
      <c r="I319" s="184"/>
      <c r="J319" s="260">
        <f>(V319+X319+AA319)/'Logistics record '!$AD$1</f>
        <v>15.116015418335726</v>
      </c>
      <c r="K319" s="260">
        <f>W319/'Logistics record '!$AD$1</f>
        <v>0</v>
      </c>
      <c r="L319" s="260">
        <f>Y319/'Logistics record '!$AD$1</f>
        <v>0</v>
      </c>
      <c r="M319" s="260">
        <f>AF319/'Logistics record '!$AD$1</f>
        <v>0</v>
      </c>
      <c r="N319" s="260" t="str" cm="1">
        <f t="array" ref="N319">_xlfn.IFS(
    OR(UPPER(S319)="AIR", UPPER(S319)="CPN"), "AIR",
    UPPER(S319)="TC", "LOCAL",
    TRUE, "SEA"
)</f>
        <v>AIR</v>
      </c>
      <c r="O319" s="260">
        <f t="shared" si="28"/>
        <v>15.116015418335726</v>
      </c>
      <c r="P319" s="184" t="s">
        <v>939</v>
      </c>
      <c r="Q319" s="185">
        <v>108336590830</v>
      </c>
      <c r="R319" s="186">
        <v>46185</v>
      </c>
      <c r="S319" s="187" t="s">
        <v>928</v>
      </c>
      <c r="T319" s="188">
        <v>34.299999999999997</v>
      </c>
      <c r="U319" s="188"/>
      <c r="V319" s="189">
        <v>400000</v>
      </c>
      <c r="W319" s="190"/>
      <c r="X319" s="190"/>
      <c r="Y319" s="190"/>
      <c r="Z319" s="189">
        <f t="shared" si="24"/>
        <v>400000</v>
      </c>
      <c r="AA319" s="189">
        <v>0</v>
      </c>
      <c r="AB319" s="189">
        <f t="shared" si="29"/>
        <v>400000</v>
      </c>
      <c r="AC319" s="189"/>
      <c r="AD319" s="190"/>
      <c r="AE319" s="190"/>
      <c r="AF319" s="191">
        <f t="shared" si="25"/>
        <v>0</v>
      </c>
      <c r="AG319" s="190">
        <f t="shared" si="26"/>
        <v>400000</v>
      </c>
      <c r="AH319" s="190"/>
      <c r="AI319" s="192" t="str">
        <f>VLOOKUP(Q319,[3]Sheet1!B$11:G$1489,6,0)</f>
        <v>E11</v>
      </c>
      <c r="GK319" s="194"/>
      <c r="GL319" s="195"/>
      <c r="GM319" s="196"/>
      <c r="GN319" s="197"/>
      <c r="GO319" s="198"/>
      <c r="GP319" s="199"/>
      <c r="GQ319" s="200"/>
      <c r="GR319" s="201"/>
      <c r="GS319" s="60"/>
      <c r="GT319" s="202"/>
      <c r="GU319" s="202"/>
      <c r="GV319" s="202"/>
      <c r="GW319" s="202"/>
      <c r="GX319" s="203"/>
      <c r="HA319" s="194"/>
      <c r="HB319" s="195"/>
      <c r="HC319" s="196"/>
      <c r="HD319" s="197"/>
      <c r="HE319" s="198"/>
      <c r="HF319" s="199"/>
      <c r="HG319" s="200"/>
      <c r="HH319" s="201"/>
      <c r="HI319" s="60"/>
      <c r="HJ319" s="202"/>
      <c r="HK319" s="202"/>
      <c r="HL319" s="202"/>
      <c r="HM319" s="202"/>
      <c r="HN319" s="203"/>
    </row>
    <row r="320" spans="1:222" ht="16.5" customHeight="1">
      <c r="A320" s="181">
        <v>317</v>
      </c>
      <c r="B320" s="182">
        <v>7752690514</v>
      </c>
      <c r="C320" s="183" t="s">
        <v>2595</v>
      </c>
      <c r="D320" s="184" t="s">
        <v>2596</v>
      </c>
      <c r="E320" s="184" t="str">
        <f t="shared" si="27"/>
        <v>Import</v>
      </c>
      <c r="F320" s="720" t="str" cm="1">
        <f t="array" ref="F320">_xlfn.IFS(
  OR(AI320="E11", AI320="E15"), "Raw materials",
  OR(AI320="E13", AI320="G13"), "Equipments + Toolings",
  TRUE, RIGHT(C320, 8)
)</f>
        <v>Raw materials</v>
      </c>
      <c r="G320" s="541" t="str" cm="1">
        <f t="array" ref="G320">IF(E320="Import",
  IFERROR(
    _xlfn.IFS(
      VLOOKUP(B320,[1]Material!F$5:U$90000,16,0)="LUC","Lucid",
      VLOOKUP(B320,[1]Material!F$5:U$90000,16,0)="FMC","FORD",
      OR(VLOOKUP(B320,[1]Material!F$5:U$90000,16,0)="PUR",VLOOKUP(B320,[1]Material!F$5:U$90000,16,0)="HLO"),"PURE",
      VLOOKUP(B320,[1]Material!F$5:U$90000,16,0)="AIC","AIC",
      OR(VLOOKUP(B320,[1]Material!F$5:U$90000,16,0)="AGI",VLOOKUP(B320,[1]Material!F$5:U$90000,16,0)="AGIGA"),"AGIGA",
      OR(LEFT(VLOOKUP(B320,[1]Material!F$5:U$90000,16,0),3)="EF-",VLOOKUP(B320,[1]Material!F$5:U$90000,16,0)="EFI"),"EFI",
      AND(ISNUMBER(VLOOKUP(B320,[1]Material!F$5:U$90000,16,0)),VLOOKUP(B320,[1]Material!F$5:U$90000,16,0)&gt;=100,VLOOKUP(B320,[1]Material!F$5:U$90000,16,0)&lt;=999,VLOOKUP(B320,[1]Material!F$5:U$90000,16,0)=INT(VLOOKUP(B320,[1]Material!F$5:U$90000,16,0))),"OEM",
      TRUE,""
    ),
    "không tìm thấy trong file Import"
  ),
  VLOOKUP(F320,'[2]Export shipment'!B:Y,24,0)
)</f>
        <v>FORD</v>
      </c>
      <c r="H320" s="184"/>
      <c r="I320" s="184"/>
      <c r="J320" s="260">
        <f>(V320+X320+AA320)/'Logistics record '!$AD$1</f>
        <v>15.116015418335726</v>
      </c>
      <c r="K320" s="260">
        <f>W320/'Logistics record '!$AD$1</f>
        <v>0</v>
      </c>
      <c r="L320" s="260">
        <f>Y320/'Logistics record '!$AD$1</f>
        <v>0</v>
      </c>
      <c r="M320" s="260">
        <f>AF320/'Logistics record '!$AD$1</f>
        <v>0</v>
      </c>
      <c r="N320" s="260" t="str" cm="1">
        <f t="array" ref="N320">_xlfn.IFS(
    OR(UPPER(S320)="AIR", UPPER(S320)="CPN"), "AIR",
    UPPER(S320)="TC", "LOCAL",
    TRUE, "SEA"
)</f>
        <v>AIR</v>
      </c>
      <c r="O320" s="260">
        <f t="shared" si="28"/>
        <v>15.116015418335726</v>
      </c>
      <c r="P320" s="184" t="s">
        <v>931</v>
      </c>
      <c r="Q320" s="185">
        <v>108337086210</v>
      </c>
      <c r="R320" s="186">
        <v>46186</v>
      </c>
      <c r="S320" s="187" t="s">
        <v>928</v>
      </c>
      <c r="T320" s="188">
        <v>2</v>
      </c>
      <c r="U320" s="188"/>
      <c r="V320" s="189">
        <v>400000</v>
      </c>
      <c r="W320" s="190"/>
      <c r="X320" s="190"/>
      <c r="Y320" s="190"/>
      <c r="Z320" s="189">
        <f t="shared" si="24"/>
        <v>400000</v>
      </c>
      <c r="AA320" s="189">
        <v>0</v>
      </c>
      <c r="AB320" s="189">
        <f t="shared" si="29"/>
        <v>400000</v>
      </c>
      <c r="AC320" s="189"/>
      <c r="AD320" s="190"/>
      <c r="AE320" s="190"/>
      <c r="AF320" s="191">
        <f t="shared" si="25"/>
        <v>0</v>
      </c>
      <c r="AG320" s="190">
        <f t="shared" si="26"/>
        <v>400000</v>
      </c>
      <c r="AH320" s="190"/>
      <c r="AI320" s="192" t="str">
        <f>VLOOKUP(Q320,[3]Sheet1!B$11:G$1489,6,0)</f>
        <v>E11</v>
      </c>
      <c r="GK320" s="194"/>
      <c r="GL320" s="195"/>
      <c r="GM320" s="196"/>
      <c r="GN320" s="197"/>
      <c r="GO320" s="198"/>
      <c r="GP320" s="199"/>
      <c r="GQ320" s="200"/>
      <c r="GR320" s="201"/>
      <c r="GS320" s="60"/>
      <c r="GT320" s="202"/>
      <c r="GU320" s="202"/>
      <c r="GV320" s="202"/>
      <c r="GW320" s="202"/>
      <c r="GX320" s="203"/>
      <c r="HA320" s="194"/>
      <c r="HB320" s="195"/>
      <c r="HC320" s="196"/>
      <c r="HD320" s="197"/>
      <c r="HE320" s="198"/>
      <c r="HF320" s="199"/>
      <c r="HG320" s="200"/>
      <c r="HH320" s="201"/>
      <c r="HI320" s="60"/>
      <c r="HJ320" s="202"/>
      <c r="HK320" s="202"/>
      <c r="HL320" s="202"/>
      <c r="HM320" s="202"/>
      <c r="HN320" s="203"/>
    </row>
    <row r="321" spans="1:222" ht="16.5" customHeight="1">
      <c r="A321" s="181">
        <v>318</v>
      </c>
      <c r="B321" s="182">
        <v>515199060191</v>
      </c>
      <c r="C321" s="183" t="s">
        <v>2597</v>
      </c>
      <c r="D321" s="184" t="s">
        <v>801</v>
      </c>
      <c r="E321" s="184" t="str">
        <f t="shared" si="27"/>
        <v>Import</v>
      </c>
      <c r="F321" s="720" t="str" cm="1">
        <f t="array" ref="F321">_xlfn.IFS(
  OR(AI321="E11", AI321="E15"), "Raw materials",
  OR(AI321="E13", AI321="G13"), "Equipments + Toolings",
  TRUE, RIGHT(C321, 8)
)</f>
        <v>Raw materials</v>
      </c>
      <c r="G321" s="541" t="str" cm="1">
        <f t="array" ref="G321">IF(E321="Import",
  IFERROR(
    _xlfn.IFS(
      VLOOKUP(B321,[1]Material!F$5:U$90000,16,0)="LUC","Lucid",
      VLOOKUP(B321,[1]Material!F$5:U$90000,16,0)="FMC","FORD",
      OR(VLOOKUP(B321,[1]Material!F$5:U$90000,16,0)="PUR",VLOOKUP(B321,[1]Material!F$5:U$90000,16,0)="HLO"),"PURE",
      VLOOKUP(B321,[1]Material!F$5:U$90000,16,0)="AIC","AIC",
      OR(VLOOKUP(B321,[1]Material!F$5:U$90000,16,0)="AGI",VLOOKUP(B321,[1]Material!F$5:U$90000,16,0)="AGIGA"),"AGIGA",
      OR(LEFT(VLOOKUP(B321,[1]Material!F$5:U$90000,16,0),3)="EF-",VLOOKUP(B321,[1]Material!F$5:U$90000,16,0)="EFI"),"EFI",
      AND(ISNUMBER(VLOOKUP(B321,[1]Material!F$5:U$90000,16,0)),VLOOKUP(B321,[1]Material!F$5:U$90000,16,0)&gt;=100,VLOOKUP(B321,[1]Material!F$5:U$90000,16,0)&lt;=999,VLOOKUP(B321,[1]Material!F$5:U$90000,16,0)=INT(VLOOKUP(B321,[1]Material!F$5:U$90000,16,0))),"OEM",
      TRUE,""
    ),
    "không tìm thấy trong file Import"
  ),
  VLOOKUP(F321,'[2]Export shipment'!B:Y,24,0)
)</f>
        <v>PURE</v>
      </c>
      <c r="H321" s="184"/>
      <c r="I321" s="184"/>
      <c r="J321" s="260">
        <f>(V321+X321+AA321)/'Logistics record '!$AD$1</f>
        <v>15.116015418335726</v>
      </c>
      <c r="K321" s="260">
        <f>W321/'Logistics record '!$AD$1</f>
        <v>0</v>
      </c>
      <c r="L321" s="260">
        <f>Y321/'Logistics record '!$AD$1</f>
        <v>0</v>
      </c>
      <c r="M321" s="260">
        <f>AF321/'Logistics record '!$AD$1</f>
        <v>0</v>
      </c>
      <c r="N321" s="260" t="str" cm="1">
        <f t="array" ref="N321">_xlfn.IFS(
    OR(UPPER(S321)="AIR", UPPER(S321)="CPN"), "AIR",
    UPPER(S321)="TC", "LOCAL",
    TRUE, "SEA"
)</f>
        <v>AIR</v>
      </c>
      <c r="O321" s="260">
        <f t="shared" si="28"/>
        <v>15.116015418335726</v>
      </c>
      <c r="P321" s="184" t="s">
        <v>937</v>
      </c>
      <c r="Q321" s="185">
        <v>108337154440</v>
      </c>
      <c r="R321" s="186">
        <v>46186</v>
      </c>
      <c r="S321" s="187" t="s">
        <v>928</v>
      </c>
      <c r="T321" s="188">
        <v>52.5</v>
      </c>
      <c r="U321" s="188"/>
      <c r="V321" s="189">
        <v>400000</v>
      </c>
      <c r="W321" s="190"/>
      <c r="X321" s="190"/>
      <c r="Y321" s="190"/>
      <c r="Z321" s="189">
        <f t="shared" si="24"/>
        <v>400000</v>
      </c>
      <c r="AA321" s="189">
        <v>0</v>
      </c>
      <c r="AB321" s="189">
        <f t="shared" si="29"/>
        <v>400000</v>
      </c>
      <c r="AC321" s="189"/>
      <c r="AD321" s="190"/>
      <c r="AE321" s="190"/>
      <c r="AF321" s="191">
        <f t="shared" si="25"/>
        <v>0</v>
      </c>
      <c r="AG321" s="190">
        <f t="shared" si="26"/>
        <v>400000</v>
      </c>
      <c r="AH321" s="190"/>
      <c r="AI321" s="192" t="str">
        <f>VLOOKUP(Q321,[3]Sheet1!B$11:G$1489,6,0)</f>
        <v>E11</v>
      </c>
      <c r="GK321" s="194"/>
      <c r="GL321" s="195"/>
      <c r="GM321" s="196"/>
      <c r="GN321" s="197"/>
      <c r="GO321" s="198"/>
      <c r="GP321" s="199"/>
      <c r="GQ321" s="200"/>
      <c r="GR321" s="201"/>
      <c r="GS321" s="60"/>
      <c r="GT321" s="202"/>
      <c r="GU321" s="202"/>
      <c r="GV321" s="202"/>
      <c r="GW321" s="202"/>
      <c r="GX321" s="203"/>
      <c r="HA321" s="194"/>
      <c r="HB321" s="195"/>
      <c r="HC321" s="196"/>
      <c r="HD321" s="197"/>
      <c r="HE321" s="198"/>
      <c r="HF321" s="199"/>
      <c r="HG321" s="200"/>
      <c r="HH321" s="201"/>
      <c r="HI321" s="60"/>
      <c r="HJ321" s="202"/>
      <c r="HK321" s="202"/>
      <c r="HL321" s="202"/>
      <c r="HM321" s="202"/>
      <c r="HN321" s="203"/>
    </row>
    <row r="322" spans="1:222" ht="16.5" customHeight="1">
      <c r="A322" s="181">
        <v>319</v>
      </c>
      <c r="B322" s="182">
        <v>381800914174</v>
      </c>
      <c r="C322" s="598" t="s">
        <v>2598</v>
      </c>
      <c r="D322" s="184" t="s">
        <v>1694</v>
      </c>
      <c r="E322" s="184" t="str">
        <f t="shared" si="27"/>
        <v>Import</v>
      </c>
      <c r="F322" s="720" t="str" cm="1">
        <f t="array" ref="F322">_xlfn.IFS(
  OR(AI322="E11", AI322="E15"), "Raw materials",
  OR(AI322="E13", AI322="G13"), "Equipments + Toolings",
  TRUE, RIGHT(C322, 8)
)</f>
        <v>Raw materials</v>
      </c>
      <c r="G322" s="541" t="str" cm="1">
        <f t="array" ref="G322">IF(E322="Import",
  IFERROR(
    _xlfn.IFS(
      VLOOKUP(B322,[1]Material!F$5:U$90000,16,0)="LUC","Lucid",
      VLOOKUP(B322,[1]Material!F$5:U$90000,16,0)="FMC","FORD",
      OR(VLOOKUP(B322,[1]Material!F$5:U$90000,16,0)="PUR",VLOOKUP(B322,[1]Material!F$5:U$90000,16,0)="HLO"),"PURE",
      VLOOKUP(B322,[1]Material!F$5:U$90000,16,0)="AIC","AIC",
      OR(VLOOKUP(B322,[1]Material!F$5:U$90000,16,0)="AGI",VLOOKUP(B322,[1]Material!F$5:U$90000,16,0)="AGIGA"),"AGIGA",
      OR(LEFT(VLOOKUP(B322,[1]Material!F$5:U$90000,16,0),3)="EF-",VLOOKUP(B322,[1]Material!F$5:U$90000,16,0)="EFI"),"EFI",
      AND(ISNUMBER(VLOOKUP(B322,[1]Material!F$5:U$90000,16,0)),VLOOKUP(B322,[1]Material!F$5:U$90000,16,0)&gt;=100,VLOOKUP(B322,[1]Material!F$5:U$90000,16,0)&lt;=999,VLOOKUP(B322,[1]Material!F$5:U$90000,16,0)=INT(VLOOKUP(B322,[1]Material!F$5:U$90000,16,0))),"OEM",
      TRUE,""
    ),
    "không tìm thấy trong file Import"
  ),
  VLOOKUP(F322,'[2]Export shipment'!B:Y,24,0)
)</f>
        <v>OEM</v>
      </c>
      <c r="H322" s="184"/>
      <c r="I322" s="184"/>
      <c r="J322" s="260">
        <f>(V322+X322+AA322)/'Logistics record '!$AD$1</f>
        <v>15.116015418335726</v>
      </c>
      <c r="K322" s="260">
        <f>W322/'Logistics record '!$AD$1</f>
        <v>0</v>
      </c>
      <c r="L322" s="260">
        <f>Y322/'Logistics record '!$AD$1</f>
        <v>0</v>
      </c>
      <c r="M322" s="260">
        <f>AF322/'Logistics record '!$AD$1</f>
        <v>0</v>
      </c>
      <c r="N322" s="260" t="str" cm="1">
        <f t="array" ref="N322">_xlfn.IFS(
    OR(UPPER(S322)="AIR", UPPER(S322)="CPN"), "AIR",
    UPPER(S322)="TC", "LOCAL",
    TRUE, "SEA"
)</f>
        <v>AIR</v>
      </c>
      <c r="O322" s="260">
        <f t="shared" si="28"/>
        <v>15.116015418335726</v>
      </c>
      <c r="P322" s="184" t="s">
        <v>931</v>
      </c>
      <c r="Q322" s="185">
        <v>108337266920</v>
      </c>
      <c r="R322" s="186">
        <v>46186</v>
      </c>
      <c r="S322" s="187" t="s">
        <v>928</v>
      </c>
      <c r="T322" s="188">
        <v>0.5</v>
      </c>
      <c r="U322" s="188"/>
      <c r="V322" s="189">
        <v>400000</v>
      </c>
      <c r="W322" s="190"/>
      <c r="X322" s="190"/>
      <c r="Y322" s="190"/>
      <c r="Z322" s="189">
        <f t="shared" si="24"/>
        <v>400000</v>
      </c>
      <c r="AA322" s="189">
        <v>0</v>
      </c>
      <c r="AB322" s="189">
        <f t="shared" si="29"/>
        <v>400000</v>
      </c>
      <c r="AC322" s="189"/>
      <c r="AD322" s="190"/>
      <c r="AE322" s="190"/>
      <c r="AF322" s="191">
        <f t="shared" si="25"/>
        <v>0</v>
      </c>
      <c r="AG322" s="190">
        <f t="shared" si="26"/>
        <v>400000</v>
      </c>
      <c r="AH322" s="190"/>
      <c r="AI322" s="192" t="str">
        <f>VLOOKUP(Q322,[3]Sheet1!B$11:G$1489,6,0)</f>
        <v>E11</v>
      </c>
      <c r="GK322" s="194"/>
      <c r="GL322" s="195"/>
      <c r="GM322" s="196"/>
      <c r="GN322" s="197"/>
      <c r="GO322" s="198"/>
      <c r="GP322" s="199"/>
      <c r="GQ322" s="200"/>
      <c r="GR322" s="201"/>
      <c r="GS322" s="60"/>
      <c r="GT322" s="202"/>
      <c r="GU322" s="202"/>
      <c r="GV322" s="202"/>
      <c r="GW322" s="202"/>
      <c r="GX322" s="203"/>
      <c r="HA322" s="194"/>
      <c r="HB322" s="195"/>
      <c r="HC322" s="196"/>
      <c r="HD322" s="197"/>
      <c r="HE322" s="198"/>
      <c r="HF322" s="199"/>
      <c r="HG322" s="200"/>
      <c r="HH322" s="201"/>
      <c r="HI322" s="60"/>
      <c r="HJ322" s="202"/>
      <c r="HK322" s="202"/>
      <c r="HL322" s="202"/>
      <c r="HM322" s="202"/>
      <c r="HN322" s="203"/>
    </row>
    <row r="323" spans="1:222" ht="16.5" customHeight="1">
      <c r="A323" s="181">
        <v>320</v>
      </c>
      <c r="B323" s="182">
        <v>4110337923</v>
      </c>
      <c r="C323" s="183" t="s">
        <v>2599</v>
      </c>
      <c r="D323" s="184" t="s">
        <v>1990</v>
      </c>
      <c r="E323" s="184" t="str">
        <f t="shared" si="27"/>
        <v>Import</v>
      </c>
      <c r="F323" s="720" t="str" cm="1">
        <f t="array" ref="F323">_xlfn.IFS(
  OR(AI323="E11", AI323="E15"), "Raw materials",
  OR(AI323="E13", AI323="G13"), "Equipments + Toolings",
  TRUE, RIGHT(C323, 8)
)</f>
        <v>Raw materials</v>
      </c>
      <c r="G323" s="541" t="str" cm="1">
        <f t="array" ref="G323">IF(E323="Import",
  IFERROR(
    _xlfn.IFS(
      VLOOKUP(B323,[1]Material!F$5:U$90000,16,0)="LUC","Lucid",
      VLOOKUP(B323,[1]Material!F$5:U$90000,16,0)="FMC","FORD",
      OR(VLOOKUP(B323,[1]Material!F$5:U$90000,16,0)="PUR",VLOOKUP(B323,[1]Material!F$5:U$90000,16,0)="HLO"),"PURE",
      VLOOKUP(B323,[1]Material!F$5:U$90000,16,0)="AIC","AIC",
      OR(VLOOKUP(B323,[1]Material!F$5:U$90000,16,0)="AGI",VLOOKUP(B323,[1]Material!F$5:U$90000,16,0)="AGIGA"),"AGIGA",
      OR(LEFT(VLOOKUP(B323,[1]Material!F$5:U$90000,16,0),3)="EF-",VLOOKUP(B323,[1]Material!F$5:U$90000,16,0)="EFI"),"EFI",
      AND(ISNUMBER(VLOOKUP(B323,[1]Material!F$5:U$90000,16,0)),VLOOKUP(B323,[1]Material!F$5:U$90000,16,0)&gt;=100,VLOOKUP(B323,[1]Material!F$5:U$90000,16,0)&lt;=999,VLOOKUP(B323,[1]Material!F$5:U$90000,16,0)=INT(VLOOKUP(B323,[1]Material!F$5:U$90000,16,0))),"OEM",
      TRUE,""
    ),
    "không tìm thấy trong file Import"
  ),
  VLOOKUP(F323,'[2]Export shipment'!B:Y,24,0)
)</f>
        <v>Lucid</v>
      </c>
      <c r="H323" s="184"/>
      <c r="I323" s="184"/>
      <c r="J323" s="260">
        <f>(V323+X323+AA323)/'Logistics record '!$AD$1</f>
        <v>15.116015418335726</v>
      </c>
      <c r="K323" s="260">
        <f>W323/'Logistics record '!$AD$1</f>
        <v>0</v>
      </c>
      <c r="L323" s="260">
        <f>Y323/'Logistics record '!$AD$1</f>
        <v>0</v>
      </c>
      <c r="M323" s="260">
        <f>AF323/'Logistics record '!$AD$1</f>
        <v>0</v>
      </c>
      <c r="N323" s="260" t="str" cm="1">
        <f t="array" ref="N323">_xlfn.IFS(
    OR(UPPER(S323)="AIR", UPPER(S323)="CPN"), "AIR",
    UPPER(S323)="TC", "LOCAL",
    TRUE, "SEA"
)</f>
        <v>AIR</v>
      </c>
      <c r="O323" s="260">
        <f t="shared" si="28"/>
        <v>15.116015418335726</v>
      </c>
      <c r="P323" s="184" t="s">
        <v>935</v>
      </c>
      <c r="Q323" s="185">
        <v>108339222830</v>
      </c>
      <c r="R323" s="186">
        <v>46188</v>
      </c>
      <c r="S323" s="187" t="s">
        <v>65</v>
      </c>
      <c r="T323" s="188">
        <v>210.5</v>
      </c>
      <c r="U323" s="188"/>
      <c r="V323" s="189">
        <v>400000</v>
      </c>
      <c r="W323" s="190"/>
      <c r="X323" s="190"/>
      <c r="Y323" s="190"/>
      <c r="Z323" s="189">
        <f t="shared" si="24"/>
        <v>400000</v>
      </c>
      <c r="AA323" s="189">
        <v>0</v>
      </c>
      <c r="AB323" s="189">
        <f t="shared" si="29"/>
        <v>400000</v>
      </c>
      <c r="AC323" s="189"/>
      <c r="AD323" s="190"/>
      <c r="AE323" s="190"/>
      <c r="AF323" s="191">
        <f t="shared" si="25"/>
        <v>0</v>
      </c>
      <c r="AG323" s="190">
        <f t="shared" si="26"/>
        <v>400000</v>
      </c>
      <c r="AH323" s="190"/>
      <c r="AI323" s="192" t="str">
        <f>VLOOKUP(Q323,[3]Sheet1!B$11:G$1489,6,0)</f>
        <v>E11</v>
      </c>
      <c r="GK323" s="194"/>
      <c r="GL323" s="195"/>
      <c r="GM323" s="196"/>
      <c r="GN323" s="197"/>
      <c r="GO323" s="198"/>
      <c r="GP323" s="199"/>
      <c r="GQ323" s="200"/>
      <c r="GR323" s="201"/>
      <c r="GS323" s="60"/>
      <c r="GT323" s="202"/>
      <c r="GU323" s="202"/>
      <c r="GV323" s="202"/>
      <c r="GW323" s="202"/>
      <c r="GX323" s="203"/>
      <c r="HA323" s="194"/>
      <c r="HB323" s="195"/>
      <c r="HC323" s="196"/>
      <c r="HD323" s="197"/>
      <c r="HE323" s="198"/>
      <c r="HF323" s="199"/>
      <c r="HG323" s="200"/>
      <c r="HH323" s="201"/>
      <c r="HI323" s="60"/>
      <c r="HJ323" s="202"/>
      <c r="HK323" s="202"/>
      <c r="HL323" s="202"/>
      <c r="HM323" s="202"/>
      <c r="HN323" s="203"/>
    </row>
    <row r="324" spans="1:222" ht="16.5" customHeight="1">
      <c r="A324" s="181">
        <v>321</v>
      </c>
      <c r="B324" s="182" t="s">
        <v>2600</v>
      </c>
      <c r="C324" s="183" t="s">
        <v>2601</v>
      </c>
      <c r="D324" s="184" t="s">
        <v>940</v>
      </c>
      <c r="E324" s="184" t="str">
        <f t="shared" si="27"/>
        <v>Import</v>
      </c>
      <c r="F324" s="720" t="str" cm="1">
        <f t="array" ref="F324">_xlfn.IFS(
  OR(AI324="E11", AI324="E15"), "Raw materials",
  OR(AI324="E13", AI324="G13"), "Equipments + Toolings",
  TRUE, RIGHT(C324, 8)
)</f>
        <v>Raw materials</v>
      </c>
      <c r="G324" s="541" t="str" cm="1">
        <f t="array" ref="G324">IF(E324="Import",
  IFERROR(
    _xlfn.IFS(
      VLOOKUP(B324,[1]Material!F$5:U$90000,16,0)="LUC","Lucid",
      VLOOKUP(B324,[1]Material!F$5:U$90000,16,0)="FMC","FORD",
      OR(VLOOKUP(B324,[1]Material!F$5:U$90000,16,0)="PUR",VLOOKUP(B324,[1]Material!F$5:U$90000,16,0)="HLO"),"PURE",
      VLOOKUP(B324,[1]Material!F$5:U$90000,16,0)="AIC","AIC",
      OR(VLOOKUP(B324,[1]Material!F$5:U$90000,16,0)="AGI",VLOOKUP(B324,[1]Material!F$5:U$90000,16,0)="AGIGA"),"AGIGA",
      OR(LEFT(VLOOKUP(B324,[1]Material!F$5:U$90000,16,0),3)="EF-",VLOOKUP(B324,[1]Material!F$5:U$90000,16,0)="EFI"),"EFI",
      AND(ISNUMBER(VLOOKUP(B324,[1]Material!F$5:U$90000,16,0)),VLOOKUP(B324,[1]Material!F$5:U$90000,16,0)&gt;=100,VLOOKUP(B324,[1]Material!F$5:U$90000,16,0)&lt;=999,VLOOKUP(B324,[1]Material!F$5:U$90000,16,0)=INT(VLOOKUP(B324,[1]Material!F$5:U$90000,16,0))),"OEM",
      TRUE,""
    ),
    "không tìm thấy trong file Import"
  ),
  VLOOKUP(F324,'[2]Export shipment'!B:Y,24,0)
)</f>
        <v>PURE</v>
      </c>
      <c r="H324" s="184" t="e">
        <f>VLOOKUP(B324,[4]Export!I$3627:J$3898,2,0)</f>
        <v>#N/A</v>
      </c>
      <c r="I324" s="184" t="s">
        <v>2089</v>
      </c>
      <c r="J324" s="260">
        <f>(V324+X324+AA324)/'Logistics record '!$AD$1</f>
        <v>15.116015418335726</v>
      </c>
      <c r="K324" s="260">
        <f>W324/'Logistics record '!$AD$1</f>
        <v>0</v>
      </c>
      <c r="L324" s="260">
        <f>Y324/'Logistics record '!$AD$1</f>
        <v>0</v>
      </c>
      <c r="M324" s="260">
        <f>AF324/'Logistics record '!$AD$1</f>
        <v>60.750510165520367</v>
      </c>
      <c r="N324" s="260" t="str" cm="1">
        <f t="array" ref="N324">_xlfn.IFS(
    OR(UPPER(S324)="AIR", UPPER(S324)="CPN"), "AIR",
    UPPER(S324)="TC", "LOCAL",
    TRUE, "SEA"
)</f>
        <v>AIR</v>
      </c>
      <c r="O324" s="260">
        <f t="shared" si="28"/>
        <v>75.866525583856088</v>
      </c>
      <c r="P324" s="184" t="s">
        <v>949</v>
      </c>
      <c r="Q324" s="185">
        <v>108339296000</v>
      </c>
      <c r="R324" s="186">
        <v>46188</v>
      </c>
      <c r="S324" s="187" t="s">
        <v>65</v>
      </c>
      <c r="T324" s="188">
        <v>7.3</v>
      </c>
      <c r="U324" s="188"/>
      <c r="V324" s="189">
        <v>400000</v>
      </c>
      <c r="W324" s="190"/>
      <c r="X324" s="190"/>
      <c r="Y324" s="190"/>
      <c r="Z324" s="189">
        <f t="shared" ref="Z324:Z387" si="30">SUM(V324:Y324)</f>
        <v>400000</v>
      </c>
      <c r="AA324" s="189">
        <v>0</v>
      </c>
      <c r="AB324" s="189">
        <f t="shared" si="29"/>
        <v>400000</v>
      </c>
      <c r="AC324" s="189"/>
      <c r="AD324" s="190">
        <v>1220400</v>
      </c>
      <c r="AE324" s="190">
        <v>387180</v>
      </c>
      <c r="AF324" s="191">
        <f t="shared" ref="AF324:AF603" si="31">+SUM(AC324:AE324)</f>
        <v>1607580</v>
      </c>
      <c r="AG324" s="190">
        <f t="shared" ref="AG324:AG603" si="32">+AF324+AB324</f>
        <v>2007580</v>
      </c>
      <c r="AH324" s="190"/>
      <c r="AI324" s="192" t="str">
        <f>VLOOKUP(Q324,[3]Sheet1!B$11:G$1489,6,0)</f>
        <v>E11</v>
      </c>
      <c r="GK324" s="194"/>
      <c r="GL324" s="195"/>
      <c r="GM324" s="196"/>
      <c r="GN324" s="197"/>
      <c r="GO324" s="198"/>
      <c r="GP324" s="199"/>
      <c r="GQ324" s="200"/>
      <c r="GR324" s="201"/>
      <c r="GS324" s="60"/>
      <c r="GT324" s="202"/>
      <c r="GU324" s="202"/>
      <c r="GV324" s="202"/>
      <c r="GW324" s="202"/>
      <c r="GX324" s="203"/>
      <c r="HA324" s="194"/>
      <c r="HB324" s="195"/>
      <c r="HC324" s="196"/>
      <c r="HD324" s="197"/>
      <c r="HE324" s="198"/>
      <c r="HF324" s="199"/>
      <c r="HG324" s="200"/>
      <c r="HH324" s="201"/>
      <c r="HI324" s="60"/>
      <c r="HJ324" s="202"/>
      <c r="HK324" s="202"/>
      <c r="HL324" s="202"/>
      <c r="HM324" s="202"/>
      <c r="HN324" s="203"/>
    </row>
    <row r="325" spans="1:222" ht="16.5" customHeight="1">
      <c r="A325" s="181">
        <v>322</v>
      </c>
      <c r="B325" s="182" t="s">
        <v>2602</v>
      </c>
      <c r="C325" s="183" t="s">
        <v>2603</v>
      </c>
      <c r="D325" s="184" t="s">
        <v>940</v>
      </c>
      <c r="E325" s="184" t="str">
        <f t="shared" ref="E325:E388" si="33">IF(OR(AI325="E11", AI325="E13", AI325="E15", AI325="G13"), "Import", "Export")</f>
        <v>Import</v>
      </c>
      <c r="F325" s="720" t="str" cm="1">
        <f t="array" ref="F325">_xlfn.IFS(
  OR(AI325="E11", AI325="E15"), "Raw materials",
  OR(AI325="E13", AI325="G13"), "Equipments + Toolings",
  TRUE, RIGHT(C325, 8)
)</f>
        <v>Raw materials</v>
      </c>
      <c r="G325" s="541" t="str" cm="1">
        <f t="array" ref="G325">IF(E325="Import",
  IFERROR(
    _xlfn.IFS(
      VLOOKUP(B325,[1]Material!F$5:U$90000,16,0)="LUC","Lucid",
      VLOOKUP(B325,[1]Material!F$5:U$90000,16,0)="FMC","FORD",
      OR(VLOOKUP(B325,[1]Material!F$5:U$90000,16,0)="PUR",VLOOKUP(B325,[1]Material!F$5:U$90000,16,0)="HLO"),"PURE",
      VLOOKUP(B325,[1]Material!F$5:U$90000,16,0)="AIC","AIC",
      OR(VLOOKUP(B325,[1]Material!F$5:U$90000,16,0)="AGI",VLOOKUP(B325,[1]Material!F$5:U$90000,16,0)="AGIGA"),"AGIGA",
      OR(LEFT(VLOOKUP(B325,[1]Material!F$5:U$90000,16,0),3)="EF-",VLOOKUP(B325,[1]Material!F$5:U$90000,16,0)="EFI"),"EFI",
      AND(ISNUMBER(VLOOKUP(B325,[1]Material!F$5:U$90000,16,0)),VLOOKUP(B325,[1]Material!F$5:U$90000,16,0)&gt;=100,VLOOKUP(B325,[1]Material!F$5:U$90000,16,0)&lt;=999,VLOOKUP(B325,[1]Material!F$5:U$90000,16,0)=INT(VLOOKUP(B325,[1]Material!F$5:U$90000,16,0))),"OEM",
      TRUE,""
    ),
    "không tìm thấy trong file Import"
  ),
  VLOOKUP(F325,'[2]Export shipment'!B:Y,24,0)
)</f>
        <v>PURE</v>
      </c>
      <c r="H325" s="184" t="e">
        <f>VLOOKUP(B325,[4]Export!I$3627:J$3898,2,0)</f>
        <v>#N/A</v>
      </c>
      <c r="I325" s="184" t="s">
        <v>2089</v>
      </c>
      <c r="J325" s="260">
        <f>(V325+X325+AA325)/'Logistics record '!$AD$1</f>
        <v>15.116015418335726</v>
      </c>
      <c r="K325" s="260">
        <f>W325/'Logistics record '!$AD$1</f>
        <v>0</v>
      </c>
      <c r="L325" s="260">
        <f>Y325/'Logistics record '!$AD$1</f>
        <v>0</v>
      </c>
      <c r="M325" s="260">
        <f>AF325/'Logistics record '!$AD$1</f>
        <v>60.750510165520367</v>
      </c>
      <c r="N325" s="260" t="str" cm="1">
        <f t="array" ref="N325">_xlfn.IFS(
    OR(UPPER(S325)="AIR", UPPER(S325)="CPN"), "AIR",
    UPPER(S325)="TC", "LOCAL",
    TRUE, "SEA"
)</f>
        <v>AIR</v>
      </c>
      <c r="O325" s="260">
        <f t="shared" ref="O325:O384" si="34">M325+L325+K325+J325</f>
        <v>75.866525583856088</v>
      </c>
      <c r="P325" s="184" t="s">
        <v>949</v>
      </c>
      <c r="Q325" s="185">
        <v>108339340910</v>
      </c>
      <c r="R325" s="186">
        <v>46188</v>
      </c>
      <c r="S325" s="187" t="s">
        <v>65</v>
      </c>
      <c r="T325" s="188">
        <v>3.4</v>
      </c>
      <c r="U325" s="188"/>
      <c r="V325" s="189">
        <v>400000</v>
      </c>
      <c r="W325" s="190"/>
      <c r="X325" s="190"/>
      <c r="Y325" s="190"/>
      <c r="Z325" s="189">
        <f t="shared" si="30"/>
        <v>400000</v>
      </c>
      <c r="AA325" s="189">
        <v>0</v>
      </c>
      <c r="AB325" s="189">
        <f t="shared" ref="AB325:AB388" si="35">+AA325+Z325</f>
        <v>400000</v>
      </c>
      <c r="AC325" s="189"/>
      <c r="AD325" s="190">
        <v>1220400</v>
      </c>
      <c r="AE325" s="190">
        <v>387180</v>
      </c>
      <c r="AF325" s="191">
        <f t="shared" si="31"/>
        <v>1607580</v>
      </c>
      <c r="AG325" s="190">
        <f t="shared" si="32"/>
        <v>2007580</v>
      </c>
      <c r="AH325" s="190"/>
      <c r="AI325" s="192" t="str">
        <f>VLOOKUP(Q325,[3]Sheet1!B$11:G$1489,6,0)</f>
        <v>E11</v>
      </c>
      <c r="GK325" s="194"/>
      <c r="GL325" s="195"/>
      <c r="GM325" s="196"/>
      <c r="GN325" s="197"/>
      <c r="GO325" s="198"/>
      <c r="GP325" s="199"/>
      <c r="GQ325" s="200"/>
      <c r="GR325" s="201"/>
      <c r="GS325" s="60"/>
      <c r="GT325" s="202"/>
      <c r="GU325" s="202"/>
      <c r="GV325" s="202"/>
      <c r="GW325" s="202"/>
      <c r="GX325" s="203"/>
      <c r="HA325" s="194"/>
      <c r="HB325" s="195"/>
      <c r="HC325" s="196"/>
      <c r="HD325" s="197"/>
      <c r="HE325" s="198"/>
      <c r="HF325" s="199"/>
      <c r="HG325" s="200"/>
      <c r="HH325" s="201"/>
      <c r="HI325" s="60"/>
      <c r="HJ325" s="202"/>
      <c r="HK325" s="202"/>
      <c r="HL325" s="202"/>
      <c r="HM325" s="202"/>
      <c r="HN325" s="203"/>
    </row>
    <row r="326" spans="1:222" ht="16.5" customHeight="1">
      <c r="A326" s="181">
        <v>323</v>
      </c>
      <c r="B326" s="182" t="s">
        <v>2604</v>
      </c>
      <c r="C326" s="183" t="s">
        <v>2605</v>
      </c>
      <c r="D326" s="184" t="s">
        <v>940</v>
      </c>
      <c r="E326" s="184" t="str">
        <f t="shared" si="33"/>
        <v>Import</v>
      </c>
      <c r="F326" s="720" t="str" cm="1">
        <f t="array" ref="F326">_xlfn.IFS(
  OR(AI326="E11", AI326="E15"), "Raw materials",
  OR(AI326="E13", AI326="G13"), "Equipments + Toolings",
  TRUE, RIGHT(C326, 8)
)</f>
        <v>Raw materials</v>
      </c>
      <c r="G326" s="541" t="str" cm="1">
        <f t="array" ref="G326">IF(E326="Import",
  IFERROR(
    _xlfn.IFS(
      VLOOKUP(B326,[1]Material!F$5:U$90000,16,0)="LUC","Lucid",
      VLOOKUP(B326,[1]Material!F$5:U$90000,16,0)="FMC","FORD",
      OR(VLOOKUP(B326,[1]Material!F$5:U$90000,16,0)="PUR",VLOOKUP(B326,[1]Material!F$5:U$90000,16,0)="HLO"),"PURE",
      VLOOKUP(B326,[1]Material!F$5:U$90000,16,0)="AIC","AIC",
      OR(VLOOKUP(B326,[1]Material!F$5:U$90000,16,0)="AGI",VLOOKUP(B326,[1]Material!F$5:U$90000,16,0)="AGIGA"),"AGIGA",
      OR(LEFT(VLOOKUP(B326,[1]Material!F$5:U$90000,16,0),3)="EF-",VLOOKUP(B326,[1]Material!F$5:U$90000,16,0)="EFI"),"EFI",
      AND(ISNUMBER(VLOOKUP(B326,[1]Material!F$5:U$90000,16,0)),VLOOKUP(B326,[1]Material!F$5:U$90000,16,0)&gt;=100,VLOOKUP(B326,[1]Material!F$5:U$90000,16,0)&lt;=999,VLOOKUP(B326,[1]Material!F$5:U$90000,16,0)=INT(VLOOKUP(B326,[1]Material!F$5:U$90000,16,0))),"OEM",
      TRUE,""
    ),
    "không tìm thấy trong file Import"
  ),
  VLOOKUP(F326,'[2]Export shipment'!B:Y,24,0)
)</f>
        <v>PURE</v>
      </c>
      <c r="H326" s="184" t="e">
        <f>VLOOKUP(B326,[4]Export!I$3627:J$3898,2,0)</f>
        <v>#N/A</v>
      </c>
      <c r="I326" s="184" t="s">
        <v>2089</v>
      </c>
      <c r="J326" s="260">
        <f>(V326+X326+AA326)/'Logistics record '!$AD$1</f>
        <v>15.116015418335726</v>
      </c>
      <c r="K326" s="260">
        <f>W326/'Logistics record '!$AD$1</f>
        <v>0</v>
      </c>
      <c r="L326" s="260">
        <f>Y326/'Logistics record '!$AD$1</f>
        <v>0</v>
      </c>
      <c r="M326" s="260">
        <f>AF326/'Logistics record '!$AD$1</f>
        <v>60.750510165520367</v>
      </c>
      <c r="N326" s="260" t="str" cm="1">
        <f t="array" ref="N326">_xlfn.IFS(
    OR(UPPER(S326)="AIR", UPPER(S326)="CPN"), "AIR",
    UPPER(S326)="TC", "LOCAL",
    TRUE, "SEA"
)</f>
        <v>AIR</v>
      </c>
      <c r="O326" s="260">
        <f t="shared" si="34"/>
        <v>75.866525583856088</v>
      </c>
      <c r="P326" s="184" t="s">
        <v>949</v>
      </c>
      <c r="Q326" s="185">
        <v>108339385230</v>
      </c>
      <c r="R326" s="186">
        <v>46188</v>
      </c>
      <c r="S326" s="187" t="s">
        <v>65</v>
      </c>
      <c r="T326" s="188">
        <v>5.2</v>
      </c>
      <c r="U326" s="188"/>
      <c r="V326" s="189">
        <v>400000</v>
      </c>
      <c r="W326" s="190"/>
      <c r="X326" s="190"/>
      <c r="Y326" s="190"/>
      <c r="Z326" s="189">
        <f t="shared" si="30"/>
        <v>400000</v>
      </c>
      <c r="AA326" s="189">
        <v>0</v>
      </c>
      <c r="AB326" s="189">
        <f t="shared" si="35"/>
        <v>400000</v>
      </c>
      <c r="AC326" s="189"/>
      <c r="AD326" s="190">
        <v>1220400</v>
      </c>
      <c r="AE326" s="190">
        <v>387180</v>
      </c>
      <c r="AF326" s="191">
        <f t="shared" si="31"/>
        <v>1607580</v>
      </c>
      <c r="AG326" s="190">
        <f t="shared" si="32"/>
        <v>2007580</v>
      </c>
      <c r="AH326" s="190"/>
      <c r="AI326" s="192" t="str">
        <f>VLOOKUP(Q326,[3]Sheet1!B$11:G$1489,6,0)</f>
        <v>E11</v>
      </c>
      <c r="GK326" s="194"/>
      <c r="GL326" s="195"/>
      <c r="GM326" s="196"/>
      <c r="GN326" s="197"/>
      <c r="GO326" s="198"/>
      <c r="GP326" s="199"/>
      <c r="GQ326" s="200"/>
      <c r="GR326" s="201"/>
      <c r="GS326" s="60"/>
      <c r="GT326" s="202"/>
      <c r="GU326" s="202"/>
      <c r="GV326" s="202"/>
      <c r="GW326" s="202"/>
      <c r="GX326" s="203"/>
      <c r="HA326" s="194"/>
      <c r="HB326" s="195"/>
      <c r="HC326" s="196"/>
      <c r="HD326" s="197"/>
      <c r="HE326" s="198"/>
      <c r="HF326" s="199"/>
      <c r="HG326" s="200"/>
      <c r="HH326" s="201"/>
      <c r="HI326" s="60"/>
      <c r="HJ326" s="202"/>
      <c r="HK326" s="202"/>
      <c r="HL326" s="202"/>
      <c r="HM326" s="202"/>
      <c r="HN326" s="203"/>
    </row>
    <row r="327" spans="1:222" ht="16.5" customHeight="1">
      <c r="A327" s="181">
        <v>324</v>
      </c>
      <c r="B327" s="182" t="s">
        <v>2606</v>
      </c>
      <c r="C327" s="183" t="s">
        <v>2607</v>
      </c>
      <c r="D327" s="184" t="s">
        <v>940</v>
      </c>
      <c r="E327" s="184" t="str">
        <f t="shared" si="33"/>
        <v>Import</v>
      </c>
      <c r="F327" s="720" t="str" cm="1">
        <f t="array" ref="F327">_xlfn.IFS(
  OR(AI327="E11", AI327="E15"), "Raw materials",
  OR(AI327="E13", AI327="G13"), "Equipments + Toolings",
  TRUE, RIGHT(C327, 8)
)</f>
        <v>Raw materials</v>
      </c>
      <c r="G327" s="541" t="str" cm="1">
        <f t="array" ref="G327">IF(E327="Import",
  IFERROR(
    _xlfn.IFS(
      VLOOKUP(B327,[1]Material!F$5:U$90000,16,0)="LUC","Lucid",
      VLOOKUP(B327,[1]Material!F$5:U$90000,16,0)="FMC","FORD",
      OR(VLOOKUP(B327,[1]Material!F$5:U$90000,16,0)="PUR",VLOOKUP(B327,[1]Material!F$5:U$90000,16,0)="HLO"),"PURE",
      VLOOKUP(B327,[1]Material!F$5:U$90000,16,0)="AIC","AIC",
      OR(VLOOKUP(B327,[1]Material!F$5:U$90000,16,0)="AGI",VLOOKUP(B327,[1]Material!F$5:U$90000,16,0)="AGIGA"),"AGIGA",
      OR(LEFT(VLOOKUP(B327,[1]Material!F$5:U$90000,16,0),3)="EF-",VLOOKUP(B327,[1]Material!F$5:U$90000,16,0)="EFI"),"EFI",
      AND(ISNUMBER(VLOOKUP(B327,[1]Material!F$5:U$90000,16,0)),VLOOKUP(B327,[1]Material!F$5:U$90000,16,0)&gt;=100,VLOOKUP(B327,[1]Material!F$5:U$90000,16,0)&lt;=999,VLOOKUP(B327,[1]Material!F$5:U$90000,16,0)=INT(VLOOKUP(B327,[1]Material!F$5:U$90000,16,0))),"OEM",
      TRUE,""
    ),
    "không tìm thấy trong file Import"
  ),
  VLOOKUP(F327,'[2]Export shipment'!B:Y,24,0)
)</f>
        <v>PURE</v>
      </c>
      <c r="H327" s="184" t="e">
        <f>VLOOKUP(B327,[4]Export!I$3627:J$3898,2,0)</f>
        <v>#N/A</v>
      </c>
      <c r="I327" s="184" t="s">
        <v>2089</v>
      </c>
      <c r="J327" s="260">
        <f>(V327+X327+AA327)/'Logistics record '!$AD$1</f>
        <v>15.116015418335726</v>
      </c>
      <c r="K327" s="260">
        <f>W327/'Logistics record '!$AD$1</f>
        <v>0</v>
      </c>
      <c r="L327" s="260">
        <f>Y327/'Logistics record '!$AD$1</f>
        <v>0</v>
      </c>
      <c r="M327" s="260">
        <f>AF327/'Logistics record '!$AD$1</f>
        <v>60.750510165520367</v>
      </c>
      <c r="N327" s="260" t="str" cm="1">
        <f t="array" ref="N327">_xlfn.IFS(
    OR(UPPER(S327)="AIR", UPPER(S327)="CPN"), "AIR",
    UPPER(S327)="TC", "LOCAL",
    TRUE, "SEA"
)</f>
        <v>AIR</v>
      </c>
      <c r="O327" s="260">
        <f t="shared" si="34"/>
        <v>75.866525583856088</v>
      </c>
      <c r="P327" s="184" t="s">
        <v>949</v>
      </c>
      <c r="Q327" s="185">
        <v>108339409030</v>
      </c>
      <c r="R327" s="186">
        <v>46188</v>
      </c>
      <c r="S327" s="187" t="s">
        <v>65</v>
      </c>
      <c r="T327" s="188">
        <v>1.3</v>
      </c>
      <c r="U327" s="188"/>
      <c r="V327" s="189">
        <v>400000</v>
      </c>
      <c r="W327" s="190"/>
      <c r="X327" s="190"/>
      <c r="Y327" s="190"/>
      <c r="Z327" s="189">
        <f t="shared" si="30"/>
        <v>400000</v>
      </c>
      <c r="AA327" s="189">
        <v>0</v>
      </c>
      <c r="AB327" s="189">
        <f t="shared" si="35"/>
        <v>400000</v>
      </c>
      <c r="AC327" s="189"/>
      <c r="AD327" s="190">
        <v>1220400</v>
      </c>
      <c r="AE327" s="190">
        <v>387180</v>
      </c>
      <c r="AF327" s="191">
        <f t="shared" si="31"/>
        <v>1607580</v>
      </c>
      <c r="AG327" s="190">
        <f t="shared" si="32"/>
        <v>2007580</v>
      </c>
      <c r="AH327" s="190"/>
      <c r="AI327" s="192" t="str">
        <f>VLOOKUP(Q327,[3]Sheet1!B$11:G$1489,6,0)</f>
        <v>E11</v>
      </c>
      <c r="GK327" s="194"/>
      <c r="GL327" s="195"/>
      <c r="GM327" s="196"/>
      <c r="GN327" s="197"/>
      <c r="GO327" s="198"/>
      <c r="GP327" s="199"/>
      <c r="GQ327" s="200"/>
      <c r="GR327" s="201"/>
      <c r="GS327" s="60"/>
      <c r="GT327" s="202"/>
      <c r="GU327" s="202"/>
      <c r="GV327" s="202"/>
      <c r="GW327" s="202"/>
      <c r="GX327" s="203"/>
      <c r="HA327" s="194"/>
      <c r="HB327" s="195"/>
      <c r="HC327" s="196"/>
      <c r="HD327" s="197"/>
      <c r="HE327" s="198"/>
      <c r="HF327" s="199"/>
      <c r="HG327" s="200"/>
      <c r="HH327" s="201"/>
      <c r="HI327" s="60"/>
      <c r="HJ327" s="202"/>
      <c r="HK327" s="202"/>
      <c r="HL327" s="202"/>
      <c r="HM327" s="202"/>
      <c r="HN327" s="203"/>
    </row>
    <row r="328" spans="1:222" ht="16.5" customHeight="1">
      <c r="A328" s="181">
        <v>325</v>
      </c>
      <c r="B328" s="182" t="s">
        <v>2608</v>
      </c>
      <c r="C328" s="598" t="s">
        <v>2609</v>
      </c>
      <c r="D328" s="184" t="s">
        <v>940</v>
      </c>
      <c r="E328" s="184" t="str">
        <f t="shared" si="33"/>
        <v>Import</v>
      </c>
      <c r="F328" s="720" t="str" cm="1">
        <f t="array" ref="F328">_xlfn.IFS(
  OR(AI328="E11", AI328="E15"), "Raw materials",
  OR(AI328="E13", AI328="G13"), "Equipments + Toolings",
  TRUE, RIGHT(C328, 8)
)</f>
        <v>Raw materials</v>
      </c>
      <c r="G328" s="541" t="str" cm="1">
        <f t="array" ref="G328">IF(E328="Import",
  IFERROR(
    _xlfn.IFS(
      VLOOKUP(B328,[1]Material!F$5:U$90000,16,0)="LUC","Lucid",
      VLOOKUP(B328,[1]Material!F$5:U$90000,16,0)="FMC","FORD",
      OR(VLOOKUP(B328,[1]Material!F$5:U$90000,16,0)="PUR",VLOOKUP(B328,[1]Material!F$5:U$90000,16,0)="HLO"),"PURE",
      VLOOKUP(B328,[1]Material!F$5:U$90000,16,0)="AIC","AIC",
      OR(VLOOKUP(B328,[1]Material!F$5:U$90000,16,0)="AGI",VLOOKUP(B328,[1]Material!F$5:U$90000,16,0)="AGIGA"),"AGIGA",
      OR(LEFT(VLOOKUP(B328,[1]Material!F$5:U$90000,16,0),3)="EF-",VLOOKUP(B328,[1]Material!F$5:U$90000,16,0)="EFI"),"EFI",
      AND(ISNUMBER(VLOOKUP(B328,[1]Material!F$5:U$90000,16,0)),VLOOKUP(B328,[1]Material!F$5:U$90000,16,0)&gt;=100,VLOOKUP(B328,[1]Material!F$5:U$90000,16,0)&lt;=999,VLOOKUP(B328,[1]Material!F$5:U$90000,16,0)=INT(VLOOKUP(B328,[1]Material!F$5:U$90000,16,0))),"OEM",
      TRUE,""
    ),
    "không tìm thấy trong file Import"
  ),
  VLOOKUP(F328,'[2]Export shipment'!B:Y,24,0)
)</f>
        <v>PURE</v>
      </c>
      <c r="H328" s="184" t="e">
        <f>VLOOKUP(B328,[4]Export!I$3627:J$3898,2,0)</f>
        <v>#N/A</v>
      </c>
      <c r="I328" s="184" t="s">
        <v>2089</v>
      </c>
      <c r="J328" s="260">
        <f>(V328+X328+AA328)/'Logistics record '!$AD$1</f>
        <v>15.116015418335726</v>
      </c>
      <c r="K328" s="260">
        <f>W328/'Logistics record '!$AD$1</f>
        <v>0</v>
      </c>
      <c r="L328" s="260">
        <f>Y328/'Logistics record '!$AD$1</f>
        <v>0</v>
      </c>
      <c r="M328" s="260">
        <f>AF328/'Logistics record '!$AD$1</f>
        <v>60.750510165520367</v>
      </c>
      <c r="N328" s="260" t="str" cm="1">
        <f t="array" ref="N328">_xlfn.IFS(
    OR(UPPER(S328)="AIR", UPPER(S328)="CPN"), "AIR",
    UPPER(S328)="TC", "LOCAL",
    TRUE, "SEA"
)</f>
        <v>AIR</v>
      </c>
      <c r="O328" s="260">
        <f t="shared" si="34"/>
        <v>75.866525583856088</v>
      </c>
      <c r="P328" s="184" t="s">
        <v>949</v>
      </c>
      <c r="Q328" s="185">
        <v>108339453020</v>
      </c>
      <c r="R328" s="186">
        <v>46188</v>
      </c>
      <c r="S328" s="187" t="s">
        <v>65</v>
      </c>
      <c r="T328" s="188">
        <v>3.4</v>
      </c>
      <c r="U328" s="188"/>
      <c r="V328" s="189">
        <v>400000</v>
      </c>
      <c r="W328" s="190"/>
      <c r="X328" s="190"/>
      <c r="Y328" s="190"/>
      <c r="Z328" s="189">
        <f t="shared" si="30"/>
        <v>400000</v>
      </c>
      <c r="AA328" s="189">
        <v>0</v>
      </c>
      <c r="AB328" s="189">
        <f t="shared" si="35"/>
        <v>400000</v>
      </c>
      <c r="AC328" s="189"/>
      <c r="AD328" s="190">
        <v>1220400</v>
      </c>
      <c r="AE328" s="190">
        <v>387180</v>
      </c>
      <c r="AF328" s="191">
        <f t="shared" si="31"/>
        <v>1607580</v>
      </c>
      <c r="AG328" s="190">
        <f t="shared" si="32"/>
        <v>2007580</v>
      </c>
      <c r="AH328" s="190"/>
      <c r="AI328" s="192" t="str">
        <f>VLOOKUP(Q328,[3]Sheet1!B$11:G$1489,6,0)</f>
        <v>E11</v>
      </c>
      <c r="GK328" s="194"/>
      <c r="GL328" s="195"/>
      <c r="GM328" s="196"/>
      <c r="GN328" s="197"/>
      <c r="GO328" s="198"/>
      <c r="GP328" s="199"/>
      <c r="GQ328" s="200"/>
      <c r="GR328" s="201"/>
      <c r="GS328" s="60"/>
      <c r="GT328" s="202"/>
      <c r="GU328" s="202"/>
      <c r="GV328" s="202"/>
      <c r="GW328" s="202"/>
      <c r="GX328" s="203"/>
      <c r="HA328" s="194"/>
      <c r="HB328" s="195"/>
      <c r="HC328" s="196"/>
      <c r="HD328" s="197"/>
      <c r="HE328" s="198"/>
      <c r="HF328" s="199"/>
      <c r="HG328" s="200"/>
      <c r="HH328" s="201"/>
      <c r="HI328" s="60"/>
      <c r="HJ328" s="202"/>
      <c r="HK328" s="202"/>
      <c r="HL328" s="202"/>
      <c r="HM328" s="202"/>
      <c r="HN328" s="203"/>
    </row>
    <row r="329" spans="1:222" ht="16.5" customHeight="1">
      <c r="A329" s="181">
        <v>326</v>
      </c>
      <c r="B329" s="182" t="s">
        <v>2610</v>
      </c>
      <c r="C329" s="183" t="s">
        <v>2611</v>
      </c>
      <c r="D329" s="184" t="s">
        <v>940</v>
      </c>
      <c r="E329" s="184" t="str">
        <f t="shared" si="33"/>
        <v>Import</v>
      </c>
      <c r="F329" s="720" t="str" cm="1">
        <f t="array" ref="F329">_xlfn.IFS(
  OR(AI329="E11", AI329="E15"), "Raw materials",
  OR(AI329="E13", AI329="G13"), "Equipments + Toolings",
  TRUE, RIGHT(C329, 8)
)</f>
        <v>Raw materials</v>
      </c>
      <c r="G329" s="541" t="str" cm="1">
        <f t="array" ref="G329">IF(E329="Import",
  IFERROR(
    _xlfn.IFS(
      VLOOKUP(B329,[1]Material!F$5:U$90000,16,0)="LUC","Lucid",
      VLOOKUP(B329,[1]Material!F$5:U$90000,16,0)="FMC","FORD",
      OR(VLOOKUP(B329,[1]Material!F$5:U$90000,16,0)="PUR",VLOOKUP(B329,[1]Material!F$5:U$90000,16,0)="HLO"),"PURE",
      VLOOKUP(B329,[1]Material!F$5:U$90000,16,0)="AIC","AIC",
      OR(VLOOKUP(B329,[1]Material!F$5:U$90000,16,0)="AGI",VLOOKUP(B329,[1]Material!F$5:U$90000,16,0)="AGIGA"),"AGIGA",
      OR(LEFT(VLOOKUP(B329,[1]Material!F$5:U$90000,16,0),3)="EF-",VLOOKUP(B329,[1]Material!F$5:U$90000,16,0)="EFI"),"EFI",
      AND(ISNUMBER(VLOOKUP(B329,[1]Material!F$5:U$90000,16,0)),VLOOKUP(B329,[1]Material!F$5:U$90000,16,0)&gt;=100,VLOOKUP(B329,[1]Material!F$5:U$90000,16,0)&lt;=999,VLOOKUP(B329,[1]Material!F$5:U$90000,16,0)=INT(VLOOKUP(B329,[1]Material!F$5:U$90000,16,0))),"OEM",
      TRUE,""
    ),
    "không tìm thấy trong file Import"
  ),
  VLOOKUP(F329,'[2]Export shipment'!B:Y,24,0)
)</f>
        <v>PURE</v>
      </c>
      <c r="H329" s="184" t="e">
        <f>VLOOKUP(B329,[4]Export!I$3627:J$3898,2,0)</f>
        <v>#N/A</v>
      </c>
      <c r="I329" s="184" t="s">
        <v>2089</v>
      </c>
      <c r="J329" s="260">
        <f>(V329+X329+AA329)/'Logistics record '!$AD$1</f>
        <v>15.116015418335726</v>
      </c>
      <c r="K329" s="260">
        <f>W329/'Logistics record '!$AD$1</f>
        <v>0</v>
      </c>
      <c r="L329" s="260">
        <f>Y329/'Logistics record '!$AD$1</f>
        <v>0</v>
      </c>
      <c r="M329" s="260">
        <f>AF329/'Logistics record '!$AD$1</f>
        <v>60.750510165520367</v>
      </c>
      <c r="N329" s="260" t="str" cm="1">
        <f t="array" ref="N329">_xlfn.IFS(
    OR(UPPER(S329)="AIR", UPPER(S329)="CPN"), "AIR",
    UPPER(S329)="TC", "LOCAL",
    TRUE, "SEA"
)</f>
        <v>AIR</v>
      </c>
      <c r="O329" s="260">
        <f t="shared" si="34"/>
        <v>75.866525583856088</v>
      </c>
      <c r="P329" s="184" t="s">
        <v>949</v>
      </c>
      <c r="Q329" s="185">
        <v>108339559900</v>
      </c>
      <c r="R329" s="186">
        <v>46188</v>
      </c>
      <c r="S329" s="187" t="s">
        <v>65</v>
      </c>
      <c r="T329" s="188">
        <v>3.4</v>
      </c>
      <c r="U329" s="188"/>
      <c r="V329" s="189">
        <v>400000</v>
      </c>
      <c r="W329" s="190"/>
      <c r="X329" s="190"/>
      <c r="Y329" s="190"/>
      <c r="Z329" s="189">
        <f t="shared" si="30"/>
        <v>400000</v>
      </c>
      <c r="AA329" s="189">
        <v>0</v>
      </c>
      <c r="AB329" s="189">
        <f t="shared" si="35"/>
        <v>400000</v>
      </c>
      <c r="AC329" s="189"/>
      <c r="AD329" s="190">
        <v>1220400</v>
      </c>
      <c r="AE329" s="190">
        <v>387180</v>
      </c>
      <c r="AF329" s="191">
        <f t="shared" si="31"/>
        <v>1607580</v>
      </c>
      <c r="AG329" s="190">
        <f t="shared" si="32"/>
        <v>2007580</v>
      </c>
      <c r="AH329" s="190"/>
      <c r="AI329" s="192" t="str">
        <f>VLOOKUP(Q329,[3]Sheet1!B$11:G$1489,6,0)</f>
        <v>E11</v>
      </c>
      <c r="GK329" s="194"/>
      <c r="GL329" s="195"/>
      <c r="GM329" s="196"/>
      <c r="GN329" s="197"/>
      <c r="GO329" s="198"/>
      <c r="GP329" s="199"/>
      <c r="GQ329" s="200"/>
      <c r="GR329" s="201"/>
      <c r="GS329" s="60"/>
      <c r="GT329" s="202"/>
      <c r="GU329" s="202"/>
      <c r="GV329" s="202"/>
      <c r="GW329" s="202"/>
      <c r="GX329" s="203"/>
      <c r="HA329" s="194"/>
      <c r="HB329" s="195"/>
      <c r="HC329" s="196"/>
      <c r="HD329" s="197"/>
      <c r="HE329" s="198"/>
      <c r="HF329" s="199"/>
      <c r="HG329" s="200"/>
      <c r="HH329" s="201"/>
      <c r="HI329" s="60"/>
      <c r="HJ329" s="202"/>
      <c r="HK329" s="202"/>
      <c r="HL329" s="202"/>
      <c r="HM329" s="202"/>
      <c r="HN329" s="203"/>
    </row>
    <row r="330" spans="1:222" ht="16.5" customHeight="1">
      <c r="A330" s="181">
        <v>327</v>
      </c>
      <c r="B330" s="182" t="s">
        <v>2612</v>
      </c>
      <c r="C330" s="183" t="s">
        <v>2613</v>
      </c>
      <c r="D330" s="184" t="s">
        <v>940</v>
      </c>
      <c r="E330" s="184" t="str">
        <f t="shared" si="33"/>
        <v>Import</v>
      </c>
      <c r="F330" s="720" t="str" cm="1">
        <f t="array" ref="F330">_xlfn.IFS(
  OR(AI330="E11", AI330="E15"), "Raw materials",
  OR(AI330="E13", AI330="G13"), "Equipments + Toolings",
  TRUE, RIGHT(C330, 8)
)</f>
        <v>Raw materials</v>
      </c>
      <c r="G330" s="541" t="str" cm="1">
        <f t="array" ref="G330">IF(E330="Import",
  IFERROR(
    _xlfn.IFS(
      VLOOKUP(B330,[1]Material!F$5:U$90000,16,0)="LUC","Lucid",
      VLOOKUP(B330,[1]Material!F$5:U$90000,16,0)="FMC","FORD",
      OR(VLOOKUP(B330,[1]Material!F$5:U$90000,16,0)="PUR",VLOOKUP(B330,[1]Material!F$5:U$90000,16,0)="HLO"),"PURE",
      VLOOKUP(B330,[1]Material!F$5:U$90000,16,0)="AIC","AIC",
      OR(VLOOKUP(B330,[1]Material!F$5:U$90000,16,0)="AGI",VLOOKUP(B330,[1]Material!F$5:U$90000,16,0)="AGIGA"),"AGIGA",
      OR(LEFT(VLOOKUP(B330,[1]Material!F$5:U$90000,16,0),3)="EF-",VLOOKUP(B330,[1]Material!F$5:U$90000,16,0)="EFI"),"EFI",
      AND(ISNUMBER(VLOOKUP(B330,[1]Material!F$5:U$90000,16,0)),VLOOKUP(B330,[1]Material!F$5:U$90000,16,0)&gt;=100,VLOOKUP(B330,[1]Material!F$5:U$90000,16,0)&lt;=999,VLOOKUP(B330,[1]Material!F$5:U$90000,16,0)=INT(VLOOKUP(B330,[1]Material!F$5:U$90000,16,0))),"OEM",
      TRUE,""
    ),
    "không tìm thấy trong file Import"
  ),
  VLOOKUP(F330,'[2]Export shipment'!B:Y,24,0)
)</f>
        <v>PURE</v>
      </c>
      <c r="H330" s="184" t="e">
        <f>VLOOKUP(B330,[4]Export!I$3627:J$3898,2,0)</f>
        <v>#N/A</v>
      </c>
      <c r="I330" s="184" t="s">
        <v>2089</v>
      </c>
      <c r="J330" s="260">
        <f>(V330+X330+AA330)/'Logistics record '!$AD$1</f>
        <v>15.116015418335726</v>
      </c>
      <c r="K330" s="260">
        <f>W330/'Logistics record '!$AD$1</f>
        <v>0</v>
      </c>
      <c r="L330" s="260">
        <f>Y330/'Logistics record '!$AD$1</f>
        <v>0</v>
      </c>
      <c r="M330" s="260">
        <f>AF330/'Logistics record '!$AD$1</f>
        <v>60.750510165520367</v>
      </c>
      <c r="N330" s="260" t="str" cm="1">
        <f t="array" ref="N330">_xlfn.IFS(
    OR(UPPER(S330)="AIR", UPPER(S330)="CPN"), "AIR",
    UPPER(S330)="TC", "LOCAL",
    TRUE, "SEA"
)</f>
        <v>AIR</v>
      </c>
      <c r="O330" s="260">
        <f t="shared" si="34"/>
        <v>75.866525583856088</v>
      </c>
      <c r="P330" s="184" t="s">
        <v>949</v>
      </c>
      <c r="Q330" s="185">
        <v>108339731840</v>
      </c>
      <c r="R330" s="186">
        <v>46188</v>
      </c>
      <c r="S330" s="187" t="s">
        <v>65</v>
      </c>
      <c r="T330" s="188">
        <v>7.3</v>
      </c>
      <c r="U330" s="188"/>
      <c r="V330" s="189">
        <v>400000</v>
      </c>
      <c r="W330" s="190"/>
      <c r="X330" s="190"/>
      <c r="Y330" s="190"/>
      <c r="Z330" s="189">
        <f t="shared" si="30"/>
        <v>400000</v>
      </c>
      <c r="AA330" s="189">
        <v>0</v>
      </c>
      <c r="AB330" s="189">
        <f t="shared" si="35"/>
        <v>400000</v>
      </c>
      <c r="AC330" s="189"/>
      <c r="AD330" s="190">
        <v>1220400</v>
      </c>
      <c r="AE330" s="190">
        <v>387180</v>
      </c>
      <c r="AF330" s="191">
        <f t="shared" si="31"/>
        <v>1607580</v>
      </c>
      <c r="AG330" s="190">
        <f t="shared" si="32"/>
        <v>2007580</v>
      </c>
      <c r="AH330" s="190"/>
      <c r="AI330" s="192" t="str">
        <f>VLOOKUP(Q330,[3]Sheet1!B$11:G$1489,6,0)</f>
        <v>E11</v>
      </c>
      <c r="GK330" s="194"/>
      <c r="GL330" s="195"/>
      <c r="GM330" s="196"/>
      <c r="GN330" s="197"/>
      <c r="GO330" s="198"/>
      <c r="GP330" s="199"/>
      <c r="GQ330" s="200"/>
      <c r="GR330" s="201"/>
      <c r="GS330" s="60"/>
      <c r="GT330" s="202"/>
      <c r="GU330" s="202"/>
      <c r="GV330" s="202"/>
      <c r="GW330" s="202"/>
      <c r="GX330" s="203"/>
      <c r="HA330" s="194"/>
      <c r="HB330" s="195"/>
      <c r="HC330" s="196"/>
      <c r="HD330" s="197"/>
      <c r="HE330" s="198"/>
      <c r="HF330" s="199"/>
      <c r="HG330" s="200"/>
      <c r="HH330" s="201"/>
      <c r="HI330" s="60"/>
      <c r="HJ330" s="202"/>
      <c r="HK330" s="202"/>
      <c r="HL330" s="202"/>
      <c r="HM330" s="202"/>
      <c r="HN330" s="203"/>
    </row>
    <row r="331" spans="1:222" ht="16.5" customHeight="1">
      <c r="A331" s="181">
        <v>328</v>
      </c>
      <c r="B331" s="182" t="s">
        <v>2614</v>
      </c>
      <c r="C331" s="183" t="s">
        <v>2615</v>
      </c>
      <c r="D331" s="184" t="s">
        <v>940</v>
      </c>
      <c r="E331" s="184" t="str">
        <f t="shared" si="33"/>
        <v>Import</v>
      </c>
      <c r="F331" s="720" t="str" cm="1">
        <f t="array" ref="F331">_xlfn.IFS(
  OR(AI331="E11", AI331="E15"), "Raw materials",
  OR(AI331="E13", AI331="G13"), "Equipments + Toolings",
  TRUE, RIGHT(C331, 8)
)</f>
        <v>Raw materials</v>
      </c>
      <c r="G331" s="541" t="str" cm="1">
        <f t="array" ref="G331">IF(E331="Import",
  IFERROR(
    _xlfn.IFS(
      VLOOKUP(B331,[1]Material!F$5:U$90000,16,0)="LUC","Lucid",
      VLOOKUP(B331,[1]Material!F$5:U$90000,16,0)="FMC","FORD",
      OR(VLOOKUP(B331,[1]Material!F$5:U$90000,16,0)="PUR",VLOOKUP(B331,[1]Material!F$5:U$90000,16,0)="HLO"),"PURE",
      VLOOKUP(B331,[1]Material!F$5:U$90000,16,0)="AIC","AIC",
      OR(VLOOKUP(B331,[1]Material!F$5:U$90000,16,0)="AGI",VLOOKUP(B331,[1]Material!F$5:U$90000,16,0)="AGIGA"),"AGIGA",
      OR(LEFT(VLOOKUP(B331,[1]Material!F$5:U$90000,16,0),3)="EF-",VLOOKUP(B331,[1]Material!F$5:U$90000,16,0)="EFI"),"EFI",
      AND(ISNUMBER(VLOOKUP(B331,[1]Material!F$5:U$90000,16,0)),VLOOKUP(B331,[1]Material!F$5:U$90000,16,0)&gt;=100,VLOOKUP(B331,[1]Material!F$5:U$90000,16,0)&lt;=999,VLOOKUP(B331,[1]Material!F$5:U$90000,16,0)=INT(VLOOKUP(B331,[1]Material!F$5:U$90000,16,0))),"OEM",
      TRUE,""
    ),
    "không tìm thấy trong file Import"
  ),
  VLOOKUP(F331,'[2]Export shipment'!B:Y,24,0)
)</f>
        <v>PURE</v>
      </c>
      <c r="H331" s="184" t="e">
        <f>VLOOKUP(B331,[4]Export!I$3627:J$3898,2,0)</f>
        <v>#N/A</v>
      </c>
      <c r="I331" s="184" t="s">
        <v>2089</v>
      </c>
      <c r="J331" s="260">
        <f>(V331+X331+AA331)/'Logistics record '!$AD$1</f>
        <v>15.116015418335726</v>
      </c>
      <c r="K331" s="260">
        <f>W331/'Logistics record '!$AD$1</f>
        <v>0</v>
      </c>
      <c r="L331" s="260">
        <f>Y331/'Logistics record '!$AD$1</f>
        <v>0</v>
      </c>
      <c r="M331" s="260">
        <f>AF331/'Logistics record '!$AD$1</f>
        <v>60.750510165520367</v>
      </c>
      <c r="N331" s="260" t="str" cm="1">
        <f t="array" ref="N331">_xlfn.IFS(
    OR(UPPER(S331)="AIR", UPPER(S331)="CPN"), "AIR",
    UPPER(S331)="TC", "LOCAL",
    TRUE, "SEA"
)</f>
        <v>AIR</v>
      </c>
      <c r="O331" s="260">
        <f t="shared" si="34"/>
        <v>75.866525583856088</v>
      </c>
      <c r="P331" s="184" t="s">
        <v>949</v>
      </c>
      <c r="Q331" s="185">
        <v>108339953410</v>
      </c>
      <c r="R331" s="186">
        <v>46188</v>
      </c>
      <c r="S331" s="187" t="s">
        <v>65</v>
      </c>
      <c r="T331" s="188">
        <v>7.3</v>
      </c>
      <c r="U331" s="188"/>
      <c r="V331" s="189">
        <v>400000</v>
      </c>
      <c r="W331" s="190"/>
      <c r="X331" s="190"/>
      <c r="Y331" s="190"/>
      <c r="Z331" s="189">
        <f t="shared" si="30"/>
        <v>400000</v>
      </c>
      <c r="AA331" s="189">
        <v>0</v>
      </c>
      <c r="AB331" s="189">
        <f t="shared" si="35"/>
        <v>400000</v>
      </c>
      <c r="AC331" s="189"/>
      <c r="AD331" s="190">
        <v>1220400</v>
      </c>
      <c r="AE331" s="190">
        <v>387180</v>
      </c>
      <c r="AF331" s="191">
        <f t="shared" si="31"/>
        <v>1607580</v>
      </c>
      <c r="AG331" s="190">
        <f t="shared" si="32"/>
        <v>2007580</v>
      </c>
      <c r="AH331" s="190"/>
      <c r="AI331" s="192" t="str">
        <f>VLOOKUP(Q331,[3]Sheet1!B$11:G$1489,6,0)</f>
        <v>E11</v>
      </c>
      <c r="GK331" s="194"/>
      <c r="GL331" s="195"/>
      <c r="GM331" s="196"/>
      <c r="GN331" s="197"/>
      <c r="GO331" s="198"/>
      <c r="GP331" s="199"/>
      <c r="GQ331" s="200"/>
      <c r="GR331" s="201"/>
      <c r="GS331" s="60"/>
      <c r="GT331" s="202"/>
      <c r="GU331" s="202"/>
      <c r="GV331" s="202"/>
      <c r="GW331" s="202"/>
      <c r="GX331" s="203"/>
      <c r="HA331" s="194"/>
      <c r="HB331" s="195"/>
      <c r="HC331" s="196"/>
      <c r="HD331" s="197"/>
      <c r="HE331" s="198"/>
      <c r="HF331" s="199"/>
      <c r="HG331" s="200"/>
      <c r="HH331" s="201"/>
      <c r="HI331" s="60"/>
      <c r="HJ331" s="202"/>
      <c r="HK331" s="202"/>
      <c r="HL331" s="202"/>
      <c r="HM331" s="202"/>
      <c r="HN331" s="203"/>
    </row>
    <row r="332" spans="1:222" ht="16.5" customHeight="1">
      <c r="A332" s="181">
        <v>329</v>
      </c>
      <c r="B332" s="182" t="s">
        <v>2616</v>
      </c>
      <c r="C332" s="183" t="s">
        <v>2617</v>
      </c>
      <c r="D332" s="184" t="s">
        <v>940</v>
      </c>
      <c r="E332" s="184" t="str">
        <f t="shared" si="33"/>
        <v>Import</v>
      </c>
      <c r="F332" s="720" t="str" cm="1">
        <f t="array" ref="F332">_xlfn.IFS(
  OR(AI332="E11", AI332="E15"), "Raw materials",
  OR(AI332="E13", AI332="G13"), "Equipments + Toolings",
  TRUE, RIGHT(C332, 8)
)</f>
        <v>Raw materials</v>
      </c>
      <c r="G332" s="541" t="str" cm="1">
        <f t="array" ref="G332">IF(E332="Import",
  IFERROR(
    _xlfn.IFS(
      VLOOKUP(B332,[1]Material!F$5:U$90000,16,0)="LUC","Lucid",
      VLOOKUP(B332,[1]Material!F$5:U$90000,16,0)="FMC","FORD",
      OR(VLOOKUP(B332,[1]Material!F$5:U$90000,16,0)="PUR",VLOOKUP(B332,[1]Material!F$5:U$90000,16,0)="HLO"),"PURE",
      VLOOKUP(B332,[1]Material!F$5:U$90000,16,0)="AIC","AIC",
      OR(VLOOKUP(B332,[1]Material!F$5:U$90000,16,0)="AGI",VLOOKUP(B332,[1]Material!F$5:U$90000,16,0)="AGIGA"),"AGIGA",
      OR(LEFT(VLOOKUP(B332,[1]Material!F$5:U$90000,16,0),3)="EF-",VLOOKUP(B332,[1]Material!F$5:U$90000,16,0)="EFI"),"EFI",
      AND(ISNUMBER(VLOOKUP(B332,[1]Material!F$5:U$90000,16,0)),VLOOKUP(B332,[1]Material!F$5:U$90000,16,0)&gt;=100,VLOOKUP(B332,[1]Material!F$5:U$90000,16,0)&lt;=999,VLOOKUP(B332,[1]Material!F$5:U$90000,16,0)=INT(VLOOKUP(B332,[1]Material!F$5:U$90000,16,0))),"OEM",
      TRUE,""
    ),
    "không tìm thấy trong file Import"
  ),
  VLOOKUP(F332,'[2]Export shipment'!B:Y,24,0)
)</f>
        <v>PURE</v>
      </c>
      <c r="H332" s="184" t="e">
        <f>VLOOKUP(B332,[4]Export!I$3627:J$3898,2,0)</f>
        <v>#N/A</v>
      </c>
      <c r="I332" s="184" t="s">
        <v>2089</v>
      </c>
      <c r="J332" s="260">
        <f>(V332+X332+AA332)/'Logistics record '!$AD$1</f>
        <v>15.116015418335726</v>
      </c>
      <c r="K332" s="260">
        <f>W332/'Logistics record '!$AD$1</f>
        <v>0</v>
      </c>
      <c r="L332" s="260">
        <f>Y332/'Logistics record '!$AD$1</f>
        <v>0</v>
      </c>
      <c r="M332" s="260">
        <f>AF332/'Logistics record '!$AD$1</f>
        <v>60.750510165520367</v>
      </c>
      <c r="N332" s="260" t="str" cm="1">
        <f t="array" ref="N332">_xlfn.IFS(
    OR(UPPER(S332)="AIR", UPPER(S332)="CPN"), "AIR",
    UPPER(S332)="TC", "LOCAL",
    TRUE, "SEA"
)</f>
        <v>AIR</v>
      </c>
      <c r="O332" s="260">
        <f t="shared" si="34"/>
        <v>75.866525583856088</v>
      </c>
      <c r="P332" s="184" t="s">
        <v>949</v>
      </c>
      <c r="Q332" s="185">
        <v>108340027350</v>
      </c>
      <c r="R332" s="186">
        <v>46188</v>
      </c>
      <c r="S332" s="187" t="s">
        <v>65</v>
      </c>
      <c r="T332" s="188">
        <v>7.3</v>
      </c>
      <c r="U332" s="188"/>
      <c r="V332" s="189">
        <v>400000</v>
      </c>
      <c r="W332" s="190"/>
      <c r="X332" s="190"/>
      <c r="Y332" s="190"/>
      <c r="Z332" s="189">
        <f t="shared" si="30"/>
        <v>400000</v>
      </c>
      <c r="AA332" s="189">
        <v>0</v>
      </c>
      <c r="AB332" s="189">
        <f t="shared" si="35"/>
        <v>400000</v>
      </c>
      <c r="AC332" s="189"/>
      <c r="AD332" s="190">
        <v>1220400</v>
      </c>
      <c r="AE332" s="190">
        <v>387180</v>
      </c>
      <c r="AF332" s="191">
        <f t="shared" si="31"/>
        <v>1607580</v>
      </c>
      <c r="AG332" s="190">
        <f t="shared" si="32"/>
        <v>2007580</v>
      </c>
      <c r="AH332" s="190"/>
      <c r="AI332" s="192" t="str">
        <f>VLOOKUP(Q332,[3]Sheet1!B$11:G$1489,6,0)</f>
        <v>E11</v>
      </c>
      <c r="GK332" s="194"/>
      <c r="GL332" s="195"/>
      <c r="GM332" s="196"/>
      <c r="GN332" s="197"/>
      <c r="GO332" s="198"/>
      <c r="GP332" s="199"/>
      <c r="GQ332" s="200"/>
      <c r="GR332" s="201"/>
      <c r="GS332" s="60"/>
      <c r="GT332" s="202"/>
      <c r="GU332" s="202"/>
      <c r="GV332" s="202"/>
      <c r="GW332" s="202"/>
      <c r="GX332" s="203"/>
      <c r="HA332" s="194"/>
      <c r="HB332" s="195"/>
      <c r="HC332" s="196"/>
      <c r="HD332" s="197"/>
      <c r="HE332" s="198"/>
      <c r="HF332" s="199"/>
      <c r="HG332" s="200"/>
      <c r="HH332" s="201"/>
      <c r="HI332" s="60"/>
      <c r="HJ332" s="202"/>
      <c r="HK332" s="202"/>
      <c r="HL332" s="202"/>
      <c r="HM332" s="202"/>
      <c r="HN332" s="203"/>
    </row>
    <row r="333" spans="1:222" ht="16.5" customHeight="1">
      <c r="A333" s="181">
        <v>330</v>
      </c>
      <c r="B333" s="182" t="s">
        <v>2618</v>
      </c>
      <c r="C333" s="183" t="s">
        <v>2619</v>
      </c>
      <c r="D333" s="184" t="s">
        <v>940</v>
      </c>
      <c r="E333" s="184" t="str">
        <f t="shared" si="33"/>
        <v>Import</v>
      </c>
      <c r="F333" s="720" t="str" cm="1">
        <f t="array" ref="F333">_xlfn.IFS(
  OR(AI333="E11", AI333="E15"), "Raw materials",
  OR(AI333="E13", AI333="G13"), "Equipments + Toolings",
  TRUE, RIGHT(C333, 8)
)</f>
        <v>Raw materials</v>
      </c>
      <c r="G333" s="541" t="str" cm="1">
        <f t="array" ref="G333">IF(E333="Import",
  IFERROR(
    _xlfn.IFS(
      VLOOKUP(B333,[1]Material!F$5:U$90000,16,0)="LUC","Lucid",
      VLOOKUP(B333,[1]Material!F$5:U$90000,16,0)="FMC","FORD",
      OR(VLOOKUP(B333,[1]Material!F$5:U$90000,16,0)="PUR",VLOOKUP(B333,[1]Material!F$5:U$90000,16,0)="HLO"),"PURE",
      VLOOKUP(B333,[1]Material!F$5:U$90000,16,0)="AIC","AIC",
      OR(VLOOKUP(B333,[1]Material!F$5:U$90000,16,0)="AGI",VLOOKUP(B333,[1]Material!F$5:U$90000,16,0)="AGIGA"),"AGIGA",
      OR(LEFT(VLOOKUP(B333,[1]Material!F$5:U$90000,16,0),3)="EF-",VLOOKUP(B333,[1]Material!F$5:U$90000,16,0)="EFI"),"EFI",
      AND(ISNUMBER(VLOOKUP(B333,[1]Material!F$5:U$90000,16,0)),VLOOKUP(B333,[1]Material!F$5:U$90000,16,0)&gt;=100,VLOOKUP(B333,[1]Material!F$5:U$90000,16,0)&lt;=999,VLOOKUP(B333,[1]Material!F$5:U$90000,16,0)=INT(VLOOKUP(B333,[1]Material!F$5:U$90000,16,0))),"OEM",
      TRUE,""
    ),
    "không tìm thấy trong file Import"
  ),
  VLOOKUP(F333,'[2]Export shipment'!B:Y,24,0)
)</f>
        <v>PURE</v>
      </c>
      <c r="H333" s="184" t="e">
        <f>VLOOKUP(B333,[4]Export!I$3627:J$3898,2,0)</f>
        <v>#N/A</v>
      </c>
      <c r="I333" s="184" t="s">
        <v>2089</v>
      </c>
      <c r="J333" s="260">
        <f>(V333+X333+AA333)/'Logistics record '!$AD$1</f>
        <v>15.116015418335726</v>
      </c>
      <c r="K333" s="260">
        <f>W333/'Logistics record '!$AD$1</f>
        <v>0</v>
      </c>
      <c r="L333" s="260">
        <f>Y333/'Logistics record '!$AD$1</f>
        <v>0</v>
      </c>
      <c r="M333" s="260">
        <f>AF333/'Logistics record '!$AD$1</f>
        <v>60.750510165520367</v>
      </c>
      <c r="N333" s="260" t="str" cm="1">
        <f t="array" ref="N333">_xlfn.IFS(
    OR(UPPER(S333)="AIR", UPPER(S333)="CPN"), "AIR",
    UPPER(S333)="TC", "LOCAL",
    TRUE, "SEA"
)</f>
        <v>AIR</v>
      </c>
      <c r="O333" s="260">
        <f t="shared" si="34"/>
        <v>75.866525583856088</v>
      </c>
      <c r="P333" s="184" t="s">
        <v>949</v>
      </c>
      <c r="Q333" s="185">
        <v>108340102250</v>
      </c>
      <c r="R333" s="186">
        <v>46188</v>
      </c>
      <c r="S333" s="187" t="s">
        <v>65</v>
      </c>
      <c r="T333" s="188">
        <v>3.4</v>
      </c>
      <c r="U333" s="188"/>
      <c r="V333" s="189">
        <v>400000</v>
      </c>
      <c r="W333" s="190"/>
      <c r="X333" s="190"/>
      <c r="Y333" s="190"/>
      <c r="Z333" s="189">
        <f t="shared" si="30"/>
        <v>400000</v>
      </c>
      <c r="AA333" s="189">
        <v>0</v>
      </c>
      <c r="AB333" s="189">
        <f t="shared" si="35"/>
        <v>400000</v>
      </c>
      <c r="AC333" s="189"/>
      <c r="AD333" s="190">
        <v>1220400</v>
      </c>
      <c r="AE333" s="190">
        <v>387180</v>
      </c>
      <c r="AF333" s="191">
        <f t="shared" si="31"/>
        <v>1607580</v>
      </c>
      <c r="AG333" s="190">
        <f t="shared" si="32"/>
        <v>2007580</v>
      </c>
      <c r="AH333" s="190"/>
      <c r="AI333" s="192" t="str">
        <f>VLOOKUP(Q333,[3]Sheet1!B$11:G$1489,6,0)</f>
        <v>E11</v>
      </c>
      <c r="GK333" s="194"/>
      <c r="GL333" s="195"/>
      <c r="GM333" s="196"/>
      <c r="GN333" s="197"/>
      <c r="GO333" s="198"/>
      <c r="GP333" s="199"/>
      <c r="GQ333" s="200"/>
      <c r="GR333" s="201"/>
      <c r="GS333" s="60"/>
      <c r="GT333" s="202"/>
      <c r="GU333" s="202"/>
      <c r="GV333" s="202"/>
      <c r="GW333" s="202"/>
      <c r="GX333" s="203"/>
      <c r="HA333" s="194"/>
      <c r="HB333" s="195"/>
      <c r="HC333" s="196"/>
      <c r="HD333" s="197"/>
      <c r="HE333" s="198"/>
      <c r="HF333" s="199"/>
      <c r="HG333" s="200"/>
      <c r="HH333" s="201"/>
      <c r="HI333" s="60"/>
      <c r="HJ333" s="202"/>
      <c r="HK333" s="202"/>
      <c r="HL333" s="202"/>
      <c r="HM333" s="202"/>
      <c r="HN333" s="203"/>
    </row>
    <row r="334" spans="1:222" ht="16.5" customHeight="1">
      <c r="A334" s="181">
        <v>331</v>
      </c>
      <c r="B334" s="182" t="s">
        <v>2620</v>
      </c>
      <c r="C334" s="183" t="s">
        <v>2621</v>
      </c>
      <c r="D334" s="184" t="s">
        <v>940</v>
      </c>
      <c r="E334" s="184" t="str">
        <f t="shared" si="33"/>
        <v>Import</v>
      </c>
      <c r="F334" s="720" t="str" cm="1">
        <f t="array" ref="F334">_xlfn.IFS(
  OR(AI334="E11", AI334="E15"), "Raw materials",
  OR(AI334="E13", AI334="G13"), "Equipments + Toolings",
  TRUE, RIGHT(C334, 8)
)</f>
        <v>Raw materials</v>
      </c>
      <c r="G334" s="541" t="str" cm="1">
        <f t="array" ref="G334">IF(E334="Import",
  IFERROR(
    _xlfn.IFS(
      VLOOKUP(B334,[1]Material!F$5:U$90000,16,0)="LUC","Lucid",
      VLOOKUP(B334,[1]Material!F$5:U$90000,16,0)="FMC","FORD",
      OR(VLOOKUP(B334,[1]Material!F$5:U$90000,16,0)="PUR",VLOOKUP(B334,[1]Material!F$5:U$90000,16,0)="HLO"),"PURE",
      VLOOKUP(B334,[1]Material!F$5:U$90000,16,0)="AIC","AIC",
      OR(VLOOKUP(B334,[1]Material!F$5:U$90000,16,0)="AGI",VLOOKUP(B334,[1]Material!F$5:U$90000,16,0)="AGIGA"),"AGIGA",
      OR(LEFT(VLOOKUP(B334,[1]Material!F$5:U$90000,16,0),3)="EF-",VLOOKUP(B334,[1]Material!F$5:U$90000,16,0)="EFI"),"EFI",
      AND(ISNUMBER(VLOOKUP(B334,[1]Material!F$5:U$90000,16,0)),VLOOKUP(B334,[1]Material!F$5:U$90000,16,0)&gt;=100,VLOOKUP(B334,[1]Material!F$5:U$90000,16,0)&lt;=999,VLOOKUP(B334,[1]Material!F$5:U$90000,16,0)=INT(VLOOKUP(B334,[1]Material!F$5:U$90000,16,0))),"OEM",
      TRUE,""
    ),
    "không tìm thấy trong file Import"
  ),
  VLOOKUP(F334,'[2]Export shipment'!B:Y,24,0)
)</f>
        <v>PURE</v>
      </c>
      <c r="H334" s="184" t="e">
        <f>VLOOKUP(B334,[4]Export!I$3627:J$3898,2,0)</f>
        <v>#N/A</v>
      </c>
      <c r="I334" s="184" t="s">
        <v>2089</v>
      </c>
      <c r="J334" s="260">
        <f>(V334+X334+AA334)/'Logistics record '!$AD$1</f>
        <v>15.116015418335726</v>
      </c>
      <c r="K334" s="260">
        <f>W334/'Logistics record '!$AD$1</f>
        <v>0</v>
      </c>
      <c r="L334" s="260">
        <f>Y334/'Logistics record '!$AD$1</f>
        <v>0</v>
      </c>
      <c r="M334" s="260">
        <f>AF334/'Logistics record '!$AD$1</f>
        <v>60.750510165520367</v>
      </c>
      <c r="N334" s="260" t="str" cm="1">
        <f t="array" ref="N334">_xlfn.IFS(
    OR(UPPER(S334)="AIR", UPPER(S334)="CPN"), "AIR",
    UPPER(S334)="TC", "LOCAL",
    TRUE, "SEA"
)</f>
        <v>AIR</v>
      </c>
      <c r="O334" s="260">
        <f t="shared" si="34"/>
        <v>75.866525583856088</v>
      </c>
      <c r="P334" s="184" t="s">
        <v>949</v>
      </c>
      <c r="Q334" s="185">
        <v>108340140860</v>
      </c>
      <c r="R334" s="186">
        <v>46188</v>
      </c>
      <c r="S334" s="187" t="s">
        <v>65</v>
      </c>
      <c r="T334" s="188">
        <v>7.3</v>
      </c>
      <c r="U334" s="188"/>
      <c r="V334" s="189">
        <v>400000</v>
      </c>
      <c r="W334" s="190"/>
      <c r="X334" s="190"/>
      <c r="Y334" s="190"/>
      <c r="Z334" s="189">
        <f t="shared" si="30"/>
        <v>400000</v>
      </c>
      <c r="AA334" s="189">
        <v>0</v>
      </c>
      <c r="AB334" s="189">
        <f t="shared" si="35"/>
        <v>400000</v>
      </c>
      <c r="AC334" s="189"/>
      <c r="AD334" s="190">
        <v>1220400</v>
      </c>
      <c r="AE334" s="190">
        <v>387180</v>
      </c>
      <c r="AF334" s="191">
        <f t="shared" si="31"/>
        <v>1607580</v>
      </c>
      <c r="AG334" s="190">
        <f t="shared" si="32"/>
        <v>2007580</v>
      </c>
      <c r="AH334" s="190"/>
      <c r="AI334" s="192" t="str">
        <f>VLOOKUP(Q334,[3]Sheet1!B$11:G$1489,6,0)</f>
        <v>E11</v>
      </c>
      <c r="GK334" s="194"/>
      <c r="GL334" s="195"/>
      <c r="GM334" s="196"/>
      <c r="GN334" s="197"/>
      <c r="GO334" s="198"/>
      <c r="GP334" s="199"/>
      <c r="GQ334" s="200"/>
      <c r="GR334" s="201"/>
      <c r="GS334" s="60"/>
      <c r="GT334" s="202"/>
      <c r="GU334" s="202"/>
      <c r="GV334" s="202"/>
      <c r="GW334" s="202"/>
      <c r="GX334" s="203"/>
      <c r="HA334" s="194"/>
      <c r="HB334" s="195"/>
      <c r="HC334" s="196"/>
      <c r="HD334" s="197"/>
      <c r="HE334" s="198"/>
      <c r="HF334" s="199"/>
      <c r="HG334" s="200"/>
      <c r="HH334" s="201"/>
      <c r="HI334" s="60"/>
      <c r="HJ334" s="202"/>
      <c r="HK334" s="202"/>
      <c r="HL334" s="202"/>
      <c r="HM334" s="202"/>
      <c r="HN334" s="203"/>
    </row>
    <row r="335" spans="1:222" ht="16.5" customHeight="1">
      <c r="A335" s="181">
        <v>332</v>
      </c>
      <c r="B335" s="182" t="s">
        <v>2622</v>
      </c>
      <c r="C335" s="183" t="s">
        <v>2623</v>
      </c>
      <c r="D335" s="184" t="s">
        <v>940</v>
      </c>
      <c r="E335" s="184" t="str">
        <f t="shared" si="33"/>
        <v>Import</v>
      </c>
      <c r="F335" s="720" t="str" cm="1">
        <f t="array" ref="F335">_xlfn.IFS(
  OR(AI335="E11", AI335="E15"), "Raw materials",
  OR(AI335="E13", AI335="G13"), "Equipments + Toolings",
  TRUE, RIGHT(C335, 8)
)</f>
        <v>Raw materials</v>
      </c>
      <c r="G335" s="541" t="str" cm="1">
        <f t="array" ref="G335">IF(E335="Import",
  IFERROR(
    _xlfn.IFS(
      VLOOKUP(B335,[1]Material!F$5:U$90000,16,0)="LUC","Lucid",
      VLOOKUP(B335,[1]Material!F$5:U$90000,16,0)="FMC","FORD",
      OR(VLOOKUP(B335,[1]Material!F$5:U$90000,16,0)="PUR",VLOOKUP(B335,[1]Material!F$5:U$90000,16,0)="HLO"),"PURE",
      VLOOKUP(B335,[1]Material!F$5:U$90000,16,0)="AIC","AIC",
      OR(VLOOKUP(B335,[1]Material!F$5:U$90000,16,0)="AGI",VLOOKUP(B335,[1]Material!F$5:U$90000,16,0)="AGIGA"),"AGIGA",
      OR(LEFT(VLOOKUP(B335,[1]Material!F$5:U$90000,16,0),3)="EF-",VLOOKUP(B335,[1]Material!F$5:U$90000,16,0)="EFI"),"EFI",
      AND(ISNUMBER(VLOOKUP(B335,[1]Material!F$5:U$90000,16,0)),VLOOKUP(B335,[1]Material!F$5:U$90000,16,0)&gt;=100,VLOOKUP(B335,[1]Material!F$5:U$90000,16,0)&lt;=999,VLOOKUP(B335,[1]Material!F$5:U$90000,16,0)=INT(VLOOKUP(B335,[1]Material!F$5:U$90000,16,0))),"OEM",
      TRUE,""
    ),
    "không tìm thấy trong file Import"
  ),
  VLOOKUP(F335,'[2]Export shipment'!B:Y,24,0)
)</f>
        <v>PURE</v>
      </c>
      <c r="H335" s="184" t="e">
        <f>VLOOKUP(B335,[4]Export!I$3627:J$3898,2,0)</f>
        <v>#N/A</v>
      </c>
      <c r="I335" s="184" t="s">
        <v>2089</v>
      </c>
      <c r="J335" s="260">
        <f>(V335+X335+AA335)/'Logistics record '!$AD$1</f>
        <v>15.116015418335726</v>
      </c>
      <c r="K335" s="260">
        <f>W335/'Logistics record '!$AD$1</f>
        <v>0</v>
      </c>
      <c r="L335" s="260">
        <f>Y335/'Logistics record '!$AD$1</f>
        <v>0</v>
      </c>
      <c r="M335" s="260">
        <f>AF335/'Logistics record '!$AD$1</f>
        <v>60.750510165520367</v>
      </c>
      <c r="N335" s="260" t="str" cm="1">
        <f t="array" ref="N335">_xlfn.IFS(
    OR(UPPER(S335)="AIR", UPPER(S335)="CPN"), "AIR",
    UPPER(S335)="TC", "LOCAL",
    TRUE, "SEA"
)</f>
        <v>AIR</v>
      </c>
      <c r="O335" s="260">
        <f t="shared" si="34"/>
        <v>75.866525583856088</v>
      </c>
      <c r="P335" s="184" t="s">
        <v>949</v>
      </c>
      <c r="Q335" s="185">
        <v>108340198150</v>
      </c>
      <c r="R335" s="186">
        <v>46188</v>
      </c>
      <c r="S335" s="187" t="s">
        <v>65</v>
      </c>
      <c r="T335" s="188">
        <v>3.4</v>
      </c>
      <c r="U335" s="188"/>
      <c r="V335" s="189">
        <v>400000</v>
      </c>
      <c r="W335" s="190"/>
      <c r="X335" s="190"/>
      <c r="Y335" s="190"/>
      <c r="Z335" s="189">
        <f t="shared" si="30"/>
        <v>400000</v>
      </c>
      <c r="AA335" s="189">
        <v>0</v>
      </c>
      <c r="AB335" s="189">
        <f t="shared" si="35"/>
        <v>400000</v>
      </c>
      <c r="AC335" s="189"/>
      <c r="AD335" s="190">
        <v>1220400</v>
      </c>
      <c r="AE335" s="190">
        <v>387180</v>
      </c>
      <c r="AF335" s="191">
        <f t="shared" si="31"/>
        <v>1607580</v>
      </c>
      <c r="AG335" s="190">
        <f t="shared" si="32"/>
        <v>2007580</v>
      </c>
      <c r="AH335" s="190"/>
      <c r="AI335" s="192" t="str">
        <f>VLOOKUP(Q335,[3]Sheet1!B$11:G$1489,6,0)</f>
        <v>E11</v>
      </c>
      <c r="GK335" s="194"/>
      <c r="GL335" s="195"/>
      <c r="GM335" s="196"/>
      <c r="GN335" s="197"/>
      <c r="GO335" s="198"/>
      <c r="GP335" s="199"/>
      <c r="GQ335" s="200"/>
      <c r="GR335" s="201"/>
      <c r="GS335" s="60"/>
      <c r="GT335" s="202"/>
      <c r="GU335" s="202"/>
      <c r="GV335" s="202"/>
      <c r="GW335" s="202"/>
      <c r="GX335" s="203"/>
      <c r="HA335" s="194"/>
      <c r="HB335" s="195"/>
      <c r="HC335" s="196"/>
      <c r="HD335" s="197"/>
      <c r="HE335" s="198"/>
      <c r="HF335" s="199"/>
      <c r="HG335" s="200"/>
      <c r="HH335" s="201"/>
      <c r="HI335" s="60"/>
      <c r="HJ335" s="202"/>
      <c r="HK335" s="202"/>
      <c r="HL335" s="202"/>
      <c r="HM335" s="202"/>
      <c r="HN335" s="203"/>
    </row>
    <row r="336" spans="1:222" ht="16.5" customHeight="1">
      <c r="A336" s="181">
        <v>333</v>
      </c>
      <c r="B336" s="182" t="s">
        <v>2624</v>
      </c>
      <c r="C336" s="183" t="s">
        <v>2625</v>
      </c>
      <c r="D336" s="184" t="s">
        <v>940</v>
      </c>
      <c r="E336" s="184" t="str">
        <f t="shared" si="33"/>
        <v>Import</v>
      </c>
      <c r="F336" s="720" t="str" cm="1">
        <f t="array" ref="F336">_xlfn.IFS(
  OR(AI336="E11", AI336="E15"), "Raw materials",
  OR(AI336="E13", AI336="G13"), "Equipments + Toolings",
  TRUE, RIGHT(C336, 8)
)</f>
        <v>Raw materials</v>
      </c>
      <c r="G336" s="541" t="str" cm="1">
        <f t="array" ref="G336">IF(E336="Import",
  IFERROR(
    _xlfn.IFS(
      VLOOKUP(B336,[1]Material!F$5:U$90000,16,0)="LUC","Lucid",
      VLOOKUP(B336,[1]Material!F$5:U$90000,16,0)="FMC","FORD",
      OR(VLOOKUP(B336,[1]Material!F$5:U$90000,16,0)="PUR",VLOOKUP(B336,[1]Material!F$5:U$90000,16,0)="HLO"),"PURE",
      VLOOKUP(B336,[1]Material!F$5:U$90000,16,0)="AIC","AIC",
      OR(VLOOKUP(B336,[1]Material!F$5:U$90000,16,0)="AGI",VLOOKUP(B336,[1]Material!F$5:U$90000,16,0)="AGIGA"),"AGIGA",
      OR(LEFT(VLOOKUP(B336,[1]Material!F$5:U$90000,16,0),3)="EF-",VLOOKUP(B336,[1]Material!F$5:U$90000,16,0)="EFI"),"EFI",
      AND(ISNUMBER(VLOOKUP(B336,[1]Material!F$5:U$90000,16,0)),VLOOKUP(B336,[1]Material!F$5:U$90000,16,0)&gt;=100,VLOOKUP(B336,[1]Material!F$5:U$90000,16,0)&lt;=999,VLOOKUP(B336,[1]Material!F$5:U$90000,16,0)=INT(VLOOKUP(B336,[1]Material!F$5:U$90000,16,0))),"OEM",
      TRUE,""
    ),
    "không tìm thấy trong file Import"
  ),
  VLOOKUP(F336,'[2]Export shipment'!B:Y,24,0)
)</f>
        <v>PURE</v>
      </c>
      <c r="H336" s="184" t="e">
        <f>VLOOKUP(B336,[4]Export!I$3627:J$3898,2,0)</f>
        <v>#N/A</v>
      </c>
      <c r="I336" s="184" t="s">
        <v>2089</v>
      </c>
      <c r="J336" s="260">
        <f>(V336+X336+AA336)/'Logistics record '!$AD$1</f>
        <v>15.116015418335726</v>
      </c>
      <c r="K336" s="260">
        <f>W336/'Logistics record '!$AD$1</f>
        <v>0</v>
      </c>
      <c r="L336" s="260">
        <f>Y336/'Logistics record '!$AD$1</f>
        <v>0</v>
      </c>
      <c r="M336" s="260">
        <f>AF336/'Logistics record '!$AD$1</f>
        <v>60.750510165520367</v>
      </c>
      <c r="N336" s="260" t="str" cm="1">
        <f t="array" ref="N336">_xlfn.IFS(
    OR(UPPER(S336)="AIR", UPPER(S336)="CPN"), "AIR",
    UPPER(S336)="TC", "LOCAL",
    TRUE, "SEA"
)</f>
        <v>AIR</v>
      </c>
      <c r="O336" s="260">
        <f t="shared" si="34"/>
        <v>75.866525583856088</v>
      </c>
      <c r="P336" s="184" t="s">
        <v>949</v>
      </c>
      <c r="Q336" s="185">
        <v>108340219410</v>
      </c>
      <c r="R336" s="186">
        <v>46188</v>
      </c>
      <c r="S336" s="187" t="s">
        <v>65</v>
      </c>
      <c r="T336" s="188">
        <v>3.4</v>
      </c>
      <c r="U336" s="188"/>
      <c r="V336" s="189">
        <v>400000</v>
      </c>
      <c r="W336" s="190"/>
      <c r="X336" s="190"/>
      <c r="Y336" s="190"/>
      <c r="Z336" s="189">
        <f t="shared" si="30"/>
        <v>400000</v>
      </c>
      <c r="AA336" s="189">
        <v>0</v>
      </c>
      <c r="AB336" s="189">
        <f t="shared" si="35"/>
        <v>400000</v>
      </c>
      <c r="AC336" s="189"/>
      <c r="AD336" s="190">
        <v>1220400</v>
      </c>
      <c r="AE336" s="190">
        <v>387180</v>
      </c>
      <c r="AF336" s="191">
        <f t="shared" si="31"/>
        <v>1607580</v>
      </c>
      <c r="AG336" s="190">
        <f t="shared" si="32"/>
        <v>2007580</v>
      </c>
      <c r="AH336" s="190"/>
      <c r="AI336" s="192" t="str">
        <f>VLOOKUP(Q336,[3]Sheet1!B$11:G$1489,6,0)</f>
        <v>E11</v>
      </c>
      <c r="GK336" s="194"/>
      <c r="GL336" s="195"/>
      <c r="GM336" s="196"/>
      <c r="GN336" s="197"/>
      <c r="GO336" s="198"/>
      <c r="GP336" s="199"/>
      <c r="GQ336" s="200"/>
      <c r="GR336" s="201"/>
      <c r="GS336" s="60"/>
      <c r="GT336" s="202"/>
      <c r="GU336" s="202"/>
      <c r="GV336" s="202"/>
      <c r="GW336" s="202"/>
      <c r="GX336" s="203"/>
      <c r="HA336" s="194"/>
      <c r="HB336" s="195"/>
      <c r="HC336" s="196"/>
      <c r="HD336" s="197"/>
      <c r="HE336" s="198"/>
      <c r="HF336" s="199"/>
      <c r="HG336" s="200"/>
      <c r="HH336" s="201"/>
      <c r="HI336" s="60"/>
      <c r="HJ336" s="202"/>
      <c r="HK336" s="202"/>
      <c r="HL336" s="202"/>
      <c r="HM336" s="202"/>
      <c r="HN336" s="203"/>
    </row>
    <row r="337" spans="1:222" ht="16.5" customHeight="1">
      <c r="A337" s="181">
        <v>334</v>
      </c>
      <c r="B337" s="182" t="s">
        <v>2626</v>
      </c>
      <c r="C337" s="183" t="s">
        <v>2627</v>
      </c>
      <c r="D337" s="184" t="s">
        <v>940</v>
      </c>
      <c r="E337" s="184" t="str">
        <f t="shared" si="33"/>
        <v>Import</v>
      </c>
      <c r="F337" s="720" t="str" cm="1">
        <f t="array" ref="F337">_xlfn.IFS(
  OR(AI337="E11", AI337="E15"), "Raw materials",
  OR(AI337="E13", AI337="G13"), "Equipments + Toolings",
  TRUE, RIGHT(C337, 8)
)</f>
        <v>Raw materials</v>
      </c>
      <c r="G337" s="541" t="str" cm="1">
        <f t="array" ref="G337">IF(E337="Import",
  IFERROR(
    _xlfn.IFS(
      VLOOKUP(B337,[1]Material!F$5:U$90000,16,0)="LUC","Lucid",
      VLOOKUP(B337,[1]Material!F$5:U$90000,16,0)="FMC","FORD",
      OR(VLOOKUP(B337,[1]Material!F$5:U$90000,16,0)="PUR",VLOOKUP(B337,[1]Material!F$5:U$90000,16,0)="HLO"),"PURE",
      VLOOKUP(B337,[1]Material!F$5:U$90000,16,0)="AIC","AIC",
      OR(VLOOKUP(B337,[1]Material!F$5:U$90000,16,0)="AGI",VLOOKUP(B337,[1]Material!F$5:U$90000,16,0)="AGIGA"),"AGIGA",
      OR(LEFT(VLOOKUP(B337,[1]Material!F$5:U$90000,16,0),3)="EF-",VLOOKUP(B337,[1]Material!F$5:U$90000,16,0)="EFI"),"EFI",
      AND(ISNUMBER(VLOOKUP(B337,[1]Material!F$5:U$90000,16,0)),VLOOKUP(B337,[1]Material!F$5:U$90000,16,0)&gt;=100,VLOOKUP(B337,[1]Material!F$5:U$90000,16,0)&lt;=999,VLOOKUP(B337,[1]Material!F$5:U$90000,16,0)=INT(VLOOKUP(B337,[1]Material!F$5:U$90000,16,0))),"OEM",
      TRUE,""
    ),
    "không tìm thấy trong file Import"
  ),
  VLOOKUP(F337,'[2]Export shipment'!B:Y,24,0)
)</f>
        <v>PURE</v>
      </c>
      <c r="H337" s="184" t="e">
        <f>VLOOKUP(B337,[4]Export!I$3627:J$3898,2,0)</f>
        <v>#N/A</v>
      </c>
      <c r="I337" s="184" t="s">
        <v>2089</v>
      </c>
      <c r="J337" s="260">
        <f>(V337+X337+AA337)/'Logistics record '!$AD$1</f>
        <v>15.116015418335726</v>
      </c>
      <c r="K337" s="260">
        <f>W337/'Logistics record '!$AD$1</f>
        <v>0</v>
      </c>
      <c r="L337" s="260">
        <f>Y337/'Logistics record '!$AD$1</f>
        <v>0</v>
      </c>
      <c r="M337" s="260">
        <f>AF337/'Logistics record '!$AD$1</f>
        <v>60.750510165520367</v>
      </c>
      <c r="N337" s="260" t="str" cm="1">
        <f t="array" ref="N337">_xlfn.IFS(
    OR(UPPER(S337)="AIR", UPPER(S337)="CPN"), "AIR",
    UPPER(S337)="TC", "LOCAL",
    TRUE, "SEA"
)</f>
        <v>AIR</v>
      </c>
      <c r="O337" s="260">
        <f t="shared" si="34"/>
        <v>75.866525583856088</v>
      </c>
      <c r="P337" s="184" t="s">
        <v>949</v>
      </c>
      <c r="Q337" s="185">
        <v>108340281450</v>
      </c>
      <c r="R337" s="186">
        <v>46188</v>
      </c>
      <c r="S337" s="187" t="s">
        <v>65</v>
      </c>
      <c r="T337" s="188">
        <v>3.4</v>
      </c>
      <c r="U337" s="188"/>
      <c r="V337" s="189">
        <v>400000</v>
      </c>
      <c r="W337" s="190"/>
      <c r="X337" s="190"/>
      <c r="Y337" s="190"/>
      <c r="Z337" s="189">
        <f t="shared" si="30"/>
        <v>400000</v>
      </c>
      <c r="AA337" s="189">
        <v>0</v>
      </c>
      <c r="AB337" s="189">
        <f t="shared" si="35"/>
        <v>400000</v>
      </c>
      <c r="AC337" s="189"/>
      <c r="AD337" s="190">
        <v>1220400</v>
      </c>
      <c r="AE337" s="190">
        <v>387180</v>
      </c>
      <c r="AF337" s="191">
        <f t="shared" si="31"/>
        <v>1607580</v>
      </c>
      <c r="AG337" s="190">
        <f t="shared" si="32"/>
        <v>2007580</v>
      </c>
      <c r="AH337" s="190"/>
      <c r="AI337" s="192" t="str">
        <f>VLOOKUP(Q337,[3]Sheet1!B$11:G$1489,6,0)</f>
        <v>E11</v>
      </c>
      <c r="GK337" s="194"/>
      <c r="GL337" s="195"/>
      <c r="GM337" s="196"/>
      <c r="GN337" s="197"/>
      <c r="GO337" s="198"/>
      <c r="GP337" s="199"/>
      <c r="GQ337" s="200"/>
      <c r="GR337" s="201"/>
      <c r="GS337" s="60"/>
      <c r="GT337" s="202"/>
      <c r="GU337" s="202"/>
      <c r="GV337" s="202"/>
      <c r="GW337" s="202"/>
      <c r="GX337" s="203"/>
      <c r="HA337" s="194"/>
      <c r="HB337" s="195"/>
      <c r="HC337" s="196"/>
      <c r="HD337" s="197"/>
      <c r="HE337" s="198"/>
      <c r="HF337" s="199"/>
      <c r="HG337" s="200"/>
      <c r="HH337" s="201"/>
      <c r="HI337" s="60"/>
      <c r="HJ337" s="202"/>
      <c r="HK337" s="202"/>
      <c r="HL337" s="202"/>
      <c r="HM337" s="202"/>
      <c r="HN337" s="203"/>
    </row>
    <row r="338" spans="1:222" ht="16.5" customHeight="1">
      <c r="A338" s="181">
        <v>335</v>
      </c>
      <c r="B338" s="182" t="s">
        <v>2628</v>
      </c>
      <c r="C338" s="183" t="s">
        <v>2629</v>
      </c>
      <c r="D338" s="184" t="s">
        <v>940</v>
      </c>
      <c r="E338" s="184" t="str">
        <f t="shared" si="33"/>
        <v>Import</v>
      </c>
      <c r="F338" s="720" t="str" cm="1">
        <f t="array" ref="F338">_xlfn.IFS(
  OR(AI338="E11", AI338="E15"), "Raw materials",
  OR(AI338="E13", AI338="G13"), "Equipments + Toolings",
  TRUE, RIGHT(C338, 8)
)</f>
        <v>Raw materials</v>
      </c>
      <c r="G338" s="541" t="str" cm="1">
        <f t="array" ref="G338">IF(E338="Import",
  IFERROR(
    _xlfn.IFS(
      VLOOKUP(B338,[1]Material!F$5:U$90000,16,0)="LUC","Lucid",
      VLOOKUP(B338,[1]Material!F$5:U$90000,16,0)="FMC","FORD",
      OR(VLOOKUP(B338,[1]Material!F$5:U$90000,16,0)="PUR",VLOOKUP(B338,[1]Material!F$5:U$90000,16,0)="HLO"),"PURE",
      VLOOKUP(B338,[1]Material!F$5:U$90000,16,0)="AIC","AIC",
      OR(VLOOKUP(B338,[1]Material!F$5:U$90000,16,0)="AGI",VLOOKUP(B338,[1]Material!F$5:U$90000,16,0)="AGIGA"),"AGIGA",
      OR(LEFT(VLOOKUP(B338,[1]Material!F$5:U$90000,16,0),3)="EF-",VLOOKUP(B338,[1]Material!F$5:U$90000,16,0)="EFI"),"EFI",
      AND(ISNUMBER(VLOOKUP(B338,[1]Material!F$5:U$90000,16,0)),VLOOKUP(B338,[1]Material!F$5:U$90000,16,0)&gt;=100,VLOOKUP(B338,[1]Material!F$5:U$90000,16,0)&lt;=999,VLOOKUP(B338,[1]Material!F$5:U$90000,16,0)=INT(VLOOKUP(B338,[1]Material!F$5:U$90000,16,0))),"OEM",
      TRUE,""
    ),
    "không tìm thấy trong file Import"
  ),
  VLOOKUP(F338,'[2]Export shipment'!B:Y,24,0)
)</f>
        <v>PURE</v>
      </c>
      <c r="H338" s="184" t="e">
        <f>VLOOKUP(B338,[4]Export!I$3627:J$3898,2,0)</f>
        <v>#N/A</v>
      </c>
      <c r="I338" s="184" t="s">
        <v>2089</v>
      </c>
      <c r="J338" s="260">
        <f>(V338+X338+AA338)/'Logistics record '!$AD$1</f>
        <v>15.116015418335726</v>
      </c>
      <c r="K338" s="260">
        <f>W338/'Logistics record '!$AD$1</f>
        <v>0</v>
      </c>
      <c r="L338" s="260">
        <f>Y338/'Logistics record '!$AD$1</f>
        <v>0</v>
      </c>
      <c r="M338" s="260">
        <f>AF338/'Logistics record '!$AD$1</f>
        <v>60.750510165520367</v>
      </c>
      <c r="N338" s="260" t="str" cm="1">
        <f t="array" ref="N338">_xlfn.IFS(
    OR(UPPER(S338)="AIR", UPPER(S338)="CPN"), "AIR",
    UPPER(S338)="TC", "LOCAL",
    TRUE, "SEA"
)</f>
        <v>AIR</v>
      </c>
      <c r="O338" s="260">
        <f t="shared" si="34"/>
        <v>75.866525583856088</v>
      </c>
      <c r="P338" s="184" t="s">
        <v>949</v>
      </c>
      <c r="Q338" s="185">
        <v>108340283700</v>
      </c>
      <c r="R338" s="186">
        <v>46188</v>
      </c>
      <c r="S338" s="187" t="s">
        <v>65</v>
      </c>
      <c r="T338" s="188">
        <v>3.4</v>
      </c>
      <c r="U338" s="188"/>
      <c r="V338" s="189">
        <v>400000</v>
      </c>
      <c r="W338" s="190"/>
      <c r="X338" s="190"/>
      <c r="Y338" s="190"/>
      <c r="Z338" s="189">
        <f t="shared" si="30"/>
        <v>400000</v>
      </c>
      <c r="AA338" s="189">
        <v>0</v>
      </c>
      <c r="AB338" s="189">
        <f t="shared" si="35"/>
        <v>400000</v>
      </c>
      <c r="AC338" s="189"/>
      <c r="AD338" s="190">
        <v>1220400</v>
      </c>
      <c r="AE338" s="190">
        <v>387180</v>
      </c>
      <c r="AF338" s="191">
        <f t="shared" si="31"/>
        <v>1607580</v>
      </c>
      <c r="AG338" s="190">
        <f t="shared" si="32"/>
        <v>2007580</v>
      </c>
      <c r="AH338" s="190"/>
      <c r="AI338" s="192" t="str">
        <f>VLOOKUP(Q338,[3]Sheet1!B$11:G$1489,6,0)</f>
        <v>E11</v>
      </c>
      <c r="GK338" s="194"/>
      <c r="GL338" s="195"/>
      <c r="GM338" s="196"/>
      <c r="GN338" s="197"/>
      <c r="GO338" s="198"/>
      <c r="GP338" s="199"/>
      <c r="GQ338" s="200"/>
      <c r="GR338" s="201"/>
      <c r="GS338" s="60"/>
      <c r="GT338" s="202"/>
      <c r="GU338" s="202"/>
      <c r="GV338" s="202"/>
      <c r="GW338" s="202"/>
      <c r="GX338" s="203"/>
      <c r="HA338" s="194"/>
      <c r="HB338" s="195"/>
      <c r="HC338" s="196"/>
      <c r="HD338" s="197"/>
      <c r="HE338" s="198"/>
      <c r="HF338" s="199"/>
      <c r="HG338" s="200"/>
      <c r="HH338" s="201"/>
      <c r="HI338" s="60"/>
      <c r="HJ338" s="202"/>
      <c r="HK338" s="202"/>
      <c r="HL338" s="202"/>
      <c r="HM338" s="202"/>
      <c r="HN338" s="203"/>
    </row>
    <row r="339" spans="1:222" ht="16.5" customHeight="1">
      <c r="A339" s="181">
        <v>336</v>
      </c>
      <c r="B339" s="182" t="s">
        <v>2630</v>
      </c>
      <c r="C339" s="183" t="s">
        <v>2631</v>
      </c>
      <c r="D339" s="184" t="s">
        <v>940</v>
      </c>
      <c r="E339" s="184" t="str">
        <f t="shared" si="33"/>
        <v>Import</v>
      </c>
      <c r="F339" s="720" t="str" cm="1">
        <f t="array" ref="F339">_xlfn.IFS(
  OR(AI339="E11", AI339="E15"), "Raw materials",
  OR(AI339="E13", AI339="G13"), "Equipments + Toolings",
  TRUE, RIGHT(C339, 8)
)</f>
        <v>Raw materials</v>
      </c>
      <c r="G339" s="541" t="str" cm="1">
        <f t="array" ref="G339">IF(E339="Import",
  IFERROR(
    _xlfn.IFS(
      VLOOKUP(B339,[1]Material!F$5:U$90000,16,0)="LUC","Lucid",
      VLOOKUP(B339,[1]Material!F$5:U$90000,16,0)="FMC","FORD",
      OR(VLOOKUP(B339,[1]Material!F$5:U$90000,16,0)="PUR",VLOOKUP(B339,[1]Material!F$5:U$90000,16,0)="HLO"),"PURE",
      VLOOKUP(B339,[1]Material!F$5:U$90000,16,0)="AIC","AIC",
      OR(VLOOKUP(B339,[1]Material!F$5:U$90000,16,0)="AGI",VLOOKUP(B339,[1]Material!F$5:U$90000,16,0)="AGIGA"),"AGIGA",
      OR(LEFT(VLOOKUP(B339,[1]Material!F$5:U$90000,16,0),3)="EF-",VLOOKUP(B339,[1]Material!F$5:U$90000,16,0)="EFI"),"EFI",
      AND(ISNUMBER(VLOOKUP(B339,[1]Material!F$5:U$90000,16,0)),VLOOKUP(B339,[1]Material!F$5:U$90000,16,0)&gt;=100,VLOOKUP(B339,[1]Material!F$5:U$90000,16,0)&lt;=999,VLOOKUP(B339,[1]Material!F$5:U$90000,16,0)=INT(VLOOKUP(B339,[1]Material!F$5:U$90000,16,0))),"OEM",
      TRUE,""
    ),
    "không tìm thấy trong file Import"
  ),
  VLOOKUP(F339,'[2]Export shipment'!B:Y,24,0)
)</f>
        <v>PURE</v>
      </c>
      <c r="H339" s="184" t="e">
        <f>VLOOKUP(B339,[4]Export!I$3627:J$3898,2,0)</f>
        <v>#N/A</v>
      </c>
      <c r="I339" s="184" t="s">
        <v>2089</v>
      </c>
      <c r="J339" s="260">
        <f>(V339+X339+AA339)/'Logistics record '!$AD$1</f>
        <v>15.116015418335726</v>
      </c>
      <c r="K339" s="260">
        <f>W339/'Logistics record '!$AD$1</f>
        <v>0</v>
      </c>
      <c r="L339" s="260">
        <f>Y339/'Logistics record '!$AD$1</f>
        <v>0</v>
      </c>
      <c r="M339" s="260">
        <f>AF339/'Logistics record '!$AD$1</f>
        <v>60.750510165520367</v>
      </c>
      <c r="N339" s="260" t="str" cm="1">
        <f t="array" ref="N339">_xlfn.IFS(
    OR(UPPER(S339)="AIR", UPPER(S339)="CPN"), "AIR",
    UPPER(S339)="TC", "LOCAL",
    TRUE, "SEA"
)</f>
        <v>AIR</v>
      </c>
      <c r="O339" s="260">
        <f t="shared" si="34"/>
        <v>75.866525583856088</v>
      </c>
      <c r="P339" s="184" t="s">
        <v>949</v>
      </c>
      <c r="Q339" s="185">
        <v>108340296260</v>
      </c>
      <c r="R339" s="186">
        <v>46188</v>
      </c>
      <c r="S339" s="187" t="s">
        <v>65</v>
      </c>
      <c r="T339" s="188">
        <v>3.4</v>
      </c>
      <c r="U339" s="188"/>
      <c r="V339" s="189">
        <v>400000</v>
      </c>
      <c r="W339" s="190"/>
      <c r="X339" s="190"/>
      <c r="Y339" s="190"/>
      <c r="Z339" s="189">
        <f t="shared" si="30"/>
        <v>400000</v>
      </c>
      <c r="AA339" s="189">
        <v>0</v>
      </c>
      <c r="AB339" s="189">
        <f t="shared" si="35"/>
        <v>400000</v>
      </c>
      <c r="AC339" s="189"/>
      <c r="AD339" s="190">
        <v>1220400</v>
      </c>
      <c r="AE339" s="190">
        <v>387180</v>
      </c>
      <c r="AF339" s="191">
        <f t="shared" si="31"/>
        <v>1607580</v>
      </c>
      <c r="AG339" s="190">
        <f t="shared" si="32"/>
        <v>2007580</v>
      </c>
      <c r="AH339" s="190"/>
      <c r="AI339" s="192" t="str">
        <f>VLOOKUP(Q339,[3]Sheet1!B$11:G$1489,6,0)</f>
        <v>E11</v>
      </c>
      <c r="GK339" s="194"/>
      <c r="GL339" s="195"/>
      <c r="GM339" s="196"/>
      <c r="GN339" s="197"/>
      <c r="GO339" s="198"/>
      <c r="GP339" s="199"/>
      <c r="GQ339" s="200"/>
      <c r="GR339" s="201"/>
      <c r="GS339" s="60"/>
      <c r="GT339" s="202"/>
      <c r="GU339" s="202"/>
      <c r="GV339" s="202"/>
      <c r="GW339" s="202"/>
      <c r="GX339" s="203"/>
      <c r="HA339" s="194"/>
      <c r="HB339" s="195"/>
      <c r="HC339" s="196"/>
      <c r="HD339" s="197"/>
      <c r="HE339" s="198"/>
      <c r="HF339" s="199"/>
      <c r="HG339" s="200"/>
      <c r="HH339" s="201"/>
      <c r="HI339" s="60"/>
      <c r="HJ339" s="202"/>
      <c r="HK339" s="202"/>
      <c r="HL339" s="202"/>
      <c r="HM339" s="202"/>
      <c r="HN339" s="203"/>
    </row>
    <row r="340" spans="1:222" ht="16.5" customHeight="1">
      <c r="A340" s="181">
        <v>337</v>
      </c>
      <c r="B340" s="182" t="s">
        <v>2632</v>
      </c>
      <c r="C340" s="183" t="s">
        <v>2633</v>
      </c>
      <c r="D340" s="184" t="s">
        <v>940</v>
      </c>
      <c r="E340" s="184" t="str">
        <f t="shared" si="33"/>
        <v>Import</v>
      </c>
      <c r="F340" s="720" t="str" cm="1">
        <f t="array" ref="F340">_xlfn.IFS(
  OR(AI340="E11", AI340="E15"), "Raw materials",
  OR(AI340="E13", AI340="G13"), "Equipments + Toolings",
  TRUE, RIGHT(C340, 8)
)</f>
        <v>Raw materials</v>
      </c>
      <c r="G340" s="541" t="str" cm="1">
        <f t="array" ref="G340">IF(E340="Import",
  IFERROR(
    _xlfn.IFS(
      VLOOKUP(B340,[1]Material!F$5:U$90000,16,0)="LUC","Lucid",
      VLOOKUP(B340,[1]Material!F$5:U$90000,16,0)="FMC","FORD",
      OR(VLOOKUP(B340,[1]Material!F$5:U$90000,16,0)="PUR",VLOOKUP(B340,[1]Material!F$5:U$90000,16,0)="HLO"),"PURE",
      VLOOKUP(B340,[1]Material!F$5:U$90000,16,0)="AIC","AIC",
      OR(VLOOKUP(B340,[1]Material!F$5:U$90000,16,0)="AGI",VLOOKUP(B340,[1]Material!F$5:U$90000,16,0)="AGIGA"),"AGIGA",
      OR(LEFT(VLOOKUP(B340,[1]Material!F$5:U$90000,16,0),3)="EF-",VLOOKUP(B340,[1]Material!F$5:U$90000,16,0)="EFI"),"EFI",
      AND(ISNUMBER(VLOOKUP(B340,[1]Material!F$5:U$90000,16,0)),VLOOKUP(B340,[1]Material!F$5:U$90000,16,0)&gt;=100,VLOOKUP(B340,[1]Material!F$5:U$90000,16,0)&lt;=999,VLOOKUP(B340,[1]Material!F$5:U$90000,16,0)=INT(VLOOKUP(B340,[1]Material!F$5:U$90000,16,0))),"OEM",
      TRUE,""
    ),
    "không tìm thấy trong file Import"
  ),
  VLOOKUP(F340,'[2]Export shipment'!B:Y,24,0)
)</f>
        <v>PURE</v>
      </c>
      <c r="H340" s="184" t="e">
        <f>VLOOKUP(B340,[4]Export!I$3627:J$3898,2,0)</f>
        <v>#N/A</v>
      </c>
      <c r="I340" s="184" t="s">
        <v>2089</v>
      </c>
      <c r="J340" s="260">
        <f>(V340+X340+AA340)/'Logistics record '!$AD$1</f>
        <v>15.116015418335726</v>
      </c>
      <c r="K340" s="260">
        <f>W340/'Logistics record '!$AD$1</f>
        <v>0</v>
      </c>
      <c r="L340" s="260">
        <f>Y340/'Logistics record '!$AD$1</f>
        <v>0</v>
      </c>
      <c r="M340" s="260">
        <f>AF340/'Logistics record '!$AD$1</f>
        <v>60.750510165520367</v>
      </c>
      <c r="N340" s="260" t="str" cm="1">
        <f t="array" ref="N340">_xlfn.IFS(
    OR(UPPER(S340)="AIR", UPPER(S340)="CPN"), "AIR",
    UPPER(S340)="TC", "LOCAL",
    TRUE, "SEA"
)</f>
        <v>AIR</v>
      </c>
      <c r="O340" s="260">
        <f t="shared" si="34"/>
        <v>75.866525583856088</v>
      </c>
      <c r="P340" s="184" t="s">
        <v>949</v>
      </c>
      <c r="Q340" s="185">
        <v>108340381700</v>
      </c>
      <c r="R340" s="186">
        <v>46188</v>
      </c>
      <c r="S340" s="187" t="s">
        <v>65</v>
      </c>
      <c r="T340" s="188">
        <v>3.4</v>
      </c>
      <c r="U340" s="188"/>
      <c r="V340" s="189">
        <v>400000</v>
      </c>
      <c r="W340" s="190"/>
      <c r="X340" s="190"/>
      <c r="Y340" s="190"/>
      <c r="Z340" s="189">
        <f t="shared" si="30"/>
        <v>400000</v>
      </c>
      <c r="AA340" s="189">
        <v>0</v>
      </c>
      <c r="AB340" s="189">
        <f t="shared" si="35"/>
        <v>400000</v>
      </c>
      <c r="AC340" s="189"/>
      <c r="AD340" s="190">
        <v>1220400</v>
      </c>
      <c r="AE340" s="190">
        <v>387180</v>
      </c>
      <c r="AF340" s="191">
        <f t="shared" si="31"/>
        <v>1607580</v>
      </c>
      <c r="AG340" s="190">
        <f t="shared" si="32"/>
        <v>2007580</v>
      </c>
      <c r="AH340" s="190"/>
      <c r="AI340" s="192" t="str">
        <f>VLOOKUP(Q340,[3]Sheet1!B$11:G$1489,6,0)</f>
        <v>E11</v>
      </c>
      <c r="GK340" s="194"/>
      <c r="GL340" s="195"/>
      <c r="GM340" s="196"/>
      <c r="GN340" s="197"/>
      <c r="GO340" s="198"/>
      <c r="GP340" s="199"/>
      <c r="GQ340" s="200"/>
      <c r="GR340" s="201"/>
      <c r="GS340" s="60"/>
      <c r="GT340" s="202"/>
      <c r="GU340" s="202"/>
      <c r="GV340" s="202"/>
      <c r="GW340" s="202"/>
      <c r="GX340" s="203"/>
      <c r="HA340" s="194"/>
      <c r="HB340" s="195"/>
      <c r="HC340" s="196"/>
      <c r="HD340" s="197"/>
      <c r="HE340" s="198"/>
      <c r="HF340" s="199"/>
      <c r="HG340" s="200"/>
      <c r="HH340" s="201"/>
      <c r="HI340" s="60"/>
      <c r="HJ340" s="202"/>
      <c r="HK340" s="202"/>
      <c r="HL340" s="202"/>
      <c r="HM340" s="202"/>
      <c r="HN340" s="203"/>
    </row>
    <row r="341" spans="1:222" ht="16.5" customHeight="1">
      <c r="A341" s="181">
        <v>338</v>
      </c>
      <c r="B341" s="182" t="s">
        <v>2634</v>
      </c>
      <c r="C341" s="183" t="s">
        <v>2635</v>
      </c>
      <c r="D341" s="184" t="s">
        <v>940</v>
      </c>
      <c r="E341" s="184" t="str">
        <f t="shared" si="33"/>
        <v>Import</v>
      </c>
      <c r="F341" s="720" t="str" cm="1">
        <f t="array" ref="F341">_xlfn.IFS(
  OR(AI341="E11", AI341="E15"), "Raw materials",
  OR(AI341="E13", AI341="G13"), "Equipments + Toolings",
  TRUE, RIGHT(C341, 8)
)</f>
        <v>Raw materials</v>
      </c>
      <c r="G341" s="541" t="str" cm="1">
        <f t="array" ref="G341">IF(E341="Import",
  IFERROR(
    _xlfn.IFS(
      VLOOKUP(B341,[1]Material!F$5:U$90000,16,0)="LUC","Lucid",
      VLOOKUP(B341,[1]Material!F$5:U$90000,16,0)="FMC","FORD",
      OR(VLOOKUP(B341,[1]Material!F$5:U$90000,16,0)="PUR",VLOOKUP(B341,[1]Material!F$5:U$90000,16,0)="HLO"),"PURE",
      VLOOKUP(B341,[1]Material!F$5:U$90000,16,0)="AIC","AIC",
      OR(VLOOKUP(B341,[1]Material!F$5:U$90000,16,0)="AGI",VLOOKUP(B341,[1]Material!F$5:U$90000,16,0)="AGIGA"),"AGIGA",
      OR(LEFT(VLOOKUP(B341,[1]Material!F$5:U$90000,16,0),3)="EF-",VLOOKUP(B341,[1]Material!F$5:U$90000,16,0)="EFI"),"EFI",
      AND(ISNUMBER(VLOOKUP(B341,[1]Material!F$5:U$90000,16,0)),VLOOKUP(B341,[1]Material!F$5:U$90000,16,0)&gt;=100,VLOOKUP(B341,[1]Material!F$5:U$90000,16,0)&lt;=999,VLOOKUP(B341,[1]Material!F$5:U$90000,16,0)=INT(VLOOKUP(B341,[1]Material!F$5:U$90000,16,0))),"OEM",
      TRUE,""
    ),
    "không tìm thấy trong file Import"
  ),
  VLOOKUP(F341,'[2]Export shipment'!B:Y,24,0)
)</f>
        <v>PURE</v>
      </c>
      <c r="H341" s="184" t="e">
        <f>VLOOKUP(B341,[4]Export!I$3627:J$3898,2,0)</f>
        <v>#N/A</v>
      </c>
      <c r="I341" s="184" t="s">
        <v>2089</v>
      </c>
      <c r="J341" s="260">
        <f>(V341+X341+AA341)/'Logistics record '!$AD$1</f>
        <v>15.116015418335726</v>
      </c>
      <c r="K341" s="260">
        <f>W341/'Logistics record '!$AD$1</f>
        <v>0</v>
      </c>
      <c r="L341" s="260">
        <f>Y341/'Logistics record '!$AD$1</f>
        <v>0</v>
      </c>
      <c r="M341" s="260">
        <f>AF341/'Logistics record '!$AD$1</f>
        <v>60.750510165520367</v>
      </c>
      <c r="N341" s="260" t="str" cm="1">
        <f t="array" ref="N341">_xlfn.IFS(
    OR(UPPER(S341)="AIR", UPPER(S341)="CPN"), "AIR",
    UPPER(S341)="TC", "LOCAL",
    TRUE, "SEA"
)</f>
        <v>AIR</v>
      </c>
      <c r="O341" s="260">
        <f t="shared" si="34"/>
        <v>75.866525583856088</v>
      </c>
      <c r="P341" s="184" t="s">
        <v>949</v>
      </c>
      <c r="Q341" s="185">
        <v>108340395810</v>
      </c>
      <c r="R341" s="186">
        <v>46188</v>
      </c>
      <c r="S341" s="187" t="s">
        <v>65</v>
      </c>
      <c r="T341" s="188">
        <v>3.4</v>
      </c>
      <c r="U341" s="188"/>
      <c r="V341" s="189">
        <v>400000</v>
      </c>
      <c r="W341" s="190"/>
      <c r="X341" s="190"/>
      <c r="Y341" s="190"/>
      <c r="Z341" s="189">
        <f t="shared" si="30"/>
        <v>400000</v>
      </c>
      <c r="AA341" s="189">
        <v>0</v>
      </c>
      <c r="AB341" s="189">
        <f t="shared" si="35"/>
        <v>400000</v>
      </c>
      <c r="AC341" s="189"/>
      <c r="AD341" s="190">
        <v>1220400</v>
      </c>
      <c r="AE341" s="190">
        <v>387180</v>
      </c>
      <c r="AF341" s="191">
        <f t="shared" si="31"/>
        <v>1607580</v>
      </c>
      <c r="AG341" s="190">
        <f t="shared" si="32"/>
        <v>2007580</v>
      </c>
      <c r="AH341" s="190"/>
      <c r="AI341" s="192" t="str">
        <f>VLOOKUP(Q341,[3]Sheet1!B$11:G$1489,6,0)</f>
        <v>E11</v>
      </c>
      <c r="GK341" s="194"/>
      <c r="GL341" s="195"/>
      <c r="GM341" s="196"/>
      <c r="GN341" s="197"/>
      <c r="GO341" s="198"/>
      <c r="GP341" s="199"/>
      <c r="GQ341" s="200"/>
      <c r="GR341" s="201"/>
      <c r="GS341" s="60"/>
      <c r="GT341" s="202"/>
      <c r="GU341" s="202"/>
      <c r="GV341" s="202"/>
      <c r="GW341" s="202"/>
      <c r="GX341" s="203"/>
      <c r="HA341" s="194"/>
      <c r="HB341" s="195"/>
      <c r="HC341" s="196"/>
      <c r="HD341" s="197"/>
      <c r="HE341" s="198"/>
      <c r="HF341" s="199"/>
      <c r="HG341" s="200"/>
      <c r="HH341" s="201"/>
      <c r="HI341" s="60"/>
      <c r="HJ341" s="202"/>
      <c r="HK341" s="202"/>
      <c r="HL341" s="202"/>
      <c r="HM341" s="202"/>
      <c r="HN341" s="203"/>
    </row>
    <row r="342" spans="1:222" ht="16.5" customHeight="1">
      <c r="A342" s="181">
        <v>339</v>
      </c>
      <c r="B342" s="182" t="s">
        <v>2636</v>
      </c>
      <c r="C342" s="183" t="s">
        <v>2637</v>
      </c>
      <c r="D342" s="184" t="s">
        <v>940</v>
      </c>
      <c r="E342" s="184" t="str">
        <f t="shared" si="33"/>
        <v>Import</v>
      </c>
      <c r="F342" s="720" t="str" cm="1">
        <f t="array" ref="F342">_xlfn.IFS(
  OR(AI342="E11", AI342="E15"), "Raw materials",
  OR(AI342="E13", AI342="G13"), "Equipments + Toolings",
  TRUE, RIGHT(C342, 8)
)</f>
        <v>Raw materials</v>
      </c>
      <c r="G342" s="541" t="str" cm="1">
        <f t="array" ref="G342">IF(E342="Import",
  IFERROR(
    _xlfn.IFS(
      VLOOKUP(B342,[1]Material!F$5:U$90000,16,0)="LUC","Lucid",
      VLOOKUP(B342,[1]Material!F$5:U$90000,16,0)="FMC","FORD",
      OR(VLOOKUP(B342,[1]Material!F$5:U$90000,16,0)="PUR",VLOOKUP(B342,[1]Material!F$5:U$90000,16,0)="HLO"),"PURE",
      VLOOKUP(B342,[1]Material!F$5:U$90000,16,0)="AIC","AIC",
      OR(VLOOKUP(B342,[1]Material!F$5:U$90000,16,0)="AGI",VLOOKUP(B342,[1]Material!F$5:U$90000,16,0)="AGIGA"),"AGIGA",
      OR(LEFT(VLOOKUP(B342,[1]Material!F$5:U$90000,16,0),3)="EF-",VLOOKUP(B342,[1]Material!F$5:U$90000,16,0)="EFI"),"EFI",
      AND(ISNUMBER(VLOOKUP(B342,[1]Material!F$5:U$90000,16,0)),VLOOKUP(B342,[1]Material!F$5:U$90000,16,0)&gt;=100,VLOOKUP(B342,[1]Material!F$5:U$90000,16,0)&lt;=999,VLOOKUP(B342,[1]Material!F$5:U$90000,16,0)=INT(VLOOKUP(B342,[1]Material!F$5:U$90000,16,0))),"OEM",
      TRUE,""
    ),
    "không tìm thấy trong file Import"
  ),
  VLOOKUP(F342,'[2]Export shipment'!B:Y,24,0)
)</f>
        <v>PURE</v>
      </c>
      <c r="H342" s="184" t="e">
        <f>VLOOKUP(B342,[4]Export!I$3627:J$3898,2,0)</f>
        <v>#N/A</v>
      </c>
      <c r="I342" s="184" t="s">
        <v>2089</v>
      </c>
      <c r="J342" s="260">
        <f>(V342+X342+AA342)/'Logistics record '!$AD$1</f>
        <v>15.116015418335726</v>
      </c>
      <c r="K342" s="260">
        <f>W342/'Logistics record '!$AD$1</f>
        <v>0</v>
      </c>
      <c r="L342" s="260">
        <f>Y342/'Logistics record '!$AD$1</f>
        <v>0</v>
      </c>
      <c r="M342" s="260">
        <f>AF342/'Logistics record '!$AD$1</f>
        <v>60.750510165520367</v>
      </c>
      <c r="N342" s="260" t="str" cm="1">
        <f t="array" ref="N342">_xlfn.IFS(
    OR(UPPER(S342)="AIR", UPPER(S342)="CPN"), "AIR",
    UPPER(S342)="TC", "LOCAL",
    TRUE, "SEA"
)</f>
        <v>AIR</v>
      </c>
      <c r="O342" s="260">
        <f t="shared" si="34"/>
        <v>75.866525583856088</v>
      </c>
      <c r="P342" s="184" t="s">
        <v>949</v>
      </c>
      <c r="Q342" s="185">
        <v>108340450300</v>
      </c>
      <c r="R342" s="186">
        <v>46188</v>
      </c>
      <c r="S342" s="187" t="s">
        <v>65</v>
      </c>
      <c r="T342" s="188">
        <v>3.4</v>
      </c>
      <c r="U342" s="188"/>
      <c r="V342" s="189">
        <v>400000</v>
      </c>
      <c r="W342" s="190"/>
      <c r="X342" s="190"/>
      <c r="Y342" s="190"/>
      <c r="Z342" s="189">
        <f t="shared" si="30"/>
        <v>400000</v>
      </c>
      <c r="AA342" s="189">
        <v>0</v>
      </c>
      <c r="AB342" s="189">
        <f t="shared" si="35"/>
        <v>400000</v>
      </c>
      <c r="AC342" s="189"/>
      <c r="AD342" s="190">
        <v>1220400</v>
      </c>
      <c r="AE342" s="190">
        <v>387180</v>
      </c>
      <c r="AF342" s="191">
        <f t="shared" si="31"/>
        <v>1607580</v>
      </c>
      <c r="AG342" s="190">
        <f t="shared" si="32"/>
        <v>2007580</v>
      </c>
      <c r="AH342" s="190"/>
      <c r="AI342" s="192" t="str">
        <f>VLOOKUP(Q342,[3]Sheet1!B$11:G$1489,6,0)</f>
        <v>E11</v>
      </c>
      <c r="GK342" s="194"/>
      <c r="GL342" s="195"/>
      <c r="GM342" s="196"/>
      <c r="GN342" s="197"/>
      <c r="GO342" s="198"/>
      <c r="GP342" s="199"/>
      <c r="GQ342" s="200"/>
      <c r="GR342" s="201"/>
      <c r="GS342" s="60"/>
      <c r="GT342" s="202"/>
      <c r="GU342" s="202"/>
      <c r="GV342" s="202"/>
      <c r="GW342" s="202"/>
      <c r="GX342" s="203"/>
      <c r="HA342" s="194"/>
      <c r="HB342" s="195"/>
      <c r="HC342" s="196"/>
      <c r="HD342" s="197"/>
      <c r="HE342" s="198"/>
      <c r="HF342" s="199"/>
      <c r="HG342" s="200"/>
      <c r="HH342" s="201"/>
      <c r="HI342" s="60"/>
      <c r="HJ342" s="202"/>
      <c r="HK342" s="202"/>
      <c r="HL342" s="202"/>
      <c r="HM342" s="202"/>
      <c r="HN342" s="203"/>
    </row>
    <row r="343" spans="1:222" ht="16.5" customHeight="1">
      <c r="A343" s="181">
        <v>340</v>
      </c>
      <c r="B343" s="182" t="s">
        <v>2638</v>
      </c>
      <c r="C343" s="183" t="s">
        <v>2639</v>
      </c>
      <c r="D343" s="184" t="s">
        <v>940</v>
      </c>
      <c r="E343" s="184" t="str">
        <f t="shared" si="33"/>
        <v>Import</v>
      </c>
      <c r="F343" s="720" t="str" cm="1">
        <f t="array" ref="F343">_xlfn.IFS(
  OR(AI343="E11", AI343="E15"), "Raw materials",
  OR(AI343="E13", AI343="G13"), "Equipments + Toolings",
  TRUE, RIGHT(C343, 8)
)</f>
        <v>Raw materials</v>
      </c>
      <c r="G343" s="541" t="str" cm="1">
        <f t="array" ref="G343">IF(E343="Import",
  IFERROR(
    _xlfn.IFS(
      VLOOKUP(B343,[1]Material!F$5:U$90000,16,0)="LUC","Lucid",
      VLOOKUP(B343,[1]Material!F$5:U$90000,16,0)="FMC","FORD",
      OR(VLOOKUP(B343,[1]Material!F$5:U$90000,16,0)="PUR",VLOOKUP(B343,[1]Material!F$5:U$90000,16,0)="HLO"),"PURE",
      VLOOKUP(B343,[1]Material!F$5:U$90000,16,0)="AIC","AIC",
      OR(VLOOKUP(B343,[1]Material!F$5:U$90000,16,0)="AGI",VLOOKUP(B343,[1]Material!F$5:U$90000,16,0)="AGIGA"),"AGIGA",
      OR(LEFT(VLOOKUP(B343,[1]Material!F$5:U$90000,16,0),3)="EF-",VLOOKUP(B343,[1]Material!F$5:U$90000,16,0)="EFI"),"EFI",
      AND(ISNUMBER(VLOOKUP(B343,[1]Material!F$5:U$90000,16,0)),VLOOKUP(B343,[1]Material!F$5:U$90000,16,0)&gt;=100,VLOOKUP(B343,[1]Material!F$5:U$90000,16,0)&lt;=999,VLOOKUP(B343,[1]Material!F$5:U$90000,16,0)=INT(VLOOKUP(B343,[1]Material!F$5:U$90000,16,0))),"OEM",
      TRUE,""
    ),
    "không tìm thấy trong file Import"
  ),
  VLOOKUP(F343,'[2]Export shipment'!B:Y,24,0)
)</f>
        <v>PURE</v>
      </c>
      <c r="H343" s="184" t="e">
        <f>VLOOKUP(B343,[4]Export!I$3627:J$3898,2,0)</f>
        <v>#N/A</v>
      </c>
      <c r="I343" s="184" t="s">
        <v>2089</v>
      </c>
      <c r="J343" s="260">
        <f>(V343+X343+AA343)/'Logistics record '!$AD$1</f>
        <v>15.116015418335726</v>
      </c>
      <c r="K343" s="260">
        <f>W343/'Logistics record '!$AD$1</f>
        <v>0</v>
      </c>
      <c r="L343" s="260">
        <f>Y343/'Logistics record '!$AD$1</f>
        <v>0</v>
      </c>
      <c r="M343" s="260">
        <f>AF343/'Logistics record '!$AD$1</f>
        <v>60.750510165520367</v>
      </c>
      <c r="N343" s="260" t="str" cm="1">
        <f t="array" ref="N343">_xlfn.IFS(
    OR(UPPER(S343)="AIR", UPPER(S343)="CPN"), "AIR",
    UPPER(S343)="TC", "LOCAL",
    TRUE, "SEA"
)</f>
        <v>AIR</v>
      </c>
      <c r="O343" s="260">
        <f t="shared" si="34"/>
        <v>75.866525583856088</v>
      </c>
      <c r="P343" s="184" t="s">
        <v>949</v>
      </c>
      <c r="Q343" s="185">
        <v>108340529400</v>
      </c>
      <c r="R343" s="186">
        <v>46188</v>
      </c>
      <c r="S343" s="187" t="s">
        <v>65</v>
      </c>
      <c r="T343" s="188">
        <v>3.4</v>
      </c>
      <c r="U343" s="188"/>
      <c r="V343" s="189">
        <v>400000</v>
      </c>
      <c r="W343" s="190"/>
      <c r="X343" s="190"/>
      <c r="Y343" s="190"/>
      <c r="Z343" s="189">
        <f t="shared" si="30"/>
        <v>400000</v>
      </c>
      <c r="AA343" s="189">
        <v>0</v>
      </c>
      <c r="AB343" s="189">
        <f t="shared" si="35"/>
        <v>400000</v>
      </c>
      <c r="AC343" s="189"/>
      <c r="AD343" s="190">
        <v>1220400</v>
      </c>
      <c r="AE343" s="190">
        <v>387180</v>
      </c>
      <c r="AF343" s="191">
        <f t="shared" si="31"/>
        <v>1607580</v>
      </c>
      <c r="AG343" s="190">
        <f t="shared" si="32"/>
        <v>2007580</v>
      </c>
      <c r="AH343" s="190"/>
      <c r="AI343" s="192" t="str">
        <f>VLOOKUP(Q343,[3]Sheet1!B$11:G$1489,6,0)</f>
        <v>E11</v>
      </c>
      <c r="GK343" s="194"/>
      <c r="GL343" s="195"/>
      <c r="GM343" s="196"/>
      <c r="GN343" s="197"/>
      <c r="GO343" s="198"/>
      <c r="GP343" s="199"/>
      <c r="GQ343" s="200"/>
      <c r="GR343" s="201"/>
      <c r="GS343" s="60"/>
      <c r="GT343" s="202"/>
      <c r="GU343" s="202"/>
      <c r="GV343" s="202"/>
      <c r="GW343" s="202"/>
      <c r="GX343" s="203"/>
      <c r="HA343" s="194"/>
      <c r="HB343" s="195"/>
      <c r="HC343" s="196"/>
      <c r="HD343" s="197"/>
      <c r="HE343" s="198"/>
      <c r="HF343" s="199"/>
      <c r="HG343" s="200"/>
      <c r="HH343" s="201"/>
      <c r="HI343" s="60"/>
      <c r="HJ343" s="202"/>
      <c r="HK343" s="202"/>
      <c r="HL343" s="202"/>
      <c r="HM343" s="202"/>
      <c r="HN343" s="203"/>
    </row>
    <row r="344" spans="1:222" ht="16.5" customHeight="1">
      <c r="A344" s="181">
        <v>341</v>
      </c>
      <c r="B344" s="182" t="s">
        <v>2640</v>
      </c>
      <c r="C344" s="183" t="s">
        <v>2641</v>
      </c>
      <c r="D344" s="184" t="s">
        <v>940</v>
      </c>
      <c r="E344" s="184" t="str">
        <f t="shared" si="33"/>
        <v>Import</v>
      </c>
      <c r="F344" s="720" t="str" cm="1">
        <f t="array" ref="F344">_xlfn.IFS(
  OR(AI344="E11", AI344="E15"), "Raw materials",
  OR(AI344="E13", AI344="G13"), "Equipments + Toolings",
  TRUE, RIGHT(C344, 8)
)</f>
        <v>Raw materials</v>
      </c>
      <c r="G344" s="541" t="str" cm="1">
        <f t="array" ref="G344">IF(E344="Import",
  IFERROR(
    _xlfn.IFS(
      VLOOKUP(B344,[1]Material!F$5:U$90000,16,0)="LUC","Lucid",
      VLOOKUP(B344,[1]Material!F$5:U$90000,16,0)="FMC","FORD",
      OR(VLOOKUP(B344,[1]Material!F$5:U$90000,16,0)="PUR",VLOOKUP(B344,[1]Material!F$5:U$90000,16,0)="HLO"),"PURE",
      VLOOKUP(B344,[1]Material!F$5:U$90000,16,0)="AIC","AIC",
      OR(VLOOKUP(B344,[1]Material!F$5:U$90000,16,0)="AGI",VLOOKUP(B344,[1]Material!F$5:U$90000,16,0)="AGIGA"),"AGIGA",
      OR(LEFT(VLOOKUP(B344,[1]Material!F$5:U$90000,16,0),3)="EF-",VLOOKUP(B344,[1]Material!F$5:U$90000,16,0)="EFI"),"EFI",
      AND(ISNUMBER(VLOOKUP(B344,[1]Material!F$5:U$90000,16,0)),VLOOKUP(B344,[1]Material!F$5:U$90000,16,0)&gt;=100,VLOOKUP(B344,[1]Material!F$5:U$90000,16,0)&lt;=999,VLOOKUP(B344,[1]Material!F$5:U$90000,16,0)=INT(VLOOKUP(B344,[1]Material!F$5:U$90000,16,0))),"OEM",
      TRUE,""
    ),
    "không tìm thấy trong file Import"
  ),
  VLOOKUP(F344,'[2]Export shipment'!B:Y,24,0)
)</f>
        <v>PURE</v>
      </c>
      <c r="H344" s="184" t="e">
        <f>VLOOKUP(B344,[4]Export!I$3627:J$3898,2,0)</f>
        <v>#N/A</v>
      </c>
      <c r="I344" s="184" t="s">
        <v>2089</v>
      </c>
      <c r="J344" s="260">
        <f>(V344+X344+AA344)/'Logistics record '!$AD$1</f>
        <v>15.116015418335726</v>
      </c>
      <c r="K344" s="260">
        <f>W344/'Logistics record '!$AD$1</f>
        <v>0</v>
      </c>
      <c r="L344" s="260">
        <f>Y344/'Logistics record '!$AD$1</f>
        <v>0</v>
      </c>
      <c r="M344" s="260">
        <f>AF344/'Logistics record '!$AD$1</f>
        <v>60.750510165520367</v>
      </c>
      <c r="N344" s="260" t="str" cm="1">
        <f t="array" ref="N344">_xlfn.IFS(
    OR(UPPER(S344)="AIR", UPPER(S344)="CPN"), "AIR",
    UPPER(S344)="TC", "LOCAL",
    TRUE, "SEA"
)</f>
        <v>AIR</v>
      </c>
      <c r="O344" s="260">
        <f t="shared" si="34"/>
        <v>75.866525583856088</v>
      </c>
      <c r="P344" s="184" t="s">
        <v>949</v>
      </c>
      <c r="Q344" s="185">
        <v>108340559610</v>
      </c>
      <c r="R344" s="186">
        <v>46188</v>
      </c>
      <c r="S344" s="187" t="s">
        <v>65</v>
      </c>
      <c r="T344" s="188">
        <v>3.4</v>
      </c>
      <c r="U344" s="188"/>
      <c r="V344" s="189">
        <v>400000</v>
      </c>
      <c r="W344" s="190"/>
      <c r="X344" s="190"/>
      <c r="Y344" s="190"/>
      <c r="Z344" s="189">
        <f t="shared" si="30"/>
        <v>400000</v>
      </c>
      <c r="AA344" s="189">
        <v>0</v>
      </c>
      <c r="AB344" s="189">
        <f t="shared" si="35"/>
        <v>400000</v>
      </c>
      <c r="AC344" s="189"/>
      <c r="AD344" s="190">
        <v>1220400</v>
      </c>
      <c r="AE344" s="190">
        <v>387180</v>
      </c>
      <c r="AF344" s="191">
        <f t="shared" si="31"/>
        <v>1607580</v>
      </c>
      <c r="AG344" s="190">
        <f t="shared" si="32"/>
        <v>2007580</v>
      </c>
      <c r="AH344" s="190"/>
      <c r="AI344" s="192" t="str">
        <f>VLOOKUP(Q344,[3]Sheet1!B$11:G$1489,6,0)</f>
        <v>E11</v>
      </c>
      <c r="GK344" s="194"/>
      <c r="GL344" s="195"/>
      <c r="GM344" s="196"/>
      <c r="GN344" s="197"/>
      <c r="GO344" s="198"/>
      <c r="GP344" s="199"/>
      <c r="GQ344" s="200"/>
      <c r="GR344" s="201"/>
      <c r="GS344" s="60"/>
      <c r="GT344" s="202"/>
      <c r="GU344" s="202"/>
      <c r="GV344" s="202"/>
      <c r="GW344" s="202"/>
      <c r="GX344" s="203"/>
      <c r="HA344" s="194"/>
      <c r="HB344" s="195"/>
      <c r="HC344" s="196"/>
      <c r="HD344" s="197"/>
      <c r="HE344" s="198"/>
      <c r="HF344" s="199"/>
      <c r="HG344" s="200"/>
      <c r="HH344" s="201"/>
      <c r="HI344" s="60"/>
      <c r="HJ344" s="202"/>
      <c r="HK344" s="202"/>
      <c r="HL344" s="202"/>
      <c r="HM344" s="202"/>
      <c r="HN344" s="203"/>
    </row>
    <row r="345" spans="1:222" ht="16.5" customHeight="1">
      <c r="A345" s="181">
        <v>342</v>
      </c>
      <c r="B345" s="182" t="s">
        <v>2642</v>
      </c>
      <c r="C345" s="183" t="s">
        <v>2643</v>
      </c>
      <c r="D345" s="184" t="s">
        <v>940</v>
      </c>
      <c r="E345" s="184" t="str">
        <f t="shared" si="33"/>
        <v>Import</v>
      </c>
      <c r="F345" s="720" t="str" cm="1">
        <f t="array" ref="F345">_xlfn.IFS(
  OR(AI345="E11", AI345="E15"), "Raw materials",
  OR(AI345="E13", AI345="G13"), "Equipments + Toolings",
  TRUE, RIGHT(C345, 8)
)</f>
        <v>Raw materials</v>
      </c>
      <c r="G345" s="541" t="str" cm="1">
        <f t="array" ref="G345">IF(E345="Import",
  IFERROR(
    _xlfn.IFS(
      VLOOKUP(B345,[1]Material!F$5:U$90000,16,0)="LUC","Lucid",
      VLOOKUP(B345,[1]Material!F$5:U$90000,16,0)="FMC","FORD",
      OR(VLOOKUP(B345,[1]Material!F$5:U$90000,16,0)="PUR",VLOOKUP(B345,[1]Material!F$5:U$90000,16,0)="HLO"),"PURE",
      VLOOKUP(B345,[1]Material!F$5:U$90000,16,0)="AIC","AIC",
      OR(VLOOKUP(B345,[1]Material!F$5:U$90000,16,0)="AGI",VLOOKUP(B345,[1]Material!F$5:U$90000,16,0)="AGIGA"),"AGIGA",
      OR(LEFT(VLOOKUP(B345,[1]Material!F$5:U$90000,16,0),3)="EF-",VLOOKUP(B345,[1]Material!F$5:U$90000,16,0)="EFI"),"EFI",
      AND(ISNUMBER(VLOOKUP(B345,[1]Material!F$5:U$90000,16,0)),VLOOKUP(B345,[1]Material!F$5:U$90000,16,0)&gt;=100,VLOOKUP(B345,[1]Material!F$5:U$90000,16,0)&lt;=999,VLOOKUP(B345,[1]Material!F$5:U$90000,16,0)=INT(VLOOKUP(B345,[1]Material!F$5:U$90000,16,0))),"OEM",
      TRUE,""
    ),
    "không tìm thấy trong file Import"
  ),
  VLOOKUP(F345,'[2]Export shipment'!B:Y,24,0)
)</f>
        <v>PURE</v>
      </c>
      <c r="H345" s="184" t="e">
        <f>VLOOKUP(B345,[4]Export!I$3627:J$3898,2,0)</f>
        <v>#N/A</v>
      </c>
      <c r="I345" s="184" t="s">
        <v>2089</v>
      </c>
      <c r="J345" s="260">
        <f>(V345+X345+AA345)/'Logistics record '!$AD$1</f>
        <v>15.116015418335726</v>
      </c>
      <c r="K345" s="260">
        <f>W345/'Logistics record '!$AD$1</f>
        <v>0</v>
      </c>
      <c r="L345" s="260">
        <f>Y345/'Logistics record '!$AD$1</f>
        <v>0</v>
      </c>
      <c r="M345" s="260">
        <f>AF345/'Logistics record '!$AD$1</f>
        <v>60.750510165520367</v>
      </c>
      <c r="N345" s="260" t="str" cm="1">
        <f t="array" ref="N345">_xlfn.IFS(
    OR(UPPER(S345)="AIR", UPPER(S345)="CPN"), "AIR",
    UPPER(S345)="TC", "LOCAL",
    TRUE, "SEA"
)</f>
        <v>AIR</v>
      </c>
      <c r="O345" s="260">
        <f t="shared" si="34"/>
        <v>75.866525583856088</v>
      </c>
      <c r="P345" s="184" t="s">
        <v>949</v>
      </c>
      <c r="Q345" s="185">
        <v>108340581640</v>
      </c>
      <c r="R345" s="186">
        <v>46188</v>
      </c>
      <c r="S345" s="187" t="s">
        <v>65</v>
      </c>
      <c r="T345" s="188">
        <v>3.4</v>
      </c>
      <c r="U345" s="188"/>
      <c r="V345" s="189">
        <v>400000</v>
      </c>
      <c r="W345" s="190"/>
      <c r="X345" s="190"/>
      <c r="Y345" s="190"/>
      <c r="Z345" s="189">
        <f t="shared" si="30"/>
        <v>400000</v>
      </c>
      <c r="AA345" s="189">
        <v>0</v>
      </c>
      <c r="AB345" s="189">
        <f t="shared" si="35"/>
        <v>400000</v>
      </c>
      <c r="AC345" s="189"/>
      <c r="AD345" s="190">
        <v>1220400</v>
      </c>
      <c r="AE345" s="190">
        <v>387180</v>
      </c>
      <c r="AF345" s="191">
        <f t="shared" si="31"/>
        <v>1607580</v>
      </c>
      <c r="AG345" s="190">
        <f t="shared" si="32"/>
        <v>2007580</v>
      </c>
      <c r="AH345" s="190"/>
      <c r="AI345" s="192" t="str">
        <f>VLOOKUP(Q345,[3]Sheet1!B$11:G$1489,6,0)</f>
        <v>E11</v>
      </c>
      <c r="GK345" s="194"/>
      <c r="GL345" s="195"/>
      <c r="GM345" s="196"/>
      <c r="GN345" s="197"/>
      <c r="GO345" s="198"/>
      <c r="GP345" s="199"/>
      <c r="GQ345" s="200"/>
      <c r="GR345" s="201"/>
      <c r="GS345" s="60"/>
      <c r="GT345" s="202"/>
      <c r="GU345" s="202"/>
      <c r="GV345" s="202"/>
      <c r="GW345" s="202"/>
      <c r="GX345" s="203"/>
      <c r="HA345" s="194"/>
      <c r="HB345" s="195"/>
      <c r="HC345" s="196"/>
      <c r="HD345" s="197"/>
      <c r="HE345" s="198"/>
      <c r="HF345" s="199"/>
      <c r="HG345" s="200"/>
      <c r="HH345" s="201"/>
      <c r="HI345" s="60"/>
      <c r="HJ345" s="202"/>
      <c r="HK345" s="202"/>
      <c r="HL345" s="202"/>
      <c r="HM345" s="202"/>
      <c r="HN345" s="203"/>
    </row>
    <row r="346" spans="1:222" ht="16.5" customHeight="1">
      <c r="A346" s="181">
        <v>343</v>
      </c>
      <c r="B346" s="182" t="s">
        <v>2644</v>
      </c>
      <c r="C346" s="183" t="s">
        <v>2645</v>
      </c>
      <c r="D346" s="184" t="s">
        <v>940</v>
      </c>
      <c r="E346" s="184" t="str">
        <f t="shared" si="33"/>
        <v>Import</v>
      </c>
      <c r="F346" s="720" t="str" cm="1">
        <f t="array" ref="F346">_xlfn.IFS(
  OR(AI346="E11", AI346="E15"), "Raw materials",
  OR(AI346="E13", AI346="G13"), "Equipments + Toolings",
  TRUE, RIGHT(C346, 8)
)</f>
        <v>Raw materials</v>
      </c>
      <c r="G346" s="541" t="str" cm="1">
        <f t="array" ref="G346">IF(E346="Import",
  IFERROR(
    _xlfn.IFS(
      VLOOKUP(B346,[1]Material!F$5:U$90000,16,0)="LUC","Lucid",
      VLOOKUP(B346,[1]Material!F$5:U$90000,16,0)="FMC","FORD",
      OR(VLOOKUP(B346,[1]Material!F$5:U$90000,16,0)="PUR",VLOOKUP(B346,[1]Material!F$5:U$90000,16,0)="HLO"),"PURE",
      VLOOKUP(B346,[1]Material!F$5:U$90000,16,0)="AIC","AIC",
      OR(VLOOKUP(B346,[1]Material!F$5:U$90000,16,0)="AGI",VLOOKUP(B346,[1]Material!F$5:U$90000,16,0)="AGIGA"),"AGIGA",
      OR(LEFT(VLOOKUP(B346,[1]Material!F$5:U$90000,16,0),3)="EF-",VLOOKUP(B346,[1]Material!F$5:U$90000,16,0)="EFI"),"EFI",
      AND(ISNUMBER(VLOOKUP(B346,[1]Material!F$5:U$90000,16,0)),VLOOKUP(B346,[1]Material!F$5:U$90000,16,0)&gt;=100,VLOOKUP(B346,[1]Material!F$5:U$90000,16,0)&lt;=999,VLOOKUP(B346,[1]Material!F$5:U$90000,16,0)=INT(VLOOKUP(B346,[1]Material!F$5:U$90000,16,0))),"OEM",
      TRUE,""
    ),
    "không tìm thấy trong file Import"
  ),
  VLOOKUP(F346,'[2]Export shipment'!B:Y,24,0)
)</f>
        <v>PURE</v>
      </c>
      <c r="H346" s="184" t="e">
        <f>VLOOKUP(B346,[4]Export!I$3627:J$3898,2,0)</f>
        <v>#N/A</v>
      </c>
      <c r="I346" s="184" t="s">
        <v>2089</v>
      </c>
      <c r="J346" s="260">
        <f>(V346+X346+AA346)/'Logistics record '!$AD$1</f>
        <v>15.116015418335726</v>
      </c>
      <c r="K346" s="260">
        <f>W346/'Logistics record '!$AD$1</f>
        <v>0</v>
      </c>
      <c r="L346" s="260">
        <f>Y346/'Logistics record '!$AD$1</f>
        <v>0</v>
      </c>
      <c r="M346" s="260">
        <f>AF346/'Logistics record '!$AD$1</f>
        <v>60.750510165520367</v>
      </c>
      <c r="N346" s="260" t="str" cm="1">
        <f t="array" ref="N346">_xlfn.IFS(
    OR(UPPER(S346)="AIR", UPPER(S346)="CPN"), "AIR",
    UPPER(S346)="TC", "LOCAL",
    TRUE, "SEA"
)</f>
        <v>AIR</v>
      </c>
      <c r="O346" s="260">
        <f t="shared" si="34"/>
        <v>75.866525583856088</v>
      </c>
      <c r="P346" s="184" t="s">
        <v>949</v>
      </c>
      <c r="Q346" s="185">
        <v>108340623160</v>
      </c>
      <c r="R346" s="186">
        <v>46188</v>
      </c>
      <c r="S346" s="187" t="s">
        <v>65</v>
      </c>
      <c r="T346" s="188">
        <v>3.4</v>
      </c>
      <c r="U346" s="188"/>
      <c r="V346" s="189">
        <v>400000</v>
      </c>
      <c r="W346" s="190"/>
      <c r="X346" s="190"/>
      <c r="Y346" s="190"/>
      <c r="Z346" s="189">
        <f t="shared" si="30"/>
        <v>400000</v>
      </c>
      <c r="AA346" s="189">
        <v>0</v>
      </c>
      <c r="AB346" s="189">
        <f t="shared" si="35"/>
        <v>400000</v>
      </c>
      <c r="AC346" s="189"/>
      <c r="AD346" s="190">
        <v>1220400</v>
      </c>
      <c r="AE346" s="190">
        <v>387180</v>
      </c>
      <c r="AF346" s="191">
        <f t="shared" si="31"/>
        <v>1607580</v>
      </c>
      <c r="AG346" s="190">
        <f t="shared" si="32"/>
        <v>2007580</v>
      </c>
      <c r="AH346" s="190"/>
      <c r="AI346" s="192" t="str">
        <f>VLOOKUP(Q346,[3]Sheet1!B$11:G$1489,6,0)</f>
        <v>E11</v>
      </c>
      <c r="GK346" s="194"/>
      <c r="GL346" s="195"/>
      <c r="GM346" s="196"/>
      <c r="GN346" s="197"/>
      <c r="GO346" s="198"/>
      <c r="GP346" s="199"/>
      <c r="GQ346" s="200"/>
      <c r="GR346" s="201"/>
      <c r="GS346" s="60"/>
      <c r="GT346" s="202"/>
      <c r="GU346" s="202"/>
      <c r="GV346" s="202"/>
      <c r="GW346" s="202"/>
      <c r="GX346" s="203"/>
      <c r="HA346" s="194"/>
      <c r="HB346" s="195"/>
      <c r="HC346" s="196"/>
      <c r="HD346" s="197"/>
      <c r="HE346" s="198"/>
      <c r="HF346" s="199"/>
      <c r="HG346" s="200"/>
      <c r="HH346" s="201"/>
      <c r="HI346" s="60"/>
      <c r="HJ346" s="202"/>
      <c r="HK346" s="202"/>
      <c r="HL346" s="202"/>
      <c r="HM346" s="202"/>
      <c r="HN346" s="203"/>
    </row>
    <row r="347" spans="1:222" ht="16.5" customHeight="1">
      <c r="A347" s="181">
        <v>344</v>
      </c>
      <c r="B347" s="182" t="s">
        <v>2646</v>
      </c>
      <c r="C347" s="183" t="s">
        <v>2647</v>
      </c>
      <c r="D347" s="184" t="s">
        <v>940</v>
      </c>
      <c r="E347" s="184" t="str">
        <f t="shared" si="33"/>
        <v>Import</v>
      </c>
      <c r="F347" s="720" t="str" cm="1">
        <f t="array" ref="F347">_xlfn.IFS(
  OR(AI347="E11", AI347="E15"), "Raw materials",
  OR(AI347="E13", AI347="G13"), "Equipments + Toolings",
  TRUE, RIGHT(C347, 8)
)</f>
        <v>Raw materials</v>
      </c>
      <c r="G347" s="541" t="str" cm="1">
        <f t="array" ref="G347">IF(E347="Import",
  IFERROR(
    _xlfn.IFS(
      VLOOKUP(B347,[1]Material!F$5:U$90000,16,0)="LUC","Lucid",
      VLOOKUP(B347,[1]Material!F$5:U$90000,16,0)="FMC","FORD",
      OR(VLOOKUP(B347,[1]Material!F$5:U$90000,16,0)="PUR",VLOOKUP(B347,[1]Material!F$5:U$90000,16,0)="HLO"),"PURE",
      VLOOKUP(B347,[1]Material!F$5:U$90000,16,0)="AIC","AIC",
      OR(VLOOKUP(B347,[1]Material!F$5:U$90000,16,0)="AGI",VLOOKUP(B347,[1]Material!F$5:U$90000,16,0)="AGIGA"),"AGIGA",
      OR(LEFT(VLOOKUP(B347,[1]Material!F$5:U$90000,16,0),3)="EF-",VLOOKUP(B347,[1]Material!F$5:U$90000,16,0)="EFI"),"EFI",
      AND(ISNUMBER(VLOOKUP(B347,[1]Material!F$5:U$90000,16,0)),VLOOKUP(B347,[1]Material!F$5:U$90000,16,0)&gt;=100,VLOOKUP(B347,[1]Material!F$5:U$90000,16,0)&lt;=999,VLOOKUP(B347,[1]Material!F$5:U$90000,16,0)=INT(VLOOKUP(B347,[1]Material!F$5:U$90000,16,0))),"OEM",
      TRUE,""
    ),
    "không tìm thấy trong file Import"
  ),
  VLOOKUP(F347,'[2]Export shipment'!B:Y,24,0)
)</f>
        <v>PURE</v>
      </c>
      <c r="H347" s="184" t="e">
        <f>VLOOKUP(B347,[4]Export!I$3627:J$3898,2,0)</f>
        <v>#N/A</v>
      </c>
      <c r="I347" s="184" t="s">
        <v>2089</v>
      </c>
      <c r="J347" s="260">
        <f>(V347+X347+AA347)/'Logistics record '!$AD$1</f>
        <v>15.116015418335726</v>
      </c>
      <c r="K347" s="260">
        <f>W347/'Logistics record '!$AD$1</f>
        <v>0</v>
      </c>
      <c r="L347" s="260">
        <f>Y347/'Logistics record '!$AD$1</f>
        <v>0</v>
      </c>
      <c r="M347" s="260">
        <f>AF347/'Logistics record '!$AD$1</f>
        <v>60.750510165520367</v>
      </c>
      <c r="N347" s="260" t="str" cm="1">
        <f t="array" ref="N347">_xlfn.IFS(
    OR(UPPER(S347)="AIR", UPPER(S347)="CPN"), "AIR",
    UPPER(S347)="TC", "LOCAL",
    TRUE, "SEA"
)</f>
        <v>AIR</v>
      </c>
      <c r="O347" s="260">
        <f t="shared" si="34"/>
        <v>75.866525583856088</v>
      </c>
      <c r="P347" s="184" t="s">
        <v>949</v>
      </c>
      <c r="Q347" s="185">
        <v>108340671460</v>
      </c>
      <c r="R347" s="186">
        <v>46188</v>
      </c>
      <c r="S347" s="187" t="s">
        <v>65</v>
      </c>
      <c r="T347" s="188">
        <v>3.4</v>
      </c>
      <c r="U347" s="188"/>
      <c r="V347" s="189">
        <v>400000</v>
      </c>
      <c r="W347" s="190"/>
      <c r="X347" s="190"/>
      <c r="Y347" s="190"/>
      <c r="Z347" s="189">
        <f t="shared" si="30"/>
        <v>400000</v>
      </c>
      <c r="AA347" s="189">
        <v>0</v>
      </c>
      <c r="AB347" s="189">
        <f t="shared" si="35"/>
        <v>400000</v>
      </c>
      <c r="AC347" s="189"/>
      <c r="AD347" s="190">
        <v>1220400</v>
      </c>
      <c r="AE347" s="190">
        <v>387180</v>
      </c>
      <c r="AF347" s="191">
        <f t="shared" si="31"/>
        <v>1607580</v>
      </c>
      <c r="AG347" s="190">
        <f t="shared" si="32"/>
        <v>2007580</v>
      </c>
      <c r="AH347" s="190"/>
      <c r="AI347" s="192" t="str">
        <f>VLOOKUP(Q347,[3]Sheet1!B$11:G$1489,6,0)</f>
        <v>E11</v>
      </c>
      <c r="GK347" s="194"/>
      <c r="GL347" s="195"/>
      <c r="GM347" s="196"/>
      <c r="GN347" s="197"/>
      <c r="GO347" s="198"/>
      <c r="GP347" s="199"/>
      <c r="GQ347" s="200"/>
      <c r="GR347" s="201"/>
      <c r="GS347" s="60"/>
      <c r="GT347" s="202"/>
      <c r="GU347" s="202"/>
      <c r="GV347" s="202"/>
      <c r="GW347" s="202"/>
      <c r="GX347" s="203"/>
      <c r="HA347" s="194"/>
      <c r="HB347" s="195"/>
      <c r="HC347" s="196"/>
      <c r="HD347" s="197"/>
      <c r="HE347" s="198"/>
      <c r="HF347" s="199"/>
      <c r="HG347" s="200"/>
      <c r="HH347" s="201"/>
      <c r="HI347" s="60"/>
      <c r="HJ347" s="202"/>
      <c r="HK347" s="202"/>
      <c r="HL347" s="202"/>
      <c r="HM347" s="202"/>
      <c r="HN347" s="203"/>
    </row>
    <row r="348" spans="1:222" ht="16.5" customHeight="1">
      <c r="A348" s="181">
        <v>345</v>
      </c>
      <c r="B348" s="182" t="s">
        <v>2648</v>
      </c>
      <c r="C348" s="183" t="s">
        <v>2649</v>
      </c>
      <c r="D348" s="184" t="s">
        <v>940</v>
      </c>
      <c r="E348" s="184" t="str">
        <f t="shared" si="33"/>
        <v>Import</v>
      </c>
      <c r="F348" s="720" t="str" cm="1">
        <f t="array" ref="F348">_xlfn.IFS(
  OR(AI348="E11", AI348="E15"), "Raw materials",
  OR(AI348="E13", AI348="G13"), "Equipments + Toolings",
  TRUE, RIGHT(C348, 8)
)</f>
        <v>Raw materials</v>
      </c>
      <c r="G348" s="541" t="str" cm="1">
        <f t="array" ref="G348">IF(E348="Import",
  IFERROR(
    _xlfn.IFS(
      VLOOKUP(B348,[1]Material!F$5:U$90000,16,0)="LUC","Lucid",
      VLOOKUP(B348,[1]Material!F$5:U$90000,16,0)="FMC","FORD",
      OR(VLOOKUP(B348,[1]Material!F$5:U$90000,16,0)="PUR",VLOOKUP(B348,[1]Material!F$5:U$90000,16,0)="HLO"),"PURE",
      VLOOKUP(B348,[1]Material!F$5:U$90000,16,0)="AIC","AIC",
      OR(VLOOKUP(B348,[1]Material!F$5:U$90000,16,0)="AGI",VLOOKUP(B348,[1]Material!F$5:U$90000,16,0)="AGIGA"),"AGIGA",
      OR(LEFT(VLOOKUP(B348,[1]Material!F$5:U$90000,16,0),3)="EF-",VLOOKUP(B348,[1]Material!F$5:U$90000,16,0)="EFI"),"EFI",
      AND(ISNUMBER(VLOOKUP(B348,[1]Material!F$5:U$90000,16,0)),VLOOKUP(B348,[1]Material!F$5:U$90000,16,0)&gt;=100,VLOOKUP(B348,[1]Material!F$5:U$90000,16,0)&lt;=999,VLOOKUP(B348,[1]Material!F$5:U$90000,16,0)=INT(VLOOKUP(B348,[1]Material!F$5:U$90000,16,0))),"OEM",
      TRUE,""
    ),
    "không tìm thấy trong file Import"
  ),
  VLOOKUP(F348,'[2]Export shipment'!B:Y,24,0)
)</f>
        <v>PURE</v>
      </c>
      <c r="H348" s="184" t="e">
        <f>VLOOKUP(B348,[4]Export!I$3627:J$3898,2,0)</f>
        <v>#N/A</v>
      </c>
      <c r="I348" s="184" t="s">
        <v>2089</v>
      </c>
      <c r="J348" s="260">
        <f>(V348+X348+AA348)/'Logistics record '!$AD$1</f>
        <v>15.116015418335726</v>
      </c>
      <c r="K348" s="260">
        <f>W348/'Logistics record '!$AD$1</f>
        <v>0</v>
      </c>
      <c r="L348" s="260">
        <f>Y348/'Logistics record '!$AD$1</f>
        <v>0</v>
      </c>
      <c r="M348" s="260">
        <f>AF348/'Logistics record '!$AD$1</f>
        <v>60.750510165520367</v>
      </c>
      <c r="N348" s="260" t="str" cm="1">
        <f t="array" ref="N348">_xlfn.IFS(
    OR(UPPER(S348)="AIR", UPPER(S348)="CPN"), "AIR",
    UPPER(S348)="TC", "LOCAL",
    TRUE, "SEA"
)</f>
        <v>AIR</v>
      </c>
      <c r="O348" s="260">
        <f t="shared" si="34"/>
        <v>75.866525583856088</v>
      </c>
      <c r="P348" s="184" t="s">
        <v>949</v>
      </c>
      <c r="Q348" s="185">
        <v>108340860020</v>
      </c>
      <c r="R348" s="186">
        <v>46188</v>
      </c>
      <c r="S348" s="187" t="s">
        <v>65</v>
      </c>
      <c r="T348" s="188">
        <v>3.4</v>
      </c>
      <c r="U348" s="188"/>
      <c r="V348" s="189">
        <v>400000</v>
      </c>
      <c r="W348" s="190"/>
      <c r="X348" s="190"/>
      <c r="Y348" s="190"/>
      <c r="Z348" s="189">
        <f t="shared" si="30"/>
        <v>400000</v>
      </c>
      <c r="AA348" s="189">
        <v>0</v>
      </c>
      <c r="AB348" s="189">
        <f t="shared" si="35"/>
        <v>400000</v>
      </c>
      <c r="AC348" s="189"/>
      <c r="AD348" s="190">
        <v>1220400</v>
      </c>
      <c r="AE348" s="190">
        <v>387180</v>
      </c>
      <c r="AF348" s="191">
        <f t="shared" si="31"/>
        <v>1607580</v>
      </c>
      <c r="AG348" s="190">
        <f t="shared" si="32"/>
        <v>2007580</v>
      </c>
      <c r="AH348" s="190"/>
      <c r="AI348" s="192" t="str">
        <f>VLOOKUP(Q348,[3]Sheet1!B$11:G$1489,6,0)</f>
        <v>E11</v>
      </c>
      <c r="GK348" s="194"/>
      <c r="GL348" s="195"/>
      <c r="GM348" s="196"/>
      <c r="GN348" s="197"/>
      <c r="GO348" s="198"/>
      <c r="GP348" s="199"/>
      <c r="GQ348" s="200"/>
      <c r="GR348" s="201"/>
      <c r="GS348" s="60"/>
      <c r="GT348" s="202"/>
      <c r="GU348" s="202"/>
      <c r="GV348" s="202"/>
      <c r="GW348" s="202"/>
      <c r="GX348" s="203"/>
      <c r="HA348" s="194"/>
      <c r="HB348" s="195"/>
      <c r="HC348" s="196"/>
      <c r="HD348" s="197"/>
      <c r="HE348" s="198"/>
      <c r="HF348" s="199"/>
      <c r="HG348" s="200"/>
      <c r="HH348" s="201"/>
      <c r="HI348" s="60"/>
      <c r="HJ348" s="202"/>
      <c r="HK348" s="202"/>
      <c r="HL348" s="202"/>
      <c r="HM348" s="202"/>
      <c r="HN348" s="203"/>
    </row>
    <row r="349" spans="1:222" ht="16.5" customHeight="1">
      <c r="A349" s="181">
        <v>346</v>
      </c>
      <c r="B349" s="182" t="s">
        <v>2650</v>
      </c>
      <c r="C349" s="183" t="s">
        <v>2651</v>
      </c>
      <c r="D349" s="184" t="s">
        <v>940</v>
      </c>
      <c r="E349" s="184" t="str">
        <f t="shared" si="33"/>
        <v>Import</v>
      </c>
      <c r="F349" s="720" t="str" cm="1">
        <f t="array" ref="F349">_xlfn.IFS(
  OR(AI349="E11", AI349="E15"), "Raw materials",
  OR(AI349="E13", AI349="G13"), "Equipments + Toolings",
  TRUE, RIGHT(C349, 8)
)</f>
        <v>Raw materials</v>
      </c>
      <c r="G349" s="541" t="str" cm="1">
        <f t="array" ref="G349">IF(E349="Import",
  IFERROR(
    _xlfn.IFS(
      VLOOKUP(B349,[1]Material!F$5:U$90000,16,0)="LUC","Lucid",
      VLOOKUP(B349,[1]Material!F$5:U$90000,16,0)="FMC","FORD",
      OR(VLOOKUP(B349,[1]Material!F$5:U$90000,16,0)="PUR",VLOOKUP(B349,[1]Material!F$5:U$90000,16,0)="HLO"),"PURE",
      VLOOKUP(B349,[1]Material!F$5:U$90000,16,0)="AIC","AIC",
      OR(VLOOKUP(B349,[1]Material!F$5:U$90000,16,0)="AGI",VLOOKUP(B349,[1]Material!F$5:U$90000,16,0)="AGIGA"),"AGIGA",
      OR(LEFT(VLOOKUP(B349,[1]Material!F$5:U$90000,16,0),3)="EF-",VLOOKUP(B349,[1]Material!F$5:U$90000,16,0)="EFI"),"EFI",
      AND(ISNUMBER(VLOOKUP(B349,[1]Material!F$5:U$90000,16,0)),VLOOKUP(B349,[1]Material!F$5:U$90000,16,0)&gt;=100,VLOOKUP(B349,[1]Material!F$5:U$90000,16,0)&lt;=999,VLOOKUP(B349,[1]Material!F$5:U$90000,16,0)=INT(VLOOKUP(B349,[1]Material!F$5:U$90000,16,0))),"OEM",
      TRUE,""
    ),
    "không tìm thấy trong file Import"
  ),
  VLOOKUP(F349,'[2]Export shipment'!B:Y,24,0)
)</f>
        <v>PURE</v>
      </c>
      <c r="H349" s="184" t="e">
        <f>VLOOKUP(B349,[4]Export!I$3627:J$3898,2,0)</f>
        <v>#N/A</v>
      </c>
      <c r="I349" s="184" t="s">
        <v>2089</v>
      </c>
      <c r="J349" s="260">
        <f>(V349+X349+AA349)/'Logistics record '!$AD$1</f>
        <v>15.116015418335726</v>
      </c>
      <c r="K349" s="260">
        <f>W349/'Logistics record '!$AD$1</f>
        <v>0</v>
      </c>
      <c r="L349" s="260">
        <f>Y349/'Logistics record '!$AD$1</f>
        <v>0</v>
      </c>
      <c r="M349" s="260">
        <f>AF349/'Logistics record '!$AD$1</f>
        <v>60.750510165520367</v>
      </c>
      <c r="N349" s="260" t="str" cm="1">
        <f t="array" ref="N349">_xlfn.IFS(
    OR(UPPER(S349)="AIR", UPPER(S349)="CPN"), "AIR",
    UPPER(S349)="TC", "LOCAL",
    TRUE, "SEA"
)</f>
        <v>AIR</v>
      </c>
      <c r="O349" s="260">
        <f t="shared" si="34"/>
        <v>75.866525583856088</v>
      </c>
      <c r="P349" s="184" t="s">
        <v>949</v>
      </c>
      <c r="Q349" s="185">
        <v>108340876340</v>
      </c>
      <c r="R349" s="186">
        <v>46188</v>
      </c>
      <c r="S349" s="187" t="s">
        <v>65</v>
      </c>
      <c r="T349" s="188">
        <v>3.4</v>
      </c>
      <c r="U349" s="188"/>
      <c r="V349" s="189">
        <v>400000</v>
      </c>
      <c r="W349" s="190"/>
      <c r="X349" s="190"/>
      <c r="Y349" s="190"/>
      <c r="Z349" s="189">
        <f t="shared" si="30"/>
        <v>400000</v>
      </c>
      <c r="AA349" s="189">
        <v>0</v>
      </c>
      <c r="AB349" s="189">
        <f t="shared" si="35"/>
        <v>400000</v>
      </c>
      <c r="AC349" s="189"/>
      <c r="AD349" s="190">
        <v>1220400</v>
      </c>
      <c r="AE349" s="190">
        <v>387180</v>
      </c>
      <c r="AF349" s="191">
        <f t="shared" si="31"/>
        <v>1607580</v>
      </c>
      <c r="AG349" s="190">
        <f t="shared" si="32"/>
        <v>2007580</v>
      </c>
      <c r="AH349" s="190"/>
      <c r="AI349" s="192" t="str">
        <f>VLOOKUP(Q349,[3]Sheet1!B$11:G$1489,6,0)</f>
        <v>E11</v>
      </c>
      <c r="GK349" s="194"/>
      <c r="GL349" s="195"/>
      <c r="GM349" s="196"/>
      <c r="GN349" s="197"/>
      <c r="GO349" s="198"/>
      <c r="GP349" s="199"/>
      <c r="GQ349" s="200"/>
      <c r="GR349" s="201"/>
      <c r="GS349" s="60"/>
      <c r="GT349" s="202"/>
      <c r="GU349" s="202"/>
      <c r="GV349" s="202"/>
      <c r="GW349" s="202"/>
      <c r="GX349" s="203"/>
      <c r="HA349" s="194"/>
      <c r="HB349" s="195"/>
      <c r="HC349" s="196"/>
      <c r="HD349" s="197"/>
      <c r="HE349" s="198"/>
      <c r="HF349" s="199"/>
      <c r="HG349" s="200"/>
      <c r="HH349" s="201"/>
      <c r="HI349" s="60"/>
      <c r="HJ349" s="202"/>
      <c r="HK349" s="202"/>
      <c r="HL349" s="202"/>
      <c r="HM349" s="202"/>
      <c r="HN349" s="203"/>
    </row>
    <row r="350" spans="1:222" ht="16.5" customHeight="1">
      <c r="A350" s="181">
        <v>347</v>
      </c>
      <c r="B350" s="182" t="s">
        <v>2652</v>
      </c>
      <c r="C350" s="183" t="s">
        <v>2653</v>
      </c>
      <c r="D350" s="184" t="s">
        <v>940</v>
      </c>
      <c r="E350" s="184" t="str">
        <f t="shared" si="33"/>
        <v>Import</v>
      </c>
      <c r="F350" s="720" t="str" cm="1">
        <f t="array" ref="F350">_xlfn.IFS(
  OR(AI350="E11", AI350="E15"), "Raw materials",
  OR(AI350="E13", AI350="G13"), "Equipments + Toolings",
  TRUE, RIGHT(C350, 8)
)</f>
        <v>Raw materials</v>
      </c>
      <c r="G350" s="541" t="str" cm="1">
        <f t="array" ref="G350">IF(E350="Import",
  IFERROR(
    _xlfn.IFS(
      VLOOKUP(B350,[1]Material!F$5:U$90000,16,0)="LUC","Lucid",
      VLOOKUP(B350,[1]Material!F$5:U$90000,16,0)="FMC","FORD",
      OR(VLOOKUP(B350,[1]Material!F$5:U$90000,16,0)="PUR",VLOOKUP(B350,[1]Material!F$5:U$90000,16,0)="HLO"),"PURE",
      VLOOKUP(B350,[1]Material!F$5:U$90000,16,0)="AIC","AIC",
      OR(VLOOKUP(B350,[1]Material!F$5:U$90000,16,0)="AGI",VLOOKUP(B350,[1]Material!F$5:U$90000,16,0)="AGIGA"),"AGIGA",
      OR(LEFT(VLOOKUP(B350,[1]Material!F$5:U$90000,16,0),3)="EF-",VLOOKUP(B350,[1]Material!F$5:U$90000,16,0)="EFI"),"EFI",
      AND(ISNUMBER(VLOOKUP(B350,[1]Material!F$5:U$90000,16,0)),VLOOKUP(B350,[1]Material!F$5:U$90000,16,0)&gt;=100,VLOOKUP(B350,[1]Material!F$5:U$90000,16,0)&lt;=999,VLOOKUP(B350,[1]Material!F$5:U$90000,16,0)=INT(VLOOKUP(B350,[1]Material!F$5:U$90000,16,0))),"OEM",
      TRUE,""
    ),
    "không tìm thấy trong file Import"
  ),
  VLOOKUP(F350,'[2]Export shipment'!B:Y,24,0)
)</f>
        <v>PURE</v>
      </c>
      <c r="H350" s="184" t="e">
        <f>VLOOKUP(B350,[4]Export!I$3627:J$3898,2,0)</f>
        <v>#N/A</v>
      </c>
      <c r="I350" s="184" t="s">
        <v>2089</v>
      </c>
      <c r="J350" s="260">
        <f>(V350+X350+AA350)/'Logistics record '!$AD$1</f>
        <v>15.116015418335726</v>
      </c>
      <c r="K350" s="260">
        <f>W350/'Logistics record '!$AD$1</f>
        <v>0</v>
      </c>
      <c r="L350" s="260">
        <f>Y350/'Logistics record '!$AD$1</f>
        <v>0</v>
      </c>
      <c r="M350" s="260">
        <f>AF350/'Logistics record '!$AD$1</f>
        <v>60.750510165520367</v>
      </c>
      <c r="N350" s="260" t="str" cm="1">
        <f t="array" ref="N350">_xlfn.IFS(
    OR(UPPER(S350)="AIR", UPPER(S350)="CPN"), "AIR",
    UPPER(S350)="TC", "LOCAL",
    TRUE, "SEA"
)</f>
        <v>AIR</v>
      </c>
      <c r="O350" s="260">
        <f t="shared" si="34"/>
        <v>75.866525583856088</v>
      </c>
      <c r="P350" s="184" t="s">
        <v>949</v>
      </c>
      <c r="Q350" s="185">
        <v>108340894430</v>
      </c>
      <c r="R350" s="186">
        <v>46188</v>
      </c>
      <c r="S350" s="187" t="s">
        <v>65</v>
      </c>
      <c r="T350" s="188">
        <v>3.4</v>
      </c>
      <c r="U350" s="188"/>
      <c r="V350" s="189">
        <v>400000</v>
      </c>
      <c r="W350" s="190"/>
      <c r="X350" s="190"/>
      <c r="Y350" s="190"/>
      <c r="Z350" s="189">
        <f t="shared" si="30"/>
        <v>400000</v>
      </c>
      <c r="AA350" s="189">
        <v>0</v>
      </c>
      <c r="AB350" s="189">
        <f t="shared" si="35"/>
        <v>400000</v>
      </c>
      <c r="AC350" s="189"/>
      <c r="AD350" s="190">
        <v>1220400</v>
      </c>
      <c r="AE350" s="190">
        <v>387180</v>
      </c>
      <c r="AF350" s="191">
        <f t="shared" si="31"/>
        <v>1607580</v>
      </c>
      <c r="AG350" s="190">
        <f t="shared" si="32"/>
        <v>2007580</v>
      </c>
      <c r="AH350" s="190"/>
      <c r="AI350" s="192" t="str">
        <f>VLOOKUP(Q350,[3]Sheet1!B$11:G$1489,6,0)</f>
        <v>E11</v>
      </c>
      <c r="GK350" s="194"/>
      <c r="GL350" s="195"/>
      <c r="GM350" s="196"/>
      <c r="GN350" s="197"/>
      <c r="GO350" s="198"/>
      <c r="GP350" s="199"/>
      <c r="GQ350" s="200"/>
      <c r="GR350" s="201"/>
      <c r="GS350" s="60"/>
      <c r="GT350" s="202"/>
      <c r="GU350" s="202"/>
      <c r="GV350" s="202"/>
      <c r="GW350" s="202"/>
      <c r="GX350" s="203"/>
      <c r="HA350" s="194"/>
      <c r="HB350" s="195"/>
      <c r="HC350" s="196"/>
      <c r="HD350" s="197"/>
      <c r="HE350" s="198"/>
      <c r="HF350" s="199"/>
      <c r="HG350" s="200"/>
      <c r="HH350" s="201"/>
      <c r="HI350" s="60"/>
      <c r="HJ350" s="202"/>
      <c r="HK350" s="202"/>
      <c r="HL350" s="202"/>
      <c r="HM350" s="202"/>
      <c r="HN350" s="203"/>
    </row>
    <row r="351" spans="1:222" ht="16.5" customHeight="1">
      <c r="A351" s="181">
        <v>348</v>
      </c>
      <c r="B351" s="182" t="s">
        <v>2654</v>
      </c>
      <c r="C351" s="183" t="s">
        <v>2655</v>
      </c>
      <c r="D351" s="184" t="s">
        <v>940</v>
      </c>
      <c r="E351" s="184" t="str">
        <f t="shared" si="33"/>
        <v>Import</v>
      </c>
      <c r="F351" s="720" t="str" cm="1">
        <f t="array" ref="F351">_xlfn.IFS(
  OR(AI351="E11", AI351="E15"), "Raw materials",
  OR(AI351="E13", AI351="G13"), "Equipments + Toolings",
  TRUE, RIGHT(C351, 8)
)</f>
        <v>Raw materials</v>
      </c>
      <c r="G351" s="541" t="str" cm="1">
        <f t="array" ref="G351">IF(E351="Import",
  IFERROR(
    _xlfn.IFS(
      VLOOKUP(B351,[1]Material!F$5:U$90000,16,0)="LUC","Lucid",
      VLOOKUP(B351,[1]Material!F$5:U$90000,16,0)="FMC","FORD",
      OR(VLOOKUP(B351,[1]Material!F$5:U$90000,16,0)="PUR",VLOOKUP(B351,[1]Material!F$5:U$90000,16,0)="HLO"),"PURE",
      VLOOKUP(B351,[1]Material!F$5:U$90000,16,0)="AIC","AIC",
      OR(VLOOKUP(B351,[1]Material!F$5:U$90000,16,0)="AGI",VLOOKUP(B351,[1]Material!F$5:U$90000,16,0)="AGIGA"),"AGIGA",
      OR(LEFT(VLOOKUP(B351,[1]Material!F$5:U$90000,16,0),3)="EF-",VLOOKUP(B351,[1]Material!F$5:U$90000,16,0)="EFI"),"EFI",
      AND(ISNUMBER(VLOOKUP(B351,[1]Material!F$5:U$90000,16,0)),VLOOKUP(B351,[1]Material!F$5:U$90000,16,0)&gt;=100,VLOOKUP(B351,[1]Material!F$5:U$90000,16,0)&lt;=999,VLOOKUP(B351,[1]Material!F$5:U$90000,16,0)=INT(VLOOKUP(B351,[1]Material!F$5:U$90000,16,0))),"OEM",
      TRUE,""
    ),
    "không tìm thấy trong file Import"
  ),
  VLOOKUP(F351,'[2]Export shipment'!B:Y,24,0)
)</f>
        <v>PURE</v>
      </c>
      <c r="H351" s="184" t="e">
        <f>VLOOKUP(B351,[4]Export!I$3627:J$3898,2,0)</f>
        <v>#N/A</v>
      </c>
      <c r="I351" s="184" t="s">
        <v>2089</v>
      </c>
      <c r="J351" s="260">
        <f>(V351+X351+AA351)/'Logistics record '!$AD$1</f>
        <v>15.116015418335726</v>
      </c>
      <c r="K351" s="260">
        <f>W351/'Logistics record '!$AD$1</f>
        <v>22.674023127503592</v>
      </c>
      <c r="L351" s="260">
        <f>Y351/'Logistics record '!$AD$1</f>
        <v>0</v>
      </c>
      <c r="M351" s="260">
        <f>AF351/'Logistics record '!$AD$1</f>
        <v>60.750510165520367</v>
      </c>
      <c r="N351" s="260" t="str" cm="1">
        <f t="array" ref="N351">_xlfn.IFS(
    OR(UPPER(S351)="AIR", UPPER(S351)="CPN"), "AIR",
    UPPER(S351)="TC", "LOCAL",
    TRUE, "SEA"
)</f>
        <v>AIR</v>
      </c>
      <c r="O351" s="260">
        <f t="shared" si="34"/>
        <v>98.540548711359676</v>
      </c>
      <c r="P351" s="184" t="s">
        <v>949</v>
      </c>
      <c r="Q351" s="185">
        <v>108340898740</v>
      </c>
      <c r="R351" s="186">
        <v>46188</v>
      </c>
      <c r="S351" s="187" t="s">
        <v>65</v>
      </c>
      <c r="T351" s="188">
        <v>12.1</v>
      </c>
      <c r="U351" s="188"/>
      <c r="V351" s="189">
        <v>400000</v>
      </c>
      <c r="W351" s="190">
        <v>600000</v>
      </c>
      <c r="X351" s="190"/>
      <c r="Y351" s="190"/>
      <c r="Z351" s="189">
        <f t="shared" si="30"/>
        <v>1000000</v>
      </c>
      <c r="AA351" s="189">
        <v>0</v>
      </c>
      <c r="AB351" s="189">
        <f t="shared" si="35"/>
        <v>1000000</v>
      </c>
      <c r="AC351" s="189"/>
      <c r="AD351" s="190">
        <v>1220400</v>
      </c>
      <c r="AE351" s="190">
        <v>387180</v>
      </c>
      <c r="AF351" s="191">
        <f t="shared" si="31"/>
        <v>1607580</v>
      </c>
      <c r="AG351" s="190">
        <f t="shared" si="32"/>
        <v>2607580</v>
      </c>
      <c r="AH351" s="190"/>
      <c r="AI351" s="192" t="str">
        <f>VLOOKUP(Q351,[3]Sheet1!B$11:G$1489,6,0)</f>
        <v>E11</v>
      </c>
      <c r="GK351" s="194"/>
      <c r="GL351" s="195"/>
      <c r="GM351" s="196"/>
      <c r="GN351" s="197"/>
      <c r="GO351" s="198"/>
      <c r="GP351" s="199"/>
      <c r="GQ351" s="200"/>
      <c r="GR351" s="201"/>
      <c r="GS351" s="60"/>
      <c r="GT351" s="202"/>
      <c r="GU351" s="202"/>
      <c r="GV351" s="202"/>
      <c r="GW351" s="202"/>
      <c r="GX351" s="203"/>
      <c r="HA351" s="194"/>
      <c r="HB351" s="195"/>
      <c r="HC351" s="196"/>
      <c r="HD351" s="197"/>
      <c r="HE351" s="198"/>
      <c r="HF351" s="199"/>
      <c r="HG351" s="200"/>
      <c r="HH351" s="201"/>
      <c r="HI351" s="60"/>
      <c r="HJ351" s="202"/>
      <c r="HK351" s="202"/>
      <c r="HL351" s="202"/>
      <c r="HM351" s="202"/>
      <c r="HN351" s="203"/>
    </row>
    <row r="352" spans="1:222" ht="16.5" customHeight="1">
      <c r="A352" s="181">
        <v>349</v>
      </c>
      <c r="B352" s="182" t="s">
        <v>2656</v>
      </c>
      <c r="C352" s="183" t="s">
        <v>2657</v>
      </c>
      <c r="D352" s="184" t="s">
        <v>940</v>
      </c>
      <c r="E352" s="184" t="str">
        <f t="shared" si="33"/>
        <v>Import</v>
      </c>
      <c r="F352" s="720" t="str" cm="1">
        <f t="array" ref="F352">_xlfn.IFS(
  OR(AI352="E11", AI352="E15"), "Raw materials",
  OR(AI352="E13", AI352="G13"), "Equipments + Toolings",
  TRUE, RIGHT(C352, 8)
)</f>
        <v>Raw materials</v>
      </c>
      <c r="G352" s="541" t="str" cm="1">
        <f t="array" ref="G352">IF(E352="Import",
  IFERROR(
    _xlfn.IFS(
      VLOOKUP(B352,[1]Material!F$5:U$90000,16,0)="LUC","Lucid",
      VLOOKUP(B352,[1]Material!F$5:U$90000,16,0)="FMC","FORD",
      OR(VLOOKUP(B352,[1]Material!F$5:U$90000,16,0)="PUR",VLOOKUP(B352,[1]Material!F$5:U$90000,16,0)="HLO"),"PURE",
      VLOOKUP(B352,[1]Material!F$5:U$90000,16,0)="AIC","AIC",
      OR(VLOOKUP(B352,[1]Material!F$5:U$90000,16,0)="AGI",VLOOKUP(B352,[1]Material!F$5:U$90000,16,0)="AGIGA"),"AGIGA",
      OR(LEFT(VLOOKUP(B352,[1]Material!F$5:U$90000,16,0),3)="EF-",VLOOKUP(B352,[1]Material!F$5:U$90000,16,0)="EFI"),"EFI",
      AND(ISNUMBER(VLOOKUP(B352,[1]Material!F$5:U$90000,16,0)),VLOOKUP(B352,[1]Material!F$5:U$90000,16,0)&gt;=100,VLOOKUP(B352,[1]Material!F$5:U$90000,16,0)&lt;=999,VLOOKUP(B352,[1]Material!F$5:U$90000,16,0)=INT(VLOOKUP(B352,[1]Material!F$5:U$90000,16,0))),"OEM",
      TRUE,""
    ),
    "không tìm thấy trong file Import"
  ),
  VLOOKUP(F352,'[2]Export shipment'!B:Y,24,0)
)</f>
        <v>PURE</v>
      </c>
      <c r="H352" s="184" t="e">
        <f>VLOOKUP(B352,[4]Export!I$3627:J$3898,2,0)</f>
        <v>#N/A</v>
      </c>
      <c r="I352" s="184" t="s">
        <v>2089</v>
      </c>
      <c r="J352" s="260">
        <f>(V352+X352+AA352)/'Logistics record '!$AD$1</f>
        <v>15.116015418335726</v>
      </c>
      <c r="K352" s="260">
        <f>W352/'Logistics record '!$AD$1</f>
        <v>0</v>
      </c>
      <c r="L352" s="260">
        <f>Y352/'Logistics record '!$AD$1</f>
        <v>0</v>
      </c>
      <c r="M352" s="260">
        <f>AF352/'Logistics record '!$AD$1</f>
        <v>60.750510165520367</v>
      </c>
      <c r="N352" s="260" t="str" cm="1">
        <f t="array" ref="N352">_xlfn.IFS(
    OR(UPPER(S352)="AIR", UPPER(S352)="CPN"), "AIR",
    UPPER(S352)="TC", "LOCAL",
    TRUE, "SEA"
)</f>
        <v>AIR</v>
      </c>
      <c r="O352" s="260">
        <f t="shared" si="34"/>
        <v>75.866525583856088</v>
      </c>
      <c r="P352" s="184" t="s">
        <v>949</v>
      </c>
      <c r="Q352" s="185">
        <v>108340935730</v>
      </c>
      <c r="R352" s="186">
        <v>46188</v>
      </c>
      <c r="S352" s="187" t="s">
        <v>65</v>
      </c>
      <c r="T352" s="188">
        <v>3.9</v>
      </c>
      <c r="U352" s="188"/>
      <c r="V352" s="189">
        <v>400000</v>
      </c>
      <c r="W352" s="190"/>
      <c r="X352" s="190"/>
      <c r="Y352" s="190"/>
      <c r="Z352" s="189">
        <f t="shared" si="30"/>
        <v>400000</v>
      </c>
      <c r="AA352" s="189">
        <v>0</v>
      </c>
      <c r="AB352" s="189">
        <f t="shared" si="35"/>
        <v>400000</v>
      </c>
      <c r="AC352" s="189"/>
      <c r="AD352" s="190">
        <v>1220400</v>
      </c>
      <c r="AE352" s="190">
        <v>387180</v>
      </c>
      <c r="AF352" s="191">
        <f t="shared" si="31"/>
        <v>1607580</v>
      </c>
      <c r="AG352" s="190">
        <f t="shared" si="32"/>
        <v>2007580</v>
      </c>
      <c r="AH352" s="190"/>
      <c r="AI352" s="192" t="str">
        <f>VLOOKUP(Q352,[3]Sheet1!B$11:G$1489,6,0)</f>
        <v>E11</v>
      </c>
      <c r="GK352" s="194"/>
      <c r="GL352" s="195"/>
      <c r="GM352" s="196"/>
      <c r="GN352" s="197"/>
      <c r="GO352" s="198"/>
      <c r="GP352" s="199"/>
      <c r="GQ352" s="200"/>
      <c r="GR352" s="201"/>
      <c r="GS352" s="60"/>
      <c r="GT352" s="202"/>
      <c r="GU352" s="202"/>
      <c r="GV352" s="202"/>
      <c r="GW352" s="202"/>
      <c r="GX352" s="203"/>
      <c r="HA352" s="194"/>
      <c r="HB352" s="195"/>
      <c r="HC352" s="196"/>
      <c r="HD352" s="197"/>
      <c r="HE352" s="198"/>
      <c r="HF352" s="199"/>
      <c r="HG352" s="200"/>
      <c r="HH352" s="201"/>
      <c r="HI352" s="60"/>
      <c r="HJ352" s="202"/>
      <c r="HK352" s="202"/>
      <c r="HL352" s="202"/>
      <c r="HM352" s="202"/>
      <c r="HN352" s="203"/>
    </row>
    <row r="353" spans="1:222" ht="16.5" customHeight="1">
      <c r="A353" s="181">
        <v>350</v>
      </c>
      <c r="B353" s="182" t="s">
        <v>2658</v>
      </c>
      <c r="C353" s="183" t="s">
        <v>2659</v>
      </c>
      <c r="D353" s="184" t="s">
        <v>940</v>
      </c>
      <c r="E353" s="184" t="str">
        <f t="shared" si="33"/>
        <v>Import</v>
      </c>
      <c r="F353" s="720" t="str" cm="1">
        <f t="array" ref="F353">_xlfn.IFS(
  OR(AI353="E11", AI353="E15"), "Raw materials",
  OR(AI353="E13", AI353="G13"), "Equipments + Toolings",
  TRUE, RIGHT(C353, 8)
)</f>
        <v>Raw materials</v>
      </c>
      <c r="G353" s="541" t="str" cm="1">
        <f t="array" ref="G353">IF(E353="Import",
  IFERROR(
    _xlfn.IFS(
      VLOOKUP(B353,[1]Material!F$5:U$90000,16,0)="LUC","Lucid",
      VLOOKUP(B353,[1]Material!F$5:U$90000,16,0)="FMC","FORD",
      OR(VLOOKUP(B353,[1]Material!F$5:U$90000,16,0)="PUR",VLOOKUP(B353,[1]Material!F$5:U$90000,16,0)="HLO"),"PURE",
      VLOOKUP(B353,[1]Material!F$5:U$90000,16,0)="AIC","AIC",
      OR(VLOOKUP(B353,[1]Material!F$5:U$90000,16,0)="AGI",VLOOKUP(B353,[1]Material!F$5:U$90000,16,0)="AGIGA"),"AGIGA",
      OR(LEFT(VLOOKUP(B353,[1]Material!F$5:U$90000,16,0),3)="EF-",VLOOKUP(B353,[1]Material!F$5:U$90000,16,0)="EFI"),"EFI",
      AND(ISNUMBER(VLOOKUP(B353,[1]Material!F$5:U$90000,16,0)),VLOOKUP(B353,[1]Material!F$5:U$90000,16,0)&gt;=100,VLOOKUP(B353,[1]Material!F$5:U$90000,16,0)&lt;=999,VLOOKUP(B353,[1]Material!F$5:U$90000,16,0)=INT(VLOOKUP(B353,[1]Material!F$5:U$90000,16,0))),"OEM",
      TRUE,""
    ),
    "không tìm thấy trong file Import"
  ),
  VLOOKUP(F353,'[2]Export shipment'!B:Y,24,0)
)</f>
        <v>PURE</v>
      </c>
      <c r="H353" s="184" t="e">
        <f>VLOOKUP(B353,[4]Export!I$3627:J$3898,2,0)</f>
        <v>#N/A</v>
      </c>
      <c r="I353" s="184" t="s">
        <v>2089</v>
      </c>
      <c r="J353" s="260">
        <f>(V353+X353+AA353)/'Logistics record '!$AD$1</f>
        <v>15.116015418335726</v>
      </c>
      <c r="K353" s="260">
        <f>W353/'Logistics record '!$AD$1</f>
        <v>0</v>
      </c>
      <c r="L353" s="260">
        <f>Y353/'Logistics record '!$AD$1</f>
        <v>0</v>
      </c>
      <c r="M353" s="260">
        <f>AF353/'Logistics record '!$AD$1</f>
        <v>60.750510165520367</v>
      </c>
      <c r="N353" s="260" t="str" cm="1">
        <f t="array" ref="N353">_xlfn.IFS(
    OR(UPPER(S353)="AIR", UPPER(S353)="CPN"), "AIR",
    UPPER(S353)="TC", "LOCAL",
    TRUE, "SEA"
)</f>
        <v>AIR</v>
      </c>
      <c r="O353" s="260">
        <f t="shared" si="34"/>
        <v>75.866525583856088</v>
      </c>
      <c r="P353" s="184" t="s">
        <v>949</v>
      </c>
      <c r="Q353" s="185">
        <v>108340988930</v>
      </c>
      <c r="R353" s="186">
        <v>46188</v>
      </c>
      <c r="S353" s="187" t="s">
        <v>65</v>
      </c>
      <c r="T353" s="188">
        <v>2.7</v>
      </c>
      <c r="U353" s="188"/>
      <c r="V353" s="189">
        <v>400000</v>
      </c>
      <c r="W353" s="190"/>
      <c r="X353" s="190"/>
      <c r="Y353" s="190"/>
      <c r="Z353" s="189">
        <f t="shared" si="30"/>
        <v>400000</v>
      </c>
      <c r="AA353" s="189">
        <v>0</v>
      </c>
      <c r="AB353" s="189">
        <f t="shared" si="35"/>
        <v>400000</v>
      </c>
      <c r="AC353" s="189"/>
      <c r="AD353" s="190">
        <v>1220400</v>
      </c>
      <c r="AE353" s="190">
        <v>387180</v>
      </c>
      <c r="AF353" s="191">
        <f t="shared" si="31"/>
        <v>1607580</v>
      </c>
      <c r="AG353" s="190">
        <f t="shared" si="32"/>
        <v>2007580</v>
      </c>
      <c r="AH353" s="190"/>
      <c r="AI353" s="192" t="str">
        <f>VLOOKUP(Q353,[3]Sheet1!B$11:G$1489,6,0)</f>
        <v>E11</v>
      </c>
      <c r="GK353" s="194"/>
      <c r="GL353" s="195"/>
      <c r="GM353" s="196"/>
      <c r="GN353" s="197"/>
      <c r="GO353" s="198"/>
      <c r="GP353" s="199"/>
      <c r="GQ353" s="200"/>
      <c r="GR353" s="201"/>
      <c r="GS353" s="60"/>
      <c r="GT353" s="202"/>
      <c r="GU353" s="202"/>
      <c r="GV353" s="202"/>
      <c r="GW353" s="202"/>
      <c r="GX353" s="203"/>
      <c r="HA353" s="194"/>
      <c r="HB353" s="195"/>
      <c r="HC353" s="196"/>
      <c r="HD353" s="197"/>
      <c r="HE353" s="198"/>
      <c r="HF353" s="199"/>
      <c r="HG353" s="200"/>
      <c r="HH353" s="201"/>
      <c r="HI353" s="60"/>
      <c r="HJ353" s="202"/>
      <c r="HK353" s="202"/>
      <c r="HL353" s="202"/>
      <c r="HM353" s="202"/>
      <c r="HN353" s="203"/>
    </row>
    <row r="354" spans="1:222" ht="16.5" customHeight="1">
      <c r="A354" s="181">
        <v>351</v>
      </c>
      <c r="B354" s="182" t="s">
        <v>2660</v>
      </c>
      <c r="C354" s="183" t="s">
        <v>2661</v>
      </c>
      <c r="D354" s="184" t="s">
        <v>940</v>
      </c>
      <c r="E354" s="184" t="str">
        <f t="shared" si="33"/>
        <v>Import</v>
      </c>
      <c r="F354" s="720" t="str" cm="1">
        <f t="array" ref="F354">_xlfn.IFS(
  OR(AI354="E11", AI354="E15"), "Raw materials",
  OR(AI354="E13", AI354="G13"), "Equipments + Toolings",
  TRUE, RIGHT(C354, 8)
)</f>
        <v>Raw materials</v>
      </c>
      <c r="G354" s="541" t="str" cm="1">
        <f t="array" ref="G354">IF(E354="Import",
  IFERROR(
    _xlfn.IFS(
      VLOOKUP(B354,[1]Material!F$5:U$90000,16,0)="LUC","Lucid",
      VLOOKUP(B354,[1]Material!F$5:U$90000,16,0)="FMC","FORD",
      OR(VLOOKUP(B354,[1]Material!F$5:U$90000,16,0)="PUR",VLOOKUP(B354,[1]Material!F$5:U$90000,16,0)="HLO"),"PURE",
      VLOOKUP(B354,[1]Material!F$5:U$90000,16,0)="AIC","AIC",
      OR(VLOOKUP(B354,[1]Material!F$5:U$90000,16,0)="AGI",VLOOKUP(B354,[1]Material!F$5:U$90000,16,0)="AGIGA"),"AGIGA",
      OR(LEFT(VLOOKUP(B354,[1]Material!F$5:U$90000,16,0),3)="EF-",VLOOKUP(B354,[1]Material!F$5:U$90000,16,0)="EFI"),"EFI",
      AND(ISNUMBER(VLOOKUP(B354,[1]Material!F$5:U$90000,16,0)),VLOOKUP(B354,[1]Material!F$5:U$90000,16,0)&gt;=100,VLOOKUP(B354,[1]Material!F$5:U$90000,16,0)&lt;=999,VLOOKUP(B354,[1]Material!F$5:U$90000,16,0)=INT(VLOOKUP(B354,[1]Material!F$5:U$90000,16,0))),"OEM",
      TRUE,""
    ),
    "không tìm thấy trong file Import"
  ),
  VLOOKUP(F354,'[2]Export shipment'!B:Y,24,0)
)</f>
        <v>PURE</v>
      </c>
      <c r="H354" s="184" t="e">
        <f>VLOOKUP(B354,[4]Export!I$3627:J$3898,2,0)</f>
        <v>#N/A</v>
      </c>
      <c r="I354" s="184" t="s">
        <v>2089</v>
      </c>
      <c r="J354" s="260">
        <f>(V354+X354+AA354)/'Logistics record '!$AD$1</f>
        <v>15.116015418335726</v>
      </c>
      <c r="K354" s="260">
        <f>W354/'Logistics record '!$AD$1</f>
        <v>0</v>
      </c>
      <c r="L354" s="260">
        <f>Y354/'Logistics record '!$AD$1</f>
        <v>0</v>
      </c>
      <c r="M354" s="260">
        <f>AF354/'Logistics record '!$AD$1</f>
        <v>60.750510165520367</v>
      </c>
      <c r="N354" s="260" t="str" cm="1">
        <f t="array" ref="N354">_xlfn.IFS(
    OR(UPPER(S354)="AIR", UPPER(S354)="CPN"), "AIR",
    UPPER(S354)="TC", "LOCAL",
    TRUE, "SEA"
)</f>
        <v>AIR</v>
      </c>
      <c r="O354" s="260">
        <f t="shared" si="34"/>
        <v>75.866525583856088</v>
      </c>
      <c r="P354" s="184" t="s">
        <v>949</v>
      </c>
      <c r="Q354" s="185">
        <v>108341028500</v>
      </c>
      <c r="R354" s="186">
        <v>46188</v>
      </c>
      <c r="S354" s="187" t="s">
        <v>65</v>
      </c>
      <c r="T354" s="188">
        <v>3.4</v>
      </c>
      <c r="U354" s="188"/>
      <c r="V354" s="189">
        <v>400000</v>
      </c>
      <c r="W354" s="190"/>
      <c r="X354" s="190"/>
      <c r="Y354" s="190"/>
      <c r="Z354" s="189">
        <f t="shared" si="30"/>
        <v>400000</v>
      </c>
      <c r="AA354" s="189">
        <v>0</v>
      </c>
      <c r="AB354" s="189">
        <f t="shared" si="35"/>
        <v>400000</v>
      </c>
      <c r="AC354" s="189"/>
      <c r="AD354" s="190">
        <v>1220400</v>
      </c>
      <c r="AE354" s="190">
        <v>387180</v>
      </c>
      <c r="AF354" s="191">
        <f t="shared" si="31"/>
        <v>1607580</v>
      </c>
      <c r="AG354" s="190">
        <f t="shared" si="32"/>
        <v>2007580</v>
      </c>
      <c r="AH354" s="190"/>
      <c r="AI354" s="192" t="str">
        <f>VLOOKUP(Q354,[3]Sheet1!B$11:G$1489,6,0)</f>
        <v>E11</v>
      </c>
      <c r="GK354" s="194"/>
      <c r="GL354" s="195"/>
      <c r="GM354" s="196"/>
      <c r="GN354" s="197"/>
      <c r="GO354" s="198"/>
      <c r="GP354" s="199"/>
      <c r="GQ354" s="200"/>
      <c r="GR354" s="201"/>
      <c r="GS354" s="60"/>
      <c r="GT354" s="202"/>
      <c r="GU354" s="202"/>
      <c r="GV354" s="202"/>
      <c r="GW354" s="202"/>
      <c r="GX354" s="203"/>
      <c r="HA354" s="194"/>
      <c r="HB354" s="195"/>
      <c r="HC354" s="196"/>
      <c r="HD354" s="197"/>
      <c r="HE354" s="198"/>
      <c r="HF354" s="199"/>
      <c r="HG354" s="200"/>
      <c r="HH354" s="201"/>
      <c r="HI354" s="60"/>
      <c r="HJ354" s="202"/>
      <c r="HK354" s="202"/>
      <c r="HL354" s="202"/>
      <c r="HM354" s="202"/>
      <c r="HN354" s="203"/>
    </row>
    <row r="355" spans="1:222" ht="16.5" customHeight="1">
      <c r="A355" s="181">
        <v>352</v>
      </c>
      <c r="B355" s="182" t="s">
        <v>2662</v>
      </c>
      <c r="C355" s="183" t="s">
        <v>2663</v>
      </c>
      <c r="D355" s="184" t="s">
        <v>940</v>
      </c>
      <c r="E355" s="184" t="str">
        <f t="shared" si="33"/>
        <v>Import</v>
      </c>
      <c r="F355" s="720" t="str" cm="1">
        <f t="array" ref="F355">_xlfn.IFS(
  OR(AI355="E11", AI355="E15"), "Raw materials",
  OR(AI355="E13", AI355="G13"), "Equipments + Toolings",
  TRUE, RIGHT(C355, 8)
)</f>
        <v>Raw materials</v>
      </c>
      <c r="G355" s="541" t="str" cm="1">
        <f t="array" ref="G355">IF(E355="Import",
  IFERROR(
    _xlfn.IFS(
      VLOOKUP(B355,[1]Material!F$5:U$90000,16,0)="LUC","Lucid",
      VLOOKUP(B355,[1]Material!F$5:U$90000,16,0)="FMC","FORD",
      OR(VLOOKUP(B355,[1]Material!F$5:U$90000,16,0)="PUR",VLOOKUP(B355,[1]Material!F$5:U$90000,16,0)="HLO"),"PURE",
      VLOOKUP(B355,[1]Material!F$5:U$90000,16,0)="AIC","AIC",
      OR(VLOOKUP(B355,[1]Material!F$5:U$90000,16,0)="AGI",VLOOKUP(B355,[1]Material!F$5:U$90000,16,0)="AGIGA"),"AGIGA",
      OR(LEFT(VLOOKUP(B355,[1]Material!F$5:U$90000,16,0),3)="EF-",VLOOKUP(B355,[1]Material!F$5:U$90000,16,0)="EFI"),"EFI",
      AND(ISNUMBER(VLOOKUP(B355,[1]Material!F$5:U$90000,16,0)),VLOOKUP(B355,[1]Material!F$5:U$90000,16,0)&gt;=100,VLOOKUP(B355,[1]Material!F$5:U$90000,16,0)&lt;=999,VLOOKUP(B355,[1]Material!F$5:U$90000,16,0)=INT(VLOOKUP(B355,[1]Material!F$5:U$90000,16,0))),"OEM",
      TRUE,""
    ),
    "không tìm thấy trong file Import"
  ),
  VLOOKUP(F355,'[2]Export shipment'!B:Y,24,0)
)</f>
        <v>PURE</v>
      </c>
      <c r="H355" s="184" t="e">
        <f>VLOOKUP(B355,[4]Export!I$3627:J$3898,2,0)</f>
        <v>#N/A</v>
      </c>
      <c r="I355" s="184" t="s">
        <v>2089</v>
      </c>
      <c r="J355" s="260">
        <f>(V355+X355+AA355)/'Logistics record '!$AD$1</f>
        <v>15.116015418335726</v>
      </c>
      <c r="K355" s="260">
        <f>W355/'Logistics record '!$AD$1</f>
        <v>0</v>
      </c>
      <c r="L355" s="260">
        <f>Y355/'Logistics record '!$AD$1</f>
        <v>0</v>
      </c>
      <c r="M355" s="260">
        <f>AF355/'Logistics record '!$AD$1</f>
        <v>60.750510165520367</v>
      </c>
      <c r="N355" s="260" t="str" cm="1">
        <f t="array" ref="N355">_xlfn.IFS(
    OR(UPPER(S355)="AIR", UPPER(S355)="CPN"), "AIR",
    UPPER(S355)="TC", "LOCAL",
    TRUE, "SEA"
)</f>
        <v>AIR</v>
      </c>
      <c r="O355" s="260">
        <f t="shared" si="34"/>
        <v>75.866525583856088</v>
      </c>
      <c r="P355" s="184" t="s">
        <v>949</v>
      </c>
      <c r="Q355" s="185">
        <v>108341123660</v>
      </c>
      <c r="R355" s="186">
        <v>46188</v>
      </c>
      <c r="S355" s="187" t="s">
        <v>65</v>
      </c>
      <c r="T355" s="188">
        <v>6.6</v>
      </c>
      <c r="U355" s="188"/>
      <c r="V355" s="189">
        <v>400000</v>
      </c>
      <c r="W355" s="190"/>
      <c r="X355" s="190"/>
      <c r="Y355" s="190"/>
      <c r="Z355" s="189">
        <f t="shared" si="30"/>
        <v>400000</v>
      </c>
      <c r="AA355" s="189">
        <v>0</v>
      </c>
      <c r="AB355" s="189">
        <f t="shared" si="35"/>
        <v>400000</v>
      </c>
      <c r="AC355" s="189"/>
      <c r="AD355" s="190">
        <v>1220400</v>
      </c>
      <c r="AE355" s="190">
        <v>387180</v>
      </c>
      <c r="AF355" s="191">
        <f t="shared" si="31"/>
        <v>1607580</v>
      </c>
      <c r="AG355" s="190">
        <f t="shared" si="32"/>
        <v>2007580</v>
      </c>
      <c r="AH355" s="190"/>
      <c r="AI355" s="192" t="str">
        <f>VLOOKUP(Q355,[3]Sheet1!B$11:G$1489,6,0)</f>
        <v>E11</v>
      </c>
      <c r="GK355" s="194"/>
      <c r="GL355" s="195"/>
      <c r="GM355" s="196"/>
      <c r="GN355" s="197"/>
      <c r="GO355" s="198"/>
      <c r="GP355" s="199"/>
      <c r="GQ355" s="200"/>
      <c r="GR355" s="201"/>
      <c r="GS355" s="60"/>
      <c r="GT355" s="202"/>
      <c r="GU355" s="202"/>
      <c r="GV355" s="202"/>
      <c r="GW355" s="202"/>
      <c r="GX355" s="203"/>
      <c r="HA355" s="194"/>
      <c r="HB355" s="195"/>
      <c r="HC355" s="196"/>
      <c r="HD355" s="197"/>
      <c r="HE355" s="198"/>
      <c r="HF355" s="199"/>
      <c r="HG355" s="200"/>
      <c r="HH355" s="201"/>
      <c r="HI355" s="60"/>
      <c r="HJ355" s="202"/>
      <c r="HK355" s="202"/>
      <c r="HL355" s="202"/>
      <c r="HM355" s="202"/>
      <c r="HN355" s="203"/>
    </row>
    <row r="356" spans="1:222" ht="16.5" customHeight="1">
      <c r="A356" s="181">
        <v>353</v>
      </c>
      <c r="B356" s="182" t="s">
        <v>2664</v>
      </c>
      <c r="C356" s="183" t="s">
        <v>2665</v>
      </c>
      <c r="D356" s="184" t="s">
        <v>940</v>
      </c>
      <c r="E356" s="184" t="str">
        <f t="shared" si="33"/>
        <v>Import</v>
      </c>
      <c r="F356" s="720" t="str" cm="1">
        <f t="array" ref="F356">_xlfn.IFS(
  OR(AI356="E11", AI356="E15"), "Raw materials",
  OR(AI356="E13", AI356="G13"), "Equipments + Toolings",
  TRUE, RIGHT(C356, 8)
)</f>
        <v>Raw materials</v>
      </c>
      <c r="G356" s="541" t="str" cm="1">
        <f t="array" ref="G356">IF(E356="Import",
  IFERROR(
    _xlfn.IFS(
      VLOOKUP(B356,[1]Material!F$5:U$90000,16,0)="LUC","Lucid",
      VLOOKUP(B356,[1]Material!F$5:U$90000,16,0)="FMC","FORD",
      OR(VLOOKUP(B356,[1]Material!F$5:U$90000,16,0)="PUR",VLOOKUP(B356,[1]Material!F$5:U$90000,16,0)="HLO"),"PURE",
      VLOOKUP(B356,[1]Material!F$5:U$90000,16,0)="AIC","AIC",
      OR(VLOOKUP(B356,[1]Material!F$5:U$90000,16,0)="AGI",VLOOKUP(B356,[1]Material!F$5:U$90000,16,0)="AGIGA"),"AGIGA",
      OR(LEFT(VLOOKUP(B356,[1]Material!F$5:U$90000,16,0),3)="EF-",VLOOKUP(B356,[1]Material!F$5:U$90000,16,0)="EFI"),"EFI",
      AND(ISNUMBER(VLOOKUP(B356,[1]Material!F$5:U$90000,16,0)),VLOOKUP(B356,[1]Material!F$5:U$90000,16,0)&gt;=100,VLOOKUP(B356,[1]Material!F$5:U$90000,16,0)&lt;=999,VLOOKUP(B356,[1]Material!F$5:U$90000,16,0)=INT(VLOOKUP(B356,[1]Material!F$5:U$90000,16,0))),"OEM",
      TRUE,""
    ),
    "không tìm thấy trong file Import"
  ),
  VLOOKUP(F356,'[2]Export shipment'!B:Y,24,0)
)</f>
        <v>PURE</v>
      </c>
      <c r="H356" s="184" t="e">
        <f>VLOOKUP(B356,[4]Export!I$3627:J$3898,2,0)</f>
        <v>#N/A</v>
      </c>
      <c r="I356" s="184" t="s">
        <v>2089</v>
      </c>
      <c r="J356" s="260">
        <f>(V356+X356+AA356)/'Logistics record '!$AD$1</f>
        <v>15.116015418335726</v>
      </c>
      <c r="K356" s="260">
        <f>W356/'Logistics record '!$AD$1</f>
        <v>0</v>
      </c>
      <c r="L356" s="260">
        <f>Y356/'Logistics record '!$AD$1</f>
        <v>0</v>
      </c>
      <c r="M356" s="260">
        <f>AF356/'Logistics record '!$AD$1</f>
        <v>60.750510165520367</v>
      </c>
      <c r="N356" s="260" t="str" cm="1">
        <f t="array" ref="N356">_xlfn.IFS(
    OR(UPPER(S356)="AIR", UPPER(S356)="CPN"), "AIR",
    UPPER(S356)="TC", "LOCAL",
    TRUE, "SEA"
)</f>
        <v>AIR</v>
      </c>
      <c r="O356" s="260">
        <f t="shared" si="34"/>
        <v>75.866525583856088</v>
      </c>
      <c r="P356" s="184" t="s">
        <v>949</v>
      </c>
      <c r="Q356" s="185">
        <v>108341209430</v>
      </c>
      <c r="R356" s="186">
        <v>46188</v>
      </c>
      <c r="S356" s="187" t="s">
        <v>65</v>
      </c>
      <c r="T356" s="188">
        <v>6.6</v>
      </c>
      <c r="U356" s="188"/>
      <c r="V356" s="189">
        <v>400000</v>
      </c>
      <c r="W356" s="190"/>
      <c r="X356" s="190"/>
      <c r="Y356" s="190"/>
      <c r="Z356" s="189">
        <f t="shared" si="30"/>
        <v>400000</v>
      </c>
      <c r="AA356" s="189">
        <v>0</v>
      </c>
      <c r="AB356" s="189">
        <f t="shared" si="35"/>
        <v>400000</v>
      </c>
      <c r="AC356" s="189"/>
      <c r="AD356" s="190">
        <v>1220400</v>
      </c>
      <c r="AE356" s="190">
        <v>387180</v>
      </c>
      <c r="AF356" s="191">
        <f t="shared" si="31"/>
        <v>1607580</v>
      </c>
      <c r="AG356" s="190">
        <f t="shared" si="32"/>
        <v>2007580</v>
      </c>
      <c r="AH356" s="190"/>
      <c r="AI356" s="192" t="str">
        <f>VLOOKUP(Q356,[3]Sheet1!B$11:G$1489,6,0)</f>
        <v>E11</v>
      </c>
      <c r="GK356" s="194"/>
      <c r="GL356" s="195"/>
      <c r="GM356" s="196"/>
      <c r="GN356" s="197"/>
      <c r="GO356" s="198"/>
      <c r="GP356" s="199"/>
      <c r="GQ356" s="200"/>
      <c r="GR356" s="201"/>
      <c r="GS356" s="60"/>
      <c r="GT356" s="202"/>
      <c r="GU356" s="202"/>
      <c r="GV356" s="202"/>
      <c r="GW356" s="202"/>
      <c r="GX356" s="203"/>
      <c r="HA356" s="194"/>
      <c r="HB356" s="195"/>
      <c r="HC356" s="196"/>
      <c r="HD356" s="197"/>
      <c r="HE356" s="198"/>
      <c r="HF356" s="199"/>
      <c r="HG356" s="200"/>
      <c r="HH356" s="201"/>
      <c r="HI356" s="60"/>
      <c r="HJ356" s="202"/>
      <c r="HK356" s="202"/>
      <c r="HL356" s="202"/>
      <c r="HM356" s="202"/>
      <c r="HN356" s="203"/>
    </row>
    <row r="357" spans="1:222" ht="16.5" customHeight="1">
      <c r="A357" s="181">
        <v>354</v>
      </c>
      <c r="B357" s="182" t="s">
        <v>2666</v>
      </c>
      <c r="C357" s="183" t="s">
        <v>2667</v>
      </c>
      <c r="D357" s="184" t="s">
        <v>940</v>
      </c>
      <c r="E357" s="184" t="str">
        <f t="shared" si="33"/>
        <v>Import</v>
      </c>
      <c r="F357" s="720" t="str" cm="1">
        <f t="array" ref="F357">_xlfn.IFS(
  OR(AI357="E11", AI357="E15"), "Raw materials",
  OR(AI357="E13", AI357="G13"), "Equipments + Toolings",
  TRUE, RIGHT(C357, 8)
)</f>
        <v>Raw materials</v>
      </c>
      <c r="G357" s="541" t="str" cm="1">
        <f t="array" ref="G357">IF(E357="Import",
  IFERROR(
    _xlfn.IFS(
      VLOOKUP(B357,[1]Material!F$5:U$90000,16,0)="LUC","Lucid",
      VLOOKUP(B357,[1]Material!F$5:U$90000,16,0)="FMC","FORD",
      OR(VLOOKUP(B357,[1]Material!F$5:U$90000,16,0)="PUR",VLOOKUP(B357,[1]Material!F$5:U$90000,16,0)="HLO"),"PURE",
      VLOOKUP(B357,[1]Material!F$5:U$90000,16,0)="AIC","AIC",
      OR(VLOOKUP(B357,[1]Material!F$5:U$90000,16,0)="AGI",VLOOKUP(B357,[1]Material!F$5:U$90000,16,0)="AGIGA"),"AGIGA",
      OR(LEFT(VLOOKUP(B357,[1]Material!F$5:U$90000,16,0),3)="EF-",VLOOKUP(B357,[1]Material!F$5:U$90000,16,0)="EFI"),"EFI",
      AND(ISNUMBER(VLOOKUP(B357,[1]Material!F$5:U$90000,16,0)),VLOOKUP(B357,[1]Material!F$5:U$90000,16,0)&gt;=100,VLOOKUP(B357,[1]Material!F$5:U$90000,16,0)&lt;=999,VLOOKUP(B357,[1]Material!F$5:U$90000,16,0)=INT(VLOOKUP(B357,[1]Material!F$5:U$90000,16,0))),"OEM",
      TRUE,""
    ),
    "không tìm thấy trong file Import"
  ),
  VLOOKUP(F357,'[2]Export shipment'!B:Y,24,0)
)</f>
        <v>PURE</v>
      </c>
      <c r="H357" s="184" t="e">
        <f>VLOOKUP(B357,[4]Export!I$3627:J$3898,2,0)</f>
        <v>#N/A</v>
      </c>
      <c r="I357" s="184" t="s">
        <v>2089</v>
      </c>
      <c r="J357" s="260">
        <f>(V357+X357+AA357)/'Logistics record '!$AD$1</f>
        <v>15.116015418335726</v>
      </c>
      <c r="K357" s="260">
        <f>W357/'Logistics record '!$AD$1</f>
        <v>0</v>
      </c>
      <c r="L357" s="260">
        <f>Y357/'Logistics record '!$AD$1</f>
        <v>0</v>
      </c>
      <c r="M357" s="260">
        <f>AF357/'Logistics record '!$AD$1</f>
        <v>60.750510165520367</v>
      </c>
      <c r="N357" s="260" t="str" cm="1">
        <f t="array" ref="N357">_xlfn.IFS(
    OR(UPPER(S357)="AIR", UPPER(S357)="CPN"), "AIR",
    UPPER(S357)="TC", "LOCAL",
    TRUE, "SEA"
)</f>
        <v>AIR</v>
      </c>
      <c r="O357" s="260">
        <f t="shared" si="34"/>
        <v>75.866525583856088</v>
      </c>
      <c r="P357" s="184" t="s">
        <v>949</v>
      </c>
      <c r="Q357" s="185">
        <v>108341304260</v>
      </c>
      <c r="R357" s="186">
        <v>46188</v>
      </c>
      <c r="S357" s="187" t="s">
        <v>65</v>
      </c>
      <c r="T357" s="188">
        <v>6.6</v>
      </c>
      <c r="U357" s="188"/>
      <c r="V357" s="189">
        <v>400000</v>
      </c>
      <c r="W357" s="190"/>
      <c r="X357" s="190"/>
      <c r="Y357" s="190"/>
      <c r="Z357" s="189">
        <f t="shared" si="30"/>
        <v>400000</v>
      </c>
      <c r="AA357" s="189">
        <v>0</v>
      </c>
      <c r="AB357" s="189">
        <f t="shared" si="35"/>
        <v>400000</v>
      </c>
      <c r="AC357" s="189"/>
      <c r="AD357" s="190">
        <v>1220400</v>
      </c>
      <c r="AE357" s="190">
        <v>387180</v>
      </c>
      <c r="AF357" s="191">
        <f t="shared" si="31"/>
        <v>1607580</v>
      </c>
      <c r="AG357" s="190">
        <f t="shared" si="32"/>
        <v>2007580</v>
      </c>
      <c r="AH357" s="190"/>
      <c r="AI357" s="192" t="str">
        <f>VLOOKUP(Q357,[3]Sheet1!B$11:G$1489,6,0)</f>
        <v>E11</v>
      </c>
      <c r="GK357" s="194"/>
      <c r="GL357" s="195"/>
      <c r="GM357" s="196"/>
      <c r="GN357" s="197"/>
      <c r="GO357" s="198"/>
      <c r="GP357" s="199"/>
      <c r="GQ357" s="200"/>
      <c r="GR357" s="201"/>
      <c r="GS357" s="60"/>
      <c r="GT357" s="202"/>
      <c r="GU357" s="202"/>
      <c r="GV357" s="202"/>
      <c r="GW357" s="202"/>
      <c r="GX357" s="203"/>
      <c r="HA357" s="194"/>
      <c r="HB357" s="195"/>
      <c r="HC357" s="196"/>
      <c r="HD357" s="197"/>
      <c r="HE357" s="198"/>
      <c r="HF357" s="199"/>
      <c r="HG357" s="200"/>
      <c r="HH357" s="201"/>
      <c r="HI357" s="60"/>
      <c r="HJ357" s="202"/>
      <c r="HK357" s="202"/>
      <c r="HL357" s="202"/>
      <c r="HM357" s="202"/>
      <c r="HN357" s="203"/>
    </row>
    <row r="358" spans="1:222" ht="16.5" customHeight="1">
      <c r="A358" s="181">
        <v>355</v>
      </c>
      <c r="B358" s="182" t="s">
        <v>2668</v>
      </c>
      <c r="C358" s="183" t="s">
        <v>2669</v>
      </c>
      <c r="D358" s="184" t="s">
        <v>940</v>
      </c>
      <c r="E358" s="184" t="str">
        <f t="shared" si="33"/>
        <v>Import</v>
      </c>
      <c r="F358" s="720" t="str" cm="1">
        <f t="array" ref="F358">_xlfn.IFS(
  OR(AI358="E11", AI358="E15"), "Raw materials",
  OR(AI358="E13", AI358="G13"), "Equipments + Toolings",
  TRUE, RIGHT(C358, 8)
)</f>
        <v>Raw materials</v>
      </c>
      <c r="G358" s="541" t="str" cm="1">
        <f t="array" ref="G358">IF(E358="Import",
  IFERROR(
    _xlfn.IFS(
      VLOOKUP(B358,[1]Material!F$5:U$90000,16,0)="LUC","Lucid",
      VLOOKUP(B358,[1]Material!F$5:U$90000,16,0)="FMC","FORD",
      OR(VLOOKUP(B358,[1]Material!F$5:U$90000,16,0)="PUR",VLOOKUP(B358,[1]Material!F$5:U$90000,16,0)="HLO"),"PURE",
      VLOOKUP(B358,[1]Material!F$5:U$90000,16,0)="AIC","AIC",
      OR(VLOOKUP(B358,[1]Material!F$5:U$90000,16,0)="AGI",VLOOKUP(B358,[1]Material!F$5:U$90000,16,0)="AGIGA"),"AGIGA",
      OR(LEFT(VLOOKUP(B358,[1]Material!F$5:U$90000,16,0),3)="EF-",VLOOKUP(B358,[1]Material!F$5:U$90000,16,0)="EFI"),"EFI",
      AND(ISNUMBER(VLOOKUP(B358,[1]Material!F$5:U$90000,16,0)),VLOOKUP(B358,[1]Material!F$5:U$90000,16,0)&gt;=100,VLOOKUP(B358,[1]Material!F$5:U$90000,16,0)&lt;=999,VLOOKUP(B358,[1]Material!F$5:U$90000,16,0)=INT(VLOOKUP(B358,[1]Material!F$5:U$90000,16,0))),"OEM",
      TRUE,""
    ),
    "không tìm thấy trong file Import"
  ),
  VLOOKUP(F358,'[2]Export shipment'!B:Y,24,0)
)</f>
        <v>PURE</v>
      </c>
      <c r="H358" s="184" t="e">
        <f>VLOOKUP(B358,[4]Export!I$3627:J$3898,2,0)</f>
        <v>#N/A</v>
      </c>
      <c r="I358" s="184" t="s">
        <v>2089</v>
      </c>
      <c r="J358" s="260">
        <f>(V358+X358+AA358)/'Logistics record '!$AD$1</f>
        <v>15.116015418335726</v>
      </c>
      <c r="K358" s="260">
        <f>W358/'Logistics record '!$AD$1</f>
        <v>0</v>
      </c>
      <c r="L358" s="260">
        <f>Y358/'Logistics record '!$AD$1</f>
        <v>0</v>
      </c>
      <c r="M358" s="260">
        <f>AF358/'Logistics record '!$AD$1</f>
        <v>60.750510165520367</v>
      </c>
      <c r="N358" s="260" t="str" cm="1">
        <f t="array" ref="N358">_xlfn.IFS(
    OR(UPPER(S358)="AIR", UPPER(S358)="CPN"), "AIR",
    UPPER(S358)="TC", "LOCAL",
    TRUE, "SEA"
)</f>
        <v>AIR</v>
      </c>
      <c r="O358" s="260">
        <f t="shared" si="34"/>
        <v>75.866525583856088</v>
      </c>
      <c r="P358" s="184" t="s">
        <v>949</v>
      </c>
      <c r="Q358" s="185">
        <v>108341322460</v>
      </c>
      <c r="R358" s="186">
        <v>46188</v>
      </c>
      <c r="S358" s="187" t="s">
        <v>65</v>
      </c>
      <c r="T358" s="188">
        <v>6.6</v>
      </c>
      <c r="U358" s="188"/>
      <c r="V358" s="189">
        <v>400000</v>
      </c>
      <c r="W358" s="190"/>
      <c r="X358" s="190"/>
      <c r="Y358" s="190"/>
      <c r="Z358" s="189">
        <f t="shared" si="30"/>
        <v>400000</v>
      </c>
      <c r="AA358" s="189">
        <v>0</v>
      </c>
      <c r="AB358" s="189">
        <f t="shared" si="35"/>
        <v>400000</v>
      </c>
      <c r="AC358" s="189"/>
      <c r="AD358" s="190">
        <v>1220400</v>
      </c>
      <c r="AE358" s="190">
        <v>387180</v>
      </c>
      <c r="AF358" s="191">
        <f t="shared" si="31"/>
        <v>1607580</v>
      </c>
      <c r="AG358" s="190">
        <f t="shared" si="32"/>
        <v>2007580</v>
      </c>
      <c r="AH358" s="190"/>
      <c r="AI358" s="192" t="str">
        <f>VLOOKUP(Q358,[3]Sheet1!B$11:G$1489,6,0)</f>
        <v>E11</v>
      </c>
      <c r="GK358" s="194"/>
      <c r="GL358" s="195"/>
      <c r="GM358" s="196"/>
      <c r="GN358" s="197"/>
      <c r="GO358" s="198"/>
      <c r="GP358" s="199"/>
      <c r="GQ358" s="200"/>
      <c r="GR358" s="201"/>
      <c r="GS358" s="60"/>
      <c r="GT358" s="202"/>
      <c r="GU358" s="202"/>
      <c r="GV358" s="202"/>
      <c r="GW358" s="202"/>
      <c r="GX358" s="203"/>
      <c r="HA358" s="194"/>
      <c r="HB358" s="195"/>
      <c r="HC358" s="196"/>
      <c r="HD358" s="197"/>
      <c r="HE358" s="198"/>
      <c r="HF358" s="199"/>
      <c r="HG358" s="200"/>
      <c r="HH358" s="201"/>
      <c r="HI358" s="60"/>
      <c r="HJ358" s="202"/>
      <c r="HK358" s="202"/>
      <c r="HL358" s="202"/>
      <c r="HM358" s="202"/>
      <c r="HN358" s="203"/>
    </row>
    <row r="359" spans="1:222" ht="16.5" customHeight="1">
      <c r="A359" s="181">
        <v>356</v>
      </c>
      <c r="B359" s="182" t="s">
        <v>2670</v>
      </c>
      <c r="C359" s="183" t="s">
        <v>2671</v>
      </c>
      <c r="D359" s="184" t="s">
        <v>940</v>
      </c>
      <c r="E359" s="184" t="str">
        <f t="shared" si="33"/>
        <v>Import</v>
      </c>
      <c r="F359" s="720" t="str" cm="1">
        <f t="array" ref="F359">_xlfn.IFS(
  OR(AI359="E11", AI359="E15"), "Raw materials",
  OR(AI359="E13", AI359="G13"), "Equipments + Toolings",
  TRUE, RIGHT(C359, 8)
)</f>
        <v>Raw materials</v>
      </c>
      <c r="G359" s="541" t="str" cm="1">
        <f t="array" ref="G359">IF(E359="Import",
  IFERROR(
    _xlfn.IFS(
      VLOOKUP(B359,[1]Material!F$5:U$90000,16,0)="LUC","Lucid",
      VLOOKUP(B359,[1]Material!F$5:U$90000,16,0)="FMC","FORD",
      OR(VLOOKUP(B359,[1]Material!F$5:U$90000,16,0)="PUR",VLOOKUP(B359,[1]Material!F$5:U$90000,16,0)="HLO"),"PURE",
      VLOOKUP(B359,[1]Material!F$5:U$90000,16,0)="AIC","AIC",
      OR(VLOOKUP(B359,[1]Material!F$5:U$90000,16,0)="AGI",VLOOKUP(B359,[1]Material!F$5:U$90000,16,0)="AGIGA"),"AGIGA",
      OR(LEFT(VLOOKUP(B359,[1]Material!F$5:U$90000,16,0),3)="EF-",VLOOKUP(B359,[1]Material!F$5:U$90000,16,0)="EFI"),"EFI",
      AND(ISNUMBER(VLOOKUP(B359,[1]Material!F$5:U$90000,16,0)),VLOOKUP(B359,[1]Material!F$5:U$90000,16,0)&gt;=100,VLOOKUP(B359,[1]Material!F$5:U$90000,16,0)&lt;=999,VLOOKUP(B359,[1]Material!F$5:U$90000,16,0)=INT(VLOOKUP(B359,[1]Material!F$5:U$90000,16,0))),"OEM",
      TRUE,""
    ),
    "không tìm thấy trong file Import"
  ),
  VLOOKUP(F359,'[2]Export shipment'!B:Y,24,0)
)</f>
        <v>PURE</v>
      </c>
      <c r="H359" s="184" t="e">
        <f>VLOOKUP(B359,[4]Export!I$3627:J$3898,2,0)</f>
        <v>#N/A</v>
      </c>
      <c r="I359" s="184" t="s">
        <v>2089</v>
      </c>
      <c r="J359" s="260">
        <f>(V359+X359+AA359)/'Logistics record '!$AD$1</f>
        <v>15.116015418335726</v>
      </c>
      <c r="K359" s="260">
        <f>W359/'Logistics record '!$AD$1</f>
        <v>0</v>
      </c>
      <c r="L359" s="260">
        <f>Y359/'Logistics record '!$AD$1</f>
        <v>0</v>
      </c>
      <c r="M359" s="260">
        <f>AF359/'Logistics record '!$AD$1</f>
        <v>60.750510165520367</v>
      </c>
      <c r="N359" s="260" t="str" cm="1">
        <f t="array" ref="N359">_xlfn.IFS(
    OR(UPPER(S359)="AIR", UPPER(S359)="CPN"), "AIR",
    UPPER(S359)="TC", "LOCAL",
    TRUE, "SEA"
)</f>
        <v>AIR</v>
      </c>
      <c r="O359" s="260">
        <f t="shared" si="34"/>
        <v>75.866525583856088</v>
      </c>
      <c r="P359" s="184" t="s">
        <v>949</v>
      </c>
      <c r="Q359" s="185">
        <v>108341362030</v>
      </c>
      <c r="R359" s="186">
        <v>46188</v>
      </c>
      <c r="S359" s="187" t="s">
        <v>65</v>
      </c>
      <c r="T359" s="188">
        <v>6.6</v>
      </c>
      <c r="U359" s="188"/>
      <c r="V359" s="189">
        <v>400000</v>
      </c>
      <c r="W359" s="190"/>
      <c r="X359" s="190"/>
      <c r="Y359" s="190"/>
      <c r="Z359" s="189">
        <f t="shared" si="30"/>
        <v>400000</v>
      </c>
      <c r="AA359" s="189">
        <v>0</v>
      </c>
      <c r="AB359" s="189">
        <f t="shared" si="35"/>
        <v>400000</v>
      </c>
      <c r="AC359" s="189"/>
      <c r="AD359" s="190">
        <v>1220400</v>
      </c>
      <c r="AE359" s="190">
        <v>387180</v>
      </c>
      <c r="AF359" s="191">
        <f t="shared" si="31"/>
        <v>1607580</v>
      </c>
      <c r="AG359" s="190">
        <f t="shared" si="32"/>
        <v>2007580</v>
      </c>
      <c r="AH359" s="190"/>
      <c r="AI359" s="192" t="str">
        <f>VLOOKUP(Q359,[3]Sheet1!B$11:G$1489,6,0)</f>
        <v>E11</v>
      </c>
      <c r="GK359" s="194"/>
      <c r="GL359" s="195"/>
      <c r="GM359" s="196"/>
      <c r="GN359" s="197"/>
      <c r="GO359" s="198"/>
      <c r="GP359" s="199"/>
      <c r="GQ359" s="200"/>
      <c r="GR359" s="201"/>
      <c r="GS359" s="60"/>
      <c r="GT359" s="202"/>
      <c r="GU359" s="202"/>
      <c r="GV359" s="202"/>
      <c r="GW359" s="202"/>
      <c r="GX359" s="203"/>
      <c r="HA359" s="194"/>
      <c r="HB359" s="195"/>
      <c r="HC359" s="196"/>
      <c r="HD359" s="197"/>
      <c r="HE359" s="198"/>
      <c r="HF359" s="199"/>
      <c r="HG359" s="200"/>
      <c r="HH359" s="201"/>
      <c r="HI359" s="60"/>
      <c r="HJ359" s="202"/>
      <c r="HK359" s="202"/>
      <c r="HL359" s="202"/>
      <c r="HM359" s="202"/>
      <c r="HN359" s="203"/>
    </row>
    <row r="360" spans="1:222" ht="16.5" customHeight="1">
      <c r="A360" s="181">
        <v>357</v>
      </c>
      <c r="B360" s="182" t="s">
        <v>2672</v>
      </c>
      <c r="C360" s="183" t="s">
        <v>2673</v>
      </c>
      <c r="D360" s="184" t="s">
        <v>940</v>
      </c>
      <c r="E360" s="184" t="str">
        <f t="shared" si="33"/>
        <v>Import</v>
      </c>
      <c r="F360" s="720" t="str" cm="1">
        <f t="array" ref="F360">_xlfn.IFS(
  OR(AI360="E11", AI360="E15"), "Raw materials",
  OR(AI360="E13", AI360="G13"), "Equipments + Toolings",
  TRUE, RIGHT(C360, 8)
)</f>
        <v>Raw materials</v>
      </c>
      <c r="G360" s="541" t="str" cm="1">
        <f t="array" ref="G360">IF(E360="Import",
  IFERROR(
    _xlfn.IFS(
      VLOOKUP(B360,[1]Material!F$5:U$90000,16,0)="LUC","Lucid",
      VLOOKUP(B360,[1]Material!F$5:U$90000,16,0)="FMC","FORD",
      OR(VLOOKUP(B360,[1]Material!F$5:U$90000,16,0)="PUR",VLOOKUP(B360,[1]Material!F$5:U$90000,16,0)="HLO"),"PURE",
      VLOOKUP(B360,[1]Material!F$5:U$90000,16,0)="AIC","AIC",
      OR(VLOOKUP(B360,[1]Material!F$5:U$90000,16,0)="AGI",VLOOKUP(B360,[1]Material!F$5:U$90000,16,0)="AGIGA"),"AGIGA",
      OR(LEFT(VLOOKUP(B360,[1]Material!F$5:U$90000,16,0),3)="EF-",VLOOKUP(B360,[1]Material!F$5:U$90000,16,0)="EFI"),"EFI",
      AND(ISNUMBER(VLOOKUP(B360,[1]Material!F$5:U$90000,16,0)),VLOOKUP(B360,[1]Material!F$5:U$90000,16,0)&gt;=100,VLOOKUP(B360,[1]Material!F$5:U$90000,16,0)&lt;=999,VLOOKUP(B360,[1]Material!F$5:U$90000,16,0)=INT(VLOOKUP(B360,[1]Material!F$5:U$90000,16,0))),"OEM",
      TRUE,""
    ),
    "không tìm thấy trong file Import"
  ),
  VLOOKUP(F360,'[2]Export shipment'!B:Y,24,0)
)</f>
        <v>PURE</v>
      </c>
      <c r="H360" s="184" t="e">
        <f>VLOOKUP(B360,[4]Export!I$3627:J$3898,2,0)</f>
        <v>#N/A</v>
      </c>
      <c r="I360" s="184" t="s">
        <v>2089</v>
      </c>
      <c r="J360" s="260">
        <f>(V360+X360+AA360)/'Logistics record '!$AD$1</f>
        <v>15.116015418335726</v>
      </c>
      <c r="K360" s="260">
        <f>W360/'Logistics record '!$AD$1</f>
        <v>0</v>
      </c>
      <c r="L360" s="260">
        <f>Y360/'Logistics record '!$AD$1</f>
        <v>0</v>
      </c>
      <c r="M360" s="260">
        <f>AF360/'Logistics record '!$AD$1</f>
        <v>60.750510165520367</v>
      </c>
      <c r="N360" s="260" t="str" cm="1">
        <f t="array" ref="N360">_xlfn.IFS(
    OR(UPPER(S360)="AIR", UPPER(S360)="CPN"), "AIR",
    UPPER(S360)="TC", "LOCAL",
    TRUE, "SEA"
)</f>
        <v>AIR</v>
      </c>
      <c r="O360" s="260">
        <f t="shared" si="34"/>
        <v>75.866525583856088</v>
      </c>
      <c r="P360" s="184" t="s">
        <v>949</v>
      </c>
      <c r="Q360" s="185">
        <v>108341409520</v>
      </c>
      <c r="R360" s="186">
        <v>46188</v>
      </c>
      <c r="S360" s="187" t="s">
        <v>65</v>
      </c>
      <c r="T360" s="188">
        <v>6.7</v>
      </c>
      <c r="U360" s="188"/>
      <c r="V360" s="189">
        <v>400000</v>
      </c>
      <c r="W360" s="190"/>
      <c r="X360" s="190"/>
      <c r="Y360" s="190"/>
      <c r="Z360" s="189">
        <f t="shared" si="30"/>
        <v>400000</v>
      </c>
      <c r="AA360" s="189">
        <v>0</v>
      </c>
      <c r="AB360" s="189">
        <f t="shared" si="35"/>
        <v>400000</v>
      </c>
      <c r="AC360" s="189"/>
      <c r="AD360" s="190">
        <v>1220400</v>
      </c>
      <c r="AE360" s="190">
        <v>387180</v>
      </c>
      <c r="AF360" s="191">
        <f t="shared" si="31"/>
        <v>1607580</v>
      </c>
      <c r="AG360" s="190">
        <f t="shared" si="32"/>
        <v>2007580</v>
      </c>
      <c r="AH360" s="190"/>
      <c r="AI360" s="192" t="str">
        <f>VLOOKUP(Q360,[3]Sheet1!B$11:G$1489,6,0)</f>
        <v>E11</v>
      </c>
      <c r="GK360" s="194"/>
      <c r="GL360" s="195"/>
      <c r="GM360" s="196"/>
      <c r="GN360" s="197"/>
      <c r="GO360" s="198"/>
      <c r="GP360" s="199"/>
      <c r="GQ360" s="200"/>
      <c r="GR360" s="201"/>
      <c r="GS360" s="60"/>
      <c r="GT360" s="202"/>
      <c r="GU360" s="202"/>
      <c r="GV360" s="202"/>
      <c r="GW360" s="202"/>
      <c r="GX360" s="203"/>
      <c r="HA360" s="194"/>
      <c r="HB360" s="195"/>
      <c r="HC360" s="196"/>
      <c r="HD360" s="197"/>
      <c r="HE360" s="198"/>
      <c r="HF360" s="199"/>
      <c r="HG360" s="200"/>
      <c r="HH360" s="201"/>
      <c r="HI360" s="60"/>
      <c r="HJ360" s="202"/>
      <c r="HK360" s="202"/>
      <c r="HL360" s="202"/>
      <c r="HM360" s="202"/>
      <c r="HN360" s="203"/>
    </row>
    <row r="361" spans="1:222" ht="16.5" customHeight="1">
      <c r="A361" s="181">
        <v>358</v>
      </c>
      <c r="B361" s="182" t="s">
        <v>2674</v>
      </c>
      <c r="C361" s="183" t="s">
        <v>2675</v>
      </c>
      <c r="D361" s="184" t="s">
        <v>940</v>
      </c>
      <c r="E361" s="184" t="str">
        <f t="shared" si="33"/>
        <v>Import</v>
      </c>
      <c r="F361" s="720" t="str" cm="1">
        <f t="array" ref="F361">_xlfn.IFS(
  OR(AI361="E11", AI361="E15"), "Raw materials",
  OR(AI361="E13", AI361="G13"), "Equipments + Toolings",
  TRUE, RIGHT(C361, 8)
)</f>
        <v>Raw materials</v>
      </c>
      <c r="G361" s="541" t="str" cm="1">
        <f t="array" ref="G361">IF(E361="Import",
  IFERROR(
    _xlfn.IFS(
      VLOOKUP(B361,[1]Material!F$5:U$90000,16,0)="LUC","Lucid",
      VLOOKUP(B361,[1]Material!F$5:U$90000,16,0)="FMC","FORD",
      OR(VLOOKUP(B361,[1]Material!F$5:U$90000,16,0)="PUR",VLOOKUP(B361,[1]Material!F$5:U$90000,16,0)="HLO"),"PURE",
      VLOOKUP(B361,[1]Material!F$5:U$90000,16,0)="AIC","AIC",
      OR(VLOOKUP(B361,[1]Material!F$5:U$90000,16,0)="AGI",VLOOKUP(B361,[1]Material!F$5:U$90000,16,0)="AGIGA"),"AGIGA",
      OR(LEFT(VLOOKUP(B361,[1]Material!F$5:U$90000,16,0),3)="EF-",VLOOKUP(B361,[1]Material!F$5:U$90000,16,0)="EFI"),"EFI",
      AND(ISNUMBER(VLOOKUP(B361,[1]Material!F$5:U$90000,16,0)),VLOOKUP(B361,[1]Material!F$5:U$90000,16,0)&gt;=100,VLOOKUP(B361,[1]Material!F$5:U$90000,16,0)&lt;=999,VLOOKUP(B361,[1]Material!F$5:U$90000,16,0)=INT(VLOOKUP(B361,[1]Material!F$5:U$90000,16,0))),"OEM",
      TRUE,""
    ),
    "không tìm thấy trong file Import"
  ),
  VLOOKUP(F361,'[2]Export shipment'!B:Y,24,0)
)</f>
        <v>PURE</v>
      </c>
      <c r="H361" s="184" t="e">
        <f>VLOOKUP(B361,[4]Export!I$3627:J$3898,2,0)</f>
        <v>#N/A</v>
      </c>
      <c r="I361" s="184" t="s">
        <v>2089</v>
      </c>
      <c r="J361" s="260">
        <f>(V361+X361+AA361)/'Logistics record '!$AD$1</f>
        <v>15.116015418335726</v>
      </c>
      <c r="K361" s="260">
        <f>W361/'Logistics record '!$AD$1</f>
        <v>0</v>
      </c>
      <c r="L361" s="260">
        <f>Y361/'Logistics record '!$AD$1</f>
        <v>0</v>
      </c>
      <c r="M361" s="260">
        <f>AF361/'Logistics record '!$AD$1</f>
        <v>60.750510165520367</v>
      </c>
      <c r="N361" s="260" t="str" cm="1">
        <f t="array" ref="N361">_xlfn.IFS(
    OR(UPPER(S361)="AIR", UPPER(S361)="CPN"), "AIR",
    UPPER(S361)="TC", "LOCAL",
    TRUE, "SEA"
)</f>
        <v>AIR</v>
      </c>
      <c r="O361" s="260">
        <f t="shared" si="34"/>
        <v>75.866525583856088</v>
      </c>
      <c r="P361" s="184" t="s">
        <v>949</v>
      </c>
      <c r="Q361" s="185">
        <v>108341436120</v>
      </c>
      <c r="R361" s="186">
        <v>46188</v>
      </c>
      <c r="S361" s="187" t="s">
        <v>65</v>
      </c>
      <c r="T361" s="188">
        <v>6.6</v>
      </c>
      <c r="U361" s="188"/>
      <c r="V361" s="189">
        <v>400000</v>
      </c>
      <c r="W361" s="190"/>
      <c r="X361" s="190"/>
      <c r="Y361" s="190"/>
      <c r="Z361" s="189">
        <f t="shared" si="30"/>
        <v>400000</v>
      </c>
      <c r="AA361" s="189">
        <v>0</v>
      </c>
      <c r="AB361" s="189">
        <f t="shared" si="35"/>
        <v>400000</v>
      </c>
      <c r="AC361" s="189"/>
      <c r="AD361" s="190">
        <v>1220400</v>
      </c>
      <c r="AE361" s="190">
        <v>387180</v>
      </c>
      <c r="AF361" s="191">
        <f t="shared" si="31"/>
        <v>1607580</v>
      </c>
      <c r="AG361" s="190">
        <f t="shared" si="32"/>
        <v>2007580</v>
      </c>
      <c r="AH361" s="190"/>
      <c r="AI361" s="192" t="str">
        <f>VLOOKUP(Q361,[3]Sheet1!B$11:G$1489,6,0)</f>
        <v>E11</v>
      </c>
      <c r="GK361" s="194"/>
      <c r="GL361" s="195"/>
      <c r="GM361" s="196"/>
      <c r="GN361" s="197"/>
      <c r="GO361" s="198"/>
      <c r="GP361" s="199"/>
      <c r="GQ361" s="200"/>
      <c r="GR361" s="201"/>
      <c r="GS361" s="60"/>
      <c r="GT361" s="202"/>
      <c r="GU361" s="202"/>
      <c r="GV361" s="202"/>
      <c r="GW361" s="202"/>
      <c r="GX361" s="203"/>
      <c r="HA361" s="194"/>
      <c r="HB361" s="195"/>
      <c r="HC361" s="196"/>
      <c r="HD361" s="197"/>
      <c r="HE361" s="198"/>
      <c r="HF361" s="199"/>
      <c r="HG361" s="200"/>
      <c r="HH361" s="201"/>
      <c r="HI361" s="60"/>
      <c r="HJ361" s="202"/>
      <c r="HK361" s="202"/>
      <c r="HL361" s="202"/>
      <c r="HM361" s="202"/>
      <c r="HN361" s="203"/>
    </row>
    <row r="362" spans="1:222" ht="16.5" customHeight="1">
      <c r="A362" s="181">
        <v>359</v>
      </c>
      <c r="B362" s="182" t="s">
        <v>2676</v>
      </c>
      <c r="C362" s="183" t="s">
        <v>2677</v>
      </c>
      <c r="D362" s="184" t="s">
        <v>940</v>
      </c>
      <c r="E362" s="184" t="str">
        <f t="shared" si="33"/>
        <v>Import</v>
      </c>
      <c r="F362" s="720" t="str" cm="1">
        <f t="array" ref="F362">_xlfn.IFS(
  OR(AI362="E11", AI362="E15"), "Raw materials",
  OR(AI362="E13", AI362="G13"), "Equipments + Toolings",
  TRUE, RIGHT(C362, 8)
)</f>
        <v>Raw materials</v>
      </c>
      <c r="G362" s="541" t="str" cm="1">
        <f t="array" ref="G362">IF(E362="Import",
  IFERROR(
    _xlfn.IFS(
      VLOOKUP(B362,[1]Material!F$5:U$90000,16,0)="LUC","Lucid",
      VLOOKUP(B362,[1]Material!F$5:U$90000,16,0)="FMC","FORD",
      OR(VLOOKUP(B362,[1]Material!F$5:U$90000,16,0)="PUR",VLOOKUP(B362,[1]Material!F$5:U$90000,16,0)="HLO"),"PURE",
      VLOOKUP(B362,[1]Material!F$5:U$90000,16,0)="AIC","AIC",
      OR(VLOOKUP(B362,[1]Material!F$5:U$90000,16,0)="AGI",VLOOKUP(B362,[1]Material!F$5:U$90000,16,0)="AGIGA"),"AGIGA",
      OR(LEFT(VLOOKUP(B362,[1]Material!F$5:U$90000,16,0),3)="EF-",VLOOKUP(B362,[1]Material!F$5:U$90000,16,0)="EFI"),"EFI",
      AND(ISNUMBER(VLOOKUP(B362,[1]Material!F$5:U$90000,16,0)),VLOOKUP(B362,[1]Material!F$5:U$90000,16,0)&gt;=100,VLOOKUP(B362,[1]Material!F$5:U$90000,16,0)&lt;=999,VLOOKUP(B362,[1]Material!F$5:U$90000,16,0)=INT(VLOOKUP(B362,[1]Material!F$5:U$90000,16,0))),"OEM",
      TRUE,""
    ),
    "không tìm thấy trong file Import"
  ),
  VLOOKUP(F362,'[2]Export shipment'!B:Y,24,0)
)</f>
        <v>PURE</v>
      </c>
      <c r="H362" s="184" t="e">
        <f>VLOOKUP(B362,[4]Export!I$3627:J$3898,2,0)</f>
        <v>#N/A</v>
      </c>
      <c r="I362" s="184" t="s">
        <v>2089</v>
      </c>
      <c r="J362" s="260">
        <f>(V362+X362+AA362)/'Logistics record '!$AD$1</f>
        <v>15.116015418335726</v>
      </c>
      <c r="K362" s="260">
        <f>W362/'Logistics record '!$AD$1</f>
        <v>0</v>
      </c>
      <c r="L362" s="260">
        <f>Y362/'Logistics record '!$AD$1</f>
        <v>0</v>
      </c>
      <c r="M362" s="260">
        <f>AF362/'Logistics record '!$AD$1</f>
        <v>60.750510165520367</v>
      </c>
      <c r="N362" s="260" t="str" cm="1">
        <f t="array" ref="N362">_xlfn.IFS(
    OR(UPPER(S362)="AIR", UPPER(S362)="CPN"), "AIR",
    UPPER(S362)="TC", "LOCAL",
    TRUE, "SEA"
)</f>
        <v>AIR</v>
      </c>
      <c r="O362" s="260">
        <f t="shared" si="34"/>
        <v>75.866525583856088</v>
      </c>
      <c r="P362" s="184" t="s">
        <v>949</v>
      </c>
      <c r="Q362" s="185">
        <v>108341440430</v>
      </c>
      <c r="R362" s="186">
        <v>46188</v>
      </c>
      <c r="S362" s="187" t="s">
        <v>65</v>
      </c>
      <c r="T362" s="188">
        <v>3.4</v>
      </c>
      <c r="U362" s="188"/>
      <c r="V362" s="189">
        <v>400000</v>
      </c>
      <c r="W362" s="190"/>
      <c r="X362" s="190"/>
      <c r="Y362" s="190"/>
      <c r="Z362" s="189">
        <f t="shared" si="30"/>
        <v>400000</v>
      </c>
      <c r="AA362" s="189">
        <v>0</v>
      </c>
      <c r="AB362" s="189">
        <f t="shared" si="35"/>
        <v>400000</v>
      </c>
      <c r="AC362" s="189"/>
      <c r="AD362" s="190">
        <v>1220400</v>
      </c>
      <c r="AE362" s="190">
        <v>387180</v>
      </c>
      <c r="AF362" s="191">
        <f t="shared" si="31"/>
        <v>1607580</v>
      </c>
      <c r="AG362" s="190">
        <f t="shared" si="32"/>
        <v>2007580</v>
      </c>
      <c r="AH362" s="190"/>
      <c r="AI362" s="192" t="str">
        <f>VLOOKUP(Q362,[3]Sheet1!B$11:G$1489,6,0)</f>
        <v>E11</v>
      </c>
      <c r="GK362" s="194"/>
      <c r="GL362" s="195"/>
      <c r="GM362" s="196"/>
      <c r="GN362" s="197"/>
      <c r="GO362" s="198"/>
      <c r="GP362" s="199"/>
      <c r="GQ362" s="200"/>
      <c r="GR362" s="201"/>
      <c r="GS362" s="60"/>
      <c r="GT362" s="202"/>
      <c r="GU362" s="202"/>
      <c r="GV362" s="202"/>
      <c r="GW362" s="202"/>
      <c r="GX362" s="203"/>
      <c r="HA362" s="194"/>
      <c r="HB362" s="195"/>
      <c r="HC362" s="196"/>
      <c r="HD362" s="197"/>
      <c r="HE362" s="198"/>
      <c r="HF362" s="199"/>
      <c r="HG362" s="200"/>
      <c r="HH362" s="201"/>
      <c r="HI362" s="60"/>
      <c r="HJ362" s="202"/>
      <c r="HK362" s="202"/>
      <c r="HL362" s="202"/>
      <c r="HM362" s="202"/>
      <c r="HN362" s="203"/>
    </row>
    <row r="363" spans="1:222" ht="16.5" customHeight="1">
      <c r="A363" s="181">
        <v>360</v>
      </c>
      <c r="B363" s="182" t="s">
        <v>2678</v>
      </c>
      <c r="C363" s="183" t="s">
        <v>2679</v>
      </c>
      <c r="D363" s="184" t="s">
        <v>940</v>
      </c>
      <c r="E363" s="184" t="str">
        <f t="shared" si="33"/>
        <v>Import</v>
      </c>
      <c r="F363" s="720" t="str" cm="1">
        <f t="array" ref="F363">_xlfn.IFS(
  OR(AI363="E11", AI363="E15"), "Raw materials",
  OR(AI363="E13", AI363="G13"), "Equipments + Toolings",
  TRUE, RIGHT(C363, 8)
)</f>
        <v>Raw materials</v>
      </c>
      <c r="G363" s="541" t="str" cm="1">
        <f t="array" ref="G363">IF(E363="Import",
  IFERROR(
    _xlfn.IFS(
      VLOOKUP(B363,[1]Material!F$5:U$90000,16,0)="LUC","Lucid",
      VLOOKUP(B363,[1]Material!F$5:U$90000,16,0)="FMC","FORD",
      OR(VLOOKUP(B363,[1]Material!F$5:U$90000,16,0)="PUR",VLOOKUP(B363,[1]Material!F$5:U$90000,16,0)="HLO"),"PURE",
      VLOOKUP(B363,[1]Material!F$5:U$90000,16,0)="AIC","AIC",
      OR(VLOOKUP(B363,[1]Material!F$5:U$90000,16,0)="AGI",VLOOKUP(B363,[1]Material!F$5:U$90000,16,0)="AGIGA"),"AGIGA",
      OR(LEFT(VLOOKUP(B363,[1]Material!F$5:U$90000,16,0),3)="EF-",VLOOKUP(B363,[1]Material!F$5:U$90000,16,0)="EFI"),"EFI",
      AND(ISNUMBER(VLOOKUP(B363,[1]Material!F$5:U$90000,16,0)),VLOOKUP(B363,[1]Material!F$5:U$90000,16,0)&gt;=100,VLOOKUP(B363,[1]Material!F$5:U$90000,16,0)&lt;=999,VLOOKUP(B363,[1]Material!F$5:U$90000,16,0)=INT(VLOOKUP(B363,[1]Material!F$5:U$90000,16,0))),"OEM",
      TRUE,""
    ),
    "không tìm thấy trong file Import"
  ),
  VLOOKUP(F363,'[2]Export shipment'!B:Y,24,0)
)</f>
        <v>PURE</v>
      </c>
      <c r="H363" s="184" t="e">
        <f>VLOOKUP(B363,[4]Export!I$3627:J$3898,2,0)</f>
        <v>#N/A</v>
      </c>
      <c r="I363" s="184" t="s">
        <v>2089</v>
      </c>
      <c r="J363" s="260">
        <f>(V363+X363+AA363)/'Logistics record '!$AD$1</f>
        <v>15.116015418335726</v>
      </c>
      <c r="K363" s="260">
        <f>W363/'Logistics record '!$AD$1</f>
        <v>0</v>
      </c>
      <c r="L363" s="260">
        <f>Y363/'Logistics record '!$AD$1</f>
        <v>0</v>
      </c>
      <c r="M363" s="260">
        <f>AF363/'Logistics record '!$AD$1</f>
        <v>60.750510165520367</v>
      </c>
      <c r="N363" s="260" t="str" cm="1">
        <f t="array" ref="N363">_xlfn.IFS(
    OR(UPPER(S363)="AIR", UPPER(S363)="CPN"), "AIR",
    UPPER(S363)="TC", "LOCAL",
    TRUE, "SEA"
)</f>
        <v>AIR</v>
      </c>
      <c r="O363" s="260">
        <f t="shared" si="34"/>
        <v>75.866525583856088</v>
      </c>
      <c r="P363" s="184" t="s">
        <v>949</v>
      </c>
      <c r="Q363" s="185">
        <v>108341460950</v>
      </c>
      <c r="R363" s="186">
        <v>46188</v>
      </c>
      <c r="S363" s="187" t="s">
        <v>65</v>
      </c>
      <c r="T363" s="188">
        <v>6.6</v>
      </c>
      <c r="U363" s="188"/>
      <c r="V363" s="189">
        <v>400000</v>
      </c>
      <c r="W363" s="190"/>
      <c r="X363" s="190"/>
      <c r="Y363" s="190"/>
      <c r="Z363" s="189">
        <f t="shared" si="30"/>
        <v>400000</v>
      </c>
      <c r="AA363" s="189">
        <v>0</v>
      </c>
      <c r="AB363" s="189">
        <f t="shared" si="35"/>
        <v>400000</v>
      </c>
      <c r="AC363" s="189"/>
      <c r="AD363" s="190">
        <v>1220400</v>
      </c>
      <c r="AE363" s="190">
        <v>387180</v>
      </c>
      <c r="AF363" s="191">
        <f t="shared" si="31"/>
        <v>1607580</v>
      </c>
      <c r="AG363" s="190">
        <f t="shared" si="32"/>
        <v>2007580</v>
      </c>
      <c r="AH363" s="190"/>
      <c r="AI363" s="192" t="str">
        <f>VLOOKUP(Q363,[3]Sheet1!B$11:G$1489,6,0)</f>
        <v>E11</v>
      </c>
      <c r="GK363" s="194"/>
      <c r="GL363" s="195"/>
      <c r="GM363" s="196"/>
      <c r="GN363" s="197"/>
      <c r="GO363" s="198"/>
      <c r="GP363" s="199"/>
      <c r="GQ363" s="200"/>
      <c r="GR363" s="201"/>
      <c r="GS363" s="60"/>
      <c r="GT363" s="202"/>
      <c r="GU363" s="202"/>
      <c r="GV363" s="202"/>
      <c r="GW363" s="202"/>
      <c r="GX363" s="203"/>
      <c r="HA363" s="194"/>
      <c r="HB363" s="195"/>
      <c r="HC363" s="196"/>
      <c r="HD363" s="197"/>
      <c r="HE363" s="198"/>
      <c r="HF363" s="199"/>
      <c r="HG363" s="200"/>
      <c r="HH363" s="201"/>
      <c r="HI363" s="60"/>
      <c r="HJ363" s="202"/>
      <c r="HK363" s="202"/>
      <c r="HL363" s="202"/>
      <c r="HM363" s="202"/>
      <c r="HN363" s="203"/>
    </row>
    <row r="364" spans="1:222" ht="16.5" customHeight="1">
      <c r="A364" s="181">
        <v>361</v>
      </c>
      <c r="B364" s="182" t="s">
        <v>2680</v>
      </c>
      <c r="C364" s="183" t="s">
        <v>2681</v>
      </c>
      <c r="D364" s="184" t="s">
        <v>940</v>
      </c>
      <c r="E364" s="184" t="str">
        <f t="shared" si="33"/>
        <v>Import</v>
      </c>
      <c r="F364" s="720" t="str" cm="1">
        <f t="array" ref="F364">_xlfn.IFS(
  OR(AI364="E11", AI364="E15"), "Raw materials",
  OR(AI364="E13", AI364="G13"), "Equipments + Toolings",
  TRUE, RIGHT(C364, 8)
)</f>
        <v>Raw materials</v>
      </c>
      <c r="G364" s="541" t="str" cm="1">
        <f t="array" ref="G364">IF(E364="Import",
  IFERROR(
    _xlfn.IFS(
      VLOOKUP(B364,[1]Material!F$5:U$90000,16,0)="LUC","Lucid",
      VLOOKUP(B364,[1]Material!F$5:U$90000,16,0)="FMC","FORD",
      OR(VLOOKUP(B364,[1]Material!F$5:U$90000,16,0)="PUR",VLOOKUP(B364,[1]Material!F$5:U$90000,16,0)="HLO"),"PURE",
      VLOOKUP(B364,[1]Material!F$5:U$90000,16,0)="AIC","AIC",
      OR(VLOOKUP(B364,[1]Material!F$5:U$90000,16,0)="AGI",VLOOKUP(B364,[1]Material!F$5:U$90000,16,0)="AGIGA"),"AGIGA",
      OR(LEFT(VLOOKUP(B364,[1]Material!F$5:U$90000,16,0),3)="EF-",VLOOKUP(B364,[1]Material!F$5:U$90000,16,0)="EFI"),"EFI",
      AND(ISNUMBER(VLOOKUP(B364,[1]Material!F$5:U$90000,16,0)),VLOOKUP(B364,[1]Material!F$5:U$90000,16,0)&gt;=100,VLOOKUP(B364,[1]Material!F$5:U$90000,16,0)&lt;=999,VLOOKUP(B364,[1]Material!F$5:U$90000,16,0)=INT(VLOOKUP(B364,[1]Material!F$5:U$90000,16,0))),"OEM",
      TRUE,""
    ),
    "không tìm thấy trong file Import"
  ),
  VLOOKUP(F364,'[2]Export shipment'!B:Y,24,0)
)</f>
        <v>PURE</v>
      </c>
      <c r="H364" s="184" t="e">
        <f>VLOOKUP(B364,[4]Export!I$3627:J$3898,2,0)</f>
        <v>#N/A</v>
      </c>
      <c r="I364" s="184" t="s">
        <v>2089</v>
      </c>
      <c r="J364" s="260">
        <f>(V364+X364+AA364)/'Logistics record '!$AD$1</f>
        <v>15.116015418335726</v>
      </c>
      <c r="K364" s="260">
        <f>W364/'Logistics record '!$AD$1</f>
        <v>0</v>
      </c>
      <c r="L364" s="260">
        <f>Y364/'Logistics record '!$AD$1</f>
        <v>0</v>
      </c>
      <c r="M364" s="260">
        <f>AF364/'Logistics record '!$AD$1</f>
        <v>60.750510165520367</v>
      </c>
      <c r="N364" s="260" t="str" cm="1">
        <f t="array" ref="N364">_xlfn.IFS(
    OR(UPPER(S364)="AIR", UPPER(S364)="CPN"), "AIR",
    UPPER(S364)="TC", "LOCAL",
    TRUE, "SEA"
)</f>
        <v>AIR</v>
      </c>
      <c r="O364" s="260">
        <f t="shared" si="34"/>
        <v>75.866525583856088</v>
      </c>
      <c r="P364" s="184" t="s">
        <v>949</v>
      </c>
      <c r="Q364" s="185">
        <v>108341483350</v>
      </c>
      <c r="R364" s="186">
        <v>46188</v>
      </c>
      <c r="S364" s="187" t="s">
        <v>65</v>
      </c>
      <c r="T364" s="188">
        <v>6.6</v>
      </c>
      <c r="U364" s="188"/>
      <c r="V364" s="189">
        <v>400000</v>
      </c>
      <c r="W364" s="190"/>
      <c r="X364" s="190"/>
      <c r="Y364" s="190"/>
      <c r="Z364" s="189">
        <f t="shared" si="30"/>
        <v>400000</v>
      </c>
      <c r="AA364" s="189">
        <v>0</v>
      </c>
      <c r="AB364" s="189">
        <f t="shared" si="35"/>
        <v>400000</v>
      </c>
      <c r="AC364" s="189"/>
      <c r="AD364" s="190">
        <v>1220400</v>
      </c>
      <c r="AE364" s="190">
        <v>387180</v>
      </c>
      <c r="AF364" s="191">
        <f t="shared" si="31"/>
        <v>1607580</v>
      </c>
      <c r="AG364" s="190">
        <f t="shared" si="32"/>
        <v>2007580</v>
      </c>
      <c r="AH364" s="190"/>
      <c r="AI364" s="192" t="str">
        <f>VLOOKUP(Q364,[3]Sheet1!B$11:G$1489,6,0)</f>
        <v>E11</v>
      </c>
      <c r="GK364" s="194"/>
      <c r="GL364" s="195"/>
      <c r="GM364" s="196"/>
      <c r="GN364" s="197"/>
      <c r="GO364" s="198"/>
      <c r="GP364" s="199"/>
      <c r="GQ364" s="200"/>
      <c r="GR364" s="201"/>
      <c r="GS364" s="60"/>
      <c r="GT364" s="202"/>
      <c r="GU364" s="202"/>
      <c r="GV364" s="202"/>
      <c r="GW364" s="202"/>
      <c r="GX364" s="203"/>
      <c r="HA364" s="194"/>
      <c r="HB364" s="195"/>
      <c r="HC364" s="196"/>
      <c r="HD364" s="197"/>
      <c r="HE364" s="198"/>
      <c r="HF364" s="199"/>
      <c r="HG364" s="200"/>
      <c r="HH364" s="201"/>
      <c r="HI364" s="60"/>
      <c r="HJ364" s="202"/>
      <c r="HK364" s="202"/>
      <c r="HL364" s="202"/>
      <c r="HM364" s="202"/>
      <c r="HN364" s="203"/>
    </row>
    <row r="365" spans="1:222" ht="16.5" customHeight="1">
      <c r="A365" s="181">
        <v>362</v>
      </c>
      <c r="B365" s="182" t="s">
        <v>2682</v>
      </c>
      <c r="C365" s="183" t="s">
        <v>2683</v>
      </c>
      <c r="D365" s="184" t="s">
        <v>940</v>
      </c>
      <c r="E365" s="184" t="str">
        <f t="shared" si="33"/>
        <v>Import</v>
      </c>
      <c r="F365" s="720" t="str" cm="1">
        <f t="array" ref="F365">_xlfn.IFS(
  OR(AI365="E11", AI365="E15"), "Raw materials",
  OR(AI365="E13", AI365="G13"), "Equipments + Toolings",
  TRUE, RIGHT(C365, 8)
)</f>
        <v>Raw materials</v>
      </c>
      <c r="G365" s="541" t="str" cm="1">
        <f t="array" ref="G365">IF(E365="Import",
  IFERROR(
    _xlfn.IFS(
      VLOOKUP(B365,[1]Material!F$5:U$90000,16,0)="LUC","Lucid",
      VLOOKUP(B365,[1]Material!F$5:U$90000,16,0)="FMC","FORD",
      OR(VLOOKUP(B365,[1]Material!F$5:U$90000,16,0)="PUR",VLOOKUP(B365,[1]Material!F$5:U$90000,16,0)="HLO"),"PURE",
      VLOOKUP(B365,[1]Material!F$5:U$90000,16,0)="AIC","AIC",
      OR(VLOOKUP(B365,[1]Material!F$5:U$90000,16,0)="AGI",VLOOKUP(B365,[1]Material!F$5:U$90000,16,0)="AGIGA"),"AGIGA",
      OR(LEFT(VLOOKUP(B365,[1]Material!F$5:U$90000,16,0),3)="EF-",VLOOKUP(B365,[1]Material!F$5:U$90000,16,0)="EFI"),"EFI",
      AND(ISNUMBER(VLOOKUP(B365,[1]Material!F$5:U$90000,16,0)),VLOOKUP(B365,[1]Material!F$5:U$90000,16,0)&gt;=100,VLOOKUP(B365,[1]Material!F$5:U$90000,16,0)&lt;=999,VLOOKUP(B365,[1]Material!F$5:U$90000,16,0)=INT(VLOOKUP(B365,[1]Material!F$5:U$90000,16,0))),"OEM",
      TRUE,""
    ),
    "không tìm thấy trong file Import"
  ),
  VLOOKUP(F365,'[2]Export shipment'!B:Y,24,0)
)</f>
        <v>PURE</v>
      </c>
      <c r="H365" s="184" t="e">
        <f>VLOOKUP(B365,[4]Export!I$3627:J$3898,2,0)</f>
        <v>#N/A</v>
      </c>
      <c r="I365" s="184" t="s">
        <v>2089</v>
      </c>
      <c r="J365" s="260">
        <f>(V365+X365+AA365)/'Logistics record '!$AD$1</f>
        <v>15.116015418335726</v>
      </c>
      <c r="K365" s="260">
        <f>W365/'Logistics record '!$AD$1</f>
        <v>0</v>
      </c>
      <c r="L365" s="260">
        <f>Y365/'Logistics record '!$AD$1</f>
        <v>0</v>
      </c>
      <c r="M365" s="260">
        <f>AF365/'Logistics record '!$AD$1</f>
        <v>60.750510165520367</v>
      </c>
      <c r="N365" s="260" t="str" cm="1">
        <f t="array" ref="N365">_xlfn.IFS(
    OR(UPPER(S365)="AIR", UPPER(S365)="CPN"), "AIR",
    UPPER(S365)="TC", "LOCAL",
    TRUE, "SEA"
)</f>
        <v>AIR</v>
      </c>
      <c r="O365" s="260">
        <f t="shared" si="34"/>
        <v>75.866525583856088</v>
      </c>
      <c r="P365" s="184" t="s">
        <v>949</v>
      </c>
      <c r="Q365" s="185">
        <v>108341501920</v>
      </c>
      <c r="R365" s="186">
        <v>46188</v>
      </c>
      <c r="S365" s="187" t="s">
        <v>65</v>
      </c>
      <c r="T365" s="188">
        <v>6.6</v>
      </c>
      <c r="U365" s="188"/>
      <c r="V365" s="189">
        <v>400000</v>
      </c>
      <c r="W365" s="190"/>
      <c r="X365" s="190"/>
      <c r="Y365" s="190"/>
      <c r="Z365" s="189">
        <f t="shared" si="30"/>
        <v>400000</v>
      </c>
      <c r="AA365" s="189">
        <v>0</v>
      </c>
      <c r="AB365" s="189">
        <f t="shared" si="35"/>
        <v>400000</v>
      </c>
      <c r="AC365" s="189"/>
      <c r="AD365" s="190">
        <v>1220400</v>
      </c>
      <c r="AE365" s="190">
        <v>387180</v>
      </c>
      <c r="AF365" s="191">
        <f t="shared" si="31"/>
        <v>1607580</v>
      </c>
      <c r="AG365" s="190">
        <f t="shared" si="32"/>
        <v>2007580</v>
      </c>
      <c r="AH365" s="190"/>
      <c r="AI365" s="192" t="str">
        <f>VLOOKUP(Q365,[3]Sheet1!B$11:G$1489,6,0)</f>
        <v>E11</v>
      </c>
      <c r="GK365" s="194"/>
      <c r="GL365" s="195"/>
      <c r="GM365" s="196"/>
      <c r="GN365" s="197"/>
      <c r="GO365" s="198"/>
      <c r="GP365" s="199"/>
      <c r="GQ365" s="200"/>
      <c r="GR365" s="201"/>
      <c r="GS365" s="60"/>
      <c r="GT365" s="202"/>
      <c r="GU365" s="202"/>
      <c r="GV365" s="202"/>
      <c r="GW365" s="202"/>
      <c r="GX365" s="203"/>
      <c r="HA365" s="194"/>
      <c r="HB365" s="195"/>
      <c r="HC365" s="196"/>
      <c r="HD365" s="197"/>
      <c r="HE365" s="198"/>
      <c r="HF365" s="199"/>
      <c r="HG365" s="200"/>
      <c r="HH365" s="201"/>
      <c r="HI365" s="60"/>
      <c r="HJ365" s="202"/>
      <c r="HK365" s="202"/>
      <c r="HL365" s="202"/>
      <c r="HM365" s="202"/>
      <c r="HN365" s="203"/>
    </row>
    <row r="366" spans="1:222" ht="16.5" customHeight="1">
      <c r="A366" s="181">
        <v>363</v>
      </c>
      <c r="B366" s="182" t="s">
        <v>2684</v>
      </c>
      <c r="C366" s="183" t="s">
        <v>2685</v>
      </c>
      <c r="D366" s="184" t="s">
        <v>940</v>
      </c>
      <c r="E366" s="184" t="str">
        <f t="shared" si="33"/>
        <v>Import</v>
      </c>
      <c r="F366" s="720" t="str" cm="1">
        <f t="array" ref="F366">_xlfn.IFS(
  OR(AI366="E11", AI366="E15"), "Raw materials",
  OR(AI366="E13", AI366="G13"), "Equipments + Toolings",
  TRUE, RIGHT(C366, 8)
)</f>
        <v>Raw materials</v>
      </c>
      <c r="G366" s="541" t="str" cm="1">
        <f t="array" ref="G366">IF(E366="Import",
  IFERROR(
    _xlfn.IFS(
      VLOOKUP(B366,[1]Material!F$5:U$90000,16,0)="LUC","Lucid",
      VLOOKUP(B366,[1]Material!F$5:U$90000,16,0)="FMC","FORD",
      OR(VLOOKUP(B366,[1]Material!F$5:U$90000,16,0)="PUR",VLOOKUP(B366,[1]Material!F$5:U$90000,16,0)="HLO"),"PURE",
      VLOOKUP(B366,[1]Material!F$5:U$90000,16,0)="AIC","AIC",
      OR(VLOOKUP(B366,[1]Material!F$5:U$90000,16,0)="AGI",VLOOKUP(B366,[1]Material!F$5:U$90000,16,0)="AGIGA"),"AGIGA",
      OR(LEFT(VLOOKUP(B366,[1]Material!F$5:U$90000,16,0),3)="EF-",VLOOKUP(B366,[1]Material!F$5:U$90000,16,0)="EFI"),"EFI",
      AND(ISNUMBER(VLOOKUP(B366,[1]Material!F$5:U$90000,16,0)),VLOOKUP(B366,[1]Material!F$5:U$90000,16,0)&gt;=100,VLOOKUP(B366,[1]Material!F$5:U$90000,16,0)&lt;=999,VLOOKUP(B366,[1]Material!F$5:U$90000,16,0)=INT(VLOOKUP(B366,[1]Material!F$5:U$90000,16,0))),"OEM",
      TRUE,""
    ),
    "không tìm thấy trong file Import"
  ),
  VLOOKUP(F366,'[2]Export shipment'!B:Y,24,0)
)</f>
        <v>PURE</v>
      </c>
      <c r="H366" s="184" t="e">
        <f>VLOOKUP(B366,[4]Export!I$3627:J$3898,2,0)</f>
        <v>#N/A</v>
      </c>
      <c r="I366" s="184" t="s">
        <v>2089</v>
      </c>
      <c r="J366" s="260">
        <f>(V366+X366+AA366)/'Logistics record '!$AD$1</f>
        <v>15.116015418335726</v>
      </c>
      <c r="K366" s="260">
        <f>W366/'Logistics record '!$AD$1</f>
        <v>0</v>
      </c>
      <c r="L366" s="260">
        <f>Y366/'Logistics record '!$AD$1</f>
        <v>0</v>
      </c>
      <c r="M366" s="260">
        <f>AF366/'Logistics record '!$AD$1</f>
        <v>60.750510165520367</v>
      </c>
      <c r="N366" s="260" t="str" cm="1">
        <f t="array" ref="N366">_xlfn.IFS(
    OR(UPPER(S366)="AIR", UPPER(S366)="CPN"), "AIR",
    UPPER(S366)="TC", "LOCAL",
    TRUE, "SEA"
)</f>
        <v>AIR</v>
      </c>
      <c r="O366" s="260">
        <f t="shared" si="34"/>
        <v>75.866525583856088</v>
      </c>
      <c r="P366" s="184" t="s">
        <v>949</v>
      </c>
      <c r="Q366" s="185">
        <v>108341532720</v>
      </c>
      <c r="R366" s="186">
        <v>46188</v>
      </c>
      <c r="S366" s="187" t="s">
        <v>65</v>
      </c>
      <c r="T366" s="188">
        <v>6.6</v>
      </c>
      <c r="U366" s="188"/>
      <c r="V366" s="189">
        <v>400000</v>
      </c>
      <c r="W366" s="190"/>
      <c r="X366" s="190"/>
      <c r="Y366" s="190"/>
      <c r="Z366" s="189">
        <f t="shared" si="30"/>
        <v>400000</v>
      </c>
      <c r="AA366" s="189">
        <v>0</v>
      </c>
      <c r="AB366" s="189">
        <f t="shared" si="35"/>
        <v>400000</v>
      </c>
      <c r="AC366" s="189"/>
      <c r="AD366" s="190">
        <v>1220400</v>
      </c>
      <c r="AE366" s="190">
        <v>387180</v>
      </c>
      <c r="AF366" s="191">
        <f t="shared" si="31"/>
        <v>1607580</v>
      </c>
      <c r="AG366" s="190">
        <f t="shared" si="32"/>
        <v>2007580</v>
      </c>
      <c r="AH366" s="190"/>
      <c r="AI366" s="192" t="str">
        <f>VLOOKUP(Q366,[3]Sheet1!B$11:G$1489,6,0)</f>
        <v>E11</v>
      </c>
      <c r="GK366" s="194"/>
      <c r="GL366" s="195"/>
      <c r="GM366" s="196"/>
      <c r="GN366" s="197"/>
      <c r="GO366" s="198"/>
      <c r="GP366" s="199"/>
      <c r="GQ366" s="200"/>
      <c r="GR366" s="201"/>
      <c r="GS366" s="60"/>
      <c r="GT366" s="202"/>
      <c r="GU366" s="202"/>
      <c r="GV366" s="202"/>
      <c r="GW366" s="202"/>
      <c r="GX366" s="203"/>
      <c r="HA366" s="194"/>
      <c r="HB366" s="195"/>
      <c r="HC366" s="196"/>
      <c r="HD366" s="197"/>
      <c r="HE366" s="198"/>
      <c r="HF366" s="199"/>
      <c r="HG366" s="200"/>
      <c r="HH366" s="201"/>
      <c r="HI366" s="60"/>
      <c r="HJ366" s="202"/>
      <c r="HK366" s="202"/>
      <c r="HL366" s="202"/>
      <c r="HM366" s="202"/>
      <c r="HN366" s="203"/>
    </row>
    <row r="367" spans="1:222" ht="16.5" customHeight="1">
      <c r="A367" s="181">
        <v>364</v>
      </c>
      <c r="B367" s="182" t="s">
        <v>2686</v>
      </c>
      <c r="C367" s="183" t="s">
        <v>2687</v>
      </c>
      <c r="D367" s="184" t="s">
        <v>940</v>
      </c>
      <c r="E367" s="184" t="str">
        <f t="shared" si="33"/>
        <v>Import</v>
      </c>
      <c r="F367" s="720" t="str" cm="1">
        <f t="array" ref="F367">_xlfn.IFS(
  OR(AI367="E11", AI367="E15"), "Raw materials",
  OR(AI367="E13", AI367="G13"), "Equipments + Toolings",
  TRUE, RIGHT(C367, 8)
)</f>
        <v>Raw materials</v>
      </c>
      <c r="G367" s="541" t="str" cm="1">
        <f t="array" ref="G367">IF(E367="Import",
  IFERROR(
    _xlfn.IFS(
      VLOOKUP(B367,[1]Material!F$5:U$90000,16,0)="LUC","Lucid",
      VLOOKUP(B367,[1]Material!F$5:U$90000,16,0)="FMC","FORD",
      OR(VLOOKUP(B367,[1]Material!F$5:U$90000,16,0)="PUR",VLOOKUP(B367,[1]Material!F$5:U$90000,16,0)="HLO"),"PURE",
      VLOOKUP(B367,[1]Material!F$5:U$90000,16,0)="AIC","AIC",
      OR(VLOOKUP(B367,[1]Material!F$5:U$90000,16,0)="AGI",VLOOKUP(B367,[1]Material!F$5:U$90000,16,0)="AGIGA"),"AGIGA",
      OR(LEFT(VLOOKUP(B367,[1]Material!F$5:U$90000,16,0),3)="EF-",VLOOKUP(B367,[1]Material!F$5:U$90000,16,0)="EFI"),"EFI",
      AND(ISNUMBER(VLOOKUP(B367,[1]Material!F$5:U$90000,16,0)),VLOOKUP(B367,[1]Material!F$5:U$90000,16,0)&gt;=100,VLOOKUP(B367,[1]Material!F$5:U$90000,16,0)&lt;=999,VLOOKUP(B367,[1]Material!F$5:U$90000,16,0)=INT(VLOOKUP(B367,[1]Material!F$5:U$90000,16,0))),"OEM",
      TRUE,""
    ),
    "không tìm thấy trong file Import"
  ),
  VLOOKUP(F367,'[2]Export shipment'!B:Y,24,0)
)</f>
        <v>PURE</v>
      </c>
      <c r="H367" s="184" t="e">
        <f>VLOOKUP(B367,[4]Export!I$3627:J$3898,2,0)</f>
        <v>#N/A</v>
      </c>
      <c r="I367" s="184" t="s">
        <v>2089</v>
      </c>
      <c r="J367" s="260">
        <f>(V367+X367+AA367)/'Logistics record '!$AD$1</f>
        <v>15.116015418335726</v>
      </c>
      <c r="K367" s="260">
        <f>W367/'Logistics record '!$AD$1</f>
        <v>0</v>
      </c>
      <c r="L367" s="260">
        <f>Y367/'Logistics record '!$AD$1</f>
        <v>0</v>
      </c>
      <c r="M367" s="260">
        <f>AF367/'Logistics record '!$AD$1</f>
        <v>60.750510165520367</v>
      </c>
      <c r="N367" s="260" t="str" cm="1">
        <f t="array" ref="N367">_xlfn.IFS(
    OR(UPPER(S367)="AIR", UPPER(S367)="CPN"), "AIR",
    UPPER(S367)="TC", "LOCAL",
    TRUE, "SEA"
)</f>
        <v>AIR</v>
      </c>
      <c r="O367" s="260">
        <f t="shared" si="34"/>
        <v>75.866525583856088</v>
      </c>
      <c r="P367" s="184" t="s">
        <v>949</v>
      </c>
      <c r="Q367" s="185">
        <v>108341554200</v>
      </c>
      <c r="R367" s="186">
        <v>46188</v>
      </c>
      <c r="S367" s="187" t="s">
        <v>65</v>
      </c>
      <c r="T367" s="188">
        <v>6.6</v>
      </c>
      <c r="U367" s="188"/>
      <c r="V367" s="189">
        <v>400000</v>
      </c>
      <c r="W367" s="190"/>
      <c r="X367" s="190"/>
      <c r="Y367" s="190"/>
      <c r="Z367" s="189">
        <f t="shared" si="30"/>
        <v>400000</v>
      </c>
      <c r="AA367" s="189">
        <v>0</v>
      </c>
      <c r="AB367" s="189">
        <f t="shared" si="35"/>
        <v>400000</v>
      </c>
      <c r="AC367" s="189"/>
      <c r="AD367" s="190">
        <v>1220400</v>
      </c>
      <c r="AE367" s="190">
        <v>387180</v>
      </c>
      <c r="AF367" s="191">
        <f t="shared" si="31"/>
        <v>1607580</v>
      </c>
      <c r="AG367" s="190">
        <f t="shared" si="32"/>
        <v>2007580</v>
      </c>
      <c r="AH367" s="190"/>
      <c r="AI367" s="192" t="str">
        <f>VLOOKUP(Q367,[3]Sheet1!B$11:G$1489,6,0)</f>
        <v>E11</v>
      </c>
      <c r="GK367" s="194"/>
      <c r="GL367" s="195"/>
      <c r="GM367" s="196"/>
      <c r="GN367" s="197"/>
      <c r="GO367" s="198"/>
      <c r="GP367" s="199"/>
      <c r="GQ367" s="200"/>
      <c r="GR367" s="201"/>
      <c r="GS367" s="60"/>
      <c r="GT367" s="202"/>
      <c r="GU367" s="202"/>
      <c r="GV367" s="202"/>
      <c r="GW367" s="202"/>
      <c r="GX367" s="203"/>
      <c r="HA367" s="194"/>
      <c r="HB367" s="195"/>
      <c r="HC367" s="196"/>
      <c r="HD367" s="197"/>
      <c r="HE367" s="198"/>
      <c r="HF367" s="199"/>
      <c r="HG367" s="200"/>
      <c r="HH367" s="201"/>
      <c r="HI367" s="60"/>
      <c r="HJ367" s="202"/>
      <c r="HK367" s="202"/>
      <c r="HL367" s="202"/>
      <c r="HM367" s="202"/>
      <c r="HN367" s="203"/>
    </row>
    <row r="368" spans="1:222" ht="16.5" customHeight="1">
      <c r="A368" s="181">
        <v>365</v>
      </c>
      <c r="B368" s="182" t="s">
        <v>2688</v>
      </c>
      <c r="C368" s="183" t="s">
        <v>2689</v>
      </c>
      <c r="D368" s="184" t="s">
        <v>940</v>
      </c>
      <c r="E368" s="184" t="str">
        <f t="shared" si="33"/>
        <v>Import</v>
      </c>
      <c r="F368" s="720" t="str" cm="1">
        <f t="array" ref="F368">_xlfn.IFS(
  OR(AI368="E11", AI368="E15"), "Raw materials",
  OR(AI368="E13", AI368="G13"), "Equipments + Toolings",
  TRUE, RIGHT(C368, 8)
)</f>
        <v>Raw materials</v>
      </c>
      <c r="G368" s="541" t="str" cm="1">
        <f t="array" ref="G368">IF(E368="Import",
  IFERROR(
    _xlfn.IFS(
      VLOOKUP(B368,[1]Material!F$5:U$90000,16,0)="LUC","Lucid",
      VLOOKUP(B368,[1]Material!F$5:U$90000,16,0)="FMC","FORD",
      OR(VLOOKUP(B368,[1]Material!F$5:U$90000,16,0)="PUR",VLOOKUP(B368,[1]Material!F$5:U$90000,16,0)="HLO"),"PURE",
      VLOOKUP(B368,[1]Material!F$5:U$90000,16,0)="AIC","AIC",
      OR(VLOOKUP(B368,[1]Material!F$5:U$90000,16,0)="AGI",VLOOKUP(B368,[1]Material!F$5:U$90000,16,0)="AGIGA"),"AGIGA",
      OR(LEFT(VLOOKUP(B368,[1]Material!F$5:U$90000,16,0),3)="EF-",VLOOKUP(B368,[1]Material!F$5:U$90000,16,0)="EFI"),"EFI",
      AND(ISNUMBER(VLOOKUP(B368,[1]Material!F$5:U$90000,16,0)),VLOOKUP(B368,[1]Material!F$5:U$90000,16,0)&gt;=100,VLOOKUP(B368,[1]Material!F$5:U$90000,16,0)&lt;=999,VLOOKUP(B368,[1]Material!F$5:U$90000,16,0)=INT(VLOOKUP(B368,[1]Material!F$5:U$90000,16,0))),"OEM",
      TRUE,""
    ),
    "không tìm thấy trong file Import"
  ),
  VLOOKUP(F368,'[2]Export shipment'!B:Y,24,0)
)</f>
        <v>PURE</v>
      </c>
      <c r="H368" s="184"/>
      <c r="I368" s="184" t="s">
        <v>2090</v>
      </c>
      <c r="J368" s="260">
        <f>(V368+X368+AA368)/'Logistics record '!$AD$1</f>
        <v>15.116015418335726</v>
      </c>
      <c r="K368" s="260">
        <f>W368/'Logistics record '!$AD$1</f>
        <v>0</v>
      </c>
      <c r="L368" s="260">
        <f>Y368/'Logistics record '!$AD$1</f>
        <v>0</v>
      </c>
      <c r="M368" s="260">
        <f>AF368/'Logistics record '!$AD$1</f>
        <v>0</v>
      </c>
      <c r="N368" s="260" t="str" cm="1">
        <f t="array" ref="N368">_xlfn.IFS(
    OR(UPPER(S368)="AIR", UPPER(S368)="CPN"), "AIR",
    UPPER(S368)="TC", "LOCAL",
    TRUE, "SEA"
)</f>
        <v>AIR</v>
      </c>
      <c r="O368" s="260">
        <f t="shared" si="34"/>
        <v>15.116015418335726</v>
      </c>
      <c r="P368" s="184" t="s">
        <v>949</v>
      </c>
      <c r="Q368" s="185">
        <v>108341656030</v>
      </c>
      <c r="R368" s="186">
        <v>46188</v>
      </c>
      <c r="S368" s="187" t="s">
        <v>65</v>
      </c>
      <c r="T368" s="188">
        <v>21.9</v>
      </c>
      <c r="U368" s="188"/>
      <c r="V368" s="189">
        <v>400000</v>
      </c>
      <c r="W368" s="190"/>
      <c r="X368" s="190"/>
      <c r="Y368" s="190"/>
      <c r="Z368" s="189">
        <f t="shared" si="30"/>
        <v>400000</v>
      </c>
      <c r="AA368" s="189">
        <v>0</v>
      </c>
      <c r="AB368" s="189">
        <f t="shared" si="35"/>
        <v>400000</v>
      </c>
      <c r="AC368" s="189"/>
      <c r="AD368" s="190"/>
      <c r="AE368" s="190"/>
      <c r="AF368" s="191">
        <f t="shared" si="31"/>
        <v>0</v>
      </c>
      <c r="AG368" s="190">
        <f t="shared" si="32"/>
        <v>400000</v>
      </c>
      <c r="AH368" s="190"/>
      <c r="AI368" s="192" t="str">
        <f>VLOOKUP(Q368,[3]Sheet1!B$11:G$1489,6,0)</f>
        <v>E11</v>
      </c>
      <c r="GK368" s="194"/>
      <c r="GL368" s="195"/>
      <c r="GM368" s="196"/>
      <c r="GN368" s="197"/>
      <c r="GO368" s="198"/>
      <c r="GP368" s="199"/>
      <c r="GQ368" s="200"/>
      <c r="GR368" s="201"/>
      <c r="GS368" s="60"/>
      <c r="GT368" s="202"/>
      <c r="GU368" s="202"/>
      <c r="GV368" s="202"/>
      <c r="GW368" s="202"/>
      <c r="GX368" s="203"/>
      <c r="HA368" s="194"/>
      <c r="HB368" s="195"/>
      <c r="HC368" s="196"/>
      <c r="HD368" s="197"/>
      <c r="HE368" s="198"/>
      <c r="HF368" s="199"/>
      <c r="HG368" s="200"/>
      <c r="HH368" s="201"/>
      <c r="HI368" s="60"/>
      <c r="HJ368" s="202"/>
      <c r="HK368" s="202"/>
      <c r="HL368" s="202"/>
      <c r="HM368" s="202"/>
      <c r="HN368" s="203"/>
    </row>
    <row r="369" spans="1:222" ht="16.5" customHeight="1">
      <c r="A369" s="181">
        <v>366</v>
      </c>
      <c r="B369" s="182" t="s">
        <v>2690</v>
      </c>
      <c r="C369" s="183" t="s">
        <v>2691</v>
      </c>
      <c r="D369" s="184" t="s">
        <v>940</v>
      </c>
      <c r="E369" s="184" t="str">
        <f t="shared" si="33"/>
        <v>Import</v>
      </c>
      <c r="F369" s="720" t="str" cm="1">
        <f t="array" ref="F369">_xlfn.IFS(
  OR(AI369="E11", AI369="E15"), "Raw materials",
  OR(AI369="E13", AI369="G13"), "Equipments + Toolings",
  TRUE, RIGHT(C369, 8)
)</f>
        <v>Raw materials</v>
      </c>
      <c r="G369" s="541" t="str" cm="1">
        <f t="array" ref="G369">IF(E369="Import",
  IFERROR(
    _xlfn.IFS(
      VLOOKUP(B369,[1]Material!F$5:U$90000,16,0)="LUC","Lucid",
      VLOOKUP(B369,[1]Material!F$5:U$90000,16,0)="FMC","FORD",
      OR(VLOOKUP(B369,[1]Material!F$5:U$90000,16,0)="PUR",VLOOKUP(B369,[1]Material!F$5:U$90000,16,0)="HLO"),"PURE",
      VLOOKUP(B369,[1]Material!F$5:U$90000,16,0)="AIC","AIC",
      OR(VLOOKUP(B369,[1]Material!F$5:U$90000,16,0)="AGI",VLOOKUP(B369,[1]Material!F$5:U$90000,16,0)="AGIGA"),"AGIGA",
      OR(LEFT(VLOOKUP(B369,[1]Material!F$5:U$90000,16,0),3)="EF-",VLOOKUP(B369,[1]Material!F$5:U$90000,16,0)="EFI"),"EFI",
      AND(ISNUMBER(VLOOKUP(B369,[1]Material!F$5:U$90000,16,0)),VLOOKUP(B369,[1]Material!F$5:U$90000,16,0)&gt;=100,VLOOKUP(B369,[1]Material!F$5:U$90000,16,0)&lt;=999,VLOOKUP(B369,[1]Material!F$5:U$90000,16,0)=INT(VLOOKUP(B369,[1]Material!F$5:U$90000,16,0))),"OEM",
      TRUE,""
    ),
    "không tìm thấy trong file Import"
  ),
  VLOOKUP(F369,'[2]Export shipment'!B:Y,24,0)
)</f>
        <v>PURE</v>
      </c>
      <c r="H369" s="184" t="e">
        <f>VLOOKUP(B369,[4]Export!I$3627:J$3898,2,0)</f>
        <v>#N/A</v>
      </c>
      <c r="I369" s="184" t="s">
        <v>2089</v>
      </c>
      <c r="J369" s="260">
        <f>(V369+X369+AA369)/'Logistics record '!$AD$1</f>
        <v>15.116015418335726</v>
      </c>
      <c r="K369" s="260">
        <f>W369/'Logistics record '!$AD$1</f>
        <v>0</v>
      </c>
      <c r="L369" s="260">
        <f>Y369/'Logistics record '!$AD$1</f>
        <v>0</v>
      </c>
      <c r="M369" s="260">
        <f>AF369/'Logistics record '!$AD$1</f>
        <v>60.750510165520367</v>
      </c>
      <c r="N369" s="260" t="str" cm="1">
        <f t="array" ref="N369">_xlfn.IFS(
    OR(UPPER(S369)="AIR", UPPER(S369)="CPN"), "AIR",
    UPPER(S369)="TC", "LOCAL",
    TRUE, "SEA"
)</f>
        <v>AIR</v>
      </c>
      <c r="O369" s="260">
        <f t="shared" si="34"/>
        <v>75.866525583856088</v>
      </c>
      <c r="P369" s="184" t="s">
        <v>949</v>
      </c>
      <c r="Q369" s="185">
        <v>108341715750</v>
      </c>
      <c r="R369" s="186">
        <v>46188</v>
      </c>
      <c r="S369" s="187" t="s">
        <v>65</v>
      </c>
      <c r="T369" s="188">
        <v>6.6</v>
      </c>
      <c r="U369" s="188"/>
      <c r="V369" s="189">
        <v>400000</v>
      </c>
      <c r="W369" s="190"/>
      <c r="X369" s="190"/>
      <c r="Y369" s="190"/>
      <c r="Z369" s="189">
        <f t="shared" si="30"/>
        <v>400000</v>
      </c>
      <c r="AA369" s="189">
        <v>0</v>
      </c>
      <c r="AB369" s="189">
        <f t="shared" si="35"/>
        <v>400000</v>
      </c>
      <c r="AC369" s="189"/>
      <c r="AD369" s="190">
        <v>1220400</v>
      </c>
      <c r="AE369" s="190">
        <v>387180</v>
      </c>
      <c r="AF369" s="191">
        <f t="shared" si="31"/>
        <v>1607580</v>
      </c>
      <c r="AG369" s="190">
        <f t="shared" si="32"/>
        <v>2007580</v>
      </c>
      <c r="AH369" s="190"/>
      <c r="AI369" s="192" t="str">
        <f>VLOOKUP(Q369,[3]Sheet1!B$11:G$1489,6,0)</f>
        <v>E11</v>
      </c>
      <c r="GK369" s="194"/>
      <c r="GL369" s="195"/>
      <c r="GM369" s="196"/>
      <c r="GN369" s="197"/>
      <c r="GO369" s="198"/>
      <c r="GP369" s="199"/>
      <c r="GQ369" s="200"/>
      <c r="GR369" s="201"/>
      <c r="GS369" s="60"/>
      <c r="GT369" s="202"/>
      <c r="GU369" s="202"/>
      <c r="GV369" s="202"/>
      <c r="GW369" s="202"/>
      <c r="GX369" s="203"/>
      <c r="HA369" s="194"/>
      <c r="HB369" s="195"/>
      <c r="HC369" s="196"/>
      <c r="HD369" s="197"/>
      <c r="HE369" s="198"/>
      <c r="HF369" s="199"/>
      <c r="HG369" s="200"/>
      <c r="HH369" s="201"/>
      <c r="HI369" s="60"/>
      <c r="HJ369" s="202"/>
      <c r="HK369" s="202"/>
      <c r="HL369" s="202"/>
      <c r="HM369" s="202"/>
      <c r="HN369" s="203"/>
    </row>
    <row r="370" spans="1:222" ht="16.5" customHeight="1">
      <c r="A370" s="181">
        <v>367</v>
      </c>
      <c r="B370" s="182" t="s">
        <v>2692</v>
      </c>
      <c r="C370" s="183" t="s">
        <v>2693</v>
      </c>
      <c r="D370" s="184" t="s">
        <v>940</v>
      </c>
      <c r="E370" s="184" t="str">
        <f t="shared" si="33"/>
        <v>Import</v>
      </c>
      <c r="F370" s="720" t="str" cm="1">
        <f t="array" ref="F370">_xlfn.IFS(
  OR(AI370="E11", AI370="E15"), "Raw materials",
  OR(AI370="E13", AI370="G13"), "Equipments + Toolings",
  TRUE, RIGHT(C370, 8)
)</f>
        <v>Raw materials</v>
      </c>
      <c r="G370" s="541" t="str" cm="1">
        <f t="array" ref="G370">IF(E370="Import",
  IFERROR(
    _xlfn.IFS(
      VLOOKUP(B370,[1]Material!F$5:U$90000,16,0)="LUC","Lucid",
      VLOOKUP(B370,[1]Material!F$5:U$90000,16,0)="FMC","FORD",
      OR(VLOOKUP(B370,[1]Material!F$5:U$90000,16,0)="PUR",VLOOKUP(B370,[1]Material!F$5:U$90000,16,0)="HLO"),"PURE",
      VLOOKUP(B370,[1]Material!F$5:U$90000,16,0)="AIC","AIC",
      OR(VLOOKUP(B370,[1]Material!F$5:U$90000,16,0)="AGI",VLOOKUP(B370,[1]Material!F$5:U$90000,16,0)="AGIGA"),"AGIGA",
      OR(LEFT(VLOOKUP(B370,[1]Material!F$5:U$90000,16,0),3)="EF-",VLOOKUP(B370,[1]Material!F$5:U$90000,16,0)="EFI"),"EFI",
      AND(ISNUMBER(VLOOKUP(B370,[1]Material!F$5:U$90000,16,0)),VLOOKUP(B370,[1]Material!F$5:U$90000,16,0)&gt;=100,VLOOKUP(B370,[1]Material!F$5:U$90000,16,0)&lt;=999,VLOOKUP(B370,[1]Material!F$5:U$90000,16,0)=INT(VLOOKUP(B370,[1]Material!F$5:U$90000,16,0))),"OEM",
      TRUE,""
    ),
    "không tìm thấy trong file Import"
  ),
  VLOOKUP(F370,'[2]Export shipment'!B:Y,24,0)
)</f>
        <v>PURE</v>
      </c>
      <c r="H370" s="184" t="e">
        <f>VLOOKUP(B370,[4]Export!I$3627:J$3898,2,0)</f>
        <v>#N/A</v>
      </c>
      <c r="I370" s="184" t="s">
        <v>2089</v>
      </c>
      <c r="J370" s="260">
        <f>(V370+X370+AA370)/'Logistics record '!$AD$1</f>
        <v>15.116015418335726</v>
      </c>
      <c r="K370" s="260">
        <f>W370/'Logistics record '!$AD$1</f>
        <v>0</v>
      </c>
      <c r="L370" s="260">
        <f>Y370/'Logistics record '!$AD$1</f>
        <v>0</v>
      </c>
      <c r="M370" s="260">
        <f>AF370/'Logistics record '!$AD$1</f>
        <v>60.750510165520367</v>
      </c>
      <c r="N370" s="260" t="str" cm="1">
        <f t="array" ref="N370">_xlfn.IFS(
    OR(UPPER(S370)="AIR", UPPER(S370)="CPN"), "AIR",
    UPPER(S370)="TC", "LOCAL",
    TRUE, "SEA"
)</f>
        <v>AIR</v>
      </c>
      <c r="O370" s="260">
        <f t="shared" si="34"/>
        <v>75.866525583856088</v>
      </c>
      <c r="P370" s="184" t="s">
        <v>949</v>
      </c>
      <c r="Q370" s="185">
        <v>108341735500</v>
      </c>
      <c r="R370" s="186">
        <v>46188</v>
      </c>
      <c r="S370" s="187" t="s">
        <v>65</v>
      </c>
      <c r="T370" s="188">
        <v>6.6</v>
      </c>
      <c r="U370" s="188"/>
      <c r="V370" s="189">
        <v>400000</v>
      </c>
      <c r="W370" s="190"/>
      <c r="X370" s="190"/>
      <c r="Y370" s="190"/>
      <c r="Z370" s="189">
        <f t="shared" si="30"/>
        <v>400000</v>
      </c>
      <c r="AA370" s="189">
        <v>0</v>
      </c>
      <c r="AB370" s="189">
        <f t="shared" si="35"/>
        <v>400000</v>
      </c>
      <c r="AC370" s="189"/>
      <c r="AD370" s="190">
        <v>1220400</v>
      </c>
      <c r="AE370" s="190">
        <v>387180</v>
      </c>
      <c r="AF370" s="191">
        <f t="shared" si="31"/>
        <v>1607580</v>
      </c>
      <c r="AG370" s="190">
        <f t="shared" si="32"/>
        <v>2007580</v>
      </c>
      <c r="AH370" s="190"/>
      <c r="AI370" s="192" t="str">
        <f>VLOOKUP(Q370,[3]Sheet1!B$11:G$1489,6,0)</f>
        <v>E11</v>
      </c>
      <c r="GK370" s="194"/>
      <c r="GL370" s="195"/>
      <c r="GM370" s="196"/>
      <c r="GN370" s="197"/>
      <c r="GO370" s="198"/>
      <c r="GP370" s="199"/>
      <c r="GQ370" s="200"/>
      <c r="GR370" s="201"/>
      <c r="GS370" s="60"/>
      <c r="GT370" s="202"/>
      <c r="GU370" s="202"/>
      <c r="GV370" s="202"/>
      <c r="GW370" s="202"/>
      <c r="GX370" s="203"/>
      <c r="HA370" s="194"/>
      <c r="HB370" s="195"/>
      <c r="HC370" s="196"/>
      <c r="HD370" s="197"/>
      <c r="HE370" s="198"/>
      <c r="HF370" s="199"/>
      <c r="HG370" s="200"/>
      <c r="HH370" s="201"/>
      <c r="HI370" s="60"/>
      <c r="HJ370" s="202"/>
      <c r="HK370" s="202"/>
      <c r="HL370" s="202"/>
      <c r="HM370" s="202"/>
      <c r="HN370" s="203"/>
    </row>
    <row r="371" spans="1:222" ht="16.5" customHeight="1">
      <c r="A371" s="181">
        <v>368</v>
      </c>
      <c r="B371" s="182">
        <v>872926227843</v>
      </c>
      <c r="C371" s="183" t="s">
        <v>2694</v>
      </c>
      <c r="D371" s="184" t="s">
        <v>336</v>
      </c>
      <c r="E371" s="184" t="str">
        <f t="shared" si="33"/>
        <v>Import</v>
      </c>
      <c r="F371" s="720" t="str" cm="1">
        <f t="array" ref="F371">_xlfn.IFS(
  OR(AI371="E11", AI371="E15"), "Raw materials",
  OR(AI371="E13", AI371="G13"), "Equipments + Toolings",
  TRUE, RIGHT(C371, 8)
)</f>
        <v>Raw materials</v>
      </c>
      <c r="G371" s="541" t="str" cm="1">
        <f t="array" ref="G371">IF(E371="Import",
  IFERROR(
    _xlfn.IFS(
      VLOOKUP(B371,[1]Material!F$5:U$90000,16,0)="LUC","Lucid",
      VLOOKUP(B371,[1]Material!F$5:U$90000,16,0)="FMC","FORD",
      OR(VLOOKUP(B371,[1]Material!F$5:U$90000,16,0)="PUR",VLOOKUP(B371,[1]Material!F$5:U$90000,16,0)="HLO"),"PURE",
      VLOOKUP(B371,[1]Material!F$5:U$90000,16,0)="AIC","AIC",
      OR(VLOOKUP(B371,[1]Material!F$5:U$90000,16,0)="AGI",VLOOKUP(B371,[1]Material!F$5:U$90000,16,0)="AGIGA"),"AGIGA",
      OR(LEFT(VLOOKUP(B371,[1]Material!F$5:U$90000,16,0),3)="EF-",VLOOKUP(B371,[1]Material!F$5:U$90000,16,0)="EFI"),"EFI",
      AND(ISNUMBER(VLOOKUP(B371,[1]Material!F$5:U$90000,16,0)),VLOOKUP(B371,[1]Material!F$5:U$90000,16,0)&gt;=100,VLOOKUP(B371,[1]Material!F$5:U$90000,16,0)&lt;=999,VLOOKUP(B371,[1]Material!F$5:U$90000,16,0)=INT(VLOOKUP(B371,[1]Material!F$5:U$90000,16,0))),"OEM",
      TRUE,""
    ),
    "không tìm thấy trong file Import"
  ),
  VLOOKUP(F371,'[2]Export shipment'!B:Y,24,0)
)</f>
        <v>PURE</v>
      </c>
      <c r="H371" s="184"/>
      <c r="I371" s="184"/>
      <c r="J371" s="260">
        <f>(V371+X371+AA371)/'Logistics record '!$AD$1</f>
        <v>15.116015418335726</v>
      </c>
      <c r="K371" s="260">
        <f>W371/'Logistics record '!$AD$1</f>
        <v>0</v>
      </c>
      <c r="L371" s="260">
        <f>Y371/'Logistics record '!$AD$1</f>
        <v>0</v>
      </c>
      <c r="M371" s="260">
        <f>AF371/'Logistics record '!$AD$1</f>
        <v>0</v>
      </c>
      <c r="N371" s="260" t="str" cm="1">
        <f t="array" ref="N371">_xlfn.IFS(
    OR(UPPER(S371)="AIR", UPPER(S371)="CPN"), "AIR",
    UPPER(S371)="TC", "LOCAL",
    TRUE, "SEA"
)</f>
        <v>AIR</v>
      </c>
      <c r="O371" s="260">
        <f t="shared" si="34"/>
        <v>15.116015418335726</v>
      </c>
      <c r="P371" s="184" t="s">
        <v>932</v>
      </c>
      <c r="Q371" s="185">
        <v>108341855530</v>
      </c>
      <c r="R371" s="186">
        <v>46188</v>
      </c>
      <c r="S371" s="187" t="s">
        <v>928</v>
      </c>
      <c r="T371" s="188">
        <v>7.9</v>
      </c>
      <c r="U371" s="188"/>
      <c r="V371" s="189">
        <v>400000</v>
      </c>
      <c r="W371" s="190"/>
      <c r="X371" s="190"/>
      <c r="Y371" s="190"/>
      <c r="Z371" s="189">
        <f t="shared" si="30"/>
        <v>400000</v>
      </c>
      <c r="AA371" s="189">
        <v>0</v>
      </c>
      <c r="AB371" s="189">
        <f t="shared" si="35"/>
        <v>400000</v>
      </c>
      <c r="AC371" s="189"/>
      <c r="AD371" s="190"/>
      <c r="AE371" s="190"/>
      <c r="AF371" s="191">
        <f t="shared" si="31"/>
        <v>0</v>
      </c>
      <c r="AG371" s="190">
        <f t="shared" si="32"/>
        <v>400000</v>
      </c>
      <c r="AH371" s="190"/>
      <c r="AI371" s="192" t="str">
        <f>VLOOKUP(Q371,[3]Sheet1!B$11:G$1489,6,0)</f>
        <v>E11</v>
      </c>
      <c r="GK371" s="194"/>
      <c r="GL371" s="195"/>
      <c r="GM371" s="196"/>
      <c r="GN371" s="197"/>
      <c r="GO371" s="198"/>
      <c r="GP371" s="199"/>
      <c r="GQ371" s="200"/>
      <c r="GR371" s="201"/>
      <c r="GS371" s="60"/>
      <c r="GT371" s="202"/>
      <c r="GU371" s="202"/>
      <c r="GV371" s="202"/>
      <c r="GW371" s="202"/>
      <c r="GX371" s="203"/>
      <c r="HA371" s="194"/>
      <c r="HB371" s="195"/>
      <c r="HC371" s="196"/>
      <c r="HD371" s="197"/>
      <c r="HE371" s="198"/>
      <c r="HF371" s="199"/>
      <c r="HG371" s="200"/>
      <c r="HH371" s="201"/>
      <c r="HI371" s="60"/>
      <c r="HJ371" s="202"/>
      <c r="HK371" s="202"/>
      <c r="HL371" s="202"/>
      <c r="HM371" s="202"/>
      <c r="HN371" s="203"/>
    </row>
    <row r="372" spans="1:222" ht="16.5" customHeight="1">
      <c r="A372" s="181">
        <v>369</v>
      </c>
      <c r="B372" s="182" t="s">
        <v>2695</v>
      </c>
      <c r="C372" s="183" t="s">
        <v>2696</v>
      </c>
      <c r="D372" s="184" t="s">
        <v>940</v>
      </c>
      <c r="E372" s="184" t="str">
        <f t="shared" si="33"/>
        <v>Import</v>
      </c>
      <c r="F372" s="720" t="str" cm="1">
        <f t="array" ref="F372">_xlfn.IFS(
  OR(AI372="E11", AI372="E15"), "Raw materials",
  OR(AI372="E13", AI372="G13"), "Equipments + Toolings",
  TRUE, RIGHT(C372, 8)
)</f>
        <v>Raw materials</v>
      </c>
      <c r="G372" s="541" t="str" cm="1">
        <f t="array" ref="G372">IF(E372="Import",
  IFERROR(
    _xlfn.IFS(
      VLOOKUP(B372,[1]Material!F$5:U$90000,16,0)="LUC","Lucid",
      VLOOKUP(B372,[1]Material!F$5:U$90000,16,0)="FMC","FORD",
      OR(VLOOKUP(B372,[1]Material!F$5:U$90000,16,0)="PUR",VLOOKUP(B372,[1]Material!F$5:U$90000,16,0)="HLO"),"PURE",
      VLOOKUP(B372,[1]Material!F$5:U$90000,16,0)="AIC","AIC",
      OR(VLOOKUP(B372,[1]Material!F$5:U$90000,16,0)="AGI",VLOOKUP(B372,[1]Material!F$5:U$90000,16,0)="AGIGA"),"AGIGA",
      OR(LEFT(VLOOKUP(B372,[1]Material!F$5:U$90000,16,0),3)="EF-",VLOOKUP(B372,[1]Material!F$5:U$90000,16,0)="EFI"),"EFI",
      AND(ISNUMBER(VLOOKUP(B372,[1]Material!F$5:U$90000,16,0)),VLOOKUP(B372,[1]Material!F$5:U$90000,16,0)&gt;=100,VLOOKUP(B372,[1]Material!F$5:U$90000,16,0)&lt;=999,VLOOKUP(B372,[1]Material!F$5:U$90000,16,0)=INT(VLOOKUP(B372,[1]Material!F$5:U$90000,16,0))),"OEM",
      TRUE,""
    ),
    "không tìm thấy trong file Import"
  ),
  VLOOKUP(F372,'[2]Export shipment'!B:Y,24,0)
)</f>
        <v>PURE</v>
      </c>
      <c r="H372" s="184" t="e">
        <f>VLOOKUP(B372,[4]Export!I$3627:J$3898,2,0)</f>
        <v>#N/A</v>
      </c>
      <c r="I372" s="184" t="s">
        <v>2089</v>
      </c>
      <c r="J372" s="260">
        <f>(V372+X372+AA372)/'Logistics record '!$AD$1</f>
        <v>15.116015418335726</v>
      </c>
      <c r="K372" s="260">
        <f>W372/'Logistics record '!$AD$1</f>
        <v>0</v>
      </c>
      <c r="L372" s="260">
        <f>Y372/'Logistics record '!$AD$1</f>
        <v>0</v>
      </c>
      <c r="M372" s="260">
        <f>AF372/'Logistics record '!$AD$1</f>
        <v>60.750510165520367</v>
      </c>
      <c r="N372" s="260" t="str" cm="1">
        <f t="array" ref="N372">_xlfn.IFS(
    OR(UPPER(S372)="AIR", UPPER(S372)="CPN"), "AIR",
    UPPER(S372)="TC", "LOCAL",
    TRUE, "SEA"
)</f>
        <v>AIR</v>
      </c>
      <c r="O372" s="260">
        <f t="shared" si="34"/>
        <v>75.866525583856088</v>
      </c>
      <c r="P372" s="184" t="s">
        <v>949</v>
      </c>
      <c r="Q372" s="185">
        <v>108341863010</v>
      </c>
      <c r="R372" s="186">
        <v>46188</v>
      </c>
      <c r="S372" s="187" t="s">
        <v>65</v>
      </c>
      <c r="T372" s="188">
        <v>6.6</v>
      </c>
      <c r="U372" s="188"/>
      <c r="V372" s="189">
        <v>400000</v>
      </c>
      <c r="W372" s="190"/>
      <c r="X372" s="190"/>
      <c r="Y372" s="190"/>
      <c r="Z372" s="189">
        <f t="shared" si="30"/>
        <v>400000</v>
      </c>
      <c r="AA372" s="189">
        <v>0</v>
      </c>
      <c r="AB372" s="189">
        <f t="shared" si="35"/>
        <v>400000</v>
      </c>
      <c r="AC372" s="189"/>
      <c r="AD372" s="190">
        <v>1220400</v>
      </c>
      <c r="AE372" s="190">
        <v>387180</v>
      </c>
      <c r="AF372" s="191">
        <f t="shared" si="31"/>
        <v>1607580</v>
      </c>
      <c r="AG372" s="190">
        <f t="shared" si="32"/>
        <v>2007580</v>
      </c>
      <c r="AH372" s="190"/>
      <c r="AI372" s="192" t="str">
        <f>VLOOKUP(Q372,[3]Sheet1!B$11:G$1489,6,0)</f>
        <v>E11</v>
      </c>
      <c r="GK372" s="194"/>
      <c r="GL372" s="195"/>
      <c r="GM372" s="196"/>
      <c r="GN372" s="197"/>
      <c r="GO372" s="198"/>
      <c r="GP372" s="199"/>
      <c r="GQ372" s="200"/>
      <c r="GR372" s="201"/>
      <c r="GS372" s="60"/>
      <c r="GT372" s="202"/>
      <c r="GU372" s="202"/>
      <c r="GV372" s="202"/>
      <c r="GW372" s="202"/>
      <c r="GX372" s="203"/>
      <c r="HA372" s="194"/>
      <c r="HB372" s="195"/>
      <c r="HC372" s="196"/>
      <c r="HD372" s="197"/>
      <c r="HE372" s="198"/>
      <c r="HF372" s="199"/>
      <c r="HG372" s="200"/>
      <c r="HH372" s="201"/>
      <c r="HI372" s="60"/>
      <c r="HJ372" s="202"/>
      <c r="HK372" s="202"/>
      <c r="HL372" s="202"/>
      <c r="HM372" s="202"/>
      <c r="HN372" s="203"/>
    </row>
    <row r="373" spans="1:222" ht="16.5" customHeight="1">
      <c r="A373" s="181">
        <v>370</v>
      </c>
      <c r="B373" s="182">
        <v>527390683775</v>
      </c>
      <c r="C373" s="183" t="s">
        <v>2697</v>
      </c>
      <c r="D373" s="184" t="s">
        <v>1994</v>
      </c>
      <c r="E373" s="184" t="str">
        <f t="shared" si="33"/>
        <v>Import</v>
      </c>
      <c r="F373" s="720" t="str" cm="1">
        <f t="array" ref="F373">_xlfn.IFS(
  OR(AI373="E11", AI373="E15"), "Raw materials",
  OR(AI373="E13", AI373="G13"), "Equipments + Toolings",
  TRUE, RIGHT(C373, 8)
)</f>
        <v>Raw materials</v>
      </c>
      <c r="G373" s="541" t="str" cm="1">
        <f t="array" ref="G373">IF(E373="Import",
  IFERROR(
    _xlfn.IFS(
      VLOOKUP(B373,[1]Material!F$5:U$90000,16,0)="LUC","Lucid",
      VLOOKUP(B373,[1]Material!F$5:U$90000,16,0)="FMC","FORD",
      OR(VLOOKUP(B373,[1]Material!F$5:U$90000,16,0)="PUR",VLOOKUP(B373,[1]Material!F$5:U$90000,16,0)="HLO"),"PURE",
      VLOOKUP(B373,[1]Material!F$5:U$90000,16,0)="AIC","AIC",
      OR(VLOOKUP(B373,[1]Material!F$5:U$90000,16,0)="AGI",VLOOKUP(B373,[1]Material!F$5:U$90000,16,0)="AGIGA"),"AGIGA",
      OR(LEFT(VLOOKUP(B373,[1]Material!F$5:U$90000,16,0),3)="EF-",VLOOKUP(B373,[1]Material!F$5:U$90000,16,0)="EFI"),"EFI",
      AND(ISNUMBER(VLOOKUP(B373,[1]Material!F$5:U$90000,16,0)),VLOOKUP(B373,[1]Material!F$5:U$90000,16,0)&gt;=100,VLOOKUP(B373,[1]Material!F$5:U$90000,16,0)&lt;=999,VLOOKUP(B373,[1]Material!F$5:U$90000,16,0)=INT(VLOOKUP(B373,[1]Material!F$5:U$90000,16,0))),"OEM",
      TRUE,""
    ),
    "không tìm thấy trong file Import"
  ),
  VLOOKUP(F373,'[2]Export shipment'!B:Y,24,0)
)</f>
        <v>PURE</v>
      </c>
      <c r="H373" s="184"/>
      <c r="I373" s="184"/>
      <c r="J373" s="260">
        <f>(V373+X373+AA373)/'Logistics record '!$AD$1</f>
        <v>15.116015418335726</v>
      </c>
      <c r="K373" s="260">
        <f>W373/'Logistics record '!$AD$1</f>
        <v>0</v>
      </c>
      <c r="L373" s="260">
        <f>Y373/'Logistics record '!$AD$1</f>
        <v>0</v>
      </c>
      <c r="M373" s="260">
        <f>AF373/'Logistics record '!$AD$1</f>
        <v>0</v>
      </c>
      <c r="N373" s="260" t="str" cm="1">
        <f t="array" ref="N373">_xlfn.IFS(
    OR(UPPER(S373)="AIR", UPPER(S373)="CPN"), "AIR",
    UPPER(S373)="TC", "LOCAL",
    TRUE, "SEA"
)</f>
        <v>AIR</v>
      </c>
      <c r="O373" s="260">
        <f t="shared" si="34"/>
        <v>15.116015418335726</v>
      </c>
      <c r="P373" s="184" t="s">
        <v>939</v>
      </c>
      <c r="Q373" s="185">
        <v>108342079050</v>
      </c>
      <c r="R373" s="186">
        <v>46188</v>
      </c>
      <c r="S373" s="187" t="s">
        <v>65</v>
      </c>
      <c r="T373" s="188">
        <v>9.6</v>
      </c>
      <c r="U373" s="188"/>
      <c r="V373" s="189">
        <v>400000</v>
      </c>
      <c r="W373" s="190"/>
      <c r="X373" s="190"/>
      <c r="Y373" s="190"/>
      <c r="Z373" s="189">
        <f t="shared" si="30"/>
        <v>400000</v>
      </c>
      <c r="AA373" s="189">
        <v>0</v>
      </c>
      <c r="AB373" s="189">
        <f t="shared" si="35"/>
        <v>400000</v>
      </c>
      <c r="AC373" s="189"/>
      <c r="AD373" s="190"/>
      <c r="AE373" s="190"/>
      <c r="AF373" s="191">
        <f t="shared" si="31"/>
        <v>0</v>
      </c>
      <c r="AG373" s="190">
        <f t="shared" si="32"/>
        <v>400000</v>
      </c>
      <c r="AH373" s="190"/>
      <c r="AI373" s="192" t="str">
        <f>VLOOKUP(Q373,[3]Sheet1!B$11:G$1489,6,0)</f>
        <v>E11</v>
      </c>
      <c r="GK373" s="194"/>
      <c r="GL373" s="195"/>
      <c r="GM373" s="196"/>
      <c r="GN373" s="197"/>
      <c r="GO373" s="198"/>
      <c r="GP373" s="199"/>
      <c r="GQ373" s="200"/>
      <c r="GR373" s="201"/>
      <c r="GS373" s="60"/>
      <c r="GT373" s="202"/>
      <c r="GU373" s="202"/>
      <c r="GV373" s="202"/>
      <c r="GW373" s="202"/>
      <c r="GX373" s="203"/>
      <c r="HA373" s="194"/>
      <c r="HB373" s="195"/>
      <c r="HC373" s="196"/>
      <c r="HD373" s="197"/>
      <c r="HE373" s="198"/>
      <c r="HF373" s="199"/>
      <c r="HG373" s="200"/>
      <c r="HH373" s="201"/>
      <c r="HI373" s="60"/>
      <c r="HJ373" s="202"/>
      <c r="HK373" s="202"/>
      <c r="HL373" s="202"/>
      <c r="HM373" s="202"/>
      <c r="HN373" s="203"/>
    </row>
    <row r="374" spans="1:222" ht="16.5" customHeight="1">
      <c r="A374" s="181">
        <v>371</v>
      </c>
      <c r="B374" s="182">
        <v>464002431884</v>
      </c>
      <c r="C374" s="183" t="s">
        <v>2698</v>
      </c>
      <c r="D374" s="184" t="s">
        <v>2171</v>
      </c>
      <c r="E374" s="184" t="str">
        <f t="shared" si="33"/>
        <v>Import</v>
      </c>
      <c r="F374" s="720" t="str" cm="1">
        <f t="array" ref="F374">_xlfn.IFS(
  OR(AI374="E11", AI374="E15"), "Raw materials",
  OR(AI374="E13", AI374="G13"), "Equipments + Toolings",
  TRUE, RIGHT(C374, 8)
)</f>
        <v>Raw materials</v>
      </c>
      <c r="G374" s="541" t="str" cm="1">
        <f t="array" ref="G374">IF(E374="Import",
  IFERROR(
    _xlfn.IFS(
      VLOOKUP(B374,[1]Material!F$5:U$90000,16,0)="LUC","Lucid",
      VLOOKUP(B374,[1]Material!F$5:U$90000,16,0)="FMC","FORD",
      OR(VLOOKUP(B374,[1]Material!F$5:U$90000,16,0)="PUR",VLOOKUP(B374,[1]Material!F$5:U$90000,16,0)="HLO"),"PURE",
      VLOOKUP(B374,[1]Material!F$5:U$90000,16,0)="AIC","AIC",
      OR(VLOOKUP(B374,[1]Material!F$5:U$90000,16,0)="AGI",VLOOKUP(B374,[1]Material!F$5:U$90000,16,0)="AGIGA"),"AGIGA",
      OR(LEFT(VLOOKUP(B374,[1]Material!F$5:U$90000,16,0),3)="EF-",VLOOKUP(B374,[1]Material!F$5:U$90000,16,0)="EFI"),"EFI",
      AND(ISNUMBER(VLOOKUP(B374,[1]Material!F$5:U$90000,16,0)),VLOOKUP(B374,[1]Material!F$5:U$90000,16,0)&gt;=100,VLOOKUP(B374,[1]Material!F$5:U$90000,16,0)&lt;=999,VLOOKUP(B374,[1]Material!F$5:U$90000,16,0)=INT(VLOOKUP(B374,[1]Material!F$5:U$90000,16,0))),"OEM",
      TRUE,""
    ),
    "không tìm thấy trong file Import"
  ),
  VLOOKUP(F374,'[2]Export shipment'!B:Y,24,0)
)</f>
        <v>FORD</v>
      </c>
      <c r="H374" s="184"/>
      <c r="I374" s="184"/>
      <c r="J374" s="260">
        <f>(V374+X374+AA374)/'Logistics record '!$AD$1</f>
        <v>15.116015418335726</v>
      </c>
      <c r="K374" s="260">
        <f>W374/'Logistics record '!$AD$1</f>
        <v>0</v>
      </c>
      <c r="L374" s="260">
        <f>Y374/'Logistics record '!$AD$1</f>
        <v>0</v>
      </c>
      <c r="M374" s="260">
        <f>AF374/'Logistics record '!$AD$1</f>
        <v>0</v>
      </c>
      <c r="N374" s="260" t="str" cm="1">
        <f t="array" ref="N374">_xlfn.IFS(
    OR(UPPER(S374)="AIR", UPPER(S374)="CPN"), "AIR",
    UPPER(S374)="TC", "LOCAL",
    TRUE, "SEA"
)</f>
        <v>AIR</v>
      </c>
      <c r="O374" s="260">
        <f t="shared" si="34"/>
        <v>15.116015418335726</v>
      </c>
      <c r="P374" s="184" t="s">
        <v>937</v>
      </c>
      <c r="Q374" s="185">
        <v>108342167140</v>
      </c>
      <c r="R374" s="186">
        <v>46188</v>
      </c>
      <c r="S374" s="187" t="s">
        <v>928</v>
      </c>
      <c r="T374" s="188">
        <v>5.8</v>
      </c>
      <c r="U374" s="188"/>
      <c r="V374" s="189">
        <v>400000</v>
      </c>
      <c r="W374" s="190"/>
      <c r="X374" s="190"/>
      <c r="Y374" s="190"/>
      <c r="Z374" s="189">
        <f t="shared" si="30"/>
        <v>400000</v>
      </c>
      <c r="AA374" s="189">
        <v>0</v>
      </c>
      <c r="AB374" s="189">
        <f t="shared" si="35"/>
        <v>400000</v>
      </c>
      <c r="AC374" s="189"/>
      <c r="AD374" s="190"/>
      <c r="AE374" s="190"/>
      <c r="AF374" s="191">
        <f t="shared" si="31"/>
        <v>0</v>
      </c>
      <c r="AG374" s="190">
        <f t="shared" si="32"/>
        <v>400000</v>
      </c>
      <c r="AH374" s="190"/>
      <c r="AI374" s="192" t="str">
        <f>VLOOKUP(Q374,[3]Sheet1!B$11:G$1489,6,0)</f>
        <v>E11</v>
      </c>
      <c r="GK374" s="194"/>
      <c r="GL374" s="195"/>
      <c r="GM374" s="196"/>
      <c r="GN374" s="197"/>
      <c r="GO374" s="198"/>
      <c r="GP374" s="199"/>
      <c r="GQ374" s="200"/>
      <c r="GR374" s="201"/>
      <c r="GS374" s="60"/>
      <c r="GT374" s="202"/>
      <c r="GU374" s="202"/>
      <c r="GV374" s="202"/>
      <c r="GW374" s="202"/>
      <c r="GX374" s="203"/>
      <c r="HA374" s="194"/>
      <c r="HB374" s="195"/>
      <c r="HC374" s="196"/>
      <c r="HD374" s="197"/>
      <c r="HE374" s="198"/>
      <c r="HF374" s="199"/>
      <c r="HG374" s="200"/>
      <c r="HH374" s="201"/>
      <c r="HI374" s="60"/>
      <c r="HJ374" s="202"/>
      <c r="HK374" s="202"/>
      <c r="HL374" s="202"/>
      <c r="HM374" s="202"/>
      <c r="HN374" s="203"/>
    </row>
    <row r="375" spans="1:222" ht="16.5" customHeight="1">
      <c r="A375" s="181">
        <v>372</v>
      </c>
      <c r="B375" s="182">
        <v>872930667108</v>
      </c>
      <c r="C375" s="183" t="s">
        <v>2699</v>
      </c>
      <c r="D375" s="184" t="s">
        <v>1620</v>
      </c>
      <c r="E375" s="184" t="str">
        <f t="shared" si="33"/>
        <v>Import</v>
      </c>
      <c r="F375" s="720" t="str" cm="1">
        <f t="array" ref="F375">_xlfn.IFS(
  OR(AI375="E11", AI375="E15"), "Raw materials",
  OR(AI375="E13", AI375="G13"), "Equipments + Toolings",
  TRUE, RIGHT(C375, 8)
)</f>
        <v>Raw materials</v>
      </c>
      <c r="G375" s="541" t="str" cm="1">
        <f t="array" ref="G375">IF(E375="Import",
  IFERROR(
    _xlfn.IFS(
      VLOOKUP(B375,[1]Material!F$5:U$90000,16,0)="LUC","Lucid",
      VLOOKUP(B375,[1]Material!F$5:U$90000,16,0)="FMC","FORD",
      OR(VLOOKUP(B375,[1]Material!F$5:U$90000,16,0)="PUR",VLOOKUP(B375,[1]Material!F$5:U$90000,16,0)="HLO"),"PURE",
      VLOOKUP(B375,[1]Material!F$5:U$90000,16,0)="AIC","AIC",
      OR(VLOOKUP(B375,[1]Material!F$5:U$90000,16,0)="AGI",VLOOKUP(B375,[1]Material!F$5:U$90000,16,0)="AGIGA"),"AGIGA",
      OR(LEFT(VLOOKUP(B375,[1]Material!F$5:U$90000,16,0),3)="EF-",VLOOKUP(B375,[1]Material!F$5:U$90000,16,0)="EFI"),"EFI",
      AND(ISNUMBER(VLOOKUP(B375,[1]Material!F$5:U$90000,16,0)),VLOOKUP(B375,[1]Material!F$5:U$90000,16,0)&gt;=100,VLOOKUP(B375,[1]Material!F$5:U$90000,16,0)&lt;=999,VLOOKUP(B375,[1]Material!F$5:U$90000,16,0)=INT(VLOOKUP(B375,[1]Material!F$5:U$90000,16,0))),"OEM",
      TRUE,""
    ),
    "không tìm thấy trong file Import"
  ),
  VLOOKUP(F375,'[2]Export shipment'!B:Y,24,0)
)</f>
        <v>EFI</v>
      </c>
      <c r="H375" s="184"/>
      <c r="I375" s="184"/>
      <c r="J375" s="260">
        <f>(V375+X375+AA375)/'Logistics record '!$AD$1</f>
        <v>15.116015418335726</v>
      </c>
      <c r="K375" s="260">
        <f>W375/'Logistics record '!$AD$1</f>
        <v>0</v>
      </c>
      <c r="L375" s="260">
        <f>Y375/'Logistics record '!$AD$1</f>
        <v>0</v>
      </c>
      <c r="M375" s="260">
        <f>AF375/'Logistics record '!$AD$1</f>
        <v>0</v>
      </c>
      <c r="N375" s="260" t="str" cm="1">
        <f t="array" ref="N375">_xlfn.IFS(
    OR(UPPER(S375)="AIR", UPPER(S375)="CPN"), "AIR",
    UPPER(S375)="TC", "LOCAL",
    TRUE, "SEA"
)</f>
        <v>AIR</v>
      </c>
      <c r="O375" s="260">
        <f t="shared" si="34"/>
        <v>15.116015418335726</v>
      </c>
      <c r="P375" s="184" t="s">
        <v>932</v>
      </c>
      <c r="Q375" s="185">
        <v>108342281240</v>
      </c>
      <c r="R375" s="186">
        <v>46188</v>
      </c>
      <c r="S375" s="187" t="s">
        <v>928</v>
      </c>
      <c r="T375" s="188">
        <v>10.1</v>
      </c>
      <c r="U375" s="188"/>
      <c r="V375" s="189">
        <v>400000</v>
      </c>
      <c r="W375" s="190"/>
      <c r="X375" s="190"/>
      <c r="Y375" s="190"/>
      <c r="Z375" s="189">
        <f t="shared" si="30"/>
        <v>400000</v>
      </c>
      <c r="AA375" s="189">
        <v>0</v>
      </c>
      <c r="AB375" s="189">
        <f t="shared" si="35"/>
        <v>400000</v>
      </c>
      <c r="AC375" s="189"/>
      <c r="AD375" s="190"/>
      <c r="AE375" s="190"/>
      <c r="AF375" s="191">
        <f t="shared" si="31"/>
        <v>0</v>
      </c>
      <c r="AG375" s="190">
        <f t="shared" si="32"/>
        <v>400000</v>
      </c>
      <c r="AH375" s="190"/>
      <c r="AI375" s="192" t="str">
        <f>VLOOKUP(Q375,[3]Sheet1!B$11:G$1489,6,0)</f>
        <v>E11</v>
      </c>
      <c r="GK375" s="194"/>
      <c r="GL375" s="195"/>
      <c r="GM375" s="196"/>
      <c r="GN375" s="197"/>
      <c r="GO375" s="198"/>
      <c r="GP375" s="199"/>
      <c r="GQ375" s="200"/>
      <c r="GR375" s="201"/>
      <c r="GS375" s="60"/>
      <c r="GT375" s="202"/>
      <c r="GU375" s="202"/>
      <c r="GV375" s="202"/>
      <c r="GW375" s="202"/>
      <c r="GX375" s="203"/>
      <c r="HA375" s="194"/>
      <c r="HB375" s="195"/>
      <c r="HC375" s="196"/>
      <c r="HD375" s="197"/>
      <c r="HE375" s="198"/>
      <c r="HF375" s="199"/>
      <c r="HG375" s="200"/>
      <c r="HH375" s="201"/>
      <c r="HI375" s="60"/>
      <c r="HJ375" s="202"/>
      <c r="HK375" s="202"/>
      <c r="HL375" s="202"/>
      <c r="HM375" s="202"/>
      <c r="HN375" s="203"/>
    </row>
    <row r="376" spans="1:222" ht="16.5" customHeight="1">
      <c r="A376" s="181">
        <v>373</v>
      </c>
      <c r="B376" s="182">
        <v>489101288650</v>
      </c>
      <c r="C376" s="183" t="s">
        <v>2700</v>
      </c>
      <c r="D376" s="184" t="s">
        <v>1711</v>
      </c>
      <c r="E376" s="184" t="str">
        <f t="shared" si="33"/>
        <v>Import</v>
      </c>
      <c r="F376" s="720" t="str" cm="1">
        <f t="array" ref="F376">_xlfn.IFS(
  OR(AI376="E11", AI376="E15"), "Raw materials",
  OR(AI376="E13", AI376="G13"), "Equipments + Toolings",
  TRUE, RIGHT(C376, 8)
)</f>
        <v>Raw materials</v>
      </c>
      <c r="G376" s="541" t="str" cm="1">
        <f t="array" ref="G376">IF(E376="Import",
  IFERROR(
    _xlfn.IFS(
      VLOOKUP(B376,[1]Material!F$5:U$90000,16,0)="LUC","Lucid",
      VLOOKUP(B376,[1]Material!F$5:U$90000,16,0)="FMC","FORD",
      OR(VLOOKUP(B376,[1]Material!F$5:U$90000,16,0)="PUR",VLOOKUP(B376,[1]Material!F$5:U$90000,16,0)="HLO"),"PURE",
      VLOOKUP(B376,[1]Material!F$5:U$90000,16,0)="AIC","AIC",
      OR(VLOOKUP(B376,[1]Material!F$5:U$90000,16,0)="AGI",VLOOKUP(B376,[1]Material!F$5:U$90000,16,0)="AGIGA"),"AGIGA",
      OR(LEFT(VLOOKUP(B376,[1]Material!F$5:U$90000,16,0),3)="EF-",VLOOKUP(B376,[1]Material!F$5:U$90000,16,0)="EFI"),"EFI",
      AND(ISNUMBER(VLOOKUP(B376,[1]Material!F$5:U$90000,16,0)),VLOOKUP(B376,[1]Material!F$5:U$90000,16,0)&gt;=100,VLOOKUP(B376,[1]Material!F$5:U$90000,16,0)&lt;=999,VLOOKUP(B376,[1]Material!F$5:U$90000,16,0)=INT(VLOOKUP(B376,[1]Material!F$5:U$90000,16,0))),"OEM",
      TRUE,""
    ),
    "không tìm thấy trong file Import"
  ),
  VLOOKUP(F376,'[2]Export shipment'!B:Y,24,0)
)</f>
        <v>EFI</v>
      </c>
      <c r="H376" s="184"/>
      <c r="I376" s="184"/>
      <c r="J376" s="260">
        <f>(V376+X376+AA376)/'Logistics record '!$AD$1</f>
        <v>15.116015418335726</v>
      </c>
      <c r="K376" s="260">
        <f>W376/'Logistics record '!$AD$1</f>
        <v>0</v>
      </c>
      <c r="L376" s="260">
        <f>Y376/'Logistics record '!$AD$1</f>
        <v>0</v>
      </c>
      <c r="M376" s="260">
        <f>AF376/'Logistics record '!$AD$1</f>
        <v>0</v>
      </c>
      <c r="N376" s="260" t="str" cm="1">
        <f t="array" ref="N376">_xlfn.IFS(
    OR(UPPER(S376)="AIR", UPPER(S376)="CPN"), "AIR",
    UPPER(S376)="TC", "LOCAL",
    TRUE, "SEA"
)</f>
        <v>AIR</v>
      </c>
      <c r="O376" s="260">
        <f t="shared" si="34"/>
        <v>15.116015418335726</v>
      </c>
      <c r="P376" s="184" t="s">
        <v>1992</v>
      </c>
      <c r="Q376" s="185">
        <v>108342345200</v>
      </c>
      <c r="R376" s="186">
        <v>46188</v>
      </c>
      <c r="S376" s="187" t="s">
        <v>928</v>
      </c>
      <c r="T376" s="188">
        <v>0.4</v>
      </c>
      <c r="U376" s="188"/>
      <c r="V376" s="189">
        <v>400000</v>
      </c>
      <c r="W376" s="190"/>
      <c r="X376" s="190"/>
      <c r="Y376" s="190"/>
      <c r="Z376" s="189">
        <f t="shared" si="30"/>
        <v>400000</v>
      </c>
      <c r="AA376" s="189">
        <v>0</v>
      </c>
      <c r="AB376" s="189">
        <f t="shared" si="35"/>
        <v>400000</v>
      </c>
      <c r="AC376" s="189"/>
      <c r="AD376" s="190"/>
      <c r="AE376" s="190"/>
      <c r="AF376" s="191">
        <f t="shared" si="31"/>
        <v>0</v>
      </c>
      <c r="AG376" s="190">
        <f t="shared" si="32"/>
        <v>400000</v>
      </c>
      <c r="AH376" s="190"/>
      <c r="AI376" s="192" t="str">
        <f>VLOOKUP(Q376,[3]Sheet1!B$11:G$1489,6,0)</f>
        <v>E11</v>
      </c>
      <c r="GK376" s="194"/>
      <c r="GL376" s="195"/>
      <c r="GM376" s="196"/>
      <c r="GN376" s="197"/>
      <c r="GO376" s="198"/>
      <c r="GP376" s="199"/>
      <c r="GQ376" s="200"/>
      <c r="GR376" s="201"/>
      <c r="GS376" s="60"/>
      <c r="GT376" s="202"/>
      <c r="GU376" s="202"/>
      <c r="GV376" s="202"/>
      <c r="GW376" s="202"/>
      <c r="GX376" s="203"/>
      <c r="HA376" s="194"/>
      <c r="HB376" s="195"/>
      <c r="HC376" s="196"/>
      <c r="HD376" s="197"/>
      <c r="HE376" s="198"/>
      <c r="HF376" s="199"/>
      <c r="HG376" s="200"/>
      <c r="HH376" s="201"/>
      <c r="HI376" s="60"/>
      <c r="HJ376" s="202"/>
      <c r="HK376" s="202"/>
      <c r="HL376" s="202"/>
      <c r="HM376" s="202"/>
      <c r="HN376" s="203"/>
    </row>
    <row r="377" spans="1:222" ht="16.5" customHeight="1">
      <c r="A377" s="181">
        <v>374</v>
      </c>
      <c r="B377" s="182">
        <v>4812923178</v>
      </c>
      <c r="C377" s="183" t="s">
        <v>2701</v>
      </c>
      <c r="D377" s="184" t="s">
        <v>2702</v>
      </c>
      <c r="E377" s="184" t="str">
        <f t="shared" si="33"/>
        <v>Import</v>
      </c>
      <c r="F377" s="720" t="str" cm="1">
        <f t="array" ref="F377">_xlfn.IFS(
  OR(AI377="E11", AI377="E15"), "Raw materials",
  OR(AI377="E13", AI377="G13"), "Equipments + Toolings",
  TRUE, RIGHT(C377, 8)
)</f>
        <v>Raw materials</v>
      </c>
      <c r="G377" s="541" t="str" cm="1">
        <f t="array" ref="G377">IF(E377="Import",
  IFERROR(
    _xlfn.IFS(
      VLOOKUP(B377,[1]Material!F$5:U$90000,16,0)="LUC","Lucid",
      VLOOKUP(B377,[1]Material!F$5:U$90000,16,0)="FMC","FORD",
      OR(VLOOKUP(B377,[1]Material!F$5:U$90000,16,0)="PUR",VLOOKUP(B377,[1]Material!F$5:U$90000,16,0)="HLO"),"PURE",
      VLOOKUP(B377,[1]Material!F$5:U$90000,16,0)="AIC","AIC",
      OR(VLOOKUP(B377,[1]Material!F$5:U$90000,16,0)="AGI",VLOOKUP(B377,[1]Material!F$5:U$90000,16,0)="AGIGA"),"AGIGA",
      OR(LEFT(VLOOKUP(B377,[1]Material!F$5:U$90000,16,0),3)="EF-",VLOOKUP(B377,[1]Material!F$5:U$90000,16,0)="EFI"),"EFI",
      AND(ISNUMBER(VLOOKUP(B377,[1]Material!F$5:U$90000,16,0)),VLOOKUP(B377,[1]Material!F$5:U$90000,16,0)&gt;=100,VLOOKUP(B377,[1]Material!F$5:U$90000,16,0)&lt;=999,VLOOKUP(B377,[1]Material!F$5:U$90000,16,0)=INT(VLOOKUP(B377,[1]Material!F$5:U$90000,16,0))),"OEM",
      TRUE,""
    ),
    "không tìm thấy trong file Import"
  ),
  VLOOKUP(F377,'[2]Export shipment'!B:Y,24,0)
)</f>
        <v>PURE</v>
      </c>
      <c r="H377" s="184"/>
      <c r="I377" s="184"/>
      <c r="J377" s="260">
        <f>(V377+X377+AA377)/'Logistics record '!$AD$1</f>
        <v>15.116015418335726</v>
      </c>
      <c r="K377" s="260">
        <f>W377/'Logistics record '!$AD$1</f>
        <v>22.674023127503592</v>
      </c>
      <c r="L377" s="260">
        <f>Y377/'Logistics record '!$AD$1</f>
        <v>0</v>
      </c>
      <c r="M377" s="260">
        <f>AF377/'Logistics record '!$AD$1</f>
        <v>21.438364447131736</v>
      </c>
      <c r="N377" s="260" t="str" cm="1">
        <f t="array" ref="N377">_xlfn.IFS(
    OR(UPPER(S377)="AIR", UPPER(S377)="CPN"), "AIR",
    UPPER(S377)="TC", "LOCAL",
    TRUE, "SEA"
)</f>
        <v>AIR</v>
      </c>
      <c r="O377" s="260">
        <f t="shared" si="34"/>
        <v>59.228402992971056</v>
      </c>
      <c r="P377" s="184" t="s">
        <v>932</v>
      </c>
      <c r="Q377" s="185">
        <v>108342448060</v>
      </c>
      <c r="R377" s="186">
        <v>46188</v>
      </c>
      <c r="S377" s="187" t="s">
        <v>65</v>
      </c>
      <c r="T377" s="188">
        <v>173</v>
      </c>
      <c r="U377" s="188"/>
      <c r="V377" s="189">
        <v>400000</v>
      </c>
      <c r="W377" s="190">
        <v>600000</v>
      </c>
      <c r="X377" s="190"/>
      <c r="Y377" s="190"/>
      <c r="Z377" s="189">
        <f t="shared" si="30"/>
        <v>1000000</v>
      </c>
      <c r="AA377" s="189">
        <v>0</v>
      </c>
      <c r="AB377" s="189">
        <f t="shared" si="35"/>
        <v>1000000</v>
      </c>
      <c r="AC377" s="189"/>
      <c r="AD377" s="190"/>
      <c r="AE377" s="190">
        <v>567302</v>
      </c>
      <c r="AF377" s="191">
        <f t="shared" si="31"/>
        <v>567302</v>
      </c>
      <c r="AG377" s="190">
        <f t="shared" si="32"/>
        <v>1567302</v>
      </c>
      <c r="AH377" s="190"/>
      <c r="AI377" s="192" t="str">
        <f>VLOOKUP(Q377,[3]Sheet1!B$11:G$1489,6,0)</f>
        <v>E11</v>
      </c>
      <c r="GK377" s="194"/>
      <c r="GL377" s="195"/>
      <c r="GM377" s="196"/>
      <c r="GN377" s="197"/>
      <c r="GO377" s="198"/>
      <c r="GP377" s="199"/>
      <c r="GQ377" s="200"/>
      <c r="GR377" s="201"/>
      <c r="GS377" s="60"/>
      <c r="GT377" s="202"/>
      <c r="GU377" s="202"/>
      <c r="GV377" s="202"/>
      <c r="GW377" s="202"/>
      <c r="GX377" s="203"/>
      <c r="HA377" s="194"/>
      <c r="HB377" s="195"/>
      <c r="HC377" s="196"/>
      <c r="HD377" s="197"/>
      <c r="HE377" s="198"/>
      <c r="HF377" s="199"/>
      <c r="HG377" s="200"/>
      <c r="HH377" s="201"/>
      <c r="HI377" s="60"/>
      <c r="HJ377" s="202"/>
      <c r="HK377" s="202"/>
      <c r="HL377" s="202"/>
      <c r="HM377" s="202"/>
      <c r="HN377" s="203"/>
    </row>
    <row r="378" spans="1:222" ht="16.5" customHeight="1">
      <c r="A378" s="181">
        <v>375</v>
      </c>
      <c r="B378" s="182">
        <v>872881246346</v>
      </c>
      <c r="C378" s="183" t="s">
        <v>2703</v>
      </c>
      <c r="D378" s="184" t="s">
        <v>2037</v>
      </c>
      <c r="E378" s="184" t="str">
        <f t="shared" si="33"/>
        <v>Import</v>
      </c>
      <c r="F378" s="720" t="str" cm="1">
        <f t="array" ref="F378">_xlfn.IFS(
  OR(AI378="E11", AI378="E15"), "Raw materials",
  OR(AI378="E13", AI378="G13"), "Equipments + Toolings",
  TRUE, RIGHT(C378, 8)
)</f>
        <v>Raw materials</v>
      </c>
      <c r="G378" s="541" t="str" cm="1">
        <f t="array" ref="G378">IF(E378="Import",
  IFERROR(
    _xlfn.IFS(
      VLOOKUP(B378,[1]Material!F$5:U$90000,16,0)="LUC","Lucid",
      VLOOKUP(B378,[1]Material!F$5:U$90000,16,0)="FMC","FORD",
      OR(VLOOKUP(B378,[1]Material!F$5:U$90000,16,0)="PUR",VLOOKUP(B378,[1]Material!F$5:U$90000,16,0)="HLO"),"PURE",
      VLOOKUP(B378,[1]Material!F$5:U$90000,16,0)="AIC","AIC",
      OR(VLOOKUP(B378,[1]Material!F$5:U$90000,16,0)="AGI",VLOOKUP(B378,[1]Material!F$5:U$90000,16,0)="AGIGA"),"AGIGA",
      OR(LEFT(VLOOKUP(B378,[1]Material!F$5:U$90000,16,0),3)="EF-",VLOOKUP(B378,[1]Material!F$5:U$90000,16,0)="EFI"),"EFI",
      AND(ISNUMBER(VLOOKUP(B378,[1]Material!F$5:U$90000,16,0)),VLOOKUP(B378,[1]Material!F$5:U$90000,16,0)&gt;=100,VLOOKUP(B378,[1]Material!F$5:U$90000,16,0)&lt;=999,VLOOKUP(B378,[1]Material!F$5:U$90000,16,0)=INT(VLOOKUP(B378,[1]Material!F$5:U$90000,16,0))),"OEM",
      TRUE,""
    ),
    "không tìm thấy trong file Import"
  ),
  VLOOKUP(F378,'[2]Export shipment'!B:Y,24,0)
)</f>
        <v>OEM</v>
      </c>
      <c r="H378" s="184"/>
      <c r="I378" s="184"/>
      <c r="J378" s="260">
        <f>(V378+X378+AA378)/'Logistics record '!$AD$1</f>
        <v>15.116015418335726</v>
      </c>
      <c r="K378" s="260">
        <f>W378/'Logistics record '!$AD$1</f>
        <v>0</v>
      </c>
      <c r="L378" s="260">
        <f>Y378/'Logistics record '!$AD$1</f>
        <v>0</v>
      </c>
      <c r="M378" s="260">
        <f>AF378/'Logistics record '!$AD$1</f>
        <v>0</v>
      </c>
      <c r="N378" s="260" t="str" cm="1">
        <f t="array" ref="N378">_xlfn.IFS(
    OR(UPPER(S378)="AIR", UPPER(S378)="CPN"), "AIR",
    UPPER(S378)="TC", "LOCAL",
    TRUE, "SEA"
)</f>
        <v>AIR</v>
      </c>
      <c r="O378" s="260">
        <f t="shared" si="34"/>
        <v>15.116015418335726</v>
      </c>
      <c r="P378" s="184" t="s">
        <v>931</v>
      </c>
      <c r="Q378" s="185">
        <v>108342595800</v>
      </c>
      <c r="R378" s="186">
        <v>46188</v>
      </c>
      <c r="S378" s="187" t="s">
        <v>928</v>
      </c>
      <c r="T378" s="188">
        <v>0.8</v>
      </c>
      <c r="U378" s="188"/>
      <c r="V378" s="189">
        <v>400000</v>
      </c>
      <c r="W378" s="190"/>
      <c r="X378" s="190"/>
      <c r="Y378" s="190"/>
      <c r="Z378" s="189">
        <f t="shared" si="30"/>
        <v>400000</v>
      </c>
      <c r="AA378" s="189">
        <v>0</v>
      </c>
      <c r="AB378" s="189">
        <f t="shared" si="35"/>
        <v>400000</v>
      </c>
      <c r="AC378" s="189"/>
      <c r="AD378" s="190"/>
      <c r="AE378" s="190"/>
      <c r="AF378" s="191">
        <f t="shared" si="31"/>
        <v>0</v>
      </c>
      <c r="AG378" s="190">
        <f t="shared" si="32"/>
        <v>400000</v>
      </c>
      <c r="AH378" s="190"/>
      <c r="AI378" s="192" t="str">
        <f>VLOOKUP(Q378,[3]Sheet1!B$11:G$1489,6,0)</f>
        <v>E11</v>
      </c>
      <c r="GK378" s="194"/>
      <c r="GL378" s="195"/>
      <c r="GM378" s="196"/>
      <c r="GN378" s="197"/>
      <c r="GO378" s="198"/>
      <c r="GP378" s="199"/>
      <c r="GQ378" s="200"/>
      <c r="GR378" s="201"/>
      <c r="GS378" s="60"/>
      <c r="GT378" s="202"/>
      <c r="GU378" s="202"/>
      <c r="GV378" s="202"/>
      <c r="GW378" s="202"/>
      <c r="GX378" s="203"/>
      <c r="HA378" s="194"/>
      <c r="HB378" s="195"/>
      <c r="HC378" s="196"/>
      <c r="HD378" s="197"/>
      <c r="HE378" s="198"/>
      <c r="HF378" s="199"/>
      <c r="HG378" s="200"/>
      <c r="HH378" s="201"/>
      <c r="HI378" s="60"/>
      <c r="HJ378" s="202"/>
      <c r="HK378" s="202"/>
      <c r="HL378" s="202"/>
      <c r="HM378" s="202"/>
      <c r="HN378" s="203"/>
    </row>
    <row r="379" spans="1:222" ht="16.5" customHeight="1">
      <c r="A379" s="181">
        <v>376</v>
      </c>
      <c r="B379" s="182">
        <v>2879992253</v>
      </c>
      <c r="C379" s="183" t="s">
        <v>2704</v>
      </c>
      <c r="D379" s="184" t="s">
        <v>941</v>
      </c>
      <c r="E379" s="184" t="str">
        <f t="shared" si="33"/>
        <v>Import</v>
      </c>
      <c r="F379" s="720" t="str" cm="1">
        <f t="array" ref="F379">_xlfn.IFS(
  OR(AI379="E11", AI379="E15"), "Raw materials",
  OR(AI379="E13", AI379="G13"), "Equipments + Toolings",
  TRUE, RIGHT(C379, 8)
)</f>
        <v>Raw materials</v>
      </c>
      <c r="G379" s="541" t="str" cm="1">
        <f t="array" ref="G379">IF(E379="Import",
  IFERROR(
    _xlfn.IFS(
      VLOOKUP(B379,[1]Material!F$5:U$90000,16,0)="LUC","Lucid",
      VLOOKUP(B379,[1]Material!F$5:U$90000,16,0)="FMC","FORD",
      OR(VLOOKUP(B379,[1]Material!F$5:U$90000,16,0)="PUR",VLOOKUP(B379,[1]Material!F$5:U$90000,16,0)="HLO"),"PURE",
      VLOOKUP(B379,[1]Material!F$5:U$90000,16,0)="AIC","AIC",
      OR(VLOOKUP(B379,[1]Material!F$5:U$90000,16,0)="AGI",VLOOKUP(B379,[1]Material!F$5:U$90000,16,0)="AGIGA"),"AGIGA",
      OR(LEFT(VLOOKUP(B379,[1]Material!F$5:U$90000,16,0),3)="EF-",VLOOKUP(B379,[1]Material!F$5:U$90000,16,0)="EFI"),"EFI",
      AND(ISNUMBER(VLOOKUP(B379,[1]Material!F$5:U$90000,16,0)),VLOOKUP(B379,[1]Material!F$5:U$90000,16,0)&gt;=100,VLOOKUP(B379,[1]Material!F$5:U$90000,16,0)&lt;=999,VLOOKUP(B379,[1]Material!F$5:U$90000,16,0)=INT(VLOOKUP(B379,[1]Material!F$5:U$90000,16,0))),"OEM",
      TRUE,""
    ),
    "không tìm thấy trong file Import"
  ),
  VLOOKUP(F379,'[2]Export shipment'!B:Y,24,0)
)</f>
        <v>Lucid</v>
      </c>
      <c r="H379" s="184"/>
      <c r="I379" s="184"/>
      <c r="J379" s="260">
        <f>(V379+X379+AA379)/'Logistics record '!$AD$1</f>
        <v>15.116015418335726</v>
      </c>
      <c r="K379" s="260">
        <f>W379/'Logistics record '!$AD$1</f>
        <v>0</v>
      </c>
      <c r="L379" s="260">
        <f>Y379/'Logistics record '!$AD$1</f>
        <v>0</v>
      </c>
      <c r="M379" s="260">
        <f>AF379/'Logistics record '!$AD$1</f>
        <v>0</v>
      </c>
      <c r="N379" s="260" t="str" cm="1">
        <f t="array" ref="N379">_xlfn.IFS(
    OR(UPPER(S379)="AIR", UPPER(S379)="CPN"), "AIR",
    UPPER(S379)="TC", "LOCAL",
    TRUE, "SEA"
)</f>
        <v>AIR</v>
      </c>
      <c r="O379" s="260">
        <f t="shared" si="34"/>
        <v>15.116015418335726</v>
      </c>
      <c r="P379" s="184" t="s">
        <v>935</v>
      </c>
      <c r="Q379" s="185">
        <v>108342708020</v>
      </c>
      <c r="R379" s="186">
        <v>46188</v>
      </c>
      <c r="S379" s="187" t="s">
        <v>928</v>
      </c>
      <c r="T379" s="188">
        <v>189.1</v>
      </c>
      <c r="U379" s="188"/>
      <c r="V379" s="189">
        <v>400000</v>
      </c>
      <c r="W379" s="190"/>
      <c r="X379" s="190"/>
      <c r="Y379" s="190"/>
      <c r="Z379" s="189">
        <f t="shared" si="30"/>
        <v>400000</v>
      </c>
      <c r="AA379" s="189">
        <v>0</v>
      </c>
      <c r="AB379" s="189">
        <f t="shared" si="35"/>
        <v>400000</v>
      </c>
      <c r="AC379" s="189"/>
      <c r="AD379" s="190"/>
      <c r="AE379" s="190"/>
      <c r="AF379" s="191">
        <f t="shared" si="31"/>
        <v>0</v>
      </c>
      <c r="AG379" s="190">
        <f t="shared" si="32"/>
        <v>400000</v>
      </c>
      <c r="AH379" s="190"/>
      <c r="AI379" s="192" t="str">
        <f>VLOOKUP(Q379,[3]Sheet1!B$11:G$1489,6,0)</f>
        <v>E11</v>
      </c>
      <c r="GK379" s="194"/>
      <c r="GL379" s="195"/>
      <c r="GM379" s="196"/>
      <c r="GN379" s="197"/>
      <c r="GO379" s="198"/>
      <c r="GP379" s="199"/>
      <c r="GQ379" s="200"/>
      <c r="GR379" s="201"/>
      <c r="GS379" s="60"/>
      <c r="GT379" s="202"/>
      <c r="GU379" s="202"/>
      <c r="GV379" s="202"/>
      <c r="GW379" s="202"/>
      <c r="GX379" s="203"/>
      <c r="HA379" s="194"/>
      <c r="HB379" s="195"/>
      <c r="HC379" s="196"/>
      <c r="HD379" s="197"/>
      <c r="HE379" s="198"/>
      <c r="HF379" s="199"/>
      <c r="HG379" s="200"/>
      <c r="HH379" s="201"/>
      <c r="HI379" s="60"/>
      <c r="HJ379" s="202"/>
      <c r="HK379" s="202"/>
      <c r="HL379" s="202"/>
      <c r="HM379" s="202"/>
      <c r="HN379" s="203"/>
    </row>
    <row r="380" spans="1:222" ht="16.5" customHeight="1">
      <c r="A380" s="181">
        <v>377</v>
      </c>
      <c r="B380" s="182">
        <v>2879992253</v>
      </c>
      <c r="C380" s="183" t="s">
        <v>2704</v>
      </c>
      <c r="D380" s="184" t="s">
        <v>941</v>
      </c>
      <c r="E380" s="184" t="str">
        <f t="shared" si="33"/>
        <v>Import</v>
      </c>
      <c r="F380" s="720" t="str" cm="1">
        <f t="array" ref="F380">_xlfn.IFS(
  OR(AI380="E11", AI380="E15"), "Raw materials",
  OR(AI380="E13", AI380="G13"), "Equipments + Toolings",
  TRUE, RIGHT(C380, 8)
)</f>
        <v>Raw materials</v>
      </c>
      <c r="G380" s="541" t="str" cm="1">
        <f t="array" ref="G380">IF(E380="Import",
  IFERROR(
    _xlfn.IFS(
      VLOOKUP(B380,[1]Material!F$5:U$90000,16,0)="LUC","Lucid",
      VLOOKUP(B380,[1]Material!F$5:U$90000,16,0)="FMC","FORD",
      OR(VLOOKUP(B380,[1]Material!F$5:U$90000,16,0)="PUR",VLOOKUP(B380,[1]Material!F$5:U$90000,16,0)="HLO"),"PURE",
      VLOOKUP(B380,[1]Material!F$5:U$90000,16,0)="AIC","AIC",
      OR(VLOOKUP(B380,[1]Material!F$5:U$90000,16,0)="AGI",VLOOKUP(B380,[1]Material!F$5:U$90000,16,0)="AGIGA"),"AGIGA",
      OR(LEFT(VLOOKUP(B380,[1]Material!F$5:U$90000,16,0),3)="EF-",VLOOKUP(B380,[1]Material!F$5:U$90000,16,0)="EFI"),"EFI",
      AND(ISNUMBER(VLOOKUP(B380,[1]Material!F$5:U$90000,16,0)),VLOOKUP(B380,[1]Material!F$5:U$90000,16,0)&gt;=100,VLOOKUP(B380,[1]Material!F$5:U$90000,16,0)&lt;=999,VLOOKUP(B380,[1]Material!F$5:U$90000,16,0)=INT(VLOOKUP(B380,[1]Material!F$5:U$90000,16,0))),"OEM",
      TRUE,""
    ),
    "không tìm thấy trong file Import"
  ),
  VLOOKUP(F380,'[2]Export shipment'!B:Y,24,0)
)</f>
        <v>Lucid</v>
      </c>
      <c r="H380" s="184"/>
      <c r="I380" s="184"/>
      <c r="J380" s="260">
        <f>(V380+X380+AA380)/'Logistics record '!$AD$1</f>
        <v>11.337011563751796</v>
      </c>
      <c r="K380" s="260">
        <f>W380/'Logistics record '!$AD$1</f>
        <v>0</v>
      </c>
      <c r="L380" s="260">
        <f>Y380/'Logistics record '!$AD$1</f>
        <v>0</v>
      </c>
      <c r="M380" s="260">
        <f>AF380/'Logistics record '!$AD$1</f>
        <v>0</v>
      </c>
      <c r="N380" s="260" t="str" cm="1">
        <f t="array" ref="N380">_xlfn.IFS(
    OR(UPPER(S380)="AIR", UPPER(S380)="CPN"), "AIR",
    UPPER(S380)="TC", "LOCAL",
    TRUE, "SEA"
)</f>
        <v>AIR</v>
      </c>
      <c r="O380" s="260">
        <f t="shared" si="34"/>
        <v>11.337011563751796</v>
      </c>
      <c r="P380" s="184" t="s">
        <v>935</v>
      </c>
      <c r="Q380" s="185">
        <v>108342721760</v>
      </c>
      <c r="R380" s="186">
        <v>46188</v>
      </c>
      <c r="S380" s="187" t="s">
        <v>928</v>
      </c>
      <c r="T380" s="188">
        <v>189.1</v>
      </c>
      <c r="U380" s="188"/>
      <c r="V380" s="189">
        <v>300000</v>
      </c>
      <c r="W380" s="190"/>
      <c r="X380" s="190"/>
      <c r="Y380" s="190"/>
      <c r="Z380" s="189">
        <f t="shared" si="30"/>
        <v>300000</v>
      </c>
      <c r="AA380" s="189">
        <v>0</v>
      </c>
      <c r="AB380" s="189">
        <f t="shared" si="35"/>
        <v>300000</v>
      </c>
      <c r="AC380" s="189"/>
      <c r="AD380" s="190"/>
      <c r="AE380" s="190"/>
      <c r="AF380" s="191">
        <f t="shared" si="31"/>
        <v>0</v>
      </c>
      <c r="AG380" s="190">
        <f t="shared" si="32"/>
        <v>300000</v>
      </c>
      <c r="AH380" s="190"/>
      <c r="AI380" s="192" t="str">
        <f>VLOOKUP(Q380,[3]Sheet1!B$11:G$1489,6,0)</f>
        <v>E11</v>
      </c>
      <c r="GK380" s="194"/>
      <c r="GL380" s="195"/>
      <c r="GM380" s="196"/>
      <c r="GN380" s="197"/>
      <c r="GO380" s="198"/>
      <c r="GP380" s="199"/>
      <c r="GQ380" s="200"/>
      <c r="GR380" s="201"/>
      <c r="GS380" s="60"/>
      <c r="GT380" s="202"/>
      <c r="GU380" s="202"/>
      <c r="GV380" s="202"/>
      <c r="GW380" s="202"/>
      <c r="GX380" s="203"/>
      <c r="HA380" s="194"/>
      <c r="HB380" s="195"/>
      <c r="HC380" s="196"/>
      <c r="HD380" s="197"/>
      <c r="HE380" s="198"/>
      <c r="HF380" s="199"/>
      <c r="HG380" s="200"/>
      <c r="HH380" s="201"/>
      <c r="HI380" s="60"/>
      <c r="HJ380" s="202"/>
      <c r="HK380" s="202"/>
      <c r="HL380" s="202"/>
      <c r="HM380" s="202"/>
      <c r="HN380" s="203"/>
    </row>
    <row r="381" spans="1:222" ht="16.5" customHeight="1">
      <c r="A381" s="181">
        <v>378</v>
      </c>
      <c r="B381" s="182" t="s">
        <v>2705</v>
      </c>
      <c r="C381" s="183" t="s">
        <v>2706</v>
      </c>
      <c r="D381" s="184" t="s">
        <v>973</v>
      </c>
      <c r="E381" s="184" t="str">
        <f t="shared" si="33"/>
        <v>Import</v>
      </c>
      <c r="F381" s="720" t="str" cm="1">
        <f t="array" ref="F381">_xlfn.IFS(
  OR(AI381="E11", AI381="E15"), "Raw materials",
  OR(AI381="E13", AI381="G13"), "Equipments + Toolings",
  TRUE, RIGHT(C381, 8)
)</f>
        <v>Raw materials</v>
      </c>
      <c r="G381" s="541" t="str" cm="1">
        <f t="array" ref="G381">IF(E381="Import",
  IFERROR(
    _xlfn.IFS(
      VLOOKUP(B381,[1]Material!F$5:U$90000,16,0)="LUC","Lucid",
      VLOOKUP(B381,[1]Material!F$5:U$90000,16,0)="FMC","FORD",
      OR(VLOOKUP(B381,[1]Material!F$5:U$90000,16,0)="PUR",VLOOKUP(B381,[1]Material!F$5:U$90000,16,0)="HLO"),"PURE",
      VLOOKUP(B381,[1]Material!F$5:U$90000,16,0)="AIC","AIC",
      OR(VLOOKUP(B381,[1]Material!F$5:U$90000,16,0)="AGI",VLOOKUP(B381,[1]Material!F$5:U$90000,16,0)="AGIGA"),"AGIGA",
      OR(LEFT(VLOOKUP(B381,[1]Material!F$5:U$90000,16,0),3)="EF-",VLOOKUP(B381,[1]Material!F$5:U$90000,16,0)="EFI"),"EFI",
      AND(ISNUMBER(VLOOKUP(B381,[1]Material!F$5:U$90000,16,0)),VLOOKUP(B381,[1]Material!F$5:U$90000,16,0)&gt;=100,VLOOKUP(B381,[1]Material!F$5:U$90000,16,0)&lt;=999,VLOOKUP(B381,[1]Material!F$5:U$90000,16,0)=INT(VLOOKUP(B381,[1]Material!F$5:U$90000,16,0))),"OEM",
      TRUE,""
    ),
    "không tìm thấy trong file Import"
  ),
  VLOOKUP(F381,'[2]Export shipment'!B:Y,24,0)
)</f>
        <v>PURE</v>
      </c>
      <c r="H381" s="184"/>
      <c r="I381" s="184"/>
      <c r="J381" s="260">
        <f>(V381+X381+AA381)/'Logistics record '!$AD$1</f>
        <v>15.116015418335726</v>
      </c>
      <c r="K381" s="260">
        <f>W381/'Logistics record '!$AD$1</f>
        <v>0</v>
      </c>
      <c r="L381" s="260">
        <f>Y381/'Logistics record '!$AD$1</f>
        <v>0</v>
      </c>
      <c r="M381" s="260">
        <f>AF381/'Logistics record '!$AD$1</f>
        <v>0</v>
      </c>
      <c r="N381" s="260" t="str" cm="1">
        <f t="array" ref="N381">_xlfn.IFS(
    OR(UPPER(S381)="AIR", UPPER(S381)="CPN"), "AIR",
    UPPER(S381)="TC", "LOCAL",
    TRUE, "SEA"
)</f>
        <v>AIR</v>
      </c>
      <c r="O381" s="260">
        <f t="shared" si="34"/>
        <v>15.116015418335726</v>
      </c>
      <c r="P381" s="184" t="s">
        <v>937</v>
      </c>
      <c r="Q381" s="185">
        <v>108342834830</v>
      </c>
      <c r="R381" s="186">
        <v>46188</v>
      </c>
      <c r="S381" s="187" t="s">
        <v>65</v>
      </c>
      <c r="T381" s="188">
        <v>58</v>
      </c>
      <c r="U381" s="188"/>
      <c r="V381" s="189">
        <v>400000</v>
      </c>
      <c r="W381" s="190"/>
      <c r="X381" s="190"/>
      <c r="Y381" s="190"/>
      <c r="Z381" s="189">
        <f t="shared" si="30"/>
        <v>400000</v>
      </c>
      <c r="AA381" s="189">
        <v>0</v>
      </c>
      <c r="AB381" s="189">
        <f t="shared" si="35"/>
        <v>400000</v>
      </c>
      <c r="AC381" s="189"/>
      <c r="AD381" s="190"/>
      <c r="AE381" s="190"/>
      <c r="AF381" s="191">
        <f t="shared" si="31"/>
        <v>0</v>
      </c>
      <c r="AG381" s="190">
        <f t="shared" si="32"/>
        <v>400000</v>
      </c>
      <c r="AH381" s="190"/>
      <c r="AI381" s="192" t="str">
        <f>VLOOKUP(Q381,[3]Sheet1!B$11:G$1489,6,0)</f>
        <v>E11</v>
      </c>
      <c r="GK381" s="194"/>
      <c r="GL381" s="195"/>
      <c r="GM381" s="196"/>
      <c r="GN381" s="197"/>
      <c r="GO381" s="198"/>
      <c r="GP381" s="199"/>
      <c r="GQ381" s="200"/>
      <c r="GR381" s="201"/>
      <c r="GS381" s="60"/>
      <c r="GT381" s="202"/>
      <c r="GU381" s="202"/>
      <c r="GV381" s="202"/>
      <c r="GW381" s="202"/>
      <c r="GX381" s="203"/>
      <c r="HA381" s="194"/>
      <c r="HB381" s="195"/>
      <c r="HC381" s="196"/>
      <c r="HD381" s="197"/>
      <c r="HE381" s="198"/>
      <c r="HF381" s="199"/>
      <c r="HG381" s="200"/>
      <c r="HH381" s="201"/>
      <c r="HI381" s="60"/>
      <c r="HJ381" s="202"/>
      <c r="HK381" s="202"/>
      <c r="HL381" s="202"/>
      <c r="HM381" s="202"/>
      <c r="HN381" s="203"/>
    </row>
    <row r="382" spans="1:222" ht="16.5" customHeight="1">
      <c r="A382" s="181">
        <v>379</v>
      </c>
      <c r="B382" s="182">
        <v>1848752496</v>
      </c>
      <c r="C382" s="183" t="s">
        <v>2707</v>
      </c>
      <c r="D382" s="184" t="s">
        <v>2708</v>
      </c>
      <c r="E382" s="184" t="str">
        <f t="shared" si="33"/>
        <v>Import</v>
      </c>
      <c r="F382" s="720" t="str" cm="1">
        <f t="array" ref="F382">_xlfn.IFS(
  OR(AI382="E11", AI382="E15"), "Raw materials",
  OR(AI382="E13", AI382="G13"), "Equipments + Toolings",
  TRUE, RIGHT(C382, 8)
)</f>
        <v>Raw materials</v>
      </c>
      <c r="G382" s="541" t="str" cm="1">
        <f t="array" ref="G382">IF(E382="Import",
  IFERROR(
    _xlfn.IFS(
      VLOOKUP(B382,[1]Material!F$5:U$90000,16,0)="LUC","Lucid",
      VLOOKUP(B382,[1]Material!F$5:U$90000,16,0)="FMC","FORD",
      OR(VLOOKUP(B382,[1]Material!F$5:U$90000,16,0)="PUR",VLOOKUP(B382,[1]Material!F$5:U$90000,16,0)="HLO"),"PURE",
      VLOOKUP(B382,[1]Material!F$5:U$90000,16,0)="AIC","AIC",
      OR(VLOOKUP(B382,[1]Material!F$5:U$90000,16,0)="AGI",VLOOKUP(B382,[1]Material!F$5:U$90000,16,0)="AGIGA"),"AGIGA",
      OR(LEFT(VLOOKUP(B382,[1]Material!F$5:U$90000,16,0),3)="EF-",VLOOKUP(B382,[1]Material!F$5:U$90000,16,0)="EFI"),"EFI",
      AND(ISNUMBER(VLOOKUP(B382,[1]Material!F$5:U$90000,16,0)),VLOOKUP(B382,[1]Material!F$5:U$90000,16,0)&gt;=100,VLOOKUP(B382,[1]Material!F$5:U$90000,16,0)&lt;=999,VLOOKUP(B382,[1]Material!F$5:U$90000,16,0)=INT(VLOOKUP(B382,[1]Material!F$5:U$90000,16,0))),"OEM",
      TRUE,""
    ),
    "không tìm thấy trong file Import"
  ),
  VLOOKUP(F382,'[2]Export shipment'!B:Y,24,0)
)</f>
        <v>PURE</v>
      </c>
      <c r="H382" s="184"/>
      <c r="I382" s="184"/>
      <c r="J382" s="260">
        <f>(V382+X382+AA382)/'Logistics record '!$AD$1</f>
        <v>15.116015418335726</v>
      </c>
      <c r="K382" s="260">
        <f>W382/'Logistics record '!$AD$1</f>
        <v>0</v>
      </c>
      <c r="L382" s="260">
        <f>Y382/'Logistics record '!$AD$1</f>
        <v>0</v>
      </c>
      <c r="M382" s="260">
        <f>AF382/'Logistics record '!$AD$1</f>
        <v>0</v>
      </c>
      <c r="N382" s="260" t="str" cm="1">
        <f t="array" ref="N382">_xlfn.IFS(
    OR(UPPER(S382)="AIR", UPPER(S382)="CPN"), "AIR",
    UPPER(S382)="TC", "LOCAL",
    TRUE, "SEA"
)</f>
        <v>AIR</v>
      </c>
      <c r="O382" s="260">
        <f t="shared" si="34"/>
        <v>15.116015418335726</v>
      </c>
      <c r="P382" s="184" t="s">
        <v>943</v>
      </c>
      <c r="Q382" s="185">
        <v>108345418310</v>
      </c>
      <c r="R382" s="186">
        <v>46189</v>
      </c>
      <c r="S382" s="187" t="s">
        <v>928</v>
      </c>
      <c r="T382" s="188">
        <v>6.2</v>
      </c>
      <c r="U382" s="188"/>
      <c r="V382" s="189">
        <v>400000</v>
      </c>
      <c r="W382" s="190"/>
      <c r="X382" s="190"/>
      <c r="Y382" s="190"/>
      <c r="Z382" s="189">
        <f t="shared" si="30"/>
        <v>400000</v>
      </c>
      <c r="AA382" s="189">
        <v>0</v>
      </c>
      <c r="AB382" s="189">
        <f t="shared" si="35"/>
        <v>400000</v>
      </c>
      <c r="AC382" s="189"/>
      <c r="AD382" s="190"/>
      <c r="AE382" s="190"/>
      <c r="AF382" s="191">
        <f t="shared" si="31"/>
        <v>0</v>
      </c>
      <c r="AG382" s="190">
        <f t="shared" si="32"/>
        <v>400000</v>
      </c>
      <c r="AH382" s="190"/>
      <c r="AI382" s="192" t="str">
        <f>VLOOKUP(Q382,[3]Sheet1!B$11:G$1489,6,0)</f>
        <v>E11</v>
      </c>
      <c r="GK382" s="194"/>
      <c r="GL382" s="195"/>
      <c r="GM382" s="196"/>
      <c r="GN382" s="197"/>
      <c r="GO382" s="198"/>
      <c r="GP382" s="199"/>
      <c r="GQ382" s="200"/>
      <c r="GR382" s="201"/>
      <c r="GS382" s="60"/>
      <c r="GT382" s="202"/>
      <c r="GU382" s="202"/>
      <c r="GV382" s="202"/>
      <c r="GW382" s="202"/>
      <c r="GX382" s="203"/>
      <c r="HA382" s="194"/>
      <c r="HB382" s="195"/>
      <c r="HC382" s="196"/>
      <c r="HD382" s="197"/>
      <c r="HE382" s="198"/>
      <c r="HF382" s="199"/>
      <c r="HG382" s="200"/>
      <c r="HH382" s="201"/>
      <c r="HI382" s="60"/>
      <c r="HJ382" s="202"/>
      <c r="HK382" s="202"/>
      <c r="HL382" s="202"/>
      <c r="HM382" s="202"/>
      <c r="HN382" s="203"/>
    </row>
    <row r="383" spans="1:222" ht="16.5" customHeight="1">
      <c r="A383" s="181">
        <v>380</v>
      </c>
      <c r="B383" s="182">
        <v>818547865277</v>
      </c>
      <c r="C383" s="183" t="s">
        <v>2709</v>
      </c>
      <c r="D383" s="184" t="s">
        <v>2513</v>
      </c>
      <c r="E383" s="184" t="str">
        <f t="shared" si="33"/>
        <v>Import</v>
      </c>
      <c r="F383" s="720" t="str" cm="1">
        <f t="array" ref="F383">_xlfn.IFS(
  OR(AI383="E11", AI383="E15"), "Raw materials",
  OR(AI383="E13", AI383="G13"), "Equipments + Toolings",
  TRUE, RIGHT(C383, 8)
)</f>
        <v>Raw materials</v>
      </c>
      <c r="G383" s="541" t="str" cm="1">
        <f t="array" ref="G383">IF(E383="Import",
  IFERROR(
    _xlfn.IFS(
      VLOOKUP(B383,[1]Material!F$5:U$90000,16,0)="LUC","Lucid",
      VLOOKUP(B383,[1]Material!F$5:U$90000,16,0)="FMC","FORD",
      OR(VLOOKUP(B383,[1]Material!F$5:U$90000,16,0)="PUR",VLOOKUP(B383,[1]Material!F$5:U$90000,16,0)="HLO"),"PURE",
      VLOOKUP(B383,[1]Material!F$5:U$90000,16,0)="AIC","AIC",
      OR(VLOOKUP(B383,[1]Material!F$5:U$90000,16,0)="AGI",VLOOKUP(B383,[1]Material!F$5:U$90000,16,0)="AGIGA"),"AGIGA",
      OR(LEFT(VLOOKUP(B383,[1]Material!F$5:U$90000,16,0),3)="EF-",VLOOKUP(B383,[1]Material!F$5:U$90000,16,0)="EFI"),"EFI",
      AND(ISNUMBER(VLOOKUP(B383,[1]Material!F$5:U$90000,16,0)),VLOOKUP(B383,[1]Material!F$5:U$90000,16,0)&gt;=100,VLOOKUP(B383,[1]Material!F$5:U$90000,16,0)&lt;=999,VLOOKUP(B383,[1]Material!F$5:U$90000,16,0)=INT(VLOOKUP(B383,[1]Material!F$5:U$90000,16,0))),"OEM",
      TRUE,""
    ),
    "không tìm thấy trong file Import"
  ),
  VLOOKUP(F383,'[2]Export shipment'!B:Y,24,0)
)</f>
        <v>FORD</v>
      </c>
      <c r="H383" s="184"/>
      <c r="I383" s="184"/>
      <c r="J383" s="260">
        <f>(V383+X383+AA383)/'Logistics record '!$AD$1</f>
        <v>15.116015418335726</v>
      </c>
      <c r="K383" s="260">
        <f>W383/'Logistics record '!$AD$1</f>
        <v>0</v>
      </c>
      <c r="L383" s="260">
        <f>Y383/'Logistics record '!$AD$1</f>
        <v>0</v>
      </c>
      <c r="M383" s="260">
        <f>AF383/'Logistics record '!$AD$1</f>
        <v>0</v>
      </c>
      <c r="N383" s="260" t="str" cm="1">
        <f t="array" ref="N383">_xlfn.IFS(
    OR(UPPER(S383)="AIR", UPPER(S383)="CPN"), "AIR",
    UPPER(S383)="TC", "LOCAL",
    TRUE, "SEA"
)</f>
        <v>AIR</v>
      </c>
      <c r="O383" s="260">
        <f t="shared" si="34"/>
        <v>15.116015418335726</v>
      </c>
      <c r="P383" s="184" t="s">
        <v>937</v>
      </c>
      <c r="Q383" s="185">
        <v>108345444540</v>
      </c>
      <c r="R383" s="186">
        <v>46189</v>
      </c>
      <c r="S383" s="187" t="s">
        <v>928</v>
      </c>
      <c r="T383" s="188">
        <v>1.3</v>
      </c>
      <c r="U383" s="188"/>
      <c r="V383" s="189">
        <v>400000</v>
      </c>
      <c r="W383" s="190"/>
      <c r="X383" s="190"/>
      <c r="Y383" s="190"/>
      <c r="Z383" s="189">
        <f t="shared" si="30"/>
        <v>400000</v>
      </c>
      <c r="AA383" s="189">
        <v>0</v>
      </c>
      <c r="AB383" s="189">
        <f t="shared" si="35"/>
        <v>400000</v>
      </c>
      <c r="AC383" s="189"/>
      <c r="AD383" s="190"/>
      <c r="AE383" s="190"/>
      <c r="AF383" s="191">
        <f t="shared" si="31"/>
        <v>0</v>
      </c>
      <c r="AG383" s="190">
        <f t="shared" si="32"/>
        <v>400000</v>
      </c>
      <c r="AH383" s="190"/>
      <c r="AI383" s="192" t="str">
        <f>VLOOKUP(Q383,[3]Sheet1!B$11:G$1489,6,0)</f>
        <v>E11</v>
      </c>
      <c r="GK383" s="194"/>
      <c r="GL383" s="195"/>
      <c r="GM383" s="196"/>
      <c r="GN383" s="197"/>
      <c r="GO383" s="198"/>
      <c r="GP383" s="199"/>
      <c r="GQ383" s="200"/>
      <c r="GR383" s="201"/>
      <c r="GS383" s="60"/>
      <c r="GT383" s="202"/>
      <c r="GU383" s="202"/>
      <c r="GV383" s="202"/>
      <c r="GW383" s="202"/>
      <c r="GX383" s="203"/>
      <c r="HA383" s="194"/>
      <c r="HB383" s="195"/>
      <c r="HC383" s="196"/>
      <c r="HD383" s="197"/>
      <c r="HE383" s="198"/>
      <c r="HF383" s="199"/>
      <c r="HG383" s="200"/>
      <c r="HH383" s="201"/>
      <c r="HI383" s="60"/>
      <c r="HJ383" s="202"/>
      <c r="HK383" s="202"/>
      <c r="HL383" s="202"/>
      <c r="HM383" s="202"/>
      <c r="HN383" s="203"/>
    </row>
    <row r="384" spans="1:222" ht="16.5" customHeight="1">
      <c r="A384" s="181">
        <v>381</v>
      </c>
      <c r="B384" s="182">
        <v>525688603100</v>
      </c>
      <c r="C384" s="183" t="s">
        <v>2710</v>
      </c>
      <c r="D384" s="184" t="s">
        <v>2711</v>
      </c>
      <c r="E384" s="184" t="str">
        <f t="shared" si="33"/>
        <v>Import</v>
      </c>
      <c r="F384" s="720" t="str" cm="1">
        <f t="array" ref="F384">_xlfn.IFS(
  OR(AI384="E11", AI384="E15"), "Raw materials",
  OR(AI384="E13", AI384="G13"), "Equipments + Toolings",
  TRUE, RIGHT(C384, 8)
)</f>
        <v>Raw materials</v>
      </c>
      <c r="G384" s="541" t="str" cm="1">
        <f t="array" ref="G384">IF(E384="Import",
  IFERROR(
    _xlfn.IFS(
      VLOOKUP(B384,[1]Material!F$5:U$90000,16,0)="LUC","Lucid",
      VLOOKUP(B384,[1]Material!F$5:U$90000,16,0)="FMC","FORD",
      OR(VLOOKUP(B384,[1]Material!F$5:U$90000,16,0)="PUR",VLOOKUP(B384,[1]Material!F$5:U$90000,16,0)="HLO"),"PURE",
      VLOOKUP(B384,[1]Material!F$5:U$90000,16,0)="AIC","AIC",
      OR(VLOOKUP(B384,[1]Material!F$5:U$90000,16,0)="AGI",VLOOKUP(B384,[1]Material!F$5:U$90000,16,0)="AGIGA"),"AGIGA",
      OR(LEFT(VLOOKUP(B384,[1]Material!F$5:U$90000,16,0),3)="EF-",VLOOKUP(B384,[1]Material!F$5:U$90000,16,0)="EFI"),"EFI",
      AND(ISNUMBER(VLOOKUP(B384,[1]Material!F$5:U$90000,16,0)),VLOOKUP(B384,[1]Material!F$5:U$90000,16,0)&gt;=100,VLOOKUP(B384,[1]Material!F$5:U$90000,16,0)&lt;=999,VLOOKUP(B384,[1]Material!F$5:U$90000,16,0)=INT(VLOOKUP(B384,[1]Material!F$5:U$90000,16,0))),"OEM",
      TRUE,""
    ),
    "không tìm thấy trong file Import"
  ),
  VLOOKUP(F384,'[2]Export shipment'!B:Y,24,0)
)</f>
        <v>Lucid</v>
      </c>
      <c r="H384" s="184"/>
      <c r="I384" s="184"/>
      <c r="J384" s="260">
        <f>(V384+X384+AA384)/'Logistics record '!$AD$1</f>
        <v>15.116015418335726</v>
      </c>
      <c r="K384" s="260">
        <f>W384/'Logistics record '!$AD$1</f>
        <v>0</v>
      </c>
      <c r="L384" s="260">
        <f>Y384/'Logistics record '!$AD$1</f>
        <v>0</v>
      </c>
      <c r="M384" s="260">
        <f>AF384/'Logistics record '!$AD$1</f>
        <v>0</v>
      </c>
      <c r="N384" s="260" t="str" cm="1">
        <f t="array" ref="N384">_xlfn.IFS(
    OR(UPPER(S384)="AIR", UPPER(S384)="CPN"), "AIR",
    UPPER(S384)="TC", "LOCAL",
    TRUE, "SEA"
)</f>
        <v>AIR</v>
      </c>
      <c r="O384" s="260">
        <f t="shared" si="34"/>
        <v>15.116015418335726</v>
      </c>
      <c r="P384" s="184" t="s">
        <v>946</v>
      </c>
      <c r="Q384" s="185">
        <v>108345473830</v>
      </c>
      <c r="R384" s="186">
        <v>46189</v>
      </c>
      <c r="S384" s="187" t="s">
        <v>928</v>
      </c>
      <c r="T384" s="188">
        <v>1.2</v>
      </c>
      <c r="U384" s="188"/>
      <c r="V384" s="189">
        <v>400000</v>
      </c>
      <c r="W384" s="190"/>
      <c r="X384" s="190"/>
      <c r="Y384" s="190"/>
      <c r="Z384" s="189">
        <f t="shared" si="30"/>
        <v>400000</v>
      </c>
      <c r="AA384" s="189">
        <v>0</v>
      </c>
      <c r="AB384" s="189">
        <f t="shared" si="35"/>
        <v>400000</v>
      </c>
      <c r="AC384" s="189"/>
      <c r="AD384" s="190"/>
      <c r="AE384" s="190"/>
      <c r="AF384" s="191">
        <f t="shared" si="31"/>
        <v>0</v>
      </c>
      <c r="AG384" s="190">
        <f t="shared" si="32"/>
        <v>400000</v>
      </c>
      <c r="AH384" s="190"/>
      <c r="AI384" s="192" t="str">
        <f>VLOOKUP(Q384,[3]Sheet1!B$11:G$1489,6,0)</f>
        <v>E11</v>
      </c>
      <c r="GK384" s="194"/>
      <c r="GL384" s="195"/>
      <c r="GM384" s="196"/>
      <c r="GN384" s="197"/>
      <c r="GO384" s="198"/>
      <c r="GP384" s="199"/>
      <c r="GQ384" s="200"/>
      <c r="GR384" s="201"/>
      <c r="GS384" s="60"/>
      <c r="GT384" s="202"/>
      <c r="GU384" s="202"/>
      <c r="GV384" s="202"/>
      <c r="GW384" s="202"/>
      <c r="GX384" s="203"/>
      <c r="HA384" s="194"/>
      <c r="HB384" s="195"/>
      <c r="HC384" s="196"/>
      <c r="HD384" s="197"/>
      <c r="HE384" s="198"/>
      <c r="HF384" s="199"/>
      <c r="HG384" s="200"/>
      <c r="HH384" s="201"/>
      <c r="HI384" s="60"/>
      <c r="HJ384" s="202"/>
      <c r="HK384" s="202"/>
      <c r="HL384" s="202"/>
      <c r="HM384" s="202"/>
      <c r="HN384" s="203"/>
    </row>
    <row r="385" spans="1:222" ht="16.5" customHeight="1">
      <c r="A385" s="181">
        <v>382</v>
      </c>
      <c r="B385" s="182">
        <v>525688602788</v>
      </c>
      <c r="C385" s="183" t="s">
        <v>2712</v>
      </c>
      <c r="D385" s="184" t="s">
        <v>2711</v>
      </c>
      <c r="E385" s="184" t="str">
        <f t="shared" si="33"/>
        <v>Import</v>
      </c>
      <c r="F385" s="720" t="str" cm="1">
        <f t="array" ref="F385">_xlfn.IFS(
  OR(AI385="E11", AI385="E15"), "Raw materials",
  OR(AI385="E13", AI385="G13"), "Equipments + Toolings",
  TRUE, RIGHT(C385, 8)
)</f>
        <v>Raw materials</v>
      </c>
      <c r="G385" s="541" t="str" cm="1">
        <f t="array" ref="G385">IF(E385="Import",
  IFERROR(
    _xlfn.IFS(
      VLOOKUP(B385,[1]Material!F$5:U$90000,16,0)="LUC","Lucid",
      VLOOKUP(B385,[1]Material!F$5:U$90000,16,0)="FMC","FORD",
      OR(VLOOKUP(B385,[1]Material!F$5:U$90000,16,0)="PUR",VLOOKUP(B385,[1]Material!F$5:U$90000,16,0)="HLO"),"PURE",
      VLOOKUP(B385,[1]Material!F$5:U$90000,16,0)="AIC","AIC",
      OR(VLOOKUP(B385,[1]Material!F$5:U$90000,16,0)="AGI",VLOOKUP(B385,[1]Material!F$5:U$90000,16,0)="AGIGA"),"AGIGA",
      OR(LEFT(VLOOKUP(B385,[1]Material!F$5:U$90000,16,0),3)="EF-",VLOOKUP(B385,[1]Material!F$5:U$90000,16,0)="EFI"),"EFI",
      AND(ISNUMBER(VLOOKUP(B385,[1]Material!F$5:U$90000,16,0)),VLOOKUP(B385,[1]Material!F$5:U$90000,16,0)&gt;=100,VLOOKUP(B385,[1]Material!F$5:U$90000,16,0)&lt;=999,VLOOKUP(B385,[1]Material!F$5:U$90000,16,0)=INT(VLOOKUP(B385,[1]Material!F$5:U$90000,16,0))),"OEM",
      TRUE,""
    ),
    "không tìm thấy trong file Import"
  ),
  VLOOKUP(F385,'[2]Export shipment'!B:Y,24,0)
)</f>
        <v>PURE</v>
      </c>
      <c r="H385" s="184"/>
      <c r="I385" s="184"/>
      <c r="J385" s="260">
        <f>(V385+X385+AA385)/'Logistics record '!$AD$1</f>
        <v>15.116015418335726</v>
      </c>
      <c r="K385" s="260">
        <f>W385/'Logistics record '!$AD$1</f>
        <v>0</v>
      </c>
      <c r="L385" s="260">
        <f>Y385/'Logistics record '!$AD$1</f>
        <v>0</v>
      </c>
      <c r="M385" s="260">
        <f>AF385/'Logistics record '!$AD$1</f>
        <v>0</v>
      </c>
      <c r="N385" s="260" t="str" cm="1">
        <f t="array" ref="N385">_xlfn.IFS(
    OR(UPPER(S385)="AIR", UPPER(S385)="CPN"), "AIR",
    UPPER(S385)="TC", "LOCAL",
    TRUE, "SEA"
)</f>
        <v>AIR</v>
      </c>
      <c r="O385" s="260">
        <f t="shared" ref="O385:O603" si="36">M385+L385+K385+J385</f>
        <v>15.116015418335726</v>
      </c>
      <c r="P385" s="184" t="s">
        <v>946</v>
      </c>
      <c r="Q385" s="185">
        <v>108345545120</v>
      </c>
      <c r="R385" s="186">
        <v>46189</v>
      </c>
      <c r="S385" s="187" t="s">
        <v>928</v>
      </c>
      <c r="T385" s="188">
        <v>0.5</v>
      </c>
      <c r="U385" s="188"/>
      <c r="V385" s="189">
        <v>400000</v>
      </c>
      <c r="W385" s="190"/>
      <c r="X385" s="190"/>
      <c r="Y385" s="190"/>
      <c r="Z385" s="189">
        <f t="shared" si="30"/>
        <v>400000</v>
      </c>
      <c r="AA385" s="189">
        <v>0</v>
      </c>
      <c r="AB385" s="189">
        <f t="shared" si="35"/>
        <v>400000</v>
      </c>
      <c r="AC385" s="189"/>
      <c r="AD385" s="190"/>
      <c r="AE385" s="190"/>
      <c r="AF385" s="191">
        <f t="shared" ref="AF385:AF448" si="37">+SUM(AC385:AE385)</f>
        <v>0</v>
      </c>
      <c r="AG385" s="190">
        <f t="shared" ref="AG385:AG448" si="38">+AF385+AB385</f>
        <v>400000</v>
      </c>
      <c r="AH385" s="190"/>
      <c r="AI385" s="192" t="str">
        <f>VLOOKUP(Q385,[3]Sheet1!B$11:G$1489,6,0)</f>
        <v>E11</v>
      </c>
      <c r="GK385" s="194"/>
      <c r="GL385" s="195"/>
      <c r="GM385" s="196"/>
      <c r="GN385" s="197"/>
      <c r="GO385" s="198"/>
      <c r="GP385" s="199"/>
      <c r="GQ385" s="200"/>
      <c r="GR385" s="201"/>
      <c r="GS385" s="60"/>
      <c r="GT385" s="202"/>
      <c r="GU385" s="202"/>
      <c r="GV385" s="202"/>
      <c r="GW385" s="202"/>
      <c r="GX385" s="203"/>
      <c r="HA385" s="194"/>
      <c r="HB385" s="195"/>
      <c r="HC385" s="196"/>
      <c r="HD385" s="197"/>
      <c r="HE385" s="198"/>
      <c r="HF385" s="199"/>
      <c r="HG385" s="200"/>
      <c r="HH385" s="201"/>
      <c r="HI385" s="60"/>
      <c r="HJ385" s="202"/>
      <c r="HK385" s="202"/>
      <c r="HL385" s="202"/>
      <c r="HM385" s="202"/>
      <c r="HN385" s="203"/>
    </row>
    <row r="386" spans="1:222" ht="16.5" customHeight="1">
      <c r="A386" s="181">
        <v>383</v>
      </c>
      <c r="B386" s="182">
        <v>525688608720</v>
      </c>
      <c r="C386" s="183" t="s">
        <v>2713</v>
      </c>
      <c r="D386" s="184" t="s">
        <v>2711</v>
      </c>
      <c r="E386" s="184" t="str">
        <f t="shared" si="33"/>
        <v>Import</v>
      </c>
      <c r="F386" s="720" t="str" cm="1">
        <f t="array" ref="F386">_xlfn.IFS(
  OR(AI386="E11", AI386="E15"), "Raw materials",
  OR(AI386="E13", AI386="G13"), "Equipments + Toolings",
  TRUE, RIGHT(C386, 8)
)</f>
        <v>Raw materials</v>
      </c>
      <c r="G386" s="541" t="str" cm="1">
        <f t="array" ref="G386">IF(E386="Import",
  IFERROR(
    _xlfn.IFS(
      VLOOKUP(B386,[1]Material!F$5:U$90000,16,0)="LUC","Lucid",
      VLOOKUP(B386,[1]Material!F$5:U$90000,16,0)="FMC","FORD",
      OR(VLOOKUP(B386,[1]Material!F$5:U$90000,16,0)="PUR",VLOOKUP(B386,[1]Material!F$5:U$90000,16,0)="HLO"),"PURE",
      VLOOKUP(B386,[1]Material!F$5:U$90000,16,0)="AIC","AIC",
      OR(VLOOKUP(B386,[1]Material!F$5:U$90000,16,0)="AGI",VLOOKUP(B386,[1]Material!F$5:U$90000,16,0)="AGIGA"),"AGIGA",
      OR(LEFT(VLOOKUP(B386,[1]Material!F$5:U$90000,16,0),3)="EF-",VLOOKUP(B386,[1]Material!F$5:U$90000,16,0)="EFI"),"EFI",
      AND(ISNUMBER(VLOOKUP(B386,[1]Material!F$5:U$90000,16,0)),VLOOKUP(B386,[1]Material!F$5:U$90000,16,0)&gt;=100,VLOOKUP(B386,[1]Material!F$5:U$90000,16,0)&lt;=999,VLOOKUP(B386,[1]Material!F$5:U$90000,16,0)=INT(VLOOKUP(B386,[1]Material!F$5:U$90000,16,0))),"OEM",
      TRUE,""
    ),
    "không tìm thấy trong file Import"
  ),
  VLOOKUP(F386,'[2]Export shipment'!B:Y,24,0)
)</f>
        <v>Lucid</v>
      </c>
      <c r="H386" s="184"/>
      <c r="I386" s="184"/>
      <c r="J386" s="260">
        <f>(V386+X386+AA386)/'Logistics record '!$AD$1</f>
        <v>15.116015418335726</v>
      </c>
      <c r="K386" s="260">
        <f>W386/'Logistics record '!$AD$1</f>
        <v>0</v>
      </c>
      <c r="L386" s="260">
        <f>Y386/'Logistics record '!$AD$1</f>
        <v>0</v>
      </c>
      <c r="M386" s="260">
        <f>AF386/'Logistics record '!$AD$1</f>
        <v>0</v>
      </c>
      <c r="N386" s="260" t="str" cm="1">
        <f t="array" ref="N386">_xlfn.IFS(
    OR(UPPER(S386)="AIR", UPPER(S386)="CPN"), "AIR",
    UPPER(S386)="TC", "LOCAL",
    TRUE, "SEA"
)</f>
        <v>AIR</v>
      </c>
      <c r="O386" s="260">
        <f t="shared" si="36"/>
        <v>15.116015418335726</v>
      </c>
      <c r="P386" s="184" t="s">
        <v>946</v>
      </c>
      <c r="Q386" s="185">
        <v>108345604730</v>
      </c>
      <c r="R386" s="186">
        <v>46189</v>
      </c>
      <c r="S386" s="187" t="s">
        <v>928</v>
      </c>
      <c r="T386" s="188">
        <v>6.5</v>
      </c>
      <c r="U386" s="188"/>
      <c r="V386" s="189">
        <v>400000</v>
      </c>
      <c r="W386" s="190"/>
      <c r="X386" s="190"/>
      <c r="Y386" s="190"/>
      <c r="Z386" s="189">
        <f t="shared" si="30"/>
        <v>400000</v>
      </c>
      <c r="AA386" s="189">
        <v>0</v>
      </c>
      <c r="AB386" s="189">
        <f t="shared" si="35"/>
        <v>400000</v>
      </c>
      <c r="AC386" s="189"/>
      <c r="AD386" s="190"/>
      <c r="AE386" s="190"/>
      <c r="AF386" s="191">
        <f t="shared" si="37"/>
        <v>0</v>
      </c>
      <c r="AG386" s="190">
        <f t="shared" si="38"/>
        <v>400000</v>
      </c>
      <c r="AH386" s="190"/>
      <c r="AI386" s="192" t="str">
        <f>VLOOKUP(Q386,[3]Sheet1!B$11:G$1489,6,0)</f>
        <v>E11</v>
      </c>
      <c r="GK386" s="194"/>
      <c r="GL386" s="195"/>
      <c r="GM386" s="196"/>
      <c r="GN386" s="197"/>
      <c r="GO386" s="198"/>
      <c r="GP386" s="199"/>
      <c r="GQ386" s="200"/>
      <c r="GR386" s="201"/>
      <c r="GS386" s="60"/>
      <c r="GT386" s="202"/>
      <c r="GU386" s="202"/>
      <c r="GV386" s="202"/>
      <c r="GW386" s="202"/>
      <c r="GX386" s="203"/>
      <c r="HA386" s="194"/>
      <c r="HB386" s="195"/>
      <c r="HC386" s="196"/>
      <c r="HD386" s="197"/>
      <c r="HE386" s="198"/>
      <c r="HF386" s="199"/>
      <c r="HG386" s="200"/>
      <c r="HH386" s="201"/>
      <c r="HI386" s="60"/>
      <c r="HJ386" s="202"/>
      <c r="HK386" s="202"/>
      <c r="HL386" s="202"/>
      <c r="HM386" s="202"/>
      <c r="HN386" s="203"/>
    </row>
    <row r="387" spans="1:222" ht="16.5" customHeight="1">
      <c r="A387" s="181">
        <v>384</v>
      </c>
      <c r="B387" s="182">
        <v>525688609153</v>
      </c>
      <c r="C387" s="183" t="s">
        <v>2714</v>
      </c>
      <c r="D387" s="184" t="s">
        <v>2711</v>
      </c>
      <c r="E387" s="184" t="str">
        <f t="shared" si="33"/>
        <v>Import</v>
      </c>
      <c r="F387" s="720" t="str" cm="1">
        <f t="array" ref="F387">_xlfn.IFS(
  OR(AI387="E11", AI387="E15"), "Raw materials",
  OR(AI387="E13", AI387="G13"), "Equipments + Toolings",
  TRUE, RIGHT(C387, 8)
)</f>
        <v>Raw materials</v>
      </c>
      <c r="G387" s="541" t="str" cm="1">
        <f t="array" ref="G387">IF(E387="Import",
  IFERROR(
    _xlfn.IFS(
      VLOOKUP(B387,[1]Material!F$5:U$90000,16,0)="LUC","Lucid",
      VLOOKUP(B387,[1]Material!F$5:U$90000,16,0)="FMC","FORD",
      OR(VLOOKUP(B387,[1]Material!F$5:U$90000,16,0)="PUR",VLOOKUP(B387,[1]Material!F$5:U$90000,16,0)="HLO"),"PURE",
      VLOOKUP(B387,[1]Material!F$5:U$90000,16,0)="AIC","AIC",
      OR(VLOOKUP(B387,[1]Material!F$5:U$90000,16,0)="AGI",VLOOKUP(B387,[1]Material!F$5:U$90000,16,0)="AGIGA"),"AGIGA",
      OR(LEFT(VLOOKUP(B387,[1]Material!F$5:U$90000,16,0),3)="EF-",VLOOKUP(B387,[1]Material!F$5:U$90000,16,0)="EFI"),"EFI",
      AND(ISNUMBER(VLOOKUP(B387,[1]Material!F$5:U$90000,16,0)),VLOOKUP(B387,[1]Material!F$5:U$90000,16,0)&gt;=100,VLOOKUP(B387,[1]Material!F$5:U$90000,16,0)&lt;=999,VLOOKUP(B387,[1]Material!F$5:U$90000,16,0)=INT(VLOOKUP(B387,[1]Material!F$5:U$90000,16,0))),"OEM",
      TRUE,""
    ),
    "không tìm thấy trong file Import"
  ),
  VLOOKUP(F387,'[2]Export shipment'!B:Y,24,0)
)</f>
        <v>EFI</v>
      </c>
      <c r="H387" s="184"/>
      <c r="I387" s="184"/>
      <c r="J387" s="260">
        <f>(V387+X387+AA387)/'Logistics record '!$AD$1</f>
        <v>15.116015418335726</v>
      </c>
      <c r="K387" s="260">
        <f>W387/'Logistics record '!$AD$1</f>
        <v>0</v>
      </c>
      <c r="L387" s="260">
        <f>Y387/'Logistics record '!$AD$1</f>
        <v>0</v>
      </c>
      <c r="M387" s="260">
        <f>AF387/'Logistics record '!$AD$1</f>
        <v>0</v>
      </c>
      <c r="N387" s="260" t="str" cm="1">
        <f t="array" ref="N387">_xlfn.IFS(
    OR(UPPER(S387)="AIR", UPPER(S387)="CPN"), "AIR",
    UPPER(S387)="TC", "LOCAL",
    TRUE, "SEA"
)</f>
        <v>AIR</v>
      </c>
      <c r="O387" s="260">
        <f t="shared" si="36"/>
        <v>15.116015418335726</v>
      </c>
      <c r="P387" s="184" t="s">
        <v>946</v>
      </c>
      <c r="Q387" s="185">
        <v>108345740640</v>
      </c>
      <c r="R387" s="186">
        <v>46189</v>
      </c>
      <c r="S387" s="187" t="s">
        <v>928</v>
      </c>
      <c r="T387" s="188">
        <v>0.5</v>
      </c>
      <c r="U387" s="188"/>
      <c r="V387" s="189">
        <v>400000</v>
      </c>
      <c r="W387" s="190"/>
      <c r="X387" s="190"/>
      <c r="Y387" s="190"/>
      <c r="Z387" s="189">
        <f t="shared" si="30"/>
        <v>400000</v>
      </c>
      <c r="AA387" s="189">
        <v>0</v>
      </c>
      <c r="AB387" s="189">
        <f t="shared" si="35"/>
        <v>400000</v>
      </c>
      <c r="AC387" s="189"/>
      <c r="AD387" s="190"/>
      <c r="AE387" s="190"/>
      <c r="AF387" s="191">
        <f t="shared" si="37"/>
        <v>0</v>
      </c>
      <c r="AG387" s="190">
        <f t="shared" si="38"/>
        <v>400000</v>
      </c>
      <c r="AH387" s="190"/>
      <c r="AI387" s="192" t="str">
        <f>VLOOKUP(Q387,[3]Sheet1!B$11:G$1489,6,0)</f>
        <v>E11</v>
      </c>
      <c r="GK387" s="194"/>
      <c r="GL387" s="195"/>
      <c r="GM387" s="196"/>
      <c r="GN387" s="197"/>
      <c r="GO387" s="198"/>
      <c r="GP387" s="199"/>
      <c r="GQ387" s="200"/>
      <c r="GR387" s="201"/>
      <c r="GS387" s="60"/>
      <c r="GT387" s="202"/>
      <c r="GU387" s="202"/>
      <c r="GV387" s="202"/>
      <c r="GW387" s="202"/>
      <c r="GX387" s="203"/>
      <c r="HA387" s="194"/>
      <c r="HB387" s="195"/>
      <c r="HC387" s="196"/>
      <c r="HD387" s="197"/>
      <c r="HE387" s="198"/>
      <c r="HF387" s="199"/>
      <c r="HG387" s="200"/>
      <c r="HH387" s="201"/>
      <c r="HI387" s="60"/>
      <c r="HJ387" s="202"/>
      <c r="HK387" s="202"/>
      <c r="HL387" s="202"/>
      <c r="HM387" s="202"/>
      <c r="HN387" s="203"/>
    </row>
    <row r="388" spans="1:222" ht="16.5" customHeight="1">
      <c r="A388" s="181">
        <v>385</v>
      </c>
      <c r="B388" s="182">
        <v>525688603111</v>
      </c>
      <c r="C388" s="183" t="s">
        <v>2715</v>
      </c>
      <c r="D388" s="184" t="s">
        <v>2711</v>
      </c>
      <c r="E388" s="184" t="str">
        <f t="shared" si="33"/>
        <v>Import</v>
      </c>
      <c r="F388" s="720" t="str" cm="1">
        <f t="array" ref="F388">_xlfn.IFS(
  OR(AI388="E11", AI388="E15"), "Raw materials",
  OR(AI388="E13", AI388="G13"), "Equipments + Toolings",
  TRUE, RIGHT(C388, 8)
)</f>
        <v>Raw materials</v>
      </c>
      <c r="G388" s="541" t="str" cm="1">
        <f t="array" ref="G388">IF(E388="Import",
  IFERROR(
    _xlfn.IFS(
      VLOOKUP(B388,[1]Material!F$5:U$90000,16,0)="LUC","Lucid",
      VLOOKUP(B388,[1]Material!F$5:U$90000,16,0)="FMC","FORD",
      OR(VLOOKUP(B388,[1]Material!F$5:U$90000,16,0)="PUR",VLOOKUP(B388,[1]Material!F$5:U$90000,16,0)="HLO"),"PURE",
      VLOOKUP(B388,[1]Material!F$5:U$90000,16,0)="AIC","AIC",
      OR(VLOOKUP(B388,[1]Material!F$5:U$90000,16,0)="AGI",VLOOKUP(B388,[1]Material!F$5:U$90000,16,0)="AGIGA"),"AGIGA",
      OR(LEFT(VLOOKUP(B388,[1]Material!F$5:U$90000,16,0),3)="EF-",VLOOKUP(B388,[1]Material!F$5:U$90000,16,0)="EFI"),"EFI",
      AND(ISNUMBER(VLOOKUP(B388,[1]Material!F$5:U$90000,16,0)),VLOOKUP(B388,[1]Material!F$5:U$90000,16,0)&gt;=100,VLOOKUP(B388,[1]Material!F$5:U$90000,16,0)&lt;=999,VLOOKUP(B388,[1]Material!F$5:U$90000,16,0)=INT(VLOOKUP(B388,[1]Material!F$5:U$90000,16,0))),"OEM",
      TRUE,""
    ),
    "không tìm thấy trong file Import"
  ),
  VLOOKUP(F388,'[2]Export shipment'!B:Y,24,0)
)</f>
        <v>PURE</v>
      </c>
      <c r="H388" s="184"/>
      <c r="I388" s="184"/>
      <c r="J388" s="260">
        <f>(V388+X388+AA388)/'Logistics record '!$AD$1</f>
        <v>15.116015418335726</v>
      </c>
      <c r="K388" s="260">
        <f>W388/'Logistics record '!$AD$1</f>
        <v>0</v>
      </c>
      <c r="L388" s="260">
        <f>Y388/'Logistics record '!$AD$1</f>
        <v>0</v>
      </c>
      <c r="M388" s="260">
        <f>AF388/'Logistics record '!$AD$1</f>
        <v>0</v>
      </c>
      <c r="N388" s="260" t="str" cm="1">
        <f t="array" ref="N388">_xlfn.IFS(
    OR(UPPER(S388)="AIR", UPPER(S388)="CPN"), "AIR",
    UPPER(S388)="TC", "LOCAL",
    TRUE, "SEA"
)</f>
        <v>AIR</v>
      </c>
      <c r="O388" s="260">
        <f t="shared" si="36"/>
        <v>15.116015418335726</v>
      </c>
      <c r="P388" s="184" t="s">
        <v>946</v>
      </c>
      <c r="Q388" s="185">
        <v>108345853010</v>
      </c>
      <c r="R388" s="186">
        <v>46189</v>
      </c>
      <c r="S388" s="187" t="s">
        <v>928</v>
      </c>
      <c r="T388" s="188">
        <v>0.60000000000000009</v>
      </c>
      <c r="U388" s="188"/>
      <c r="V388" s="189">
        <v>400000</v>
      </c>
      <c r="W388" s="190"/>
      <c r="X388" s="190"/>
      <c r="Y388" s="190"/>
      <c r="Z388" s="189">
        <f t="shared" ref="Z388:Z451" si="39">SUM(V388:Y388)</f>
        <v>400000</v>
      </c>
      <c r="AA388" s="189">
        <v>0</v>
      </c>
      <c r="AB388" s="189">
        <f t="shared" si="35"/>
        <v>400000</v>
      </c>
      <c r="AC388" s="189"/>
      <c r="AD388" s="190"/>
      <c r="AE388" s="190"/>
      <c r="AF388" s="191">
        <f t="shared" si="37"/>
        <v>0</v>
      </c>
      <c r="AG388" s="190">
        <f t="shared" si="38"/>
        <v>400000</v>
      </c>
      <c r="AH388" s="190"/>
      <c r="AI388" s="192" t="str">
        <f>VLOOKUP(Q388,[3]Sheet1!B$11:G$1489,6,0)</f>
        <v>E11</v>
      </c>
      <c r="GK388" s="194"/>
      <c r="GL388" s="195"/>
      <c r="GM388" s="196"/>
      <c r="GN388" s="197"/>
      <c r="GO388" s="198"/>
      <c r="GP388" s="199"/>
      <c r="GQ388" s="200"/>
      <c r="GR388" s="201"/>
      <c r="GS388" s="60"/>
      <c r="GT388" s="202"/>
      <c r="GU388" s="202"/>
      <c r="GV388" s="202"/>
      <c r="GW388" s="202"/>
      <c r="GX388" s="203"/>
      <c r="HA388" s="194"/>
      <c r="HB388" s="195"/>
      <c r="HC388" s="196"/>
      <c r="HD388" s="197"/>
      <c r="HE388" s="198"/>
      <c r="HF388" s="199"/>
      <c r="HG388" s="200"/>
      <c r="HH388" s="201"/>
      <c r="HI388" s="60"/>
      <c r="HJ388" s="202"/>
      <c r="HK388" s="202"/>
      <c r="HL388" s="202"/>
      <c r="HM388" s="202"/>
      <c r="HN388" s="203"/>
    </row>
    <row r="389" spans="1:222" ht="16.5" customHeight="1">
      <c r="A389" s="181">
        <v>386</v>
      </c>
      <c r="B389" s="182">
        <v>3149633336</v>
      </c>
      <c r="C389" s="183" t="s">
        <v>2716</v>
      </c>
      <c r="D389" s="184" t="s">
        <v>934</v>
      </c>
      <c r="E389" s="184" t="str">
        <f t="shared" ref="E389:E452" si="40">IF(OR(AI389="E11", AI389="E13", AI389="E15", AI389="G13"), "Import", "Export")</f>
        <v>Import</v>
      </c>
      <c r="F389" s="720" t="str" cm="1">
        <f t="array" ref="F389">_xlfn.IFS(
  OR(AI389="E11", AI389="E15"), "Raw materials",
  OR(AI389="E13", AI389="G13"), "Equipments + Toolings",
  TRUE, RIGHT(C389, 8)
)</f>
        <v>Raw materials</v>
      </c>
      <c r="G389" s="541" t="str" cm="1">
        <f t="array" ref="G389">IF(E389="Import",
  IFERROR(
    _xlfn.IFS(
      VLOOKUP(B389,[1]Material!F$5:U$90000,16,0)="LUC","Lucid",
      VLOOKUP(B389,[1]Material!F$5:U$90000,16,0)="FMC","FORD",
      OR(VLOOKUP(B389,[1]Material!F$5:U$90000,16,0)="PUR",VLOOKUP(B389,[1]Material!F$5:U$90000,16,0)="HLO"),"PURE",
      VLOOKUP(B389,[1]Material!F$5:U$90000,16,0)="AIC","AIC",
      OR(VLOOKUP(B389,[1]Material!F$5:U$90000,16,0)="AGI",VLOOKUP(B389,[1]Material!F$5:U$90000,16,0)="AGIGA"),"AGIGA",
      OR(LEFT(VLOOKUP(B389,[1]Material!F$5:U$90000,16,0),3)="EF-",VLOOKUP(B389,[1]Material!F$5:U$90000,16,0)="EFI"),"EFI",
      AND(ISNUMBER(VLOOKUP(B389,[1]Material!F$5:U$90000,16,0)),VLOOKUP(B389,[1]Material!F$5:U$90000,16,0)&gt;=100,VLOOKUP(B389,[1]Material!F$5:U$90000,16,0)&lt;=999,VLOOKUP(B389,[1]Material!F$5:U$90000,16,0)=INT(VLOOKUP(B389,[1]Material!F$5:U$90000,16,0))),"OEM",
      TRUE,""
    ),
    "không tìm thấy trong file Import"
  ),
  VLOOKUP(F389,'[2]Export shipment'!B:Y,24,0)
)</f>
        <v>EFI</v>
      </c>
      <c r="H389" s="184"/>
      <c r="I389" s="184"/>
      <c r="J389" s="260">
        <f>(V389+X389+AA389)/'Logistics record '!$AD$1</f>
        <v>15.116015418335726</v>
      </c>
      <c r="K389" s="260">
        <f>W389/'Logistics record '!$AD$1</f>
        <v>0</v>
      </c>
      <c r="L389" s="260">
        <f>Y389/'Logistics record '!$AD$1</f>
        <v>0</v>
      </c>
      <c r="M389" s="260">
        <f>AF389/'Logistics record '!$AD$1</f>
        <v>0</v>
      </c>
      <c r="N389" s="260" t="str" cm="1">
        <f t="array" ref="N389">_xlfn.IFS(
    OR(UPPER(S389)="AIR", UPPER(S389)="CPN"), "AIR",
    UPPER(S389)="TC", "LOCAL",
    TRUE, "SEA"
)</f>
        <v>AIR</v>
      </c>
      <c r="O389" s="260">
        <f t="shared" si="36"/>
        <v>15.116015418335726</v>
      </c>
      <c r="P389" s="184" t="s">
        <v>935</v>
      </c>
      <c r="Q389" s="185">
        <v>108345925000</v>
      </c>
      <c r="R389" s="186">
        <v>46189</v>
      </c>
      <c r="S389" s="187" t="s">
        <v>928</v>
      </c>
      <c r="T389" s="188">
        <v>3.9</v>
      </c>
      <c r="U389" s="188"/>
      <c r="V389" s="189">
        <v>400000</v>
      </c>
      <c r="W389" s="190"/>
      <c r="X389" s="190"/>
      <c r="Y389" s="190"/>
      <c r="Z389" s="189">
        <f t="shared" si="39"/>
        <v>400000</v>
      </c>
      <c r="AA389" s="189">
        <v>0</v>
      </c>
      <c r="AB389" s="189">
        <f t="shared" ref="AB389:AB603" si="41">+AA389+Z389</f>
        <v>400000</v>
      </c>
      <c r="AC389" s="189"/>
      <c r="AD389" s="190"/>
      <c r="AE389" s="190"/>
      <c r="AF389" s="191">
        <f t="shared" si="37"/>
        <v>0</v>
      </c>
      <c r="AG389" s="190">
        <f t="shared" si="38"/>
        <v>400000</v>
      </c>
      <c r="AH389" s="190"/>
      <c r="AI389" s="192" t="str">
        <f>VLOOKUP(Q389,[3]Sheet1!B$11:G$1489,6,0)</f>
        <v>E11</v>
      </c>
      <c r="GK389" s="194"/>
      <c r="GL389" s="195"/>
      <c r="GM389" s="196"/>
      <c r="GN389" s="197"/>
      <c r="GO389" s="198"/>
      <c r="GP389" s="199"/>
      <c r="GQ389" s="200"/>
      <c r="GR389" s="201"/>
      <c r="GS389" s="60"/>
      <c r="GT389" s="202"/>
      <c r="GU389" s="202"/>
      <c r="GV389" s="202"/>
      <c r="GW389" s="202"/>
      <c r="GX389" s="203"/>
      <c r="HA389" s="194"/>
      <c r="HB389" s="195"/>
      <c r="HC389" s="196"/>
      <c r="HD389" s="197"/>
      <c r="HE389" s="198"/>
      <c r="HF389" s="199"/>
      <c r="HG389" s="200"/>
      <c r="HH389" s="201"/>
      <c r="HI389" s="60"/>
      <c r="HJ389" s="202"/>
      <c r="HK389" s="202"/>
      <c r="HL389" s="202"/>
      <c r="HM389" s="202"/>
      <c r="HN389" s="203"/>
    </row>
    <row r="390" spans="1:222" ht="16.5" customHeight="1">
      <c r="A390" s="181">
        <v>387</v>
      </c>
      <c r="B390" s="182">
        <v>527529888610</v>
      </c>
      <c r="C390" s="183" t="s">
        <v>2717</v>
      </c>
      <c r="D390" s="184" t="s">
        <v>1905</v>
      </c>
      <c r="E390" s="184" t="str">
        <f t="shared" si="40"/>
        <v>Import</v>
      </c>
      <c r="F390" s="720" t="str" cm="1">
        <f t="array" ref="F390">_xlfn.IFS(
  OR(AI390="E11", AI390="E15"), "Raw materials",
  OR(AI390="E13", AI390="G13"), "Equipments + Toolings",
  TRUE, RIGHT(C390, 8)
)</f>
        <v>Raw materials</v>
      </c>
      <c r="G390" s="541" t="str" cm="1">
        <f t="array" ref="G390">IF(E390="Import",
  IFERROR(
    _xlfn.IFS(
      VLOOKUP(B390,[1]Material!F$5:U$90000,16,0)="LUC","Lucid",
      VLOOKUP(B390,[1]Material!F$5:U$90000,16,0)="FMC","FORD",
      OR(VLOOKUP(B390,[1]Material!F$5:U$90000,16,0)="PUR",VLOOKUP(B390,[1]Material!F$5:U$90000,16,0)="HLO"),"PURE",
      VLOOKUP(B390,[1]Material!F$5:U$90000,16,0)="AIC","AIC",
      OR(VLOOKUP(B390,[1]Material!F$5:U$90000,16,0)="AGI",VLOOKUP(B390,[1]Material!F$5:U$90000,16,0)="AGIGA"),"AGIGA",
      OR(LEFT(VLOOKUP(B390,[1]Material!F$5:U$90000,16,0),3)="EF-",VLOOKUP(B390,[1]Material!F$5:U$90000,16,0)="EFI"),"EFI",
      AND(ISNUMBER(VLOOKUP(B390,[1]Material!F$5:U$90000,16,0)),VLOOKUP(B390,[1]Material!F$5:U$90000,16,0)&gt;=100,VLOOKUP(B390,[1]Material!F$5:U$90000,16,0)&lt;=999,VLOOKUP(B390,[1]Material!F$5:U$90000,16,0)=INT(VLOOKUP(B390,[1]Material!F$5:U$90000,16,0))),"OEM",
      TRUE,""
    ),
    "không tìm thấy trong file Import"
  ),
  VLOOKUP(F390,'[2]Export shipment'!B:Y,24,0)
)</f>
        <v>PURE</v>
      </c>
      <c r="H390" s="184"/>
      <c r="I390" s="184"/>
      <c r="J390" s="260">
        <f>(V390+X390+AA390)/'Logistics record '!$AD$1</f>
        <v>15.116015418335726</v>
      </c>
      <c r="K390" s="260">
        <f>W390/'Logistics record '!$AD$1</f>
        <v>0</v>
      </c>
      <c r="L390" s="260">
        <f>Y390/'Logistics record '!$AD$1</f>
        <v>0</v>
      </c>
      <c r="M390" s="260">
        <f>AF390/'Logistics record '!$AD$1</f>
        <v>0</v>
      </c>
      <c r="N390" s="260" t="str" cm="1">
        <f t="array" ref="N390">_xlfn.IFS(
    OR(UPPER(S390)="AIR", UPPER(S390)="CPN"), "AIR",
    UPPER(S390)="TC", "LOCAL",
    TRUE, "SEA"
)</f>
        <v>AIR</v>
      </c>
      <c r="O390" s="260">
        <f t="shared" si="36"/>
        <v>15.116015418335726</v>
      </c>
      <c r="P390" s="184" t="s">
        <v>954</v>
      </c>
      <c r="Q390" s="185">
        <v>108346022410</v>
      </c>
      <c r="R390" s="186">
        <v>46189</v>
      </c>
      <c r="S390" s="187" t="s">
        <v>928</v>
      </c>
      <c r="T390" s="188">
        <v>30.1</v>
      </c>
      <c r="U390" s="188"/>
      <c r="V390" s="189">
        <v>400000</v>
      </c>
      <c r="W390" s="190"/>
      <c r="X390" s="190"/>
      <c r="Y390" s="190"/>
      <c r="Z390" s="189">
        <f t="shared" si="39"/>
        <v>400000</v>
      </c>
      <c r="AA390" s="189">
        <v>0</v>
      </c>
      <c r="AB390" s="189">
        <f t="shared" si="41"/>
        <v>400000</v>
      </c>
      <c r="AC390" s="189"/>
      <c r="AD390" s="190"/>
      <c r="AE390" s="190"/>
      <c r="AF390" s="191">
        <f t="shared" si="37"/>
        <v>0</v>
      </c>
      <c r="AG390" s="190">
        <f t="shared" si="38"/>
        <v>400000</v>
      </c>
      <c r="AH390" s="190"/>
      <c r="AI390" s="192" t="str">
        <f>VLOOKUP(Q390,[3]Sheet1!B$11:G$1489,6,0)</f>
        <v>E11</v>
      </c>
      <c r="GK390" s="194"/>
      <c r="GL390" s="195"/>
      <c r="GM390" s="196"/>
      <c r="GN390" s="197"/>
      <c r="GO390" s="198"/>
      <c r="GP390" s="199"/>
      <c r="GQ390" s="200"/>
      <c r="GR390" s="201"/>
      <c r="GS390" s="60"/>
      <c r="GT390" s="202"/>
      <c r="GU390" s="202"/>
      <c r="GV390" s="202"/>
      <c r="GW390" s="202"/>
      <c r="GX390" s="203"/>
      <c r="HA390" s="194"/>
      <c r="HB390" s="195"/>
      <c r="HC390" s="196"/>
      <c r="HD390" s="197"/>
      <c r="HE390" s="198"/>
      <c r="HF390" s="199"/>
      <c r="HG390" s="200"/>
      <c r="HH390" s="201"/>
      <c r="HI390" s="60"/>
      <c r="HJ390" s="202"/>
      <c r="HK390" s="202"/>
      <c r="HL390" s="202"/>
      <c r="HM390" s="202"/>
      <c r="HN390" s="203"/>
    </row>
    <row r="391" spans="1:222" ht="16.5" customHeight="1">
      <c r="A391" s="181">
        <v>388</v>
      </c>
      <c r="B391" s="182">
        <v>528825561442</v>
      </c>
      <c r="C391" s="183" t="s">
        <v>2718</v>
      </c>
      <c r="D391" s="184" t="s">
        <v>963</v>
      </c>
      <c r="E391" s="184" t="str">
        <f t="shared" si="40"/>
        <v>Import</v>
      </c>
      <c r="F391" s="720" t="str" cm="1">
        <f t="array" ref="F391">_xlfn.IFS(
  OR(AI391="E11", AI391="E15"), "Raw materials",
  OR(AI391="E13", AI391="G13"), "Equipments + Toolings",
  TRUE, RIGHT(C391, 8)
)</f>
        <v>Raw materials</v>
      </c>
      <c r="G391" s="541" t="str" cm="1">
        <f t="array" ref="G391">IF(E391="Import",
  IFERROR(
    _xlfn.IFS(
      VLOOKUP(B391,[1]Material!F$5:U$90000,16,0)="LUC","Lucid",
      VLOOKUP(B391,[1]Material!F$5:U$90000,16,0)="FMC","FORD",
      OR(VLOOKUP(B391,[1]Material!F$5:U$90000,16,0)="PUR",VLOOKUP(B391,[1]Material!F$5:U$90000,16,0)="HLO"),"PURE",
      VLOOKUP(B391,[1]Material!F$5:U$90000,16,0)="AIC","AIC",
      OR(VLOOKUP(B391,[1]Material!F$5:U$90000,16,0)="AGI",VLOOKUP(B391,[1]Material!F$5:U$90000,16,0)="AGIGA"),"AGIGA",
      OR(LEFT(VLOOKUP(B391,[1]Material!F$5:U$90000,16,0),3)="EF-",VLOOKUP(B391,[1]Material!F$5:U$90000,16,0)="EFI"),"EFI",
      AND(ISNUMBER(VLOOKUP(B391,[1]Material!F$5:U$90000,16,0)),VLOOKUP(B391,[1]Material!F$5:U$90000,16,0)&gt;=100,VLOOKUP(B391,[1]Material!F$5:U$90000,16,0)&lt;=999,VLOOKUP(B391,[1]Material!F$5:U$90000,16,0)=INT(VLOOKUP(B391,[1]Material!F$5:U$90000,16,0))),"OEM",
      TRUE,""
    ),
    "không tìm thấy trong file Import"
  ),
  VLOOKUP(F391,'[2]Export shipment'!B:Y,24,0)
)</f>
        <v>OEM</v>
      </c>
      <c r="H391" s="184"/>
      <c r="I391" s="184"/>
      <c r="J391" s="260">
        <f>(V391+X391+AA391)/'Logistics record '!$AD$1</f>
        <v>15.116015418335726</v>
      </c>
      <c r="K391" s="260">
        <f>W391/'Logistics record '!$AD$1</f>
        <v>0</v>
      </c>
      <c r="L391" s="260">
        <f>Y391/'Logistics record '!$AD$1</f>
        <v>0</v>
      </c>
      <c r="M391" s="260">
        <f>AF391/'Logistics record '!$AD$1</f>
        <v>0</v>
      </c>
      <c r="N391" s="260" t="str" cm="1">
        <f t="array" ref="N391">_xlfn.IFS(
    OR(UPPER(S391)="AIR", UPPER(S391)="CPN"), "AIR",
    UPPER(S391)="TC", "LOCAL",
    TRUE, "SEA"
)</f>
        <v>AIR</v>
      </c>
      <c r="O391" s="260">
        <f t="shared" si="36"/>
        <v>15.116015418335726</v>
      </c>
      <c r="P391" s="184" t="s">
        <v>935</v>
      </c>
      <c r="Q391" s="185">
        <v>108346169410</v>
      </c>
      <c r="R391" s="186">
        <v>46189</v>
      </c>
      <c r="S391" s="187" t="s">
        <v>928</v>
      </c>
      <c r="T391" s="188">
        <v>3.9</v>
      </c>
      <c r="U391" s="188"/>
      <c r="V391" s="189">
        <v>400000</v>
      </c>
      <c r="W391" s="190"/>
      <c r="X391" s="190"/>
      <c r="Y391" s="190"/>
      <c r="Z391" s="189">
        <f t="shared" si="39"/>
        <v>400000</v>
      </c>
      <c r="AA391" s="189">
        <v>0</v>
      </c>
      <c r="AB391" s="189">
        <f t="shared" si="41"/>
        <v>400000</v>
      </c>
      <c r="AC391" s="189"/>
      <c r="AD391" s="190"/>
      <c r="AE391" s="190"/>
      <c r="AF391" s="191">
        <f t="shared" si="37"/>
        <v>0</v>
      </c>
      <c r="AG391" s="190">
        <f t="shared" si="38"/>
        <v>400000</v>
      </c>
      <c r="AH391" s="190"/>
      <c r="AI391" s="192" t="str">
        <f>VLOOKUP(Q391,[3]Sheet1!B$11:G$1489,6,0)</f>
        <v>E11</v>
      </c>
      <c r="GK391" s="194"/>
      <c r="GL391" s="195"/>
      <c r="GM391" s="196"/>
      <c r="GN391" s="197"/>
      <c r="GO391" s="198"/>
      <c r="GP391" s="199"/>
      <c r="GQ391" s="200"/>
      <c r="GR391" s="201"/>
      <c r="GS391" s="60"/>
      <c r="GT391" s="202"/>
      <c r="GU391" s="202"/>
      <c r="GV391" s="202"/>
      <c r="GW391" s="202"/>
      <c r="GX391" s="203"/>
      <c r="HA391" s="194"/>
      <c r="HB391" s="195"/>
      <c r="HC391" s="196"/>
      <c r="HD391" s="197"/>
      <c r="HE391" s="198"/>
      <c r="HF391" s="199"/>
      <c r="HG391" s="200"/>
      <c r="HH391" s="201"/>
      <c r="HI391" s="60"/>
      <c r="HJ391" s="202"/>
      <c r="HK391" s="202"/>
      <c r="HL391" s="202"/>
      <c r="HM391" s="202"/>
      <c r="HN391" s="203"/>
    </row>
    <row r="392" spans="1:222" ht="16.5" customHeight="1">
      <c r="A392" s="181">
        <v>389</v>
      </c>
      <c r="B392" s="182">
        <v>4915138037</v>
      </c>
      <c r="C392" s="183" t="s">
        <v>2719</v>
      </c>
      <c r="D392" s="184" t="s">
        <v>382</v>
      </c>
      <c r="E392" s="184" t="str">
        <f t="shared" si="40"/>
        <v>Import</v>
      </c>
      <c r="F392" s="720" t="str" cm="1">
        <f t="array" ref="F392">_xlfn.IFS(
  OR(AI392="E11", AI392="E15"), "Raw materials",
  OR(AI392="E13", AI392="G13"), "Equipments + Toolings",
  TRUE, RIGHT(C392, 8)
)</f>
        <v>Raw materials</v>
      </c>
      <c r="G392" s="541" t="str" cm="1">
        <f t="array" ref="G392">IF(E392="Import",
  IFERROR(
    _xlfn.IFS(
      VLOOKUP(B392,[1]Material!F$5:U$90000,16,0)="LUC","Lucid",
      VLOOKUP(B392,[1]Material!F$5:U$90000,16,0)="FMC","FORD",
      OR(VLOOKUP(B392,[1]Material!F$5:U$90000,16,0)="PUR",VLOOKUP(B392,[1]Material!F$5:U$90000,16,0)="HLO"),"PURE",
      VLOOKUP(B392,[1]Material!F$5:U$90000,16,0)="AIC","AIC",
      OR(VLOOKUP(B392,[1]Material!F$5:U$90000,16,0)="AGI",VLOOKUP(B392,[1]Material!F$5:U$90000,16,0)="AGIGA"),"AGIGA",
      OR(LEFT(VLOOKUP(B392,[1]Material!F$5:U$90000,16,0),3)="EF-",VLOOKUP(B392,[1]Material!F$5:U$90000,16,0)="EFI"),"EFI",
      AND(ISNUMBER(VLOOKUP(B392,[1]Material!F$5:U$90000,16,0)),VLOOKUP(B392,[1]Material!F$5:U$90000,16,0)&gt;=100,VLOOKUP(B392,[1]Material!F$5:U$90000,16,0)&lt;=999,VLOOKUP(B392,[1]Material!F$5:U$90000,16,0)=INT(VLOOKUP(B392,[1]Material!F$5:U$90000,16,0))),"OEM",
      TRUE,""
    ),
    "không tìm thấy trong file Import"
  ),
  VLOOKUP(F392,'[2]Export shipment'!B:Y,24,0)
)</f>
        <v>PURE</v>
      </c>
      <c r="H392" s="184"/>
      <c r="I392" s="184"/>
      <c r="J392" s="260">
        <f>(V392+X392+AA392)/'Logistics record '!$AD$1</f>
        <v>15.116015418335726</v>
      </c>
      <c r="K392" s="260">
        <f>W392/'Logistics record '!$AD$1</f>
        <v>22.674023127503592</v>
      </c>
      <c r="L392" s="260">
        <f>Y392/'Logistics record '!$AD$1</f>
        <v>0</v>
      </c>
      <c r="M392" s="260">
        <f>AF392/'Logistics record '!$AD$1</f>
        <v>19.541380092207692</v>
      </c>
      <c r="N392" s="260" t="str" cm="1">
        <f t="array" ref="N392">_xlfn.IFS(
    OR(UPPER(S392)="AIR", UPPER(S392)="CPN"), "AIR",
    UPPER(S392)="TC", "LOCAL",
    TRUE, "SEA"
)</f>
        <v>AIR</v>
      </c>
      <c r="O392" s="260">
        <f t="shared" si="36"/>
        <v>57.331418638047012</v>
      </c>
      <c r="P392" s="184" t="s">
        <v>927</v>
      </c>
      <c r="Q392" s="185">
        <v>108346245120</v>
      </c>
      <c r="R392" s="186">
        <v>46189</v>
      </c>
      <c r="S392" s="187" t="s">
        <v>65</v>
      </c>
      <c r="T392" s="188">
        <v>136</v>
      </c>
      <c r="U392" s="188"/>
      <c r="V392" s="189">
        <v>400000</v>
      </c>
      <c r="W392" s="190">
        <v>600000</v>
      </c>
      <c r="X392" s="190"/>
      <c r="Y392" s="190"/>
      <c r="Z392" s="189">
        <f t="shared" si="39"/>
        <v>1000000</v>
      </c>
      <c r="AA392" s="189">
        <v>0</v>
      </c>
      <c r="AB392" s="189">
        <f t="shared" si="41"/>
        <v>1000000</v>
      </c>
      <c r="AC392" s="189"/>
      <c r="AD392" s="190"/>
      <c r="AE392" s="190">
        <v>517104</v>
      </c>
      <c r="AF392" s="191">
        <f t="shared" si="37"/>
        <v>517104</v>
      </c>
      <c r="AG392" s="190">
        <f t="shared" si="38"/>
        <v>1517104</v>
      </c>
      <c r="AH392" s="190"/>
      <c r="AI392" s="192" t="str">
        <f>VLOOKUP(Q392,[3]Sheet1!B$11:G$1489,6,0)</f>
        <v>E11</v>
      </c>
      <c r="GK392" s="194"/>
      <c r="GL392" s="195"/>
      <c r="GM392" s="196"/>
      <c r="GN392" s="197"/>
      <c r="GO392" s="198"/>
      <c r="GP392" s="199"/>
      <c r="GQ392" s="200"/>
      <c r="GR392" s="201"/>
      <c r="GS392" s="60"/>
      <c r="GT392" s="202"/>
      <c r="GU392" s="202"/>
      <c r="GV392" s="202"/>
      <c r="GW392" s="202"/>
      <c r="GX392" s="203"/>
      <c r="HA392" s="194"/>
      <c r="HB392" s="195"/>
      <c r="HC392" s="196"/>
      <c r="HD392" s="197"/>
      <c r="HE392" s="198"/>
      <c r="HF392" s="199"/>
      <c r="HG392" s="200"/>
      <c r="HH392" s="201"/>
      <c r="HI392" s="60"/>
      <c r="HJ392" s="202"/>
      <c r="HK392" s="202"/>
      <c r="HL392" s="202"/>
      <c r="HM392" s="202"/>
      <c r="HN392" s="203"/>
    </row>
    <row r="393" spans="1:222" ht="16.5" customHeight="1">
      <c r="A393" s="181">
        <v>390</v>
      </c>
      <c r="B393" s="182">
        <v>525688603578</v>
      </c>
      <c r="C393" s="183" t="s">
        <v>2720</v>
      </c>
      <c r="D393" s="184" t="s">
        <v>945</v>
      </c>
      <c r="E393" s="184" t="str">
        <f t="shared" si="40"/>
        <v>Import</v>
      </c>
      <c r="F393" s="720" t="str" cm="1">
        <f t="array" ref="F393">_xlfn.IFS(
  OR(AI393="E11", AI393="E15"), "Raw materials",
  OR(AI393="E13", AI393="G13"), "Equipments + Toolings",
  TRUE, RIGHT(C393, 8)
)</f>
        <v>Raw materials</v>
      </c>
      <c r="G393" s="541" t="str" cm="1">
        <f t="array" ref="G393">IF(E393="Import",
  IFERROR(
    _xlfn.IFS(
      VLOOKUP(B393,[1]Material!F$5:U$90000,16,0)="LUC","Lucid",
      VLOOKUP(B393,[1]Material!F$5:U$90000,16,0)="FMC","FORD",
      OR(VLOOKUP(B393,[1]Material!F$5:U$90000,16,0)="PUR",VLOOKUP(B393,[1]Material!F$5:U$90000,16,0)="HLO"),"PURE",
      VLOOKUP(B393,[1]Material!F$5:U$90000,16,0)="AIC","AIC",
      OR(VLOOKUP(B393,[1]Material!F$5:U$90000,16,0)="AGI",VLOOKUP(B393,[1]Material!F$5:U$90000,16,0)="AGIGA"),"AGIGA",
      OR(LEFT(VLOOKUP(B393,[1]Material!F$5:U$90000,16,0),3)="EF-",VLOOKUP(B393,[1]Material!F$5:U$90000,16,0)="EFI"),"EFI",
      AND(ISNUMBER(VLOOKUP(B393,[1]Material!F$5:U$90000,16,0)),VLOOKUP(B393,[1]Material!F$5:U$90000,16,0)&gt;=100,VLOOKUP(B393,[1]Material!F$5:U$90000,16,0)&lt;=999,VLOOKUP(B393,[1]Material!F$5:U$90000,16,0)=INT(VLOOKUP(B393,[1]Material!F$5:U$90000,16,0))),"OEM",
      TRUE,""
    ),
    "không tìm thấy trong file Import"
  ),
  VLOOKUP(F393,'[2]Export shipment'!B:Y,24,0)
)</f>
        <v>PURE</v>
      </c>
      <c r="H393" s="184"/>
      <c r="I393" s="184"/>
      <c r="J393" s="260">
        <f>(V393+X393+AA393)/'Logistics record '!$AD$1</f>
        <v>15.116015418335726</v>
      </c>
      <c r="K393" s="260">
        <f>W393/'Logistics record '!$AD$1</f>
        <v>0</v>
      </c>
      <c r="L393" s="260">
        <f>Y393/'Logistics record '!$AD$1</f>
        <v>0</v>
      </c>
      <c r="M393" s="260">
        <f>AF393/'Logistics record '!$AD$1</f>
        <v>0</v>
      </c>
      <c r="N393" s="260" t="str" cm="1">
        <f t="array" ref="N393">_xlfn.IFS(
    OR(UPPER(S393)="AIR", UPPER(S393)="CPN"), "AIR",
    UPPER(S393)="TC", "LOCAL",
    TRUE, "SEA"
)</f>
        <v>AIR</v>
      </c>
      <c r="O393" s="260">
        <f t="shared" si="36"/>
        <v>15.116015418335726</v>
      </c>
      <c r="P393" s="184" t="s">
        <v>946</v>
      </c>
      <c r="Q393" s="185">
        <v>108346337850</v>
      </c>
      <c r="R393" s="186">
        <v>46189</v>
      </c>
      <c r="S393" s="187" t="s">
        <v>928</v>
      </c>
      <c r="T393" s="188">
        <v>1.1000000000000001</v>
      </c>
      <c r="U393" s="188"/>
      <c r="V393" s="189">
        <v>400000</v>
      </c>
      <c r="W393" s="190"/>
      <c r="X393" s="190"/>
      <c r="Y393" s="190"/>
      <c r="Z393" s="189">
        <f t="shared" si="39"/>
        <v>400000</v>
      </c>
      <c r="AA393" s="189">
        <v>0</v>
      </c>
      <c r="AB393" s="189">
        <f t="shared" si="41"/>
        <v>400000</v>
      </c>
      <c r="AC393" s="189"/>
      <c r="AD393" s="190"/>
      <c r="AE393" s="190"/>
      <c r="AF393" s="191">
        <f t="shared" si="37"/>
        <v>0</v>
      </c>
      <c r="AG393" s="190">
        <f t="shared" si="38"/>
        <v>400000</v>
      </c>
      <c r="AH393" s="190"/>
      <c r="AI393" s="192" t="str">
        <f>VLOOKUP(Q393,[3]Sheet1!B$11:G$1489,6,0)</f>
        <v>E11</v>
      </c>
      <c r="GK393" s="194"/>
      <c r="GL393" s="195"/>
      <c r="GM393" s="196"/>
      <c r="GN393" s="197"/>
      <c r="GO393" s="198"/>
      <c r="GP393" s="199"/>
      <c r="GQ393" s="200"/>
      <c r="GR393" s="201"/>
      <c r="GS393" s="60"/>
      <c r="GT393" s="202"/>
      <c r="GU393" s="202"/>
      <c r="GV393" s="202"/>
      <c r="GW393" s="202"/>
      <c r="GX393" s="203"/>
      <c r="HA393" s="194"/>
      <c r="HB393" s="195"/>
      <c r="HC393" s="196"/>
      <c r="HD393" s="197"/>
      <c r="HE393" s="198"/>
      <c r="HF393" s="199"/>
      <c r="HG393" s="200"/>
      <c r="HH393" s="201"/>
      <c r="HI393" s="60"/>
      <c r="HJ393" s="202"/>
      <c r="HK393" s="202"/>
      <c r="HL393" s="202"/>
      <c r="HM393" s="202"/>
      <c r="HN393" s="203"/>
    </row>
    <row r="394" spans="1:222" ht="16.5" customHeight="1">
      <c r="A394" s="181">
        <v>391</v>
      </c>
      <c r="B394" s="182">
        <v>525688607551</v>
      </c>
      <c r="C394" s="183" t="s">
        <v>2721</v>
      </c>
      <c r="D394" s="184" t="s">
        <v>945</v>
      </c>
      <c r="E394" s="184" t="str">
        <f t="shared" si="40"/>
        <v>Import</v>
      </c>
      <c r="F394" s="720" t="str" cm="1">
        <f t="array" ref="F394">_xlfn.IFS(
  OR(AI394="E11", AI394="E15"), "Raw materials",
  OR(AI394="E13", AI394="G13"), "Equipments + Toolings",
  TRUE, RIGHT(C394, 8)
)</f>
        <v>Raw materials</v>
      </c>
      <c r="G394" s="541" t="str" cm="1">
        <f t="array" ref="G394">IF(E394="Import",
  IFERROR(
    _xlfn.IFS(
      VLOOKUP(B394,[1]Material!F$5:U$90000,16,0)="LUC","Lucid",
      VLOOKUP(B394,[1]Material!F$5:U$90000,16,0)="FMC","FORD",
      OR(VLOOKUP(B394,[1]Material!F$5:U$90000,16,0)="PUR",VLOOKUP(B394,[1]Material!F$5:U$90000,16,0)="HLO"),"PURE",
      VLOOKUP(B394,[1]Material!F$5:U$90000,16,0)="AIC","AIC",
      OR(VLOOKUP(B394,[1]Material!F$5:U$90000,16,0)="AGI",VLOOKUP(B394,[1]Material!F$5:U$90000,16,0)="AGIGA"),"AGIGA",
      OR(LEFT(VLOOKUP(B394,[1]Material!F$5:U$90000,16,0),3)="EF-",VLOOKUP(B394,[1]Material!F$5:U$90000,16,0)="EFI"),"EFI",
      AND(ISNUMBER(VLOOKUP(B394,[1]Material!F$5:U$90000,16,0)),VLOOKUP(B394,[1]Material!F$5:U$90000,16,0)&gt;=100,VLOOKUP(B394,[1]Material!F$5:U$90000,16,0)&lt;=999,VLOOKUP(B394,[1]Material!F$5:U$90000,16,0)=INT(VLOOKUP(B394,[1]Material!F$5:U$90000,16,0))),"OEM",
      TRUE,""
    ),
    "không tìm thấy trong file Import"
  ),
  VLOOKUP(F394,'[2]Export shipment'!B:Y,24,0)
)</f>
        <v>PURE</v>
      </c>
      <c r="H394" s="184"/>
      <c r="I394" s="184"/>
      <c r="J394" s="260">
        <f>(V394+X394+AA394)/'Logistics record '!$AD$1</f>
        <v>15.116015418335726</v>
      </c>
      <c r="K394" s="260">
        <f>W394/'Logistics record '!$AD$1</f>
        <v>0</v>
      </c>
      <c r="L394" s="260">
        <f>Y394/'Logistics record '!$AD$1</f>
        <v>0</v>
      </c>
      <c r="M394" s="260">
        <f>AF394/'Logistics record '!$AD$1</f>
        <v>0</v>
      </c>
      <c r="N394" s="260" t="str" cm="1">
        <f t="array" ref="N394">_xlfn.IFS(
    OR(UPPER(S394)="AIR", UPPER(S394)="CPN"), "AIR",
    UPPER(S394)="TC", "LOCAL",
    TRUE, "SEA"
)</f>
        <v>AIR</v>
      </c>
      <c r="O394" s="260">
        <f t="shared" si="36"/>
        <v>15.116015418335726</v>
      </c>
      <c r="P394" s="184" t="s">
        <v>946</v>
      </c>
      <c r="Q394" s="185">
        <v>108346382100</v>
      </c>
      <c r="R394" s="186">
        <v>46189</v>
      </c>
      <c r="S394" s="187" t="s">
        <v>928</v>
      </c>
      <c r="T394" s="188">
        <v>6.9</v>
      </c>
      <c r="U394" s="188"/>
      <c r="V394" s="189">
        <v>400000</v>
      </c>
      <c r="W394" s="190"/>
      <c r="X394" s="190"/>
      <c r="Y394" s="190"/>
      <c r="Z394" s="189">
        <f t="shared" si="39"/>
        <v>400000</v>
      </c>
      <c r="AA394" s="189">
        <v>0</v>
      </c>
      <c r="AB394" s="189">
        <f t="shared" si="41"/>
        <v>400000</v>
      </c>
      <c r="AC394" s="189"/>
      <c r="AD394" s="190"/>
      <c r="AE394" s="190"/>
      <c r="AF394" s="191">
        <f t="shared" si="37"/>
        <v>0</v>
      </c>
      <c r="AG394" s="190">
        <f t="shared" si="38"/>
        <v>400000</v>
      </c>
      <c r="AH394" s="190"/>
      <c r="AI394" s="192" t="str">
        <f>VLOOKUP(Q394,[3]Sheet1!B$11:G$1489,6,0)</f>
        <v>E11</v>
      </c>
      <c r="GK394" s="194"/>
      <c r="GL394" s="195"/>
      <c r="GM394" s="196"/>
      <c r="GN394" s="197"/>
      <c r="GO394" s="198"/>
      <c r="GP394" s="199"/>
      <c r="GQ394" s="200"/>
      <c r="GR394" s="201"/>
      <c r="GS394" s="60"/>
      <c r="GT394" s="202"/>
      <c r="GU394" s="202"/>
      <c r="GV394" s="202"/>
      <c r="GW394" s="202"/>
      <c r="GX394" s="203"/>
      <c r="HA394" s="194"/>
      <c r="HB394" s="195"/>
      <c r="HC394" s="196"/>
      <c r="HD394" s="197"/>
      <c r="HE394" s="198"/>
      <c r="HF394" s="199"/>
      <c r="HG394" s="200"/>
      <c r="HH394" s="201"/>
      <c r="HI394" s="60"/>
      <c r="HJ394" s="202"/>
      <c r="HK394" s="202"/>
      <c r="HL394" s="202"/>
      <c r="HM394" s="202"/>
      <c r="HN394" s="203"/>
    </row>
    <row r="395" spans="1:222" ht="16.5" customHeight="1">
      <c r="A395" s="181">
        <v>392</v>
      </c>
      <c r="B395" s="182">
        <v>525688601553</v>
      </c>
      <c r="C395" s="183" t="s">
        <v>2722</v>
      </c>
      <c r="D395" s="184" t="s">
        <v>945</v>
      </c>
      <c r="E395" s="184" t="str">
        <f t="shared" si="40"/>
        <v>Import</v>
      </c>
      <c r="F395" s="720" t="str" cm="1">
        <f t="array" ref="F395">_xlfn.IFS(
  OR(AI395="E11", AI395="E15"), "Raw materials",
  OR(AI395="E13", AI395="G13"), "Equipments + Toolings",
  TRUE, RIGHT(C395, 8)
)</f>
        <v>Raw materials</v>
      </c>
      <c r="G395" s="541" t="str" cm="1">
        <f t="array" ref="G395">IF(E395="Import",
  IFERROR(
    _xlfn.IFS(
      VLOOKUP(B395,[1]Material!F$5:U$90000,16,0)="LUC","Lucid",
      VLOOKUP(B395,[1]Material!F$5:U$90000,16,0)="FMC","FORD",
      OR(VLOOKUP(B395,[1]Material!F$5:U$90000,16,0)="PUR",VLOOKUP(B395,[1]Material!F$5:U$90000,16,0)="HLO"),"PURE",
      VLOOKUP(B395,[1]Material!F$5:U$90000,16,0)="AIC","AIC",
      OR(VLOOKUP(B395,[1]Material!F$5:U$90000,16,0)="AGI",VLOOKUP(B395,[1]Material!F$5:U$90000,16,0)="AGIGA"),"AGIGA",
      OR(LEFT(VLOOKUP(B395,[1]Material!F$5:U$90000,16,0),3)="EF-",VLOOKUP(B395,[1]Material!F$5:U$90000,16,0)="EFI"),"EFI",
      AND(ISNUMBER(VLOOKUP(B395,[1]Material!F$5:U$90000,16,0)),VLOOKUP(B395,[1]Material!F$5:U$90000,16,0)&gt;=100,VLOOKUP(B395,[1]Material!F$5:U$90000,16,0)&lt;=999,VLOOKUP(B395,[1]Material!F$5:U$90000,16,0)=INT(VLOOKUP(B395,[1]Material!F$5:U$90000,16,0))),"OEM",
      TRUE,""
    ),
    "không tìm thấy trong file Import"
  ),
  VLOOKUP(F395,'[2]Export shipment'!B:Y,24,0)
)</f>
        <v>OEM</v>
      </c>
      <c r="H395" s="184"/>
      <c r="I395" s="184"/>
      <c r="J395" s="260">
        <f>(V395+X395+AA395)/'Logistics record '!$AD$1</f>
        <v>15.116015418335726</v>
      </c>
      <c r="K395" s="260">
        <f>W395/'Logistics record '!$AD$1</f>
        <v>0</v>
      </c>
      <c r="L395" s="260">
        <f>Y395/'Logistics record '!$AD$1</f>
        <v>0</v>
      </c>
      <c r="M395" s="260">
        <f>AF395/'Logistics record '!$AD$1</f>
        <v>0</v>
      </c>
      <c r="N395" s="260" t="str" cm="1">
        <f t="array" ref="N395">_xlfn.IFS(
    OR(UPPER(S395)="AIR", UPPER(S395)="CPN"), "AIR",
    UPPER(S395)="TC", "LOCAL",
    TRUE, "SEA"
)</f>
        <v>AIR</v>
      </c>
      <c r="O395" s="260">
        <f t="shared" si="36"/>
        <v>15.116015418335726</v>
      </c>
      <c r="P395" s="184" t="s">
        <v>946</v>
      </c>
      <c r="Q395" s="185">
        <v>108346387920</v>
      </c>
      <c r="R395" s="186">
        <v>46189</v>
      </c>
      <c r="S395" s="187" t="s">
        <v>928</v>
      </c>
      <c r="T395" s="188">
        <v>0.5</v>
      </c>
      <c r="U395" s="188"/>
      <c r="V395" s="189">
        <v>400000</v>
      </c>
      <c r="W395" s="190"/>
      <c r="X395" s="190"/>
      <c r="Y395" s="190"/>
      <c r="Z395" s="189">
        <f t="shared" si="39"/>
        <v>400000</v>
      </c>
      <c r="AA395" s="189">
        <v>0</v>
      </c>
      <c r="AB395" s="189">
        <f t="shared" si="41"/>
        <v>400000</v>
      </c>
      <c r="AC395" s="189"/>
      <c r="AD395" s="190"/>
      <c r="AE395" s="190"/>
      <c r="AF395" s="191">
        <f t="shared" si="37"/>
        <v>0</v>
      </c>
      <c r="AG395" s="190">
        <f t="shared" si="38"/>
        <v>400000</v>
      </c>
      <c r="AH395" s="190"/>
      <c r="AI395" s="192" t="str">
        <f>VLOOKUP(Q395,[3]Sheet1!B$11:G$1489,6,0)</f>
        <v>E11</v>
      </c>
      <c r="GK395" s="194"/>
      <c r="GL395" s="195"/>
      <c r="GM395" s="196"/>
      <c r="GN395" s="197"/>
      <c r="GO395" s="198"/>
      <c r="GP395" s="199"/>
      <c r="GQ395" s="200"/>
      <c r="GR395" s="201"/>
      <c r="GS395" s="60"/>
      <c r="GT395" s="202"/>
      <c r="GU395" s="202"/>
      <c r="GV395" s="202"/>
      <c r="GW395" s="202"/>
      <c r="GX395" s="203"/>
      <c r="HA395" s="194"/>
      <c r="HB395" s="195"/>
      <c r="HC395" s="196"/>
      <c r="HD395" s="197"/>
      <c r="HE395" s="198"/>
      <c r="HF395" s="199"/>
      <c r="HG395" s="200"/>
      <c r="HH395" s="201"/>
      <c r="HI395" s="60"/>
      <c r="HJ395" s="202"/>
      <c r="HK395" s="202"/>
      <c r="HL395" s="202"/>
      <c r="HM395" s="202"/>
      <c r="HN395" s="203"/>
    </row>
    <row r="396" spans="1:222" ht="16.5" customHeight="1">
      <c r="A396" s="181">
        <v>393</v>
      </c>
      <c r="B396" s="182">
        <v>525688607562</v>
      </c>
      <c r="C396" s="183" t="s">
        <v>2723</v>
      </c>
      <c r="D396" s="184" t="s">
        <v>945</v>
      </c>
      <c r="E396" s="184" t="str">
        <f t="shared" si="40"/>
        <v>Import</v>
      </c>
      <c r="F396" s="720" t="str" cm="1">
        <f t="array" ref="F396">_xlfn.IFS(
  OR(AI396="E11", AI396="E15"), "Raw materials",
  OR(AI396="E13", AI396="G13"), "Equipments + Toolings",
  TRUE, RIGHT(C396, 8)
)</f>
        <v>Raw materials</v>
      </c>
      <c r="G396" s="541" t="str" cm="1">
        <f t="array" ref="G396">IF(E396="Import",
  IFERROR(
    _xlfn.IFS(
      VLOOKUP(B396,[1]Material!F$5:U$90000,16,0)="LUC","Lucid",
      VLOOKUP(B396,[1]Material!F$5:U$90000,16,0)="FMC","FORD",
      OR(VLOOKUP(B396,[1]Material!F$5:U$90000,16,0)="PUR",VLOOKUP(B396,[1]Material!F$5:U$90000,16,0)="HLO"),"PURE",
      VLOOKUP(B396,[1]Material!F$5:U$90000,16,0)="AIC","AIC",
      OR(VLOOKUP(B396,[1]Material!F$5:U$90000,16,0)="AGI",VLOOKUP(B396,[1]Material!F$5:U$90000,16,0)="AGIGA"),"AGIGA",
      OR(LEFT(VLOOKUP(B396,[1]Material!F$5:U$90000,16,0),3)="EF-",VLOOKUP(B396,[1]Material!F$5:U$90000,16,0)="EFI"),"EFI",
      AND(ISNUMBER(VLOOKUP(B396,[1]Material!F$5:U$90000,16,0)),VLOOKUP(B396,[1]Material!F$5:U$90000,16,0)&gt;=100,VLOOKUP(B396,[1]Material!F$5:U$90000,16,0)&lt;=999,VLOOKUP(B396,[1]Material!F$5:U$90000,16,0)=INT(VLOOKUP(B396,[1]Material!F$5:U$90000,16,0))),"OEM",
      TRUE,""
    ),
    "không tìm thấy trong file Import"
  ),
  VLOOKUP(F396,'[2]Export shipment'!B:Y,24,0)
)</f>
        <v>PURE</v>
      </c>
      <c r="H396" s="184"/>
      <c r="I396" s="184"/>
      <c r="J396" s="260">
        <f>(V396+X396+AA396)/'Logistics record '!$AD$1</f>
        <v>15.116015418335726</v>
      </c>
      <c r="K396" s="260">
        <f>W396/'Logistics record '!$AD$1</f>
        <v>0</v>
      </c>
      <c r="L396" s="260">
        <f>Y396/'Logistics record '!$AD$1</f>
        <v>0</v>
      </c>
      <c r="M396" s="260">
        <f>AF396/'Logistics record '!$AD$1</f>
        <v>0</v>
      </c>
      <c r="N396" s="260" t="str" cm="1">
        <f t="array" ref="N396">_xlfn.IFS(
    OR(UPPER(S396)="AIR", UPPER(S396)="CPN"), "AIR",
    UPPER(S396)="TC", "LOCAL",
    TRUE, "SEA"
)</f>
        <v>AIR</v>
      </c>
      <c r="O396" s="260">
        <f t="shared" si="36"/>
        <v>15.116015418335726</v>
      </c>
      <c r="P396" s="184" t="s">
        <v>946</v>
      </c>
      <c r="Q396" s="185">
        <v>108346409400</v>
      </c>
      <c r="R396" s="186">
        <v>46189</v>
      </c>
      <c r="S396" s="187" t="s">
        <v>928</v>
      </c>
      <c r="T396" s="188">
        <v>2.1</v>
      </c>
      <c r="U396" s="188"/>
      <c r="V396" s="189">
        <v>400000</v>
      </c>
      <c r="W396" s="190"/>
      <c r="X396" s="190"/>
      <c r="Y396" s="190"/>
      <c r="Z396" s="189">
        <f t="shared" si="39"/>
        <v>400000</v>
      </c>
      <c r="AA396" s="189">
        <v>0</v>
      </c>
      <c r="AB396" s="189">
        <f t="shared" si="41"/>
        <v>400000</v>
      </c>
      <c r="AC396" s="189"/>
      <c r="AD396" s="190"/>
      <c r="AE396" s="190"/>
      <c r="AF396" s="191">
        <f t="shared" si="37"/>
        <v>0</v>
      </c>
      <c r="AG396" s="190">
        <f t="shared" si="38"/>
        <v>400000</v>
      </c>
      <c r="AH396" s="190"/>
      <c r="AI396" s="192" t="str">
        <f>VLOOKUP(Q396,[3]Sheet1!B$11:G$1489,6,0)</f>
        <v>E11</v>
      </c>
      <c r="GK396" s="194"/>
      <c r="GL396" s="195"/>
      <c r="GM396" s="196"/>
      <c r="GN396" s="197"/>
      <c r="GO396" s="198"/>
      <c r="GP396" s="199"/>
      <c r="GQ396" s="200"/>
      <c r="GR396" s="201"/>
      <c r="GS396" s="60"/>
      <c r="GT396" s="202"/>
      <c r="GU396" s="202"/>
      <c r="GV396" s="202"/>
      <c r="GW396" s="202"/>
      <c r="GX396" s="203"/>
      <c r="HA396" s="194"/>
      <c r="HB396" s="195"/>
      <c r="HC396" s="196"/>
      <c r="HD396" s="197"/>
      <c r="HE396" s="198"/>
      <c r="HF396" s="199"/>
      <c r="HG396" s="200"/>
      <c r="HH396" s="201"/>
      <c r="HI396" s="60"/>
      <c r="HJ396" s="202"/>
      <c r="HK396" s="202"/>
      <c r="HL396" s="202"/>
      <c r="HM396" s="202"/>
      <c r="HN396" s="203"/>
    </row>
    <row r="397" spans="1:222" ht="16.5" customHeight="1">
      <c r="A397" s="181">
        <v>394</v>
      </c>
      <c r="B397" s="182">
        <v>707296361164</v>
      </c>
      <c r="C397" s="183" t="s">
        <v>2724</v>
      </c>
      <c r="D397" s="184" t="s">
        <v>945</v>
      </c>
      <c r="E397" s="184" t="str">
        <f t="shared" si="40"/>
        <v>Import</v>
      </c>
      <c r="F397" s="720" t="str" cm="1">
        <f t="array" ref="F397">_xlfn.IFS(
  OR(AI397="E11", AI397="E15"), "Raw materials",
  OR(AI397="E13", AI397="G13"), "Equipments + Toolings",
  TRUE, RIGHT(C397, 8)
)</f>
        <v>Raw materials</v>
      </c>
      <c r="G397" s="541" t="str" cm="1">
        <f t="array" ref="G397">IF(E397="Import",
  IFERROR(
    _xlfn.IFS(
      VLOOKUP(B397,[1]Material!F$5:U$90000,16,0)="LUC","Lucid",
      VLOOKUP(B397,[1]Material!F$5:U$90000,16,0)="FMC","FORD",
      OR(VLOOKUP(B397,[1]Material!F$5:U$90000,16,0)="PUR",VLOOKUP(B397,[1]Material!F$5:U$90000,16,0)="HLO"),"PURE",
      VLOOKUP(B397,[1]Material!F$5:U$90000,16,0)="AIC","AIC",
      OR(VLOOKUP(B397,[1]Material!F$5:U$90000,16,0)="AGI",VLOOKUP(B397,[1]Material!F$5:U$90000,16,0)="AGIGA"),"AGIGA",
      OR(LEFT(VLOOKUP(B397,[1]Material!F$5:U$90000,16,0),3)="EF-",VLOOKUP(B397,[1]Material!F$5:U$90000,16,0)="EFI"),"EFI",
      AND(ISNUMBER(VLOOKUP(B397,[1]Material!F$5:U$90000,16,0)),VLOOKUP(B397,[1]Material!F$5:U$90000,16,0)&gt;=100,VLOOKUP(B397,[1]Material!F$5:U$90000,16,0)&lt;=999,VLOOKUP(B397,[1]Material!F$5:U$90000,16,0)=INT(VLOOKUP(B397,[1]Material!F$5:U$90000,16,0))),"OEM",
      TRUE,""
    ),
    "không tìm thấy trong file Import"
  ),
  VLOOKUP(F397,'[2]Export shipment'!B:Y,24,0)
)</f>
        <v>Lucid</v>
      </c>
      <c r="H397" s="184"/>
      <c r="I397" s="184"/>
      <c r="J397" s="260">
        <f>(V397+X397+AA397)/'Logistics record '!$AD$1</f>
        <v>15.116015418335726</v>
      </c>
      <c r="K397" s="260">
        <f>W397/'Logistics record '!$AD$1</f>
        <v>0</v>
      </c>
      <c r="L397" s="260">
        <f>Y397/'Logistics record '!$AD$1</f>
        <v>0</v>
      </c>
      <c r="M397" s="260">
        <f>AF397/'Logistics record '!$AD$1</f>
        <v>0</v>
      </c>
      <c r="N397" s="260" t="str" cm="1">
        <f t="array" ref="N397">_xlfn.IFS(
    OR(UPPER(S397)="AIR", UPPER(S397)="CPN"), "AIR",
    UPPER(S397)="TC", "LOCAL",
    TRUE, "SEA"
)</f>
        <v>AIR</v>
      </c>
      <c r="O397" s="260">
        <f t="shared" si="36"/>
        <v>15.116015418335726</v>
      </c>
      <c r="P397" s="184" t="s">
        <v>946</v>
      </c>
      <c r="Q397" s="185">
        <v>108346449260</v>
      </c>
      <c r="R397" s="186">
        <v>46189</v>
      </c>
      <c r="S397" s="187" t="s">
        <v>928</v>
      </c>
      <c r="T397" s="188">
        <v>20</v>
      </c>
      <c r="U397" s="188"/>
      <c r="V397" s="189">
        <v>400000</v>
      </c>
      <c r="W397" s="190"/>
      <c r="X397" s="190"/>
      <c r="Y397" s="190"/>
      <c r="Z397" s="189">
        <f t="shared" si="39"/>
        <v>400000</v>
      </c>
      <c r="AA397" s="189">
        <v>0</v>
      </c>
      <c r="AB397" s="189">
        <f t="shared" si="41"/>
        <v>400000</v>
      </c>
      <c r="AC397" s="189"/>
      <c r="AD397" s="190"/>
      <c r="AE397" s="190"/>
      <c r="AF397" s="191">
        <f t="shared" si="37"/>
        <v>0</v>
      </c>
      <c r="AG397" s="190">
        <f t="shared" si="38"/>
        <v>400000</v>
      </c>
      <c r="AH397" s="190"/>
      <c r="AI397" s="192" t="str">
        <f>VLOOKUP(Q397,[3]Sheet1!B$11:G$1489,6,0)</f>
        <v>E11</v>
      </c>
      <c r="GK397" s="194"/>
      <c r="GL397" s="195"/>
      <c r="GM397" s="196"/>
      <c r="GN397" s="197"/>
      <c r="GO397" s="198"/>
      <c r="GP397" s="199"/>
      <c r="GQ397" s="200"/>
      <c r="GR397" s="201"/>
      <c r="GS397" s="60"/>
      <c r="GT397" s="202"/>
      <c r="GU397" s="202"/>
      <c r="GV397" s="202"/>
      <c r="GW397" s="202"/>
      <c r="GX397" s="203"/>
      <c r="HA397" s="194"/>
      <c r="HB397" s="195"/>
      <c r="HC397" s="196"/>
      <c r="HD397" s="197"/>
      <c r="HE397" s="198"/>
      <c r="HF397" s="199"/>
      <c r="HG397" s="200"/>
      <c r="HH397" s="201"/>
      <c r="HI397" s="60"/>
      <c r="HJ397" s="202"/>
      <c r="HK397" s="202"/>
      <c r="HL397" s="202"/>
      <c r="HM397" s="202"/>
      <c r="HN397" s="203"/>
    </row>
    <row r="398" spans="1:222" ht="16.5" customHeight="1">
      <c r="A398" s="181">
        <v>395</v>
      </c>
      <c r="B398" s="182">
        <v>872979130829</v>
      </c>
      <c r="C398" s="183" t="s">
        <v>2725</v>
      </c>
      <c r="D398" s="184" t="s">
        <v>1898</v>
      </c>
      <c r="E398" s="184" t="str">
        <f t="shared" si="40"/>
        <v>Import</v>
      </c>
      <c r="F398" s="720" t="str" cm="1">
        <f t="array" ref="F398">_xlfn.IFS(
  OR(AI398="E11", AI398="E15"), "Raw materials",
  OR(AI398="E13", AI398="G13"), "Equipments + Toolings",
  TRUE, RIGHT(C398, 8)
)</f>
        <v>Raw materials</v>
      </c>
      <c r="G398" s="541" t="str" cm="1">
        <f t="array" ref="G398">IF(E398="Import",
  IFERROR(
    _xlfn.IFS(
      VLOOKUP(B398,[1]Material!F$5:U$90000,16,0)="LUC","Lucid",
      VLOOKUP(B398,[1]Material!F$5:U$90000,16,0)="FMC","FORD",
      OR(VLOOKUP(B398,[1]Material!F$5:U$90000,16,0)="PUR",VLOOKUP(B398,[1]Material!F$5:U$90000,16,0)="HLO"),"PURE",
      VLOOKUP(B398,[1]Material!F$5:U$90000,16,0)="AIC","AIC",
      OR(VLOOKUP(B398,[1]Material!F$5:U$90000,16,0)="AGI",VLOOKUP(B398,[1]Material!F$5:U$90000,16,0)="AGIGA"),"AGIGA",
      OR(LEFT(VLOOKUP(B398,[1]Material!F$5:U$90000,16,0),3)="EF-",VLOOKUP(B398,[1]Material!F$5:U$90000,16,0)="EFI"),"EFI",
      AND(ISNUMBER(VLOOKUP(B398,[1]Material!F$5:U$90000,16,0)),VLOOKUP(B398,[1]Material!F$5:U$90000,16,0)&gt;=100,VLOOKUP(B398,[1]Material!F$5:U$90000,16,0)&lt;=999,VLOOKUP(B398,[1]Material!F$5:U$90000,16,0)=INT(VLOOKUP(B398,[1]Material!F$5:U$90000,16,0))),"OEM",
      TRUE,""
    ),
    "không tìm thấy trong file Import"
  ),
  VLOOKUP(F398,'[2]Export shipment'!B:Y,24,0)
)</f>
        <v>OEM</v>
      </c>
      <c r="H398" s="184"/>
      <c r="I398" s="184"/>
      <c r="J398" s="260">
        <f>(V398+X398+AA398)/'Logistics record '!$AD$1</f>
        <v>15.116015418335726</v>
      </c>
      <c r="K398" s="260">
        <f>W398/'Logistics record '!$AD$1</f>
        <v>0</v>
      </c>
      <c r="L398" s="260">
        <f>Y398/'Logistics record '!$AD$1</f>
        <v>0</v>
      </c>
      <c r="M398" s="260">
        <f>AF398/'Logistics record '!$AD$1</f>
        <v>0</v>
      </c>
      <c r="N398" s="260" t="str" cm="1">
        <f t="array" ref="N398">_xlfn.IFS(
    OR(UPPER(S398)="AIR", UPPER(S398)="CPN"), "AIR",
    UPPER(S398)="TC", "LOCAL",
    TRUE, "SEA"
)</f>
        <v>AIR</v>
      </c>
      <c r="O398" s="260">
        <f t="shared" si="36"/>
        <v>15.116015418335726</v>
      </c>
      <c r="P398" s="184" t="s">
        <v>937</v>
      </c>
      <c r="Q398" s="185">
        <v>108346594860</v>
      </c>
      <c r="R398" s="186">
        <v>46189</v>
      </c>
      <c r="S398" s="187" t="s">
        <v>928</v>
      </c>
      <c r="T398" s="188">
        <v>0.30000000000000004</v>
      </c>
      <c r="U398" s="188"/>
      <c r="V398" s="189">
        <v>400000</v>
      </c>
      <c r="W398" s="190"/>
      <c r="X398" s="190"/>
      <c r="Y398" s="190"/>
      <c r="Z398" s="189">
        <f t="shared" si="39"/>
        <v>400000</v>
      </c>
      <c r="AA398" s="189">
        <v>0</v>
      </c>
      <c r="AB398" s="189">
        <f t="shared" si="41"/>
        <v>400000</v>
      </c>
      <c r="AC398" s="189"/>
      <c r="AD398" s="190"/>
      <c r="AE398" s="190"/>
      <c r="AF398" s="191">
        <f t="shared" si="37"/>
        <v>0</v>
      </c>
      <c r="AG398" s="190">
        <f t="shared" si="38"/>
        <v>400000</v>
      </c>
      <c r="AH398" s="190"/>
      <c r="AI398" s="192" t="str">
        <f>VLOOKUP(Q398,[3]Sheet1!B$11:G$1489,6,0)</f>
        <v>E11</v>
      </c>
      <c r="GK398" s="194"/>
      <c r="GL398" s="195"/>
      <c r="GM398" s="196"/>
      <c r="GN398" s="197"/>
      <c r="GO398" s="198"/>
      <c r="GP398" s="199"/>
      <c r="GQ398" s="200"/>
      <c r="GR398" s="201"/>
      <c r="GS398" s="60"/>
      <c r="GT398" s="202"/>
      <c r="GU398" s="202"/>
      <c r="GV398" s="202"/>
      <c r="GW398" s="202"/>
      <c r="GX398" s="203"/>
      <c r="HA398" s="194"/>
      <c r="HB398" s="195"/>
      <c r="HC398" s="196"/>
      <c r="HD398" s="197"/>
      <c r="HE398" s="198"/>
      <c r="HF398" s="199"/>
      <c r="HG398" s="200"/>
      <c r="HH398" s="201"/>
      <c r="HI398" s="60"/>
      <c r="HJ398" s="202"/>
      <c r="HK398" s="202"/>
      <c r="HL398" s="202"/>
      <c r="HM398" s="202"/>
      <c r="HN398" s="203"/>
    </row>
    <row r="399" spans="1:222" ht="16.5" customHeight="1">
      <c r="A399" s="181">
        <v>396</v>
      </c>
      <c r="B399" s="182">
        <v>409298926317</v>
      </c>
      <c r="C399" s="183" t="s">
        <v>2726</v>
      </c>
      <c r="D399" s="184" t="s">
        <v>2727</v>
      </c>
      <c r="E399" s="184" t="str">
        <f t="shared" si="40"/>
        <v>Import</v>
      </c>
      <c r="F399" s="720" t="str" cm="1">
        <f t="array" ref="F399">_xlfn.IFS(
  OR(AI399="E11", AI399="E15"), "Raw materials",
  OR(AI399="E13", AI399="G13"), "Equipments + Toolings",
  TRUE, RIGHT(C399, 8)
)</f>
        <v>Raw materials</v>
      </c>
      <c r="G399" s="541" t="str" cm="1">
        <f t="array" ref="G399">IF(E399="Import",
  IFERROR(
    _xlfn.IFS(
      VLOOKUP(B399,[1]Material!F$5:U$90000,16,0)="LUC","Lucid",
      VLOOKUP(B399,[1]Material!F$5:U$90000,16,0)="FMC","FORD",
      OR(VLOOKUP(B399,[1]Material!F$5:U$90000,16,0)="PUR",VLOOKUP(B399,[1]Material!F$5:U$90000,16,0)="HLO"),"PURE",
      VLOOKUP(B399,[1]Material!F$5:U$90000,16,0)="AIC","AIC",
      OR(VLOOKUP(B399,[1]Material!F$5:U$90000,16,0)="AGI",VLOOKUP(B399,[1]Material!F$5:U$90000,16,0)="AGIGA"),"AGIGA",
      OR(LEFT(VLOOKUP(B399,[1]Material!F$5:U$90000,16,0),3)="EF-",VLOOKUP(B399,[1]Material!F$5:U$90000,16,0)="EFI"),"EFI",
      AND(ISNUMBER(VLOOKUP(B399,[1]Material!F$5:U$90000,16,0)),VLOOKUP(B399,[1]Material!F$5:U$90000,16,0)&gt;=100,VLOOKUP(B399,[1]Material!F$5:U$90000,16,0)&lt;=999,VLOOKUP(B399,[1]Material!F$5:U$90000,16,0)=INT(VLOOKUP(B399,[1]Material!F$5:U$90000,16,0))),"OEM",
      TRUE,""
    ),
    "không tìm thấy trong file Import"
  ),
  VLOOKUP(F399,'[2]Export shipment'!B:Y,24,0)
)</f>
        <v>Lucid</v>
      </c>
      <c r="H399" s="184"/>
      <c r="I399" s="184"/>
      <c r="J399" s="260">
        <f>(V399+X399+AA399)/'Logistics record '!$AD$1</f>
        <v>15.116015418335726</v>
      </c>
      <c r="K399" s="260">
        <f>W399/'Logistics record '!$AD$1</f>
        <v>0</v>
      </c>
      <c r="L399" s="260">
        <f>Y399/'Logistics record '!$AD$1</f>
        <v>0</v>
      </c>
      <c r="M399" s="260">
        <f>AF399/'Logistics record '!$AD$1</f>
        <v>0</v>
      </c>
      <c r="N399" s="260" t="str" cm="1">
        <f t="array" ref="N399">_xlfn.IFS(
    OR(UPPER(S399)="AIR", UPPER(S399)="CPN"), "AIR",
    UPPER(S399)="TC", "LOCAL",
    TRUE, "SEA"
)</f>
        <v>AIR</v>
      </c>
      <c r="O399" s="260">
        <f t="shared" si="36"/>
        <v>15.116015418335726</v>
      </c>
      <c r="P399" s="184" t="s">
        <v>937</v>
      </c>
      <c r="Q399" s="185">
        <v>108346599210</v>
      </c>
      <c r="R399" s="186">
        <v>46189</v>
      </c>
      <c r="S399" s="187" t="s">
        <v>928</v>
      </c>
      <c r="T399" s="188">
        <v>13.1</v>
      </c>
      <c r="U399" s="188"/>
      <c r="V399" s="189">
        <v>400000</v>
      </c>
      <c r="W399" s="190"/>
      <c r="X399" s="190"/>
      <c r="Y399" s="190"/>
      <c r="Z399" s="189">
        <f t="shared" si="39"/>
        <v>400000</v>
      </c>
      <c r="AA399" s="189">
        <v>0</v>
      </c>
      <c r="AB399" s="189">
        <f t="shared" si="41"/>
        <v>400000</v>
      </c>
      <c r="AC399" s="189"/>
      <c r="AD399" s="190"/>
      <c r="AE399" s="190"/>
      <c r="AF399" s="191">
        <f t="shared" si="37"/>
        <v>0</v>
      </c>
      <c r="AG399" s="190">
        <f t="shared" si="38"/>
        <v>400000</v>
      </c>
      <c r="AH399" s="190"/>
      <c r="AI399" s="192" t="str">
        <f>VLOOKUP(Q399,[3]Sheet1!B$11:G$1489,6,0)</f>
        <v>E11</v>
      </c>
      <c r="GK399" s="194"/>
      <c r="GL399" s="195"/>
      <c r="GM399" s="196"/>
      <c r="GN399" s="197"/>
      <c r="GO399" s="198"/>
      <c r="GP399" s="199"/>
      <c r="GQ399" s="200"/>
      <c r="GR399" s="201"/>
      <c r="GS399" s="60"/>
      <c r="GT399" s="202"/>
      <c r="GU399" s="202"/>
      <c r="GV399" s="202"/>
      <c r="GW399" s="202"/>
      <c r="GX399" s="203"/>
      <c r="HA399" s="194"/>
      <c r="HB399" s="195"/>
      <c r="HC399" s="196"/>
      <c r="HD399" s="197"/>
      <c r="HE399" s="198"/>
      <c r="HF399" s="199"/>
      <c r="HG399" s="200"/>
      <c r="HH399" s="201"/>
      <c r="HI399" s="60"/>
      <c r="HJ399" s="202"/>
      <c r="HK399" s="202"/>
      <c r="HL399" s="202"/>
      <c r="HM399" s="202"/>
      <c r="HN399" s="203"/>
    </row>
    <row r="400" spans="1:222" ht="16.5" customHeight="1">
      <c r="A400" s="181">
        <v>397</v>
      </c>
      <c r="B400" s="182">
        <v>520711099784</v>
      </c>
      <c r="C400" s="183" t="s">
        <v>2728</v>
      </c>
      <c r="D400" s="184" t="s">
        <v>1690</v>
      </c>
      <c r="E400" s="184" t="str">
        <f t="shared" si="40"/>
        <v>Import</v>
      </c>
      <c r="F400" s="720" t="str" cm="1">
        <f t="array" ref="F400">_xlfn.IFS(
  OR(AI400="E11", AI400="E15"), "Raw materials",
  OR(AI400="E13", AI400="G13"), "Equipments + Toolings",
  TRUE, RIGHT(C400, 8)
)</f>
        <v>Raw materials</v>
      </c>
      <c r="G400" s="541" t="str" cm="1">
        <f t="array" ref="G400">IF(E400="Import",
  IFERROR(
    _xlfn.IFS(
      VLOOKUP(B400,[1]Material!F$5:U$90000,16,0)="LUC","Lucid",
      VLOOKUP(B400,[1]Material!F$5:U$90000,16,0)="FMC","FORD",
      OR(VLOOKUP(B400,[1]Material!F$5:U$90000,16,0)="PUR",VLOOKUP(B400,[1]Material!F$5:U$90000,16,0)="HLO"),"PURE",
      VLOOKUP(B400,[1]Material!F$5:U$90000,16,0)="AIC","AIC",
      OR(VLOOKUP(B400,[1]Material!F$5:U$90000,16,0)="AGI",VLOOKUP(B400,[1]Material!F$5:U$90000,16,0)="AGIGA"),"AGIGA",
      OR(LEFT(VLOOKUP(B400,[1]Material!F$5:U$90000,16,0),3)="EF-",VLOOKUP(B400,[1]Material!F$5:U$90000,16,0)="EFI"),"EFI",
      AND(ISNUMBER(VLOOKUP(B400,[1]Material!F$5:U$90000,16,0)),VLOOKUP(B400,[1]Material!F$5:U$90000,16,0)&gt;=100,VLOOKUP(B400,[1]Material!F$5:U$90000,16,0)&lt;=999,VLOOKUP(B400,[1]Material!F$5:U$90000,16,0)=INT(VLOOKUP(B400,[1]Material!F$5:U$90000,16,0))),"OEM",
      TRUE,""
    ),
    "không tìm thấy trong file Import"
  ),
  VLOOKUP(F400,'[2]Export shipment'!B:Y,24,0)
)</f>
        <v>Lucid</v>
      </c>
      <c r="H400" s="184"/>
      <c r="I400" s="184"/>
      <c r="J400" s="260">
        <f>(V400+X400+AA400)/'Logistics record '!$AD$1</f>
        <v>15.116015418335726</v>
      </c>
      <c r="K400" s="260">
        <f>W400/'Logistics record '!$AD$1</f>
        <v>0</v>
      </c>
      <c r="L400" s="260">
        <f>Y400/'Logistics record '!$AD$1</f>
        <v>0</v>
      </c>
      <c r="M400" s="260">
        <f>AF400/'Logistics record '!$AD$1</f>
        <v>0</v>
      </c>
      <c r="N400" s="260" t="str" cm="1">
        <f t="array" ref="N400">_xlfn.IFS(
    OR(UPPER(S400)="AIR", UPPER(S400)="CPN"), "AIR",
    UPPER(S400)="TC", "LOCAL",
    TRUE, "SEA"
)</f>
        <v>AIR</v>
      </c>
      <c r="O400" s="260">
        <f t="shared" si="36"/>
        <v>15.116015418335726</v>
      </c>
      <c r="P400" s="184" t="s">
        <v>935</v>
      </c>
      <c r="Q400" s="185">
        <v>108346603850</v>
      </c>
      <c r="R400" s="186">
        <v>46189</v>
      </c>
      <c r="S400" s="187" t="s">
        <v>928</v>
      </c>
      <c r="T400" s="188">
        <v>24.5</v>
      </c>
      <c r="U400" s="188"/>
      <c r="V400" s="189">
        <v>400000</v>
      </c>
      <c r="W400" s="190"/>
      <c r="X400" s="190"/>
      <c r="Y400" s="190"/>
      <c r="Z400" s="189">
        <f t="shared" si="39"/>
        <v>400000</v>
      </c>
      <c r="AA400" s="189">
        <v>0</v>
      </c>
      <c r="AB400" s="189">
        <f t="shared" si="41"/>
        <v>400000</v>
      </c>
      <c r="AC400" s="189"/>
      <c r="AD400" s="190"/>
      <c r="AE400" s="190"/>
      <c r="AF400" s="191">
        <f t="shared" si="37"/>
        <v>0</v>
      </c>
      <c r="AG400" s="190">
        <f t="shared" si="38"/>
        <v>400000</v>
      </c>
      <c r="AH400" s="190"/>
      <c r="AI400" s="192" t="str">
        <f>VLOOKUP(Q400,[3]Sheet1!B$11:G$1489,6,0)</f>
        <v>E11</v>
      </c>
      <c r="GK400" s="194"/>
      <c r="GL400" s="195"/>
      <c r="GM400" s="196"/>
      <c r="GN400" s="197"/>
      <c r="GO400" s="198"/>
      <c r="GP400" s="199"/>
      <c r="GQ400" s="200"/>
      <c r="GR400" s="201"/>
      <c r="GS400" s="60"/>
      <c r="GT400" s="202"/>
      <c r="GU400" s="202"/>
      <c r="GV400" s="202"/>
      <c r="GW400" s="202"/>
      <c r="GX400" s="203"/>
      <c r="HA400" s="194"/>
      <c r="HB400" s="195"/>
      <c r="HC400" s="196"/>
      <c r="HD400" s="197"/>
      <c r="HE400" s="198"/>
      <c r="HF400" s="199"/>
      <c r="HG400" s="200"/>
      <c r="HH400" s="201"/>
      <c r="HI400" s="60"/>
      <c r="HJ400" s="202"/>
      <c r="HK400" s="202"/>
      <c r="HL400" s="202"/>
      <c r="HM400" s="202"/>
      <c r="HN400" s="203"/>
    </row>
    <row r="401" spans="1:222" ht="16.5" customHeight="1">
      <c r="A401" s="181">
        <v>398</v>
      </c>
      <c r="B401" s="182">
        <v>525688600476</v>
      </c>
      <c r="C401" s="183" t="s">
        <v>2729</v>
      </c>
      <c r="D401" s="184" t="s">
        <v>2711</v>
      </c>
      <c r="E401" s="184" t="str">
        <f t="shared" si="40"/>
        <v>Import</v>
      </c>
      <c r="F401" s="720" t="str" cm="1">
        <f t="array" ref="F401">_xlfn.IFS(
  OR(AI401="E11", AI401="E15"), "Raw materials",
  OR(AI401="E13", AI401="G13"), "Equipments + Toolings",
  TRUE, RIGHT(C401, 8)
)</f>
        <v>Raw materials</v>
      </c>
      <c r="G401" s="541" t="str" cm="1">
        <f t="array" ref="G401">IF(E401="Import",
  IFERROR(
    _xlfn.IFS(
      VLOOKUP(B401,[1]Material!F$5:U$90000,16,0)="LUC","Lucid",
      VLOOKUP(B401,[1]Material!F$5:U$90000,16,0)="FMC","FORD",
      OR(VLOOKUP(B401,[1]Material!F$5:U$90000,16,0)="PUR",VLOOKUP(B401,[1]Material!F$5:U$90000,16,0)="HLO"),"PURE",
      VLOOKUP(B401,[1]Material!F$5:U$90000,16,0)="AIC","AIC",
      OR(VLOOKUP(B401,[1]Material!F$5:U$90000,16,0)="AGI",VLOOKUP(B401,[1]Material!F$5:U$90000,16,0)="AGIGA"),"AGIGA",
      OR(LEFT(VLOOKUP(B401,[1]Material!F$5:U$90000,16,0),3)="EF-",VLOOKUP(B401,[1]Material!F$5:U$90000,16,0)="EFI"),"EFI",
      AND(ISNUMBER(VLOOKUP(B401,[1]Material!F$5:U$90000,16,0)),VLOOKUP(B401,[1]Material!F$5:U$90000,16,0)&gt;=100,VLOOKUP(B401,[1]Material!F$5:U$90000,16,0)&lt;=999,VLOOKUP(B401,[1]Material!F$5:U$90000,16,0)=INT(VLOOKUP(B401,[1]Material!F$5:U$90000,16,0))),"OEM",
      TRUE,""
    ),
    "không tìm thấy trong file Import"
  ),
  VLOOKUP(F401,'[2]Export shipment'!B:Y,24,0)
)</f>
        <v>EFI</v>
      </c>
      <c r="H401" s="184"/>
      <c r="I401" s="184"/>
      <c r="J401" s="260">
        <f>(V401+X401+AA401)/'Logistics record '!$AD$1</f>
        <v>15.116015418335726</v>
      </c>
      <c r="K401" s="260">
        <f>W401/'Logistics record '!$AD$1</f>
        <v>0</v>
      </c>
      <c r="L401" s="260">
        <f>Y401/'Logistics record '!$AD$1</f>
        <v>0</v>
      </c>
      <c r="M401" s="260">
        <f>AF401/'Logistics record '!$AD$1</f>
        <v>0</v>
      </c>
      <c r="N401" s="260" t="str" cm="1">
        <f t="array" ref="N401">_xlfn.IFS(
    OR(UPPER(S401)="AIR", UPPER(S401)="CPN"), "AIR",
    UPPER(S401)="TC", "LOCAL",
    TRUE, "SEA"
)</f>
        <v>AIR</v>
      </c>
      <c r="O401" s="260">
        <f t="shared" si="36"/>
        <v>15.116015418335726</v>
      </c>
      <c r="P401" s="184" t="s">
        <v>946</v>
      </c>
      <c r="Q401" s="185">
        <v>108346672600</v>
      </c>
      <c r="R401" s="186">
        <v>46189</v>
      </c>
      <c r="S401" s="187" t="s">
        <v>928</v>
      </c>
      <c r="T401" s="188">
        <v>0.5</v>
      </c>
      <c r="U401" s="188"/>
      <c r="V401" s="189">
        <v>400000</v>
      </c>
      <c r="W401" s="190"/>
      <c r="X401" s="190"/>
      <c r="Y401" s="190"/>
      <c r="Z401" s="189">
        <f t="shared" si="39"/>
        <v>400000</v>
      </c>
      <c r="AA401" s="189">
        <v>0</v>
      </c>
      <c r="AB401" s="189">
        <f t="shared" si="41"/>
        <v>400000</v>
      </c>
      <c r="AC401" s="189"/>
      <c r="AD401" s="190"/>
      <c r="AE401" s="190"/>
      <c r="AF401" s="191">
        <f t="shared" si="37"/>
        <v>0</v>
      </c>
      <c r="AG401" s="190">
        <f t="shared" si="38"/>
        <v>400000</v>
      </c>
      <c r="AH401" s="190"/>
      <c r="AI401" s="192" t="str">
        <f>VLOOKUP(Q401,[3]Sheet1!B$11:G$1489,6,0)</f>
        <v>E11</v>
      </c>
      <c r="GK401" s="194"/>
      <c r="GL401" s="195"/>
      <c r="GM401" s="196"/>
      <c r="GN401" s="197"/>
      <c r="GO401" s="198"/>
      <c r="GP401" s="199"/>
      <c r="GQ401" s="200"/>
      <c r="GR401" s="201"/>
      <c r="GS401" s="60"/>
      <c r="GT401" s="202"/>
      <c r="GU401" s="202"/>
      <c r="GV401" s="202"/>
      <c r="GW401" s="202"/>
      <c r="GX401" s="203"/>
      <c r="HA401" s="194"/>
      <c r="HB401" s="195"/>
      <c r="HC401" s="196"/>
      <c r="HD401" s="197"/>
      <c r="HE401" s="198"/>
      <c r="HF401" s="199"/>
      <c r="HG401" s="200"/>
      <c r="HH401" s="201"/>
      <c r="HI401" s="60"/>
      <c r="HJ401" s="202"/>
      <c r="HK401" s="202"/>
      <c r="HL401" s="202"/>
      <c r="HM401" s="202"/>
      <c r="HN401" s="203"/>
    </row>
    <row r="402" spans="1:222" ht="16.5" customHeight="1">
      <c r="A402" s="181">
        <v>399</v>
      </c>
      <c r="B402" s="182">
        <v>872881440674</v>
      </c>
      <c r="C402" s="183" t="s">
        <v>2730</v>
      </c>
      <c r="D402" s="184" t="s">
        <v>2174</v>
      </c>
      <c r="E402" s="184" t="str">
        <f t="shared" si="40"/>
        <v>Import</v>
      </c>
      <c r="F402" s="720" t="str" cm="1">
        <f t="array" ref="F402">_xlfn.IFS(
  OR(AI402="E11", AI402="E15"), "Raw materials",
  OR(AI402="E13", AI402="G13"), "Equipments + Toolings",
  TRUE, RIGHT(C402, 8)
)</f>
        <v>Raw materials</v>
      </c>
      <c r="G402" s="541" t="str" cm="1">
        <f t="array" ref="G402">IF(E402="Import",
  IFERROR(
    _xlfn.IFS(
      VLOOKUP(B402,[1]Material!F$5:U$90000,16,0)="LUC","Lucid",
      VLOOKUP(B402,[1]Material!F$5:U$90000,16,0)="FMC","FORD",
      OR(VLOOKUP(B402,[1]Material!F$5:U$90000,16,0)="PUR",VLOOKUP(B402,[1]Material!F$5:U$90000,16,0)="HLO"),"PURE",
      VLOOKUP(B402,[1]Material!F$5:U$90000,16,0)="AIC","AIC",
      OR(VLOOKUP(B402,[1]Material!F$5:U$90000,16,0)="AGI",VLOOKUP(B402,[1]Material!F$5:U$90000,16,0)="AGIGA"),"AGIGA",
      OR(LEFT(VLOOKUP(B402,[1]Material!F$5:U$90000,16,0),3)="EF-",VLOOKUP(B402,[1]Material!F$5:U$90000,16,0)="EFI"),"EFI",
      AND(ISNUMBER(VLOOKUP(B402,[1]Material!F$5:U$90000,16,0)),VLOOKUP(B402,[1]Material!F$5:U$90000,16,0)&gt;=100,VLOOKUP(B402,[1]Material!F$5:U$90000,16,0)&lt;=999,VLOOKUP(B402,[1]Material!F$5:U$90000,16,0)=INT(VLOOKUP(B402,[1]Material!F$5:U$90000,16,0))),"OEM",
      TRUE,""
    ),
    "không tìm thấy trong file Import"
  ),
  VLOOKUP(F402,'[2]Export shipment'!B:Y,24,0)
)</f>
        <v>FORD</v>
      </c>
      <c r="H402" s="184"/>
      <c r="I402" s="184"/>
      <c r="J402" s="260">
        <f>(V402+X402+AA402)/'Logistics record '!$AD$1</f>
        <v>15.116015418335726</v>
      </c>
      <c r="K402" s="260">
        <f>W402/'Logistics record '!$AD$1</f>
        <v>0</v>
      </c>
      <c r="L402" s="260">
        <f>Y402/'Logistics record '!$AD$1</f>
        <v>0</v>
      </c>
      <c r="M402" s="260">
        <f>AF402/'Logistics record '!$AD$1</f>
        <v>0</v>
      </c>
      <c r="N402" s="260" t="str" cm="1">
        <f t="array" ref="N402">_xlfn.IFS(
    OR(UPPER(S402)="AIR", UPPER(S402)="CPN"), "AIR",
    UPPER(S402)="TC", "LOCAL",
    TRUE, "SEA"
)</f>
        <v>AIR</v>
      </c>
      <c r="O402" s="260">
        <f t="shared" si="36"/>
        <v>15.116015418335726</v>
      </c>
      <c r="P402" s="184" t="s">
        <v>931</v>
      </c>
      <c r="Q402" s="185">
        <v>108346686340</v>
      </c>
      <c r="R402" s="186">
        <v>46189</v>
      </c>
      <c r="S402" s="187" t="s">
        <v>928</v>
      </c>
      <c r="T402" s="188">
        <v>26</v>
      </c>
      <c r="U402" s="188"/>
      <c r="V402" s="189">
        <v>400000</v>
      </c>
      <c r="W402" s="190"/>
      <c r="X402" s="190"/>
      <c r="Y402" s="190"/>
      <c r="Z402" s="189">
        <f t="shared" si="39"/>
        <v>400000</v>
      </c>
      <c r="AA402" s="189">
        <v>0</v>
      </c>
      <c r="AB402" s="189">
        <f t="shared" si="41"/>
        <v>400000</v>
      </c>
      <c r="AC402" s="189"/>
      <c r="AD402" s="190"/>
      <c r="AE402" s="190"/>
      <c r="AF402" s="191">
        <f t="shared" si="37"/>
        <v>0</v>
      </c>
      <c r="AG402" s="190">
        <f t="shared" si="38"/>
        <v>400000</v>
      </c>
      <c r="AH402" s="190"/>
      <c r="AI402" s="192" t="str">
        <f>VLOOKUP(Q402,[3]Sheet1!B$11:G$1489,6,0)</f>
        <v>E11</v>
      </c>
      <c r="GK402" s="194"/>
      <c r="GL402" s="195"/>
      <c r="GM402" s="196"/>
      <c r="GN402" s="197"/>
      <c r="GO402" s="198"/>
      <c r="GP402" s="199"/>
      <c r="GQ402" s="200"/>
      <c r="GR402" s="201"/>
      <c r="GS402" s="60"/>
      <c r="GT402" s="202"/>
      <c r="GU402" s="202"/>
      <c r="GV402" s="202"/>
      <c r="GW402" s="202"/>
      <c r="GX402" s="203"/>
      <c r="HA402" s="194"/>
      <c r="HB402" s="195"/>
      <c r="HC402" s="196"/>
      <c r="HD402" s="197"/>
      <c r="HE402" s="198"/>
      <c r="HF402" s="199"/>
      <c r="HG402" s="200"/>
      <c r="HH402" s="201"/>
      <c r="HI402" s="60"/>
      <c r="HJ402" s="202"/>
      <c r="HK402" s="202"/>
      <c r="HL402" s="202"/>
      <c r="HM402" s="202"/>
      <c r="HN402" s="203"/>
    </row>
    <row r="403" spans="1:222" ht="16.5" customHeight="1">
      <c r="A403" s="181">
        <v>400</v>
      </c>
      <c r="B403" s="182">
        <v>381939344552</v>
      </c>
      <c r="C403" s="183" t="s">
        <v>2731</v>
      </c>
      <c r="D403" s="184" t="s">
        <v>2446</v>
      </c>
      <c r="E403" s="184" t="str">
        <f t="shared" si="40"/>
        <v>Import</v>
      </c>
      <c r="F403" s="720" t="str" cm="1">
        <f t="array" ref="F403">_xlfn.IFS(
  OR(AI403="E11", AI403="E15"), "Raw materials",
  OR(AI403="E13", AI403="G13"), "Equipments + Toolings",
  TRUE, RIGHT(C403, 8)
)</f>
        <v>Raw materials</v>
      </c>
      <c r="G403" s="541" t="str" cm="1">
        <f t="array" ref="G403">IF(E403="Import",
  IFERROR(
    _xlfn.IFS(
      VLOOKUP(B403,[1]Material!F$5:U$90000,16,0)="LUC","Lucid",
      VLOOKUP(B403,[1]Material!F$5:U$90000,16,0)="FMC","FORD",
      OR(VLOOKUP(B403,[1]Material!F$5:U$90000,16,0)="PUR",VLOOKUP(B403,[1]Material!F$5:U$90000,16,0)="HLO"),"PURE",
      VLOOKUP(B403,[1]Material!F$5:U$90000,16,0)="AIC","AIC",
      OR(VLOOKUP(B403,[1]Material!F$5:U$90000,16,0)="AGI",VLOOKUP(B403,[1]Material!F$5:U$90000,16,0)="AGIGA"),"AGIGA",
      OR(LEFT(VLOOKUP(B403,[1]Material!F$5:U$90000,16,0),3)="EF-",VLOOKUP(B403,[1]Material!F$5:U$90000,16,0)="EFI"),"EFI",
      AND(ISNUMBER(VLOOKUP(B403,[1]Material!F$5:U$90000,16,0)),VLOOKUP(B403,[1]Material!F$5:U$90000,16,0)&gt;=100,VLOOKUP(B403,[1]Material!F$5:U$90000,16,0)&lt;=999,VLOOKUP(B403,[1]Material!F$5:U$90000,16,0)=INT(VLOOKUP(B403,[1]Material!F$5:U$90000,16,0))),"OEM",
      TRUE,""
    ),
    "không tìm thấy trong file Import"
  ),
  VLOOKUP(F403,'[2]Export shipment'!B:Y,24,0)
)</f>
        <v>EFI</v>
      </c>
      <c r="H403" s="184"/>
      <c r="I403" s="184"/>
      <c r="J403" s="260">
        <f>(V403+X403+AA403)/'Logistics record '!$AD$1</f>
        <v>15.116015418335726</v>
      </c>
      <c r="K403" s="260">
        <f>W403/'Logistics record '!$AD$1</f>
        <v>0</v>
      </c>
      <c r="L403" s="260">
        <f>Y403/'Logistics record '!$AD$1</f>
        <v>0</v>
      </c>
      <c r="M403" s="260">
        <f>AF403/'Logistics record '!$AD$1</f>
        <v>0</v>
      </c>
      <c r="N403" s="260" t="str" cm="1">
        <f t="array" ref="N403">_xlfn.IFS(
    OR(UPPER(S403)="AIR", UPPER(S403)="CPN"), "AIR",
    UPPER(S403)="TC", "LOCAL",
    TRUE, "SEA"
)</f>
        <v>AIR</v>
      </c>
      <c r="O403" s="260">
        <f t="shared" si="36"/>
        <v>15.116015418335726</v>
      </c>
      <c r="P403" s="184" t="s">
        <v>937</v>
      </c>
      <c r="Q403" s="185">
        <v>108346716000</v>
      </c>
      <c r="R403" s="186">
        <v>46189</v>
      </c>
      <c r="S403" s="187" t="s">
        <v>928</v>
      </c>
      <c r="T403" s="188">
        <v>1.1000000000000001</v>
      </c>
      <c r="U403" s="188"/>
      <c r="V403" s="189">
        <v>400000</v>
      </c>
      <c r="W403" s="190"/>
      <c r="X403" s="190"/>
      <c r="Y403" s="190"/>
      <c r="Z403" s="189">
        <f t="shared" si="39"/>
        <v>400000</v>
      </c>
      <c r="AA403" s="189">
        <v>0</v>
      </c>
      <c r="AB403" s="189">
        <f t="shared" si="41"/>
        <v>400000</v>
      </c>
      <c r="AC403" s="189"/>
      <c r="AD403" s="190"/>
      <c r="AE403" s="190"/>
      <c r="AF403" s="191">
        <f t="shared" si="37"/>
        <v>0</v>
      </c>
      <c r="AG403" s="190">
        <f t="shared" si="38"/>
        <v>400000</v>
      </c>
      <c r="AH403" s="190"/>
      <c r="AI403" s="192" t="str">
        <f>VLOOKUP(Q403,[3]Sheet1!B$11:G$1489,6,0)</f>
        <v>E11</v>
      </c>
      <c r="GK403" s="194"/>
      <c r="GL403" s="195"/>
      <c r="GM403" s="196"/>
      <c r="GN403" s="197"/>
      <c r="GO403" s="198"/>
      <c r="GP403" s="199"/>
      <c r="GQ403" s="200"/>
      <c r="GR403" s="201"/>
      <c r="GS403" s="60"/>
      <c r="GT403" s="202"/>
      <c r="GU403" s="202"/>
      <c r="GV403" s="202"/>
      <c r="GW403" s="202"/>
      <c r="GX403" s="203"/>
      <c r="HA403" s="194"/>
      <c r="HB403" s="195"/>
      <c r="HC403" s="196"/>
      <c r="HD403" s="197"/>
      <c r="HE403" s="198"/>
      <c r="HF403" s="199"/>
      <c r="HG403" s="200"/>
      <c r="HH403" s="201"/>
      <c r="HI403" s="60"/>
      <c r="HJ403" s="202"/>
      <c r="HK403" s="202"/>
      <c r="HL403" s="202"/>
      <c r="HM403" s="202"/>
      <c r="HN403" s="203"/>
    </row>
    <row r="404" spans="1:222" ht="16.5" customHeight="1">
      <c r="A404" s="181">
        <v>401</v>
      </c>
      <c r="B404" s="182">
        <v>4110338139</v>
      </c>
      <c r="C404" s="183" t="s">
        <v>2732</v>
      </c>
      <c r="D404" s="184" t="s">
        <v>948</v>
      </c>
      <c r="E404" s="184" t="str">
        <f t="shared" si="40"/>
        <v>Import</v>
      </c>
      <c r="F404" s="720" t="str" cm="1">
        <f t="array" ref="F404">_xlfn.IFS(
  OR(AI404="E11", AI404="E15"), "Raw materials",
  OR(AI404="E13", AI404="G13"), "Equipments + Toolings",
  TRUE, RIGHT(C404, 8)
)</f>
        <v>Raw materials</v>
      </c>
      <c r="G404" s="541" t="str" cm="1">
        <f t="array" ref="G404">IF(E404="Import",
  IFERROR(
    _xlfn.IFS(
      VLOOKUP(B404,[1]Material!F$5:U$90000,16,0)="LUC","Lucid",
      VLOOKUP(B404,[1]Material!F$5:U$90000,16,0)="FMC","FORD",
      OR(VLOOKUP(B404,[1]Material!F$5:U$90000,16,0)="PUR",VLOOKUP(B404,[1]Material!F$5:U$90000,16,0)="HLO"),"PURE",
      VLOOKUP(B404,[1]Material!F$5:U$90000,16,0)="AIC","AIC",
      OR(VLOOKUP(B404,[1]Material!F$5:U$90000,16,0)="AGI",VLOOKUP(B404,[1]Material!F$5:U$90000,16,0)="AGIGA"),"AGIGA",
      OR(LEFT(VLOOKUP(B404,[1]Material!F$5:U$90000,16,0),3)="EF-",VLOOKUP(B404,[1]Material!F$5:U$90000,16,0)="EFI"),"EFI",
      AND(ISNUMBER(VLOOKUP(B404,[1]Material!F$5:U$90000,16,0)),VLOOKUP(B404,[1]Material!F$5:U$90000,16,0)&gt;=100,VLOOKUP(B404,[1]Material!F$5:U$90000,16,0)&lt;=999,VLOOKUP(B404,[1]Material!F$5:U$90000,16,0)=INT(VLOOKUP(B404,[1]Material!F$5:U$90000,16,0))),"OEM",
      TRUE,""
    ),
    "không tìm thấy trong file Import"
  ),
  VLOOKUP(F404,'[2]Export shipment'!B:Y,24,0)
)</f>
        <v>Lucid</v>
      </c>
      <c r="H404" s="184"/>
      <c r="I404" s="184"/>
      <c r="J404" s="260">
        <f>(V404+X404+AA404)/'Logistics record '!$AD$1</f>
        <v>15.116015418335726</v>
      </c>
      <c r="K404" s="260">
        <f>W404/'Logistics record '!$AD$1</f>
        <v>0</v>
      </c>
      <c r="L404" s="260">
        <f>Y404/'Logistics record '!$AD$1</f>
        <v>0</v>
      </c>
      <c r="M404" s="260">
        <f>AF404/'Logistics record '!$AD$1</f>
        <v>0</v>
      </c>
      <c r="N404" s="260" t="str" cm="1">
        <f t="array" ref="N404">_xlfn.IFS(
    OR(UPPER(S404)="AIR", UPPER(S404)="CPN"), "AIR",
    UPPER(S404)="TC", "LOCAL",
    TRUE, "SEA"
)</f>
        <v>AIR</v>
      </c>
      <c r="O404" s="260">
        <f t="shared" si="36"/>
        <v>15.116015418335726</v>
      </c>
      <c r="P404" s="184" t="s">
        <v>935</v>
      </c>
      <c r="Q404" s="185">
        <v>108347193620</v>
      </c>
      <c r="R404" s="186">
        <v>46190</v>
      </c>
      <c r="S404" s="187" t="s">
        <v>65</v>
      </c>
      <c r="T404" s="188">
        <v>5</v>
      </c>
      <c r="U404" s="188"/>
      <c r="V404" s="189">
        <v>400000</v>
      </c>
      <c r="W404" s="190"/>
      <c r="X404" s="190"/>
      <c r="Y404" s="190"/>
      <c r="Z404" s="189">
        <f t="shared" si="39"/>
        <v>400000</v>
      </c>
      <c r="AA404" s="189">
        <v>0</v>
      </c>
      <c r="AB404" s="189">
        <f t="shared" si="41"/>
        <v>400000</v>
      </c>
      <c r="AC404" s="189"/>
      <c r="AD404" s="190"/>
      <c r="AE404" s="190"/>
      <c r="AF404" s="191">
        <f t="shared" si="37"/>
        <v>0</v>
      </c>
      <c r="AG404" s="190">
        <f t="shared" si="38"/>
        <v>400000</v>
      </c>
      <c r="AH404" s="190"/>
      <c r="AI404" s="192" t="str">
        <f>VLOOKUP(Q404,[3]Sheet1!B$11:G$1489,6,0)</f>
        <v>E11</v>
      </c>
      <c r="GK404" s="194"/>
      <c r="GL404" s="195"/>
      <c r="GM404" s="196"/>
      <c r="GN404" s="197"/>
      <c r="GO404" s="198"/>
      <c r="GP404" s="199"/>
      <c r="GQ404" s="200"/>
      <c r="GR404" s="201"/>
      <c r="GS404" s="60"/>
      <c r="GT404" s="202"/>
      <c r="GU404" s="202"/>
      <c r="GV404" s="202"/>
      <c r="GW404" s="202"/>
      <c r="GX404" s="203"/>
      <c r="HA404" s="194"/>
      <c r="HB404" s="195"/>
      <c r="HC404" s="196"/>
      <c r="HD404" s="197"/>
      <c r="HE404" s="198"/>
      <c r="HF404" s="199"/>
      <c r="HG404" s="200"/>
      <c r="HH404" s="201"/>
      <c r="HI404" s="60"/>
      <c r="HJ404" s="202"/>
      <c r="HK404" s="202"/>
      <c r="HL404" s="202"/>
      <c r="HM404" s="202"/>
      <c r="HN404" s="203"/>
    </row>
    <row r="405" spans="1:222" ht="16.5" customHeight="1">
      <c r="A405" s="181">
        <v>402</v>
      </c>
      <c r="B405" s="182">
        <v>4110338142</v>
      </c>
      <c r="C405" s="183" t="s">
        <v>2733</v>
      </c>
      <c r="D405" s="184" t="s">
        <v>948</v>
      </c>
      <c r="E405" s="184" t="str">
        <f t="shared" si="40"/>
        <v>Import</v>
      </c>
      <c r="F405" s="720" t="str" cm="1">
        <f t="array" ref="F405">_xlfn.IFS(
  OR(AI405="E11", AI405="E15"), "Raw materials",
  OR(AI405="E13", AI405="G13"), "Equipments + Toolings",
  TRUE, RIGHT(C405, 8)
)</f>
        <v>Raw materials</v>
      </c>
      <c r="G405" s="541" t="str" cm="1">
        <f t="array" ref="G405">IF(E405="Import",
  IFERROR(
    _xlfn.IFS(
      VLOOKUP(B405,[1]Material!F$5:U$90000,16,0)="LUC","Lucid",
      VLOOKUP(B405,[1]Material!F$5:U$90000,16,0)="FMC","FORD",
      OR(VLOOKUP(B405,[1]Material!F$5:U$90000,16,0)="PUR",VLOOKUP(B405,[1]Material!F$5:U$90000,16,0)="HLO"),"PURE",
      VLOOKUP(B405,[1]Material!F$5:U$90000,16,0)="AIC","AIC",
      OR(VLOOKUP(B405,[1]Material!F$5:U$90000,16,0)="AGI",VLOOKUP(B405,[1]Material!F$5:U$90000,16,0)="AGIGA"),"AGIGA",
      OR(LEFT(VLOOKUP(B405,[1]Material!F$5:U$90000,16,0),3)="EF-",VLOOKUP(B405,[1]Material!F$5:U$90000,16,0)="EFI"),"EFI",
      AND(ISNUMBER(VLOOKUP(B405,[1]Material!F$5:U$90000,16,0)),VLOOKUP(B405,[1]Material!F$5:U$90000,16,0)&gt;=100,VLOOKUP(B405,[1]Material!F$5:U$90000,16,0)&lt;=999,VLOOKUP(B405,[1]Material!F$5:U$90000,16,0)=INT(VLOOKUP(B405,[1]Material!F$5:U$90000,16,0))),"OEM",
      TRUE,""
    ),
    "không tìm thấy trong file Import"
  ),
  VLOOKUP(F405,'[2]Export shipment'!B:Y,24,0)
)</f>
        <v>Lucid</v>
      </c>
      <c r="H405" s="184"/>
      <c r="I405" s="184"/>
      <c r="J405" s="260">
        <f>(V405+X405+AA405)/'Logistics record '!$AD$1</f>
        <v>15.116015418335726</v>
      </c>
      <c r="K405" s="260">
        <f>W405/'Logistics record '!$AD$1</f>
        <v>0</v>
      </c>
      <c r="L405" s="260">
        <f>Y405/'Logistics record '!$AD$1</f>
        <v>0</v>
      </c>
      <c r="M405" s="260">
        <f>AF405/'Logistics record '!$AD$1</f>
        <v>0</v>
      </c>
      <c r="N405" s="260" t="str" cm="1">
        <f t="array" ref="N405">_xlfn.IFS(
    OR(UPPER(S405)="AIR", UPPER(S405)="CPN"), "AIR",
    UPPER(S405)="TC", "LOCAL",
    TRUE, "SEA"
)</f>
        <v>AIR</v>
      </c>
      <c r="O405" s="260">
        <f t="shared" si="36"/>
        <v>15.116015418335726</v>
      </c>
      <c r="P405" s="184" t="s">
        <v>935</v>
      </c>
      <c r="Q405" s="185">
        <v>108347232820</v>
      </c>
      <c r="R405" s="186">
        <v>46190</v>
      </c>
      <c r="S405" s="187" t="s">
        <v>65</v>
      </c>
      <c r="T405" s="188">
        <v>3</v>
      </c>
      <c r="U405" s="188"/>
      <c r="V405" s="189">
        <v>400000</v>
      </c>
      <c r="W405" s="190"/>
      <c r="X405" s="190"/>
      <c r="Y405" s="190"/>
      <c r="Z405" s="189">
        <f t="shared" si="39"/>
        <v>400000</v>
      </c>
      <c r="AA405" s="189">
        <v>0</v>
      </c>
      <c r="AB405" s="189">
        <f t="shared" si="41"/>
        <v>400000</v>
      </c>
      <c r="AC405" s="189"/>
      <c r="AD405" s="190"/>
      <c r="AE405" s="190"/>
      <c r="AF405" s="191">
        <f t="shared" si="37"/>
        <v>0</v>
      </c>
      <c r="AG405" s="190">
        <f t="shared" si="38"/>
        <v>400000</v>
      </c>
      <c r="AH405" s="190"/>
      <c r="AI405" s="192" t="str">
        <f>VLOOKUP(Q405,[3]Sheet1!B$11:G$1489,6,0)</f>
        <v>E11</v>
      </c>
      <c r="GK405" s="194"/>
      <c r="GL405" s="195"/>
      <c r="GM405" s="196"/>
      <c r="GN405" s="197"/>
      <c r="GO405" s="198"/>
      <c r="GP405" s="199"/>
      <c r="GQ405" s="200"/>
      <c r="GR405" s="201"/>
      <c r="GS405" s="60"/>
      <c r="GT405" s="202"/>
      <c r="GU405" s="202"/>
      <c r="GV405" s="202"/>
      <c r="GW405" s="202"/>
      <c r="GX405" s="203"/>
      <c r="HA405" s="194"/>
      <c r="HB405" s="195"/>
      <c r="HC405" s="196"/>
      <c r="HD405" s="197"/>
      <c r="HE405" s="198"/>
      <c r="HF405" s="199"/>
      <c r="HG405" s="200"/>
      <c r="HH405" s="201"/>
      <c r="HI405" s="60"/>
      <c r="HJ405" s="202"/>
      <c r="HK405" s="202"/>
      <c r="HL405" s="202"/>
      <c r="HM405" s="202"/>
      <c r="HN405" s="203"/>
    </row>
    <row r="406" spans="1:222" ht="16.5" customHeight="1">
      <c r="A406" s="181">
        <v>403</v>
      </c>
      <c r="B406" s="182">
        <v>4110338141</v>
      </c>
      <c r="C406" s="183" t="s">
        <v>2734</v>
      </c>
      <c r="D406" s="184" t="s">
        <v>948</v>
      </c>
      <c r="E406" s="184" t="str">
        <f t="shared" si="40"/>
        <v>Import</v>
      </c>
      <c r="F406" s="720" t="str" cm="1">
        <f t="array" ref="F406">_xlfn.IFS(
  OR(AI406="E11", AI406="E15"), "Raw materials",
  OR(AI406="E13", AI406="G13"), "Equipments + Toolings",
  TRUE, RIGHT(C406, 8)
)</f>
        <v>Raw materials</v>
      </c>
      <c r="G406" s="541" t="str" cm="1">
        <f t="array" ref="G406">IF(E406="Import",
  IFERROR(
    _xlfn.IFS(
      VLOOKUP(B406,[1]Material!F$5:U$90000,16,0)="LUC","Lucid",
      VLOOKUP(B406,[1]Material!F$5:U$90000,16,0)="FMC","FORD",
      OR(VLOOKUP(B406,[1]Material!F$5:U$90000,16,0)="PUR",VLOOKUP(B406,[1]Material!F$5:U$90000,16,0)="HLO"),"PURE",
      VLOOKUP(B406,[1]Material!F$5:U$90000,16,0)="AIC","AIC",
      OR(VLOOKUP(B406,[1]Material!F$5:U$90000,16,0)="AGI",VLOOKUP(B406,[1]Material!F$5:U$90000,16,0)="AGIGA"),"AGIGA",
      OR(LEFT(VLOOKUP(B406,[1]Material!F$5:U$90000,16,0),3)="EF-",VLOOKUP(B406,[1]Material!F$5:U$90000,16,0)="EFI"),"EFI",
      AND(ISNUMBER(VLOOKUP(B406,[1]Material!F$5:U$90000,16,0)),VLOOKUP(B406,[1]Material!F$5:U$90000,16,0)&gt;=100,VLOOKUP(B406,[1]Material!F$5:U$90000,16,0)&lt;=999,VLOOKUP(B406,[1]Material!F$5:U$90000,16,0)=INT(VLOOKUP(B406,[1]Material!F$5:U$90000,16,0))),"OEM",
      TRUE,""
    ),
    "không tìm thấy trong file Import"
  ),
  VLOOKUP(F406,'[2]Export shipment'!B:Y,24,0)
)</f>
        <v>Lucid</v>
      </c>
      <c r="H406" s="184"/>
      <c r="I406" s="184"/>
      <c r="J406" s="260">
        <f>(V406+X406+AA406)/'Logistics record '!$AD$1</f>
        <v>15.116015418335726</v>
      </c>
      <c r="K406" s="260">
        <f>W406/'Logistics record '!$AD$1</f>
        <v>0</v>
      </c>
      <c r="L406" s="260">
        <f>Y406/'Logistics record '!$AD$1</f>
        <v>0</v>
      </c>
      <c r="M406" s="260">
        <f>AF406/'Logistics record '!$AD$1</f>
        <v>0</v>
      </c>
      <c r="N406" s="260" t="str" cm="1">
        <f t="array" ref="N406">_xlfn.IFS(
    OR(UPPER(S406)="AIR", UPPER(S406)="CPN"), "AIR",
    UPPER(S406)="TC", "LOCAL",
    TRUE, "SEA"
)</f>
        <v>AIR</v>
      </c>
      <c r="O406" s="260">
        <f t="shared" si="36"/>
        <v>15.116015418335726</v>
      </c>
      <c r="P406" s="184" t="s">
        <v>935</v>
      </c>
      <c r="Q406" s="185">
        <v>108347262660</v>
      </c>
      <c r="R406" s="186">
        <v>46190</v>
      </c>
      <c r="S406" s="187" t="s">
        <v>65</v>
      </c>
      <c r="T406" s="188">
        <v>7</v>
      </c>
      <c r="U406" s="188"/>
      <c r="V406" s="189">
        <v>400000</v>
      </c>
      <c r="W406" s="190"/>
      <c r="X406" s="190"/>
      <c r="Y406" s="190"/>
      <c r="Z406" s="189">
        <f t="shared" si="39"/>
        <v>400000</v>
      </c>
      <c r="AA406" s="189">
        <v>0</v>
      </c>
      <c r="AB406" s="189">
        <f t="shared" si="41"/>
        <v>400000</v>
      </c>
      <c r="AC406" s="189"/>
      <c r="AD406" s="190"/>
      <c r="AE406" s="190"/>
      <c r="AF406" s="191">
        <f t="shared" si="37"/>
        <v>0</v>
      </c>
      <c r="AG406" s="190">
        <f t="shared" si="38"/>
        <v>400000</v>
      </c>
      <c r="AH406" s="190"/>
      <c r="AI406" s="192" t="str">
        <f>VLOOKUP(Q406,[3]Sheet1!B$11:G$1489,6,0)</f>
        <v>E11</v>
      </c>
      <c r="GK406" s="194"/>
      <c r="GL406" s="195"/>
      <c r="GM406" s="196"/>
      <c r="GN406" s="197"/>
      <c r="GO406" s="198"/>
      <c r="GP406" s="199"/>
      <c r="GQ406" s="200"/>
      <c r="GR406" s="201"/>
      <c r="GS406" s="60"/>
      <c r="GT406" s="202"/>
      <c r="GU406" s="202"/>
      <c r="GV406" s="202"/>
      <c r="GW406" s="202"/>
      <c r="GX406" s="203"/>
      <c r="HA406" s="194"/>
      <c r="HB406" s="195"/>
      <c r="HC406" s="196"/>
      <c r="HD406" s="197"/>
      <c r="HE406" s="198"/>
      <c r="HF406" s="199"/>
      <c r="HG406" s="200"/>
      <c r="HH406" s="201"/>
      <c r="HI406" s="60"/>
      <c r="HJ406" s="202"/>
      <c r="HK406" s="202"/>
      <c r="HL406" s="202"/>
      <c r="HM406" s="202"/>
      <c r="HN406" s="203"/>
    </row>
    <row r="407" spans="1:222" ht="16.5" customHeight="1">
      <c r="A407" s="181">
        <v>404</v>
      </c>
      <c r="B407" s="182">
        <v>4110338152</v>
      </c>
      <c r="C407" s="183" t="s">
        <v>2735</v>
      </c>
      <c r="D407" s="184" t="s">
        <v>948</v>
      </c>
      <c r="E407" s="184" t="str">
        <f t="shared" si="40"/>
        <v>Import</v>
      </c>
      <c r="F407" s="720" t="str" cm="1">
        <f t="array" ref="F407">_xlfn.IFS(
  OR(AI407="E11", AI407="E15"), "Raw materials",
  OR(AI407="E13", AI407="G13"), "Equipments + Toolings",
  TRUE, RIGHT(C407, 8)
)</f>
        <v>Raw materials</v>
      </c>
      <c r="G407" s="541" t="str" cm="1">
        <f t="array" ref="G407">IF(E407="Import",
  IFERROR(
    _xlfn.IFS(
      VLOOKUP(B407,[1]Material!F$5:U$90000,16,0)="LUC","Lucid",
      VLOOKUP(B407,[1]Material!F$5:U$90000,16,0)="FMC","FORD",
      OR(VLOOKUP(B407,[1]Material!F$5:U$90000,16,0)="PUR",VLOOKUP(B407,[1]Material!F$5:U$90000,16,0)="HLO"),"PURE",
      VLOOKUP(B407,[1]Material!F$5:U$90000,16,0)="AIC","AIC",
      OR(VLOOKUP(B407,[1]Material!F$5:U$90000,16,0)="AGI",VLOOKUP(B407,[1]Material!F$5:U$90000,16,0)="AGIGA"),"AGIGA",
      OR(LEFT(VLOOKUP(B407,[1]Material!F$5:U$90000,16,0),3)="EF-",VLOOKUP(B407,[1]Material!F$5:U$90000,16,0)="EFI"),"EFI",
      AND(ISNUMBER(VLOOKUP(B407,[1]Material!F$5:U$90000,16,0)),VLOOKUP(B407,[1]Material!F$5:U$90000,16,0)&gt;=100,VLOOKUP(B407,[1]Material!F$5:U$90000,16,0)&lt;=999,VLOOKUP(B407,[1]Material!F$5:U$90000,16,0)=INT(VLOOKUP(B407,[1]Material!F$5:U$90000,16,0))),"OEM",
      TRUE,""
    ),
    "không tìm thấy trong file Import"
  ),
  VLOOKUP(F407,'[2]Export shipment'!B:Y,24,0)
)</f>
        <v>Lucid</v>
      </c>
      <c r="H407" s="184"/>
      <c r="I407" s="184"/>
      <c r="J407" s="260">
        <f>(V407+X407+AA407)/'Logistics record '!$AD$1</f>
        <v>15.116015418335726</v>
      </c>
      <c r="K407" s="260">
        <f>W407/'Logistics record '!$AD$1</f>
        <v>0</v>
      </c>
      <c r="L407" s="260">
        <f>Y407/'Logistics record '!$AD$1</f>
        <v>0</v>
      </c>
      <c r="M407" s="260">
        <f>AF407/'Logistics record '!$AD$1</f>
        <v>0</v>
      </c>
      <c r="N407" s="260" t="str" cm="1">
        <f t="array" ref="N407">_xlfn.IFS(
    OR(UPPER(S407)="AIR", UPPER(S407)="CPN"), "AIR",
    UPPER(S407)="TC", "LOCAL",
    TRUE, "SEA"
)</f>
        <v>AIR</v>
      </c>
      <c r="O407" s="260">
        <f t="shared" si="36"/>
        <v>15.116015418335726</v>
      </c>
      <c r="P407" s="184" t="s">
        <v>935</v>
      </c>
      <c r="Q407" s="185">
        <v>108347284400</v>
      </c>
      <c r="R407" s="186">
        <v>46190</v>
      </c>
      <c r="S407" s="187" t="s">
        <v>65</v>
      </c>
      <c r="T407" s="188">
        <v>26.5</v>
      </c>
      <c r="U407" s="188"/>
      <c r="V407" s="189">
        <v>400000</v>
      </c>
      <c r="W407" s="190"/>
      <c r="X407" s="190"/>
      <c r="Y407" s="190"/>
      <c r="Z407" s="189">
        <f t="shared" si="39"/>
        <v>400000</v>
      </c>
      <c r="AA407" s="189">
        <v>0</v>
      </c>
      <c r="AB407" s="189">
        <f t="shared" si="41"/>
        <v>400000</v>
      </c>
      <c r="AC407" s="189"/>
      <c r="AD407" s="190"/>
      <c r="AE407" s="190"/>
      <c r="AF407" s="191">
        <f t="shared" si="37"/>
        <v>0</v>
      </c>
      <c r="AG407" s="190">
        <f t="shared" si="38"/>
        <v>400000</v>
      </c>
      <c r="AH407" s="190"/>
      <c r="AI407" s="192" t="str">
        <f>VLOOKUP(Q407,[3]Sheet1!B$11:G$1489,6,0)</f>
        <v>E11</v>
      </c>
      <c r="GK407" s="194"/>
      <c r="GL407" s="195"/>
      <c r="GM407" s="196"/>
      <c r="GN407" s="197"/>
      <c r="GO407" s="198"/>
      <c r="GP407" s="199"/>
      <c r="GQ407" s="200"/>
      <c r="GR407" s="201"/>
      <c r="GS407" s="60"/>
      <c r="GT407" s="202"/>
      <c r="GU407" s="202"/>
      <c r="GV407" s="202"/>
      <c r="GW407" s="202"/>
      <c r="GX407" s="203"/>
      <c r="HA407" s="194"/>
      <c r="HB407" s="195"/>
      <c r="HC407" s="196"/>
      <c r="HD407" s="197"/>
      <c r="HE407" s="198"/>
      <c r="HF407" s="199"/>
      <c r="HG407" s="200"/>
      <c r="HH407" s="201"/>
      <c r="HI407" s="60"/>
      <c r="HJ407" s="202"/>
      <c r="HK407" s="202"/>
      <c r="HL407" s="202"/>
      <c r="HM407" s="202"/>
      <c r="HN407" s="203"/>
    </row>
    <row r="408" spans="1:222" ht="16.5" customHeight="1">
      <c r="A408" s="181">
        <v>405</v>
      </c>
      <c r="B408" s="182">
        <v>4110338143</v>
      </c>
      <c r="C408" s="183" t="s">
        <v>2736</v>
      </c>
      <c r="D408" s="184" t="s">
        <v>948</v>
      </c>
      <c r="E408" s="184" t="str">
        <f t="shared" si="40"/>
        <v>Import</v>
      </c>
      <c r="F408" s="720" t="str" cm="1">
        <f t="array" ref="F408">_xlfn.IFS(
  OR(AI408="E11", AI408="E15"), "Raw materials",
  OR(AI408="E13", AI408="G13"), "Equipments + Toolings",
  TRUE, RIGHT(C408, 8)
)</f>
        <v>Raw materials</v>
      </c>
      <c r="G408" s="541" t="str" cm="1">
        <f t="array" ref="G408">IF(E408="Import",
  IFERROR(
    _xlfn.IFS(
      VLOOKUP(B408,[1]Material!F$5:U$90000,16,0)="LUC","Lucid",
      VLOOKUP(B408,[1]Material!F$5:U$90000,16,0)="FMC","FORD",
      OR(VLOOKUP(B408,[1]Material!F$5:U$90000,16,0)="PUR",VLOOKUP(B408,[1]Material!F$5:U$90000,16,0)="HLO"),"PURE",
      VLOOKUP(B408,[1]Material!F$5:U$90000,16,0)="AIC","AIC",
      OR(VLOOKUP(B408,[1]Material!F$5:U$90000,16,0)="AGI",VLOOKUP(B408,[1]Material!F$5:U$90000,16,0)="AGIGA"),"AGIGA",
      OR(LEFT(VLOOKUP(B408,[1]Material!F$5:U$90000,16,0),3)="EF-",VLOOKUP(B408,[1]Material!F$5:U$90000,16,0)="EFI"),"EFI",
      AND(ISNUMBER(VLOOKUP(B408,[1]Material!F$5:U$90000,16,0)),VLOOKUP(B408,[1]Material!F$5:U$90000,16,0)&gt;=100,VLOOKUP(B408,[1]Material!F$5:U$90000,16,0)&lt;=999,VLOOKUP(B408,[1]Material!F$5:U$90000,16,0)=INT(VLOOKUP(B408,[1]Material!F$5:U$90000,16,0))),"OEM",
      TRUE,""
    ),
    "không tìm thấy trong file Import"
  ),
  VLOOKUP(F408,'[2]Export shipment'!B:Y,24,0)
)</f>
        <v>Lucid</v>
      </c>
      <c r="H408" s="184"/>
      <c r="I408" s="184"/>
      <c r="J408" s="260">
        <f>(V408+X408+AA408)/'Logistics record '!$AD$1</f>
        <v>15.116015418335726</v>
      </c>
      <c r="K408" s="260">
        <f>W408/'Logistics record '!$AD$1</f>
        <v>0</v>
      </c>
      <c r="L408" s="260">
        <f>Y408/'Logistics record '!$AD$1</f>
        <v>0</v>
      </c>
      <c r="M408" s="260">
        <f>AF408/'Logistics record '!$AD$1</f>
        <v>0</v>
      </c>
      <c r="N408" s="260" t="str" cm="1">
        <f t="array" ref="N408">_xlfn.IFS(
    OR(UPPER(S408)="AIR", UPPER(S408)="CPN"), "AIR",
    UPPER(S408)="TC", "LOCAL",
    TRUE, "SEA"
)</f>
        <v>AIR</v>
      </c>
      <c r="O408" s="260">
        <f t="shared" si="36"/>
        <v>15.116015418335726</v>
      </c>
      <c r="P408" s="184" t="s">
        <v>935</v>
      </c>
      <c r="Q408" s="185">
        <v>108347330710</v>
      </c>
      <c r="R408" s="186">
        <v>46190</v>
      </c>
      <c r="S408" s="187" t="s">
        <v>65</v>
      </c>
      <c r="T408" s="188">
        <v>8.5</v>
      </c>
      <c r="U408" s="188"/>
      <c r="V408" s="189">
        <v>400000</v>
      </c>
      <c r="W408" s="190"/>
      <c r="X408" s="190"/>
      <c r="Y408" s="190"/>
      <c r="Z408" s="189">
        <f t="shared" si="39"/>
        <v>400000</v>
      </c>
      <c r="AA408" s="189">
        <v>0</v>
      </c>
      <c r="AB408" s="189">
        <f t="shared" si="41"/>
        <v>400000</v>
      </c>
      <c r="AC408" s="189"/>
      <c r="AD408" s="190"/>
      <c r="AE408" s="190"/>
      <c r="AF408" s="191">
        <f t="shared" si="37"/>
        <v>0</v>
      </c>
      <c r="AG408" s="190">
        <f t="shared" si="38"/>
        <v>400000</v>
      </c>
      <c r="AH408" s="190"/>
      <c r="AI408" s="192" t="str">
        <f>VLOOKUP(Q408,[3]Sheet1!B$11:G$1489,6,0)</f>
        <v>E11</v>
      </c>
      <c r="GK408" s="194"/>
      <c r="GL408" s="195"/>
      <c r="GM408" s="196"/>
      <c r="GN408" s="197"/>
      <c r="GO408" s="198"/>
      <c r="GP408" s="199"/>
      <c r="GQ408" s="200"/>
      <c r="GR408" s="201"/>
      <c r="GS408" s="60"/>
      <c r="GT408" s="202"/>
      <c r="GU408" s="202"/>
      <c r="GV408" s="202"/>
      <c r="GW408" s="202"/>
      <c r="GX408" s="203"/>
      <c r="HA408" s="194"/>
      <c r="HB408" s="195"/>
      <c r="HC408" s="196"/>
      <c r="HD408" s="197"/>
      <c r="HE408" s="198"/>
      <c r="HF408" s="199"/>
      <c r="HG408" s="200"/>
      <c r="HH408" s="201"/>
      <c r="HI408" s="60"/>
      <c r="HJ408" s="202"/>
      <c r="HK408" s="202"/>
      <c r="HL408" s="202"/>
      <c r="HM408" s="202"/>
      <c r="HN408" s="203"/>
    </row>
    <row r="409" spans="1:222" ht="16.5" customHeight="1">
      <c r="A409" s="181">
        <v>406</v>
      </c>
      <c r="B409" s="182">
        <v>4110338217</v>
      </c>
      <c r="C409" s="183" t="s">
        <v>2737</v>
      </c>
      <c r="D409" s="184" t="s">
        <v>948</v>
      </c>
      <c r="E409" s="184" t="str">
        <f t="shared" si="40"/>
        <v>Import</v>
      </c>
      <c r="F409" s="720" t="str" cm="1">
        <f t="array" ref="F409">_xlfn.IFS(
  OR(AI409="E11", AI409="E15"), "Raw materials",
  OR(AI409="E13", AI409="G13"), "Equipments + Toolings",
  TRUE, RIGHT(C409, 8)
)</f>
        <v>Raw materials</v>
      </c>
      <c r="G409" s="541" t="str" cm="1">
        <f t="array" ref="G409">IF(E409="Import",
  IFERROR(
    _xlfn.IFS(
      VLOOKUP(B409,[1]Material!F$5:U$90000,16,0)="LUC","Lucid",
      VLOOKUP(B409,[1]Material!F$5:U$90000,16,0)="FMC","FORD",
      OR(VLOOKUP(B409,[1]Material!F$5:U$90000,16,0)="PUR",VLOOKUP(B409,[1]Material!F$5:U$90000,16,0)="HLO"),"PURE",
      VLOOKUP(B409,[1]Material!F$5:U$90000,16,0)="AIC","AIC",
      OR(VLOOKUP(B409,[1]Material!F$5:U$90000,16,0)="AGI",VLOOKUP(B409,[1]Material!F$5:U$90000,16,0)="AGIGA"),"AGIGA",
      OR(LEFT(VLOOKUP(B409,[1]Material!F$5:U$90000,16,0),3)="EF-",VLOOKUP(B409,[1]Material!F$5:U$90000,16,0)="EFI"),"EFI",
      AND(ISNUMBER(VLOOKUP(B409,[1]Material!F$5:U$90000,16,0)),VLOOKUP(B409,[1]Material!F$5:U$90000,16,0)&gt;=100,VLOOKUP(B409,[1]Material!F$5:U$90000,16,0)&lt;=999,VLOOKUP(B409,[1]Material!F$5:U$90000,16,0)=INT(VLOOKUP(B409,[1]Material!F$5:U$90000,16,0))),"OEM",
      TRUE,""
    ),
    "không tìm thấy trong file Import"
  ),
  VLOOKUP(F409,'[2]Export shipment'!B:Y,24,0)
)</f>
        <v>Lucid</v>
      </c>
      <c r="H409" s="184"/>
      <c r="I409" s="184"/>
      <c r="J409" s="260">
        <f>(V409+X409+AA409)/'Logistics record '!$AD$1</f>
        <v>15.116015418335726</v>
      </c>
      <c r="K409" s="260">
        <f>W409/'Logistics record '!$AD$1</f>
        <v>0</v>
      </c>
      <c r="L409" s="260">
        <f>Y409/'Logistics record '!$AD$1</f>
        <v>0</v>
      </c>
      <c r="M409" s="260">
        <f>AF409/'Logistics record '!$AD$1</f>
        <v>0</v>
      </c>
      <c r="N409" s="260" t="str" cm="1">
        <f t="array" ref="N409">_xlfn.IFS(
    OR(UPPER(S409)="AIR", UPPER(S409)="CPN"), "AIR",
    UPPER(S409)="TC", "LOCAL",
    TRUE, "SEA"
)</f>
        <v>AIR</v>
      </c>
      <c r="O409" s="260">
        <f t="shared" si="36"/>
        <v>15.116015418335726</v>
      </c>
      <c r="P409" s="184" t="s">
        <v>935</v>
      </c>
      <c r="Q409" s="185">
        <v>108347368950</v>
      </c>
      <c r="R409" s="186">
        <v>46190</v>
      </c>
      <c r="S409" s="187" t="s">
        <v>65</v>
      </c>
      <c r="T409" s="188">
        <v>9.5</v>
      </c>
      <c r="U409" s="188"/>
      <c r="V409" s="189">
        <v>400000</v>
      </c>
      <c r="W409" s="190"/>
      <c r="X409" s="190"/>
      <c r="Y409" s="190"/>
      <c r="Z409" s="189">
        <f t="shared" si="39"/>
        <v>400000</v>
      </c>
      <c r="AA409" s="189">
        <v>0</v>
      </c>
      <c r="AB409" s="189">
        <f t="shared" si="41"/>
        <v>400000</v>
      </c>
      <c r="AC409" s="189"/>
      <c r="AD409" s="190"/>
      <c r="AE409" s="190"/>
      <c r="AF409" s="191">
        <f t="shared" si="37"/>
        <v>0</v>
      </c>
      <c r="AG409" s="190">
        <f t="shared" si="38"/>
        <v>400000</v>
      </c>
      <c r="AH409" s="190"/>
      <c r="AI409" s="192" t="str">
        <f>VLOOKUP(Q409,[3]Sheet1!B$11:G$1489,6,0)</f>
        <v>E11</v>
      </c>
      <c r="GK409" s="194"/>
      <c r="GL409" s="195"/>
      <c r="GM409" s="196"/>
      <c r="GN409" s="197"/>
      <c r="GO409" s="198"/>
      <c r="GP409" s="199"/>
      <c r="GQ409" s="200"/>
      <c r="GR409" s="201"/>
      <c r="GS409" s="60"/>
      <c r="GT409" s="202"/>
      <c r="GU409" s="202"/>
      <c r="GV409" s="202"/>
      <c r="GW409" s="202"/>
      <c r="GX409" s="203"/>
      <c r="HA409" s="194"/>
      <c r="HB409" s="195"/>
      <c r="HC409" s="196"/>
      <c r="HD409" s="197"/>
      <c r="HE409" s="198"/>
      <c r="HF409" s="199"/>
      <c r="HG409" s="200"/>
      <c r="HH409" s="201"/>
      <c r="HI409" s="60"/>
      <c r="HJ409" s="202"/>
      <c r="HK409" s="202"/>
      <c r="HL409" s="202"/>
      <c r="HM409" s="202"/>
      <c r="HN409" s="203"/>
    </row>
    <row r="410" spans="1:222" ht="16.5" customHeight="1">
      <c r="A410" s="181">
        <v>407</v>
      </c>
      <c r="B410" s="182">
        <v>4110338144</v>
      </c>
      <c r="C410" s="183" t="s">
        <v>2738</v>
      </c>
      <c r="D410" s="184" t="s">
        <v>948</v>
      </c>
      <c r="E410" s="184" t="str">
        <f t="shared" si="40"/>
        <v>Import</v>
      </c>
      <c r="F410" s="720" t="str" cm="1">
        <f t="array" ref="F410">_xlfn.IFS(
  OR(AI410="E11", AI410="E15"), "Raw materials",
  OR(AI410="E13", AI410="G13"), "Equipments + Toolings",
  TRUE, RIGHT(C410, 8)
)</f>
        <v>Raw materials</v>
      </c>
      <c r="G410" s="541" t="str" cm="1">
        <f t="array" ref="G410">IF(E410="Import",
  IFERROR(
    _xlfn.IFS(
      VLOOKUP(B410,[1]Material!F$5:U$90000,16,0)="LUC","Lucid",
      VLOOKUP(B410,[1]Material!F$5:U$90000,16,0)="FMC","FORD",
      OR(VLOOKUP(B410,[1]Material!F$5:U$90000,16,0)="PUR",VLOOKUP(B410,[1]Material!F$5:U$90000,16,0)="HLO"),"PURE",
      VLOOKUP(B410,[1]Material!F$5:U$90000,16,0)="AIC","AIC",
      OR(VLOOKUP(B410,[1]Material!F$5:U$90000,16,0)="AGI",VLOOKUP(B410,[1]Material!F$5:U$90000,16,0)="AGIGA"),"AGIGA",
      OR(LEFT(VLOOKUP(B410,[1]Material!F$5:U$90000,16,0),3)="EF-",VLOOKUP(B410,[1]Material!F$5:U$90000,16,0)="EFI"),"EFI",
      AND(ISNUMBER(VLOOKUP(B410,[1]Material!F$5:U$90000,16,0)),VLOOKUP(B410,[1]Material!F$5:U$90000,16,0)&gt;=100,VLOOKUP(B410,[1]Material!F$5:U$90000,16,0)&lt;=999,VLOOKUP(B410,[1]Material!F$5:U$90000,16,0)=INT(VLOOKUP(B410,[1]Material!F$5:U$90000,16,0))),"OEM",
      TRUE,""
    ),
    "không tìm thấy trong file Import"
  ),
  VLOOKUP(F410,'[2]Export shipment'!B:Y,24,0)
)</f>
        <v>Lucid</v>
      </c>
      <c r="H410" s="184"/>
      <c r="I410" s="184"/>
      <c r="J410" s="260">
        <f>(V410+X410+AA410)/'Logistics record '!$AD$1</f>
        <v>15.116015418335726</v>
      </c>
      <c r="K410" s="260">
        <f>W410/'Logistics record '!$AD$1</f>
        <v>0</v>
      </c>
      <c r="L410" s="260">
        <f>Y410/'Logistics record '!$AD$1</f>
        <v>0</v>
      </c>
      <c r="M410" s="260">
        <f>AF410/'Logistics record '!$AD$1</f>
        <v>0</v>
      </c>
      <c r="N410" s="260" t="str" cm="1">
        <f t="array" ref="N410">_xlfn.IFS(
    OR(UPPER(S410)="AIR", UPPER(S410)="CPN"), "AIR",
    UPPER(S410)="TC", "LOCAL",
    TRUE, "SEA"
)</f>
        <v>AIR</v>
      </c>
      <c r="O410" s="260">
        <f t="shared" si="36"/>
        <v>15.116015418335726</v>
      </c>
      <c r="P410" s="184" t="s">
        <v>935</v>
      </c>
      <c r="Q410" s="185">
        <v>108347464040</v>
      </c>
      <c r="R410" s="186">
        <v>46190</v>
      </c>
      <c r="S410" s="187" t="s">
        <v>65</v>
      </c>
      <c r="T410" s="188">
        <v>47.5</v>
      </c>
      <c r="U410" s="188"/>
      <c r="V410" s="189">
        <v>400000</v>
      </c>
      <c r="W410" s="190"/>
      <c r="X410" s="190"/>
      <c r="Y410" s="190"/>
      <c r="Z410" s="189">
        <f t="shared" si="39"/>
        <v>400000</v>
      </c>
      <c r="AA410" s="189">
        <v>0</v>
      </c>
      <c r="AB410" s="189">
        <f t="shared" si="41"/>
        <v>400000</v>
      </c>
      <c r="AC410" s="189"/>
      <c r="AD410" s="190"/>
      <c r="AE410" s="190"/>
      <c r="AF410" s="191">
        <f t="shared" si="37"/>
        <v>0</v>
      </c>
      <c r="AG410" s="190">
        <f t="shared" si="38"/>
        <v>400000</v>
      </c>
      <c r="AH410" s="190"/>
      <c r="AI410" s="192" t="str">
        <f>VLOOKUP(Q410,[3]Sheet1!B$11:G$1489,6,0)</f>
        <v>E11</v>
      </c>
      <c r="GK410" s="194"/>
      <c r="GL410" s="195"/>
      <c r="GM410" s="196"/>
      <c r="GN410" s="197"/>
      <c r="GO410" s="198"/>
      <c r="GP410" s="199"/>
      <c r="GQ410" s="200"/>
      <c r="GR410" s="201"/>
      <c r="GS410" s="60"/>
      <c r="GT410" s="202"/>
      <c r="GU410" s="202"/>
      <c r="GV410" s="202"/>
      <c r="GW410" s="202"/>
      <c r="GX410" s="203"/>
      <c r="HA410" s="194"/>
      <c r="HB410" s="195"/>
      <c r="HC410" s="196"/>
      <c r="HD410" s="197"/>
      <c r="HE410" s="198"/>
      <c r="HF410" s="199"/>
      <c r="HG410" s="200"/>
      <c r="HH410" s="201"/>
      <c r="HI410" s="60"/>
      <c r="HJ410" s="202"/>
      <c r="HK410" s="202"/>
      <c r="HL410" s="202"/>
      <c r="HM410" s="202"/>
      <c r="HN410" s="203"/>
    </row>
    <row r="411" spans="1:222" ht="16.5" customHeight="1">
      <c r="A411" s="181">
        <v>408</v>
      </c>
      <c r="B411" s="182">
        <v>4110338146</v>
      </c>
      <c r="C411" s="183" t="s">
        <v>2739</v>
      </c>
      <c r="D411" s="184" t="s">
        <v>948</v>
      </c>
      <c r="E411" s="184" t="str">
        <f t="shared" si="40"/>
        <v>Import</v>
      </c>
      <c r="F411" s="720" t="str" cm="1">
        <f t="array" ref="F411">_xlfn.IFS(
  OR(AI411="E11", AI411="E15"), "Raw materials",
  OR(AI411="E13", AI411="G13"), "Equipments + Toolings",
  TRUE, RIGHT(C411, 8)
)</f>
        <v>Raw materials</v>
      </c>
      <c r="G411" s="541" t="str" cm="1">
        <f t="array" ref="G411">IF(E411="Import",
  IFERROR(
    _xlfn.IFS(
      VLOOKUP(B411,[1]Material!F$5:U$90000,16,0)="LUC","Lucid",
      VLOOKUP(B411,[1]Material!F$5:U$90000,16,0)="FMC","FORD",
      OR(VLOOKUP(B411,[1]Material!F$5:U$90000,16,0)="PUR",VLOOKUP(B411,[1]Material!F$5:U$90000,16,0)="HLO"),"PURE",
      VLOOKUP(B411,[1]Material!F$5:U$90000,16,0)="AIC","AIC",
      OR(VLOOKUP(B411,[1]Material!F$5:U$90000,16,0)="AGI",VLOOKUP(B411,[1]Material!F$5:U$90000,16,0)="AGIGA"),"AGIGA",
      OR(LEFT(VLOOKUP(B411,[1]Material!F$5:U$90000,16,0),3)="EF-",VLOOKUP(B411,[1]Material!F$5:U$90000,16,0)="EFI"),"EFI",
      AND(ISNUMBER(VLOOKUP(B411,[1]Material!F$5:U$90000,16,0)),VLOOKUP(B411,[1]Material!F$5:U$90000,16,0)&gt;=100,VLOOKUP(B411,[1]Material!F$5:U$90000,16,0)&lt;=999,VLOOKUP(B411,[1]Material!F$5:U$90000,16,0)=INT(VLOOKUP(B411,[1]Material!F$5:U$90000,16,0))),"OEM",
      TRUE,""
    ),
    "không tìm thấy trong file Import"
  ),
  VLOOKUP(F411,'[2]Export shipment'!B:Y,24,0)
)</f>
        <v>Lucid</v>
      </c>
      <c r="H411" s="184"/>
      <c r="I411" s="184"/>
      <c r="J411" s="260">
        <f>(V411+X411+AA411)/'Logistics record '!$AD$1</f>
        <v>15.116015418335726</v>
      </c>
      <c r="K411" s="260">
        <f>W411/'Logistics record '!$AD$1</f>
        <v>0</v>
      </c>
      <c r="L411" s="260">
        <f>Y411/'Logistics record '!$AD$1</f>
        <v>0</v>
      </c>
      <c r="M411" s="260">
        <f>AF411/'Logistics record '!$AD$1</f>
        <v>0</v>
      </c>
      <c r="N411" s="260" t="str" cm="1">
        <f t="array" ref="N411">_xlfn.IFS(
    OR(UPPER(S411)="AIR", UPPER(S411)="CPN"), "AIR",
    UPPER(S411)="TC", "LOCAL",
    TRUE, "SEA"
)</f>
        <v>AIR</v>
      </c>
      <c r="O411" s="260">
        <f t="shared" si="36"/>
        <v>15.116015418335726</v>
      </c>
      <c r="P411" s="184" t="s">
        <v>935</v>
      </c>
      <c r="Q411" s="185">
        <v>108347464960</v>
      </c>
      <c r="R411" s="186">
        <v>46190</v>
      </c>
      <c r="S411" s="187" t="s">
        <v>65</v>
      </c>
      <c r="T411" s="188">
        <v>26</v>
      </c>
      <c r="U411" s="188"/>
      <c r="V411" s="189">
        <v>400000</v>
      </c>
      <c r="W411" s="190"/>
      <c r="X411" s="190"/>
      <c r="Y411" s="190"/>
      <c r="Z411" s="189">
        <f t="shared" si="39"/>
        <v>400000</v>
      </c>
      <c r="AA411" s="189">
        <v>0</v>
      </c>
      <c r="AB411" s="189">
        <f t="shared" si="41"/>
        <v>400000</v>
      </c>
      <c r="AC411" s="189"/>
      <c r="AD411" s="190"/>
      <c r="AE411" s="190"/>
      <c r="AF411" s="191">
        <f t="shared" si="37"/>
        <v>0</v>
      </c>
      <c r="AG411" s="190">
        <f t="shared" si="38"/>
        <v>400000</v>
      </c>
      <c r="AH411" s="190"/>
      <c r="AI411" s="192" t="str">
        <f>VLOOKUP(Q411,[3]Sheet1!B$11:G$1489,6,0)</f>
        <v>E11</v>
      </c>
      <c r="GK411" s="194"/>
      <c r="GL411" s="195"/>
      <c r="GM411" s="196"/>
      <c r="GN411" s="197"/>
      <c r="GO411" s="198"/>
      <c r="GP411" s="199"/>
      <c r="GQ411" s="200"/>
      <c r="GR411" s="201"/>
      <c r="GS411" s="60"/>
      <c r="GT411" s="202"/>
      <c r="GU411" s="202"/>
      <c r="GV411" s="202"/>
      <c r="GW411" s="202"/>
      <c r="GX411" s="203"/>
      <c r="HA411" s="194"/>
      <c r="HB411" s="195"/>
      <c r="HC411" s="196"/>
      <c r="HD411" s="197"/>
      <c r="HE411" s="198"/>
      <c r="HF411" s="199"/>
      <c r="HG411" s="200"/>
      <c r="HH411" s="201"/>
      <c r="HI411" s="60"/>
      <c r="HJ411" s="202"/>
      <c r="HK411" s="202"/>
      <c r="HL411" s="202"/>
      <c r="HM411" s="202"/>
      <c r="HN411" s="203"/>
    </row>
    <row r="412" spans="1:222" ht="16.5" customHeight="1">
      <c r="A412" s="181">
        <v>409</v>
      </c>
      <c r="B412" s="182">
        <v>4110338214</v>
      </c>
      <c r="C412" s="183" t="s">
        <v>2740</v>
      </c>
      <c r="D412" s="184" t="s">
        <v>948</v>
      </c>
      <c r="E412" s="184" t="str">
        <f t="shared" si="40"/>
        <v>Import</v>
      </c>
      <c r="F412" s="720" t="str" cm="1">
        <f t="array" ref="F412">_xlfn.IFS(
  OR(AI412="E11", AI412="E15"), "Raw materials",
  OR(AI412="E13", AI412="G13"), "Equipments + Toolings",
  TRUE, RIGHT(C412, 8)
)</f>
        <v>Raw materials</v>
      </c>
      <c r="G412" s="541" t="str" cm="1">
        <f t="array" ref="G412">IF(E412="Import",
  IFERROR(
    _xlfn.IFS(
      VLOOKUP(B412,[1]Material!F$5:U$90000,16,0)="LUC","Lucid",
      VLOOKUP(B412,[1]Material!F$5:U$90000,16,0)="FMC","FORD",
      OR(VLOOKUP(B412,[1]Material!F$5:U$90000,16,0)="PUR",VLOOKUP(B412,[1]Material!F$5:U$90000,16,0)="HLO"),"PURE",
      VLOOKUP(B412,[1]Material!F$5:U$90000,16,0)="AIC","AIC",
      OR(VLOOKUP(B412,[1]Material!F$5:U$90000,16,0)="AGI",VLOOKUP(B412,[1]Material!F$5:U$90000,16,0)="AGIGA"),"AGIGA",
      OR(LEFT(VLOOKUP(B412,[1]Material!F$5:U$90000,16,0),3)="EF-",VLOOKUP(B412,[1]Material!F$5:U$90000,16,0)="EFI"),"EFI",
      AND(ISNUMBER(VLOOKUP(B412,[1]Material!F$5:U$90000,16,0)),VLOOKUP(B412,[1]Material!F$5:U$90000,16,0)&gt;=100,VLOOKUP(B412,[1]Material!F$5:U$90000,16,0)&lt;=999,VLOOKUP(B412,[1]Material!F$5:U$90000,16,0)=INT(VLOOKUP(B412,[1]Material!F$5:U$90000,16,0))),"OEM",
      TRUE,""
    ),
    "không tìm thấy trong file Import"
  ),
  VLOOKUP(F412,'[2]Export shipment'!B:Y,24,0)
)</f>
        <v>Lucid</v>
      </c>
      <c r="H412" s="184"/>
      <c r="I412" s="184"/>
      <c r="J412" s="260">
        <f>(V412+X412+AA412)/'Logistics record '!$AD$1</f>
        <v>15.116015418335726</v>
      </c>
      <c r="K412" s="260">
        <f>W412/'Logistics record '!$AD$1</f>
        <v>0</v>
      </c>
      <c r="L412" s="260">
        <f>Y412/'Logistics record '!$AD$1</f>
        <v>0</v>
      </c>
      <c r="M412" s="260">
        <f>AF412/'Logistics record '!$AD$1</f>
        <v>0</v>
      </c>
      <c r="N412" s="260" t="str" cm="1">
        <f t="array" ref="N412">_xlfn.IFS(
    OR(UPPER(S412)="AIR", UPPER(S412)="CPN"), "AIR",
    UPPER(S412)="TC", "LOCAL",
    TRUE, "SEA"
)</f>
        <v>AIR</v>
      </c>
      <c r="O412" s="260">
        <f t="shared" si="36"/>
        <v>15.116015418335726</v>
      </c>
      <c r="P412" s="184" t="s">
        <v>935</v>
      </c>
      <c r="Q412" s="185">
        <v>108347527960</v>
      </c>
      <c r="R412" s="186">
        <v>46190</v>
      </c>
      <c r="S412" s="187" t="s">
        <v>65</v>
      </c>
      <c r="T412" s="188">
        <v>83.5</v>
      </c>
      <c r="U412" s="188"/>
      <c r="V412" s="189">
        <v>400000</v>
      </c>
      <c r="W412" s="190"/>
      <c r="X412" s="190"/>
      <c r="Y412" s="190"/>
      <c r="Z412" s="189">
        <f t="shared" si="39"/>
        <v>400000</v>
      </c>
      <c r="AA412" s="189">
        <v>0</v>
      </c>
      <c r="AB412" s="189">
        <f t="shared" si="41"/>
        <v>400000</v>
      </c>
      <c r="AC412" s="189"/>
      <c r="AD412" s="190"/>
      <c r="AE412" s="190"/>
      <c r="AF412" s="191">
        <f t="shared" si="37"/>
        <v>0</v>
      </c>
      <c r="AG412" s="190">
        <f t="shared" si="38"/>
        <v>400000</v>
      </c>
      <c r="AH412" s="190"/>
      <c r="AI412" s="192" t="str">
        <f>VLOOKUP(Q412,[3]Sheet1!B$11:G$1489,6,0)</f>
        <v>E11</v>
      </c>
      <c r="GK412" s="194"/>
      <c r="GL412" s="195"/>
      <c r="GM412" s="196"/>
      <c r="GN412" s="197"/>
      <c r="GO412" s="198"/>
      <c r="GP412" s="199"/>
      <c r="GQ412" s="200"/>
      <c r="GR412" s="201"/>
      <c r="GS412" s="60"/>
      <c r="GT412" s="202"/>
      <c r="GU412" s="202"/>
      <c r="GV412" s="202"/>
      <c r="GW412" s="202"/>
      <c r="GX412" s="203"/>
      <c r="HA412" s="194"/>
      <c r="HB412" s="195"/>
      <c r="HC412" s="196"/>
      <c r="HD412" s="197"/>
      <c r="HE412" s="198"/>
      <c r="HF412" s="199"/>
      <c r="HG412" s="200"/>
      <c r="HH412" s="201"/>
      <c r="HI412" s="60"/>
      <c r="HJ412" s="202"/>
      <c r="HK412" s="202"/>
      <c r="HL412" s="202"/>
      <c r="HM412" s="202"/>
      <c r="HN412" s="203"/>
    </row>
    <row r="413" spans="1:222" ht="16.5" customHeight="1">
      <c r="A413" s="181">
        <v>410</v>
      </c>
      <c r="B413" s="182">
        <v>4110338154</v>
      </c>
      <c r="C413" s="183" t="s">
        <v>2741</v>
      </c>
      <c r="D413" s="184" t="s">
        <v>948</v>
      </c>
      <c r="E413" s="184" t="str">
        <f t="shared" si="40"/>
        <v>Import</v>
      </c>
      <c r="F413" s="720" t="str" cm="1">
        <f t="array" ref="F413">_xlfn.IFS(
  OR(AI413="E11", AI413="E15"), "Raw materials",
  OR(AI413="E13", AI413="G13"), "Equipments + Toolings",
  TRUE, RIGHT(C413, 8)
)</f>
        <v>Raw materials</v>
      </c>
      <c r="G413" s="541" t="str" cm="1">
        <f t="array" ref="G413">IF(E413="Import",
  IFERROR(
    _xlfn.IFS(
      VLOOKUP(B413,[1]Material!F$5:U$90000,16,0)="LUC","Lucid",
      VLOOKUP(B413,[1]Material!F$5:U$90000,16,0)="FMC","FORD",
      OR(VLOOKUP(B413,[1]Material!F$5:U$90000,16,0)="PUR",VLOOKUP(B413,[1]Material!F$5:U$90000,16,0)="HLO"),"PURE",
      VLOOKUP(B413,[1]Material!F$5:U$90000,16,0)="AIC","AIC",
      OR(VLOOKUP(B413,[1]Material!F$5:U$90000,16,0)="AGI",VLOOKUP(B413,[1]Material!F$5:U$90000,16,0)="AGIGA"),"AGIGA",
      OR(LEFT(VLOOKUP(B413,[1]Material!F$5:U$90000,16,0),3)="EF-",VLOOKUP(B413,[1]Material!F$5:U$90000,16,0)="EFI"),"EFI",
      AND(ISNUMBER(VLOOKUP(B413,[1]Material!F$5:U$90000,16,0)),VLOOKUP(B413,[1]Material!F$5:U$90000,16,0)&gt;=100,VLOOKUP(B413,[1]Material!F$5:U$90000,16,0)&lt;=999,VLOOKUP(B413,[1]Material!F$5:U$90000,16,0)=INT(VLOOKUP(B413,[1]Material!F$5:U$90000,16,0))),"OEM",
      TRUE,""
    ),
    "không tìm thấy trong file Import"
  ),
  VLOOKUP(F413,'[2]Export shipment'!B:Y,24,0)
)</f>
        <v>Lucid</v>
      </c>
      <c r="H413" s="184"/>
      <c r="I413" s="184"/>
      <c r="J413" s="260">
        <f>(V413+X413+AA413)/'Logistics record '!$AD$1</f>
        <v>15.116015418335726</v>
      </c>
      <c r="K413" s="260">
        <f>W413/'Logistics record '!$AD$1</f>
        <v>0</v>
      </c>
      <c r="L413" s="260">
        <f>Y413/'Logistics record '!$AD$1</f>
        <v>0</v>
      </c>
      <c r="M413" s="260">
        <f>AF413/'Logistics record '!$AD$1</f>
        <v>0</v>
      </c>
      <c r="N413" s="260" t="str" cm="1">
        <f t="array" ref="N413">_xlfn.IFS(
    OR(UPPER(S413)="AIR", UPPER(S413)="CPN"), "AIR",
    UPPER(S413)="TC", "LOCAL",
    TRUE, "SEA"
)</f>
        <v>AIR</v>
      </c>
      <c r="O413" s="260">
        <f t="shared" si="36"/>
        <v>15.116015418335726</v>
      </c>
      <c r="P413" s="184" t="s">
        <v>935</v>
      </c>
      <c r="Q413" s="185">
        <v>108347692830</v>
      </c>
      <c r="R413" s="186">
        <v>46190</v>
      </c>
      <c r="S413" s="187" t="s">
        <v>65</v>
      </c>
      <c r="T413" s="188">
        <v>11</v>
      </c>
      <c r="U413" s="188"/>
      <c r="V413" s="189">
        <v>400000</v>
      </c>
      <c r="W413" s="190"/>
      <c r="X413" s="190"/>
      <c r="Y413" s="190"/>
      <c r="Z413" s="189">
        <f t="shared" si="39"/>
        <v>400000</v>
      </c>
      <c r="AA413" s="189">
        <v>0</v>
      </c>
      <c r="AB413" s="189">
        <f t="shared" si="41"/>
        <v>400000</v>
      </c>
      <c r="AC413" s="189"/>
      <c r="AD413" s="190"/>
      <c r="AE413" s="190"/>
      <c r="AF413" s="191">
        <f t="shared" si="37"/>
        <v>0</v>
      </c>
      <c r="AG413" s="190">
        <f t="shared" si="38"/>
        <v>400000</v>
      </c>
      <c r="AH413" s="190"/>
      <c r="AI413" s="192" t="str">
        <f>VLOOKUP(Q413,[3]Sheet1!B$11:G$1489,6,0)</f>
        <v>E11</v>
      </c>
      <c r="GK413" s="194"/>
      <c r="GL413" s="195"/>
      <c r="GM413" s="196"/>
      <c r="GN413" s="197"/>
      <c r="GO413" s="198"/>
      <c r="GP413" s="199"/>
      <c r="GQ413" s="200"/>
      <c r="GR413" s="201"/>
      <c r="GS413" s="60"/>
      <c r="GT413" s="202"/>
      <c r="GU413" s="202"/>
      <c r="GV413" s="202"/>
      <c r="GW413" s="202"/>
      <c r="GX413" s="203"/>
      <c r="HA413" s="194"/>
      <c r="HB413" s="195"/>
      <c r="HC413" s="196"/>
      <c r="HD413" s="197"/>
      <c r="HE413" s="198"/>
      <c r="HF413" s="199"/>
      <c r="HG413" s="200"/>
      <c r="HH413" s="201"/>
      <c r="HI413" s="60"/>
      <c r="HJ413" s="202"/>
      <c r="HK413" s="202"/>
      <c r="HL413" s="202"/>
      <c r="HM413" s="202"/>
      <c r="HN413" s="203"/>
    </row>
    <row r="414" spans="1:222" ht="16.5" customHeight="1">
      <c r="A414" s="181">
        <v>411</v>
      </c>
      <c r="B414" s="182">
        <v>4110338148</v>
      </c>
      <c r="C414" s="183" t="s">
        <v>2742</v>
      </c>
      <c r="D414" s="184" t="s">
        <v>948</v>
      </c>
      <c r="E414" s="184" t="str">
        <f t="shared" si="40"/>
        <v>Import</v>
      </c>
      <c r="F414" s="720" t="str" cm="1">
        <f t="array" ref="F414">_xlfn.IFS(
  OR(AI414="E11", AI414="E15"), "Raw materials",
  OR(AI414="E13", AI414="G13"), "Equipments + Toolings",
  TRUE, RIGHT(C414, 8)
)</f>
        <v>Raw materials</v>
      </c>
      <c r="G414" s="541" t="str" cm="1">
        <f t="array" ref="G414">IF(E414="Import",
  IFERROR(
    _xlfn.IFS(
      VLOOKUP(B414,[1]Material!F$5:U$90000,16,0)="LUC","Lucid",
      VLOOKUP(B414,[1]Material!F$5:U$90000,16,0)="FMC","FORD",
      OR(VLOOKUP(B414,[1]Material!F$5:U$90000,16,0)="PUR",VLOOKUP(B414,[1]Material!F$5:U$90000,16,0)="HLO"),"PURE",
      VLOOKUP(B414,[1]Material!F$5:U$90000,16,0)="AIC","AIC",
      OR(VLOOKUP(B414,[1]Material!F$5:U$90000,16,0)="AGI",VLOOKUP(B414,[1]Material!F$5:U$90000,16,0)="AGIGA"),"AGIGA",
      OR(LEFT(VLOOKUP(B414,[1]Material!F$5:U$90000,16,0),3)="EF-",VLOOKUP(B414,[1]Material!F$5:U$90000,16,0)="EFI"),"EFI",
      AND(ISNUMBER(VLOOKUP(B414,[1]Material!F$5:U$90000,16,0)),VLOOKUP(B414,[1]Material!F$5:U$90000,16,0)&gt;=100,VLOOKUP(B414,[1]Material!F$5:U$90000,16,0)&lt;=999,VLOOKUP(B414,[1]Material!F$5:U$90000,16,0)=INT(VLOOKUP(B414,[1]Material!F$5:U$90000,16,0))),"OEM",
      TRUE,""
    ),
    "không tìm thấy trong file Import"
  ),
  VLOOKUP(F414,'[2]Export shipment'!B:Y,24,0)
)</f>
        <v>Lucid</v>
      </c>
      <c r="H414" s="184"/>
      <c r="I414" s="184"/>
      <c r="J414" s="260">
        <f>(V414+X414+AA414)/'Logistics record '!$AD$1</f>
        <v>15.116015418335726</v>
      </c>
      <c r="K414" s="260">
        <f>W414/'Logistics record '!$AD$1</f>
        <v>0</v>
      </c>
      <c r="L414" s="260">
        <f>Y414/'Logistics record '!$AD$1</f>
        <v>0</v>
      </c>
      <c r="M414" s="260">
        <f>AF414/'Logistics record '!$AD$1</f>
        <v>0</v>
      </c>
      <c r="N414" s="260" t="str" cm="1">
        <f t="array" ref="N414">_xlfn.IFS(
    OR(UPPER(S414)="AIR", UPPER(S414)="CPN"), "AIR",
    UPPER(S414)="TC", "LOCAL",
    TRUE, "SEA"
)</f>
        <v>AIR</v>
      </c>
      <c r="O414" s="260">
        <f t="shared" si="36"/>
        <v>15.116015418335726</v>
      </c>
      <c r="P414" s="184" t="s">
        <v>935</v>
      </c>
      <c r="Q414" s="185">
        <v>108347826200</v>
      </c>
      <c r="R414" s="186">
        <v>46190</v>
      </c>
      <c r="S414" s="187" t="s">
        <v>65</v>
      </c>
      <c r="T414" s="188">
        <v>37.5</v>
      </c>
      <c r="U414" s="188"/>
      <c r="V414" s="189">
        <v>400000</v>
      </c>
      <c r="W414" s="190"/>
      <c r="X414" s="190"/>
      <c r="Y414" s="190"/>
      <c r="Z414" s="189">
        <f t="shared" si="39"/>
        <v>400000</v>
      </c>
      <c r="AA414" s="189">
        <v>0</v>
      </c>
      <c r="AB414" s="189">
        <f t="shared" si="41"/>
        <v>400000</v>
      </c>
      <c r="AC414" s="189"/>
      <c r="AD414" s="190"/>
      <c r="AE414" s="190"/>
      <c r="AF414" s="191">
        <f t="shared" si="37"/>
        <v>0</v>
      </c>
      <c r="AG414" s="190">
        <f t="shared" si="38"/>
        <v>400000</v>
      </c>
      <c r="AH414" s="190"/>
      <c r="AI414" s="192" t="str">
        <f>VLOOKUP(Q414,[3]Sheet1!B$11:G$1489,6,0)</f>
        <v>E11</v>
      </c>
      <c r="GK414" s="194"/>
      <c r="GL414" s="195"/>
      <c r="GM414" s="196"/>
      <c r="GN414" s="197"/>
      <c r="GO414" s="198"/>
      <c r="GP414" s="199"/>
      <c r="GQ414" s="200"/>
      <c r="GR414" s="201"/>
      <c r="GS414" s="60"/>
      <c r="GT414" s="202"/>
      <c r="GU414" s="202"/>
      <c r="GV414" s="202"/>
      <c r="GW414" s="202"/>
      <c r="GX414" s="203"/>
      <c r="HA414" s="194"/>
      <c r="HB414" s="195"/>
      <c r="HC414" s="196"/>
      <c r="HD414" s="197"/>
      <c r="HE414" s="198"/>
      <c r="HF414" s="199"/>
      <c r="HG414" s="200"/>
      <c r="HH414" s="201"/>
      <c r="HI414" s="60"/>
      <c r="HJ414" s="202"/>
      <c r="HK414" s="202"/>
      <c r="HL414" s="202"/>
      <c r="HM414" s="202"/>
      <c r="HN414" s="203"/>
    </row>
    <row r="415" spans="1:222" ht="16.5" customHeight="1">
      <c r="A415" s="181">
        <v>412</v>
      </c>
      <c r="B415" s="182">
        <v>1202740324</v>
      </c>
      <c r="C415" s="183" t="s">
        <v>2743</v>
      </c>
      <c r="D415" s="184" t="s">
        <v>2744</v>
      </c>
      <c r="E415" s="184" t="str">
        <f t="shared" si="40"/>
        <v>Import</v>
      </c>
      <c r="F415" s="720" t="str" cm="1">
        <f t="array" ref="F415">_xlfn.IFS(
  OR(AI415="E11", AI415="E15"), "Raw materials",
  OR(AI415="E13", AI415="G13"), "Equipments + Toolings",
  TRUE, RIGHT(C415, 8)
)</f>
        <v>Raw materials</v>
      </c>
      <c r="G415" s="541" t="str" cm="1">
        <f t="array" ref="G415">IF(E415="Import",
  IFERROR(
    _xlfn.IFS(
      VLOOKUP(B415,[1]Material!F$5:U$90000,16,0)="LUC","Lucid",
      VLOOKUP(B415,[1]Material!F$5:U$90000,16,0)="FMC","FORD",
      OR(VLOOKUP(B415,[1]Material!F$5:U$90000,16,0)="PUR",VLOOKUP(B415,[1]Material!F$5:U$90000,16,0)="HLO"),"PURE",
      VLOOKUP(B415,[1]Material!F$5:U$90000,16,0)="AIC","AIC",
      OR(VLOOKUP(B415,[1]Material!F$5:U$90000,16,0)="AGI",VLOOKUP(B415,[1]Material!F$5:U$90000,16,0)="AGIGA"),"AGIGA",
      OR(LEFT(VLOOKUP(B415,[1]Material!F$5:U$90000,16,0),3)="EF-",VLOOKUP(B415,[1]Material!F$5:U$90000,16,0)="EFI"),"EFI",
      AND(ISNUMBER(VLOOKUP(B415,[1]Material!F$5:U$90000,16,0)),VLOOKUP(B415,[1]Material!F$5:U$90000,16,0)&gt;=100,VLOOKUP(B415,[1]Material!F$5:U$90000,16,0)&lt;=999,VLOOKUP(B415,[1]Material!F$5:U$90000,16,0)=INT(VLOOKUP(B415,[1]Material!F$5:U$90000,16,0))),"OEM",
      TRUE,""
    ),
    "không tìm thấy trong file Import"
  ),
  VLOOKUP(F415,'[2]Export shipment'!B:Y,24,0)
)</f>
        <v>PURE</v>
      </c>
      <c r="H415" s="184"/>
      <c r="I415" s="184"/>
      <c r="J415" s="260">
        <f>(V415+X415+AA415)/'Logistics record '!$AD$1</f>
        <v>15.116015418335726</v>
      </c>
      <c r="K415" s="260">
        <f>W415/'Logistics record '!$AD$1</f>
        <v>0</v>
      </c>
      <c r="L415" s="260">
        <f>Y415/'Logistics record '!$AD$1</f>
        <v>0</v>
      </c>
      <c r="M415" s="260">
        <f>AF415/'Logistics record '!$AD$1</f>
        <v>0</v>
      </c>
      <c r="N415" s="260" t="str" cm="1">
        <f t="array" ref="N415">_xlfn.IFS(
    OR(UPPER(S415)="AIR", UPPER(S415)="CPN"), "AIR",
    UPPER(S415)="TC", "LOCAL",
    TRUE, "SEA"
)</f>
        <v>AIR</v>
      </c>
      <c r="O415" s="260">
        <f t="shared" si="36"/>
        <v>15.116015418335726</v>
      </c>
      <c r="P415" s="184" t="s">
        <v>939</v>
      </c>
      <c r="Q415" s="185">
        <v>108348087150</v>
      </c>
      <c r="R415" s="186">
        <v>46190</v>
      </c>
      <c r="S415" s="187" t="s">
        <v>928</v>
      </c>
      <c r="T415" s="188">
        <v>0.30000000000000004</v>
      </c>
      <c r="U415" s="188"/>
      <c r="V415" s="189">
        <v>400000</v>
      </c>
      <c r="W415" s="190"/>
      <c r="X415" s="190"/>
      <c r="Y415" s="190"/>
      <c r="Z415" s="189">
        <f t="shared" si="39"/>
        <v>400000</v>
      </c>
      <c r="AA415" s="189">
        <v>0</v>
      </c>
      <c r="AB415" s="189">
        <f t="shared" si="41"/>
        <v>400000</v>
      </c>
      <c r="AC415" s="189"/>
      <c r="AD415" s="190"/>
      <c r="AE415" s="190"/>
      <c r="AF415" s="191">
        <f t="shared" si="37"/>
        <v>0</v>
      </c>
      <c r="AG415" s="190">
        <f t="shared" si="38"/>
        <v>400000</v>
      </c>
      <c r="AH415" s="190"/>
      <c r="AI415" s="192" t="str">
        <f>VLOOKUP(Q415,[3]Sheet1!B$11:G$1489,6,0)</f>
        <v>E11</v>
      </c>
      <c r="GK415" s="194"/>
      <c r="GL415" s="195"/>
      <c r="GM415" s="196"/>
      <c r="GN415" s="197"/>
      <c r="GO415" s="198"/>
      <c r="GP415" s="199"/>
      <c r="GQ415" s="200"/>
      <c r="GR415" s="201"/>
      <c r="GS415" s="60"/>
      <c r="GT415" s="202"/>
      <c r="GU415" s="202"/>
      <c r="GV415" s="202"/>
      <c r="GW415" s="202"/>
      <c r="GX415" s="203"/>
      <c r="HA415" s="194"/>
      <c r="HB415" s="195"/>
      <c r="HC415" s="196"/>
      <c r="HD415" s="197"/>
      <c r="HE415" s="198"/>
      <c r="HF415" s="199"/>
      <c r="HG415" s="200"/>
      <c r="HH415" s="201"/>
      <c r="HI415" s="60"/>
      <c r="HJ415" s="202"/>
      <c r="HK415" s="202"/>
      <c r="HL415" s="202"/>
      <c r="HM415" s="202"/>
      <c r="HN415" s="203"/>
    </row>
    <row r="416" spans="1:222" ht="16.5" customHeight="1">
      <c r="A416" s="181">
        <v>413</v>
      </c>
      <c r="B416" s="182">
        <v>7753184961</v>
      </c>
      <c r="C416" s="183" t="s">
        <v>2745</v>
      </c>
      <c r="D416" s="184" t="s">
        <v>234</v>
      </c>
      <c r="E416" s="184" t="str">
        <f t="shared" si="40"/>
        <v>Import</v>
      </c>
      <c r="F416" s="720" t="str" cm="1">
        <f t="array" ref="F416">_xlfn.IFS(
  OR(AI416="E11", AI416="E15"), "Raw materials",
  OR(AI416="E13", AI416="G13"), "Equipments + Toolings",
  TRUE, RIGHT(C416, 8)
)</f>
        <v>Raw materials</v>
      </c>
      <c r="G416" s="541" t="str" cm="1">
        <f t="array" ref="G416">IF(E416="Import",
  IFERROR(
    _xlfn.IFS(
      VLOOKUP(B416,[1]Material!F$5:U$90000,16,0)="LUC","Lucid",
      VLOOKUP(B416,[1]Material!F$5:U$90000,16,0)="FMC","FORD",
      OR(VLOOKUP(B416,[1]Material!F$5:U$90000,16,0)="PUR",VLOOKUP(B416,[1]Material!F$5:U$90000,16,0)="HLO"),"PURE",
      VLOOKUP(B416,[1]Material!F$5:U$90000,16,0)="AIC","AIC",
      OR(VLOOKUP(B416,[1]Material!F$5:U$90000,16,0)="AGI",VLOOKUP(B416,[1]Material!F$5:U$90000,16,0)="AGIGA"),"AGIGA",
      OR(LEFT(VLOOKUP(B416,[1]Material!F$5:U$90000,16,0),3)="EF-",VLOOKUP(B416,[1]Material!F$5:U$90000,16,0)="EFI"),"EFI",
      AND(ISNUMBER(VLOOKUP(B416,[1]Material!F$5:U$90000,16,0)),VLOOKUP(B416,[1]Material!F$5:U$90000,16,0)&gt;=100,VLOOKUP(B416,[1]Material!F$5:U$90000,16,0)&lt;=999,VLOOKUP(B416,[1]Material!F$5:U$90000,16,0)=INT(VLOOKUP(B416,[1]Material!F$5:U$90000,16,0))),"OEM",
      TRUE,""
    ),
    "không tìm thấy trong file Import"
  ),
  VLOOKUP(F416,'[2]Export shipment'!B:Y,24,0)
)</f>
        <v>FORD</v>
      </c>
      <c r="H416" s="184"/>
      <c r="I416" s="184"/>
      <c r="J416" s="260">
        <f>(V416+X416+AA416)/'Logistics record '!$AD$1</f>
        <v>15.116015418335726</v>
      </c>
      <c r="K416" s="260">
        <f>W416/'Logistics record '!$AD$1</f>
        <v>0</v>
      </c>
      <c r="L416" s="260">
        <f>Y416/'Logistics record '!$AD$1</f>
        <v>0</v>
      </c>
      <c r="M416" s="260">
        <f>AF416/'Logistics record '!$AD$1</f>
        <v>0</v>
      </c>
      <c r="N416" s="260" t="str" cm="1">
        <f t="array" ref="N416">_xlfn.IFS(
    OR(UPPER(S416)="AIR", UPPER(S416)="CPN"), "AIR",
    UPPER(S416)="TC", "LOCAL",
    TRUE, "SEA"
)</f>
        <v>AIR</v>
      </c>
      <c r="O416" s="260">
        <f t="shared" si="36"/>
        <v>15.116015418335726</v>
      </c>
      <c r="P416" s="184" t="s">
        <v>931</v>
      </c>
      <c r="Q416" s="185">
        <v>108348643800</v>
      </c>
      <c r="R416" s="186">
        <v>46190</v>
      </c>
      <c r="S416" s="187" t="s">
        <v>928</v>
      </c>
      <c r="T416" s="188">
        <v>110.8</v>
      </c>
      <c r="U416" s="188"/>
      <c r="V416" s="189">
        <v>400000</v>
      </c>
      <c r="W416" s="190"/>
      <c r="X416" s="190"/>
      <c r="Y416" s="190"/>
      <c r="Z416" s="189">
        <f t="shared" si="39"/>
        <v>400000</v>
      </c>
      <c r="AA416" s="189">
        <v>0</v>
      </c>
      <c r="AB416" s="189">
        <f t="shared" si="41"/>
        <v>400000</v>
      </c>
      <c r="AC416" s="189"/>
      <c r="AD416" s="190"/>
      <c r="AE416" s="190"/>
      <c r="AF416" s="191">
        <f t="shared" si="37"/>
        <v>0</v>
      </c>
      <c r="AG416" s="190">
        <f t="shared" si="38"/>
        <v>400000</v>
      </c>
      <c r="AH416" s="190"/>
      <c r="AI416" s="192" t="str">
        <f>VLOOKUP(Q416,[3]Sheet1!B$11:G$1489,6,0)</f>
        <v>E11</v>
      </c>
      <c r="GK416" s="194"/>
      <c r="GL416" s="195"/>
      <c r="GM416" s="196"/>
      <c r="GN416" s="197"/>
      <c r="GO416" s="198"/>
      <c r="GP416" s="199"/>
      <c r="GQ416" s="200"/>
      <c r="GR416" s="201"/>
      <c r="GS416" s="60"/>
      <c r="GT416" s="202"/>
      <c r="GU416" s="202"/>
      <c r="GV416" s="202"/>
      <c r="GW416" s="202"/>
      <c r="GX416" s="203"/>
      <c r="HA416" s="194"/>
      <c r="HB416" s="195"/>
      <c r="HC416" s="196"/>
      <c r="HD416" s="197"/>
      <c r="HE416" s="198"/>
      <c r="HF416" s="199"/>
      <c r="HG416" s="200"/>
      <c r="HH416" s="201"/>
      <c r="HI416" s="60"/>
      <c r="HJ416" s="202"/>
      <c r="HK416" s="202"/>
      <c r="HL416" s="202"/>
      <c r="HM416" s="202"/>
      <c r="HN416" s="203"/>
    </row>
    <row r="417" spans="1:222" ht="16.5" customHeight="1">
      <c r="A417" s="181">
        <v>414</v>
      </c>
      <c r="B417" s="182">
        <v>6582773260</v>
      </c>
      <c r="C417" s="183" t="s">
        <v>2746</v>
      </c>
      <c r="D417" s="184" t="s">
        <v>319</v>
      </c>
      <c r="E417" s="184" t="str">
        <f t="shared" si="40"/>
        <v>Import</v>
      </c>
      <c r="F417" s="720" t="str" cm="1">
        <f t="array" ref="F417">_xlfn.IFS(
  OR(AI417="E11", AI417="E15"), "Raw materials",
  OR(AI417="E13", AI417="G13"), "Equipments + Toolings",
  TRUE, RIGHT(C417, 8)
)</f>
        <v>Raw materials</v>
      </c>
      <c r="G417" s="541" t="str" cm="1">
        <f t="array" ref="G417">IF(E417="Import",
  IFERROR(
    _xlfn.IFS(
      VLOOKUP(B417,[1]Material!F$5:U$90000,16,0)="LUC","Lucid",
      VLOOKUP(B417,[1]Material!F$5:U$90000,16,0)="FMC","FORD",
      OR(VLOOKUP(B417,[1]Material!F$5:U$90000,16,0)="PUR",VLOOKUP(B417,[1]Material!F$5:U$90000,16,0)="HLO"),"PURE",
      VLOOKUP(B417,[1]Material!F$5:U$90000,16,0)="AIC","AIC",
      OR(VLOOKUP(B417,[1]Material!F$5:U$90000,16,0)="AGI",VLOOKUP(B417,[1]Material!F$5:U$90000,16,0)="AGIGA"),"AGIGA",
      OR(LEFT(VLOOKUP(B417,[1]Material!F$5:U$90000,16,0),3)="EF-",VLOOKUP(B417,[1]Material!F$5:U$90000,16,0)="EFI"),"EFI",
      AND(ISNUMBER(VLOOKUP(B417,[1]Material!F$5:U$90000,16,0)),VLOOKUP(B417,[1]Material!F$5:U$90000,16,0)&gt;=100,VLOOKUP(B417,[1]Material!F$5:U$90000,16,0)&lt;=999,VLOOKUP(B417,[1]Material!F$5:U$90000,16,0)=INT(VLOOKUP(B417,[1]Material!F$5:U$90000,16,0))),"OEM",
      TRUE,""
    ),
    "không tìm thấy trong file Import"
  ),
  VLOOKUP(F417,'[2]Export shipment'!B:Y,24,0)
)</f>
        <v>PURE</v>
      </c>
      <c r="H417" s="184"/>
      <c r="I417" s="184"/>
      <c r="J417" s="260">
        <f>(V417+X417+AA417)/'Logistics record '!$AD$1</f>
        <v>15.116015418335726</v>
      </c>
      <c r="K417" s="260">
        <f>W417/'Logistics record '!$AD$1</f>
        <v>0</v>
      </c>
      <c r="L417" s="260">
        <f>Y417/'Logistics record '!$AD$1</f>
        <v>0</v>
      </c>
      <c r="M417" s="260">
        <f>AF417/'Logistics record '!$AD$1</f>
        <v>0</v>
      </c>
      <c r="N417" s="260" t="str" cm="1">
        <f t="array" ref="N417">_xlfn.IFS(
    OR(UPPER(S417)="AIR", UPPER(S417)="CPN"), "AIR",
    UPPER(S417)="TC", "LOCAL",
    TRUE, "SEA"
)</f>
        <v>AIR</v>
      </c>
      <c r="O417" s="260">
        <f t="shared" si="36"/>
        <v>15.116015418335726</v>
      </c>
      <c r="P417" s="184" t="s">
        <v>932</v>
      </c>
      <c r="Q417" s="185">
        <v>108348948520</v>
      </c>
      <c r="R417" s="186">
        <v>46190</v>
      </c>
      <c r="S417" s="187" t="s">
        <v>928</v>
      </c>
      <c r="T417" s="188">
        <v>2</v>
      </c>
      <c r="U417" s="188"/>
      <c r="V417" s="189">
        <v>400000</v>
      </c>
      <c r="W417" s="190"/>
      <c r="X417" s="190"/>
      <c r="Y417" s="190"/>
      <c r="Z417" s="189">
        <f t="shared" si="39"/>
        <v>400000</v>
      </c>
      <c r="AA417" s="189">
        <v>0</v>
      </c>
      <c r="AB417" s="189">
        <f t="shared" si="41"/>
        <v>400000</v>
      </c>
      <c r="AC417" s="189"/>
      <c r="AD417" s="190"/>
      <c r="AE417" s="190"/>
      <c r="AF417" s="191">
        <f t="shared" si="37"/>
        <v>0</v>
      </c>
      <c r="AG417" s="190">
        <f t="shared" si="38"/>
        <v>400000</v>
      </c>
      <c r="AH417" s="190"/>
      <c r="AI417" s="192" t="str">
        <f>VLOOKUP(Q417,[3]Sheet1!B$11:G$1489,6,0)</f>
        <v>E11</v>
      </c>
      <c r="GK417" s="194"/>
      <c r="GL417" s="195"/>
      <c r="GM417" s="196"/>
      <c r="GN417" s="197"/>
      <c r="GO417" s="198"/>
      <c r="GP417" s="199"/>
      <c r="GQ417" s="200"/>
      <c r="GR417" s="201"/>
      <c r="GS417" s="60"/>
      <c r="GT417" s="202"/>
      <c r="GU417" s="202"/>
      <c r="GV417" s="202"/>
      <c r="GW417" s="202"/>
      <c r="GX417" s="203"/>
      <c r="HA417" s="194"/>
      <c r="HB417" s="195"/>
      <c r="HC417" s="196"/>
      <c r="HD417" s="197"/>
      <c r="HE417" s="198"/>
      <c r="HF417" s="199"/>
      <c r="HG417" s="200"/>
      <c r="HH417" s="201"/>
      <c r="HI417" s="60"/>
      <c r="HJ417" s="202"/>
      <c r="HK417" s="202"/>
      <c r="HL417" s="202"/>
      <c r="HM417" s="202"/>
      <c r="HN417" s="203"/>
    </row>
    <row r="418" spans="1:222" ht="16.5" customHeight="1">
      <c r="A418" s="181">
        <v>415</v>
      </c>
      <c r="B418" s="182">
        <v>480304817374</v>
      </c>
      <c r="C418" s="183" t="s">
        <v>2747</v>
      </c>
      <c r="D418" s="184" t="s">
        <v>1606</v>
      </c>
      <c r="E418" s="184" t="str">
        <f t="shared" si="40"/>
        <v>Import</v>
      </c>
      <c r="F418" s="720" t="str" cm="1">
        <f t="array" ref="F418">_xlfn.IFS(
  OR(AI418="E11", AI418="E15"), "Raw materials",
  OR(AI418="E13", AI418="G13"), "Equipments + Toolings",
  TRUE, RIGHT(C418, 8)
)</f>
        <v>Raw materials</v>
      </c>
      <c r="G418" s="541" t="str" cm="1">
        <f t="array" ref="G418">IF(E418="Import",
  IFERROR(
    _xlfn.IFS(
      VLOOKUP(B418,[1]Material!F$5:U$90000,16,0)="LUC","Lucid",
      VLOOKUP(B418,[1]Material!F$5:U$90000,16,0)="FMC","FORD",
      OR(VLOOKUP(B418,[1]Material!F$5:U$90000,16,0)="PUR",VLOOKUP(B418,[1]Material!F$5:U$90000,16,0)="HLO"),"PURE",
      VLOOKUP(B418,[1]Material!F$5:U$90000,16,0)="AIC","AIC",
      OR(VLOOKUP(B418,[1]Material!F$5:U$90000,16,0)="AGI",VLOOKUP(B418,[1]Material!F$5:U$90000,16,0)="AGIGA"),"AGIGA",
      OR(LEFT(VLOOKUP(B418,[1]Material!F$5:U$90000,16,0),3)="EF-",VLOOKUP(B418,[1]Material!F$5:U$90000,16,0)="EFI"),"EFI",
      AND(ISNUMBER(VLOOKUP(B418,[1]Material!F$5:U$90000,16,0)),VLOOKUP(B418,[1]Material!F$5:U$90000,16,0)&gt;=100,VLOOKUP(B418,[1]Material!F$5:U$90000,16,0)&lt;=999,VLOOKUP(B418,[1]Material!F$5:U$90000,16,0)=INT(VLOOKUP(B418,[1]Material!F$5:U$90000,16,0))),"OEM",
      TRUE,""
    ),
    "không tìm thấy trong file Import"
  ),
  VLOOKUP(F418,'[2]Export shipment'!B:Y,24,0)
)</f>
        <v>Lucid</v>
      </c>
      <c r="H418" s="184"/>
      <c r="I418" s="184"/>
      <c r="J418" s="260">
        <f>(V418+X418+AA418)/'Logistics record '!$AD$1</f>
        <v>15.116015418335726</v>
      </c>
      <c r="K418" s="260">
        <f>W418/'Logistics record '!$AD$1</f>
        <v>0</v>
      </c>
      <c r="L418" s="260">
        <f>Y418/'Logistics record '!$AD$1</f>
        <v>0</v>
      </c>
      <c r="M418" s="260">
        <f>AF418/'Logistics record '!$AD$1</f>
        <v>0</v>
      </c>
      <c r="N418" s="260" t="str" cm="1">
        <f t="array" ref="N418">_xlfn.IFS(
    OR(UPPER(S418)="AIR", UPPER(S418)="CPN"), "AIR",
    UPPER(S418)="TC", "LOCAL",
    TRUE, "SEA"
)</f>
        <v>AIR</v>
      </c>
      <c r="O418" s="260">
        <f t="shared" si="36"/>
        <v>15.116015418335726</v>
      </c>
      <c r="P418" s="184" t="s">
        <v>935</v>
      </c>
      <c r="Q418" s="185">
        <v>108350278850</v>
      </c>
      <c r="R418" s="186">
        <v>46190</v>
      </c>
      <c r="S418" s="187" t="s">
        <v>928</v>
      </c>
      <c r="T418" s="188">
        <v>2.4</v>
      </c>
      <c r="U418" s="188"/>
      <c r="V418" s="189">
        <v>400000</v>
      </c>
      <c r="W418" s="190"/>
      <c r="X418" s="190"/>
      <c r="Y418" s="190"/>
      <c r="Z418" s="189">
        <f t="shared" si="39"/>
        <v>400000</v>
      </c>
      <c r="AA418" s="189">
        <v>0</v>
      </c>
      <c r="AB418" s="189">
        <f t="shared" si="41"/>
        <v>400000</v>
      </c>
      <c r="AC418" s="189"/>
      <c r="AD418" s="190"/>
      <c r="AE418" s="190"/>
      <c r="AF418" s="191">
        <f t="shared" si="37"/>
        <v>0</v>
      </c>
      <c r="AG418" s="190">
        <f t="shared" si="38"/>
        <v>400000</v>
      </c>
      <c r="AH418" s="190"/>
      <c r="AI418" s="192" t="str">
        <f>VLOOKUP(Q418,[3]Sheet1!B$11:G$1489,6,0)</f>
        <v>E11</v>
      </c>
      <c r="GK418" s="194"/>
      <c r="GL418" s="195"/>
      <c r="GM418" s="196"/>
      <c r="GN418" s="197"/>
      <c r="GO418" s="198"/>
      <c r="GP418" s="199"/>
      <c r="GQ418" s="200"/>
      <c r="GR418" s="201"/>
      <c r="GS418" s="60"/>
      <c r="GT418" s="202"/>
      <c r="GU418" s="202"/>
      <c r="GV418" s="202"/>
      <c r="GW418" s="202"/>
      <c r="GX418" s="203"/>
      <c r="HA418" s="194"/>
      <c r="HB418" s="195"/>
      <c r="HC418" s="196"/>
      <c r="HD418" s="197"/>
      <c r="HE418" s="198"/>
      <c r="HF418" s="199"/>
      <c r="HG418" s="200"/>
      <c r="HH418" s="201"/>
      <c r="HI418" s="60"/>
      <c r="HJ418" s="202"/>
      <c r="HK418" s="202"/>
      <c r="HL418" s="202"/>
      <c r="HM418" s="202"/>
      <c r="HN418" s="203"/>
    </row>
    <row r="419" spans="1:222" ht="16.5" customHeight="1">
      <c r="A419" s="181">
        <v>416</v>
      </c>
      <c r="B419" s="182">
        <v>515199060732</v>
      </c>
      <c r="C419" s="183" t="s">
        <v>2748</v>
      </c>
      <c r="D419" s="184" t="s">
        <v>801</v>
      </c>
      <c r="E419" s="184" t="str">
        <f t="shared" si="40"/>
        <v>Import</v>
      </c>
      <c r="F419" s="720" t="str" cm="1">
        <f t="array" ref="F419">_xlfn.IFS(
  OR(AI419="E11", AI419="E15"), "Raw materials",
  OR(AI419="E13", AI419="G13"), "Equipments + Toolings",
  TRUE, RIGHT(C419, 8)
)</f>
        <v>Raw materials</v>
      </c>
      <c r="G419" s="541" t="str" cm="1">
        <f t="array" ref="G419">IF(E419="Import",
  IFERROR(
    _xlfn.IFS(
      VLOOKUP(B419,[1]Material!F$5:U$90000,16,0)="LUC","Lucid",
      VLOOKUP(B419,[1]Material!F$5:U$90000,16,0)="FMC","FORD",
      OR(VLOOKUP(B419,[1]Material!F$5:U$90000,16,0)="PUR",VLOOKUP(B419,[1]Material!F$5:U$90000,16,0)="HLO"),"PURE",
      VLOOKUP(B419,[1]Material!F$5:U$90000,16,0)="AIC","AIC",
      OR(VLOOKUP(B419,[1]Material!F$5:U$90000,16,0)="AGI",VLOOKUP(B419,[1]Material!F$5:U$90000,16,0)="AGIGA"),"AGIGA",
      OR(LEFT(VLOOKUP(B419,[1]Material!F$5:U$90000,16,0),3)="EF-",VLOOKUP(B419,[1]Material!F$5:U$90000,16,0)="EFI"),"EFI",
      AND(ISNUMBER(VLOOKUP(B419,[1]Material!F$5:U$90000,16,0)),VLOOKUP(B419,[1]Material!F$5:U$90000,16,0)&gt;=100,VLOOKUP(B419,[1]Material!F$5:U$90000,16,0)&lt;=999,VLOOKUP(B419,[1]Material!F$5:U$90000,16,0)=INT(VLOOKUP(B419,[1]Material!F$5:U$90000,16,0))),"OEM",
      TRUE,""
    ),
    "không tìm thấy trong file Import"
  ),
  VLOOKUP(F419,'[2]Export shipment'!B:Y,24,0)
)</f>
        <v>EFI</v>
      </c>
      <c r="H419" s="184"/>
      <c r="I419" s="184"/>
      <c r="J419" s="260">
        <f>(V419+X419+AA419)/'Logistics record '!$AD$1</f>
        <v>15.116015418335726</v>
      </c>
      <c r="K419" s="260">
        <f>W419/'Logistics record '!$AD$1</f>
        <v>0</v>
      </c>
      <c r="L419" s="260">
        <f>Y419/'Logistics record '!$AD$1</f>
        <v>0</v>
      </c>
      <c r="M419" s="260">
        <f>AF419/'Logistics record '!$AD$1</f>
        <v>0</v>
      </c>
      <c r="N419" s="260" t="str" cm="1">
        <f t="array" ref="N419">_xlfn.IFS(
    OR(UPPER(S419)="AIR", UPPER(S419)="CPN"), "AIR",
    UPPER(S419)="TC", "LOCAL",
    TRUE, "SEA"
)</f>
        <v>AIR</v>
      </c>
      <c r="O419" s="260">
        <f t="shared" si="36"/>
        <v>15.116015418335726</v>
      </c>
      <c r="P419" s="184" t="s">
        <v>937</v>
      </c>
      <c r="Q419" s="185">
        <v>108350393100</v>
      </c>
      <c r="R419" s="186">
        <v>46190</v>
      </c>
      <c r="S419" s="187" t="s">
        <v>928</v>
      </c>
      <c r="T419" s="188">
        <v>49.5</v>
      </c>
      <c r="U419" s="188"/>
      <c r="V419" s="189">
        <v>400000</v>
      </c>
      <c r="W419" s="190"/>
      <c r="X419" s="190"/>
      <c r="Y419" s="190"/>
      <c r="Z419" s="189">
        <f t="shared" si="39"/>
        <v>400000</v>
      </c>
      <c r="AA419" s="189">
        <v>0</v>
      </c>
      <c r="AB419" s="189">
        <f t="shared" si="41"/>
        <v>400000</v>
      </c>
      <c r="AC419" s="189"/>
      <c r="AD419" s="190"/>
      <c r="AE419" s="190"/>
      <c r="AF419" s="191">
        <f t="shared" si="37"/>
        <v>0</v>
      </c>
      <c r="AG419" s="190">
        <f t="shared" si="38"/>
        <v>400000</v>
      </c>
      <c r="AH419" s="190"/>
      <c r="AI419" s="192" t="str">
        <f>VLOOKUP(Q419,[3]Sheet1!B$11:G$1489,6,0)</f>
        <v>E11</v>
      </c>
      <c r="GK419" s="194"/>
      <c r="GL419" s="195"/>
      <c r="GM419" s="196"/>
      <c r="GN419" s="197"/>
      <c r="GO419" s="198"/>
      <c r="GP419" s="199"/>
      <c r="GQ419" s="200"/>
      <c r="GR419" s="201"/>
      <c r="GS419" s="60"/>
      <c r="GT419" s="202"/>
      <c r="GU419" s="202"/>
      <c r="GV419" s="202"/>
      <c r="GW419" s="202"/>
      <c r="GX419" s="203"/>
      <c r="HA419" s="194"/>
      <c r="HB419" s="195"/>
      <c r="HC419" s="196"/>
      <c r="HD419" s="197"/>
      <c r="HE419" s="198"/>
      <c r="HF419" s="199"/>
      <c r="HG419" s="200"/>
      <c r="HH419" s="201"/>
      <c r="HI419" s="60"/>
      <c r="HJ419" s="202"/>
      <c r="HK419" s="202"/>
      <c r="HL419" s="202"/>
      <c r="HM419" s="202"/>
      <c r="HN419" s="203"/>
    </row>
    <row r="420" spans="1:222" ht="16.5" customHeight="1">
      <c r="A420" s="181">
        <v>417</v>
      </c>
      <c r="B420" s="182">
        <v>873058440876</v>
      </c>
      <c r="C420" s="183" t="s">
        <v>2749</v>
      </c>
      <c r="D420" s="184" t="s">
        <v>2750</v>
      </c>
      <c r="E420" s="184" t="str">
        <f t="shared" si="40"/>
        <v>Import</v>
      </c>
      <c r="F420" s="720" t="str" cm="1">
        <f t="array" ref="F420">_xlfn.IFS(
  OR(AI420="E11", AI420="E15"), "Raw materials",
  OR(AI420="E13", AI420="G13"), "Equipments + Toolings",
  TRUE, RIGHT(C420, 8)
)</f>
        <v>Raw materials</v>
      </c>
      <c r="G420" s="541" t="str" cm="1">
        <f t="array" ref="G420">IF(E420="Import",
  IFERROR(
    _xlfn.IFS(
      VLOOKUP(B420,[1]Material!F$5:U$90000,16,0)="LUC","Lucid",
      VLOOKUP(B420,[1]Material!F$5:U$90000,16,0)="FMC","FORD",
      OR(VLOOKUP(B420,[1]Material!F$5:U$90000,16,0)="PUR",VLOOKUP(B420,[1]Material!F$5:U$90000,16,0)="HLO"),"PURE",
      VLOOKUP(B420,[1]Material!F$5:U$90000,16,0)="AIC","AIC",
      OR(VLOOKUP(B420,[1]Material!F$5:U$90000,16,0)="AGI",VLOOKUP(B420,[1]Material!F$5:U$90000,16,0)="AGIGA"),"AGIGA",
      OR(LEFT(VLOOKUP(B420,[1]Material!F$5:U$90000,16,0),3)="EF-",VLOOKUP(B420,[1]Material!F$5:U$90000,16,0)="EFI"),"EFI",
      AND(ISNUMBER(VLOOKUP(B420,[1]Material!F$5:U$90000,16,0)),VLOOKUP(B420,[1]Material!F$5:U$90000,16,0)&gt;=100,VLOOKUP(B420,[1]Material!F$5:U$90000,16,0)&lt;=999,VLOOKUP(B420,[1]Material!F$5:U$90000,16,0)=INT(VLOOKUP(B420,[1]Material!F$5:U$90000,16,0))),"OEM",
      TRUE,""
    ),
    "không tìm thấy trong file Import"
  ),
  VLOOKUP(F420,'[2]Export shipment'!B:Y,24,0)
)</f>
        <v>Lucid</v>
      </c>
      <c r="H420" s="184"/>
      <c r="I420" s="184"/>
      <c r="J420" s="260">
        <f>(V420+X420+AA420)/'Logistics record '!$AD$1</f>
        <v>15.116015418335726</v>
      </c>
      <c r="K420" s="260">
        <f>W420/'Logistics record '!$AD$1</f>
        <v>0</v>
      </c>
      <c r="L420" s="260">
        <f>Y420/'Logistics record '!$AD$1</f>
        <v>0</v>
      </c>
      <c r="M420" s="260">
        <f>AF420/'Logistics record '!$AD$1</f>
        <v>0</v>
      </c>
      <c r="N420" s="260" t="str" cm="1">
        <f t="array" ref="N420">_xlfn.IFS(
    OR(UPPER(S420)="AIR", UPPER(S420)="CPN"), "AIR",
    UPPER(S420)="TC", "LOCAL",
    TRUE, "SEA"
)</f>
        <v>AIR</v>
      </c>
      <c r="O420" s="260">
        <f t="shared" si="36"/>
        <v>15.116015418335726</v>
      </c>
      <c r="P420" s="184" t="s">
        <v>931</v>
      </c>
      <c r="Q420" s="185">
        <v>108351124120</v>
      </c>
      <c r="R420" s="186">
        <v>46191</v>
      </c>
      <c r="S420" s="187" t="s">
        <v>928</v>
      </c>
      <c r="T420" s="188">
        <v>8.1999999999999993</v>
      </c>
      <c r="U420" s="188"/>
      <c r="V420" s="189">
        <v>400000</v>
      </c>
      <c r="W420" s="190"/>
      <c r="X420" s="190"/>
      <c r="Y420" s="190"/>
      <c r="Z420" s="189">
        <f t="shared" si="39"/>
        <v>400000</v>
      </c>
      <c r="AA420" s="189">
        <v>0</v>
      </c>
      <c r="AB420" s="189">
        <f t="shared" si="41"/>
        <v>400000</v>
      </c>
      <c r="AC420" s="189"/>
      <c r="AD420" s="190"/>
      <c r="AE420" s="190"/>
      <c r="AF420" s="191">
        <f t="shared" si="37"/>
        <v>0</v>
      </c>
      <c r="AG420" s="190">
        <f t="shared" si="38"/>
        <v>400000</v>
      </c>
      <c r="AH420" s="190"/>
      <c r="AI420" s="192" t="str">
        <f>VLOOKUP(Q420,[3]Sheet1!B$11:G$1489,6,0)</f>
        <v>E11</v>
      </c>
      <c r="GK420" s="194"/>
      <c r="GL420" s="195"/>
      <c r="GM420" s="196"/>
      <c r="GN420" s="197"/>
      <c r="GO420" s="198"/>
      <c r="GP420" s="199"/>
      <c r="GQ420" s="200"/>
      <c r="GR420" s="201"/>
      <c r="GS420" s="60"/>
      <c r="GT420" s="202"/>
      <c r="GU420" s="202"/>
      <c r="GV420" s="202"/>
      <c r="GW420" s="202"/>
      <c r="GX420" s="203"/>
      <c r="HA420" s="194"/>
      <c r="HB420" s="195"/>
      <c r="HC420" s="196"/>
      <c r="HD420" s="197"/>
      <c r="HE420" s="198"/>
      <c r="HF420" s="199"/>
      <c r="HG420" s="200"/>
      <c r="HH420" s="201"/>
      <c r="HI420" s="60"/>
      <c r="HJ420" s="202"/>
      <c r="HK420" s="202"/>
      <c r="HL420" s="202"/>
      <c r="HM420" s="202"/>
      <c r="HN420" s="203"/>
    </row>
    <row r="421" spans="1:222" ht="16.5" customHeight="1">
      <c r="A421" s="181">
        <v>418</v>
      </c>
      <c r="B421" s="182">
        <v>382041697681</v>
      </c>
      <c r="C421" s="183" t="s">
        <v>2751</v>
      </c>
      <c r="D421" s="184" t="s">
        <v>1702</v>
      </c>
      <c r="E421" s="184" t="str">
        <f t="shared" si="40"/>
        <v>Import</v>
      </c>
      <c r="F421" s="720" t="str" cm="1">
        <f t="array" ref="F421">_xlfn.IFS(
  OR(AI421="E11", AI421="E15"), "Raw materials",
  OR(AI421="E13", AI421="G13"), "Equipments + Toolings",
  TRUE, RIGHT(C421, 8)
)</f>
        <v>Raw materials</v>
      </c>
      <c r="G421" s="541" t="str" cm="1">
        <f t="array" ref="G421">IF(E421="Import",
  IFERROR(
    _xlfn.IFS(
      VLOOKUP(B421,[1]Material!F$5:U$90000,16,0)="LUC","Lucid",
      VLOOKUP(B421,[1]Material!F$5:U$90000,16,0)="FMC","FORD",
      OR(VLOOKUP(B421,[1]Material!F$5:U$90000,16,0)="PUR",VLOOKUP(B421,[1]Material!F$5:U$90000,16,0)="HLO"),"PURE",
      VLOOKUP(B421,[1]Material!F$5:U$90000,16,0)="AIC","AIC",
      OR(VLOOKUP(B421,[1]Material!F$5:U$90000,16,0)="AGI",VLOOKUP(B421,[1]Material!F$5:U$90000,16,0)="AGIGA"),"AGIGA",
      OR(LEFT(VLOOKUP(B421,[1]Material!F$5:U$90000,16,0),3)="EF-",VLOOKUP(B421,[1]Material!F$5:U$90000,16,0)="EFI"),"EFI",
      AND(ISNUMBER(VLOOKUP(B421,[1]Material!F$5:U$90000,16,0)),VLOOKUP(B421,[1]Material!F$5:U$90000,16,0)&gt;=100,VLOOKUP(B421,[1]Material!F$5:U$90000,16,0)&lt;=999,VLOOKUP(B421,[1]Material!F$5:U$90000,16,0)=INT(VLOOKUP(B421,[1]Material!F$5:U$90000,16,0))),"OEM",
      TRUE,""
    ),
    "không tìm thấy trong file Import"
  ),
  VLOOKUP(F421,'[2]Export shipment'!B:Y,24,0)
)</f>
        <v>Lucid</v>
      </c>
      <c r="H421" s="184"/>
      <c r="I421" s="184"/>
      <c r="J421" s="260">
        <f>(V421+X421+AA421)/'Logistics record '!$AD$1</f>
        <v>15.116015418335726</v>
      </c>
      <c r="K421" s="260">
        <f>W421/'Logistics record '!$AD$1</f>
        <v>0</v>
      </c>
      <c r="L421" s="260">
        <f>Y421/'Logistics record '!$AD$1</f>
        <v>0</v>
      </c>
      <c r="M421" s="260">
        <f>AF421/'Logistics record '!$AD$1</f>
        <v>0</v>
      </c>
      <c r="N421" s="260" t="str" cm="1">
        <f t="array" ref="N421">_xlfn.IFS(
    OR(UPPER(S421)="AIR", UPPER(S421)="CPN"), "AIR",
    UPPER(S421)="TC", "LOCAL",
    TRUE, "SEA"
)</f>
        <v>AIR</v>
      </c>
      <c r="O421" s="260">
        <f t="shared" si="36"/>
        <v>15.116015418335726</v>
      </c>
      <c r="P421" s="184" t="s">
        <v>937</v>
      </c>
      <c r="Q421" s="185">
        <v>108351152340</v>
      </c>
      <c r="R421" s="186">
        <v>46191</v>
      </c>
      <c r="S421" s="187" t="s">
        <v>928</v>
      </c>
      <c r="T421" s="188">
        <v>5</v>
      </c>
      <c r="U421" s="188"/>
      <c r="V421" s="189">
        <v>400000</v>
      </c>
      <c r="W421" s="190"/>
      <c r="X421" s="190"/>
      <c r="Y421" s="190"/>
      <c r="Z421" s="189">
        <f t="shared" si="39"/>
        <v>400000</v>
      </c>
      <c r="AA421" s="189">
        <v>0</v>
      </c>
      <c r="AB421" s="189">
        <f t="shared" si="41"/>
        <v>400000</v>
      </c>
      <c r="AC421" s="189"/>
      <c r="AD421" s="190"/>
      <c r="AE421" s="190"/>
      <c r="AF421" s="191">
        <f t="shared" si="37"/>
        <v>0</v>
      </c>
      <c r="AG421" s="190">
        <f t="shared" si="38"/>
        <v>400000</v>
      </c>
      <c r="AH421" s="190"/>
      <c r="AI421" s="192" t="str">
        <f>VLOOKUP(Q421,[3]Sheet1!B$11:G$1489,6,0)</f>
        <v>E11</v>
      </c>
      <c r="GK421" s="194"/>
      <c r="GL421" s="195"/>
      <c r="GM421" s="196"/>
      <c r="GN421" s="197"/>
      <c r="GO421" s="198"/>
      <c r="GP421" s="199"/>
      <c r="GQ421" s="200"/>
      <c r="GR421" s="201"/>
      <c r="GS421" s="60"/>
      <c r="GT421" s="202"/>
      <c r="GU421" s="202"/>
      <c r="GV421" s="202"/>
      <c r="GW421" s="202"/>
      <c r="GX421" s="203"/>
      <c r="HA421" s="194"/>
      <c r="HB421" s="195"/>
      <c r="HC421" s="196"/>
      <c r="HD421" s="197"/>
      <c r="HE421" s="198"/>
      <c r="HF421" s="199"/>
      <c r="HG421" s="200"/>
      <c r="HH421" s="201"/>
      <c r="HI421" s="60"/>
      <c r="HJ421" s="202"/>
      <c r="HK421" s="202"/>
      <c r="HL421" s="202"/>
      <c r="HM421" s="202"/>
      <c r="HN421" s="203"/>
    </row>
    <row r="422" spans="1:222" ht="16.5" customHeight="1">
      <c r="A422" s="181">
        <v>419</v>
      </c>
      <c r="B422" s="182" t="s">
        <v>2752</v>
      </c>
      <c r="C422" s="183" t="s">
        <v>2753</v>
      </c>
      <c r="D422" s="184" t="s">
        <v>183</v>
      </c>
      <c r="E422" s="184" t="str">
        <f t="shared" si="40"/>
        <v>Import</v>
      </c>
      <c r="F422" s="720" t="str" cm="1">
        <f t="array" ref="F422">_xlfn.IFS(
  OR(AI422="E11", AI422="E15"), "Raw materials",
  OR(AI422="E13", AI422="G13"), "Equipments + Toolings",
  TRUE, RIGHT(C422, 8)
)</f>
        <v>Raw materials</v>
      </c>
      <c r="G422" s="541" t="str" cm="1">
        <f t="array" ref="G422">IF(E422="Import",
  IFERROR(
    _xlfn.IFS(
      VLOOKUP(B422,[1]Material!F$5:U$90000,16,0)="LUC","Lucid",
      VLOOKUP(B422,[1]Material!F$5:U$90000,16,0)="FMC","FORD",
      OR(VLOOKUP(B422,[1]Material!F$5:U$90000,16,0)="PUR",VLOOKUP(B422,[1]Material!F$5:U$90000,16,0)="HLO"),"PURE",
      VLOOKUP(B422,[1]Material!F$5:U$90000,16,0)="AIC","AIC",
      OR(VLOOKUP(B422,[1]Material!F$5:U$90000,16,0)="AGI",VLOOKUP(B422,[1]Material!F$5:U$90000,16,0)="AGIGA"),"AGIGA",
      OR(LEFT(VLOOKUP(B422,[1]Material!F$5:U$90000,16,0),3)="EF-",VLOOKUP(B422,[1]Material!F$5:U$90000,16,0)="EFI"),"EFI",
      AND(ISNUMBER(VLOOKUP(B422,[1]Material!F$5:U$90000,16,0)),VLOOKUP(B422,[1]Material!F$5:U$90000,16,0)&gt;=100,VLOOKUP(B422,[1]Material!F$5:U$90000,16,0)&lt;=999,VLOOKUP(B422,[1]Material!F$5:U$90000,16,0)=INT(VLOOKUP(B422,[1]Material!F$5:U$90000,16,0))),"OEM",
      TRUE,""
    ),
    "không tìm thấy trong file Import"
  ),
  VLOOKUP(F422,'[2]Export shipment'!B:Y,24,0)
)</f>
        <v>Lucid</v>
      </c>
      <c r="H422" s="184"/>
      <c r="I422" s="184"/>
      <c r="J422" s="260">
        <f>(V422+X422+AA422)/'Logistics record '!$AD$1</f>
        <v>15.116015418335726</v>
      </c>
      <c r="K422" s="260">
        <f>W422/'Logistics record '!$AD$1</f>
        <v>0</v>
      </c>
      <c r="L422" s="260">
        <f>Y422/'Logistics record '!$AD$1</f>
        <v>0</v>
      </c>
      <c r="M422" s="260">
        <f>AF422/'Logistics record '!$AD$1</f>
        <v>0</v>
      </c>
      <c r="N422" s="260" t="str" cm="1">
        <f t="array" ref="N422">_xlfn.IFS(
    OR(UPPER(S422)="AIR", UPPER(S422)="CPN"), "AIR",
    UPPER(S422)="TC", "LOCAL",
    TRUE, "SEA"
)</f>
        <v>SEA</v>
      </c>
      <c r="O422" s="260">
        <f t="shared" si="36"/>
        <v>15.116015418335726</v>
      </c>
      <c r="P422" s="184" t="s">
        <v>931</v>
      </c>
      <c r="Q422" s="185">
        <v>108351890730</v>
      </c>
      <c r="R422" s="186">
        <v>46191</v>
      </c>
      <c r="S422" s="187" t="s">
        <v>1866</v>
      </c>
      <c r="T422" s="188">
        <v>2038.31</v>
      </c>
      <c r="U422" s="188"/>
      <c r="V422" s="189">
        <v>400000</v>
      </c>
      <c r="W422" s="190"/>
      <c r="X422" s="190"/>
      <c r="Y422" s="190"/>
      <c r="Z422" s="189">
        <f t="shared" si="39"/>
        <v>400000</v>
      </c>
      <c r="AA422" s="189">
        <v>0</v>
      </c>
      <c r="AB422" s="189">
        <f t="shared" si="41"/>
        <v>400000</v>
      </c>
      <c r="AC422" s="189"/>
      <c r="AD422" s="190"/>
      <c r="AE422" s="190"/>
      <c r="AF422" s="191">
        <f t="shared" si="37"/>
        <v>0</v>
      </c>
      <c r="AG422" s="190">
        <f t="shared" si="38"/>
        <v>400000</v>
      </c>
      <c r="AH422" s="190"/>
      <c r="AI422" s="192" t="str">
        <f>VLOOKUP(Q422,[3]Sheet1!B$11:G$1489,6,0)</f>
        <v>E11</v>
      </c>
      <c r="GK422" s="194"/>
      <c r="GL422" s="195"/>
      <c r="GM422" s="196"/>
      <c r="GN422" s="197"/>
      <c r="GO422" s="198"/>
      <c r="GP422" s="199"/>
      <c r="GQ422" s="200"/>
      <c r="GR422" s="201"/>
      <c r="GS422" s="60"/>
      <c r="GT422" s="202"/>
      <c r="GU422" s="202"/>
      <c r="GV422" s="202"/>
      <c r="GW422" s="202"/>
      <c r="GX422" s="203"/>
      <c r="HA422" s="194"/>
      <c r="HB422" s="195"/>
      <c r="HC422" s="196"/>
      <c r="HD422" s="197"/>
      <c r="HE422" s="198"/>
      <c r="HF422" s="199"/>
      <c r="HG422" s="200"/>
      <c r="HH422" s="201"/>
      <c r="HI422" s="60"/>
      <c r="HJ422" s="202"/>
      <c r="HK422" s="202"/>
      <c r="HL422" s="202"/>
      <c r="HM422" s="202"/>
      <c r="HN422" s="203"/>
    </row>
    <row r="423" spans="1:222" ht="16.5" customHeight="1">
      <c r="A423" s="181">
        <v>420</v>
      </c>
      <c r="B423" s="182">
        <v>530283215084</v>
      </c>
      <c r="C423" s="183" t="s">
        <v>2754</v>
      </c>
      <c r="D423" s="184" t="s">
        <v>957</v>
      </c>
      <c r="E423" s="184" t="str">
        <f t="shared" si="40"/>
        <v>Import</v>
      </c>
      <c r="F423" s="720" t="str" cm="1">
        <f t="array" ref="F423">_xlfn.IFS(
  OR(AI423="E11", AI423="E15"), "Raw materials",
  OR(AI423="E13", AI423="G13"), "Equipments + Toolings",
  TRUE, RIGHT(C423, 8)
)</f>
        <v>Raw materials</v>
      </c>
      <c r="G423" s="541" t="str" cm="1">
        <f t="array" ref="G423">IF(E423="Import",
  IFERROR(
    _xlfn.IFS(
      VLOOKUP(B423,[1]Material!F$5:U$90000,16,0)="LUC","Lucid",
      VLOOKUP(B423,[1]Material!F$5:U$90000,16,0)="FMC","FORD",
      OR(VLOOKUP(B423,[1]Material!F$5:U$90000,16,0)="PUR",VLOOKUP(B423,[1]Material!F$5:U$90000,16,0)="HLO"),"PURE",
      VLOOKUP(B423,[1]Material!F$5:U$90000,16,0)="AIC","AIC",
      OR(VLOOKUP(B423,[1]Material!F$5:U$90000,16,0)="AGI",VLOOKUP(B423,[1]Material!F$5:U$90000,16,0)="AGIGA"),"AGIGA",
      OR(LEFT(VLOOKUP(B423,[1]Material!F$5:U$90000,16,0),3)="EF-",VLOOKUP(B423,[1]Material!F$5:U$90000,16,0)="EFI"),"EFI",
      AND(ISNUMBER(VLOOKUP(B423,[1]Material!F$5:U$90000,16,0)),VLOOKUP(B423,[1]Material!F$5:U$90000,16,0)&gt;=100,VLOOKUP(B423,[1]Material!F$5:U$90000,16,0)&lt;=999,VLOOKUP(B423,[1]Material!F$5:U$90000,16,0)=INT(VLOOKUP(B423,[1]Material!F$5:U$90000,16,0))),"OEM",
      TRUE,""
    ),
    "không tìm thấy trong file Import"
  ),
  VLOOKUP(F423,'[2]Export shipment'!B:Y,24,0)
)</f>
        <v>FORD</v>
      </c>
      <c r="H423" s="184"/>
      <c r="I423" s="184"/>
      <c r="J423" s="260">
        <f>(V423+X423+AA423)/'Logistics record '!$AD$1</f>
        <v>15.116015418335726</v>
      </c>
      <c r="K423" s="260">
        <f>W423/'Logistics record '!$AD$1</f>
        <v>0</v>
      </c>
      <c r="L423" s="260">
        <f>Y423/'Logistics record '!$AD$1</f>
        <v>0</v>
      </c>
      <c r="M423" s="260">
        <f>AF423/'Logistics record '!$AD$1</f>
        <v>0</v>
      </c>
      <c r="N423" s="260" t="str" cm="1">
        <f t="array" ref="N423">_xlfn.IFS(
    OR(UPPER(S423)="AIR", UPPER(S423)="CPN"), "AIR",
    UPPER(S423)="TC", "LOCAL",
    TRUE, "SEA"
)</f>
        <v>AIR</v>
      </c>
      <c r="O423" s="260">
        <f t="shared" si="36"/>
        <v>15.116015418335726</v>
      </c>
      <c r="P423" s="184" t="s">
        <v>935</v>
      </c>
      <c r="Q423" s="185">
        <v>108352081350</v>
      </c>
      <c r="R423" s="186">
        <v>46191</v>
      </c>
      <c r="S423" s="187" t="s">
        <v>928</v>
      </c>
      <c r="T423" s="188">
        <v>23.8</v>
      </c>
      <c r="U423" s="188"/>
      <c r="V423" s="189">
        <v>400000</v>
      </c>
      <c r="W423" s="190"/>
      <c r="X423" s="190"/>
      <c r="Y423" s="190"/>
      <c r="Z423" s="189">
        <f t="shared" si="39"/>
        <v>400000</v>
      </c>
      <c r="AA423" s="189">
        <v>0</v>
      </c>
      <c r="AB423" s="189">
        <f t="shared" si="41"/>
        <v>400000</v>
      </c>
      <c r="AC423" s="189"/>
      <c r="AD423" s="190"/>
      <c r="AE423" s="190"/>
      <c r="AF423" s="191">
        <f t="shared" si="37"/>
        <v>0</v>
      </c>
      <c r="AG423" s="190">
        <f t="shared" si="38"/>
        <v>400000</v>
      </c>
      <c r="AH423" s="190"/>
      <c r="AI423" s="192" t="str">
        <f>VLOOKUP(Q423,[3]Sheet1!B$11:G$1489,6,0)</f>
        <v>E11</v>
      </c>
      <c r="GK423" s="194"/>
      <c r="GL423" s="195"/>
      <c r="GM423" s="196"/>
      <c r="GN423" s="197"/>
      <c r="GO423" s="198"/>
      <c r="GP423" s="199"/>
      <c r="GQ423" s="200"/>
      <c r="GR423" s="201"/>
      <c r="GS423" s="60"/>
      <c r="GT423" s="202"/>
      <c r="GU423" s="202"/>
      <c r="GV423" s="202"/>
      <c r="GW423" s="202"/>
      <c r="GX423" s="203"/>
      <c r="HA423" s="194"/>
      <c r="HB423" s="195"/>
      <c r="HC423" s="196"/>
      <c r="HD423" s="197"/>
      <c r="HE423" s="198"/>
      <c r="HF423" s="199"/>
      <c r="HG423" s="200"/>
      <c r="HH423" s="201"/>
      <c r="HI423" s="60"/>
      <c r="HJ423" s="202"/>
      <c r="HK423" s="202"/>
      <c r="HL423" s="202"/>
      <c r="HM423" s="202"/>
      <c r="HN423" s="203"/>
    </row>
    <row r="424" spans="1:222" ht="16.5" customHeight="1">
      <c r="A424" s="181">
        <v>421</v>
      </c>
      <c r="B424" s="182">
        <v>4110338153</v>
      </c>
      <c r="C424" s="183" t="s">
        <v>2755</v>
      </c>
      <c r="D424" s="184" t="s">
        <v>948</v>
      </c>
      <c r="E424" s="184" t="str">
        <f t="shared" si="40"/>
        <v>Import</v>
      </c>
      <c r="F424" s="720" t="str" cm="1">
        <f t="array" ref="F424">_xlfn.IFS(
  OR(AI424="E11", AI424="E15"), "Raw materials",
  OR(AI424="E13", AI424="G13"), "Equipments + Toolings",
  TRUE, RIGHT(C424, 8)
)</f>
        <v>Raw materials</v>
      </c>
      <c r="G424" s="541" t="str" cm="1">
        <f t="array" ref="G424">IF(E424="Import",
  IFERROR(
    _xlfn.IFS(
      VLOOKUP(B424,[1]Material!F$5:U$90000,16,0)="LUC","Lucid",
      VLOOKUP(B424,[1]Material!F$5:U$90000,16,0)="FMC","FORD",
      OR(VLOOKUP(B424,[1]Material!F$5:U$90000,16,0)="PUR",VLOOKUP(B424,[1]Material!F$5:U$90000,16,0)="HLO"),"PURE",
      VLOOKUP(B424,[1]Material!F$5:U$90000,16,0)="AIC","AIC",
      OR(VLOOKUP(B424,[1]Material!F$5:U$90000,16,0)="AGI",VLOOKUP(B424,[1]Material!F$5:U$90000,16,0)="AGIGA"),"AGIGA",
      OR(LEFT(VLOOKUP(B424,[1]Material!F$5:U$90000,16,0),3)="EF-",VLOOKUP(B424,[1]Material!F$5:U$90000,16,0)="EFI"),"EFI",
      AND(ISNUMBER(VLOOKUP(B424,[1]Material!F$5:U$90000,16,0)),VLOOKUP(B424,[1]Material!F$5:U$90000,16,0)&gt;=100,VLOOKUP(B424,[1]Material!F$5:U$90000,16,0)&lt;=999,VLOOKUP(B424,[1]Material!F$5:U$90000,16,0)=INT(VLOOKUP(B424,[1]Material!F$5:U$90000,16,0))),"OEM",
      TRUE,""
    ),
    "không tìm thấy trong file Import"
  ),
  VLOOKUP(F424,'[2]Export shipment'!B:Y,24,0)
)</f>
        <v>Lucid</v>
      </c>
      <c r="H424" s="184"/>
      <c r="I424" s="184"/>
      <c r="J424" s="260">
        <f>(V424+X424+AA424)/'Logistics record '!$AD$1</f>
        <v>15.116015418335726</v>
      </c>
      <c r="K424" s="260">
        <f>W424/'Logistics record '!$AD$1</f>
        <v>0</v>
      </c>
      <c r="L424" s="260">
        <f>Y424/'Logistics record '!$AD$1</f>
        <v>0</v>
      </c>
      <c r="M424" s="260">
        <f>AF424/'Logistics record '!$AD$1</f>
        <v>0</v>
      </c>
      <c r="N424" s="260" t="str" cm="1">
        <f t="array" ref="N424">_xlfn.IFS(
    OR(UPPER(S424)="AIR", UPPER(S424)="CPN"), "AIR",
    UPPER(S424)="TC", "LOCAL",
    TRUE, "SEA"
)</f>
        <v>AIR</v>
      </c>
      <c r="O424" s="260">
        <f t="shared" si="36"/>
        <v>15.116015418335726</v>
      </c>
      <c r="P424" s="184" t="s">
        <v>935</v>
      </c>
      <c r="Q424" s="185">
        <v>108352135620</v>
      </c>
      <c r="R424" s="186">
        <v>46191</v>
      </c>
      <c r="S424" s="187" t="s">
        <v>65</v>
      </c>
      <c r="T424" s="188">
        <v>27</v>
      </c>
      <c r="U424" s="188"/>
      <c r="V424" s="189">
        <v>400000</v>
      </c>
      <c r="W424" s="190"/>
      <c r="X424" s="190"/>
      <c r="Y424" s="190"/>
      <c r="Z424" s="189">
        <f t="shared" si="39"/>
        <v>400000</v>
      </c>
      <c r="AA424" s="189">
        <v>0</v>
      </c>
      <c r="AB424" s="189">
        <f t="shared" si="41"/>
        <v>400000</v>
      </c>
      <c r="AC424" s="189"/>
      <c r="AD424" s="190"/>
      <c r="AE424" s="190"/>
      <c r="AF424" s="191">
        <f t="shared" si="37"/>
        <v>0</v>
      </c>
      <c r="AG424" s="190">
        <f t="shared" si="38"/>
        <v>400000</v>
      </c>
      <c r="AH424" s="190"/>
      <c r="AI424" s="192" t="str">
        <f>VLOOKUP(Q424,[3]Sheet1!B$11:G$1489,6,0)</f>
        <v>E11</v>
      </c>
      <c r="GK424" s="194"/>
      <c r="GL424" s="195"/>
      <c r="GM424" s="196"/>
      <c r="GN424" s="197"/>
      <c r="GO424" s="198"/>
      <c r="GP424" s="199"/>
      <c r="GQ424" s="200"/>
      <c r="GR424" s="201"/>
      <c r="GS424" s="60"/>
      <c r="GT424" s="202"/>
      <c r="GU424" s="202"/>
      <c r="GV424" s="202"/>
      <c r="GW424" s="202"/>
      <c r="GX424" s="203"/>
      <c r="HA424" s="194"/>
      <c r="HB424" s="195"/>
      <c r="HC424" s="196"/>
      <c r="HD424" s="197"/>
      <c r="HE424" s="198"/>
      <c r="HF424" s="199"/>
      <c r="HG424" s="200"/>
      <c r="HH424" s="201"/>
      <c r="HI424" s="60"/>
      <c r="HJ424" s="202"/>
      <c r="HK424" s="202"/>
      <c r="HL424" s="202"/>
      <c r="HM424" s="202"/>
      <c r="HN424" s="203"/>
    </row>
    <row r="425" spans="1:222" ht="16.5" customHeight="1">
      <c r="A425" s="181">
        <v>422</v>
      </c>
      <c r="B425" s="182">
        <v>5774728562</v>
      </c>
      <c r="C425" s="183" t="s">
        <v>2756</v>
      </c>
      <c r="D425" s="184" t="s">
        <v>951</v>
      </c>
      <c r="E425" s="184" t="str">
        <f t="shared" si="40"/>
        <v>Import</v>
      </c>
      <c r="F425" s="720" t="str" cm="1">
        <f t="array" ref="F425">_xlfn.IFS(
  OR(AI425="E11", AI425="E15"), "Raw materials",
  OR(AI425="E13", AI425="G13"), "Equipments + Toolings",
  TRUE, RIGHT(C425, 8)
)</f>
        <v>Raw materials</v>
      </c>
      <c r="G425" s="541" t="str" cm="1">
        <f t="array" ref="G425">IF(E425="Import",
  IFERROR(
    _xlfn.IFS(
      VLOOKUP(B425,[1]Material!F$5:U$90000,16,0)="LUC","Lucid",
      VLOOKUP(B425,[1]Material!F$5:U$90000,16,0)="FMC","FORD",
      OR(VLOOKUP(B425,[1]Material!F$5:U$90000,16,0)="PUR",VLOOKUP(B425,[1]Material!F$5:U$90000,16,0)="HLO"),"PURE",
      VLOOKUP(B425,[1]Material!F$5:U$90000,16,0)="AIC","AIC",
      OR(VLOOKUP(B425,[1]Material!F$5:U$90000,16,0)="AGI",VLOOKUP(B425,[1]Material!F$5:U$90000,16,0)="AGIGA"),"AGIGA",
      OR(LEFT(VLOOKUP(B425,[1]Material!F$5:U$90000,16,0),3)="EF-",VLOOKUP(B425,[1]Material!F$5:U$90000,16,0)="EFI"),"EFI",
      AND(ISNUMBER(VLOOKUP(B425,[1]Material!F$5:U$90000,16,0)),VLOOKUP(B425,[1]Material!F$5:U$90000,16,0)&gt;=100,VLOOKUP(B425,[1]Material!F$5:U$90000,16,0)&lt;=999,VLOOKUP(B425,[1]Material!F$5:U$90000,16,0)=INT(VLOOKUP(B425,[1]Material!F$5:U$90000,16,0))),"OEM",
      TRUE,""
    ),
    "không tìm thấy trong file Import"
  ),
  VLOOKUP(F425,'[2]Export shipment'!B:Y,24,0)
)</f>
        <v>PURE</v>
      </c>
      <c r="H425" s="184"/>
      <c r="I425" s="184"/>
      <c r="J425" s="260">
        <f>(V425+X425+AA425)/'Logistics record '!$AD$1</f>
        <v>15.116015418335726</v>
      </c>
      <c r="K425" s="260">
        <f>W425/'Logistics record '!$AD$1</f>
        <v>0</v>
      </c>
      <c r="L425" s="260">
        <f>Y425/'Logistics record '!$AD$1</f>
        <v>0</v>
      </c>
      <c r="M425" s="260">
        <f>AF425/'Logistics record '!$AD$1</f>
        <v>0</v>
      </c>
      <c r="N425" s="260" t="str" cm="1">
        <f t="array" ref="N425">_xlfn.IFS(
    OR(UPPER(S425)="AIR", UPPER(S425)="CPN"), "AIR",
    UPPER(S425)="TC", "LOCAL",
    TRUE, "SEA"
)</f>
        <v>AIR</v>
      </c>
      <c r="O425" s="260">
        <f t="shared" si="36"/>
        <v>15.116015418335726</v>
      </c>
      <c r="P425" s="184" t="s">
        <v>937</v>
      </c>
      <c r="Q425" s="185">
        <v>108353279530</v>
      </c>
      <c r="R425" s="186">
        <v>46191</v>
      </c>
      <c r="S425" s="187" t="s">
        <v>928</v>
      </c>
      <c r="T425" s="188">
        <v>1</v>
      </c>
      <c r="U425" s="188"/>
      <c r="V425" s="189">
        <v>400000</v>
      </c>
      <c r="W425" s="190"/>
      <c r="X425" s="190"/>
      <c r="Y425" s="190"/>
      <c r="Z425" s="189">
        <f t="shared" si="39"/>
        <v>400000</v>
      </c>
      <c r="AA425" s="189">
        <v>0</v>
      </c>
      <c r="AB425" s="189">
        <f t="shared" si="41"/>
        <v>400000</v>
      </c>
      <c r="AC425" s="189"/>
      <c r="AD425" s="190"/>
      <c r="AE425" s="190"/>
      <c r="AF425" s="191">
        <f t="shared" si="37"/>
        <v>0</v>
      </c>
      <c r="AG425" s="190">
        <f t="shared" si="38"/>
        <v>400000</v>
      </c>
      <c r="AH425" s="190"/>
      <c r="AI425" s="192" t="str">
        <f>VLOOKUP(Q425,[3]Sheet1!B$11:G$1489,6,0)</f>
        <v>E11</v>
      </c>
      <c r="GK425" s="194"/>
      <c r="GL425" s="195"/>
      <c r="GM425" s="196"/>
      <c r="GN425" s="197"/>
      <c r="GO425" s="198"/>
      <c r="GP425" s="199"/>
      <c r="GQ425" s="200"/>
      <c r="GR425" s="201"/>
      <c r="GS425" s="60"/>
      <c r="GT425" s="202"/>
      <c r="GU425" s="202"/>
      <c r="GV425" s="202"/>
      <c r="GW425" s="202"/>
      <c r="GX425" s="203"/>
      <c r="HA425" s="194"/>
      <c r="HB425" s="195"/>
      <c r="HC425" s="196"/>
      <c r="HD425" s="197"/>
      <c r="HE425" s="198"/>
      <c r="HF425" s="199"/>
      <c r="HG425" s="200"/>
      <c r="HH425" s="201"/>
      <c r="HI425" s="60"/>
      <c r="HJ425" s="202"/>
      <c r="HK425" s="202"/>
      <c r="HL425" s="202"/>
      <c r="HM425" s="202"/>
      <c r="HN425" s="203"/>
    </row>
    <row r="426" spans="1:222" ht="16.5" customHeight="1">
      <c r="A426" s="181">
        <v>423</v>
      </c>
      <c r="B426" s="182">
        <v>382048162769</v>
      </c>
      <c r="C426" s="183" t="s">
        <v>2757</v>
      </c>
      <c r="D426" s="184" t="s">
        <v>1472</v>
      </c>
      <c r="E426" s="184" t="str">
        <f t="shared" si="40"/>
        <v>Import</v>
      </c>
      <c r="F426" s="720" t="str" cm="1">
        <f t="array" ref="F426">_xlfn.IFS(
  OR(AI426="E11", AI426="E15"), "Raw materials",
  OR(AI426="E13", AI426="G13"), "Equipments + Toolings",
  TRUE, RIGHT(C426, 8)
)</f>
        <v>Raw materials</v>
      </c>
      <c r="G426" s="541" t="str" cm="1">
        <f t="array" ref="G426">IF(E426="Import",
  IFERROR(
    _xlfn.IFS(
      VLOOKUP(B426,[1]Material!F$5:U$90000,16,0)="LUC","Lucid",
      VLOOKUP(B426,[1]Material!F$5:U$90000,16,0)="FMC","FORD",
      OR(VLOOKUP(B426,[1]Material!F$5:U$90000,16,0)="PUR",VLOOKUP(B426,[1]Material!F$5:U$90000,16,0)="HLO"),"PURE",
      VLOOKUP(B426,[1]Material!F$5:U$90000,16,0)="AIC","AIC",
      OR(VLOOKUP(B426,[1]Material!F$5:U$90000,16,0)="AGI",VLOOKUP(B426,[1]Material!F$5:U$90000,16,0)="AGIGA"),"AGIGA",
      OR(LEFT(VLOOKUP(B426,[1]Material!F$5:U$90000,16,0),3)="EF-",VLOOKUP(B426,[1]Material!F$5:U$90000,16,0)="EFI"),"EFI",
      AND(ISNUMBER(VLOOKUP(B426,[1]Material!F$5:U$90000,16,0)),VLOOKUP(B426,[1]Material!F$5:U$90000,16,0)&gt;=100,VLOOKUP(B426,[1]Material!F$5:U$90000,16,0)&lt;=999,VLOOKUP(B426,[1]Material!F$5:U$90000,16,0)=INT(VLOOKUP(B426,[1]Material!F$5:U$90000,16,0))),"OEM",
      TRUE,""
    ),
    "không tìm thấy trong file Import"
  ),
  VLOOKUP(F426,'[2]Export shipment'!B:Y,24,0)
)</f>
        <v>PURE</v>
      </c>
      <c r="H426" s="184"/>
      <c r="I426" s="184"/>
      <c r="J426" s="260">
        <f>(V426+X426+AA426)/'Logistics record '!$AD$1</f>
        <v>15.116015418335726</v>
      </c>
      <c r="K426" s="260">
        <f>W426/'Logistics record '!$AD$1</f>
        <v>0</v>
      </c>
      <c r="L426" s="260">
        <f>Y426/'Logistics record '!$AD$1</f>
        <v>0</v>
      </c>
      <c r="M426" s="260">
        <f>AF426/'Logistics record '!$AD$1</f>
        <v>0</v>
      </c>
      <c r="N426" s="260" t="str" cm="1">
        <f t="array" ref="N426">_xlfn.IFS(
    OR(UPPER(S426)="AIR", UPPER(S426)="CPN"), "AIR",
    UPPER(S426)="TC", "LOCAL",
    TRUE, "SEA"
)</f>
        <v>AIR</v>
      </c>
      <c r="O426" s="260">
        <f t="shared" si="36"/>
        <v>15.116015418335726</v>
      </c>
      <c r="P426" s="184" t="s">
        <v>943</v>
      </c>
      <c r="Q426" s="185">
        <v>108353384050</v>
      </c>
      <c r="R426" s="186">
        <v>46191</v>
      </c>
      <c r="S426" s="187" t="s">
        <v>928</v>
      </c>
      <c r="T426" s="188">
        <v>1</v>
      </c>
      <c r="U426" s="188"/>
      <c r="V426" s="189">
        <v>400000</v>
      </c>
      <c r="W426" s="190"/>
      <c r="X426" s="190"/>
      <c r="Y426" s="190"/>
      <c r="Z426" s="189">
        <f t="shared" si="39"/>
        <v>400000</v>
      </c>
      <c r="AA426" s="189">
        <v>0</v>
      </c>
      <c r="AB426" s="189">
        <f t="shared" si="41"/>
        <v>400000</v>
      </c>
      <c r="AC426" s="189"/>
      <c r="AD426" s="190"/>
      <c r="AE426" s="190"/>
      <c r="AF426" s="191">
        <f t="shared" si="37"/>
        <v>0</v>
      </c>
      <c r="AG426" s="190">
        <f t="shared" si="38"/>
        <v>400000</v>
      </c>
      <c r="AH426" s="190"/>
      <c r="AI426" s="192" t="str">
        <f>VLOOKUP(Q426,[3]Sheet1!B$11:G$1489,6,0)</f>
        <v>E11</v>
      </c>
      <c r="GK426" s="194"/>
      <c r="GL426" s="195"/>
      <c r="GM426" s="196"/>
      <c r="GN426" s="197"/>
      <c r="GO426" s="198"/>
      <c r="GP426" s="199"/>
      <c r="GQ426" s="200"/>
      <c r="GR426" s="201"/>
      <c r="GS426" s="60"/>
      <c r="GT426" s="202"/>
      <c r="GU426" s="202"/>
      <c r="GV426" s="202"/>
      <c r="GW426" s="202"/>
      <c r="GX426" s="203"/>
      <c r="HA426" s="194"/>
      <c r="HB426" s="195"/>
      <c r="HC426" s="196"/>
      <c r="HD426" s="197"/>
      <c r="HE426" s="198"/>
      <c r="HF426" s="199"/>
      <c r="HG426" s="200"/>
      <c r="HH426" s="201"/>
      <c r="HI426" s="60"/>
      <c r="HJ426" s="202"/>
      <c r="HK426" s="202"/>
      <c r="HL426" s="202"/>
      <c r="HM426" s="202"/>
      <c r="HN426" s="203"/>
    </row>
    <row r="427" spans="1:222" ht="16.5" customHeight="1">
      <c r="A427" s="181">
        <v>424</v>
      </c>
      <c r="B427" s="182">
        <v>873178336511</v>
      </c>
      <c r="C427" s="183" t="s">
        <v>2758</v>
      </c>
      <c r="D427" s="184" t="s">
        <v>375</v>
      </c>
      <c r="E427" s="184" t="str">
        <f t="shared" si="40"/>
        <v>Import</v>
      </c>
      <c r="F427" s="720" t="str" cm="1">
        <f t="array" ref="F427">_xlfn.IFS(
  OR(AI427="E11", AI427="E15"), "Raw materials",
  OR(AI427="E13", AI427="G13"), "Equipments + Toolings",
  TRUE, RIGHT(C427, 8)
)</f>
        <v>Raw materials</v>
      </c>
      <c r="G427" s="541" t="str" cm="1">
        <f t="array" ref="G427">IF(E427="Import",
  IFERROR(
    _xlfn.IFS(
      VLOOKUP(B427,[1]Material!F$5:U$90000,16,0)="LUC","Lucid",
      VLOOKUP(B427,[1]Material!F$5:U$90000,16,0)="FMC","FORD",
      OR(VLOOKUP(B427,[1]Material!F$5:U$90000,16,0)="PUR",VLOOKUP(B427,[1]Material!F$5:U$90000,16,0)="HLO"),"PURE",
      VLOOKUP(B427,[1]Material!F$5:U$90000,16,0)="AIC","AIC",
      OR(VLOOKUP(B427,[1]Material!F$5:U$90000,16,0)="AGI",VLOOKUP(B427,[1]Material!F$5:U$90000,16,0)="AGIGA"),"AGIGA",
      OR(LEFT(VLOOKUP(B427,[1]Material!F$5:U$90000,16,0),3)="EF-",VLOOKUP(B427,[1]Material!F$5:U$90000,16,0)="EFI"),"EFI",
      AND(ISNUMBER(VLOOKUP(B427,[1]Material!F$5:U$90000,16,0)),VLOOKUP(B427,[1]Material!F$5:U$90000,16,0)&gt;=100,VLOOKUP(B427,[1]Material!F$5:U$90000,16,0)&lt;=999,VLOOKUP(B427,[1]Material!F$5:U$90000,16,0)=INT(VLOOKUP(B427,[1]Material!F$5:U$90000,16,0))),"OEM",
      TRUE,""
    ),
    "không tìm thấy trong file Import"
  ),
  VLOOKUP(F427,'[2]Export shipment'!B:Y,24,0)
)</f>
        <v>PURE</v>
      </c>
      <c r="H427" s="184"/>
      <c r="I427" s="184"/>
      <c r="J427" s="260">
        <f>(V427+X427+AA427)/'Logistics record '!$AD$1</f>
        <v>15.116015418335726</v>
      </c>
      <c r="K427" s="260">
        <f>W427/'Logistics record '!$AD$1</f>
        <v>0</v>
      </c>
      <c r="L427" s="260">
        <f>Y427/'Logistics record '!$AD$1</f>
        <v>0</v>
      </c>
      <c r="M427" s="260">
        <f>AF427/'Logistics record '!$AD$1</f>
        <v>0</v>
      </c>
      <c r="N427" s="260" t="str" cm="1">
        <f t="array" ref="N427">_xlfn.IFS(
    OR(UPPER(S427)="AIR", UPPER(S427)="CPN"), "AIR",
    UPPER(S427)="TC", "LOCAL",
    TRUE, "SEA"
)</f>
        <v>AIR</v>
      </c>
      <c r="O427" s="260">
        <f t="shared" si="36"/>
        <v>15.116015418335726</v>
      </c>
      <c r="P427" s="184" t="s">
        <v>937</v>
      </c>
      <c r="Q427" s="185">
        <v>108353606800</v>
      </c>
      <c r="R427" s="186">
        <v>46191</v>
      </c>
      <c r="S427" s="187" t="s">
        <v>928</v>
      </c>
      <c r="T427" s="188">
        <v>20</v>
      </c>
      <c r="U427" s="188"/>
      <c r="V427" s="189">
        <v>400000</v>
      </c>
      <c r="W427" s="190"/>
      <c r="X427" s="190"/>
      <c r="Y427" s="190"/>
      <c r="Z427" s="189">
        <f t="shared" si="39"/>
        <v>400000</v>
      </c>
      <c r="AA427" s="189">
        <v>0</v>
      </c>
      <c r="AB427" s="189">
        <f t="shared" si="41"/>
        <v>400000</v>
      </c>
      <c r="AC427" s="189"/>
      <c r="AD427" s="190"/>
      <c r="AE427" s="190"/>
      <c r="AF427" s="191">
        <f t="shared" si="37"/>
        <v>0</v>
      </c>
      <c r="AG427" s="190">
        <f t="shared" si="38"/>
        <v>400000</v>
      </c>
      <c r="AH427" s="190"/>
      <c r="AI427" s="192" t="str">
        <f>VLOOKUP(Q427,[3]Sheet1!B$11:G$1489,6,0)</f>
        <v>E11</v>
      </c>
      <c r="GK427" s="194"/>
      <c r="GL427" s="195"/>
      <c r="GM427" s="196"/>
      <c r="GN427" s="197"/>
      <c r="GO427" s="198"/>
      <c r="GP427" s="199"/>
      <c r="GQ427" s="200"/>
      <c r="GR427" s="201"/>
      <c r="GS427" s="60"/>
      <c r="GT427" s="202"/>
      <c r="GU427" s="202"/>
      <c r="GV427" s="202"/>
      <c r="GW427" s="202"/>
      <c r="GX427" s="203"/>
      <c r="HA427" s="194"/>
      <c r="HB427" s="195"/>
      <c r="HC427" s="196"/>
      <c r="HD427" s="197"/>
      <c r="HE427" s="198"/>
      <c r="HF427" s="199"/>
      <c r="HG427" s="200"/>
      <c r="HH427" s="201"/>
      <c r="HI427" s="60"/>
      <c r="HJ427" s="202"/>
      <c r="HK427" s="202"/>
      <c r="HL427" s="202"/>
      <c r="HM427" s="202"/>
      <c r="HN427" s="203"/>
    </row>
    <row r="428" spans="1:222" ht="16.5" customHeight="1">
      <c r="A428" s="181">
        <v>425</v>
      </c>
      <c r="B428" s="182">
        <v>119209747424</v>
      </c>
      <c r="C428" s="183" t="s">
        <v>2759</v>
      </c>
      <c r="D428" s="184" t="s">
        <v>944</v>
      </c>
      <c r="E428" s="184" t="str">
        <f t="shared" si="40"/>
        <v>Import</v>
      </c>
      <c r="F428" s="720" t="str" cm="1">
        <f t="array" ref="F428">_xlfn.IFS(
  OR(AI428="E11", AI428="E15"), "Raw materials",
  OR(AI428="E13", AI428="G13"), "Equipments + Toolings",
  TRUE, RIGHT(C428, 8)
)</f>
        <v>Raw materials</v>
      </c>
      <c r="G428" s="541" t="str" cm="1">
        <f t="array" ref="G428">IF(E428="Import",
  IFERROR(
    _xlfn.IFS(
      VLOOKUP(B428,[1]Material!F$5:U$90000,16,0)="LUC","Lucid",
      VLOOKUP(B428,[1]Material!F$5:U$90000,16,0)="FMC","FORD",
      OR(VLOOKUP(B428,[1]Material!F$5:U$90000,16,0)="PUR",VLOOKUP(B428,[1]Material!F$5:U$90000,16,0)="HLO"),"PURE",
      VLOOKUP(B428,[1]Material!F$5:U$90000,16,0)="AIC","AIC",
      OR(VLOOKUP(B428,[1]Material!F$5:U$90000,16,0)="AGI",VLOOKUP(B428,[1]Material!F$5:U$90000,16,0)="AGIGA"),"AGIGA",
      OR(LEFT(VLOOKUP(B428,[1]Material!F$5:U$90000,16,0),3)="EF-",VLOOKUP(B428,[1]Material!F$5:U$90000,16,0)="EFI"),"EFI",
      AND(ISNUMBER(VLOOKUP(B428,[1]Material!F$5:U$90000,16,0)),VLOOKUP(B428,[1]Material!F$5:U$90000,16,0)&gt;=100,VLOOKUP(B428,[1]Material!F$5:U$90000,16,0)&lt;=999,VLOOKUP(B428,[1]Material!F$5:U$90000,16,0)=INT(VLOOKUP(B428,[1]Material!F$5:U$90000,16,0))),"OEM",
      TRUE,""
    ),
    "không tìm thấy trong file Import"
  ),
  VLOOKUP(F428,'[2]Export shipment'!B:Y,24,0)
)</f>
        <v>PURE</v>
      </c>
      <c r="H428" s="184"/>
      <c r="I428" s="184"/>
      <c r="J428" s="260">
        <f>(V428+X428+AA428)/'Logistics record '!$AD$1</f>
        <v>15.116015418335726</v>
      </c>
      <c r="K428" s="260">
        <f>W428/'Logistics record '!$AD$1</f>
        <v>0</v>
      </c>
      <c r="L428" s="260">
        <f>Y428/'Logistics record '!$AD$1</f>
        <v>0</v>
      </c>
      <c r="M428" s="260">
        <f>AF428/'Logistics record '!$AD$1</f>
        <v>0</v>
      </c>
      <c r="N428" s="260" t="str" cm="1">
        <f t="array" ref="N428">_xlfn.IFS(
    OR(UPPER(S428)="AIR", UPPER(S428)="CPN"), "AIR",
    UPPER(S428)="TC", "LOCAL",
    TRUE, "SEA"
)</f>
        <v>AIR</v>
      </c>
      <c r="O428" s="260">
        <f t="shared" si="36"/>
        <v>15.116015418335726</v>
      </c>
      <c r="P428" s="184" t="s">
        <v>935</v>
      </c>
      <c r="Q428" s="185">
        <v>108353646110</v>
      </c>
      <c r="R428" s="186">
        <v>46191</v>
      </c>
      <c r="S428" s="187" t="s">
        <v>928</v>
      </c>
      <c r="T428" s="188">
        <v>1.3</v>
      </c>
      <c r="U428" s="188"/>
      <c r="V428" s="189">
        <v>400000</v>
      </c>
      <c r="W428" s="190"/>
      <c r="X428" s="190"/>
      <c r="Y428" s="190"/>
      <c r="Z428" s="189">
        <f t="shared" si="39"/>
        <v>400000</v>
      </c>
      <c r="AA428" s="189">
        <v>0</v>
      </c>
      <c r="AB428" s="189">
        <f t="shared" si="41"/>
        <v>400000</v>
      </c>
      <c r="AC428" s="189"/>
      <c r="AD428" s="190"/>
      <c r="AE428" s="190"/>
      <c r="AF428" s="191">
        <f t="shared" si="37"/>
        <v>0</v>
      </c>
      <c r="AG428" s="190">
        <f t="shared" si="38"/>
        <v>400000</v>
      </c>
      <c r="AH428" s="190"/>
      <c r="AI428" s="192" t="str">
        <f>VLOOKUP(Q428,[3]Sheet1!B$11:G$1489,6,0)</f>
        <v>E11</v>
      </c>
      <c r="GK428" s="194"/>
      <c r="GL428" s="195"/>
      <c r="GM428" s="196"/>
      <c r="GN428" s="197"/>
      <c r="GO428" s="198"/>
      <c r="GP428" s="199"/>
      <c r="GQ428" s="200"/>
      <c r="GR428" s="201"/>
      <c r="GS428" s="60"/>
      <c r="GT428" s="202"/>
      <c r="GU428" s="202"/>
      <c r="GV428" s="202"/>
      <c r="GW428" s="202"/>
      <c r="GX428" s="203"/>
      <c r="HA428" s="194"/>
      <c r="HB428" s="195"/>
      <c r="HC428" s="196"/>
      <c r="HD428" s="197"/>
      <c r="HE428" s="198"/>
      <c r="HF428" s="199"/>
      <c r="HG428" s="200"/>
      <c r="HH428" s="201"/>
      <c r="HI428" s="60"/>
      <c r="HJ428" s="202"/>
      <c r="HK428" s="202"/>
      <c r="HL428" s="202"/>
      <c r="HM428" s="202"/>
      <c r="HN428" s="203"/>
    </row>
    <row r="429" spans="1:222" ht="16.5" customHeight="1">
      <c r="A429" s="181">
        <v>426</v>
      </c>
      <c r="B429" s="182">
        <v>530217572787</v>
      </c>
      <c r="C429" s="183" t="s">
        <v>2760</v>
      </c>
      <c r="D429" s="184" t="s">
        <v>968</v>
      </c>
      <c r="E429" s="184" t="str">
        <f t="shared" si="40"/>
        <v>Import</v>
      </c>
      <c r="F429" s="720" t="str" cm="1">
        <f t="array" ref="F429">_xlfn.IFS(
  OR(AI429="E11", AI429="E15"), "Raw materials",
  OR(AI429="E13", AI429="G13"), "Equipments + Toolings",
  TRUE, RIGHT(C429, 8)
)</f>
        <v>Raw materials</v>
      </c>
      <c r="G429" s="541" t="str" cm="1">
        <f t="array" ref="G429">IF(E429="Import",
  IFERROR(
    _xlfn.IFS(
      VLOOKUP(B429,[1]Material!F$5:U$90000,16,0)="LUC","Lucid",
      VLOOKUP(B429,[1]Material!F$5:U$90000,16,0)="FMC","FORD",
      OR(VLOOKUP(B429,[1]Material!F$5:U$90000,16,0)="PUR",VLOOKUP(B429,[1]Material!F$5:U$90000,16,0)="HLO"),"PURE",
      VLOOKUP(B429,[1]Material!F$5:U$90000,16,0)="AIC","AIC",
      OR(VLOOKUP(B429,[1]Material!F$5:U$90000,16,0)="AGI",VLOOKUP(B429,[1]Material!F$5:U$90000,16,0)="AGIGA"),"AGIGA",
      OR(LEFT(VLOOKUP(B429,[1]Material!F$5:U$90000,16,0),3)="EF-",VLOOKUP(B429,[1]Material!F$5:U$90000,16,0)="EFI"),"EFI",
      AND(ISNUMBER(VLOOKUP(B429,[1]Material!F$5:U$90000,16,0)),VLOOKUP(B429,[1]Material!F$5:U$90000,16,0)&gt;=100,VLOOKUP(B429,[1]Material!F$5:U$90000,16,0)&lt;=999,VLOOKUP(B429,[1]Material!F$5:U$90000,16,0)=INT(VLOOKUP(B429,[1]Material!F$5:U$90000,16,0))),"OEM",
      TRUE,""
    ),
    "không tìm thấy trong file Import"
  ),
  VLOOKUP(F429,'[2]Export shipment'!B:Y,24,0)
)</f>
        <v>PURE</v>
      </c>
      <c r="H429" s="184"/>
      <c r="I429" s="184"/>
      <c r="J429" s="260">
        <f>(V429+X429+AA429)/'Logistics record '!$AD$1</f>
        <v>15.116015418335726</v>
      </c>
      <c r="K429" s="260">
        <f>W429/'Logistics record '!$AD$1</f>
        <v>0</v>
      </c>
      <c r="L429" s="260">
        <f>Y429/'Logistics record '!$AD$1</f>
        <v>0</v>
      </c>
      <c r="M429" s="260">
        <f>AF429/'Logistics record '!$AD$1</f>
        <v>0</v>
      </c>
      <c r="N429" s="260" t="str" cm="1">
        <f t="array" ref="N429">_xlfn.IFS(
    OR(UPPER(S429)="AIR", UPPER(S429)="CPN"), "AIR",
    UPPER(S429)="TC", "LOCAL",
    TRUE, "SEA"
)</f>
        <v>AIR</v>
      </c>
      <c r="O429" s="260">
        <f t="shared" si="36"/>
        <v>15.116015418335726</v>
      </c>
      <c r="P429" s="184" t="s">
        <v>935</v>
      </c>
      <c r="Q429" s="185">
        <v>108353710510</v>
      </c>
      <c r="R429" s="186">
        <v>46191</v>
      </c>
      <c r="S429" s="187" t="s">
        <v>928</v>
      </c>
      <c r="T429" s="188">
        <v>1</v>
      </c>
      <c r="U429" s="188"/>
      <c r="V429" s="189">
        <v>400000</v>
      </c>
      <c r="W429" s="190"/>
      <c r="X429" s="190"/>
      <c r="Y429" s="190"/>
      <c r="Z429" s="189">
        <f t="shared" si="39"/>
        <v>400000</v>
      </c>
      <c r="AA429" s="189">
        <v>0</v>
      </c>
      <c r="AB429" s="189">
        <f t="shared" si="41"/>
        <v>400000</v>
      </c>
      <c r="AC429" s="189"/>
      <c r="AD429" s="190"/>
      <c r="AE429" s="190"/>
      <c r="AF429" s="191">
        <f t="shared" si="37"/>
        <v>0</v>
      </c>
      <c r="AG429" s="190">
        <f t="shared" si="38"/>
        <v>400000</v>
      </c>
      <c r="AH429" s="190"/>
      <c r="AI429" s="192" t="str">
        <f>VLOOKUP(Q429,[3]Sheet1!B$11:G$1489,6,0)</f>
        <v>E11</v>
      </c>
      <c r="GK429" s="194"/>
      <c r="GL429" s="195"/>
      <c r="GM429" s="196"/>
      <c r="GN429" s="197"/>
      <c r="GO429" s="198"/>
      <c r="GP429" s="199"/>
      <c r="GQ429" s="200"/>
      <c r="GR429" s="201"/>
      <c r="GS429" s="60"/>
      <c r="GT429" s="202"/>
      <c r="GU429" s="202"/>
      <c r="GV429" s="202"/>
      <c r="GW429" s="202"/>
      <c r="GX429" s="203"/>
      <c r="HA429" s="194"/>
      <c r="HB429" s="195"/>
      <c r="HC429" s="196"/>
      <c r="HD429" s="197"/>
      <c r="HE429" s="198"/>
      <c r="HF429" s="199"/>
      <c r="HG429" s="200"/>
      <c r="HH429" s="201"/>
      <c r="HI429" s="60"/>
      <c r="HJ429" s="202"/>
      <c r="HK429" s="202"/>
      <c r="HL429" s="202"/>
      <c r="HM429" s="202"/>
      <c r="HN429" s="203"/>
    </row>
    <row r="430" spans="1:222" ht="16.5" customHeight="1">
      <c r="A430" s="181">
        <v>427</v>
      </c>
      <c r="B430" s="182" t="s">
        <v>2761</v>
      </c>
      <c r="C430" s="183" t="s">
        <v>2762</v>
      </c>
      <c r="D430" s="184" t="s">
        <v>327</v>
      </c>
      <c r="E430" s="184" t="str">
        <f t="shared" si="40"/>
        <v>Import</v>
      </c>
      <c r="F430" s="720" t="str" cm="1">
        <f t="array" ref="F430">_xlfn.IFS(
  OR(AI430="E11", AI430="E15"), "Raw materials",
  OR(AI430="E13", AI430="G13"), "Equipments + Toolings",
  TRUE, RIGHT(C430, 8)
)</f>
        <v>Raw materials</v>
      </c>
      <c r="G430" s="541" t="str" cm="1">
        <f t="array" ref="G430">IF(E430="Import",
  IFERROR(
    _xlfn.IFS(
      VLOOKUP(B430,[1]Material!F$5:U$90000,16,0)="LUC","Lucid",
      VLOOKUP(B430,[1]Material!F$5:U$90000,16,0)="FMC","FORD",
      OR(VLOOKUP(B430,[1]Material!F$5:U$90000,16,0)="PUR",VLOOKUP(B430,[1]Material!F$5:U$90000,16,0)="HLO"),"PURE",
      VLOOKUP(B430,[1]Material!F$5:U$90000,16,0)="AIC","AIC",
      OR(VLOOKUP(B430,[1]Material!F$5:U$90000,16,0)="AGI",VLOOKUP(B430,[1]Material!F$5:U$90000,16,0)="AGIGA"),"AGIGA",
      OR(LEFT(VLOOKUP(B430,[1]Material!F$5:U$90000,16,0),3)="EF-",VLOOKUP(B430,[1]Material!F$5:U$90000,16,0)="EFI"),"EFI",
      AND(ISNUMBER(VLOOKUP(B430,[1]Material!F$5:U$90000,16,0)),VLOOKUP(B430,[1]Material!F$5:U$90000,16,0)&gt;=100,VLOOKUP(B430,[1]Material!F$5:U$90000,16,0)&lt;=999,VLOOKUP(B430,[1]Material!F$5:U$90000,16,0)=INT(VLOOKUP(B430,[1]Material!F$5:U$90000,16,0))),"OEM",
      TRUE,""
    ),
    "không tìm thấy trong file Import"
  ),
  VLOOKUP(F430,'[2]Export shipment'!B:Y,24,0)
)</f>
        <v>PURE</v>
      </c>
      <c r="H430" s="184"/>
      <c r="I430" s="184"/>
      <c r="J430" s="260">
        <f>(V430+X430+AA430)/'Logistics record '!$AD$1</f>
        <v>15.116015418335726</v>
      </c>
      <c r="K430" s="260">
        <f>W430/'Logistics record '!$AD$1</f>
        <v>143.6021464741894</v>
      </c>
      <c r="L430" s="260">
        <f>Y430/'Logistics record '!$AD$1</f>
        <v>1273.9796606454538</v>
      </c>
      <c r="M430" s="260">
        <f>AF430/'Logistics record '!$AD$1</f>
        <v>142.9409719597914</v>
      </c>
      <c r="N430" s="260" t="str" cm="1">
        <f t="array" ref="N430">_xlfn.IFS(
    OR(UPPER(S430)="AIR", UPPER(S430)="CPN"), "AIR",
    UPPER(S430)="TC", "LOCAL",
    TRUE, "SEA"
)</f>
        <v>SEA</v>
      </c>
      <c r="O430" s="260">
        <f t="shared" si="36"/>
        <v>1575.6387944977703</v>
      </c>
      <c r="P430" s="184" t="s">
        <v>932</v>
      </c>
      <c r="Q430" s="185">
        <v>108353727160</v>
      </c>
      <c r="R430" s="186">
        <v>46191</v>
      </c>
      <c r="S430" s="187" t="s">
        <v>933</v>
      </c>
      <c r="T430" s="188">
        <v>1506.5</v>
      </c>
      <c r="U430" s="188">
        <v>9.66</v>
      </c>
      <c r="V430" s="189">
        <v>400000</v>
      </c>
      <c r="W430" s="190">
        <v>3800000</v>
      </c>
      <c r="X430" s="190"/>
      <c r="Y430" s="190">
        <v>33712049.780000001</v>
      </c>
      <c r="Z430" s="189">
        <f t="shared" si="39"/>
        <v>37912049.780000001</v>
      </c>
      <c r="AA430" s="189">
        <v>0</v>
      </c>
      <c r="AB430" s="189">
        <f t="shared" si="41"/>
        <v>37912049.780000001</v>
      </c>
      <c r="AC430" s="189">
        <v>24104</v>
      </c>
      <c r="AD430" s="190"/>
      <c r="AE430" s="190">
        <v>3758400</v>
      </c>
      <c r="AF430" s="191">
        <f t="shared" si="37"/>
        <v>3782504</v>
      </c>
      <c r="AG430" s="190">
        <f t="shared" si="38"/>
        <v>41694553.780000001</v>
      </c>
      <c r="AH430" s="190"/>
      <c r="AI430" s="192" t="str">
        <f>VLOOKUP(Q430,[3]Sheet1!B$11:G$1489,6,0)</f>
        <v>E11</v>
      </c>
      <c r="GK430" s="194"/>
      <c r="GL430" s="195"/>
      <c r="GM430" s="196"/>
      <c r="GN430" s="197"/>
      <c r="GO430" s="198"/>
      <c r="GP430" s="199"/>
      <c r="GQ430" s="200"/>
      <c r="GR430" s="201"/>
      <c r="GS430" s="60"/>
      <c r="GT430" s="202"/>
      <c r="GU430" s="202"/>
      <c r="GV430" s="202"/>
      <c r="GW430" s="202"/>
      <c r="GX430" s="203"/>
      <c r="HA430" s="194"/>
      <c r="HB430" s="195"/>
      <c r="HC430" s="196"/>
      <c r="HD430" s="197"/>
      <c r="HE430" s="198"/>
      <c r="HF430" s="199"/>
      <c r="HG430" s="200"/>
      <c r="HH430" s="201"/>
      <c r="HI430" s="60"/>
      <c r="HJ430" s="202"/>
      <c r="HK430" s="202"/>
      <c r="HL430" s="202"/>
      <c r="HM430" s="202"/>
      <c r="HN430" s="203"/>
    </row>
    <row r="431" spans="1:222" ht="16.5" customHeight="1">
      <c r="A431" s="181">
        <v>428</v>
      </c>
      <c r="B431" s="182">
        <v>471797732077</v>
      </c>
      <c r="C431" s="183" t="s">
        <v>2763</v>
      </c>
      <c r="D431" s="184" t="s">
        <v>956</v>
      </c>
      <c r="E431" s="184" t="str">
        <f t="shared" si="40"/>
        <v>Import</v>
      </c>
      <c r="F431" s="720" t="str" cm="1">
        <f t="array" ref="F431">_xlfn.IFS(
  OR(AI431="E11", AI431="E15"), "Raw materials",
  OR(AI431="E13", AI431="G13"), "Equipments + Toolings",
  TRUE, RIGHT(C431, 8)
)</f>
        <v>Raw materials</v>
      </c>
      <c r="G431" s="541" t="str" cm="1">
        <f t="array" ref="G431">IF(E431="Import",
  IFERROR(
    _xlfn.IFS(
      VLOOKUP(B431,[1]Material!F$5:U$90000,16,0)="LUC","Lucid",
      VLOOKUP(B431,[1]Material!F$5:U$90000,16,0)="FMC","FORD",
      OR(VLOOKUP(B431,[1]Material!F$5:U$90000,16,0)="PUR",VLOOKUP(B431,[1]Material!F$5:U$90000,16,0)="HLO"),"PURE",
      VLOOKUP(B431,[1]Material!F$5:U$90000,16,0)="AIC","AIC",
      OR(VLOOKUP(B431,[1]Material!F$5:U$90000,16,0)="AGI",VLOOKUP(B431,[1]Material!F$5:U$90000,16,0)="AGIGA"),"AGIGA",
      OR(LEFT(VLOOKUP(B431,[1]Material!F$5:U$90000,16,0),3)="EF-",VLOOKUP(B431,[1]Material!F$5:U$90000,16,0)="EFI"),"EFI",
      AND(ISNUMBER(VLOOKUP(B431,[1]Material!F$5:U$90000,16,0)),VLOOKUP(B431,[1]Material!F$5:U$90000,16,0)&gt;=100,VLOOKUP(B431,[1]Material!F$5:U$90000,16,0)&lt;=999,VLOOKUP(B431,[1]Material!F$5:U$90000,16,0)=INT(VLOOKUP(B431,[1]Material!F$5:U$90000,16,0))),"OEM",
      TRUE,""
    ),
    "không tìm thấy trong file Import"
  ),
  VLOOKUP(F431,'[2]Export shipment'!B:Y,24,0)
)</f>
        <v>PURE</v>
      </c>
      <c r="H431" s="184"/>
      <c r="I431" s="184"/>
      <c r="J431" s="260">
        <f>(V431+X431+AA431)/'Logistics record '!$AD$1</f>
        <v>15.116015418335726</v>
      </c>
      <c r="K431" s="260">
        <f>W431/'Logistics record '!$AD$1</f>
        <v>0</v>
      </c>
      <c r="L431" s="260">
        <f>Y431/'Logistics record '!$AD$1</f>
        <v>0</v>
      </c>
      <c r="M431" s="260">
        <f>AF431/'Logistics record '!$AD$1</f>
        <v>0</v>
      </c>
      <c r="N431" s="260" t="str" cm="1">
        <f t="array" ref="N431">_xlfn.IFS(
    OR(UPPER(S431)="AIR", UPPER(S431)="CPN"), "AIR",
    UPPER(S431)="TC", "LOCAL",
    TRUE, "SEA"
)</f>
        <v>AIR</v>
      </c>
      <c r="O431" s="260">
        <f t="shared" si="36"/>
        <v>15.116015418335726</v>
      </c>
      <c r="P431" s="184" t="s">
        <v>932</v>
      </c>
      <c r="Q431" s="185">
        <v>108354017550</v>
      </c>
      <c r="R431" s="186">
        <v>46191</v>
      </c>
      <c r="S431" s="187" t="s">
        <v>928</v>
      </c>
      <c r="T431" s="188">
        <v>15.8</v>
      </c>
      <c r="U431" s="188"/>
      <c r="V431" s="189">
        <v>400000</v>
      </c>
      <c r="W431" s="190"/>
      <c r="X431" s="190"/>
      <c r="Y431" s="190"/>
      <c r="Z431" s="189">
        <f t="shared" si="39"/>
        <v>400000</v>
      </c>
      <c r="AA431" s="189">
        <v>0</v>
      </c>
      <c r="AB431" s="189">
        <f t="shared" si="41"/>
        <v>400000</v>
      </c>
      <c r="AC431" s="189"/>
      <c r="AD431" s="190"/>
      <c r="AE431" s="190"/>
      <c r="AF431" s="191">
        <f t="shared" si="37"/>
        <v>0</v>
      </c>
      <c r="AG431" s="190">
        <f t="shared" si="38"/>
        <v>400000</v>
      </c>
      <c r="AH431" s="190"/>
      <c r="AI431" s="192" t="str">
        <f>VLOOKUP(Q431,[3]Sheet1!B$11:G$1489,6,0)</f>
        <v>E11</v>
      </c>
      <c r="GK431" s="194"/>
      <c r="GL431" s="195"/>
      <c r="GM431" s="196"/>
      <c r="GN431" s="197"/>
      <c r="GO431" s="198"/>
      <c r="GP431" s="199"/>
      <c r="GQ431" s="200"/>
      <c r="GR431" s="201"/>
      <c r="GS431" s="60"/>
      <c r="GT431" s="202"/>
      <c r="GU431" s="202"/>
      <c r="GV431" s="202"/>
      <c r="GW431" s="202"/>
      <c r="GX431" s="203"/>
      <c r="HA431" s="194"/>
      <c r="HB431" s="195"/>
      <c r="HC431" s="196"/>
      <c r="HD431" s="197"/>
      <c r="HE431" s="198"/>
      <c r="HF431" s="199"/>
      <c r="HG431" s="200"/>
      <c r="HH431" s="201"/>
      <c r="HI431" s="60"/>
      <c r="HJ431" s="202"/>
      <c r="HK431" s="202"/>
      <c r="HL431" s="202"/>
      <c r="HM431" s="202"/>
      <c r="HN431" s="203"/>
    </row>
    <row r="432" spans="1:222" ht="16.5" customHeight="1">
      <c r="A432" s="181">
        <v>429</v>
      </c>
      <c r="B432" s="182">
        <v>517485682164</v>
      </c>
      <c r="C432" s="183" t="s">
        <v>2764</v>
      </c>
      <c r="D432" s="184" t="s">
        <v>381</v>
      </c>
      <c r="E432" s="184" t="str">
        <f t="shared" si="40"/>
        <v>Import</v>
      </c>
      <c r="F432" s="720" t="str" cm="1">
        <f t="array" ref="F432">_xlfn.IFS(
  OR(AI432="E11", AI432="E15"), "Raw materials",
  OR(AI432="E13", AI432="G13"), "Equipments + Toolings",
  TRUE, RIGHT(C432, 8)
)</f>
        <v>Raw materials</v>
      </c>
      <c r="G432" s="541" t="str" cm="1">
        <f t="array" ref="G432">IF(E432="Import",
  IFERROR(
    _xlfn.IFS(
      VLOOKUP(B432,[1]Material!F$5:U$90000,16,0)="LUC","Lucid",
      VLOOKUP(B432,[1]Material!F$5:U$90000,16,0)="FMC","FORD",
      OR(VLOOKUP(B432,[1]Material!F$5:U$90000,16,0)="PUR",VLOOKUP(B432,[1]Material!F$5:U$90000,16,0)="HLO"),"PURE",
      VLOOKUP(B432,[1]Material!F$5:U$90000,16,0)="AIC","AIC",
      OR(VLOOKUP(B432,[1]Material!F$5:U$90000,16,0)="AGI",VLOOKUP(B432,[1]Material!F$5:U$90000,16,0)="AGIGA"),"AGIGA",
      OR(LEFT(VLOOKUP(B432,[1]Material!F$5:U$90000,16,0),3)="EF-",VLOOKUP(B432,[1]Material!F$5:U$90000,16,0)="EFI"),"EFI",
      AND(ISNUMBER(VLOOKUP(B432,[1]Material!F$5:U$90000,16,0)),VLOOKUP(B432,[1]Material!F$5:U$90000,16,0)&gt;=100,VLOOKUP(B432,[1]Material!F$5:U$90000,16,0)&lt;=999,VLOOKUP(B432,[1]Material!F$5:U$90000,16,0)=INT(VLOOKUP(B432,[1]Material!F$5:U$90000,16,0))),"OEM",
      TRUE,""
    ),
    "không tìm thấy trong file Import"
  ),
  VLOOKUP(F432,'[2]Export shipment'!B:Y,24,0)
)</f>
        <v>PURE</v>
      </c>
      <c r="H432" s="184"/>
      <c r="I432" s="184"/>
      <c r="J432" s="260">
        <f>(V432+X432+AA432)/'Logistics record '!$AD$1</f>
        <v>15.116015418335726</v>
      </c>
      <c r="K432" s="260">
        <f>W432/'Logistics record '!$AD$1</f>
        <v>0</v>
      </c>
      <c r="L432" s="260">
        <f>Y432/'Logistics record '!$AD$1</f>
        <v>0</v>
      </c>
      <c r="M432" s="260">
        <f>AF432/'Logistics record '!$AD$1</f>
        <v>0</v>
      </c>
      <c r="N432" s="260" t="str" cm="1">
        <f t="array" ref="N432">_xlfn.IFS(
    OR(UPPER(S432)="AIR", UPPER(S432)="CPN"), "AIR",
    UPPER(S432)="TC", "LOCAL",
    TRUE, "SEA"
)</f>
        <v>AIR</v>
      </c>
      <c r="O432" s="260">
        <f t="shared" si="36"/>
        <v>15.116015418335726</v>
      </c>
      <c r="P432" s="184" t="s">
        <v>927</v>
      </c>
      <c r="Q432" s="185">
        <v>108354116360</v>
      </c>
      <c r="R432" s="186">
        <v>46191</v>
      </c>
      <c r="S432" s="187" t="s">
        <v>928</v>
      </c>
      <c r="T432" s="188">
        <v>68.900000000000006</v>
      </c>
      <c r="U432" s="188"/>
      <c r="V432" s="189">
        <v>400000</v>
      </c>
      <c r="W432" s="190"/>
      <c r="X432" s="190"/>
      <c r="Y432" s="190"/>
      <c r="Z432" s="189">
        <f t="shared" si="39"/>
        <v>400000</v>
      </c>
      <c r="AA432" s="189">
        <v>0</v>
      </c>
      <c r="AB432" s="189">
        <f t="shared" si="41"/>
        <v>400000</v>
      </c>
      <c r="AC432" s="189"/>
      <c r="AD432" s="190"/>
      <c r="AE432" s="190"/>
      <c r="AF432" s="191">
        <f t="shared" si="37"/>
        <v>0</v>
      </c>
      <c r="AG432" s="190">
        <f t="shared" si="38"/>
        <v>400000</v>
      </c>
      <c r="AH432" s="190"/>
      <c r="AI432" s="192" t="str">
        <f>VLOOKUP(Q432,[3]Sheet1!B$11:G$1489,6,0)</f>
        <v>E11</v>
      </c>
      <c r="GK432" s="194"/>
      <c r="GL432" s="195"/>
      <c r="GM432" s="196"/>
      <c r="GN432" s="197"/>
      <c r="GO432" s="198"/>
      <c r="GP432" s="199"/>
      <c r="GQ432" s="200"/>
      <c r="GR432" s="201"/>
      <c r="GS432" s="60"/>
      <c r="GT432" s="202"/>
      <c r="GU432" s="202"/>
      <c r="GV432" s="202"/>
      <c r="GW432" s="202"/>
      <c r="GX432" s="203"/>
      <c r="HA432" s="194"/>
      <c r="HB432" s="195"/>
      <c r="HC432" s="196"/>
      <c r="HD432" s="197"/>
      <c r="HE432" s="198"/>
      <c r="HF432" s="199"/>
      <c r="HG432" s="200"/>
      <c r="HH432" s="201"/>
      <c r="HI432" s="60"/>
      <c r="HJ432" s="202"/>
      <c r="HK432" s="202"/>
      <c r="HL432" s="202"/>
      <c r="HM432" s="202"/>
      <c r="HN432" s="203"/>
    </row>
    <row r="433" spans="1:222" ht="16.5" customHeight="1">
      <c r="A433" s="181">
        <v>430</v>
      </c>
      <c r="B433" s="182">
        <v>381903937096</v>
      </c>
      <c r="C433" s="183" t="s">
        <v>2765</v>
      </c>
      <c r="D433" s="184" t="s">
        <v>952</v>
      </c>
      <c r="E433" s="184" t="str">
        <f t="shared" si="40"/>
        <v>Import</v>
      </c>
      <c r="F433" s="720" t="str" cm="1">
        <f t="array" ref="F433">_xlfn.IFS(
  OR(AI433="E11", AI433="E15"), "Raw materials",
  OR(AI433="E13", AI433="G13"), "Equipments + Toolings",
  TRUE, RIGHT(C433, 8)
)</f>
        <v>Raw materials</v>
      </c>
      <c r="G433" s="541" t="str" cm="1">
        <f t="array" ref="G433">IF(E433="Import",
  IFERROR(
    _xlfn.IFS(
      VLOOKUP(B433,[1]Material!F$5:U$90000,16,0)="LUC","Lucid",
      VLOOKUP(B433,[1]Material!F$5:U$90000,16,0)="FMC","FORD",
      OR(VLOOKUP(B433,[1]Material!F$5:U$90000,16,0)="PUR",VLOOKUP(B433,[1]Material!F$5:U$90000,16,0)="HLO"),"PURE",
      VLOOKUP(B433,[1]Material!F$5:U$90000,16,0)="AIC","AIC",
      OR(VLOOKUP(B433,[1]Material!F$5:U$90000,16,0)="AGI",VLOOKUP(B433,[1]Material!F$5:U$90000,16,0)="AGIGA"),"AGIGA",
      OR(LEFT(VLOOKUP(B433,[1]Material!F$5:U$90000,16,0),3)="EF-",VLOOKUP(B433,[1]Material!F$5:U$90000,16,0)="EFI"),"EFI",
      AND(ISNUMBER(VLOOKUP(B433,[1]Material!F$5:U$90000,16,0)),VLOOKUP(B433,[1]Material!F$5:U$90000,16,0)&gt;=100,VLOOKUP(B433,[1]Material!F$5:U$90000,16,0)&lt;=999,VLOOKUP(B433,[1]Material!F$5:U$90000,16,0)=INT(VLOOKUP(B433,[1]Material!F$5:U$90000,16,0))),"OEM",
      TRUE,""
    ),
    "không tìm thấy trong file Import"
  ),
  VLOOKUP(F433,'[2]Export shipment'!B:Y,24,0)
)</f>
        <v>Lucid</v>
      </c>
      <c r="H433" s="184"/>
      <c r="I433" s="184"/>
      <c r="J433" s="260">
        <f>(V433+X433+AA433)/'Logistics record '!$AD$1</f>
        <v>15.116015418335726</v>
      </c>
      <c r="K433" s="260">
        <f>W433/'Logistics record '!$AD$1</f>
        <v>0</v>
      </c>
      <c r="L433" s="260">
        <f>Y433/'Logistics record '!$AD$1</f>
        <v>0</v>
      </c>
      <c r="M433" s="260">
        <f>AF433/'Logistics record '!$AD$1</f>
        <v>0</v>
      </c>
      <c r="N433" s="260" t="str" cm="1">
        <f t="array" ref="N433">_xlfn.IFS(
    OR(UPPER(S433)="AIR", UPPER(S433)="CPN"), "AIR",
    UPPER(S433)="TC", "LOCAL",
    TRUE, "SEA"
)</f>
        <v>AIR</v>
      </c>
      <c r="O433" s="260">
        <f t="shared" si="36"/>
        <v>15.116015418335726</v>
      </c>
      <c r="P433" s="184" t="s">
        <v>931</v>
      </c>
      <c r="Q433" s="185">
        <v>108354360220</v>
      </c>
      <c r="R433" s="186">
        <v>46192</v>
      </c>
      <c r="S433" s="187" t="s">
        <v>928</v>
      </c>
      <c r="T433" s="188">
        <v>0.70000000000000007</v>
      </c>
      <c r="U433" s="188"/>
      <c r="V433" s="189">
        <v>400000</v>
      </c>
      <c r="W433" s="190"/>
      <c r="X433" s="190"/>
      <c r="Y433" s="190"/>
      <c r="Z433" s="189">
        <f t="shared" si="39"/>
        <v>400000</v>
      </c>
      <c r="AA433" s="189">
        <v>0</v>
      </c>
      <c r="AB433" s="189">
        <f t="shared" si="41"/>
        <v>400000</v>
      </c>
      <c r="AC433" s="189"/>
      <c r="AD433" s="190"/>
      <c r="AE433" s="190"/>
      <c r="AF433" s="191">
        <f t="shared" si="37"/>
        <v>0</v>
      </c>
      <c r="AG433" s="190">
        <f t="shared" si="38"/>
        <v>400000</v>
      </c>
      <c r="AH433" s="190"/>
      <c r="AI433" s="192" t="str">
        <f>VLOOKUP(Q433,[3]Sheet1!B$11:G$1489,6,0)</f>
        <v>E11</v>
      </c>
      <c r="GK433" s="194"/>
      <c r="GL433" s="195"/>
      <c r="GM433" s="196"/>
      <c r="GN433" s="197"/>
      <c r="GO433" s="198"/>
      <c r="GP433" s="199"/>
      <c r="GQ433" s="200"/>
      <c r="GR433" s="201"/>
      <c r="GS433" s="60"/>
      <c r="GT433" s="202"/>
      <c r="GU433" s="202"/>
      <c r="GV433" s="202"/>
      <c r="GW433" s="202"/>
      <c r="GX433" s="203"/>
      <c r="HA433" s="194"/>
      <c r="HB433" s="195"/>
      <c r="HC433" s="196"/>
      <c r="HD433" s="197"/>
      <c r="HE433" s="198"/>
      <c r="HF433" s="199"/>
      <c r="HG433" s="200"/>
      <c r="HH433" s="201"/>
      <c r="HI433" s="60"/>
      <c r="HJ433" s="202"/>
      <c r="HK433" s="202"/>
      <c r="HL433" s="202"/>
      <c r="HM433" s="202"/>
      <c r="HN433" s="203"/>
    </row>
    <row r="434" spans="1:222" ht="16.5" customHeight="1">
      <c r="A434" s="181">
        <v>431</v>
      </c>
      <c r="B434" s="182">
        <v>381950432431</v>
      </c>
      <c r="C434" s="183" t="s">
        <v>2766</v>
      </c>
      <c r="D434" s="184" t="s">
        <v>1702</v>
      </c>
      <c r="E434" s="184" t="str">
        <f t="shared" si="40"/>
        <v>Import</v>
      </c>
      <c r="F434" s="720" t="str" cm="1">
        <f t="array" ref="F434">_xlfn.IFS(
  OR(AI434="E11", AI434="E15"), "Raw materials",
  OR(AI434="E13", AI434="G13"), "Equipments + Toolings",
  TRUE, RIGHT(C434, 8)
)</f>
        <v>Raw materials</v>
      </c>
      <c r="G434" s="541" t="str" cm="1">
        <f t="array" ref="G434">IF(E434="Import",
  IFERROR(
    _xlfn.IFS(
      VLOOKUP(B434,[1]Material!F$5:U$90000,16,0)="LUC","Lucid",
      VLOOKUP(B434,[1]Material!F$5:U$90000,16,0)="FMC","FORD",
      OR(VLOOKUP(B434,[1]Material!F$5:U$90000,16,0)="PUR",VLOOKUP(B434,[1]Material!F$5:U$90000,16,0)="HLO"),"PURE",
      VLOOKUP(B434,[1]Material!F$5:U$90000,16,0)="AIC","AIC",
      OR(VLOOKUP(B434,[1]Material!F$5:U$90000,16,0)="AGI",VLOOKUP(B434,[1]Material!F$5:U$90000,16,0)="AGIGA"),"AGIGA",
      OR(LEFT(VLOOKUP(B434,[1]Material!F$5:U$90000,16,0),3)="EF-",VLOOKUP(B434,[1]Material!F$5:U$90000,16,0)="EFI"),"EFI",
      AND(ISNUMBER(VLOOKUP(B434,[1]Material!F$5:U$90000,16,0)),VLOOKUP(B434,[1]Material!F$5:U$90000,16,0)&gt;=100,VLOOKUP(B434,[1]Material!F$5:U$90000,16,0)&lt;=999,VLOOKUP(B434,[1]Material!F$5:U$90000,16,0)=INT(VLOOKUP(B434,[1]Material!F$5:U$90000,16,0))),"OEM",
      TRUE,""
    ),
    "không tìm thấy trong file Import"
  ),
  VLOOKUP(F434,'[2]Export shipment'!B:Y,24,0)
)</f>
        <v>PURE</v>
      </c>
      <c r="H434" s="184"/>
      <c r="I434" s="184"/>
      <c r="J434" s="260">
        <f>(V434+X434+AA434)/'Logistics record '!$AD$1</f>
        <v>15.116015418335726</v>
      </c>
      <c r="K434" s="260">
        <f>W434/'Logistics record '!$AD$1</f>
        <v>0</v>
      </c>
      <c r="L434" s="260">
        <f>Y434/'Logistics record '!$AD$1</f>
        <v>0</v>
      </c>
      <c r="M434" s="260">
        <f>AF434/'Logistics record '!$AD$1</f>
        <v>0</v>
      </c>
      <c r="N434" s="260" t="str" cm="1">
        <f t="array" ref="N434">_xlfn.IFS(
    OR(UPPER(S434)="AIR", UPPER(S434)="CPN"), "AIR",
    UPPER(S434)="TC", "LOCAL",
    TRUE, "SEA"
)</f>
        <v>AIR</v>
      </c>
      <c r="O434" s="260">
        <f t="shared" si="36"/>
        <v>15.116015418335726</v>
      </c>
      <c r="P434" s="184" t="s">
        <v>937</v>
      </c>
      <c r="Q434" s="185">
        <v>108354406900</v>
      </c>
      <c r="R434" s="186">
        <v>46191</v>
      </c>
      <c r="S434" s="187" t="s">
        <v>928</v>
      </c>
      <c r="T434" s="188">
        <v>7.1</v>
      </c>
      <c r="U434" s="188"/>
      <c r="V434" s="189">
        <v>400000</v>
      </c>
      <c r="W434" s="190"/>
      <c r="X434" s="190"/>
      <c r="Y434" s="190"/>
      <c r="Z434" s="189">
        <f t="shared" si="39"/>
        <v>400000</v>
      </c>
      <c r="AA434" s="189">
        <v>0</v>
      </c>
      <c r="AB434" s="189">
        <f t="shared" si="41"/>
        <v>400000</v>
      </c>
      <c r="AC434" s="189"/>
      <c r="AD434" s="190"/>
      <c r="AE434" s="190"/>
      <c r="AF434" s="191">
        <f t="shared" si="37"/>
        <v>0</v>
      </c>
      <c r="AG434" s="190">
        <f t="shared" si="38"/>
        <v>400000</v>
      </c>
      <c r="AH434" s="190"/>
      <c r="AI434" s="192" t="str">
        <f>VLOOKUP(Q434,[3]Sheet1!B$11:G$1489,6,0)</f>
        <v>E11</v>
      </c>
      <c r="GK434" s="194"/>
      <c r="GL434" s="195"/>
      <c r="GM434" s="196"/>
      <c r="GN434" s="197"/>
      <c r="GO434" s="198"/>
      <c r="GP434" s="199"/>
      <c r="GQ434" s="200"/>
      <c r="GR434" s="201"/>
      <c r="GS434" s="60"/>
      <c r="GT434" s="202"/>
      <c r="GU434" s="202"/>
      <c r="GV434" s="202"/>
      <c r="GW434" s="202"/>
      <c r="GX434" s="203"/>
      <c r="HA434" s="194"/>
      <c r="HB434" s="195"/>
      <c r="HC434" s="196"/>
      <c r="HD434" s="197"/>
      <c r="HE434" s="198"/>
      <c r="HF434" s="199"/>
      <c r="HG434" s="200"/>
      <c r="HH434" s="201"/>
      <c r="HI434" s="60"/>
      <c r="HJ434" s="202"/>
      <c r="HK434" s="202"/>
      <c r="HL434" s="202"/>
      <c r="HM434" s="202"/>
      <c r="HN434" s="203"/>
    </row>
    <row r="435" spans="1:222" ht="16.5" customHeight="1">
      <c r="A435" s="181">
        <v>432</v>
      </c>
      <c r="B435" s="182">
        <v>493602848368</v>
      </c>
      <c r="C435" s="183" t="s">
        <v>2767</v>
      </c>
      <c r="D435" s="184" t="s">
        <v>2768</v>
      </c>
      <c r="E435" s="184" t="str">
        <f t="shared" si="40"/>
        <v>Import</v>
      </c>
      <c r="F435" s="720" t="str" cm="1">
        <f t="array" ref="F435">_xlfn.IFS(
  OR(AI435="E11", AI435="E15"), "Raw materials",
  OR(AI435="E13", AI435="G13"), "Equipments + Toolings",
  TRUE, RIGHT(C435, 8)
)</f>
        <v>Raw materials</v>
      </c>
      <c r="G435" s="541" t="str" cm="1">
        <f t="array" ref="G435">IF(E435="Import",
  IFERROR(
    _xlfn.IFS(
      VLOOKUP(B435,[1]Material!F$5:U$90000,16,0)="LUC","Lucid",
      VLOOKUP(B435,[1]Material!F$5:U$90000,16,0)="FMC","FORD",
      OR(VLOOKUP(B435,[1]Material!F$5:U$90000,16,0)="PUR",VLOOKUP(B435,[1]Material!F$5:U$90000,16,0)="HLO"),"PURE",
      VLOOKUP(B435,[1]Material!F$5:U$90000,16,0)="AIC","AIC",
      OR(VLOOKUP(B435,[1]Material!F$5:U$90000,16,0)="AGI",VLOOKUP(B435,[1]Material!F$5:U$90000,16,0)="AGIGA"),"AGIGA",
      OR(LEFT(VLOOKUP(B435,[1]Material!F$5:U$90000,16,0),3)="EF-",VLOOKUP(B435,[1]Material!F$5:U$90000,16,0)="EFI"),"EFI",
      AND(ISNUMBER(VLOOKUP(B435,[1]Material!F$5:U$90000,16,0)),VLOOKUP(B435,[1]Material!F$5:U$90000,16,0)&gt;=100,VLOOKUP(B435,[1]Material!F$5:U$90000,16,0)&lt;=999,VLOOKUP(B435,[1]Material!F$5:U$90000,16,0)=INT(VLOOKUP(B435,[1]Material!F$5:U$90000,16,0))),"OEM",
      TRUE,""
    ),
    "không tìm thấy trong file Import"
  ),
  VLOOKUP(F435,'[2]Export shipment'!B:Y,24,0)
)</f>
        <v>EFI</v>
      </c>
      <c r="H435" s="184"/>
      <c r="I435" s="184"/>
      <c r="J435" s="260">
        <f>(V435+X435+AA435)/'Logistics record '!$AD$1</f>
        <v>15.116015418335726</v>
      </c>
      <c r="K435" s="260">
        <f>W435/'Logistics record '!$AD$1</f>
        <v>0</v>
      </c>
      <c r="L435" s="260">
        <f>Y435/'Logistics record '!$AD$1</f>
        <v>0</v>
      </c>
      <c r="M435" s="260">
        <f>AF435/'Logistics record '!$AD$1</f>
        <v>0</v>
      </c>
      <c r="N435" s="260" t="str" cm="1">
        <f t="array" ref="N435">_xlfn.IFS(
    OR(UPPER(S435)="AIR", UPPER(S435)="CPN"), "AIR",
    UPPER(S435)="TC", "LOCAL",
    TRUE, "SEA"
)</f>
        <v>AIR</v>
      </c>
      <c r="O435" s="260">
        <f t="shared" si="36"/>
        <v>15.116015418335726</v>
      </c>
      <c r="P435" s="184" t="s">
        <v>935</v>
      </c>
      <c r="Q435" s="185">
        <v>108354449450</v>
      </c>
      <c r="R435" s="186">
        <v>46191</v>
      </c>
      <c r="S435" s="187" t="s">
        <v>928</v>
      </c>
      <c r="T435" s="188">
        <v>0.70000000000000007</v>
      </c>
      <c r="U435" s="188"/>
      <c r="V435" s="189">
        <v>400000</v>
      </c>
      <c r="W435" s="190"/>
      <c r="X435" s="190"/>
      <c r="Y435" s="190"/>
      <c r="Z435" s="189">
        <f t="shared" si="39"/>
        <v>400000</v>
      </c>
      <c r="AA435" s="189">
        <v>0</v>
      </c>
      <c r="AB435" s="189">
        <f t="shared" si="41"/>
        <v>400000</v>
      </c>
      <c r="AC435" s="189"/>
      <c r="AD435" s="190"/>
      <c r="AE435" s="190"/>
      <c r="AF435" s="191">
        <f t="shared" si="37"/>
        <v>0</v>
      </c>
      <c r="AG435" s="190">
        <f t="shared" si="38"/>
        <v>400000</v>
      </c>
      <c r="AH435" s="190"/>
      <c r="AI435" s="192" t="str">
        <f>VLOOKUP(Q435,[3]Sheet1!B$11:G$1489,6,0)</f>
        <v>E11</v>
      </c>
      <c r="GK435" s="194"/>
      <c r="GL435" s="195"/>
      <c r="GM435" s="196"/>
      <c r="GN435" s="197"/>
      <c r="GO435" s="198"/>
      <c r="GP435" s="199"/>
      <c r="GQ435" s="200"/>
      <c r="GR435" s="201"/>
      <c r="GS435" s="60"/>
      <c r="GT435" s="202"/>
      <c r="GU435" s="202"/>
      <c r="GV435" s="202"/>
      <c r="GW435" s="202"/>
      <c r="GX435" s="203"/>
      <c r="HA435" s="194"/>
      <c r="HB435" s="195"/>
      <c r="HC435" s="196"/>
      <c r="HD435" s="197"/>
      <c r="HE435" s="198"/>
      <c r="HF435" s="199"/>
      <c r="HG435" s="200"/>
      <c r="HH435" s="201"/>
      <c r="HI435" s="60"/>
      <c r="HJ435" s="202"/>
      <c r="HK435" s="202"/>
      <c r="HL435" s="202"/>
      <c r="HM435" s="202"/>
      <c r="HN435" s="203"/>
    </row>
    <row r="436" spans="1:222" ht="16.5" customHeight="1">
      <c r="A436" s="181">
        <v>433</v>
      </c>
      <c r="B436" s="182">
        <v>873128715288</v>
      </c>
      <c r="C436" s="183" t="s">
        <v>2769</v>
      </c>
      <c r="D436" s="184" t="s">
        <v>811</v>
      </c>
      <c r="E436" s="184" t="str">
        <f t="shared" si="40"/>
        <v>Import</v>
      </c>
      <c r="F436" s="720" t="str" cm="1">
        <f t="array" ref="F436">_xlfn.IFS(
  OR(AI436="E11", AI436="E15"), "Raw materials",
  OR(AI436="E13", AI436="G13"), "Equipments + Toolings",
  TRUE, RIGHT(C436, 8)
)</f>
        <v>Raw materials</v>
      </c>
      <c r="G436" s="541" t="str" cm="1">
        <f t="array" ref="G436">IF(E436="Import",
  IFERROR(
    _xlfn.IFS(
      VLOOKUP(B436,[1]Material!F$5:U$90000,16,0)="LUC","Lucid",
      VLOOKUP(B436,[1]Material!F$5:U$90000,16,0)="FMC","FORD",
      OR(VLOOKUP(B436,[1]Material!F$5:U$90000,16,0)="PUR",VLOOKUP(B436,[1]Material!F$5:U$90000,16,0)="HLO"),"PURE",
      VLOOKUP(B436,[1]Material!F$5:U$90000,16,0)="AIC","AIC",
      OR(VLOOKUP(B436,[1]Material!F$5:U$90000,16,0)="AGI",VLOOKUP(B436,[1]Material!F$5:U$90000,16,0)="AGIGA"),"AGIGA",
      OR(LEFT(VLOOKUP(B436,[1]Material!F$5:U$90000,16,0),3)="EF-",VLOOKUP(B436,[1]Material!F$5:U$90000,16,0)="EFI"),"EFI",
      AND(ISNUMBER(VLOOKUP(B436,[1]Material!F$5:U$90000,16,0)),VLOOKUP(B436,[1]Material!F$5:U$90000,16,0)&gt;=100,VLOOKUP(B436,[1]Material!F$5:U$90000,16,0)&lt;=999,VLOOKUP(B436,[1]Material!F$5:U$90000,16,0)=INT(VLOOKUP(B436,[1]Material!F$5:U$90000,16,0))),"OEM",
      TRUE,""
    ),
    "không tìm thấy trong file Import"
  ),
  VLOOKUP(F436,'[2]Export shipment'!B:Y,24,0)
)</f>
        <v>PURE</v>
      </c>
      <c r="H436" s="184"/>
      <c r="I436" s="184"/>
      <c r="J436" s="260">
        <f>(V436+X436+AA436)/'Logistics record '!$AD$1</f>
        <v>15.116015418335726</v>
      </c>
      <c r="K436" s="260">
        <f>W436/'Logistics record '!$AD$1</f>
        <v>0</v>
      </c>
      <c r="L436" s="260">
        <f>Y436/'Logistics record '!$AD$1</f>
        <v>0</v>
      </c>
      <c r="M436" s="260">
        <f>AF436/'Logistics record '!$AD$1</f>
        <v>0</v>
      </c>
      <c r="N436" s="260" t="str" cm="1">
        <f t="array" ref="N436">_xlfn.IFS(
    OR(UPPER(S436)="AIR", UPPER(S436)="CPN"), "AIR",
    UPPER(S436)="TC", "LOCAL",
    TRUE, "SEA"
)</f>
        <v>AIR</v>
      </c>
      <c r="O436" s="260">
        <f t="shared" si="36"/>
        <v>15.116015418335726</v>
      </c>
      <c r="P436" s="184" t="s">
        <v>927</v>
      </c>
      <c r="Q436" s="185">
        <v>108354467100</v>
      </c>
      <c r="R436" s="186">
        <v>46191</v>
      </c>
      <c r="S436" s="187" t="s">
        <v>928</v>
      </c>
      <c r="T436" s="188">
        <v>44.3</v>
      </c>
      <c r="U436" s="188"/>
      <c r="V436" s="189">
        <v>400000</v>
      </c>
      <c r="W436" s="190"/>
      <c r="X436" s="190"/>
      <c r="Y436" s="190"/>
      <c r="Z436" s="189">
        <f t="shared" si="39"/>
        <v>400000</v>
      </c>
      <c r="AA436" s="189">
        <v>0</v>
      </c>
      <c r="AB436" s="189">
        <f t="shared" si="41"/>
        <v>400000</v>
      </c>
      <c r="AC436" s="189"/>
      <c r="AD436" s="190"/>
      <c r="AE436" s="190"/>
      <c r="AF436" s="191">
        <f t="shared" si="37"/>
        <v>0</v>
      </c>
      <c r="AG436" s="190">
        <f t="shared" si="38"/>
        <v>400000</v>
      </c>
      <c r="AH436" s="190"/>
      <c r="AI436" s="192" t="str">
        <f>VLOOKUP(Q436,[3]Sheet1!B$11:G$1489,6,0)</f>
        <v>E11</v>
      </c>
      <c r="GK436" s="194"/>
      <c r="GL436" s="195"/>
      <c r="GM436" s="196"/>
      <c r="GN436" s="197"/>
      <c r="GO436" s="198"/>
      <c r="GP436" s="199"/>
      <c r="GQ436" s="200"/>
      <c r="GR436" s="201"/>
      <c r="GS436" s="60"/>
      <c r="GT436" s="202"/>
      <c r="GU436" s="202"/>
      <c r="GV436" s="202"/>
      <c r="GW436" s="202"/>
      <c r="GX436" s="203"/>
      <c r="HA436" s="194"/>
      <c r="HB436" s="195"/>
      <c r="HC436" s="196"/>
      <c r="HD436" s="197"/>
      <c r="HE436" s="198"/>
      <c r="HF436" s="199"/>
      <c r="HG436" s="200"/>
      <c r="HH436" s="201"/>
      <c r="HI436" s="60"/>
      <c r="HJ436" s="202"/>
      <c r="HK436" s="202"/>
      <c r="HL436" s="202"/>
      <c r="HM436" s="202"/>
      <c r="HN436" s="203"/>
    </row>
    <row r="437" spans="1:222" ht="16.5" customHeight="1">
      <c r="A437" s="181">
        <v>434</v>
      </c>
      <c r="B437" s="182">
        <v>382006139168</v>
      </c>
      <c r="C437" s="183" t="s">
        <v>2770</v>
      </c>
      <c r="D437" s="184" t="s">
        <v>1702</v>
      </c>
      <c r="E437" s="184" t="str">
        <f t="shared" si="40"/>
        <v>Import</v>
      </c>
      <c r="F437" s="720" t="str" cm="1">
        <f t="array" ref="F437">_xlfn.IFS(
  OR(AI437="E11", AI437="E15"), "Raw materials",
  OR(AI437="E13", AI437="G13"), "Equipments + Toolings",
  TRUE, RIGHT(C437, 8)
)</f>
        <v>Raw materials</v>
      </c>
      <c r="G437" s="541" t="str" cm="1">
        <f t="array" ref="G437">IF(E437="Import",
  IFERROR(
    _xlfn.IFS(
      VLOOKUP(B437,[1]Material!F$5:U$90000,16,0)="LUC","Lucid",
      VLOOKUP(B437,[1]Material!F$5:U$90000,16,0)="FMC","FORD",
      OR(VLOOKUP(B437,[1]Material!F$5:U$90000,16,0)="PUR",VLOOKUP(B437,[1]Material!F$5:U$90000,16,0)="HLO"),"PURE",
      VLOOKUP(B437,[1]Material!F$5:U$90000,16,0)="AIC","AIC",
      OR(VLOOKUP(B437,[1]Material!F$5:U$90000,16,0)="AGI",VLOOKUP(B437,[1]Material!F$5:U$90000,16,0)="AGIGA"),"AGIGA",
      OR(LEFT(VLOOKUP(B437,[1]Material!F$5:U$90000,16,0),3)="EF-",VLOOKUP(B437,[1]Material!F$5:U$90000,16,0)="EFI"),"EFI",
      AND(ISNUMBER(VLOOKUP(B437,[1]Material!F$5:U$90000,16,0)),VLOOKUP(B437,[1]Material!F$5:U$90000,16,0)&gt;=100,VLOOKUP(B437,[1]Material!F$5:U$90000,16,0)&lt;=999,VLOOKUP(B437,[1]Material!F$5:U$90000,16,0)=INT(VLOOKUP(B437,[1]Material!F$5:U$90000,16,0))),"OEM",
      TRUE,""
    ),
    "không tìm thấy trong file Import"
  ),
  VLOOKUP(F437,'[2]Export shipment'!B:Y,24,0)
)</f>
        <v>PURE</v>
      </c>
      <c r="H437" s="184"/>
      <c r="I437" s="184"/>
      <c r="J437" s="260">
        <f>(V437+X437+AA437)/'Logistics record '!$AD$1</f>
        <v>15.116015418335726</v>
      </c>
      <c r="K437" s="260">
        <f>W437/'Logistics record '!$AD$1</f>
        <v>0</v>
      </c>
      <c r="L437" s="260">
        <f>Y437/'Logistics record '!$AD$1</f>
        <v>0</v>
      </c>
      <c r="M437" s="260">
        <f>AF437/'Logistics record '!$AD$1</f>
        <v>0</v>
      </c>
      <c r="N437" s="260" t="str" cm="1">
        <f t="array" ref="N437">_xlfn.IFS(
    OR(UPPER(S437)="AIR", UPPER(S437)="CPN"), "AIR",
    UPPER(S437)="TC", "LOCAL",
    TRUE, "SEA"
)</f>
        <v>AIR</v>
      </c>
      <c r="O437" s="260">
        <f t="shared" si="36"/>
        <v>15.116015418335726</v>
      </c>
      <c r="P437" s="184" t="s">
        <v>937</v>
      </c>
      <c r="Q437" s="185">
        <v>108354506410</v>
      </c>
      <c r="R437" s="186">
        <v>46191</v>
      </c>
      <c r="S437" s="187" t="s">
        <v>928</v>
      </c>
      <c r="T437" s="188">
        <v>5.5</v>
      </c>
      <c r="U437" s="188"/>
      <c r="V437" s="189">
        <v>400000</v>
      </c>
      <c r="W437" s="190"/>
      <c r="X437" s="190"/>
      <c r="Y437" s="190"/>
      <c r="Z437" s="189">
        <f t="shared" si="39"/>
        <v>400000</v>
      </c>
      <c r="AA437" s="189">
        <v>0</v>
      </c>
      <c r="AB437" s="189">
        <f t="shared" si="41"/>
        <v>400000</v>
      </c>
      <c r="AC437" s="189"/>
      <c r="AD437" s="190"/>
      <c r="AE437" s="190"/>
      <c r="AF437" s="191">
        <f t="shared" si="37"/>
        <v>0</v>
      </c>
      <c r="AG437" s="190">
        <f t="shared" si="38"/>
        <v>400000</v>
      </c>
      <c r="AH437" s="190"/>
      <c r="AI437" s="192" t="str">
        <f>VLOOKUP(Q437,[3]Sheet1!B$11:G$1489,6,0)</f>
        <v>E11</v>
      </c>
      <c r="GK437" s="194"/>
      <c r="GL437" s="195"/>
      <c r="GM437" s="196"/>
      <c r="GN437" s="197"/>
      <c r="GO437" s="198"/>
      <c r="GP437" s="199"/>
      <c r="GQ437" s="200"/>
      <c r="GR437" s="201"/>
      <c r="GS437" s="60"/>
      <c r="GT437" s="202"/>
      <c r="GU437" s="202"/>
      <c r="GV437" s="202"/>
      <c r="GW437" s="202"/>
      <c r="GX437" s="203"/>
      <c r="HA437" s="194"/>
      <c r="HB437" s="195"/>
      <c r="HC437" s="196"/>
      <c r="HD437" s="197"/>
      <c r="HE437" s="198"/>
      <c r="HF437" s="199"/>
      <c r="HG437" s="200"/>
      <c r="HH437" s="201"/>
      <c r="HI437" s="60"/>
      <c r="HJ437" s="202"/>
      <c r="HK437" s="202"/>
      <c r="HL437" s="202"/>
      <c r="HM437" s="202"/>
      <c r="HN437" s="203"/>
    </row>
    <row r="438" spans="1:222" ht="16.5" customHeight="1">
      <c r="A438" s="181">
        <v>435</v>
      </c>
      <c r="B438" s="182">
        <v>873058145825</v>
      </c>
      <c r="C438" s="183" t="s">
        <v>2771</v>
      </c>
      <c r="D438" s="184" t="s">
        <v>807</v>
      </c>
      <c r="E438" s="184" t="str">
        <f t="shared" si="40"/>
        <v>Import</v>
      </c>
      <c r="F438" s="720" t="str" cm="1">
        <f t="array" ref="F438">_xlfn.IFS(
  OR(AI438="E11", AI438="E15"), "Raw materials",
  OR(AI438="E13", AI438="G13"), "Equipments + Toolings",
  TRUE, RIGHT(C438, 8)
)</f>
        <v>Raw materials</v>
      </c>
      <c r="G438" s="541" t="str" cm="1">
        <f t="array" ref="G438">IF(E438="Import",
  IFERROR(
    _xlfn.IFS(
      VLOOKUP(B438,[1]Material!F$5:U$90000,16,0)="LUC","Lucid",
      VLOOKUP(B438,[1]Material!F$5:U$90000,16,0)="FMC","FORD",
      OR(VLOOKUP(B438,[1]Material!F$5:U$90000,16,0)="PUR",VLOOKUP(B438,[1]Material!F$5:U$90000,16,0)="HLO"),"PURE",
      VLOOKUP(B438,[1]Material!F$5:U$90000,16,0)="AIC","AIC",
      OR(VLOOKUP(B438,[1]Material!F$5:U$90000,16,0)="AGI",VLOOKUP(B438,[1]Material!F$5:U$90000,16,0)="AGIGA"),"AGIGA",
      OR(LEFT(VLOOKUP(B438,[1]Material!F$5:U$90000,16,0),3)="EF-",VLOOKUP(B438,[1]Material!F$5:U$90000,16,0)="EFI"),"EFI",
      AND(ISNUMBER(VLOOKUP(B438,[1]Material!F$5:U$90000,16,0)),VLOOKUP(B438,[1]Material!F$5:U$90000,16,0)&gt;=100,VLOOKUP(B438,[1]Material!F$5:U$90000,16,0)&lt;=999,VLOOKUP(B438,[1]Material!F$5:U$90000,16,0)=INT(VLOOKUP(B438,[1]Material!F$5:U$90000,16,0))),"OEM",
      TRUE,""
    ),
    "không tìm thấy trong file Import"
  ),
  VLOOKUP(F438,'[2]Export shipment'!B:Y,24,0)
)</f>
        <v>PURE</v>
      </c>
      <c r="H438" s="184"/>
      <c r="I438" s="184"/>
      <c r="J438" s="260">
        <f>(V438+X438+AA438)/'Logistics record '!$AD$1</f>
        <v>15.116015418335726</v>
      </c>
      <c r="K438" s="260">
        <f>W438/'Logistics record '!$AD$1</f>
        <v>0</v>
      </c>
      <c r="L438" s="260">
        <f>Y438/'Logistics record '!$AD$1</f>
        <v>0</v>
      </c>
      <c r="M438" s="260">
        <f>AF438/'Logistics record '!$AD$1</f>
        <v>0</v>
      </c>
      <c r="N438" s="260" t="str" cm="1">
        <f t="array" ref="N438">_xlfn.IFS(
    OR(UPPER(S438)="AIR", UPPER(S438)="CPN"), "AIR",
    UPPER(S438)="TC", "LOCAL",
    TRUE, "SEA"
)</f>
        <v>AIR</v>
      </c>
      <c r="O438" s="260">
        <f t="shared" si="36"/>
        <v>15.116015418335726</v>
      </c>
      <c r="P438" s="184" t="s">
        <v>937</v>
      </c>
      <c r="Q438" s="185">
        <v>108354576740</v>
      </c>
      <c r="R438" s="186">
        <v>46191</v>
      </c>
      <c r="S438" s="187" t="s">
        <v>928</v>
      </c>
      <c r="T438" s="188">
        <v>39.9</v>
      </c>
      <c r="U438" s="188"/>
      <c r="V438" s="189">
        <v>400000</v>
      </c>
      <c r="W438" s="190"/>
      <c r="X438" s="190"/>
      <c r="Y438" s="190"/>
      <c r="Z438" s="189">
        <f t="shared" si="39"/>
        <v>400000</v>
      </c>
      <c r="AA438" s="189">
        <v>0</v>
      </c>
      <c r="AB438" s="189">
        <f t="shared" si="41"/>
        <v>400000</v>
      </c>
      <c r="AC438" s="189"/>
      <c r="AD438" s="190"/>
      <c r="AE438" s="190"/>
      <c r="AF438" s="191">
        <f t="shared" si="37"/>
        <v>0</v>
      </c>
      <c r="AG438" s="190">
        <f t="shared" si="38"/>
        <v>400000</v>
      </c>
      <c r="AH438" s="190"/>
      <c r="AI438" s="192" t="str">
        <f>VLOOKUP(Q438,[3]Sheet1!B$11:G$1489,6,0)</f>
        <v>E11</v>
      </c>
      <c r="GK438" s="194"/>
      <c r="GL438" s="195"/>
      <c r="GM438" s="196"/>
      <c r="GN438" s="197"/>
      <c r="GO438" s="198"/>
      <c r="GP438" s="199"/>
      <c r="GQ438" s="200"/>
      <c r="GR438" s="201"/>
      <c r="GS438" s="60"/>
      <c r="GT438" s="202"/>
      <c r="GU438" s="202"/>
      <c r="GV438" s="202"/>
      <c r="GW438" s="202"/>
      <c r="GX438" s="203"/>
      <c r="HA438" s="194"/>
      <c r="HB438" s="195"/>
      <c r="HC438" s="196"/>
      <c r="HD438" s="197"/>
      <c r="HE438" s="198"/>
      <c r="HF438" s="199"/>
      <c r="HG438" s="200"/>
      <c r="HH438" s="201"/>
      <c r="HI438" s="60"/>
      <c r="HJ438" s="202"/>
      <c r="HK438" s="202"/>
      <c r="HL438" s="202"/>
      <c r="HM438" s="202"/>
      <c r="HN438" s="203"/>
    </row>
    <row r="439" spans="1:222" ht="16.5" customHeight="1">
      <c r="A439" s="181">
        <v>436</v>
      </c>
      <c r="B439" s="182" t="s">
        <v>2772</v>
      </c>
      <c r="C439" s="183" t="s">
        <v>2773</v>
      </c>
      <c r="D439" s="184" t="s">
        <v>1328</v>
      </c>
      <c r="E439" s="184" t="str">
        <f t="shared" si="40"/>
        <v>Import</v>
      </c>
      <c r="F439" s="720" t="str" cm="1">
        <f t="array" ref="F439">_xlfn.IFS(
  OR(AI439="E11", AI439="E15"), "Raw materials",
  OR(AI439="E13", AI439="G13"), "Equipments + Toolings",
  TRUE, RIGHT(C439, 8)
)</f>
        <v>Raw materials</v>
      </c>
      <c r="G439" s="541" t="str" cm="1">
        <f t="array" ref="G439">IF(E439="Import",
  IFERROR(
    _xlfn.IFS(
      VLOOKUP(B439,[1]Material!F$5:U$90000,16,0)="LUC","Lucid",
      VLOOKUP(B439,[1]Material!F$5:U$90000,16,0)="FMC","FORD",
      OR(VLOOKUP(B439,[1]Material!F$5:U$90000,16,0)="PUR",VLOOKUP(B439,[1]Material!F$5:U$90000,16,0)="HLO"),"PURE",
      VLOOKUP(B439,[1]Material!F$5:U$90000,16,0)="AIC","AIC",
      OR(VLOOKUP(B439,[1]Material!F$5:U$90000,16,0)="AGI",VLOOKUP(B439,[1]Material!F$5:U$90000,16,0)="AGIGA"),"AGIGA",
      OR(LEFT(VLOOKUP(B439,[1]Material!F$5:U$90000,16,0),3)="EF-",VLOOKUP(B439,[1]Material!F$5:U$90000,16,0)="EFI"),"EFI",
      AND(ISNUMBER(VLOOKUP(B439,[1]Material!F$5:U$90000,16,0)),VLOOKUP(B439,[1]Material!F$5:U$90000,16,0)&gt;=100,VLOOKUP(B439,[1]Material!F$5:U$90000,16,0)&lt;=999,VLOOKUP(B439,[1]Material!F$5:U$90000,16,0)=INT(VLOOKUP(B439,[1]Material!F$5:U$90000,16,0))),"OEM",
      TRUE,""
    ),
    "không tìm thấy trong file Import"
  ),
  VLOOKUP(F439,'[2]Export shipment'!B:Y,24,0)
)</f>
        <v>PURE</v>
      </c>
      <c r="H439" s="184" t="e">
        <f>VLOOKUP(B439,[4]Export!I$3627:J$3898,2,0)</f>
        <v>#N/A</v>
      </c>
      <c r="I439" s="184" t="s">
        <v>2089</v>
      </c>
      <c r="J439" s="260">
        <f>(V439+X439+AA439)/'Logistics record '!$AD$1</f>
        <v>15.116015418335726</v>
      </c>
      <c r="K439" s="260">
        <f>W439/'Logistics record '!$AD$1</f>
        <v>0</v>
      </c>
      <c r="L439" s="260">
        <f>Y439/'Logistics record '!$AD$1</f>
        <v>0</v>
      </c>
      <c r="M439" s="260">
        <f>AF439/'Logistics record '!$AD$1</f>
        <v>60.750510165520367</v>
      </c>
      <c r="N439" s="260" t="str" cm="1">
        <f t="array" ref="N439">_xlfn.IFS(
    OR(UPPER(S439)="AIR", UPPER(S439)="CPN"), "AIR",
    UPPER(S439)="TC", "LOCAL",
    TRUE, "SEA"
)</f>
        <v>AIR</v>
      </c>
      <c r="O439" s="260">
        <f t="shared" si="36"/>
        <v>75.866525583856088</v>
      </c>
      <c r="P439" s="184" t="s">
        <v>949</v>
      </c>
      <c r="Q439" s="185">
        <v>108355484310</v>
      </c>
      <c r="R439" s="186">
        <v>46192</v>
      </c>
      <c r="S439" s="187" t="s">
        <v>65</v>
      </c>
      <c r="T439" s="188">
        <v>7.3</v>
      </c>
      <c r="U439" s="188"/>
      <c r="V439" s="189">
        <v>400000</v>
      </c>
      <c r="W439" s="190"/>
      <c r="X439" s="190"/>
      <c r="Y439" s="190"/>
      <c r="Z439" s="189">
        <f t="shared" si="39"/>
        <v>400000</v>
      </c>
      <c r="AA439" s="189">
        <v>0</v>
      </c>
      <c r="AB439" s="189">
        <f t="shared" si="41"/>
        <v>400000</v>
      </c>
      <c r="AC439" s="189"/>
      <c r="AD439" s="190">
        <v>1220400</v>
      </c>
      <c r="AE439" s="190">
        <v>387180</v>
      </c>
      <c r="AF439" s="191">
        <f t="shared" si="37"/>
        <v>1607580</v>
      </c>
      <c r="AG439" s="190">
        <f t="shared" si="38"/>
        <v>2007580</v>
      </c>
      <c r="AH439" s="190"/>
      <c r="AI439" s="192" t="str">
        <f>VLOOKUP(Q439,[3]Sheet1!B$11:G$1489,6,0)</f>
        <v>E11</v>
      </c>
      <c r="GK439" s="194"/>
      <c r="GL439" s="195"/>
      <c r="GM439" s="196"/>
      <c r="GN439" s="197"/>
      <c r="GO439" s="198"/>
      <c r="GP439" s="199"/>
      <c r="GQ439" s="200"/>
      <c r="GR439" s="201"/>
      <c r="GS439" s="60"/>
      <c r="GT439" s="202"/>
      <c r="GU439" s="202"/>
      <c r="GV439" s="202"/>
      <c r="GW439" s="202"/>
      <c r="GX439" s="203"/>
      <c r="HA439" s="194"/>
      <c r="HB439" s="195"/>
      <c r="HC439" s="196"/>
      <c r="HD439" s="197"/>
      <c r="HE439" s="198"/>
      <c r="HF439" s="199"/>
      <c r="HG439" s="200"/>
      <c r="HH439" s="201"/>
      <c r="HI439" s="60"/>
      <c r="HJ439" s="202"/>
      <c r="HK439" s="202"/>
      <c r="HL439" s="202"/>
      <c r="HM439" s="202"/>
      <c r="HN439" s="203"/>
    </row>
    <row r="440" spans="1:222" ht="16.5" customHeight="1">
      <c r="A440" s="181">
        <v>437</v>
      </c>
      <c r="B440" s="182" t="s">
        <v>2774</v>
      </c>
      <c r="C440" s="183" t="s">
        <v>2775</v>
      </c>
      <c r="D440" s="184" t="s">
        <v>1328</v>
      </c>
      <c r="E440" s="184" t="str">
        <f t="shared" si="40"/>
        <v>Import</v>
      </c>
      <c r="F440" s="720" t="str" cm="1">
        <f t="array" ref="F440">_xlfn.IFS(
  OR(AI440="E11", AI440="E15"), "Raw materials",
  OR(AI440="E13", AI440="G13"), "Equipments + Toolings",
  TRUE, RIGHT(C440, 8)
)</f>
        <v>Raw materials</v>
      </c>
      <c r="G440" s="541" t="str" cm="1">
        <f t="array" ref="G440">IF(E440="Import",
  IFERROR(
    _xlfn.IFS(
      VLOOKUP(B440,[1]Material!F$5:U$90000,16,0)="LUC","Lucid",
      VLOOKUP(B440,[1]Material!F$5:U$90000,16,0)="FMC","FORD",
      OR(VLOOKUP(B440,[1]Material!F$5:U$90000,16,0)="PUR",VLOOKUP(B440,[1]Material!F$5:U$90000,16,0)="HLO"),"PURE",
      VLOOKUP(B440,[1]Material!F$5:U$90000,16,0)="AIC","AIC",
      OR(VLOOKUP(B440,[1]Material!F$5:U$90000,16,0)="AGI",VLOOKUP(B440,[1]Material!F$5:U$90000,16,0)="AGIGA"),"AGIGA",
      OR(LEFT(VLOOKUP(B440,[1]Material!F$5:U$90000,16,0),3)="EF-",VLOOKUP(B440,[1]Material!F$5:U$90000,16,0)="EFI"),"EFI",
      AND(ISNUMBER(VLOOKUP(B440,[1]Material!F$5:U$90000,16,0)),VLOOKUP(B440,[1]Material!F$5:U$90000,16,0)&gt;=100,VLOOKUP(B440,[1]Material!F$5:U$90000,16,0)&lt;=999,VLOOKUP(B440,[1]Material!F$5:U$90000,16,0)=INT(VLOOKUP(B440,[1]Material!F$5:U$90000,16,0))),"OEM",
      TRUE,""
    ),
    "không tìm thấy trong file Import"
  ),
  VLOOKUP(F440,'[2]Export shipment'!B:Y,24,0)
)</f>
        <v>PURE</v>
      </c>
      <c r="H440" s="184" t="e">
        <f>VLOOKUP(B440,[4]Export!I$3627:J$3898,2,0)</f>
        <v>#N/A</v>
      </c>
      <c r="I440" s="184" t="s">
        <v>2089</v>
      </c>
      <c r="J440" s="260">
        <f>(V440+X440+AA440)/'Logistics record '!$AD$1</f>
        <v>15.116015418335726</v>
      </c>
      <c r="K440" s="260">
        <f>W440/'Logistics record '!$AD$1</f>
        <v>0</v>
      </c>
      <c r="L440" s="260">
        <f>Y440/'Logistics record '!$AD$1</f>
        <v>0</v>
      </c>
      <c r="M440" s="260">
        <f>AF440/'Logistics record '!$AD$1</f>
        <v>60.750510165520367</v>
      </c>
      <c r="N440" s="260" t="str" cm="1">
        <f t="array" ref="N440">_xlfn.IFS(
    OR(UPPER(S440)="AIR", UPPER(S440)="CPN"), "AIR",
    UPPER(S440)="TC", "LOCAL",
    TRUE, "SEA"
)</f>
        <v>AIR</v>
      </c>
      <c r="O440" s="260">
        <f t="shared" si="36"/>
        <v>75.866525583856088</v>
      </c>
      <c r="P440" s="184" t="s">
        <v>949</v>
      </c>
      <c r="Q440" s="185">
        <v>108355602350</v>
      </c>
      <c r="R440" s="186">
        <v>46192</v>
      </c>
      <c r="S440" s="187" t="s">
        <v>65</v>
      </c>
      <c r="T440" s="188">
        <v>7.3</v>
      </c>
      <c r="U440" s="188"/>
      <c r="V440" s="189">
        <v>400000</v>
      </c>
      <c r="W440" s="190"/>
      <c r="X440" s="190"/>
      <c r="Y440" s="190"/>
      <c r="Z440" s="189">
        <f t="shared" si="39"/>
        <v>400000</v>
      </c>
      <c r="AA440" s="189">
        <v>0</v>
      </c>
      <c r="AB440" s="189">
        <f t="shared" si="41"/>
        <v>400000</v>
      </c>
      <c r="AC440" s="189"/>
      <c r="AD440" s="190">
        <v>1220400</v>
      </c>
      <c r="AE440" s="190">
        <v>387180</v>
      </c>
      <c r="AF440" s="191">
        <f t="shared" si="37"/>
        <v>1607580</v>
      </c>
      <c r="AG440" s="190">
        <f t="shared" si="38"/>
        <v>2007580</v>
      </c>
      <c r="AH440" s="190"/>
      <c r="AI440" s="192" t="str">
        <f>VLOOKUP(Q440,[3]Sheet1!B$11:G$1489,6,0)</f>
        <v>E11</v>
      </c>
      <c r="GK440" s="194"/>
      <c r="GL440" s="195"/>
      <c r="GM440" s="196"/>
      <c r="GN440" s="197"/>
      <c r="GO440" s="198"/>
      <c r="GP440" s="199"/>
      <c r="GQ440" s="200"/>
      <c r="GR440" s="201"/>
      <c r="GS440" s="60"/>
      <c r="GT440" s="202"/>
      <c r="GU440" s="202"/>
      <c r="GV440" s="202"/>
      <c r="GW440" s="202"/>
      <c r="GX440" s="203"/>
      <c r="HA440" s="194"/>
      <c r="HB440" s="195"/>
      <c r="HC440" s="196"/>
      <c r="HD440" s="197"/>
      <c r="HE440" s="198"/>
      <c r="HF440" s="199"/>
      <c r="HG440" s="200"/>
      <c r="HH440" s="201"/>
      <c r="HI440" s="60"/>
      <c r="HJ440" s="202"/>
      <c r="HK440" s="202"/>
      <c r="HL440" s="202"/>
      <c r="HM440" s="202"/>
      <c r="HN440" s="203"/>
    </row>
    <row r="441" spans="1:222" ht="16.5" customHeight="1">
      <c r="A441" s="181">
        <v>438</v>
      </c>
      <c r="B441" s="182" t="s">
        <v>2776</v>
      </c>
      <c r="C441" s="183" t="s">
        <v>2777</v>
      </c>
      <c r="D441" s="184" t="s">
        <v>940</v>
      </c>
      <c r="E441" s="184" t="str">
        <f t="shared" si="40"/>
        <v>Import</v>
      </c>
      <c r="F441" s="720" t="str" cm="1">
        <f t="array" ref="F441">_xlfn.IFS(
  OR(AI441="E11", AI441="E15"), "Raw materials",
  OR(AI441="E13", AI441="G13"), "Equipments + Toolings",
  TRUE, RIGHT(C441, 8)
)</f>
        <v>Raw materials</v>
      </c>
      <c r="G441" s="541" t="str" cm="1">
        <f t="array" ref="G441">IF(E441="Import",
  IFERROR(
    _xlfn.IFS(
      VLOOKUP(B441,[1]Material!F$5:U$90000,16,0)="LUC","Lucid",
      VLOOKUP(B441,[1]Material!F$5:U$90000,16,0)="FMC","FORD",
      OR(VLOOKUP(B441,[1]Material!F$5:U$90000,16,0)="PUR",VLOOKUP(B441,[1]Material!F$5:U$90000,16,0)="HLO"),"PURE",
      VLOOKUP(B441,[1]Material!F$5:U$90000,16,0)="AIC","AIC",
      OR(VLOOKUP(B441,[1]Material!F$5:U$90000,16,0)="AGI",VLOOKUP(B441,[1]Material!F$5:U$90000,16,0)="AGIGA"),"AGIGA",
      OR(LEFT(VLOOKUP(B441,[1]Material!F$5:U$90000,16,0),3)="EF-",VLOOKUP(B441,[1]Material!F$5:U$90000,16,0)="EFI"),"EFI",
      AND(ISNUMBER(VLOOKUP(B441,[1]Material!F$5:U$90000,16,0)),VLOOKUP(B441,[1]Material!F$5:U$90000,16,0)&gt;=100,VLOOKUP(B441,[1]Material!F$5:U$90000,16,0)&lt;=999,VLOOKUP(B441,[1]Material!F$5:U$90000,16,0)=INT(VLOOKUP(B441,[1]Material!F$5:U$90000,16,0))),"OEM",
      TRUE,""
    ),
    "không tìm thấy trong file Import"
  ),
  VLOOKUP(F441,'[2]Export shipment'!B:Y,24,0)
)</f>
        <v>PURE</v>
      </c>
      <c r="H441" s="184" t="e">
        <f>VLOOKUP(B441,[4]Export!I$3627:J$3898,2,0)</f>
        <v>#N/A</v>
      </c>
      <c r="I441" s="184" t="s">
        <v>2089</v>
      </c>
      <c r="J441" s="260">
        <f>(V441+X441+AA441)/'Logistics record '!$AD$1</f>
        <v>15.116015418335726</v>
      </c>
      <c r="K441" s="260">
        <f>W441/'Logistics record '!$AD$1</f>
        <v>0</v>
      </c>
      <c r="L441" s="260">
        <f>Y441/'Logistics record '!$AD$1</f>
        <v>0</v>
      </c>
      <c r="M441" s="260">
        <f>AF441/'Logistics record '!$AD$1</f>
        <v>60.750510165520367</v>
      </c>
      <c r="N441" s="260" t="str" cm="1">
        <f t="array" ref="N441">_xlfn.IFS(
    OR(UPPER(S441)="AIR", UPPER(S441)="CPN"), "AIR",
    UPPER(S441)="TC", "LOCAL",
    TRUE, "SEA"
)</f>
        <v>AIR</v>
      </c>
      <c r="O441" s="260">
        <f t="shared" si="36"/>
        <v>75.866525583856088</v>
      </c>
      <c r="P441" s="184" t="s">
        <v>949</v>
      </c>
      <c r="Q441" s="185">
        <v>108355604230</v>
      </c>
      <c r="R441" s="186">
        <v>46192</v>
      </c>
      <c r="S441" s="187" t="s">
        <v>65</v>
      </c>
      <c r="T441" s="188">
        <v>7.3</v>
      </c>
      <c r="U441" s="188"/>
      <c r="V441" s="189">
        <v>400000</v>
      </c>
      <c r="W441" s="190"/>
      <c r="X441" s="190"/>
      <c r="Y441" s="190"/>
      <c r="Z441" s="189">
        <f t="shared" si="39"/>
        <v>400000</v>
      </c>
      <c r="AA441" s="189">
        <v>0</v>
      </c>
      <c r="AB441" s="189">
        <f t="shared" si="41"/>
        <v>400000</v>
      </c>
      <c r="AC441" s="189"/>
      <c r="AD441" s="190">
        <v>1220400</v>
      </c>
      <c r="AE441" s="190">
        <v>387180</v>
      </c>
      <c r="AF441" s="191">
        <f t="shared" si="37"/>
        <v>1607580</v>
      </c>
      <c r="AG441" s="190">
        <f t="shared" si="38"/>
        <v>2007580</v>
      </c>
      <c r="AH441" s="190"/>
      <c r="AI441" s="192" t="str">
        <f>VLOOKUP(Q441,[3]Sheet1!B$11:G$1489,6,0)</f>
        <v>E11</v>
      </c>
      <c r="GK441" s="194"/>
      <c r="GL441" s="195"/>
      <c r="GM441" s="196"/>
      <c r="GN441" s="197"/>
      <c r="GO441" s="198"/>
      <c r="GP441" s="199"/>
      <c r="GQ441" s="200"/>
      <c r="GR441" s="201"/>
      <c r="GS441" s="60"/>
      <c r="GT441" s="202"/>
      <c r="GU441" s="202"/>
      <c r="GV441" s="202"/>
      <c r="GW441" s="202"/>
      <c r="GX441" s="203"/>
      <c r="HA441" s="194"/>
      <c r="HB441" s="195"/>
      <c r="HC441" s="196"/>
      <c r="HD441" s="197"/>
      <c r="HE441" s="198"/>
      <c r="HF441" s="199"/>
      <c r="HG441" s="200"/>
      <c r="HH441" s="201"/>
      <c r="HI441" s="60"/>
      <c r="HJ441" s="202"/>
      <c r="HK441" s="202"/>
      <c r="HL441" s="202"/>
      <c r="HM441" s="202"/>
      <c r="HN441" s="203"/>
    </row>
    <row r="442" spans="1:222" ht="16.5" customHeight="1">
      <c r="A442" s="181">
        <v>439</v>
      </c>
      <c r="B442" s="182" t="s">
        <v>2778</v>
      </c>
      <c r="C442" s="183" t="s">
        <v>2779</v>
      </c>
      <c r="D442" s="184" t="s">
        <v>940</v>
      </c>
      <c r="E442" s="184" t="str">
        <f t="shared" si="40"/>
        <v>Import</v>
      </c>
      <c r="F442" s="720" t="str" cm="1">
        <f t="array" ref="F442">_xlfn.IFS(
  OR(AI442="E11", AI442="E15"), "Raw materials",
  OR(AI442="E13", AI442="G13"), "Equipments + Toolings",
  TRUE, RIGHT(C442, 8)
)</f>
        <v>Raw materials</v>
      </c>
      <c r="G442" s="541" t="str" cm="1">
        <f t="array" ref="G442">IF(E442="Import",
  IFERROR(
    _xlfn.IFS(
      VLOOKUP(B442,[1]Material!F$5:U$90000,16,0)="LUC","Lucid",
      VLOOKUP(B442,[1]Material!F$5:U$90000,16,0)="FMC","FORD",
      OR(VLOOKUP(B442,[1]Material!F$5:U$90000,16,0)="PUR",VLOOKUP(B442,[1]Material!F$5:U$90000,16,0)="HLO"),"PURE",
      VLOOKUP(B442,[1]Material!F$5:U$90000,16,0)="AIC","AIC",
      OR(VLOOKUP(B442,[1]Material!F$5:U$90000,16,0)="AGI",VLOOKUP(B442,[1]Material!F$5:U$90000,16,0)="AGIGA"),"AGIGA",
      OR(LEFT(VLOOKUP(B442,[1]Material!F$5:U$90000,16,0),3)="EF-",VLOOKUP(B442,[1]Material!F$5:U$90000,16,0)="EFI"),"EFI",
      AND(ISNUMBER(VLOOKUP(B442,[1]Material!F$5:U$90000,16,0)),VLOOKUP(B442,[1]Material!F$5:U$90000,16,0)&gt;=100,VLOOKUP(B442,[1]Material!F$5:U$90000,16,0)&lt;=999,VLOOKUP(B442,[1]Material!F$5:U$90000,16,0)=INT(VLOOKUP(B442,[1]Material!F$5:U$90000,16,0))),"OEM",
      TRUE,""
    ),
    "không tìm thấy trong file Import"
  ),
  VLOOKUP(F442,'[2]Export shipment'!B:Y,24,0)
)</f>
        <v>PURE</v>
      </c>
      <c r="H442" s="184" t="e">
        <f>VLOOKUP(B442,[4]Export!I$3627:J$3898,2,0)</f>
        <v>#N/A</v>
      </c>
      <c r="I442" s="184" t="s">
        <v>2089</v>
      </c>
      <c r="J442" s="260">
        <f>(V442+X442+AA442)/'Logistics record '!$AD$1</f>
        <v>15.116015418335726</v>
      </c>
      <c r="K442" s="260">
        <f>W442/'Logistics record '!$AD$1</f>
        <v>0</v>
      </c>
      <c r="L442" s="260">
        <f>Y442/'Logistics record '!$AD$1</f>
        <v>0</v>
      </c>
      <c r="M442" s="260">
        <f>AF442/'Logistics record '!$AD$1</f>
        <v>60.750510165520367</v>
      </c>
      <c r="N442" s="260" t="str" cm="1">
        <f t="array" ref="N442">_xlfn.IFS(
    OR(UPPER(S442)="AIR", UPPER(S442)="CPN"), "AIR",
    UPPER(S442)="TC", "LOCAL",
    TRUE, "SEA"
)</f>
        <v>AIR</v>
      </c>
      <c r="O442" s="260">
        <f t="shared" si="36"/>
        <v>75.866525583856088</v>
      </c>
      <c r="P442" s="184" t="s">
        <v>949</v>
      </c>
      <c r="Q442" s="185">
        <v>108355642140</v>
      </c>
      <c r="R442" s="186">
        <v>46192</v>
      </c>
      <c r="S442" s="187" t="s">
        <v>65</v>
      </c>
      <c r="T442" s="188">
        <v>11.2</v>
      </c>
      <c r="U442" s="188"/>
      <c r="V442" s="189">
        <v>400000</v>
      </c>
      <c r="W442" s="190"/>
      <c r="X442" s="190"/>
      <c r="Y442" s="190"/>
      <c r="Z442" s="189">
        <f t="shared" si="39"/>
        <v>400000</v>
      </c>
      <c r="AA442" s="189">
        <v>0</v>
      </c>
      <c r="AB442" s="189">
        <f t="shared" si="41"/>
        <v>400000</v>
      </c>
      <c r="AC442" s="189"/>
      <c r="AD442" s="190">
        <v>1220400</v>
      </c>
      <c r="AE442" s="190">
        <v>387180</v>
      </c>
      <c r="AF442" s="191">
        <f t="shared" si="37"/>
        <v>1607580</v>
      </c>
      <c r="AG442" s="190">
        <f t="shared" si="38"/>
        <v>2007580</v>
      </c>
      <c r="AH442" s="190"/>
      <c r="AI442" s="192" t="str">
        <f>VLOOKUP(Q442,[3]Sheet1!B$11:G$1489,6,0)</f>
        <v>E11</v>
      </c>
      <c r="GK442" s="194"/>
      <c r="GL442" s="195"/>
      <c r="GM442" s="196"/>
      <c r="GN442" s="197"/>
      <c r="GO442" s="198"/>
      <c r="GP442" s="199"/>
      <c r="GQ442" s="200"/>
      <c r="GR442" s="201"/>
      <c r="GS442" s="60"/>
      <c r="GT442" s="202"/>
      <c r="GU442" s="202"/>
      <c r="GV442" s="202"/>
      <c r="GW442" s="202"/>
      <c r="GX442" s="203"/>
      <c r="HA442" s="194"/>
      <c r="HB442" s="195"/>
      <c r="HC442" s="196"/>
      <c r="HD442" s="197"/>
      <c r="HE442" s="198"/>
      <c r="HF442" s="199"/>
      <c r="HG442" s="200"/>
      <c r="HH442" s="201"/>
      <c r="HI442" s="60"/>
      <c r="HJ442" s="202"/>
      <c r="HK442" s="202"/>
      <c r="HL442" s="202"/>
      <c r="HM442" s="202"/>
      <c r="HN442" s="203"/>
    </row>
    <row r="443" spans="1:222" ht="16.5" customHeight="1">
      <c r="A443" s="181">
        <v>440</v>
      </c>
      <c r="B443" s="182" t="s">
        <v>2780</v>
      </c>
      <c r="C443" s="183" t="s">
        <v>2781</v>
      </c>
      <c r="D443" s="184" t="s">
        <v>1328</v>
      </c>
      <c r="E443" s="184" t="str">
        <f t="shared" si="40"/>
        <v>Import</v>
      </c>
      <c r="F443" s="720" t="str" cm="1">
        <f t="array" ref="F443">_xlfn.IFS(
  OR(AI443="E11", AI443="E15"), "Raw materials",
  OR(AI443="E13", AI443="G13"), "Equipments + Toolings",
  TRUE, RIGHT(C443, 8)
)</f>
        <v>Raw materials</v>
      </c>
      <c r="G443" s="541" t="str" cm="1">
        <f t="array" ref="G443">IF(E443="Import",
  IFERROR(
    _xlfn.IFS(
      VLOOKUP(B443,[1]Material!F$5:U$90000,16,0)="LUC","Lucid",
      VLOOKUP(B443,[1]Material!F$5:U$90000,16,0)="FMC","FORD",
      OR(VLOOKUP(B443,[1]Material!F$5:U$90000,16,0)="PUR",VLOOKUP(B443,[1]Material!F$5:U$90000,16,0)="HLO"),"PURE",
      VLOOKUP(B443,[1]Material!F$5:U$90000,16,0)="AIC","AIC",
      OR(VLOOKUP(B443,[1]Material!F$5:U$90000,16,0)="AGI",VLOOKUP(B443,[1]Material!F$5:U$90000,16,0)="AGIGA"),"AGIGA",
      OR(LEFT(VLOOKUP(B443,[1]Material!F$5:U$90000,16,0),3)="EF-",VLOOKUP(B443,[1]Material!F$5:U$90000,16,0)="EFI"),"EFI",
      AND(ISNUMBER(VLOOKUP(B443,[1]Material!F$5:U$90000,16,0)),VLOOKUP(B443,[1]Material!F$5:U$90000,16,0)&gt;=100,VLOOKUP(B443,[1]Material!F$5:U$90000,16,0)&lt;=999,VLOOKUP(B443,[1]Material!F$5:U$90000,16,0)=INT(VLOOKUP(B443,[1]Material!F$5:U$90000,16,0))),"OEM",
      TRUE,""
    ),
    "không tìm thấy trong file Import"
  ),
  VLOOKUP(F443,'[2]Export shipment'!B:Y,24,0)
)</f>
        <v>PURE</v>
      </c>
      <c r="H443" s="184" t="e">
        <f>VLOOKUP(B443,[4]Export!I$3627:J$3898,2,0)</f>
        <v>#N/A</v>
      </c>
      <c r="I443" s="184" t="s">
        <v>2089</v>
      </c>
      <c r="J443" s="260">
        <f>(V443+X443+AA443)/'Logistics record '!$AD$1</f>
        <v>15.116015418335726</v>
      </c>
      <c r="K443" s="260">
        <f>W443/'Logistics record '!$AD$1</f>
        <v>0</v>
      </c>
      <c r="L443" s="260">
        <f>Y443/'Logistics record '!$AD$1</f>
        <v>0</v>
      </c>
      <c r="M443" s="260">
        <f>AF443/'Logistics record '!$AD$1</f>
        <v>60.750510165520367</v>
      </c>
      <c r="N443" s="260" t="str" cm="1">
        <f t="array" ref="N443">_xlfn.IFS(
    OR(UPPER(S443)="AIR", UPPER(S443)="CPN"), "AIR",
    UPPER(S443)="TC", "LOCAL",
    TRUE, "SEA"
)</f>
        <v>AIR</v>
      </c>
      <c r="O443" s="260">
        <f t="shared" si="36"/>
        <v>75.866525583856088</v>
      </c>
      <c r="P443" s="184" t="s">
        <v>949</v>
      </c>
      <c r="Q443" s="185">
        <v>108355693830</v>
      </c>
      <c r="R443" s="186">
        <v>46192</v>
      </c>
      <c r="S443" s="187" t="s">
        <v>65</v>
      </c>
      <c r="T443" s="188">
        <v>7.3</v>
      </c>
      <c r="U443" s="188"/>
      <c r="V443" s="189">
        <v>400000</v>
      </c>
      <c r="W443" s="190"/>
      <c r="X443" s="190"/>
      <c r="Y443" s="190"/>
      <c r="Z443" s="189">
        <f t="shared" si="39"/>
        <v>400000</v>
      </c>
      <c r="AA443" s="189">
        <v>0</v>
      </c>
      <c r="AB443" s="189">
        <f t="shared" si="41"/>
        <v>400000</v>
      </c>
      <c r="AC443" s="189"/>
      <c r="AD443" s="190">
        <v>1220400</v>
      </c>
      <c r="AE443" s="190">
        <v>387180</v>
      </c>
      <c r="AF443" s="191">
        <f t="shared" si="37"/>
        <v>1607580</v>
      </c>
      <c r="AG443" s="190">
        <f t="shared" si="38"/>
        <v>2007580</v>
      </c>
      <c r="AH443" s="190"/>
      <c r="AI443" s="192" t="str">
        <f>VLOOKUP(Q443,[3]Sheet1!B$11:G$1489,6,0)</f>
        <v>E11</v>
      </c>
      <c r="GK443" s="194"/>
      <c r="GL443" s="195"/>
      <c r="GM443" s="196"/>
      <c r="GN443" s="197"/>
      <c r="GO443" s="198"/>
      <c r="GP443" s="199"/>
      <c r="GQ443" s="200"/>
      <c r="GR443" s="201"/>
      <c r="GS443" s="60"/>
      <c r="GT443" s="202"/>
      <c r="GU443" s="202"/>
      <c r="GV443" s="202"/>
      <c r="GW443" s="202"/>
      <c r="GX443" s="203"/>
      <c r="HA443" s="194"/>
      <c r="HB443" s="195"/>
      <c r="HC443" s="196"/>
      <c r="HD443" s="197"/>
      <c r="HE443" s="198"/>
      <c r="HF443" s="199"/>
      <c r="HG443" s="200"/>
      <c r="HH443" s="201"/>
      <c r="HI443" s="60"/>
      <c r="HJ443" s="202"/>
      <c r="HK443" s="202"/>
      <c r="HL443" s="202"/>
      <c r="HM443" s="202"/>
      <c r="HN443" s="203"/>
    </row>
    <row r="444" spans="1:222" ht="16.5" customHeight="1">
      <c r="A444" s="181">
        <v>441</v>
      </c>
      <c r="B444" s="182" t="s">
        <v>2782</v>
      </c>
      <c r="C444" s="183" t="s">
        <v>2783</v>
      </c>
      <c r="D444" s="184" t="s">
        <v>1328</v>
      </c>
      <c r="E444" s="184" t="str">
        <f t="shared" si="40"/>
        <v>Import</v>
      </c>
      <c r="F444" s="720" t="str" cm="1">
        <f t="array" ref="F444">_xlfn.IFS(
  OR(AI444="E11", AI444="E15"), "Raw materials",
  OR(AI444="E13", AI444="G13"), "Equipments + Toolings",
  TRUE, RIGHT(C444, 8)
)</f>
        <v>Raw materials</v>
      </c>
      <c r="G444" s="541" t="str" cm="1">
        <f t="array" ref="G444">IF(E444="Import",
  IFERROR(
    _xlfn.IFS(
      VLOOKUP(B444,[1]Material!F$5:U$90000,16,0)="LUC","Lucid",
      VLOOKUP(B444,[1]Material!F$5:U$90000,16,0)="FMC","FORD",
      OR(VLOOKUP(B444,[1]Material!F$5:U$90000,16,0)="PUR",VLOOKUP(B444,[1]Material!F$5:U$90000,16,0)="HLO"),"PURE",
      VLOOKUP(B444,[1]Material!F$5:U$90000,16,0)="AIC","AIC",
      OR(VLOOKUP(B444,[1]Material!F$5:U$90000,16,0)="AGI",VLOOKUP(B444,[1]Material!F$5:U$90000,16,0)="AGIGA"),"AGIGA",
      OR(LEFT(VLOOKUP(B444,[1]Material!F$5:U$90000,16,0),3)="EF-",VLOOKUP(B444,[1]Material!F$5:U$90000,16,0)="EFI"),"EFI",
      AND(ISNUMBER(VLOOKUP(B444,[1]Material!F$5:U$90000,16,0)),VLOOKUP(B444,[1]Material!F$5:U$90000,16,0)&gt;=100,VLOOKUP(B444,[1]Material!F$5:U$90000,16,0)&lt;=999,VLOOKUP(B444,[1]Material!F$5:U$90000,16,0)=INT(VLOOKUP(B444,[1]Material!F$5:U$90000,16,0))),"OEM",
      TRUE,""
    ),
    "không tìm thấy trong file Import"
  ),
  VLOOKUP(F444,'[2]Export shipment'!B:Y,24,0)
)</f>
        <v>PURE</v>
      </c>
      <c r="H444" s="184" t="e">
        <f>VLOOKUP(B444,[4]Export!I$3627:J$3898,2,0)</f>
        <v>#N/A</v>
      </c>
      <c r="I444" s="184" t="s">
        <v>2089</v>
      </c>
      <c r="J444" s="260">
        <f>(V444+X444+AA444)/'Logistics record '!$AD$1</f>
        <v>15.116015418335726</v>
      </c>
      <c r="K444" s="260">
        <f>W444/'Logistics record '!$AD$1</f>
        <v>0</v>
      </c>
      <c r="L444" s="260">
        <f>Y444/'Logistics record '!$AD$1</f>
        <v>0</v>
      </c>
      <c r="M444" s="260">
        <f>AF444/'Logistics record '!$AD$1</f>
        <v>60.750510165520367</v>
      </c>
      <c r="N444" s="260" t="str" cm="1">
        <f t="array" ref="N444">_xlfn.IFS(
    OR(UPPER(S444)="AIR", UPPER(S444)="CPN"), "AIR",
    UPPER(S444)="TC", "LOCAL",
    TRUE, "SEA"
)</f>
        <v>AIR</v>
      </c>
      <c r="O444" s="260">
        <f t="shared" si="36"/>
        <v>75.866525583856088</v>
      </c>
      <c r="P444" s="184" t="s">
        <v>949</v>
      </c>
      <c r="Q444" s="185">
        <v>108355736860</v>
      </c>
      <c r="R444" s="186">
        <v>46192</v>
      </c>
      <c r="S444" s="187" t="s">
        <v>65</v>
      </c>
      <c r="T444" s="188">
        <v>7.3</v>
      </c>
      <c r="U444" s="188"/>
      <c r="V444" s="189">
        <v>400000</v>
      </c>
      <c r="W444" s="190"/>
      <c r="X444" s="190"/>
      <c r="Y444" s="190"/>
      <c r="Z444" s="189">
        <f t="shared" si="39"/>
        <v>400000</v>
      </c>
      <c r="AA444" s="189">
        <v>0</v>
      </c>
      <c r="AB444" s="189">
        <f t="shared" si="41"/>
        <v>400000</v>
      </c>
      <c r="AC444" s="189"/>
      <c r="AD444" s="190">
        <v>1220400</v>
      </c>
      <c r="AE444" s="190">
        <v>387180</v>
      </c>
      <c r="AF444" s="191">
        <f t="shared" si="37"/>
        <v>1607580</v>
      </c>
      <c r="AG444" s="190">
        <f t="shared" si="38"/>
        <v>2007580</v>
      </c>
      <c r="AH444" s="190"/>
      <c r="AI444" s="192" t="str">
        <f>VLOOKUP(Q444,[3]Sheet1!B$11:G$1489,6,0)</f>
        <v>E11</v>
      </c>
      <c r="GK444" s="194"/>
      <c r="GL444" s="195"/>
      <c r="GM444" s="196"/>
      <c r="GN444" s="197"/>
      <c r="GO444" s="198"/>
      <c r="GP444" s="199"/>
      <c r="GQ444" s="200"/>
      <c r="GR444" s="201"/>
      <c r="GS444" s="60"/>
      <c r="GT444" s="202"/>
      <c r="GU444" s="202"/>
      <c r="GV444" s="202"/>
      <c r="GW444" s="202"/>
      <c r="GX444" s="203"/>
      <c r="HA444" s="194"/>
      <c r="HB444" s="195"/>
      <c r="HC444" s="196"/>
      <c r="HD444" s="197"/>
      <c r="HE444" s="198"/>
      <c r="HF444" s="199"/>
      <c r="HG444" s="200"/>
      <c r="HH444" s="201"/>
      <c r="HI444" s="60"/>
      <c r="HJ444" s="202"/>
      <c r="HK444" s="202"/>
      <c r="HL444" s="202"/>
      <c r="HM444" s="202"/>
      <c r="HN444" s="203"/>
    </row>
    <row r="445" spans="1:222" ht="16.5" customHeight="1">
      <c r="A445" s="181">
        <v>442</v>
      </c>
      <c r="B445" s="182" t="s">
        <v>2784</v>
      </c>
      <c r="C445" s="183" t="s">
        <v>2785</v>
      </c>
      <c r="D445" s="184" t="s">
        <v>1328</v>
      </c>
      <c r="E445" s="184" t="str">
        <f t="shared" si="40"/>
        <v>Import</v>
      </c>
      <c r="F445" s="720" t="str" cm="1">
        <f t="array" ref="F445">_xlfn.IFS(
  OR(AI445="E11", AI445="E15"), "Raw materials",
  OR(AI445="E13", AI445="G13"), "Equipments + Toolings",
  TRUE, RIGHT(C445, 8)
)</f>
        <v>Raw materials</v>
      </c>
      <c r="G445" s="541" t="str" cm="1">
        <f t="array" ref="G445">IF(E445="Import",
  IFERROR(
    _xlfn.IFS(
      VLOOKUP(B445,[1]Material!F$5:U$90000,16,0)="LUC","Lucid",
      VLOOKUP(B445,[1]Material!F$5:U$90000,16,0)="FMC","FORD",
      OR(VLOOKUP(B445,[1]Material!F$5:U$90000,16,0)="PUR",VLOOKUP(B445,[1]Material!F$5:U$90000,16,0)="HLO"),"PURE",
      VLOOKUP(B445,[1]Material!F$5:U$90000,16,0)="AIC","AIC",
      OR(VLOOKUP(B445,[1]Material!F$5:U$90000,16,0)="AGI",VLOOKUP(B445,[1]Material!F$5:U$90000,16,0)="AGIGA"),"AGIGA",
      OR(LEFT(VLOOKUP(B445,[1]Material!F$5:U$90000,16,0),3)="EF-",VLOOKUP(B445,[1]Material!F$5:U$90000,16,0)="EFI"),"EFI",
      AND(ISNUMBER(VLOOKUP(B445,[1]Material!F$5:U$90000,16,0)),VLOOKUP(B445,[1]Material!F$5:U$90000,16,0)&gt;=100,VLOOKUP(B445,[1]Material!F$5:U$90000,16,0)&lt;=999,VLOOKUP(B445,[1]Material!F$5:U$90000,16,0)=INT(VLOOKUP(B445,[1]Material!F$5:U$90000,16,0))),"OEM",
      TRUE,""
    ),
    "không tìm thấy trong file Import"
  ),
  VLOOKUP(F445,'[2]Export shipment'!B:Y,24,0)
)</f>
        <v>PURE</v>
      </c>
      <c r="H445" s="184" t="e">
        <f>VLOOKUP(B445,[4]Export!I$3627:J$3898,2,0)</f>
        <v>#N/A</v>
      </c>
      <c r="I445" s="184" t="s">
        <v>2089</v>
      </c>
      <c r="J445" s="260">
        <f>(V445+X445+AA445)/'Logistics record '!$AD$1</f>
        <v>15.116015418335726</v>
      </c>
      <c r="K445" s="260">
        <f>W445/'Logistics record '!$AD$1</f>
        <v>0</v>
      </c>
      <c r="L445" s="260">
        <f>Y445/'Logistics record '!$AD$1</f>
        <v>0</v>
      </c>
      <c r="M445" s="260">
        <f>AF445/'Logistics record '!$AD$1</f>
        <v>60.750510165520367</v>
      </c>
      <c r="N445" s="260" t="str" cm="1">
        <f t="array" ref="N445">_xlfn.IFS(
    OR(UPPER(S445)="AIR", UPPER(S445)="CPN"), "AIR",
    UPPER(S445)="TC", "LOCAL",
    TRUE, "SEA"
)</f>
        <v>AIR</v>
      </c>
      <c r="O445" s="260">
        <f t="shared" si="36"/>
        <v>75.866525583856088</v>
      </c>
      <c r="P445" s="184" t="s">
        <v>949</v>
      </c>
      <c r="Q445" s="185">
        <v>108355743750</v>
      </c>
      <c r="R445" s="186">
        <v>46192</v>
      </c>
      <c r="S445" s="187" t="s">
        <v>65</v>
      </c>
      <c r="T445" s="188">
        <v>7.3</v>
      </c>
      <c r="U445" s="188"/>
      <c r="V445" s="189">
        <v>400000</v>
      </c>
      <c r="W445" s="190"/>
      <c r="X445" s="190"/>
      <c r="Y445" s="190"/>
      <c r="Z445" s="189">
        <f t="shared" si="39"/>
        <v>400000</v>
      </c>
      <c r="AA445" s="189">
        <v>0</v>
      </c>
      <c r="AB445" s="189">
        <f t="shared" si="41"/>
        <v>400000</v>
      </c>
      <c r="AC445" s="189"/>
      <c r="AD445" s="190">
        <v>1220400</v>
      </c>
      <c r="AE445" s="190">
        <v>387180</v>
      </c>
      <c r="AF445" s="191">
        <f t="shared" si="37"/>
        <v>1607580</v>
      </c>
      <c r="AG445" s="190">
        <f t="shared" si="38"/>
        <v>2007580</v>
      </c>
      <c r="AH445" s="190"/>
      <c r="AI445" s="192" t="str">
        <f>VLOOKUP(Q445,[3]Sheet1!B$11:G$1489,6,0)</f>
        <v>E11</v>
      </c>
      <c r="GK445" s="194"/>
      <c r="GL445" s="195"/>
      <c r="GM445" s="196"/>
      <c r="GN445" s="197"/>
      <c r="GO445" s="198"/>
      <c r="GP445" s="199"/>
      <c r="GQ445" s="200"/>
      <c r="GR445" s="201"/>
      <c r="GS445" s="60"/>
      <c r="GT445" s="202"/>
      <c r="GU445" s="202"/>
      <c r="GV445" s="202"/>
      <c r="GW445" s="202"/>
      <c r="GX445" s="203"/>
      <c r="HA445" s="194"/>
      <c r="HB445" s="195"/>
      <c r="HC445" s="196"/>
      <c r="HD445" s="197"/>
      <c r="HE445" s="198"/>
      <c r="HF445" s="199"/>
      <c r="HG445" s="200"/>
      <c r="HH445" s="201"/>
      <c r="HI445" s="60"/>
      <c r="HJ445" s="202"/>
      <c r="HK445" s="202"/>
      <c r="HL445" s="202"/>
      <c r="HM445" s="202"/>
      <c r="HN445" s="203"/>
    </row>
    <row r="446" spans="1:222" ht="16.5" customHeight="1">
      <c r="A446" s="181">
        <v>443</v>
      </c>
      <c r="B446" s="182" t="s">
        <v>2786</v>
      </c>
      <c r="C446" s="183" t="s">
        <v>2787</v>
      </c>
      <c r="D446" s="184" t="s">
        <v>1328</v>
      </c>
      <c r="E446" s="184" t="str">
        <f t="shared" si="40"/>
        <v>Import</v>
      </c>
      <c r="F446" s="720" t="str" cm="1">
        <f t="array" ref="F446">_xlfn.IFS(
  OR(AI446="E11", AI446="E15"), "Raw materials",
  OR(AI446="E13", AI446="G13"), "Equipments + Toolings",
  TRUE, RIGHT(C446, 8)
)</f>
        <v>Raw materials</v>
      </c>
      <c r="G446" s="541" t="str" cm="1">
        <f t="array" ref="G446">IF(E446="Import",
  IFERROR(
    _xlfn.IFS(
      VLOOKUP(B446,[1]Material!F$5:U$90000,16,0)="LUC","Lucid",
      VLOOKUP(B446,[1]Material!F$5:U$90000,16,0)="FMC","FORD",
      OR(VLOOKUP(B446,[1]Material!F$5:U$90000,16,0)="PUR",VLOOKUP(B446,[1]Material!F$5:U$90000,16,0)="HLO"),"PURE",
      VLOOKUP(B446,[1]Material!F$5:U$90000,16,0)="AIC","AIC",
      OR(VLOOKUP(B446,[1]Material!F$5:U$90000,16,0)="AGI",VLOOKUP(B446,[1]Material!F$5:U$90000,16,0)="AGIGA"),"AGIGA",
      OR(LEFT(VLOOKUP(B446,[1]Material!F$5:U$90000,16,0),3)="EF-",VLOOKUP(B446,[1]Material!F$5:U$90000,16,0)="EFI"),"EFI",
      AND(ISNUMBER(VLOOKUP(B446,[1]Material!F$5:U$90000,16,0)),VLOOKUP(B446,[1]Material!F$5:U$90000,16,0)&gt;=100,VLOOKUP(B446,[1]Material!F$5:U$90000,16,0)&lt;=999,VLOOKUP(B446,[1]Material!F$5:U$90000,16,0)=INT(VLOOKUP(B446,[1]Material!F$5:U$90000,16,0))),"OEM",
      TRUE,""
    ),
    "không tìm thấy trong file Import"
  ),
  VLOOKUP(F446,'[2]Export shipment'!B:Y,24,0)
)</f>
        <v>PURE</v>
      </c>
      <c r="H446" s="184" t="e">
        <f>VLOOKUP(B446,[4]Export!I$3627:J$3898,2,0)</f>
        <v>#N/A</v>
      </c>
      <c r="I446" s="184" t="s">
        <v>2089</v>
      </c>
      <c r="J446" s="260">
        <f>(V446+X446+AA446)/'Logistics record '!$AD$1</f>
        <v>15.116015418335726</v>
      </c>
      <c r="K446" s="260">
        <f>W446/'Logistics record '!$AD$1</f>
        <v>0</v>
      </c>
      <c r="L446" s="260">
        <f>Y446/'Logistics record '!$AD$1</f>
        <v>0</v>
      </c>
      <c r="M446" s="260">
        <f>AF446/'Logistics record '!$AD$1</f>
        <v>60.750510165520367</v>
      </c>
      <c r="N446" s="260" t="str" cm="1">
        <f t="array" ref="N446">_xlfn.IFS(
    OR(UPPER(S446)="AIR", UPPER(S446)="CPN"), "AIR",
    UPPER(S446)="TC", "LOCAL",
    TRUE, "SEA"
)</f>
        <v>AIR</v>
      </c>
      <c r="O446" s="260">
        <f t="shared" si="36"/>
        <v>75.866525583856088</v>
      </c>
      <c r="P446" s="184" t="s">
        <v>949</v>
      </c>
      <c r="Q446" s="185">
        <v>108355814710</v>
      </c>
      <c r="R446" s="186">
        <v>46192</v>
      </c>
      <c r="S446" s="187" t="s">
        <v>65</v>
      </c>
      <c r="T446" s="188">
        <v>7.3</v>
      </c>
      <c r="U446" s="188"/>
      <c r="V446" s="189">
        <v>400000</v>
      </c>
      <c r="W446" s="190"/>
      <c r="X446" s="190"/>
      <c r="Y446" s="190"/>
      <c r="Z446" s="189">
        <f t="shared" si="39"/>
        <v>400000</v>
      </c>
      <c r="AA446" s="189">
        <v>0</v>
      </c>
      <c r="AB446" s="189">
        <f t="shared" si="41"/>
        <v>400000</v>
      </c>
      <c r="AC446" s="189"/>
      <c r="AD446" s="190">
        <v>1220400</v>
      </c>
      <c r="AE446" s="190">
        <v>387180</v>
      </c>
      <c r="AF446" s="191">
        <f t="shared" si="37"/>
        <v>1607580</v>
      </c>
      <c r="AG446" s="190">
        <f t="shared" si="38"/>
        <v>2007580</v>
      </c>
      <c r="AH446" s="190"/>
      <c r="AI446" s="192" t="str">
        <f>VLOOKUP(Q446,[3]Sheet1!B$11:G$1489,6,0)</f>
        <v>E11</v>
      </c>
      <c r="GK446" s="194"/>
      <c r="GL446" s="195"/>
      <c r="GM446" s="196"/>
      <c r="GN446" s="197"/>
      <c r="GO446" s="198"/>
      <c r="GP446" s="199"/>
      <c r="GQ446" s="200"/>
      <c r="GR446" s="201"/>
      <c r="GS446" s="60"/>
      <c r="GT446" s="202"/>
      <c r="GU446" s="202"/>
      <c r="GV446" s="202"/>
      <c r="GW446" s="202"/>
      <c r="GX446" s="203"/>
      <c r="HA446" s="194"/>
      <c r="HB446" s="195"/>
      <c r="HC446" s="196"/>
      <c r="HD446" s="197"/>
      <c r="HE446" s="198"/>
      <c r="HF446" s="199"/>
      <c r="HG446" s="200"/>
      <c r="HH446" s="201"/>
      <c r="HI446" s="60"/>
      <c r="HJ446" s="202"/>
      <c r="HK446" s="202"/>
      <c r="HL446" s="202"/>
      <c r="HM446" s="202"/>
      <c r="HN446" s="203"/>
    </row>
    <row r="447" spans="1:222" ht="16.5" customHeight="1">
      <c r="A447" s="181">
        <v>444</v>
      </c>
      <c r="B447" s="182" t="s">
        <v>2788</v>
      </c>
      <c r="C447" s="183" t="s">
        <v>2789</v>
      </c>
      <c r="D447" s="184" t="s">
        <v>958</v>
      </c>
      <c r="E447" s="184" t="str">
        <f t="shared" si="40"/>
        <v>Import</v>
      </c>
      <c r="F447" s="720" t="str" cm="1">
        <f t="array" ref="F447">_xlfn.IFS(
  OR(AI447="E11", AI447="E15"), "Raw materials",
  OR(AI447="E13", AI447="G13"), "Equipments + Toolings",
  TRUE, RIGHT(C447, 8)
)</f>
        <v>Raw materials</v>
      </c>
      <c r="G447" s="541" t="str" cm="1">
        <f t="array" ref="G447">IF(E447="Import",
  IFERROR(
    _xlfn.IFS(
      VLOOKUP(B447,[1]Material!F$5:U$90000,16,0)="LUC","Lucid",
      VLOOKUP(B447,[1]Material!F$5:U$90000,16,0)="FMC","FORD",
      OR(VLOOKUP(B447,[1]Material!F$5:U$90000,16,0)="PUR",VLOOKUP(B447,[1]Material!F$5:U$90000,16,0)="HLO"),"PURE",
      VLOOKUP(B447,[1]Material!F$5:U$90000,16,0)="AIC","AIC",
      OR(VLOOKUP(B447,[1]Material!F$5:U$90000,16,0)="AGI",VLOOKUP(B447,[1]Material!F$5:U$90000,16,0)="AGIGA"),"AGIGA",
      OR(LEFT(VLOOKUP(B447,[1]Material!F$5:U$90000,16,0),3)="EF-",VLOOKUP(B447,[1]Material!F$5:U$90000,16,0)="EFI"),"EFI",
      AND(ISNUMBER(VLOOKUP(B447,[1]Material!F$5:U$90000,16,0)),VLOOKUP(B447,[1]Material!F$5:U$90000,16,0)&gt;=100,VLOOKUP(B447,[1]Material!F$5:U$90000,16,0)&lt;=999,VLOOKUP(B447,[1]Material!F$5:U$90000,16,0)=INT(VLOOKUP(B447,[1]Material!F$5:U$90000,16,0))),"OEM",
      TRUE,""
    ),
    "không tìm thấy trong file Import"
  ),
  VLOOKUP(F447,'[2]Export shipment'!B:Y,24,0)
)</f>
        <v>Lucid</v>
      </c>
      <c r="H447" s="184"/>
      <c r="I447" s="184"/>
      <c r="J447" s="260">
        <f>(V447+X447+AA447)/'Logistics record '!$AD$1</f>
        <v>15.116015418335726</v>
      </c>
      <c r="K447" s="260">
        <f>W447/'Logistics record '!$AD$1</f>
        <v>22.674023127503592</v>
      </c>
      <c r="L447" s="260">
        <f>Y447/'Logistics record '!$AD$1</f>
        <v>0</v>
      </c>
      <c r="M447" s="260">
        <f>AF447/'Logistics record '!$AD$1</f>
        <v>69.134797067493011</v>
      </c>
      <c r="N447" s="260" t="str" cm="1">
        <f t="array" ref="N447">_xlfn.IFS(
    OR(UPPER(S447)="AIR", UPPER(S447)="CPN"), "AIR",
    UPPER(S447)="TC", "LOCAL",
    TRUE, "SEA"
)</f>
        <v>AIR</v>
      </c>
      <c r="O447" s="260">
        <f t="shared" si="36"/>
        <v>106.92483561333232</v>
      </c>
      <c r="P447" s="184" t="s">
        <v>1993</v>
      </c>
      <c r="Q447" s="185">
        <v>108355855750</v>
      </c>
      <c r="R447" s="186">
        <v>46192</v>
      </c>
      <c r="S447" s="187" t="s">
        <v>65</v>
      </c>
      <c r="T447" s="188">
        <v>175</v>
      </c>
      <c r="U447" s="188"/>
      <c r="V447" s="189">
        <v>400000</v>
      </c>
      <c r="W447" s="190">
        <v>600000</v>
      </c>
      <c r="X447" s="190"/>
      <c r="Y447" s="190"/>
      <c r="Z447" s="189">
        <f t="shared" si="39"/>
        <v>1000000</v>
      </c>
      <c r="AA447" s="189">
        <v>0</v>
      </c>
      <c r="AB447" s="189">
        <f t="shared" si="41"/>
        <v>1000000</v>
      </c>
      <c r="AC447" s="189"/>
      <c r="AD447" s="190">
        <v>998752</v>
      </c>
      <c r="AE447" s="190">
        <v>830693</v>
      </c>
      <c r="AF447" s="191">
        <f t="shared" si="37"/>
        <v>1829445</v>
      </c>
      <c r="AG447" s="190">
        <f t="shared" si="38"/>
        <v>2829445</v>
      </c>
      <c r="AH447" s="190"/>
      <c r="AI447" s="192" t="str">
        <f>VLOOKUP(Q447,[3]Sheet1!B$11:G$1489,6,0)</f>
        <v>E11</v>
      </c>
      <c r="GK447" s="194"/>
      <c r="GL447" s="195"/>
      <c r="GM447" s="196"/>
      <c r="GN447" s="197"/>
      <c r="GO447" s="198"/>
      <c r="GP447" s="199"/>
      <c r="GQ447" s="200"/>
      <c r="GR447" s="201"/>
      <c r="GS447" s="60"/>
      <c r="GT447" s="202"/>
      <c r="GU447" s="202"/>
      <c r="GV447" s="202"/>
      <c r="GW447" s="202"/>
      <c r="GX447" s="203"/>
      <c r="HA447" s="194"/>
      <c r="HB447" s="195"/>
      <c r="HC447" s="196"/>
      <c r="HD447" s="197"/>
      <c r="HE447" s="198"/>
      <c r="HF447" s="199"/>
      <c r="HG447" s="200"/>
      <c r="HH447" s="201"/>
      <c r="HI447" s="60"/>
      <c r="HJ447" s="202"/>
      <c r="HK447" s="202"/>
      <c r="HL447" s="202"/>
      <c r="HM447" s="202"/>
      <c r="HN447" s="203"/>
    </row>
    <row r="448" spans="1:222" ht="16.5" customHeight="1">
      <c r="A448" s="181">
        <v>445</v>
      </c>
      <c r="B448" s="182">
        <v>8056639732</v>
      </c>
      <c r="C448" s="183" t="s">
        <v>2790</v>
      </c>
      <c r="D448" s="184" t="s">
        <v>801</v>
      </c>
      <c r="E448" s="184" t="str">
        <f t="shared" si="40"/>
        <v>Import</v>
      </c>
      <c r="F448" s="720" t="str" cm="1">
        <f t="array" ref="F448">_xlfn.IFS(
  OR(AI448="E11", AI448="E15"), "Raw materials",
  OR(AI448="E13", AI448="G13"), "Equipments + Toolings",
  TRUE, RIGHT(C448, 8)
)</f>
        <v>Raw materials</v>
      </c>
      <c r="G448" s="541" t="str" cm="1">
        <f t="array" ref="G448">IF(E448="Import",
  IFERROR(
    _xlfn.IFS(
      VLOOKUP(B448,[1]Material!F$5:U$90000,16,0)="LUC","Lucid",
      VLOOKUP(B448,[1]Material!F$5:U$90000,16,0)="FMC","FORD",
      OR(VLOOKUP(B448,[1]Material!F$5:U$90000,16,0)="PUR",VLOOKUP(B448,[1]Material!F$5:U$90000,16,0)="HLO"),"PURE",
      VLOOKUP(B448,[1]Material!F$5:U$90000,16,0)="AIC","AIC",
      OR(VLOOKUP(B448,[1]Material!F$5:U$90000,16,0)="AGI",VLOOKUP(B448,[1]Material!F$5:U$90000,16,0)="AGIGA"),"AGIGA",
      OR(LEFT(VLOOKUP(B448,[1]Material!F$5:U$90000,16,0),3)="EF-",VLOOKUP(B448,[1]Material!F$5:U$90000,16,0)="EFI"),"EFI",
      AND(ISNUMBER(VLOOKUP(B448,[1]Material!F$5:U$90000,16,0)),VLOOKUP(B448,[1]Material!F$5:U$90000,16,0)&gt;=100,VLOOKUP(B448,[1]Material!F$5:U$90000,16,0)&lt;=999,VLOOKUP(B448,[1]Material!F$5:U$90000,16,0)=INT(VLOOKUP(B448,[1]Material!F$5:U$90000,16,0))),"OEM",
      TRUE,""
    ),
    "không tìm thấy trong file Import"
  ),
  VLOOKUP(F448,'[2]Export shipment'!B:Y,24,0)
)</f>
        <v>OEM</v>
      </c>
      <c r="H448" s="184"/>
      <c r="I448" s="184"/>
      <c r="J448" s="260">
        <f>(V448+X448+AA448)/'Logistics record '!$AD$1</f>
        <v>15.116015418335726</v>
      </c>
      <c r="K448" s="260">
        <f>W448/'Logistics record '!$AD$1</f>
        <v>0</v>
      </c>
      <c r="L448" s="260">
        <f>Y448/'Logistics record '!$AD$1</f>
        <v>0</v>
      </c>
      <c r="M448" s="260">
        <f>AF448/'Logistics record '!$AD$1</f>
        <v>0</v>
      </c>
      <c r="N448" s="260" t="str" cm="1">
        <f t="array" ref="N448">_xlfn.IFS(
    OR(UPPER(S448)="AIR", UPPER(S448)="CPN"), "AIR",
    UPPER(S448)="TC", "LOCAL",
    TRUE, "SEA"
)</f>
        <v>AIR</v>
      </c>
      <c r="O448" s="260">
        <f t="shared" si="36"/>
        <v>15.116015418335726</v>
      </c>
      <c r="P448" s="184" t="s">
        <v>937</v>
      </c>
      <c r="Q448" s="185">
        <v>108356438410</v>
      </c>
      <c r="R448" s="186">
        <v>46192</v>
      </c>
      <c r="S448" s="187" t="s">
        <v>928</v>
      </c>
      <c r="T448" s="188">
        <v>1.3</v>
      </c>
      <c r="U448" s="188"/>
      <c r="V448" s="189">
        <v>400000</v>
      </c>
      <c r="W448" s="190"/>
      <c r="X448" s="190"/>
      <c r="Y448" s="190"/>
      <c r="Z448" s="189">
        <f t="shared" si="39"/>
        <v>400000</v>
      </c>
      <c r="AA448" s="189">
        <v>0</v>
      </c>
      <c r="AB448" s="189">
        <f t="shared" si="41"/>
        <v>400000</v>
      </c>
      <c r="AC448" s="189"/>
      <c r="AD448" s="190"/>
      <c r="AE448" s="190"/>
      <c r="AF448" s="191">
        <f t="shared" si="37"/>
        <v>0</v>
      </c>
      <c r="AG448" s="190">
        <f t="shared" si="38"/>
        <v>400000</v>
      </c>
      <c r="AH448" s="190"/>
      <c r="AI448" s="192" t="str">
        <f>VLOOKUP(Q448,[3]Sheet1!B$11:G$1489,6,0)</f>
        <v>E11</v>
      </c>
      <c r="GK448" s="194"/>
      <c r="GL448" s="195"/>
      <c r="GM448" s="196"/>
      <c r="GN448" s="197"/>
      <c r="GO448" s="198"/>
      <c r="GP448" s="199"/>
      <c r="GQ448" s="200"/>
      <c r="GR448" s="201"/>
      <c r="GS448" s="60"/>
      <c r="GT448" s="202"/>
      <c r="GU448" s="202"/>
      <c r="GV448" s="202"/>
      <c r="GW448" s="202"/>
      <c r="GX448" s="203"/>
      <c r="HA448" s="194"/>
      <c r="HB448" s="195"/>
      <c r="HC448" s="196"/>
      <c r="HD448" s="197"/>
      <c r="HE448" s="198"/>
      <c r="HF448" s="199"/>
      <c r="HG448" s="200"/>
      <c r="HH448" s="201"/>
      <c r="HI448" s="60"/>
      <c r="HJ448" s="202"/>
      <c r="HK448" s="202"/>
      <c r="HL448" s="202"/>
      <c r="HM448" s="202"/>
      <c r="HN448" s="203"/>
    </row>
    <row r="449" spans="1:222" ht="16.5" customHeight="1">
      <c r="A449" s="181">
        <v>446</v>
      </c>
      <c r="B449" s="182">
        <v>4210456180</v>
      </c>
      <c r="C449" s="183" t="s">
        <v>2791</v>
      </c>
      <c r="D449" s="184" t="s">
        <v>2792</v>
      </c>
      <c r="E449" s="184" t="str">
        <f t="shared" si="40"/>
        <v>Import</v>
      </c>
      <c r="F449" s="720" t="str" cm="1">
        <f t="array" ref="F449">_xlfn.IFS(
  OR(AI449="E11", AI449="E15"), "Raw materials",
  OR(AI449="E13", AI449="G13"), "Equipments + Toolings",
  TRUE, RIGHT(C449, 8)
)</f>
        <v>Raw materials</v>
      </c>
      <c r="G449" s="541" t="str" cm="1">
        <f t="array" ref="G449">IF(E449="Import",
  IFERROR(
    _xlfn.IFS(
      VLOOKUP(B449,[1]Material!F$5:U$90000,16,0)="LUC","Lucid",
      VLOOKUP(B449,[1]Material!F$5:U$90000,16,0)="FMC","FORD",
      OR(VLOOKUP(B449,[1]Material!F$5:U$90000,16,0)="PUR",VLOOKUP(B449,[1]Material!F$5:U$90000,16,0)="HLO"),"PURE",
      VLOOKUP(B449,[1]Material!F$5:U$90000,16,0)="AIC","AIC",
      OR(VLOOKUP(B449,[1]Material!F$5:U$90000,16,0)="AGI",VLOOKUP(B449,[1]Material!F$5:U$90000,16,0)="AGIGA"),"AGIGA",
      OR(LEFT(VLOOKUP(B449,[1]Material!F$5:U$90000,16,0),3)="EF-",VLOOKUP(B449,[1]Material!F$5:U$90000,16,0)="EFI"),"EFI",
      AND(ISNUMBER(VLOOKUP(B449,[1]Material!F$5:U$90000,16,0)),VLOOKUP(B449,[1]Material!F$5:U$90000,16,0)&gt;=100,VLOOKUP(B449,[1]Material!F$5:U$90000,16,0)&lt;=999,VLOOKUP(B449,[1]Material!F$5:U$90000,16,0)=INT(VLOOKUP(B449,[1]Material!F$5:U$90000,16,0))),"OEM",
      TRUE,""
    ),
    "không tìm thấy trong file Import"
  ),
  VLOOKUP(F449,'[2]Export shipment'!B:Y,24,0)
)</f>
        <v>PURE</v>
      </c>
      <c r="H449" s="184"/>
      <c r="I449" s="184"/>
      <c r="J449" s="260">
        <f>(V449+X449+AA449)/'Logistics record '!$AD$1</f>
        <v>15.116015418335726</v>
      </c>
      <c r="K449" s="260">
        <f>W449/'Logistics record '!$AD$1</f>
        <v>0</v>
      </c>
      <c r="L449" s="260">
        <f>Y449/'Logistics record '!$AD$1</f>
        <v>0</v>
      </c>
      <c r="M449" s="260">
        <f>AF449/'Logistics record '!$AD$1</f>
        <v>0</v>
      </c>
      <c r="N449" s="260" t="str" cm="1">
        <f t="array" ref="N449">_xlfn.IFS(
    OR(UPPER(S449)="AIR", UPPER(S449)="CPN"), "AIR",
    UPPER(S449)="TC", "LOCAL",
    TRUE, "SEA"
)</f>
        <v>AIR</v>
      </c>
      <c r="O449" s="260">
        <f t="shared" si="36"/>
        <v>15.116015418335726</v>
      </c>
      <c r="P449" s="184" t="s">
        <v>927</v>
      </c>
      <c r="Q449" s="185">
        <v>108357040740</v>
      </c>
      <c r="R449" s="186">
        <v>46192</v>
      </c>
      <c r="S449" s="187" t="s">
        <v>928</v>
      </c>
      <c r="T449" s="188">
        <v>22.7</v>
      </c>
      <c r="U449" s="188"/>
      <c r="V449" s="189">
        <v>400000</v>
      </c>
      <c r="W449" s="190"/>
      <c r="X449" s="190"/>
      <c r="Y449" s="190"/>
      <c r="Z449" s="189">
        <f t="shared" si="39"/>
        <v>400000</v>
      </c>
      <c r="AA449" s="189">
        <v>0</v>
      </c>
      <c r="AB449" s="189">
        <f t="shared" si="41"/>
        <v>400000</v>
      </c>
      <c r="AC449" s="189"/>
      <c r="AD449" s="190"/>
      <c r="AE449" s="190"/>
      <c r="AF449" s="191">
        <f t="shared" ref="AF449:AF512" si="42">+SUM(AC449:AE449)</f>
        <v>0</v>
      </c>
      <c r="AG449" s="190">
        <f t="shared" ref="AG449:AG512" si="43">+AF449+AB449</f>
        <v>400000</v>
      </c>
      <c r="AH449" s="190"/>
      <c r="AI449" s="192" t="str">
        <f>VLOOKUP(Q449,[3]Sheet1!B$11:G$1489,6,0)</f>
        <v>E11</v>
      </c>
      <c r="GK449" s="194"/>
      <c r="GL449" s="195"/>
      <c r="GM449" s="196"/>
      <c r="GN449" s="197"/>
      <c r="GO449" s="198"/>
      <c r="GP449" s="199"/>
      <c r="GQ449" s="200"/>
      <c r="GR449" s="201"/>
      <c r="GS449" s="60"/>
      <c r="GT449" s="202"/>
      <c r="GU449" s="202"/>
      <c r="GV449" s="202"/>
      <c r="GW449" s="202"/>
      <c r="GX449" s="203"/>
      <c r="HA449" s="194"/>
      <c r="HB449" s="195"/>
      <c r="HC449" s="196"/>
      <c r="HD449" s="197"/>
      <c r="HE449" s="198"/>
      <c r="HF449" s="199"/>
      <c r="HG449" s="200"/>
      <c r="HH449" s="201"/>
      <c r="HI449" s="60"/>
      <c r="HJ449" s="202"/>
      <c r="HK449" s="202"/>
      <c r="HL449" s="202"/>
      <c r="HM449" s="202"/>
      <c r="HN449" s="203"/>
    </row>
    <row r="450" spans="1:222" ht="16.5" customHeight="1">
      <c r="A450" s="181">
        <v>447</v>
      </c>
      <c r="B450" s="182">
        <v>873074376995</v>
      </c>
      <c r="C450" s="183" t="s">
        <v>2793</v>
      </c>
      <c r="D450" s="184" t="s">
        <v>2794</v>
      </c>
      <c r="E450" s="184" t="str">
        <f t="shared" si="40"/>
        <v>Import</v>
      </c>
      <c r="F450" s="720" t="str" cm="1">
        <f t="array" ref="F450">_xlfn.IFS(
  OR(AI450="E11", AI450="E15"), "Raw materials",
  OR(AI450="E13", AI450="G13"), "Equipments + Toolings",
  TRUE, RIGHT(C450, 8)
)</f>
        <v>Raw materials</v>
      </c>
      <c r="G450" s="541" t="str" cm="1">
        <f t="array" ref="G450">IF(E450="Import",
  IFERROR(
    _xlfn.IFS(
      VLOOKUP(B450,[1]Material!F$5:U$90000,16,0)="LUC","Lucid",
      VLOOKUP(B450,[1]Material!F$5:U$90000,16,0)="FMC","FORD",
      OR(VLOOKUP(B450,[1]Material!F$5:U$90000,16,0)="PUR",VLOOKUP(B450,[1]Material!F$5:U$90000,16,0)="HLO"),"PURE",
      VLOOKUP(B450,[1]Material!F$5:U$90000,16,0)="AIC","AIC",
      OR(VLOOKUP(B450,[1]Material!F$5:U$90000,16,0)="AGI",VLOOKUP(B450,[1]Material!F$5:U$90000,16,0)="AGIGA"),"AGIGA",
      OR(LEFT(VLOOKUP(B450,[1]Material!F$5:U$90000,16,0),3)="EF-",VLOOKUP(B450,[1]Material!F$5:U$90000,16,0)="EFI"),"EFI",
      AND(ISNUMBER(VLOOKUP(B450,[1]Material!F$5:U$90000,16,0)),VLOOKUP(B450,[1]Material!F$5:U$90000,16,0)&gt;=100,VLOOKUP(B450,[1]Material!F$5:U$90000,16,0)&lt;=999,VLOOKUP(B450,[1]Material!F$5:U$90000,16,0)=INT(VLOOKUP(B450,[1]Material!F$5:U$90000,16,0))),"OEM",
      TRUE,""
    ),
    "không tìm thấy trong file Import"
  ),
  VLOOKUP(F450,'[2]Export shipment'!B:Y,24,0)
)</f>
        <v>OEM</v>
      </c>
      <c r="H450" s="184"/>
      <c r="I450" s="184"/>
      <c r="J450" s="260">
        <f>(V450+X450+AA450)/'Logistics record '!$AD$1</f>
        <v>15.116015418335726</v>
      </c>
      <c r="K450" s="260">
        <f>W450/'Logistics record '!$AD$1</f>
        <v>0</v>
      </c>
      <c r="L450" s="260">
        <f>Y450/'Logistics record '!$AD$1</f>
        <v>0</v>
      </c>
      <c r="M450" s="260">
        <f>AF450/'Logistics record '!$AD$1</f>
        <v>0</v>
      </c>
      <c r="N450" s="260" t="str" cm="1">
        <f t="array" ref="N450">_xlfn.IFS(
    OR(UPPER(S450)="AIR", UPPER(S450)="CPN"), "AIR",
    UPPER(S450)="TC", "LOCAL",
    TRUE, "SEA"
)</f>
        <v>AIR</v>
      </c>
      <c r="O450" s="260">
        <f t="shared" si="36"/>
        <v>15.116015418335726</v>
      </c>
      <c r="P450" s="184" t="s">
        <v>937</v>
      </c>
      <c r="Q450" s="185">
        <v>108357153700</v>
      </c>
      <c r="R450" s="186">
        <v>46192</v>
      </c>
      <c r="S450" s="187" t="s">
        <v>928</v>
      </c>
      <c r="T450" s="188">
        <v>3.4</v>
      </c>
      <c r="U450" s="188"/>
      <c r="V450" s="189">
        <v>400000</v>
      </c>
      <c r="W450" s="190"/>
      <c r="X450" s="190"/>
      <c r="Y450" s="190"/>
      <c r="Z450" s="189">
        <f t="shared" si="39"/>
        <v>400000</v>
      </c>
      <c r="AA450" s="189">
        <v>0</v>
      </c>
      <c r="AB450" s="189">
        <f t="shared" si="41"/>
        <v>400000</v>
      </c>
      <c r="AC450" s="189"/>
      <c r="AD450" s="190"/>
      <c r="AE450" s="190"/>
      <c r="AF450" s="191">
        <f t="shared" si="42"/>
        <v>0</v>
      </c>
      <c r="AG450" s="190">
        <f t="shared" si="43"/>
        <v>400000</v>
      </c>
      <c r="AH450" s="190"/>
      <c r="AI450" s="192" t="str">
        <f>VLOOKUP(Q450,[3]Sheet1!B$11:G$1489,6,0)</f>
        <v>E11</v>
      </c>
      <c r="GK450" s="194"/>
      <c r="GL450" s="195"/>
      <c r="GM450" s="196"/>
      <c r="GN450" s="197"/>
      <c r="GO450" s="198"/>
      <c r="GP450" s="199"/>
      <c r="GQ450" s="200"/>
      <c r="GR450" s="201"/>
      <c r="GS450" s="60"/>
      <c r="GT450" s="202"/>
      <c r="GU450" s="202"/>
      <c r="GV450" s="202"/>
      <c r="GW450" s="202"/>
      <c r="GX450" s="203"/>
      <c r="HA450" s="194"/>
      <c r="HB450" s="195"/>
      <c r="HC450" s="196"/>
      <c r="HD450" s="197"/>
      <c r="HE450" s="198"/>
      <c r="HF450" s="199"/>
      <c r="HG450" s="200"/>
      <c r="HH450" s="201"/>
      <c r="HI450" s="60"/>
      <c r="HJ450" s="202"/>
      <c r="HK450" s="202"/>
      <c r="HL450" s="202"/>
      <c r="HM450" s="202"/>
      <c r="HN450" s="203"/>
    </row>
    <row r="451" spans="1:222" ht="16.5" customHeight="1">
      <c r="A451" s="181">
        <v>448</v>
      </c>
      <c r="B451" s="182">
        <v>873182840602</v>
      </c>
      <c r="C451" s="183" t="s">
        <v>2795</v>
      </c>
      <c r="D451" s="184" t="s">
        <v>2796</v>
      </c>
      <c r="E451" s="184" t="str">
        <f t="shared" si="40"/>
        <v>Import</v>
      </c>
      <c r="F451" s="720" t="str" cm="1">
        <f t="array" ref="F451">_xlfn.IFS(
  OR(AI451="E11", AI451="E15"), "Raw materials",
  OR(AI451="E13", AI451="G13"), "Equipments + Toolings",
  TRUE, RIGHT(C451, 8)
)</f>
        <v>Raw materials</v>
      </c>
      <c r="G451" s="541" t="str" cm="1">
        <f t="array" ref="G451">IF(E451="Import",
  IFERROR(
    _xlfn.IFS(
      VLOOKUP(B451,[1]Material!F$5:U$90000,16,0)="LUC","Lucid",
      VLOOKUP(B451,[1]Material!F$5:U$90000,16,0)="FMC","FORD",
      OR(VLOOKUP(B451,[1]Material!F$5:U$90000,16,0)="PUR",VLOOKUP(B451,[1]Material!F$5:U$90000,16,0)="HLO"),"PURE",
      VLOOKUP(B451,[1]Material!F$5:U$90000,16,0)="AIC","AIC",
      OR(VLOOKUP(B451,[1]Material!F$5:U$90000,16,0)="AGI",VLOOKUP(B451,[1]Material!F$5:U$90000,16,0)="AGIGA"),"AGIGA",
      OR(LEFT(VLOOKUP(B451,[1]Material!F$5:U$90000,16,0),3)="EF-",VLOOKUP(B451,[1]Material!F$5:U$90000,16,0)="EFI"),"EFI",
      AND(ISNUMBER(VLOOKUP(B451,[1]Material!F$5:U$90000,16,0)),VLOOKUP(B451,[1]Material!F$5:U$90000,16,0)&gt;=100,VLOOKUP(B451,[1]Material!F$5:U$90000,16,0)&lt;=999,VLOOKUP(B451,[1]Material!F$5:U$90000,16,0)=INT(VLOOKUP(B451,[1]Material!F$5:U$90000,16,0))),"OEM",
      TRUE,""
    ),
    "không tìm thấy trong file Import"
  ),
  VLOOKUP(F451,'[2]Export shipment'!B:Y,24,0)
)</f>
        <v>OEM</v>
      </c>
      <c r="H451" s="184"/>
      <c r="I451" s="184"/>
      <c r="J451" s="260">
        <f>(V451+X451+AA451)/'Logistics record '!$AD$1</f>
        <v>15.116015418335726</v>
      </c>
      <c r="K451" s="260">
        <f>W451/'Logistics record '!$AD$1</f>
        <v>0</v>
      </c>
      <c r="L451" s="260">
        <f>Y451/'Logistics record '!$AD$1</f>
        <v>0</v>
      </c>
      <c r="M451" s="260">
        <f>AF451/'Logistics record '!$AD$1</f>
        <v>0</v>
      </c>
      <c r="N451" s="260" t="str" cm="1">
        <f t="array" ref="N451">_xlfn.IFS(
    OR(UPPER(S451)="AIR", UPPER(S451)="CPN"), "AIR",
    UPPER(S451)="TC", "LOCAL",
    TRUE, "SEA"
)</f>
        <v>AIR</v>
      </c>
      <c r="O451" s="260">
        <f t="shared" si="36"/>
        <v>15.116015418335726</v>
      </c>
      <c r="P451" s="184" t="s">
        <v>927</v>
      </c>
      <c r="Q451" s="185">
        <v>108357250040</v>
      </c>
      <c r="R451" s="186">
        <v>46192</v>
      </c>
      <c r="S451" s="187" t="s">
        <v>928</v>
      </c>
      <c r="T451" s="188">
        <v>2</v>
      </c>
      <c r="U451" s="188"/>
      <c r="V451" s="189">
        <v>400000</v>
      </c>
      <c r="W451" s="190"/>
      <c r="X451" s="190"/>
      <c r="Y451" s="190"/>
      <c r="Z451" s="189">
        <f t="shared" si="39"/>
        <v>400000</v>
      </c>
      <c r="AA451" s="189">
        <v>0</v>
      </c>
      <c r="AB451" s="189">
        <f t="shared" si="41"/>
        <v>400000</v>
      </c>
      <c r="AC451" s="189"/>
      <c r="AD451" s="190"/>
      <c r="AE451" s="190"/>
      <c r="AF451" s="191">
        <f t="shared" si="42"/>
        <v>0</v>
      </c>
      <c r="AG451" s="190">
        <f t="shared" si="43"/>
        <v>400000</v>
      </c>
      <c r="AH451" s="190"/>
      <c r="AI451" s="192" t="str">
        <f>VLOOKUP(Q451,[3]Sheet1!B$11:G$1489,6,0)</f>
        <v>E11</v>
      </c>
      <c r="GK451" s="194"/>
      <c r="GL451" s="195"/>
      <c r="GM451" s="196"/>
      <c r="GN451" s="197"/>
      <c r="GO451" s="198"/>
      <c r="GP451" s="199"/>
      <c r="GQ451" s="200"/>
      <c r="GR451" s="201"/>
      <c r="GS451" s="60"/>
      <c r="GT451" s="202"/>
      <c r="GU451" s="202"/>
      <c r="GV451" s="202"/>
      <c r="GW451" s="202"/>
      <c r="GX451" s="203"/>
      <c r="HA451" s="194"/>
      <c r="HB451" s="195"/>
      <c r="HC451" s="196"/>
      <c r="HD451" s="197"/>
      <c r="HE451" s="198"/>
      <c r="HF451" s="199"/>
      <c r="HG451" s="200"/>
      <c r="HH451" s="201"/>
      <c r="HI451" s="60"/>
      <c r="HJ451" s="202"/>
      <c r="HK451" s="202"/>
      <c r="HL451" s="202"/>
      <c r="HM451" s="202"/>
      <c r="HN451" s="203"/>
    </row>
    <row r="452" spans="1:222" ht="16.5" customHeight="1">
      <c r="A452" s="181">
        <v>449</v>
      </c>
      <c r="B452" s="182">
        <v>382102213488</v>
      </c>
      <c r="C452" s="183" t="s">
        <v>2797</v>
      </c>
      <c r="D452" s="184" t="s">
        <v>1702</v>
      </c>
      <c r="E452" s="184" t="str">
        <f t="shared" si="40"/>
        <v>Import</v>
      </c>
      <c r="F452" s="720" t="str" cm="1">
        <f t="array" ref="F452">_xlfn.IFS(
  OR(AI452="E11", AI452="E15"), "Raw materials",
  OR(AI452="E13", AI452="G13"), "Equipments + Toolings",
  TRUE, RIGHT(C452, 8)
)</f>
        <v>Raw materials</v>
      </c>
      <c r="G452" s="541" t="str" cm="1">
        <f t="array" ref="G452">IF(E452="Import",
  IFERROR(
    _xlfn.IFS(
      VLOOKUP(B452,[1]Material!F$5:U$90000,16,0)="LUC","Lucid",
      VLOOKUP(B452,[1]Material!F$5:U$90000,16,0)="FMC","FORD",
      OR(VLOOKUP(B452,[1]Material!F$5:U$90000,16,0)="PUR",VLOOKUP(B452,[1]Material!F$5:U$90000,16,0)="HLO"),"PURE",
      VLOOKUP(B452,[1]Material!F$5:U$90000,16,0)="AIC","AIC",
      OR(VLOOKUP(B452,[1]Material!F$5:U$90000,16,0)="AGI",VLOOKUP(B452,[1]Material!F$5:U$90000,16,0)="AGIGA"),"AGIGA",
      OR(LEFT(VLOOKUP(B452,[1]Material!F$5:U$90000,16,0),3)="EF-",VLOOKUP(B452,[1]Material!F$5:U$90000,16,0)="EFI"),"EFI",
      AND(ISNUMBER(VLOOKUP(B452,[1]Material!F$5:U$90000,16,0)),VLOOKUP(B452,[1]Material!F$5:U$90000,16,0)&gt;=100,VLOOKUP(B452,[1]Material!F$5:U$90000,16,0)&lt;=999,VLOOKUP(B452,[1]Material!F$5:U$90000,16,0)=INT(VLOOKUP(B452,[1]Material!F$5:U$90000,16,0))),"OEM",
      TRUE,""
    ),
    "không tìm thấy trong file Import"
  ),
  VLOOKUP(F452,'[2]Export shipment'!B:Y,24,0)
)</f>
        <v>PURE</v>
      </c>
      <c r="H452" s="184"/>
      <c r="I452" s="184"/>
      <c r="J452" s="260">
        <f>(V452+X452+AA452)/'Logistics record '!$AD$1</f>
        <v>15.116015418335726</v>
      </c>
      <c r="K452" s="260">
        <f>W452/'Logistics record '!$AD$1</f>
        <v>0</v>
      </c>
      <c r="L452" s="260">
        <f>Y452/'Logistics record '!$AD$1</f>
        <v>0</v>
      </c>
      <c r="M452" s="260">
        <f>AF452/'Logistics record '!$AD$1</f>
        <v>0</v>
      </c>
      <c r="N452" s="260" t="str" cm="1">
        <f t="array" ref="N452">_xlfn.IFS(
    OR(UPPER(S452)="AIR", UPPER(S452)="CPN"), "AIR",
    UPPER(S452)="TC", "LOCAL",
    TRUE, "SEA"
)</f>
        <v>AIR</v>
      </c>
      <c r="O452" s="260">
        <f t="shared" si="36"/>
        <v>15.116015418335726</v>
      </c>
      <c r="P452" s="184" t="s">
        <v>937</v>
      </c>
      <c r="Q452" s="185">
        <v>108357361710</v>
      </c>
      <c r="R452" s="186">
        <v>46192</v>
      </c>
      <c r="S452" s="187" t="s">
        <v>928</v>
      </c>
      <c r="T452" s="188">
        <v>3.7</v>
      </c>
      <c r="U452" s="188"/>
      <c r="V452" s="189">
        <v>400000</v>
      </c>
      <c r="W452" s="190"/>
      <c r="X452" s="190"/>
      <c r="Y452" s="190"/>
      <c r="Z452" s="189">
        <f t="shared" ref="Z452:Z515" si="44">SUM(V452:Y452)</f>
        <v>400000</v>
      </c>
      <c r="AA452" s="189">
        <v>0</v>
      </c>
      <c r="AB452" s="189">
        <f t="shared" si="41"/>
        <v>400000</v>
      </c>
      <c r="AC452" s="189"/>
      <c r="AD452" s="190"/>
      <c r="AE452" s="190"/>
      <c r="AF452" s="191">
        <f t="shared" si="42"/>
        <v>0</v>
      </c>
      <c r="AG452" s="190">
        <f t="shared" si="43"/>
        <v>400000</v>
      </c>
      <c r="AH452" s="190"/>
      <c r="AI452" s="192" t="str">
        <f>VLOOKUP(Q452,[3]Sheet1!B$11:G$1489,6,0)</f>
        <v>E11</v>
      </c>
      <c r="GK452" s="194"/>
      <c r="GL452" s="195"/>
      <c r="GM452" s="196"/>
      <c r="GN452" s="197"/>
      <c r="GO452" s="198"/>
      <c r="GP452" s="199"/>
      <c r="GQ452" s="200"/>
      <c r="GR452" s="201"/>
      <c r="GS452" s="60"/>
      <c r="GT452" s="202"/>
      <c r="GU452" s="202"/>
      <c r="GV452" s="202"/>
      <c r="GW452" s="202"/>
      <c r="GX452" s="203"/>
      <c r="HA452" s="194"/>
      <c r="HB452" s="195"/>
      <c r="HC452" s="196"/>
      <c r="HD452" s="197"/>
      <c r="HE452" s="198"/>
      <c r="HF452" s="199"/>
      <c r="HG452" s="200"/>
      <c r="HH452" s="201"/>
      <c r="HI452" s="60"/>
      <c r="HJ452" s="202"/>
      <c r="HK452" s="202"/>
      <c r="HL452" s="202"/>
      <c r="HM452" s="202"/>
      <c r="HN452" s="203"/>
    </row>
    <row r="453" spans="1:222" ht="16.5" customHeight="1">
      <c r="A453" s="181">
        <v>450</v>
      </c>
      <c r="B453" s="182">
        <v>873186448972</v>
      </c>
      <c r="C453" s="183" t="s">
        <v>2798</v>
      </c>
      <c r="D453" s="184" t="s">
        <v>1323</v>
      </c>
      <c r="E453" s="184" t="str">
        <f t="shared" ref="E453:E516" si="45">IF(OR(AI453="E11", AI453="E13", AI453="E15", AI453="G13"), "Import", "Export")</f>
        <v>Import</v>
      </c>
      <c r="F453" s="720" t="str" cm="1">
        <f t="array" ref="F453">_xlfn.IFS(
  OR(AI453="E11", AI453="E15"), "Raw materials",
  OR(AI453="E13", AI453="G13"), "Equipments + Toolings",
  TRUE, RIGHT(C453, 8)
)</f>
        <v>Raw materials</v>
      </c>
      <c r="G453" s="541" t="str" cm="1">
        <f t="array" ref="G453">IF(E453="Import",
  IFERROR(
    _xlfn.IFS(
      VLOOKUP(B453,[1]Material!F$5:U$90000,16,0)="LUC","Lucid",
      VLOOKUP(B453,[1]Material!F$5:U$90000,16,0)="FMC","FORD",
      OR(VLOOKUP(B453,[1]Material!F$5:U$90000,16,0)="PUR",VLOOKUP(B453,[1]Material!F$5:U$90000,16,0)="HLO"),"PURE",
      VLOOKUP(B453,[1]Material!F$5:U$90000,16,0)="AIC","AIC",
      OR(VLOOKUP(B453,[1]Material!F$5:U$90000,16,0)="AGI",VLOOKUP(B453,[1]Material!F$5:U$90000,16,0)="AGIGA"),"AGIGA",
      OR(LEFT(VLOOKUP(B453,[1]Material!F$5:U$90000,16,0),3)="EF-",VLOOKUP(B453,[1]Material!F$5:U$90000,16,0)="EFI"),"EFI",
      AND(ISNUMBER(VLOOKUP(B453,[1]Material!F$5:U$90000,16,0)),VLOOKUP(B453,[1]Material!F$5:U$90000,16,0)&gt;=100,VLOOKUP(B453,[1]Material!F$5:U$90000,16,0)&lt;=999,VLOOKUP(B453,[1]Material!F$5:U$90000,16,0)=INT(VLOOKUP(B453,[1]Material!F$5:U$90000,16,0))),"OEM",
      TRUE,""
    ),
    "không tìm thấy trong file Import"
  ),
  VLOOKUP(F453,'[2]Export shipment'!B:Y,24,0)
)</f>
        <v>PURE</v>
      </c>
      <c r="H453" s="184"/>
      <c r="I453" s="184"/>
      <c r="J453" s="260">
        <f>(V453+X453+AA453)/'Logistics record '!$AD$1</f>
        <v>15.116015418335726</v>
      </c>
      <c r="K453" s="260">
        <f>W453/'Logistics record '!$AD$1</f>
        <v>0</v>
      </c>
      <c r="L453" s="260">
        <f>Y453/'Logistics record '!$AD$1</f>
        <v>0</v>
      </c>
      <c r="M453" s="260">
        <f>AF453/'Logistics record '!$AD$1</f>
        <v>0</v>
      </c>
      <c r="N453" s="260" t="str" cm="1">
        <f t="array" ref="N453">_xlfn.IFS(
    OR(UPPER(S453)="AIR", UPPER(S453)="CPN"), "AIR",
    UPPER(S453)="TC", "LOCAL",
    TRUE, "SEA"
)</f>
        <v>AIR</v>
      </c>
      <c r="O453" s="260">
        <f t="shared" si="36"/>
        <v>15.116015418335726</v>
      </c>
      <c r="P453" s="184" t="s">
        <v>931</v>
      </c>
      <c r="Q453" s="185">
        <v>108357370660</v>
      </c>
      <c r="R453" s="186">
        <v>46192</v>
      </c>
      <c r="S453" s="187" t="s">
        <v>928</v>
      </c>
      <c r="T453" s="188">
        <v>0.30000000000000004</v>
      </c>
      <c r="U453" s="188"/>
      <c r="V453" s="189">
        <v>400000</v>
      </c>
      <c r="W453" s="190"/>
      <c r="X453" s="190"/>
      <c r="Y453" s="190"/>
      <c r="Z453" s="189">
        <f t="shared" si="44"/>
        <v>400000</v>
      </c>
      <c r="AA453" s="189">
        <v>0</v>
      </c>
      <c r="AB453" s="189">
        <f t="shared" si="41"/>
        <v>400000</v>
      </c>
      <c r="AC453" s="189"/>
      <c r="AD453" s="190"/>
      <c r="AE453" s="190"/>
      <c r="AF453" s="191">
        <f t="shared" si="42"/>
        <v>0</v>
      </c>
      <c r="AG453" s="190">
        <f t="shared" si="43"/>
        <v>400000</v>
      </c>
      <c r="AH453" s="190"/>
      <c r="AI453" s="192" t="str">
        <f>VLOOKUP(Q453,[3]Sheet1!B$11:G$1489,6,0)</f>
        <v>E11</v>
      </c>
      <c r="GK453" s="194"/>
      <c r="GL453" s="195"/>
      <c r="GM453" s="196"/>
      <c r="GN453" s="197"/>
      <c r="GO453" s="198"/>
      <c r="GP453" s="199"/>
      <c r="GQ453" s="200"/>
      <c r="GR453" s="201"/>
      <c r="GS453" s="60"/>
      <c r="GT453" s="202"/>
      <c r="GU453" s="202"/>
      <c r="GV453" s="202"/>
      <c r="GW453" s="202"/>
      <c r="GX453" s="203"/>
      <c r="HA453" s="194"/>
      <c r="HB453" s="195"/>
      <c r="HC453" s="196"/>
      <c r="HD453" s="197"/>
      <c r="HE453" s="198"/>
      <c r="HF453" s="199"/>
      <c r="HG453" s="200"/>
      <c r="HH453" s="201"/>
      <c r="HI453" s="60"/>
      <c r="HJ453" s="202"/>
      <c r="HK453" s="202"/>
      <c r="HL453" s="202"/>
      <c r="HM453" s="202"/>
      <c r="HN453" s="203"/>
    </row>
    <row r="454" spans="1:222" ht="16.5" customHeight="1">
      <c r="A454" s="181">
        <v>451</v>
      </c>
      <c r="B454" s="182">
        <v>615498867354</v>
      </c>
      <c r="C454" s="183" t="s">
        <v>2799</v>
      </c>
      <c r="D454" s="184" t="s">
        <v>1712</v>
      </c>
      <c r="E454" s="184" t="str">
        <f t="shared" si="45"/>
        <v>Import</v>
      </c>
      <c r="F454" s="720" t="str" cm="1">
        <f t="array" ref="F454">_xlfn.IFS(
  OR(AI454="E11", AI454="E15"), "Raw materials",
  OR(AI454="E13", AI454="G13"), "Equipments + Toolings",
  TRUE, RIGHT(C454, 8)
)</f>
        <v>Raw materials</v>
      </c>
      <c r="G454" s="541" t="str" cm="1">
        <f t="array" ref="G454">IF(E454="Import",
  IFERROR(
    _xlfn.IFS(
      VLOOKUP(B454,[1]Material!F$5:U$90000,16,0)="LUC","Lucid",
      VLOOKUP(B454,[1]Material!F$5:U$90000,16,0)="FMC","FORD",
      OR(VLOOKUP(B454,[1]Material!F$5:U$90000,16,0)="PUR",VLOOKUP(B454,[1]Material!F$5:U$90000,16,0)="HLO"),"PURE",
      VLOOKUP(B454,[1]Material!F$5:U$90000,16,0)="AIC","AIC",
      OR(VLOOKUP(B454,[1]Material!F$5:U$90000,16,0)="AGI",VLOOKUP(B454,[1]Material!F$5:U$90000,16,0)="AGIGA"),"AGIGA",
      OR(LEFT(VLOOKUP(B454,[1]Material!F$5:U$90000,16,0),3)="EF-",VLOOKUP(B454,[1]Material!F$5:U$90000,16,0)="EFI"),"EFI",
      AND(ISNUMBER(VLOOKUP(B454,[1]Material!F$5:U$90000,16,0)),VLOOKUP(B454,[1]Material!F$5:U$90000,16,0)&gt;=100,VLOOKUP(B454,[1]Material!F$5:U$90000,16,0)&lt;=999,VLOOKUP(B454,[1]Material!F$5:U$90000,16,0)=INT(VLOOKUP(B454,[1]Material!F$5:U$90000,16,0))),"OEM",
      TRUE,""
    ),
    "không tìm thấy trong file Import"
  ),
  VLOOKUP(F454,'[2]Export shipment'!B:Y,24,0)
)</f>
        <v>OEM</v>
      </c>
      <c r="H454" s="184"/>
      <c r="I454" s="184"/>
      <c r="J454" s="260">
        <f>(V454+X454+AA454)/'Logistics record '!$AD$1</f>
        <v>15.116015418335726</v>
      </c>
      <c r="K454" s="260">
        <f>W454/'Logistics record '!$AD$1</f>
        <v>0</v>
      </c>
      <c r="L454" s="260">
        <f>Y454/'Logistics record '!$AD$1</f>
        <v>0</v>
      </c>
      <c r="M454" s="260">
        <f>AF454/'Logistics record '!$AD$1</f>
        <v>0</v>
      </c>
      <c r="N454" s="260" t="str" cm="1">
        <f t="array" ref="N454">_xlfn.IFS(
    OR(UPPER(S454)="AIR", UPPER(S454)="CPN"), "AIR",
    UPPER(S454)="TC", "LOCAL",
    TRUE, "SEA"
)</f>
        <v>AIR</v>
      </c>
      <c r="O454" s="260">
        <f t="shared" si="36"/>
        <v>15.116015418335726</v>
      </c>
      <c r="P454" s="184" t="s">
        <v>959</v>
      </c>
      <c r="Q454" s="185">
        <v>108357481150</v>
      </c>
      <c r="R454" s="186">
        <v>46192</v>
      </c>
      <c r="S454" s="187" t="s">
        <v>928</v>
      </c>
      <c r="T454" s="188">
        <v>8.5</v>
      </c>
      <c r="U454" s="188"/>
      <c r="V454" s="189">
        <v>400000</v>
      </c>
      <c r="W454" s="190"/>
      <c r="X454" s="190"/>
      <c r="Y454" s="190"/>
      <c r="Z454" s="189">
        <f t="shared" si="44"/>
        <v>400000</v>
      </c>
      <c r="AA454" s="189">
        <v>0</v>
      </c>
      <c r="AB454" s="189">
        <f t="shared" si="41"/>
        <v>400000</v>
      </c>
      <c r="AC454" s="189"/>
      <c r="AD454" s="190"/>
      <c r="AE454" s="190"/>
      <c r="AF454" s="191">
        <f t="shared" si="42"/>
        <v>0</v>
      </c>
      <c r="AG454" s="190">
        <f t="shared" si="43"/>
        <v>400000</v>
      </c>
      <c r="AH454" s="190"/>
      <c r="AI454" s="192" t="str">
        <f>VLOOKUP(Q454,[3]Sheet1!B$11:G$1489,6,0)</f>
        <v>E11</v>
      </c>
      <c r="GK454" s="194"/>
      <c r="GL454" s="195"/>
      <c r="GM454" s="196"/>
      <c r="GN454" s="197"/>
      <c r="GO454" s="198"/>
      <c r="GP454" s="199"/>
      <c r="GQ454" s="200"/>
      <c r="GR454" s="201"/>
      <c r="GS454" s="60"/>
      <c r="GT454" s="202"/>
      <c r="GU454" s="202"/>
      <c r="GV454" s="202"/>
      <c r="GW454" s="202"/>
      <c r="GX454" s="203"/>
      <c r="HA454" s="194"/>
      <c r="HB454" s="195"/>
      <c r="HC454" s="196"/>
      <c r="HD454" s="197"/>
      <c r="HE454" s="198"/>
      <c r="HF454" s="199"/>
      <c r="HG454" s="200"/>
      <c r="HH454" s="201"/>
      <c r="HI454" s="60"/>
      <c r="HJ454" s="202"/>
      <c r="HK454" s="202"/>
      <c r="HL454" s="202"/>
      <c r="HM454" s="202"/>
      <c r="HN454" s="203"/>
    </row>
    <row r="455" spans="1:222" ht="16.5" customHeight="1">
      <c r="A455" s="181">
        <v>452</v>
      </c>
      <c r="B455" s="182">
        <v>382085402744</v>
      </c>
      <c r="C455" s="183" t="s">
        <v>2800</v>
      </c>
      <c r="D455" s="184" t="s">
        <v>2446</v>
      </c>
      <c r="E455" s="184" t="str">
        <f t="shared" si="45"/>
        <v>Import</v>
      </c>
      <c r="F455" s="720" t="str" cm="1">
        <f t="array" ref="F455">_xlfn.IFS(
  OR(AI455="E11", AI455="E15"), "Raw materials",
  OR(AI455="E13", AI455="G13"), "Equipments + Toolings",
  TRUE, RIGHT(C455, 8)
)</f>
        <v>Raw materials</v>
      </c>
      <c r="G455" s="541" t="str" cm="1">
        <f t="array" ref="G455">IF(E455="Import",
  IFERROR(
    _xlfn.IFS(
      VLOOKUP(B455,[1]Material!F$5:U$90000,16,0)="LUC","Lucid",
      VLOOKUP(B455,[1]Material!F$5:U$90000,16,0)="FMC","FORD",
      OR(VLOOKUP(B455,[1]Material!F$5:U$90000,16,0)="PUR",VLOOKUP(B455,[1]Material!F$5:U$90000,16,0)="HLO"),"PURE",
      VLOOKUP(B455,[1]Material!F$5:U$90000,16,0)="AIC","AIC",
      OR(VLOOKUP(B455,[1]Material!F$5:U$90000,16,0)="AGI",VLOOKUP(B455,[1]Material!F$5:U$90000,16,0)="AGIGA"),"AGIGA",
      OR(LEFT(VLOOKUP(B455,[1]Material!F$5:U$90000,16,0),3)="EF-",VLOOKUP(B455,[1]Material!F$5:U$90000,16,0)="EFI"),"EFI",
      AND(ISNUMBER(VLOOKUP(B455,[1]Material!F$5:U$90000,16,0)),VLOOKUP(B455,[1]Material!F$5:U$90000,16,0)&gt;=100,VLOOKUP(B455,[1]Material!F$5:U$90000,16,0)&lt;=999,VLOOKUP(B455,[1]Material!F$5:U$90000,16,0)=INT(VLOOKUP(B455,[1]Material!F$5:U$90000,16,0))),"OEM",
      TRUE,""
    ),
    "không tìm thấy trong file Import"
  ),
  VLOOKUP(F455,'[2]Export shipment'!B:Y,24,0)
)</f>
        <v>PURE</v>
      </c>
      <c r="H455" s="184"/>
      <c r="I455" s="184"/>
      <c r="J455" s="260">
        <f>(V455+X455+AA455)/'Logistics record '!$AD$1</f>
        <v>15.116015418335726</v>
      </c>
      <c r="K455" s="260">
        <f>W455/'Logistics record '!$AD$1</f>
        <v>0</v>
      </c>
      <c r="L455" s="260">
        <f>Y455/'Logistics record '!$AD$1</f>
        <v>0</v>
      </c>
      <c r="M455" s="260">
        <f>AF455/'Logistics record '!$AD$1</f>
        <v>0</v>
      </c>
      <c r="N455" s="260" t="str" cm="1">
        <f t="array" ref="N455">_xlfn.IFS(
    OR(UPPER(S455)="AIR", UPPER(S455)="CPN"), "AIR",
    UPPER(S455)="TC", "LOCAL",
    TRUE, "SEA"
)</f>
        <v>AIR</v>
      </c>
      <c r="O455" s="260">
        <f t="shared" si="36"/>
        <v>15.116015418335726</v>
      </c>
      <c r="P455" s="184" t="s">
        <v>937</v>
      </c>
      <c r="Q455" s="185">
        <v>108358003830</v>
      </c>
      <c r="R455" s="186">
        <v>46192</v>
      </c>
      <c r="S455" s="187" t="s">
        <v>928</v>
      </c>
      <c r="T455" s="188">
        <v>1.7</v>
      </c>
      <c r="U455" s="188"/>
      <c r="V455" s="189">
        <v>400000</v>
      </c>
      <c r="W455" s="190"/>
      <c r="X455" s="190"/>
      <c r="Y455" s="190"/>
      <c r="Z455" s="189">
        <f t="shared" si="44"/>
        <v>400000</v>
      </c>
      <c r="AA455" s="189">
        <v>0</v>
      </c>
      <c r="AB455" s="189">
        <f t="shared" si="41"/>
        <v>400000</v>
      </c>
      <c r="AC455" s="189"/>
      <c r="AD455" s="190"/>
      <c r="AE455" s="190"/>
      <c r="AF455" s="191">
        <f t="shared" si="42"/>
        <v>0</v>
      </c>
      <c r="AG455" s="190">
        <f t="shared" si="43"/>
        <v>400000</v>
      </c>
      <c r="AH455" s="190"/>
      <c r="AI455" s="192" t="str">
        <f>VLOOKUP(Q455,[3]Sheet1!B$11:G$1489,6,0)</f>
        <v>E11</v>
      </c>
      <c r="GK455" s="194"/>
      <c r="GL455" s="195"/>
      <c r="GM455" s="196"/>
      <c r="GN455" s="197"/>
      <c r="GO455" s="198"/>
      <c r="GP455" s="199"/>
      <c r="GQ455" s="200"/>
      <c r="GR455" s="201"/>
      <c r="GS455" s="60"/>
      <c r="GT455" s="202"/>
      <c r="GU455" s="202"/>
      <c r="GV455" s="202"/>
      <c r="GW455" s="202"/>
      <c r="GX455" s="203"/>
      <c r="HA455" s="194"/>
      <c r="HB455" s="195"/>
      <c r="HC455" s="196"/>
      <c r="HD455" s="197"/>
      <c r="HE455" s="198"/>
      <c r="HF455" s="199"/>
      <c r="HG455" s="200"/>
      <c r="HH455" s="201"/>
      <c r="HI455" s="60"/>
      <c r="HJ455" s="202"/>
      <c r="HK455" s="202"/>
      <c r="HL455" s="202"/>
      <c r="HM455" s="202"/>
      <c r="HN455" s="203"/>
    </row>
    <row r="456" spans="1:222" ht="16.5" customHeight="1">
      <c r="A456" s="181">
        <v>453</v>
      </c>
      <c r="B456" s="182">
        <v>873131729718</v>
      </c>
      <c r="C456" s="183" t="s">
        <v>2801</v>
      </c>
      <c r="D456" s="184" t="s">
        <v>2802</v>
      </c>
      <c r="E456" s="184" t="str">
        <f t="shared" si="45"/>
        <v>Import</v>
      </c>
      <c r="F456" s="720" t="str" cm="1">
        <f t="array" ref="F456">_xlfn.IFS(
  OR(AI456="E11", AI456="E15"), "Raw materials",
  OR(AI456="E13", AI456="G13"), "Equipments + Toolings",
  TRUE, RIGHT(C456, 8)
)</f>
        <v>Raw materials</v>
      </c>
      <c r="G456" s="541" t="str" cm="1">
        <f t="array" ref="G456">IF(E456="Import",
  IFERROR(
    _xlfn.IFS(
      VLOOKUP(B456,[1]Material!F$5:U$90000,16,0)="LUC","Lucid",
      VLOOKUP(B456,[1]Material!F$5:U$90000,16,0)="FMC","FORD",
      OR(VLOOKUP(B456,[1]Material!F$5:U$90000,16,0)="PUR",VLOOKUP(B456,[1]Material!F$5:U$90000,16,0)="HLO"),"PURE",
      VLOOKUP(B456,[1]Material!F$5:U$90000,16,0)="AIC","AIC",
      OR(VLOOKUP(B456,[1]Material!F$5:U$90000,16,0)="AGI",VLOOKUP(B456,[1]Material!F$5:U$90000,16,0)="AGIGA"),"AGIGA",
      OR(LEFT(VLOOKUP(B456,[1]Material!F$5:U$90000,16,0),3)="EF-",VLOOKUP(B456,[1]Material!F$5:U$90000,16,0)="EFI"),"EFI",
      AND(ISNUMBER(VLOOKUP(B456,[1]Material!F$5:U$90000,16,0)),VLOOKUP(B456,[1]Material!F$5:U$90000,16,0)&gt;=100,VLOOKUP(B456,[1]Material!F$5:U$90000,16,0)&lt;=999,VLOOKUP(B456,[1]Material!F$5:U$90000,16,0)=INT(VLOOKUP(B456,[1]Material!F$5:U$90000,16,0))),"OEM",
      TRUE,""
    ),
    "không tìm thấy trong file Import"
  ),
  VLOOKUP(F456,'[2]Export shipment'!B:Y,24,0)
)</f>
        <v>PURE</v>
      </c>
      <c r="H456" s="184"/>
      <c r="I456" s="184"/>
      <c r="J456" s="260">
        <f>(V456+X456+AA456)/'Logistics record '!$AD$1</f>
        <v>15.116015418335726</v>
      </c>
      <c r="K456" s="260">
        <f>W456/'Logistics record '!$AD$1</f>
        <v>0</v>
      </c>
      <c r="L456" s="260">
        <f>Y456/'Logistics record '!$AD$1</f>
        <v>0</v>
      </c>
      <c r="M456" s="260">
        <f>AF456/'Logistics record '!$AD$1</f>
        <v>0</v>
      </c>
      <c r="N456" s="260" t="str" cm="1">
        <f t="array" ref="N456">_xlfn.IFS(
    OR(UPPER(S456)="AIR", UPPER(S456)="CPN"), "AIR",
    UPPER(S456)="TC", "LOCAL",
    TRUE, "SEA"
)</f>
        <v>AIR</v>
      </c>
      <c r="O456" s="260">
        <f t="shared" si="36"/>
        <v>15.116015418335726</v>
      </c>
      <c r="P456" s="184" t="s">
        <v>937</v>
      </c>
      <c r="Q456" s="185">
        <v>108358057620</v>
      </c>
      <c r="R456" s="186">
        <v>46192</v>
      </c>
      <c r="S456" s="187" t="s">
        <v>928</v>
      </c>
      <c r="T456" s="188">
        <v>34.5</v>
      </c>
      <c r="U456" s="188"/>
      <c r="V456" s="189">
        <v>400000</v>
      </c>
      <c r="W456" s="190"/>
      <c r="X456" s="190"/>
      <c r="Y456" s="190"/>
      <c r="Z456" s="189">
        <f t="shared" si="44"/>
        <v>400000</v>
      </c>
      <c r="AA456" s="189">
        <v>0</v>
      </c>
      <c r="AB456" s="189">
        <f t="shared" si="41"/>
        <v>400000</v>
      </c>
      <c r="AC456" s="189"/>
      <c r="AD456" s="190"/>
      <c r="AE456" s="190"/>
      <c r="AF456" s="191">
        <f t="shared" si="42"/>
        <v>0</v>
      </c>
      <c r="AG456" s="190">
        <f t="shared" si="43"/>
        <v>400000</v>
      </c>
      <c r="AH456" s="190"/>
      <c r="AI456" s="192" t="str">
        <f>VLOOKUP(Q456,[3]Sheet1!B$11:G$1489,6,0)</f>
        <v>E11</v>
      </c>
      <c r="GK456" s="194"/>
      <c r="GL456" s="195"/>
      <c r="GM456" s="196"/>
      <c r="GN456" s="197"/>
      <c r="GO456" s="198"/>
      <c r="GP456" s="199"/>
      <c r="GQ456" s="200"/>
      <c r="GR456" s="201"/>
      <c r="GS456" s="60"/>
      <c r="GT456" s="202"/>
      <c r="GU456" s="202"/>
      <c r="GV456" s="202"/>
      <c r="GW456" s="202"/>
      <c r="GX456" s="203"/>
      <c r="HA456" s="194"/>
      <c r="HB456" s="195"/>
      <c r="HC456" s="196"/>
      <c r="HD456" s="197"/>
      <c r="HE456" s="198"/>
      <c r="HF456" s="199"/>
      <c r="HG456" s="200"/>
      <c r="HH456" s="201"/>
      <c r="HI456" s="60"/>
      <c r="HJ456" s="202"/>
      <c r="HK456" s="202"/>
      <c r="HL456" s="202"/>
      <c r="HM456" s="202"/>
      <c r="HN456" s="203"/>
    </row>
    <row r="457" spans="1:222" ht="16.5" customHeight="1">
      <c r="A457" s="181">
        <v>454</v>
      </c>
      <c r="B457" s="182">
        <v>512718302319</v>
      </c>
      <c r="C457" s="183" t="s">
        <v>2803</v>
      </c>
      <c r="D457" s="184" t="s">
        <v>2796</v>
      </c>
      <c r="E457" s="184" t="str">
        <f t="shared" si="45"/>
        <v>Import</v>
      </c>
      <c r="F457" s="720" t="str" cm="1">
        <f t="array" ref="F457">_xlfn.IFS(
  OR(AI457="E11", AI457="E15"), "Raw materials",
  OR(AI457="E13", AI457="G13"), "Equipments + Toolings",
  TRUE, RIGHT(C457, 8)
)</f>
        <v>Raw materials</v>
      </c>
      <c r="G457" s="541" t="str" cm="1">
        <f t="array" ref="G457">IF(E457="Import",
  IFERROR(
    _xlfn.IFS(
      VLOOKUP(B457,[1]Material!F$5:U$90000,16,0)="LUC","Lucid",
      VLOOKUP(B457,[1]Material!F$5:U$90000,16,0)="FMC","FORD",
      OR(VLOOKUP(B457,[1]Material!F$5:U$90000,16,0)="PUR",VLOOKUP(B457,[1]Material!F$5:U$90000,16,0)="HLO"),"PURE",
      VLOOKUP(B457,[1]Material!F$5:U$90000,16,0)="AIC","AIC",
      OR(VLOOKUP(B457,[1]Material!F$5:U$90000,16,0)="AGI",VLOOKUP(B457,[1]Material!F$5:U$90000,16,0)="AGIGA"),"AGIGA",
      OR(LEFT(VLOOKUP(B457,[1]Material!F$5:U$90000,16,0),3)="EF-",VLOOKUP(B457,[1]Material!F$5:U$90000,16,0)="EFI"),"EFI",
      AND(ISNUMBER(VLOOKUP(B457,[1]Material!F$5:U$90000,16,0)),VLOOKUP(B457,[1]Material!F$5:U$90000,16,0)&gt;=100,VLOOKUP(B457,[1]Material!F$5:U$90000,16,0)&lt;=999,VLOOKUP(B457,[1]Material!F$5:U$90000,16,0)=INT(VLOOKUP(B457,[1]Material!F$5:U$90000,16,0))),"OEM",
      TRUE,""
    ),
    "không tìm thấy trong file Import"
  ),
  VLOOKUP(F457,'[2]Export shipment'!B:Y,24,0)
)</f>
        <v>PURE</v>
      </c>
      <c r="H457" s="184"/>
      <c r="I457" s="184"/>
      <c r="J457" s="260">
        <f>(V457+X457+AA457)/'Logistics record '!$AD$1</f>
        <v>15.116015418335726</v>
      </c>
      <c r="K457" s="260">
        <f>W457/'Logistics record '!$AD$1</f>
        <v>0</v>
      </c>
      <c r="L457" s="260">
        <f>Y457/'Logistics record '!$AD$1</f>
        <v>0</v>
      </c>
      <c r="M457" s="260">
        <f>AF457/'Logistics record '!$AD$1</f>
        <v>0</v>
      </c>
      <c r="N457" s="260" t="str" cm="1">
        <f t="array" ref="N457">_xlfn.IFS(
    OR(UPPER(S457)="AIR", UPPER(S457)="CPN"), "AIR",
    UPPER(S457)="TC", "LOCAL",
    TRUE, "SEA"
)</f>
        <v>AIR</v>
      </c>
      <c r="O457" s="260">
        <f t="shared" si="36"/>
        <v>15.116015418335726</v>
      </c>
      <c r="P457" s="184" t="s">
        <v>932</v>
      </c>
      <c r="Q457" s="185">
        <v>108358324100</v>
      </c>
      <c r="R457" s="186">
        <v>46192</v>
      </c>
      <c r="S457" s="187" t="s">
        <v>928</v>
      </c>
      <c r="T457" s="188">
        <v>3.3</v>
      </c>
      <c r="U457" s="188"/>
      <c r="V457" s="189">
        <v>400000</v>
      </c>
      <c r="W457" s="190"/>
      <c r="X457" s="190"/>
      <c r="Y457" s="190"/>
      <c r="Z457" s="189">
        <f t="shared" si="44"/>
        <v>400000</v>
      </c>
      <c r="AA457" s="189">
        <v>0</v>
      </c>
      <c r="AB457" s="189">
        <f t="shared" si="41"/>
        <v>400000</v>
      </c>
      <c r="AC457" s="189"/>
      <c r="AD457" s="190"/>
      <c r="AE457" s="190"/>
      <c r="AF457" s="191">
        <f t="shared" si="42"/>
        <v>0</v>
      </c>
      <c r="AG457" s="190">
        <f t="shared" si="43"/>
        <v>400000</v>
      </c>
      <c r="AH457" s="190"/>
      <c r="AI457" s="192" t="str">
        <f>VLOOKUP(Q457,[3]Sheet1!B$11:G$1489,6,0)</f>
        <v>E11</v>
      </c>
      <c r="GK457" s="194"/>
      <c r="GL457" s="195"/>
      <c r="GM457" s="196"/>
      <c r="GN457" s="197"/>
      <c r="GO457" s="198"/>
      <c r="GP457" s="199"/>
      <c r="GQ457" s="200"/>
      <c r="GR457" s="201"/>
      <c r="GS457" s="60"/>
      <c r="GT457" s="202"/>
      <c r="GU457" s="202"/>
      <c r="GV457" s="202"/>
      <c r="GW457" s="202"/>
      <c r="GX457" s="203"/>
      <c r="HA457" s="194"/>
      <c r="HB457" s="195"/>
      <c r="HC457" s="196"/>
      <c r="HD457" s="197"/>
      <c r="HE457" s="198"/>
      <c r="HF457" s="199"/>
      <c r="HG457" s="200"/>
      <c r="HH457" s="201"/>
      <c r="HI457" s="60"/>
      <c r="HJ457" s="202"/>
      <c r="HK457" s="202"/>
      <c r="HL457" s="202"/>
      <c r="HM457" s="202"/>
      <c r="HN457" s="203"/>
    </row>
    <row r="458" spans="1:222" ht="16.5" customHeight="1">
      <c r="A458" s="181">
        <v>455</v>
      </c>
      <c r="B458" s="182">
        <v>493891689782</v>
      </c>
      <c r="C458" s="183" t="s">
        <v>2804</v>
      </c>
      <c r="D458" s="184" t="s">
        <v>977</v>
      </c>
      <c r="E458" s="184" t="str">
        <f t="shared" si="45"/>
        <v>Import</v>
      </c>
      <c r="F458" s="720" t="str" cm="1">
        <f t="array" ref="F458">_xlfn.IFS(
  OR(AI458="E11", AI458="E15"), "Raw materials",
  OR(AI458="E13", AI458="G13"), "Equipments + Toolings",
  TRUE, RIGHT(C458, 8)
)</f>
        <v>Raw materials</v>
      </c>
      <c r="G458" s="541" t="str" cm="1">
        <f t="array" ref="G458">IF(E458="Import",
  IFERROR(
    _xlfn.IFS(
      VLOOKUP(B458,[1]Material!F$5:U$90000,16,0)="LUC","Lucid",
      VLOOKUP(B458,[1]Material!F$5:U$90000,16,0)="FMC","FORD",
      OR(VLOOKUP(B458,[1]Material!F$5:U$90000,16,0)="PUR",VLOOKUP(B458,[1]Material!F$5:U$90000,16,0)="HLO"),"PURE",
      VLOOKUP(B458,[1]Material!F$5:U$90000,16,0)="AIC","AIC",
      OR(VLOOKUP(B458,[1]Material!F$5:U$90000,16,0)="AGI",VLOOKUP(B458,[1]Material!F$5:U$90000,16,0)="AGIGA"),"AGIGA",
      OR(LEFT(VLOOKUP(B458,[1]Material!F$5:U$90000,16,0),3)="EF-",VLOOKUP(B458,[1]Material!F$5:U$90000,16,0)="EFI"),"EFI",
      AND(ISNUMBER(VLOOKUP(B458,[1]Material!F$5:U$90000,16,0)),VLOOKUP(B458,[1]Material!F$5:U$90000,16,0)&gt;=100,VLOOKUP(B458,[1]Material!F$5:U$90000,16,0)&lt;=999,VLOOKUP(B458,[1]Material!F$5:U$90000,16,0)=INT(VLOOKUP(B458,[1]Material!F$5:U$90000,16,0))),"OEM",
      TRUE,""
    ),
    "không tìm thấy trong file Import"
  ),
  VLOOKUP(F458,'[2]Export shipment'!B:Y,24,0)
)</f>
        <v>EFI</v>
      </c>
      <c r="H458" s="184"/>
      <c r="I458" s="184"/>
      <c r="J458" s="260">
        <f>(V458+X458+AA458)/'Logistics record '!$AD$1</f>
        <v>15.116015418335726</v>
      </c>
      <c r="K458" s="260">
        <f>W458/'Logistics record '!$AD$1</f>
        <v>0</v>
      </c>
      <c r="L458" s="260">
        <f>Y458/'Logistics record '!$AD$1</f>
        <v>0</v>
      </c>
      <c r="M458" s="260">
        <f>AF458/'Logistics record '!$AD$1</f>
        <v>0</v>
      </c>
      <c r="N458" s="260" t="str" cm="1">
        <f t="array" ref="N458">_xlfn.IFS(
    OR(UPPER(S458)="AIR", UPPER(S458)="CPN"), "AIR",
    UPPER(S458)="TC", "LOCAL",
    TRUE, "SEA"
)</f>
        <v>AIR</v>
      </c>
      <c r="O458" s="260">
        <f t="shared" si="36"/>
        <v>15.116015418335726</v>
      </c>
      <c r="P458" s="184" t="s">
        <v>935</v>
      </c>
      <c r="Q458" s="185">
        <v>108358334710</v>
      </c>
      <c r="R458" s="186">
        <v>46192</v>
      </c>
      <c r="S458" s="187" t="s">
        <v>928</v>
      </c>
      <c r="T458" s="188">
        <v>16.8</v>
      </c>
      <c r="U458" s="188"/>
      <c r="V458" s="189">
        <v>400000</v>
      </c>
      <c r="W458" s="190"/>
      <c r="X458" s="190"/>
      <c r="Y458" s="190"/>
      <c r="Z458" s="189">
        <f t="shared" si="44"/>
        <v>400000</v>
      </c>
      <c r="AA458" s="189">
        <v>0</v>
      </c>
      <c r="AB458" s="189">
        <f t="shared" si="41"/>
        <v>400000</v>
      </c>
      <c r="AC458" s="189"/>
      <c r="AD458" s="190"/>
      <c r="AE458" s="190"/>
      <c r="AF458" s="191">
        <f t="shared" si="42"/>
        <v>0</v>
      </c>
      <c r="AG458" s="190">
        <f t="shared" si="43"/>
        <v>400000</v>
      </c>
      <c r="AH458" s="190"/>
      <c r="AI458" s="192" t="str">
        <f>VLOOKUP(Q458,[3]Sheet1!B$11:G$1489,6,0)</f>
        <v>E11</v>
      </c>
      <c r="GK458" s="194"/>
      <c r="GL458" s="195"/>
      <c r="GM458" s="196"/>
      <c r="GN458" s="197"/>
      <c r="GO458" s="198"/>
      <c r="GP458" s="199"/>
      <c r="GQ458" s="200"/>
      <c r="GR458" s="201"/>
      <c r="GS458" s="60"/>
      <c r="GT458" s="202"/>
      <c r="GU458" s="202"/>
      <c r="GV458" s="202"/>
      <c r="GW458" s="202"/>
      <c r="GX458" s="203"/>
      <c r="HA458" s="194"/>
      <c r="HB458" s="195"/>
      <c r="HC458" s="196"/>
      <c r="HD458" s="197"/>
      <c r="HE458" s="198"/>
      <c r="HF458" s="199"/>
      <c r="HG458" s="200"/>
      <c r="HH458" s="201"/>
      <c r="HI458" s="60"/>
      <c r="HJ458" s="202"/>
      <c r="HK458" s="202"/>
      <c r="HL458" s="202"/>
      <c r="HM458" s="202"/>
      <c r="HN458" s="203"/>
    </row>
    <row r="459" spans="1:222" ht="16.5" customHeight="1">
      <c r="A459" s="181">
        <v>456</v>
      </c>
      <c r="B459" s="182">
        <v>483570647561</v>
      </c>
      <c r="C459" s="183" t="s">
        <v>2805</v>
      </c>
      <c r="D459" s="184" t="s">
        <v>110</v>
      </c>
      <c r="E459" s="184" t="str">
        <f t="shared" si="45"/>
        <v>Import</v>
      </c>
      <c r="F459" s="720" t="str" cm="1">
        <f t="array" ref="F459">_xlfn.IFS(
  OR(AI459="E11", AI459="E15"), "Raw materials",
  OR(AI459="E13", AI459="G13"), "Equipments + Toolings",
  TRUE, RIGHT(C459, 8)
)</f>
        <v>Raw materials</v>
      </c>
      <c r="G459" s="541" t="str" cm="1">
        <f t="array" ref="G459">IF(E459="Import",
  IFERROR(
    _xlfn.IFS(
      VLOOKUP(B459,[1]Material!F$5:U$90000,16,0)="LUC","Lucid",
      VLOOKUP(B459,[1]Material!F$5:U$90000,16,0)="FMC","FORD",
      OR(VLOOKUP(B459,[1]Material!F$5:U$90000,16,0)="PUR",VLOOKUP(B459,[1]Material!F$5:U$90000,16,0)="HLO"),"PURE",
      VLOOKUP(B459,[1]Material!F$5:U$90000,16,0)="AIC","AIC",
      OR(VLOOKUP(B459,[1]Material!F$5:U$90000,16,0)="AGI",VLOOKUP(B459,[1]Material!F$5:U$90000,16,0)="AGIGA"),"AGIGA",
      OR(LEFT(VLOOKUP(B459,[1]Material!F$5:U$90000,16,0),3)="EF-",VLOOKUP(B459,[1]Material!F$5:U$90000,16,0)="EFI"),"EFI",
      AND(ISNUMBER(VLOOKUP(B459,[1]Material!F$5:U$90000,16,0)),VLOOKUP(B459,[1]Material!F$5:U$90000,16,0)&gt;=100,VLOOKUP(B459,[1]Material!F$5:U$90000,16,0)&lt;=999,VLOOKUP(B459,[1]Material!F$5:U$90000,16,0)=INT(VLOOKUP(B459,[1]Material!F$5:U$90000,16,0))),"OEM",
      TRUE,""
    ),
    "không tìm thấy trong file Import"
  ),
  VLOOKUP(F459,'[2]Export shipment'!B:Y,24,0)
)</f>
        <v>OEM</v>
      </c>
      <c r="H459" s="184"/>
      <c r="I459" s="184"/>
      <c r="J459" s="260">
        <f>(V459+X459+AA459)/'Logistics record '!$AD$1</f>
        <v>15.116015418335726</v>
      </c>
      <c r="K459" s="260">
        <f>W459/'Logistics record '!$AD$1</f>
        <v>0</v>
      </c>
      <c r="L459" s="260">
        <f>Y459/'Logistics record '!$AD$1</f>
        <v>0</v>
      </c>
      <c r="M459" s="260">
        <f>AF459/'Logistics record '!$AD$1</f>
        <v>0</v>
      </c>
      <c r="N459" s="260" t="str" cm="1">
        <f t="array" ref="N459">_xlfn.IFS(
    OR(UPPER(S459)="AIR", UPPER(S459)="CPN"), "AIR",
    UPPER(S459)="TC", "LOCAL",
    TRUE, "SEA"
)</f>
        <v>AIR</v>
      </c>
      <c r="O459" s="260">
        <f t="shared" si="36"/>
        <v>15.116015418335726</v>
      </c>
      <c r="P459" s="184" t="s">
        <v>935</v>
      </c>
      <c r="Q459" s="185">
        <v>108358389530</v>
      </c>
      <c r="R459" s="186">
        <v>46192</v>
      </c>
      <c r="S459" s="187" t="s">
        <v>928</v>
      </c>
      <c r="T459" s="188">
        <v>1</v>
      </c>
      <c r="U459" s="188"/>
      <c r="V459" s="189">
        <v>400000</v>
      </c>
      <c r="W459" s="190"/>
      <c r="X459" s="190"/>
      <c r="Y459" s="190"/>
      <c r="Z459" s="189">
        <f t="shared" si="44"/>
        <v>400000</v>
      </c>
      <c r="AA459" s="189">
        <v>0</v>
      </c>
      <c r="AB459" s="189">
        <f t="shared" si="41"/>
        <v>400000</v>
      </c>
      <c r="AC459" s="189"/>
      <c r="AD459" s="190"/>
      <c r="AE459" s="190"/>
      <c r="AF459" s="191">
        <f t="shared" si="42"/>
        <v>0</v>
      </c>
      <c r="AG459" s="190">
        <f t="shared" si="43"/>
        <v>400000</v>
      </c>
      <c r="AH459" s="190"/>
      <c r="AI459" s="192" t="str">
        <f>VLOOKUP(Q459,[3]Sheet1!B$11:G$1489,6,0)</f>
        <v>E11</v>
      </c>
      <c r="GK459" s="194"/>
      <c r="GL459" s="195"/>
      <c r="GM459" s="196"/>
      <c r="GN459" s="197"/>
      <c r="GO459" s="198"/>
      <c r="GP459" s="199"/>
      <c r="GQ459" s="200"/>
      <c r="GR459" s="201"/>
      <c r="GS459" s="60"/>
      <c r="GT459" s="202"/>
      <c r="GU459" s="202"/>
      <c r="GV459" s="202"/>
      <c r="GW459" s="202"/>
      <c r="GX459" s="203"/>
      <c r="HA459" s="194"/>
      <c r="HB459" s="195"/>
      <c r="HC459" s="196"/>
      <c r="HD459" s="197"/>
      <c r="HE459" s="198"/>
      <c r="HF459" s="199"/>
      <c r="HG459" s="200"/>
      <c r="HH459" s="201"/>
      <c r="HI459" s="60"/>
      <c r="HJ459" s="202"/>
      <c r="HK459" s="202"/>
      <c r="HL459" s="202"/>
      <c r="HM459" s="202"/>
      <c r="HN459" s="203"/>
    </row>
    <row r="460" spans="1:222" ht="16.5" customHeight="1">
      <c r="A460" s="181">
        <v>457</v>
      </c>
      <c r="B460" s="182">
        <v>7753877364</v>
      </c>
      <c r="C460" s="183" t="s">
        <v>2806</v>
      </c>
      <c r="D460" s="184" t="s">
        <v>2596</v>
      </c>
      <c r="E460" s="184" t="str">
        <f t="shared" si="45"/>
        <v>Import</v>
      </c>
      <c r="F460" s="720" t="str" cm="1">
        <f t="array" ref="F460">_xlfn.IFS(
  OR(AI460="E11", AI460="E15"), "Raw materials",
  OR(AI460="E13", AI460="G13"), "Equipments + Toolings",
  TRUE, RIGHT(C460, 8)
)</f>
        <v>Raw materials</v>
      </c>
      <c r="G460" s="541" t="str" cm="1">
        <f t="array" ref="G460">IF(E460="Import",
  IFERROR(
    _xlfn.IFS(
      VLOOKUP(B460,[1]Material!F$5:U$90000,16,0)="LUC","Lucid",
      VLOOKUP(B460,[1]Material!F$5:U$90000,16,0)="FMC","FORD",
      OR(VLOOKUP(B460,[1]Material!F$5:U$90000,16,0)="PUR",VLOOKUP(B460,[1]Material!F$5:U$90000,16,0)="HLO"),"PURE",
      VLOOKUP(B460,[1]Material!F$5:U$90000,16,0)="AIC","AIC",
      OR(VLOOKUP(B460,[1]Material!F$5:U$90000,16,0)="AGI",VLOOKUP(B460,[1]Material!F$5:U$90000,16,0)="AGIGA"),"AGIGA",
      OR(LEFT(VLOOKUP(B460,[1]Material!F$5:U$90000,16,0),3)="EF-",VLOOKUP(B460,[1]Material!F$5:U$90000,16,0)="EFI"),"EFI",
      AND(ISNUMBER(VLOOKUP(B460,[1]Material!F$5:U$90000,16,0)),VLOOKUP(B460,[1]Material!F$5:U$90000,16,0)&gt;=100,VLOOKUP(B460,[1]Material!F$5:U$90000,16,0)&lt;=999,VLOOKUP(B460,[1]Material!F$5:U$90000,16,0)=INT(VLOOKUP(B460,[1]Material!F$5:U$90000,16,0))),"OEM",
      TRUE,""
    ),
    "không tìm thấy trong file Import"
  ),
  VLOOKUP(F460,'[2]Export shipment'!B:Y,24,0)
)</f>
        <v>FORD</v>
      </c>
      <c r="H460" s="184"/>
      <c r="I460" s="184"/>
      <c r="J460" s="260">
        <f>(V460+X460+AA460)/'Logistics record '!$AD$1</f>
        <v>15.116015418335726</v>
      </c>
      <c r="K460" s="260">
        <f>W460/'Logistics record '!$AD$1</f>
        <v>0</v>
      </c>
      <c r="L460" s="260">
        <f>Y460/'Logistics record '!$AD$1</f>
        <v>0</v>
      </c>
      <c r="M460" s="260">
        <f>AF460/'Logistics record '!$AD$1</f>
        <v>0</v>
      </c>
      <c r="N460" s="260" t="str" cm="1">
        <f t="array" ref="N460">_xlfn.IFS(
    OR(UPPER(S460)="AIR", UPPER(S460)="CPN"), "AIR",
    UPPER(S460)="TC", "LOCAL",
    TRUE, "SEA"
)</f>
        <v>AIR</v>
      </c>
      <c r="O460" s="260">
        <f t="shared" si="36"/>
        <v>15.116015418335726</v>
      </c>
      <c r="P460" s="184" t="s">
        <v>931</v>
      </c>
      <c r="Q460" s="185">
        <v>108360717400</v>
      </c>
      <c r="R460" s="186">
        <v>46195</v>
      </c>
      <c r="S460" s="187" t="s">
        <v>928</v>
      </c>
      <c r="T460" s="188">
        <v>3.1</v>
      </c>
      <c r="U460" s="188"/>
      <c r="V460" s="189">
        <v>400000</v>
      </c>
      <c r="W460" s="190"/>
      <c r="X460" s="190"/>
      <c r="Y460" s="190"/>
      <c r="Z460" s="189">
        <f t="shared" si="44"/>
        <v>400000</v>
      </c>
      <c r="AA460" s="189">
        <v>0</v>
      </c>
      <c r="AB460" s="189">
        <f t="shared" si="41"/>
        <v>400000</v>
      </c>
      <c r="AC460" s="189"/>
      <c r="AD460" s="190"/>
      <c r="AE460" s="190"/>
      <c r="AF460" s="191">
        <f t="shared" si="42"/>
        <v>0</v>
      </c>
      <c r="AG460" s="190">
        <f t="shared" si="43"/>
        <v>400000</v>
      </c>
      <c r="AH460" s="190"/>
      <c r="AI460" s="192" t="str">
        <f>VLOOKUP(Q460,[3]Sheet1!B$11:G$1489,6,0)</f>
        <v>E11</v>
      </c>
      <c r="GK460" s="194"/>
      <c r="GL460" s="195"/>
      <c r="GM460" s="196"/>
      <c r="GN460" s="197"/>
      <c r="GO460" s="198"/>
      <c r="GP460" s="199"/>
      <c r="GQ460" s="200"/>
      <c r="GR460" s="201"/>
      <c r="GS460" s="60"/>
      <c r="GT460" s="202"/>
      <c r="GU460" s="202"/>
      <c r="GV460" s="202"/>
      <c r="GW460" s="202"/>
      <c r="GX460" s="203"/>
      <c r="HA460" s="194"/>
      <c r="HB460" s="195"/>
      <c r="HC460" s="196"/>
      <c r="HD460" s="197"/>
      <c r="HE460" s="198"/>
      <c r="HF460" s="199"/>
      <c r="HG460" s="200"/>
      <c r="HH460" s="201"/>
      <c r="HI460" s="60"/>
      <c r="HJ460" s="202"/>
      <c r="HK460" s="202"/>
      <c r="HL460" s="202"/>
      <c r="HM460" s="202"/>
      <c r="HN460" s="203"/>
    </row>
    <row r="461" spans="1:222" ht="16.5" customHeight="1">
      <c r="A461" s="181">
        <v>458</v>
      </c>
      <c r="B461" s="182">
        <v>1397998501</v>
      </c>
      <c r="C461" s="183" t="s">
        <v>2807</v>
      </c>
      <c r="D461" s="184" t="s">
        <v>934</v>
      </c>
      <c r="E461" s="184" t="str">
        <f t="shared" si="45"/>
        <v>Import</v>
      </c>
      <c r="F461" s="720" t="str" cm="1">
        <f t="array" ref="F461">_xlfn.IFS(
  OR(AI461="E11", AI461="E15"), "Raw materials",
  OR(AI461="E13", AI461="G13"), "Equipments + Toolings",
  TRUE, RIGHT(C461, 8)
)</f>
        <v>Raw materials</v>
      </c>
      <c r="G461" s="541" t="str" cm="1">
        <f t="array" ref="G461">IF(E461="Import",
  IFERROR(
    _xlfn.IFS(
      VLOOKUP(B461,[1]Material!F$5:U$90000,16,0)="LUC","Lucid",
      VLOOKUP(B461,[1]Material!F$5:U$90000,16,0)="FMC","FORD",
      OR(VLOOKUP(B461,[1]Material!F$5:U$90000,16,0)="PUR",VLOOKUP(B461,[1]Material!F$5:U$90000,16,0)="HLO"),"PURE",
      VLOOKUP(B461,[1]Material!F$5:U$90000,16,0)="AIC","AIC",
      OR(VLOOKUP(B461,[1]Material!F$5:U$90000,16,0)="AGI",VLOOKUP(B461,[1]Material!F$5:U$90000,16,0)="AGIGA"),"AGIGA",
      OR(LEFT(VLOOKUP(B461,[1]Material!F$5:U$90000,16,0),3)="EF-",VLOOKUP(B461,[1]Material!F$5:U$90000,16,0)="EFI"),"EFI",
      AND(ISNUMBER(VLOOKUP(B461,[1]Material!F$5:U$90000,16,0)),VLOOKUP(B461,[1]Material!F$5:U$90000,16,0)&gt;=100,VLOOKUP(B461,[1]Material!F$5:U$90000,16,0)&lt;=999,VLOOKUP(B461,[1]Material!F$5:U$90000,16,0)=INT(VLOOKUP(B461,[1]Material!F$5:U$90000,16,0))),"OEM",
      TRUE,""
    ),
    "không tìm thấy trong file Import"
  ),
  VLOOKUP(F461,'[2]Export shipment'!B:Y,24,0)
)</f>
        <v>PURE</v>
      </c>
      <c r="H461" s="184"/>
      <c r="I461" s="184"/>
      <c r="J461" s="260">
        <f>(V461+X461+AA461)/'Logistics record '!$AD$1</f>
        <v>15.116015418335726</v>
      </c>
      <c r="K461" s="260">
        <f>W461/'Logistics record '!$AD$1</f>
        <v>0</v>
      </c>
      <c r="L461" s="260">
        <f>Y461/'Logistics record '!$AD$1</f>
        <v>0</v>
      </c>
      <c r="M461" s="260">
        <f>AF461/'Logistics record '!$AD$1</f>
        <v>0</v>
      </c>
      <c r="N461" s="260" t="str" cm="1">
        <f t="array" ref="N461">_xlfn.IFS(
    OR(UPPER(S461)="AIR", UPPER(S461)="CPN"), "AIR",
    UPPER(S461)="TC", "LOCAL",
    TRUE, "SEA"
)</f>
        <v>AIR</v>
      </c>
      <c r="O461" s="260">
        <f t="shared" si="36"/>
        <v>15.116015418335726</v>
      </c>
      <c r="P461" s="184" t="s">
        <v>935</v>
      </c>
      <c r="Q461" s="185">
        <v>108360722740</v>
      </c>
      <c r="R461" s="186">
        <v>46195</v>
      </c>
      <c r="S461" s="187" t="s">
        <v>928</v>
      </c>
      <c r="T461" s="188">
        <v>1.3</v>
      </c>
      <c r="U461" s="188"/>
      <c r="V461" s="189">
        <v>400000</v>
      </c>
      <c r="W461" s="190"/>
      <c r="X461" s="190"/>
      <c r="Y461" s="190"/>
      <c r="Z461" s="189">
        <f t="shared" si="44"/>
        <v>400000</v>
      </c>
      <c r="AA461" s="189">
        <v>0</v>
      </c>
      <c r="AB461" s="189">
        <f t="shared" si="41"/>
        <v>400000</v>
      </c>
      <c r="AC461" s="189"/>
      <c r="AD461" s="190"/>
      <c r="AE461" s="190"/>
      <c r="AF461" s="191">
        <f t="shared" si="42"/>
        <v>0</v>
      </c>
      <c r="AG461" s="190">
        <f t="shared" si="43"/>
        <v>400000</v>
      </c>
      <c r="AH461" s="190"/>
      <c r="AI461" s="192" t="str">
        <f>VLOOKUP(Q461,[3]Sheet1!B$11:G$1489,6,0)</f>
        <v>E11</v>
      </c>
      <c r="GK461" s="194"/>
      <c r="GL461" s="195"/>
      <c r="GM461" s="196"/>
      <c r="GN461" s="197"/>
      <c r="GO461" s="198"/>
      <c r="GP461" s="199"/>
      <c r="GQ461" s="200"/>
      <c r="GR461" s="201"/>
      <c r="GS461" s="60"/>
      <c r="GT461" s="202"/>
      <c r="GU461" s="202"/>
      <c r="GV461" s="202"/>
      <c r="GW461" s="202"/>
      <c r="GX461" s="203"/>
      <c r="HA461" s="194"/>
      <c r="HB461" s="195"/>
      <c r="HC461" s="196"/>
      <c r="HD461" s="197"/>
      <c r="HE461" s="198"/>
      <c r="HF461" s="199"/>
      <c r="HG461" s="200"/>
      <c r="HH461" s="201"/>
      <c r="HI461" s="60"/>
      <c r="HJ461" s="202"/>
      <c r="HK461" s="202"/>
      <c r="HL461" s="202"/>
      <c r="HM461" s="202"/>
      <c r="HN461" s="203"/>
    </row>
    <row r="462" spans="1:222" ht="16.5" customHeight="1">
      <c r="A462" s="181">
        <v>459</v>
      </c>
      <c r="B462" s="182" t="s">
        <v>2808</v>
      </c>
      <c r="C462" s="183" t="s">
        <v>2809</v>
      </c>
      <c r="D462" s="184" t="s">
        <v>940</v>
      </c>
      <c r="E462" s="184" t="str">
        <f t="shared" si="45"/>
        <v>Import</v>
      </c>
      <c r="F462" s="720" t="str" cm="1">
        <f t="array" ref="F462">_xlfn.IFS(
  OR(AI462="E11", AI462="E15"), "Raw materials",
  OR(AI462="E13", AI462="G13"), "Equipments + Toolings",
  TRUE, RIGHT(C462, 8)
)</f>
        <v>Raw materials</v>
      </c>
      <c r="G462" s="541" t="str" cm="1">
        <f t="array" ref="G462">IF(E462="Import",
  IFERROR(
    _xlfn.IFS(
      VLOOKUP(B462,[1]Material!F$5:U$90000,16,0)="LUC","Lucid",
      VLOOKUP(B462,[1]Material!F$5:U$90000,16,0)="FMC","FORD",
      OR(VLOOKUP(B462,[1]Material!F$5:U$90000,16,0)="PUR",VLOOKUP(B462,[1]Material!F$5:U$90000,16,0)="HLO"),"PURE",
      VLOOKUP(B462,[1]Material!F$5:U$90000,16,0)="AIC","AIC",
      OR(VLOOKUP(B462,[1]Material!F$5:U$90000,16,0)="AGI",VLOOKUP(B462,[1]Material!F$5:U$90000,16,0)="AGIGA"),"AGIGA",
      OR(LEFT(VLOOKUP(B462,[1]Material!F$5:U$90000,16,0),3)="EF-",VLOOKUP(B462,[1]Material!F$5:U$90000,16,0)="EFI"),"EFI",
      AND(ISNUMBER(VLOOKUP(B462,[1]Material!F$5:U$90000,16,0)),VLOOKUP(B462,[1]Material!F$5:U$90000,16,0)&gt;=100,VLOOKUP(B462,[1]Material!F$5:U$90000,16,0)&lt;=999,VLOOKUP(B462,[1]Material!F$5:U$90000,16,0)=INT(VLOOKUP(B462,[1]Material!F$5:U$90000,16,0))),"OEM",
      TRUE,""
    ),
    "không tìm thấy trong file Import"
  ),
  VLOOKUP(F462,'[2]Export shipment'!B:Y,24,0)
)</f>
        <v>PURE</v>
      </c>
      <c r="H462" s="184" t="e">
        <f>VLOOKUP(B462,[4]Export!I$3627:J$3898,2,0)</f>
        <v>#N/A</v>
      </c>
      <c r="I462" s="184" t="s">
        <v>2089</v>
      </c>
      <c r="J462" s="260">
        <f>(V462+X462+AA462)/'Logistics record '!$AD$1</f>
        <v>15.116015418335726</v>
      </c>
      <c r="K462" s="260">
        <f>W462/'Logistics record '!$AD$1</f>
        <v>0</v>
      </c>
      <c r="L462" s="260">
        <f>Y462/'Logistics record '!$AD$1</f>
        <v>0</v>
      </c>
      <c r="M462" s="260">
        <f>AF462/'Logistics record '!$AD$1</f>
        <v>60.750510165520367</v>
      </c>
      <c r="N462" s="260" t="str" cm="1">
        <f t="array" ref="N462">_xlfn.IFS(
    OR(UPPER(S462)="AIR", UPPER(S462)="CPN"), "AIR",
    UPPER(S462)="TC", "LOCAL",
    TRUE, "SEA"
)</f>
        <v>AIR</v>
      </c>
      <c r="O462" s="260">
        <f t="shared" si="36"/>
        <v>75.866525583856088</v>
      </c>
      <c r="P462" s="184" t="s">
        <v>949</v>
      </c>
      <c r="Q462" s="185">
        <v>108360920950</v>
      </c>
      <c r="R462" s="186">
        <v>46195</v>
      </c>
      <c r="S462" s="187" t="s">
        <v>65</v>
      </c>
      <c r="T462" s="188">
        <v>7.3</v>
      </c>
      <c r="U462" s="188"/>
      <c r="V462" s="189">
        <v>400000</v>
      </c>
      <c r="W462" s="190"/>
      <c r="X462" s="190"/>
      <c r="Y462" s="190"/>
      <c r="Z462" s="189">
        <f t="shared" si="44"/>
        <v>400000</v>
      </c>
      <c r="AA462" s="189">
        <v>0</v>
      </c>
      <c r="AB462" s="189">
        <f t="shared" si="41"/>
        <v>400000</v>
      </c>
      <c r="AC462" s="189"/>
      <c r="AD462" s="190">
        <v>1220400</v>
      </c>
      <c r="AE462" s="190">
        <v>387180</v>
      </c>
      <c r="AF462" s="191">
        <f t="shared" si="42"/>
        <v>1607580</v>
      </c>
      <c r="AG462" s="190">
        <f t="shared" si="43"/>
        <v>2007580</v>
      </c>
      <c r="AH462" s="190"/>
      <c r="AI462" s="192" t="str">
        <f>VLOOKUP(Q462,[3]Sheet1!B$11:G$1489,6,0)</f>
        <v>E11</v>
      </c>
      <c r="GK462" s="194"/>
      <c r="GL462" s="195"/>
      <c r="GM462" s="196"/>
      <c r="GN462" s="197"/>
      <c r="GO462" s="198"/>
      <c r="GP462" s="199"/>
      <c r="GQ462" s="200"/>
      <c r="GR462" s="201"/>
      <c r="GS462" s="60"/>
      <c r="GT462" s="202"/>
      <c r="GU462" s="202"/>
      <c r="GV462" s="202"/>
      <c r="GW462" s="202"/>
      <c r="GX462" s="203"/>
      <c r="HA462" s="194"/>
      <c r="HB462" s="195"/>
      <c r="HC462" s="196"/>
      <c r="HD462" s="197"/>
      <c r="HE462" s="198"/>
      <c r="HF462" s="199"/>
      <c r="HG462" s="200"/>
      <c r="HH462" s="201"/>
      <c r="HI462" s="60"/>
      <c r="HJ462" s="202"/>
      <c r="HK462" s="202"/>
      <c r="HL462" s="202"/>
      <c r="HM462" s="202"/>
      <c r="HN462" s="203"/>
    </row>
    <row r="463" spans="1:222" ht="16.5" customHeight="1">
      <c r="A463" s="181">
        <v>460</v>
      </c>
      <c r="B463" s="182" t="s">
        <v>2810</v>
      </c>
      <c r="C463" s="183" t="s">
        <v>2811</v>
      </c>
      <c r="D463" s="184" t="s">
        <v>940</v>
      </c>
      <c r="E463" s="184" t="str">
        <f t="shared" si="45"/>
        <v>Import</v>
      </c>
      <c r="F463" s="720" t="str" cm="1">
        <f t="array" ref="F463">_xlfn.IFS(
  OR(AI463="E11", AI463="E15"), "Raw materials",
  OR(AI463="E13", AI463="G13"), "Equipments + Toolings",
  TRUE, RIGHT(C463, 8)
)</f>
        <v>Raw materials</v>
      </c>
      <c r="G463" s="541" t="str" cm="1">
        <f t="array" ref="G463">IF(E463="Import",
  IFERROR(
    _xlfn.IFS(
      VLOOKUP(B463,[1]Material!F$5:U$90000,16,0)="LUC","Lucid",
      VLOOKUP(B463,[1]Material!F$5:U$90000,16,0)="FMC","FORD",
      OR(VLOOKUP(B463,[1]Material!F$5:U$90000,16,0)="PUR",VLOOKUP(B463,[1]Material!F$5:U$90000,16,0)="HLO"),"PURE",
      VLOOKUP(B463,[1]Material!F$5:U$90000,16,0)="AIC","AIC",
      OR(VLOOKUP(B463,[1]Material!F$5:U$90000,16,0)="AGI",VLOOKUP(B463,[1]Material!F$5:U$90000,16,0)="AGIGA"),"AGIGA",
      OR(LEFT(VLOOKUP(B463,[1]Material!F$5:U$90000,16,0),3)="EF-",VLOOKUP(B463,[1]Material!F$5:U$90000,16,0)="EFI"),"EFI",
      AND(ISNUMBER(VLOOKUP(B463,[1]Material!F$5:U$90000,16,0)),VLOOKUP(B463,[1]Material!F$5:U$90000,16,0)&gt;=100,VLOOKUP(B463,[1]Material!F$5:U$90000,16,0)&lt;=999,VLOOKUP(B463,[1]Material!F$5:U$90000,16,0)=INT(VLOOKUP(B463,[1]Material!F$5:U$90000,16,0))),"OEM",
      TRUE,""
    ),
    "không tìm thấy trong file Import"
  ),
  VLOOKUP(F463,'[2]Export shipment'!B:Y,24,0)
)</f>
        <v>PURE</v>
      </c>
      <c r="H463" s="184" t="e">
        <f>VLOOKUP(B463,[4]Export!I$3627:J$3898,2,0)</f>
        <v>#N/A</v>
      </c>
      <c r="I463" s="184" t="s">
        <v>2089</v>
      </c>
      <c r="J463" s="260">
        <f>(V463+X463+AA463)/'Logistics record '!$AD$1</f>
        <v>15.116015418335726</v>
      </c>
      <c r="K463" s="260">
        <f>W463/'Logistics record '!$AD$1</f>
        <v>0</v>
      </c>
      <c r="L463" s="260">
        <f>Y463/'Logistics record '!$AD$1</f>
        <v>0</v>
      </c>
      <c r="M463" s="260">
        <f>AF463/'Logistics record '!$AD$1</f>
        <v>60.750510165520367</v>
      </c>
      <c r="N463" s="260" t="str" cm="1">
        <f t="array" ref="N463">_xlfn.IFS(
    OR(UPPER(S463)="AIR", UPPER(S463)="CPN"), "AIR",
    UPPER(S463)="TC", "LOCAL",
    TRUE, "SEA"
)</f>
        <v>AIR</v>
      </c>
      <c r="O463" s="260">
        <f t="shared" si="36"/>
        <v>75.866525583856088</v>
      </c>
      <c r="P463" s="184" t="s">
        <v>949</v>
      </c>
      <c r="Q463" s="185">
        <v>108361091420</v>
      </c>
      <c r="R463" s="186">
        <v>46195</v>
      </c>
      <c r="S463" s="187" t="s">
        <v>65</v>
      </c>
      <c r="T463" s="188">
        <v>7.3</v>
      </c>
      <c r="U463" s="188"/>
      <c r="V463" s="189">
        <v>400000</v>
      </c>
      <c r="W463" s="190"/>
      <c r="X463" s="190"/>
      <c r="Y463" s="190"/>
      <c r="Z463" s="189">
        <f t="shared" si="44"/>
        <v>400000</v>
      </c>
      <c r="AA463" s="189">
        <v>0</v>
      </c>
      <c r="AB463" s="189">
        <f t="shared" si="41"/>
        <v>400000</v>
      </c>
      <c r="AC463" s="189"/>
      <c r="AD463" s="190">
        <v>1220400</v>
      </c>
      <c r="AE463" s="190">
        <v>387180</v>
      </c>
      <c r="AF463" s="191">
        <f t="shared" si="42"/>
        <v>1607580</v>
      </c>
      <c r="AG463" s="190">
        <f t="shared" si="43"/>
        <v>2007580</v>
      </c>
      <c r="AH463" s="190"/>
      <c r="AI463" s="192" t="str">
        <f>VLOOKUP(Q463,[3]Sheet1!B$11:G$1489,6,0)</f>
        <v>E11</v>
      </c>
      <c r="GK463" s="194"/>
      <c r="GL463" s="195"/>
      <c r="GM463" s="196"/>
      <c r="GN463" s="197"/>
      <c r="GO463" s="198"/>
      <c r="GP463" s="199"/>
      <c r="GQ463" s="200"/>
      <c r="GR463" s="201"/>
      <c r="GS463" s="60"/>
      <c r="GT463" s="202"/>
      <c r="GU463" s="202"/>
      <c r="GV463" s="202"/>
      <c r="GW463" s="202"/>
      <c r="GX463" s="203"/>
      <c r="HA463" s="194"/>
      <c r="HB463" s="195"/>
      <c r="HC463" s="196"/>
      <c r="HD463" s="197"/>
      <c r="HE463" s="198"/>
      <c r="HF463" s="199"/>
      <c r="HG463" s="200"/>
      <c r="HH463" s="201"/>
      <c r="HI463" s="60"/>
      <c r="HJ463" s="202"/>
      <c r="HK463" s="202"/>
      <c r="HL463" s="202"/>
      <c r="HM463" s="202"/>
      <c r="HN463" s="203"/>
    </row>
    <row r="464" spans="1:222" ht="16.5" customHeight="1">
      <c r="A464" s="181">
        <v>461</v>
      </c>
      <c r="B464" s="182" t="s">
        <v>2812</v>
      </c>
      <c r="C464" s="183" t="s">
        <v>2813</v>
      </c>
      <c r="D464" s="184" t="s">
        <v>940</v>
      </c>
      <c r="E464" s="184" t="str">
        <f t="shared" si="45"/>
        <v>Import</v>
      </c>
      <c r="F464" s="720" t="str" cm="1">
        <f t="array" ref="F464">_xlfn.IFS(
  OR(AI464="E11", AI464="E15"), "Raw materials",
  OR(AI464="E13", AI464="G13"), "Equipments + Toolings",
  TRUE, RIGHT(C464, 8)
)</f>
        <v>Raw materials</v>
      </c>
      <c r="G464" s="541" t="str" cm="1">
        <f t="array" ref="G464">IF(E464="Import",
  IFERROR(
    _xlfn.IFS(
      VLOOKUP(B464,[1]Material!F$5:U$90000,16,0)="LUC","Lucid",
      VLOOKUP(B464,[1]Material!F$5:U$90000,16,0)="FMC","FORD",
      OR(VLOOKUP(B464,[1]Material!F$5:U$90000,16,0)="PUR",VLOOKUP(B464,[1]Material!F$5:U$90000,16,0)="HLO"),"PURE",
      VLOOKUP(B464,[1]Material!F$5:U$90000,16,0)="AIC","AIC",
      OR(VLOOKUP(B464,[1]Material!F$5:U$90000,16,0)="AGI",VLOOKUP(B464,[1]Material!F$5:U$90000,16,0)="AGIGA"),"AGIGA",
      OR(LEFT(VLOOKUP(B464,[1]Material!F$5:U$90000,16,0),3)="EF-",VLOOKUP(B464,[1]Material!F$5:U$90000,16,0)="EFI"),"EFI",
      AND(ISNUMBER(VLOOKUP(B464,[1]Material!F$5:U$90000,16,0)),VLOOKUP(B464,[1]Material!F$5:U$90000,16,0)&gt;=100,VLOOKUP(B464,[1]Material!F$5:U$90000,16,0)&lt;=999,VLOOKUP(B464,[1]Material!F$5:U$90000,16,0)=INT(VLOOKUP(B464,[1]Material!F$5:U$90000,16,0))),"OEM",
      TRUE,""
    ),
    "không tìm thấy trong file Import"
  ),
  VLOOKUP(F464,'[2]Export shipment'!B:Y,24,0)
)</f>
        <v>PURE</v>
      </c>
      <c r="H464" s="184" t="e">
        <f>VLOOKUP(B464,[4]Export!I$3627:J$3898,2,0)</f>
        <v>#N/A</v>
      </c>
      <c r="I464" s="184" t="s">
        <v>2089</v>
      </c>
      <c r="J464" s="260">
        <f>(V464+X464+AA464)/'Logistics record '!$AD$1</f>
        <v>15.116015418335726</v>
      </c>
      <c r="K464" s="260">
        <f>W464/'Logistics record '!$AD$1</f>
        <v>0</v>
      </c>
      <c r="L464" s="260">
        <f>Y464/'Logistics record '!$AD$1</f>
        <v>0</v>
      </c>
      <c r="M464" s="260">
        <f>AF464/'Logistics record '!$AD$1</f>
        <v>60.750510165520367</v>
      </c>
      <c r="N464" s="260" t="str" cm="1">
        <f t="array" ref="N464">_xlfn.IFS(
    OR(UPPER(S464)="AIR", UPPER(S464)="CPN"), "AIR",
    UPPER(S464)="TC", "LOCAL",
    TRUE, "SEA"
)</f>
        <v>AIR</v>
      </c>
      <c r="O464" s="260">
        <f t="shared" si="36"/>
        <v>75.866525583856088</v>
      </c>
      <c r="P464" s="184" t="s">
        <v>949</v>
      </c>
      <c r="Q464" s="185">
        <v>108361119530</v>
      </c>
      <c r="R464" s="186">
        <v>46195</v>
      </c>
      <c r="S464" s="187" t="s">
        <v>65</v>
      </c>
      <c r="T464" s="188">
        <v>7.3</v>
      </c>
      <c r="U464" s="188"/>
      <c r="V464" s="189">
        <v>400000</v>
      </c>
      <c r="W464" s="190"/>
      <c r="X464" s="190"/>
      <c r="Y464" s="190"/>
      <c r="Z464" s="189">
        <f t="shared" si="44"/>
        <v>400000</v>
      </c>
      <c r="AA464" s="189">
        <v>0</v>
      </c>
      <c r="AB464" s="189">
        <f t="shared" si="41"/>
        <v>400000</v>
      </c>
      <c r="AC464" s="189"/>
      <c r="AD464" s="190">
        <v>1220400</v>
      </c>
      <c r="AE464" s="190">
        <v>387180</v>
      </c>
      <c r="AF464" s="191">
        <f t="shared" si="42"/>
        <v>1607580</v>
      </c>
      <c r="AG464" s="190">
        <f t="shared" si="43"/>
        <v>2007580</v>
      </c>
      <c r="AH464" s="190"/>
      <c r="AI464" s="192" t="str">
        <f>VLOOKUP(Q464,[3]Sheet1!B$11:G$1489,6,0)</f>
        <v>E11</v>
      </c>
      <c r="GK464" s="194"/>
      <c r="GL464" s="195"/>
      <c r="GM464" s="196"/>
      <c r="GN464" s="197"/>
      <c r="GO464" s="198"/>
      <c r="GP464" s="199"/>
      <c r="GQ464" s="200"/>
      <c r="GR464" s="201"/>
      <c r="GS464" s="60"/>
      <c r="GT464" s="202"/>
      <c r="GU464" s="202"/>
      <c r="GV464" s="202"/>
      <c r="GW464" s="202"/>
      <c r="GX464" s="203"/>
      <c r="HA464" s="194"/>
      <c r="HB464" s="195"/>
      <c r="HC464" s="196"/>
      <c r="HD464" s="197"/>
      <c r="HE464" s="198"/>
      <c r="HF464" s="199"/>
      <c r="HG464" s="200"/>
      <c r="HH464" s="201"/>
      <c r="HI464" s="60"/>
      <c r="HJ464" s="202"/>
      <c r="HK464" s="202"/>
      <c r="HL464" s="202"/>
      <c r="HM464" s="202"/>
      <c r="HN464" s="203"/>
    </row>
    <row r="465" spans="1:222" ht="16.5" customHeight="1">
      <c r="A465" s="181">
        <v>462</v>
      </c>
      <c r="B465" s="182" t="s">
        <v>2814</v>
      </c>
      <c r="C465" s="183" t="s">
        <v>2815</v>
      </c>
      <c r="D465" s="184" t="s">
        <v>940</v>
      </c>
      <c r="E465" s="184" t="str">
        <f t="shared" si="45"/>
        <v>Import</v>
      </c>
      <c r="F465" s="720" t="str" cm="1">
        <f t="array" ref="F465">_xlfn.IFS(
  OR(AI465="E11", AI465="E15"), "Raw materials",
  OR(AI465="E13", AI465="G13"), "Equipments + Toolings",
  TRUE, RIGHT(C465, 8)
)</f>
        <v>Raw materials</v>
      </c>
      <c r="G465" s="541" t="str" cm="1">
        <f t="array" ref="G465">IF(E465="Import",
  IFERROR(
    _xlfn.IFS(
      VLOOKUP(B465,[1]Material!F$5:U$90000,16,0)="LUC","Lucid",
      VLOOKUP(B465,[1]Material!F$5:U$90000,16,0)="FMC","FORD",
      OR(VLOOKUP(B465,[1]Material!F$5:U$90000,16,0)="PUR",VLOOKUP(B465,[1]Material!F$5:U$90000,16,0)="HLO"),"PURE",
      VLOOKUP(B465,[1]Material!F$5:U$90000,16,0)="AIC","AIC",
      OR(VLOOKUP(B465,[1]Material!F$5:U$90000,16,0)="AGI",VLOOKUP(B465,[1]Material!F$5:U$90000,16,0)="AGIGA"),"AGIGA",
      OR(LEFT(VLOOKUP(B465,[1]Material!F$5:U$90000,16,0),3)="EF-",VLOOKUP(B465,[1]Material!F$5:U$90000,16,0)="EFI"),"EFI",
      AND(ISNUMBER(VLOOKUP(B465,[1]Material!F$5:U$90000,16,0)),VLOOKUP(B465,[1]Material!F$5:U$90000,16,0)&gt;=100,VLOOKUP(B465,[1]Material!F$5:U$90000,16,0)&lt;=999,VLOOKUP(B465,[1]Material!F$5:U$90000,16,0)=INT(VLOOKUP(B465,[1]Material!F$5:U$90000,16,0))),"OEM",
      TRUE,""
    ),
    "không tìm thấy trong file Import"
  ),
  VLOOKUP(F465,'[2]Export shipment'!B:Y,24,0)
)</f>
        <v>PURE</v>
      </c>
      <c r="H465" s="184" t="e">
        <f>VLOOKUP(B465,[4]Export!I$3627:J$3898,2,0)</f>
        <v>#N/A</v>
      </c>
      <c r="I465" s="184" t="s">
        <v>2089</v>
      </c>
      <c r="J465" s="260">
        <f>(V465+X465+AA465)/'Logistics record '!$AD$1</f>
        <v>15.116015418335726</v>
      </c>
      <c r="K465" s="260">
        <f>W465/'Logistics record '!$AD$1</f>
        <v>0</v>
      </c>
      <c r="L465" s="260">
        <f>Y465/'Logistics record '!$AD$1</f>
        <v>0</v>
      </c>
      <c r="M465" s="260">
        <f>AF465/'Logistics record '!$AD$1</f>
        <v>60.750510165520367</v>
      </c>
      <c r="N465" s="260" t="str" cm="1">
        <f t="array" ref="N465">_xlfn.IFS(
    OR(UPPER(S465)="AIR", UPPER(S465)="CPN"), "AIR",
    UPPER(S465)="TC", "LOCAL",
    TRUE, "SEA"
)</f>
        <v>AIR</v>
      </c>
      <c r="O465" s="260">
        <f t="shared" si="36"/>
        <v>75.866525583856088</v>
      </c>
      <c r="P465" s="184" t="s">
        <v>949</v>
      </c>
      <c r="Q465" s="185">
        <v>108361158400</v>
      </c>
      <c r="R465" s="186">
        <v>46195</v>
      </c>
      <c r="S465" s="187" t="s">
        <v>65</v>
      </c>
      <c r="T465" s="188">
        <v>7.3</v>
      </c>
      <c r="U465" s="188"/>
      <c r="V465" s="189">
        <v>400000</v>
      </c>
      <c r="W465" s="190"/>
      <c r="X465" s="190"/>
      <c r="Y465" s="190"/>
      <c r="Z465" s="189">
        <f t="shared" si="44"/>
        <v>400000</v>
      </c>
      <c r="AA465" s="189">
        <v>0</v>
      </c>
      <c r="AB465" s="189">
        <f t="shared" si="41"/>
        <v>400000</v>
      </c>
      <c r="AC465" s="189"/>
      <c r="AD465" s="190">
        <v>1220400</v>
      </c>
      <c r="AE465" s="190">
        <v>387180</v>
      </c>
      <c r="AF465" s="191">
        <f t="shared" si="42"/>
        <v>1607580</v>
      </c>
      <c r="AG465" s="190">
        <f t="shared" si="43"/>
        <v>2007580</v>
      </c>
      <c r="AH465" s="190"/>
      <c r="AI465" s="192" t="str">
        <f>VLOOKUP(Q465,[3]Sheet1!B$11:G$1489,6,0)</f>
        <v>E11</v>
      </c>
      <c r="GK465" s="194"/>
      <c r="GL465" s="195"/>
      <c r="GM465" s="196"/>
      <c r="GN465" s="197"/>
      <c r="GO465" s="198"/>
      <c r="GP465" s="199"/>
      <c r="GQ465" s="200"/>
      <c r="GR465" s="201"/>
      <c r="GS465" s="60"/>
      <c r="GT465" s="202"/>
      <c r="GU465" s="202"/>
      <c r="GV465" s="202"/>
      <c r="GW465" s="202"/>
      <c r="GX465" s="203"/>
      <c r="HA465" s="194"/>
      <c r="HB465" s="195"/>
      <c r="HC465" s="196"/>
      <c r="HD465" s="197"/>
      <c r="HE465" s="198"/>
      <c r="HF465" s="199"/>
      <c r="HG465" s="200"/>
      <c r="HH465" s="201"/>
      <c r="HI465" s="60"/>
      <c r="HJ465" s="202"/>
      <c r="HK465" s="202"/>
      <c r="HL465" s="202"/>
      <c r="HM465" s="202"/>
      <c r="HN465" s="203"/>
    </row>
    <row r="466" spans="1:222" ht="16.5" customHeight="1">
      <c r="A466" s="181">
        <v>463</v>
      </c>
      <c r="B466" s="182" t="s">
        <v>2816</v>
      </c>
      <c r="C466" s="183" t="s">
        <v>2817</v>
      </c>
      <c r="D466" s="184" t="s">
        <v>940</v>
      </c>
      <c r="E466" s="184" t="str">
        <f t="shared" si="45"/>
        <v>Import</v>
      </c>
      <c r="F466" s="720" t="str" cm="1">
        <f t="array" ref="F466">_xlfn.IFS(
  OR(AI466="E11", AI466="E15"), "Raw materials",
  OR(AI466="E13", AI466="G13"), "Equipments + Toolings",
  TRUE, RIGHT(C466, 8)
)</f>
        <v>Raw materials</v>
      </c>
      <c r="G466" s="541" t="str" cm="1">
        <f t="array" ref="G466">IF(E466="Import",
  IFERROR(
    _xlfn.IFS(
      VLOOKUP(B466,[1]Material!F$5:U$90000,16,0)="LUC","Lucid",
      VLOOKUP(B466,[1]Material!F$5:U$90000,16,0)="FMC","FORD",
      OR(VLOOKUP(B466,[1]Material!F$5:U$90000,16,0)="PUR",VLOOKUP(B466,[1]Material!F$5:U$90000,16,0)="HLO"),"PURE",
      VLOOKUP(B466,[1]Material!F$5:U$90000,16,0)="AIC","AIC",
      OR(VLOOKUP(B466,[1]Material!F$5:U$90000,16,0)="AGI",VLOOKUP(B466,[1]Material!F$5:U$90000,16,0)="AGIGA"),"AGIGA",
      OR(LEFT(VLOOKUP(B466,[1]Material!F$5:U$90000,16,0),3)="EF-",VLOOKUP(B466,[1]Material!F$5:U$90000,16,0)="EFI"),"EFI",
      AND(ISNUMBER(VLOOKUP(B466,[1]Material!F$5:U$90000,16,0)),VLOOKUP(B466,[1]Material!F$5:U$90000,16,0)&gt;=100,VLOOKUP(B466,[1]Material!F$5:U$90000,16,0)&lt;=999,VLOOKUP(B466,[1]Material!F$5:U$90000,16,0)=INT(VLOOKUP(B466,[1]Material!F$5:U$90000,16,0))),"OEM",
      TRUE,""
    ),
    "không tìm thấy trong file Import"
  ),
  VLOOKUP(F466,'[2]Export shipment'!B:Y,24,0)
)</f>
        <v>PURE</v>
      </c>
      <c r="H466" s="184" t="e">
        <f>VLOOKUP(B466,[4]Export!I$3627:J$3898,2,0)</f>
        <v>#N/A</v>
      </c>
      <c r="I466" s="184" t="s">
        <v>2089</v>
      </c>
      <c r="J466" s="260">
        <f>(V466+X466+AA466)/'Logistics record '!$AD$1</f>
        <v>15.116015418335726</v>
      </c>
      <c r="K466" s="260">
        <f>W466/'Logistics record '!$AD$1</f>
        <v>0</v>
      </c>
      <c r="L466" s="260">
        <f>Y466/'Logistics record '!$AD$1</f>
        <v>0</v>
      </c>
      <c r="M466" s="260">
        <f>AF466/'Logistics record '!$AD$1</f>
        <v>60.750510165520367</v>
      </c>
      <c r="N466" s="260" t="str" cm="1">
        <f t="array" ref="N466">_xlfn.IFS(
    OR(UPPER(S466)="AIR", UPPER(S466)="CPN"), "AIR",
    UPPER(S466)="TC", "LOCAL",
    TRUE, "SEA"
)</f>
        <v>AIR</v>
      </c>
      <c r="O466" s="260">
        <f t="shared" si="36"/>
        <v>75.866525583856088</v>
      </c>
      <c r="P466" s="184" t="s">
        <v>949</v>
      </c>
      <c r="Q466" s="185">
        <v>108361196200</v>
      </c>
      <c r="R466" s="186">
        <v>46195</v>
      </c>
      <c r="S466" s="187" t="s">
        <v>65</v>
      </c>
      <c r="T466" s="188">
        <v>7.3</v>
      </c>
      <c r="U466" s="188"/>
      <c r="V466" s="189">
        <v>400000</v>
      </c>
      <c r="W466" s="190"/>
      <c r="X466" s="190"/>
      <c r="Y466" s="190"/>
      <c r="Z466" s="189">
        <f t="shared" si="44"/>
        <v>400000</v>
      </c>
      <c r="AA466" s="189">
        <v>0</v>
      </c>
      <c r="AB466" s="189">
        <f t="shared" si="41"/>
        <v>400000</v>
      </c>
      <c r="AC466" s="189"/>
      <c r="AD466" s="190">
        <v>1220400</v>
      </c>
      <c r="AE466" s="190">
        <v>387180</v>
      </c>
      <c r="AF466" s="191">
        <f t="shared" si="42"/>
        <v>1607580</v>
      </c>
      <c r="AG466" s="190">
        <f t="shared" si="43"/>
        <v>2007580</v>
      </c>
      <c r="AH466" s="190"/>
      <c r="AI466" s="192" t="str">
        <f>VLOOKUP(Q466,[3]Sheet1!B$11:G$1489,6,0)</f>
        <v>E11</v>
      </c>
      <c r="GK466" s="194"/>
      <c r="GL466" s="195"/>
      <c r="GM466" s="196"/>
      <c r="GN466" s="197"/>
      <c r="GO466" s="198"/>
      <c r="GP466" s="199"/>
      <c r="GQ466" s="200"/>
      <c r="GR466" s="201"/>
      <c r="GS466" s="60"/>
      <c r="GT466" s="202"/>
      <c r="GU466" s="202"/>
      <c r="GV466" s="202"/>
      <c r="GW466" s="202"/>
      <c r="GX466" s="203"/>
      <c r="HA466" s="194"/>
      <c r="HB466" s="195"/>
      <c r="HC466" s="196"/>
      <c r="HD466" s="197"/>
      <c r="HE466" s="198"/>
      <c r="HF466" s="199"/>
      <c r="HG466" s="200"/>
      <c r="HH466" s="201"/>
      <c r="HI466" s="60"/>
      <c r="HJ466" s="202"/>
      <c r="HK466" s="202"/>
      <c r="HL466" s="202"/>
      <c r="HM466" s="202"/>
      <c r="HN466" s="203"/>
    </row>
    <row r="467" spans="1:222" ht="16.5" customHeight="1">
      <c r="A467" s="181">
        <v>464</v>
      </c>
      <c r="B467" s="182" t="s">
        <v>2818</v>
      </c>
      <c r="C467" s="183" t="s">
        <v>2819</v>
      </c>
      <c r="D467" s="184" t="s">
        <v>940</v>
      </c>
      <c r="E467" s="184" t="str">
        <f t="shared" si="45"/>
        <v>Import</v>
      </c>
      <c r="F467" s="720" t="str" cm="1">
        <f t="array" ref="F467">_xlfn.IFS(
  OR(AI467="E11", AI467="E15"), "Raw materials",
  OR(AI467="E13", AI467="G13"), "Equipments + Toolings",
  TRUE, RIGHT(C467, 8)
)</f>
        <v>Raw materials</v>
      </c>
      <c r="G467" s="541" t="str" cm="1">
        <f t="array" ref="G467">IF(E467="Import",
  IFERROR(
    _xlfn.IFS(
      VLOOKUP(B467,[1]Material!F$5:U$90000,16,0)="LUC","Lucid",
      VLOOKUP(B467,[1]Material!F$5:U$90000,16,0)="FMC","FORD",
      OR(VLOOKUP(B467,[1]Material!F$5:U$90000,16,0)="PUR",VLOOKUP(B467,[1]Material!F$5:U$90000,16,0)="HLO"),"PURE",
      VLOOKUP(B467,[1]Material!F$5:U$90000,16,0)="AIC","AIC",
      OR(VLOOKUP(B467,[1]Material!F$5:U$90000,16,0)="AGI",VLOOKUP(B467,[1]Material!F$5:U$90000,16,0)="AGIGA"),"AGIGA",
      OR(LEFT(VLOOKUP(B467,[1]Material!F$5:U$90000,16,0),3)="EF-",VLOOKUP(B467,[1]Material!F$5:U$90000,16,0)="EFI"),"EFI",
      AND(ISNUMBER(VLOOKUP(B467,[1]Material!F$5:U$90000,16,0)),VLOOKUP(B467,[1]Material!F$5:U$90000,16,0)&gt;=100,VLOOKUP(B467,[1]Material!F$5:U$90000,16,0)&lt;=999,VLOOKUP(B467,[1]Material!F$5:U$90000,16,0)=INT(VLOOKUP(B467,[1]Material!F$5:U$90000,16,0))),"OEM",
      TRUE,""
    ),
    "không tìm thấy trong file Import"
  ),
  VLOOKUP(F467,'[2]Export shipment'!B:Y,24,0)
)</f>
        <v>PURE</v>
      </c>
      <c r="H467" s="184" t="e">
        <f>VLOOKUP(B467,[4]Export!I$3627:J$3898,2,0)</f>
        <v>#N/A</v>
      </c>
      <c r="I467" s="184" t="s">
        <v>2089</v>
      </c>
      <c r="J467" s="260">
        <f>(V467+X467+AA467)/'Logistics record '!$AD$1</f>
        <v>15.116015418335726</v>
      </c>
      <c r="K467" s="260">
        <f>W467/'Logistics record '!$AD$1</f>
        <v>0</v>
      </c>
      <c r="L467" s="260">
        <f>Y467/'Logistics record '!$AD$1</f>
        <v>0</v>
      </c>
      <c r="M467" s="260">
        <f>AF467/'Logistics record '!$AD$1</f>
        <v>60.750510165520367</v>
      </c>
      <c r="N467" s="260" t="str" cm="1">
        <f t="array" ref="N467">_xlfn.IFS(
    OR(UPPER(S467)="AIR", UPPER(S467)="CPN"), "AIR",
    UPPER(S467)="TC", "LOCAL",
    TRUE, "SEA"
)</f>
        <v>AIR</v>
      </c>
      <c r="O467" s="260">
        <f t="shared" si="36"/>
        <v>75.866525583856088</v>
      </c>
      <c r="P467" s="184" t="s">
        <v>949</v>
      </c>
      <c r="Q467" s="185">
        <v>108361224160</v>
      </c>
      <c r="R467" s="186">
        <v>46195</v>
      </c>
      <c r="S467" s="187" t="s">
        <v>65</v>
      </c>
      <c r="T467" s="188">
        <v>6.8</v>
      </c>
      <c r="U467" s="188"/>
      <c r="V467" s="189">
        <v>400000</v>
      </c>
      <c r="W467" s="190"/>
      <c r="X467" s="190"/>
      <c r="Y467" s="190"/>
      <c r="Z467" s="189">
        <f t="shared" si="44"/>
        <v>400000</v>
      </c>
      <c r="AA467" s="189">
        <v>0</v>
      </c>
      <c r="AB467" s="189">
        <f t="shared" si="41"/>
        <v>400000</v>
      </c>
      <c r="AC467" s="189"/>
      <c r="AD467" s="190">
        <v>1220400</v>
      </c>
      <c r="AE467" s="190">
        <v>387180</v>
      </c>
      <c r="AF467" s="191">
        <f t="shared" si="42"/>
        <v>1607580</v>
      </c>
      <c r="AG467" s="190">
        <f t="shared" si="43"/>
        <v>2007580</v>
      </c>
      <c r="AH467" s="190"/>
      <c r="AI467" s="192" t="str">
        <f>VLOOKUP(Q467,[3]Sheet1!B$11:G$1489,6,0)</f>
        <v>E11</v>
      </c>
      <c r="GK467" s="194"/>
      <c r="GL467" s="195"/>
      <c r="GM467" s="196"/>
      <c r="GN467" s="197"/>
      <c r="GO467" s="198"/>
      <c r="GP467" s="199"/>
      <c r="GQ467" s="200"/>
      <c r="GR467" s="201"/>
      <c r="GS467" s="60"/>
      <c r="GT467" s="202"/>
      <c r="GU467" s="202"/>
      <c r="GV467" s="202"/>
      <c r="GW467" s="202"/>
      <c r="GX467" s="203"/>
      <c r="HA467" s="194"/>
      <c r="HB467" s="195"/>
      <c r="HC467" s="196"/>
      <c r="HD467" s="197"/>
      <c r="HE467" s="198"/>
      <c r="HF467" s="199"/>
      <c r="HG467" s="200"/>
      <c r="HH467" s="201"/>
      <c r="HI467" s="60"/>
      <c r="HJ467" s="202"/>
      <c r="HK467" s="202"/>
      <c r="HL467" s="202"/>
      <c r="HM467" s="202"/>
      <c r="HN467" s="203"/>
    </row>
    <row r="468" spans="1:222" ht="16.5" customHeight="1">
      <c r="A468" s="181">
        <v>465</v>
      </c>
      <c r="B468" s="182" t="s">
        <v>2820</v>
      </c>
      <c r="C468" s="183" t="s">
        <v>2821</v>
      </c>
      <c r="D468" s="184" t="s">
        <v>940</v>
      </c>
      <c r="E468" s="184" t="str">
        <f t="shared" si="45"/>
        <v>Import</v>
      </c>
      <c r="F468" s="720" t="str" cm="1">
        <f t="array" ref="F468">_xlfn.IFS(
  OR(AI468="E11", AI468="E15"), "Raw materials",
  OR(AI468="E13", AI468="G13"), "Equipments + Toolings",
  TRUE, RIGHT(C468, 8)
)</f>
        <v>Raw materials</v>
      </c>
      <c r="G468" s="541" t="str" cm="1">
        <f t="array" ref="G468">IF(E468="Import",
  IFERROR(
    _xlfn.IFS(
      VLOOKUP(B468,[1]Material!F$5:U$90000,16,0)="LUC","Lucid",
      VLOOKUP(B468,[1]Material!F$5:U$90000,16,0)="FMC","FORD",
      OR(VLOOKUP(B468,[1]Material!F$5:U$90000,16,0)="PUR",VLOOKUP(B468,[1]Material!F$5:U$90000,16,0)="HLO"),"PURE",
      VLOOKUP(B468,[1]Material!F$5:U$90000,16,0)="AIC","AIC",
      OR(VLOOKUP(B468,[1]Material!F$5:U$90000,16,0)="AGI",VLOOKUP(B468,[1]Material!F$5:U$90000,16,0)="AGIGA"),"AGIGA",
      OR(LEFT(VLOOKUP(B468,[1]Material!F$5:U$90000,16,0),3)="EF-",VLOOKUP(B468,[1]Material!F$5:U$90000,16,0)="EFI"),"EFI",
      AND(ISNUMBER(VLOOKUP(B468,[1]Material!F$5:U$90000,16,0)),VLOOKUP(B468,[1]Material!F$5:U$90000,16,0)&gt;=100,VLOOKUP(B468,[1]Material!F$5:U$90000,16,0)&lt;=999,VLOOKUP(B468,[1]Material!F$5:U$90000,16,0)=INT(VLOOKUP(B468,[1]Material!F$5:U$90000,16,0))),"OEM",
      TRUE,""
    ),
    "không tìm thấy trong file Import"
  ),
  VLOOKUP(F468,'[2]Export shipment'!B:Y,24,0)
)</f>
        <v>PURE</v>
      </c>
      <c r="H468" s="184" t="e">
        <f>VLOOKUP(B468,[4]Export!I$3627:J$3898,2,0)</f>
        <v>#N/A</v>
      </c>
      <c r="I468" s="184" t="s">
        <v>2089</v>
      </c>
      <c r="J468" s="260">
        <f>(V468+X468+AA468)/'Logistics record '!$AD$1</f>
        <v>15.116015418335726</v>
      </c>
      <c r="K468" s="260">
        <f>W468/'Logistics record '!$AD$1</f>
        <v>0</v>
      </c>
      <c r="L468" s="260">
        <f>Y468/'Logistics record '!$AD$1</f>
        <v>0</v>
      </c>
      <c r="M468" s="260">
        <f>AF468/'Logistics record '!$AD$1</f>
        <v>60.750510165520367</v>
      </c>
      <c r="N468" s="260" t="str" cm="1">
        <f t="array" ref="N468">_xlfn.IFS(
    OR(UPPER(S468)="AIR", UPPER(S468)="CPN"), "AIR",
    UPPER(S468)="TC", "LOCAL",
    TRUE, "SEA"
)</f>
        <v>AIR</v>
      </c>
      <c r="O468" s="260">
        <f t="shared" si="36"/>
        <v>75.866525583856088</v>
      </c>
      <c r="P468" s="184" t="s">
        <v>949</v>
      </c>
      <c r="Q468" s="185">
        <v>108361389030</v>
      </c>
      <c r="R468" s="186">
        <v>46195</v>
      </c>
      <c r="S468" s="187" t="s">
        <v>65</v>
      </c>
      <c r="T468" s="188">
        <v>3.4</v>
      </c>
      <c r="U468" s="188"/>
      <c r="V468" s="189">
        <v>400000</v>
      </c>
      <c r="W468" s="190"/>
      <c r="X468" s="190"/>
      <c r="Y468" s="190"/>
      <c r="Z468" s="189">
        <f t="shared" si="44"/>
        <v>400000</v>
      </c>
      <c r="AA468" s="189">
        <v>0</v>
      </c>
      <c r="AB468" s="189">
        <f t="shared" si="41"/>
        <v>400000</v>
      </c>
      <c r="AC468" s="189"/>
      <c r="AD468" s="190">
        <v>1220400</v>
      </c>
      <c r="AE468" s="190">
        <v>387180</v>
      </c>
      <c r="AF468" s="191">
        <f t="shared" si="42"/>
        <v>1607580</v>
      </c>
      <c r="AG468" s="190">
        <f t="shared" si="43"/>
        <v>2007580</v>
      </c>
      <c r="AH468" s="190"/>
      <c r="AI468" s="192" t="str">
        <f>VLOOKUP(Q468,[3]Sheet1!B$11:G$1489,6,0)</f>
        <v>E11</v>
      </c>
      <c r="GK468" s="194"/>
      <c r="GL468" s="195"/>
      <c r="GM468" s="196"/>
      <c r="GN468" s="197"/>
      <c r="GO468" s="198"/>
      <c r="GP468" s="199"/>
      <c r="GQ468" s="200"/>
      <c r="GR468" s="201"/>
      <c r="GS468" s="60"/>
      <c r="GT468" s="202"/>
      <c r="GU468" s="202"/>
      <c r="GV468" s="202"/>
      <c r="GW468" s="202"/>
      <c r="GX468" s="203"/>
      <c r="HA468" s="194"/>
      <c r="HB468" s="195"/>
      <c r="HC468" s="196"/>
      <c r="HD468" s="197"/>
      <c r="HE468" s="198"/>
      <c r="HF468" s="199"/>
      <c r="HG468" s="200"/>
      <c r="HH468" s="201"/>
      <c r="HI468" s="60"/>
      <c r="HJ468" s="202"/>
      <c r="HK468" s="202"/>
      <c r="HL468" s="202"/>
      <c r="HM468" s="202"/>
      <c r="HN468" s="203"/>
    </row>
    <row r="469" spans="1:222" ht="16.5" customHeight="1">
      <c r="A469" s="181">
        <v>466</v>
      </c>
      <c r="B469" s="182" t="s">
        <v>2822</v>
      </c>
      <c r="C469" s="183" t="s">
        <v>2823</v>
      </c>
      <c r="D469" s="184" t="s">
        <v>940</v>
      </c>
      <c r="E469" s="184" t="str">
        <f t="shared" si="45"/>
        <v>Import</v>
      </c>
      <c r="F469" s="720" t="str" cm="1">
        <f t="array" ref="F469">_xlfn.IFS(
  OR(AI469="E11", AI469="E15"), "Raw materials",
  OR(AI469="E13", AI469="G13"), "Equipments + Toolings",
  TRUE, RIGHT(C469, 8)
)</f>
        <v>Raw materials</v>
      </c>
      <c r="G469" s="541" t="str" cm="1">
        <f t="array" ref="G469">IF(E469="Import",
  IFERROR(
    _xlfn.IFS(
      VLOOKUP(B469,[1]Material!F$5:U$90000,16,0)="LUC","Lucid",
      VLOOKUP(B469,[1]Material!F$5:U$90000,16,0)="FMC","FORD",
      OR(VLOOKUP(B469,[1]Material!F$5:U$90000,16,0)="PUR",VLOOKUP(B469,[1]Material!F$5:U$90000,16,0)="HLO"),"PURE",
      VLOOKUP(B469,[1]Material!F$5:U$90000,16,0)="AIC","AIC",
      OR(VLOOKUP(B469,[1]Material!F$5:U$90000,16,0)="AGI",VLOOKUP(B469,[1]Material!F$5:U$90000,16,0)="AGIGA"),"AGIGA",
      OR(LEFT(VLOOKUP(B469,[1]Material!F$5:U$90000,16,0),3)="EF-",VLOOKUP(B469,[1]Material!F$5:U$90000,16,0)="EFI"),"EFI",
      AND(ISNUMBER(VLOOKUP(B469,[1]Material!F$5:U$90000,16,0)),VLOOKUP(B469,[1]Material!F$5:U$90000,16,0)&gt;=100,VLOOKUP(B469,[1]Material!F$5:U$90000,16,0)&lt;=999,VLOOKUP(B469,[1]Material!F$5:U$90000,16,0)=INT(VLOOKUP(B469,[1]Material!F$5:U$90000,16,0))),"OEM",
      TRUE,""
    ),
    "không tìm thấy trong file Import"
  ),
  VLOOKUP(F469,'[2]Export shipment'!B:Y,24,0)
)</f>
        <v>PURE</v>
      </c>
      <c r="H469" s="184" t="e">
        <f>VLOOKUP(B469,[4]Export!I$3627:J$3898,2,0)</f>
        <v>#N/A</v>
      </c>
      <c r="I469" s="184" t="s">
        <v>2089</v>
      </c>
      <c r="J469" s="260">
        <f>(V469+X469+AA469)/'Logistics record '!$AD$1</f>
        <v>15.116015418335726</v>
      </c>
      <c r="K469" s="260">
        <f>W469/'Logistics record '!$AD$1</f>
        <v>0</v>
      </c>
      <c r="L469" s="260">
        <f>Y469/'Logistics record '!$AD$1</f>
        <v>0</v>
      </c>
      <c r="M469" s="260">
        <f>AF469/'Logistics record '!$AD$1</f>
        <v>60.750510165520367</v>
      </c>
      <c r="N469" s="260" t="str" cm="1">
        <f t="array" ref="N469">_xlfn.IFS(
    OR(UPPER(S469)="AIR", UPPER(S469)="CPN"), "AIR",
    UPPER(S469)="TC", "LOCAL",
    TRUE, "SEA"
)</f>
        <v>AIR</v>
      </c>
      <c r="O469" s="260">
        <f t="shared" si="36"/>
        <v>75.866525583856088</v>
      </c>
      <c r="P469" s="184" t="s">
        <v>949</v>
      </c>
      <c r="Q469" s="185">
        <v>108361409000</v>
      </c>
      <c r="R469" s="186">
        <v>46195</v>
      </c>
      <c r="S469" s="187" t="s">
        <v>65</v>
      </c>
      <c r="T469" s="188">
        <v>3.4</v>
      </c>
      <c r="U469" s="188"/>
      <c r="V469" s="189">
        <v>400000</v>
      </c>
      <c r="W469" s="190"/>
      <c r="X469" s="190"/>
      <c r="Y469" s="190"/>
      <c r="Z469" s="189">
        <f t="shared" si="44"/>
        <v>400000</v>
      </c>
      <c r="AA469" s="189">
        <v>0</v>
      </c>
      <c r="AB469" s="189">
        <f t="shared" si="41"/>
        <v>400000</v>
      </c>
      <c r="AC469" s="189"/>
      <c r="AD469" s="190">
        <v>1220400</v>
      </c>
      <c r="AE469" s="190">
        <v>387180</v>
      </c>
      <c r="AF469" s="191">
        <f t="shared" si="42"/>
        <v>1607580</v>
      </c>
      <c r="AG469" s="190">
        <f t="shared" si="43"/>
        <v>2007580</v>
      </c>
      <c r="AH469" s="190"/>
      <c r="AI469" s="192" t="str">
        <f>VLOOKUP(Q469,[3]Sheet1!B$11:G$1489,6,0)</f>
        <v>E11</v>
      </c>
      <c r="GK469" s="194"/>
      <c r="GL469" s="195"/>
      <c r="GM469" s="196"/>
      <c r="GN469" s="197"/>
      <c r="GO469" s="198"/>
      <c r="GP469" s="199"/>
      <c r="GQ469" s="200"/>
      <c r="GR469" s="201"/>
      <c r="GS469" s="60"/>
      <c r="GT469" s="202"/>
      <c r="GU469" s="202"/>
      <c r="GV469" s="202"/>
      <c r="GW469" s="202"/>
      <c r="GX469" s="203"/>
      <c r="HA469" s="194"/>
      <c r="HB469" s="195"/>
      <c r="HC469" s="196"/>
      <c r="HD469" s="197"/>
      <c r="HE469" s="198"/>
      <c r="HF469" s="199"/>
      <c r="HG469" s="200"/>
      <c r="HH469" s="201"/>
      <c r="HI469" s="60"/>
      <c r="HJ469" s="202"/>
      <c r="HK469" s="202"/>
      <c r="HL469" s="202"/>
      <c r="HM469" s="202"/>
      <c r="HN469" s="203"/>
    </row>
    <row r="470" spans="1:222" ht="16.5" customHeight="1">
      <c r="A470" s="181">
        <v>467</v>
      </c>
      <c r="B470" s="182" t="s">
        <v>2824</v>
      </c>
      <c r="C470" s="183" t="s">
        <v>2825</v>
      </c>
      <c r="D470" s="184" t="s">
        <v>940</v>
      </c>
      <c r="E470" s="184" t="str">
        <f t="shared" si="45"/>
        <v>Import</v>
      </c>
      <c r="F470" s="720" t="str" cm="1">
        <f t="array" ref="F470">_xlfn.IFS(
  OR(AI470="E11", AI470="E15"), "Raw materials",
  OR(AI470="E13", AI470="G13"), "Equipments + Toolings",
  TRUE, RIGHT(C470, 8)
)</f>
        <v>Raw materials</v>
      </c>
      <c r="G470" s="541" t="str" cm="1">
        <f t="array" ref="G470">IF(E470="Import",
  IFERROR(
    _xlfn.IFS(
      VLOOKUP(B470,[1]Material!F$5:U$90000,16,0)="LUC","Lucid",
      VLOOKUP(B470,[1]Material!F$5:U$90000,16,0)="FMC","FORD",
      OR(VLOOKUP(B470,[1]Material!F$5:U$90000,16,0)="PUR",VLOOKUP(B470,[1]Material!F$5:U$90000,16,0)="HLO"),"PURE",
      VLOOKUP(B470,[1]Material!F$5:U$90000,16,0)="AIC","AIC",
      OR(VLOOKUP(B470,[1]Material!F$5:U$90000,16,0)="AGI",VLOOKUP(B470,[1]Material!F$5:U$90000,16,0)="AGIGA"),"AGIGA",
      OR(LEFT(VLOOKUP(B470,[1]Material!F$5:U$90000,16,0),3)="EF-",VLOOKUP(B470,[1]Material!F$5:U$90000,16,0)="EFI"),"EFI",
      AND(ISNUMBER(VLOOKUP(B470,[1]Material!F$5:U$90000,16,0)),VLOOKUP(B470,[1]Material!F$5:U$90000,16,0)&gt;=100,VLOOKUP(B470,[1]Material!F$5:U$90000,16,0)&lt;=999,VLOOKUP(B470,[1]Material!F$5:U$90000,16,0)=INT(VLOOKUP(B470,[1]Material!F$5:U$90000,16,0))),"OEM",
      TRUE,""
    ),
    "không tìm thấy trong file Import"
  ),
  VLOOKUP(F470,'[2]Export shipment'!B:Y,24,0)
)</f>
        <v>PURE</v>
      </c>
      <c r="H470" s="184" t="e">
        <f>VLOOKUP(B470,[4]Export!I$3627:J$3898,2,0)</f>
        <v>#N/A</v>
      </c>
      <c r="I470" s="184" t="s">
        <v>2089</v>
      </c>
      <c r="J470" s="260">
        <f>(V470+X470+AA470)/'Logistics record '!$AD$1</f>
        <v>15.116015418335726</v>
      </c>
      <c r="K470" s="260">
        <f>W470/'Logistics record '!$AD$1</f>
        <v>0</v>
      </c>
      <c r="L470" s="260">
        <f>Y470/'Logistics record '!$AD$1</f>
        <v>0</v>
      </c>
      <c r="M470" s="260">
        <f>AF470/'Logistics record '!$AD$1</f>
        <v>60.750510165520367</v>
      </c>
      <c r="N470" s="260" t="str" cm="1">
        <f t="array" ref="N470">_xlfn.IFS(
    OR(UPPER(S470)="AIR", UPPER(S470)="CPN"), "AIR",
    UPPER(S470)="TC", "LOCAL",
    TRUE, "SEA"
)</f>
        <v>AIR</v>
      </c>
      <c r="O470" s="260">
        <f t="shared" si="36"/>
        <v>75.866525583856088</v>
      </c>
      <c r="P470" s="184" t="s">
        <v>949</v>
      </c>
      <c r="Q470" s="185">
        <v>108361429150</v>
      </c>
      <c r="R470" s="186">
        <v>46195</v>
      </c>
      <c r="S470" s="187" t="s">
        <v>65</v>
      </c>
      <c r="T470" s="188">
        <v>3.4</v>
      </c>
      <c r="U470" s="188"/>
      <c r="V470" s="189">
        <v>400000</v>
      </c>
      <c r="W470" s="190"/>
      <c r="X470" s="190"/>
      <c r="Y470" s="190"/>
      <c r="Z470" s="189">
        <f t="shared" si="44"/>
        <v>400000</v>
      </c>
      <c r="AA470" s="189">
        <v>0</v>
      </c>
      <c r="AB470" s="189">
        <f t="shared" si="41"/>
        <v>400000</v>
      </c>
      <c r="AC470" s="189"/>
      <c r="AD470" s="190">
        <v>1220400</v>
      </c>
      <c r="AE470" s="190">
        <v>387180</v>
      </c>
      <c r="AF470" s="191">
        <f t="shared" si="42"/>
        <v>1607580</v>
      </c>
      <c r="AG470" s="190">
        <f t="shared" si="43"/>
        <v>2007580</v>
      </c>
      <c r="AH470" s="190"/>
      <c r="AI470" s="192" t="str">
        <f>VLOOKUP(Q470,[3]Sheet1!B$11:G$1489,6,0)</f>
        <v>E11</v>
      </c>
      <c r="GK470" s="194"/>
      <c r="GL470" s="195"/>
      <c r="GM470" s="196"/>
      <c r="GN470" s="197"/>
      <c r="GO470" s="198"/>
      <c r="GP470" s="199"/>
      <c r="GQ470" s="200"/>
      <c r="GR470" s="201"/>
      <c r="GS470" s="60"/>
      <c r="GT470" s="202"/>
      <c r="GU470" s="202"/>
      <c r="GV470" s="202"/>
      <c r="GW470" s="202"/>
      <c r="GX470" s="203"/>
      <c r="HA470" s="194"/>
      <c r="HB470" s="195"/>
      <c r="HC470" s="196"/>
      <c r="HD470" s="197"/>
      <c r="HE470" s="198"/>
      <c r="HF470" s="199"/>
      <c r="HG470" s="200"/>
      <c r="HH470" s="201"/>
      <c r="HI470" s="60"/>
      <c r="HJ470" s="202"/>
      <c r="HK470" s="202"/>
      <c r="HL470" s="202"/>
      <c r="HM470" s="202"/>
      <c r="HN470" s="203"/>
    </row>
    <row r="471" spans="1:222" ht="16.5" customHeight="1">
      <c r="A471" s="181">
        <v>468</v>
      </c>
      <c r="B471" s="182" t="s">
        <v>2826</v>
      </c>
      <c r="C471" s="183" t="s">
        <v>2827</v>
      </c>
      <c r="D471" s="184" t="s">
        <v>940</v>
      </c>
      <c r="E471" s="184" t="str">
        <f t="shared" si="45"/>
        <v>Import</v>
      </c>
      <c r="F471" s="720" t="str" cm="1">
        <f t="array" ref="F471">_xlfn.IFS(
  OR(AI471="E11", AI471="E15"), "Raw materials",
  OR(AI471="E13", AI471="G13"), "Equipments + Toolings",
  TRUE, RIGHT(C471, 8)
)</f>
        <v>Raw materials</v>
      </c>
      <c r="G471" s="541" t="str" cm="1">
        <f t="array" ref="G471">IF(E471="Import",
  IFERROR(
    _xlfn.IFS(
      VLOOKUP(B471,[1]Material!F$5:U$90000,16,0)="LUC","Lucid",
      VLOOKUP(B471,[1]Material!F$5:U$90000,16,0)="FMC","FORD",
      OR(VLOOKUP(B471,[1]Material!F$5:U$90000,16,0)="PUR",VLOOKUP(B471,[1]Material!F$5:U$90000,16,0)="HLO"),"PURE",
      VLOOKUP(B471,[1]Material!F$5:U$90000,16,0)="AIC","AIC",
      OR(VLOOKUP(B471,[1]Material!F$5:U$90000,16,0)="AGI",VLOOKUP(B471,[1]Material!F$5:U$90000,16,0)="AGIGA"),"AGIGA",
      OR(LEFT(VLOOKUP(B471,[1]Material!F$5:U$90000,16,0),3)="EF-",VLOOKUP(B471,[1]Material!F$5:U$90000,16,0)="EFI"),"EFI",
      AND(ISNUMBER(VLOOKUP(B471,[1]Material!F$5:U$90000,16,0)),VLOOKUP(B471,[1]Material!F$5:U$90000,16,0)&gt;=100,VLOOKUP(B471,[1]Material!F$5:U$90000,16,0)&lt;=999,VLOOKUP(B471,[1]Material!F$5:U$90000,16,0)=INT(VLOOKUP(B471,[1]Material!F$5:U$90000,16,0))),"OEM",
      TRUE,""
    ),
    "không tìm thấy trong file Import"
  ),
  VLOOKUP(F471,'[2]Export shipment'!B:Y,24,0)
)</f>
        <v>PURE</v>
      </c>
      <c r="H471" s="184" t="e">
        <f>VLOOKUP(B471,[4]Export!I$3627:J$3898,2,0)</f>
        <v>#N/A</v>
      </c>
      <c r="I471" s="184" t="s">
        <v>2089</v>
      </c>
      <c r="J471" s="260">
        <f>(V471+X471+AA471)/'Logistics record '!$AD$1</f>
        <v>15.116015418335726</v>
      </c>
      <c r="K471" s="260">
        <f>W471/'Logistics record '!$AD$1</f>
        <v>0</v>
      </c>
      <c r="L471" s="260">
        <f>Y471/'Logistics record '!$AD$1</f>
        <v>0</v>
      </c>
      <c r="M471" s="260">
        <f>AF471/'Logistics record '!$AD$1</f>
        <v>60.750510165520367</v>
      </c>
      <c r="N471" s="260" t="str" cm="1">
        <f t="array" ref="N471">_xlfn.IFS(
    OR(UPPER(S471)="AIR", UPPER(S471)="CPN"), "AIR",
    UPPER(S471)="TC", "LOCAL",
    TRUE, "SEA"
)</f>
        <v>AIR</v>
      </c>
      <c r="O471" s="260">
        <f t="shared" si="36"/>
        <v>75.866525583856088</v>
      </c>
      <c r="P471" s="184" t="s">
        <v>949</v>
      </c>
      <c r="Q471" s="185">
        <v>108361449930</v>
      </c>
      <c r="R471" s="186">
        <v>46195</v>
      </c>
      <c r="S471" s="187" t="s">
        <v>65</v>
      </c>
      <c r="T471" s="188">
        <v>3.4</v>
      </c>
      <c r="U471" s="188"/>
      <c r="V471" s="189">
        <v>400000</v>
      </c>
      <c r="W471" s="190"/>
      <c r="X471" s="190"/>
      <c r="Y471" s="190"/>
      <c r="Z471" s="189">
        <f t="shared" si="44"/>
        <v>400000</v>
      </c>
      <c r="AA471" s="189">
        <v>0</v>
      </c>
      <c r="AB471" s="189">
        <f t="shared" si="41"/>
        <v>400000</v>
      </c>
      <c r="AC471" s="189"/>
      <c r="AD471" s="190">
        <v>1220400</v>
      </c>
      <c r="AE471" s="190">
        <v>387180</v>
      </c>
      <c r="AF471" s="191">
        <f t="shared" si="42"/>
        <v>1607580</v>
      </c>
      <c r="AG471" s="190">
        <f t="shared" si="43"/>
        <v>2007580</v>
      </c>
      <c r="AH471" s="190"/>
      <c r="AI471" s="192" t="str">
        <f>VLOOKUP(Q471,[3]Sheet1!B$11:G$1489,6,0)</f>
        <v>E11</v>
      </c>
      <c r="GK471" s="194"/>
      <c r="GL471" s="195"/>
      <c r="GM471" s="196"/>
      <c r="GN471" s="197"/>
      <c r="GO471" s="198"/>
      <c r="GP471" s="199"/>
      <c r="GQ471" s="200"/>
      <c r="GR471" s="201"/>
      <c r="GS471" s="60"/>
      <c r="GT471" s="202"/>
      <c r="GU471" s="202"/>
      <c r="GV471" s="202"/>
      <c r="GW471" s="202"/>
      <c r="GX471" s="203"/>
      <c r="HA471" s="194"/>
      <c r="HB471" s="195"/>
      <c r="HC471" s="196"/>
      <c r="HD471" s="197"/>
      <c r="HE471" s="198"/>
      <c r="HF471" s="199"/>
      <c r="HG471" s="200"/>
      <c r="HH471" s="201"/>
      <c r="HI471" s="60"/>
      <c r="HJ471" s="202"/>
      <c r="HK471" s="202"/>
      <c r="HL471" s="202"/>
      <c r="HM471" s="202"/>
      <c r="HN471" s="203"/>
    </row>
    <row r="472" spans="1:222" ht="16.5" customHeight="1">
      <c r="A472" s="181">
        <v>469</v>
      </c>
      <c r="B472" s="182" t="s">
        <v>2828</v>
      </c>
      <c r="C472" s="183" t="s">
        <v>2829</v>
      </c>
      <c r="D472" s="184" t="s">
        <v>940</v>
      </c>
      <c r="E472" s="184" t="str">
        <f t="shared" si="45"/>
        <v>Import</v>
      </c>
      <c r="F472" s="720" t="str" cm="1">
        <f t="array" ref="F472">_xlfn.IFS(
  OR(AI472="E11", AI472="E15"), "Raw materials",
  OR(AI472="E13", AI472="G13"), "Equipments + Toolings",
  TRUE, RIGHT(C472, 8)
)</f>
        <v>Raw materials</v>
      </c>
      <c r="G472" s="541" t="str" cm="1">
        <f t="array" ref="G472">IF(E472="Import",
  IFERROR(
    _xlfn.IFS(
      VLOOKUP(B472,[1]Material!F$5:U$90000,16,0)="LUC","Lucid",
      VLOOKUP(B472,[1]Material!F$5:U$90000,16,0)="FMC","FORD",
      OR(VLOOKUP(B472,[1]Material!F$5:U$90000,16,0)="PUR",VLOOKUP(B472,[1]Material!F$5:U$90000,16,0)="HLO"),"PURE",
      VLOOKUP(B472,[1]Material!F$5:U$90000,16,0)="AIC","AIC",
      OR(VLOOKUP(B472,[1]Material!F$5:U$90000,16,0)="AGI",VLOOKUP(B472,[1]Material!F$5:U$90000,16,0)="AGIGA"),"AGIGA",
      OR(LEFT(VLOOKUP(B472,[1]Material!F$5:U$90000,16,0),3)="EF-",VLOOKUP(B472,[1]Material!F$5:U$90000,16,0)="EFI"),"EFI",
      AND(ISNUMBER(VLOOKUP(B472,[1]Material!F$5:U$90000,16,0)),VLOOKUP(B472,[1]Material!F$5:U$90000,16,0)&gt;=100,VLOOKUP(B472,[1]Material!F$5:U$90000,16,0)&lt;=999,VLOOKUP(B472,[1]Material!F$5:U$90000,16,0)=INT(VLOOKUP(B472,[1]Material!F$5:U$90000,16,0))),"OEM",
      TRUE,""
    ),
    "không tìm thấy trong file Import"
  ),
  VLOOKUP(F472,'[2]Export shipment'!B:Y,24,0)
)</f>
        <v>PURE</v>
      </c>
      <c r="H472" s="184" t="e">
        <f>VLOOKUP(B472,[4]Export!I$3627:J$3898,2,0)</f>
        <v>#N/A</v>
      </c>
      <c r="I472" s="184" t="s">
        <v>2089</v>
      </c>
      <c r="J472" s="260">
        <f>(V472+X472+AA472)/'Logistics record '!$AD$1</f>
        <v>15.116015418335726</v>
      </c>
      <c r="K472" s="260">
        <f>W472/'Logistics record '!$AD$1</f>
        <v>0</v>
      </c>
      <c r="L472" s="260">
        <f>Y472/'Logistics record '!$AD$1</f>
        <v>0</v>
      </c>
      <c r="M472" s="260">
        <f>AF472/'Logistics record '!$AD$1</f>
        <v>60.750510165520367</v>
      </c>
      <c r="N472" s="260" t="str" cm="1">
        <f t="array" ref="N472">_xlfn.IFS(
    OR(UPPER(S472)="AIR", UPPER(S472)="CPN"), "AIR",
    UPPER(S472)="TC", "LOCAL",
    TRUE, "SEA"
)</f>
        <v>AIR</v>
      </c>
      <c r="O472" s="260">
        <f t="shared" si="36"/>
        <v>75.866525583856088</v>
      </c>
      <c r="P472" s="184" t="s">
        <v>949</v>
      </c>
      <c r="Q472" s="185">
        <v>108361477010</v>
      </c>
      <c r="R472" s="186">
        <v>46195</v>
      </c>
      <c r="S472" s="187" t="s">
        <v>65</v>
      </c>
      <c r="T472" s="188">
        <v>3.4</v>
      </c>
      <c r="U472" s="188"/>
      <c r="V472" s="189">
        <v>400000</v>
      </c>
      <c r="W472" s="190"/>
      <c r="X472" s="190"/>
      <c r="Y472" s="190"/>
      <c r="Z472" s="189">
        <f t="shared" si="44"/>
        <v>400000</v>
      </c>
      <c r="AA472" s="189">
        <v>0</v>
      </c>
      <c r="AB472" s="189">
        <f t="shared" si="41"/>
        <v>400000</v>
      </c>
      <c r="AC472" s="189"/>
      <c r="AD472" s="190">
        <v>1220400</v>
      </c>
      <c r="AE472" s="190">
        <v>387180</v>
      </c>
      <c r="AF472" s="191">
        <f t="shared" si="42"/>
        <v>1607580</v>
      </c>
      <c r="AG472" s="190">
        <f t="shared" si="43"/>
        <v>2007580</v>
      </c>
      <c r="AH472" s="190"/>
      <c r="AI472" s="192" t="str">
        <f>VLOOKUP(Q472,[3]Sheet1!B$11:G$1489,6,0)</f>
        <v>E11</v>
      </c>
      <c r="GK472" s="194"/>
      <c r="GL472" s="195"/>
      <c r="GM472" s="196"/>
      <c r="GN472" s="197"/>
      <c r="GO472" s="198"/>
      <c r="GP472" s="199"/>
      <c r="GQ472" s="200"/>
      <c r="GR472" s="201"/>
      <c r="GS472" s="60"/>
      <c r="GT472" s="202"/>
      <c r="GU472" s="202"/>
      <c r="GV472" s="202"/>
      <c r="GW472" s="202"/>
      <c r="GX472" s="203"/>
      <c r="HA472" s="194"/>
      <c r="HB472" s="195"/>
      <c r="HC472" s="196"/>
      <c r="HD472" s="197"/>
      <c r="HE472" s="198"/>
      <c r="HF472" s="199"/>
      <c r="HG472" s="200"/>
      <c r="HH472" s="201"/>
      <c r="HI472" s="60"/>
      <c r="HJ472" s="202"/>
      <c r="HK472" s="202"/>
      <c r="HL472" s="202"/>
      <c r="HM472" s="202"/>
      <c r="HN472" s="203"/>
    </row>
    <row r="473" spans="1:222" ht="16.5" customHeight="1">
      <c r="A473" s="181">
        <v>470</v>
      </c>
      <c r="B473" s="182" t="s">
        <v>2830</v>
      </c>
      <c r="C473" s="183" t="s">
        <v>2831</v>
      </c>
      <c r="D473" s="184" t="s">
        <v>940</v>
      </c>
      <c r="E473" s="184" t="str">
        <f t="shared" si="45"/>
        <v>Import</v>
      </c>
      <c r="F473" s="720" t="str" cm="1">
        <f t="array" ref="F473">_xlfn.IFS(
  OR(AI473="E11", AI473="E15"), "Raw materials",
  OR(AI473="E13", AI473="G13"), "Equipments + Toolings",
  TRUE, RIGHT(C473, 8)
)</f>
        <v>Raw materials</v>
      </c>
      <c r="G473" s="541" t="str" cm="1">
        <f t="array" ref="G473">IF(E473="Import",
  IFERROR(
    _xlfn.IFS(
      VLOOKUP(B473,[1]Material!F$5:U$90000,16,0)="LUC","Lucid",
      VLOOKUP(B473,[1]Material!F$5:U$90000,16,0)="FMC","FORD",
      OR(VLOOKUP(B473,[1]Material!F$5:U$90000,16,0)="PUR",VLOOKUP(B473,[1]Material!F$5:U$90000,16,0)="HLO"),"PURE",
      VLOOKUP(B473,[1]Material!F$5:U$90000,16,0)="AIC","AIC",
      OR(VLOOKUP(B473,[1]Material!F$5:U$90000,16,0)="AGI",VLOOKUP(B473,[1]Material!F$5:U$90000,16,0)="AGIGA"),"AGIGA",
      OR(LEFT(VLOOKUP(B473,[1]Material!F$5:U$90000,16,0),3)="EF-",VLOOKUP(B473,[1]Material!F$5:U$90000,16,0)="EFI"),"EFI",
      AND(ISNUMBER(VLOOKUP(B473,[1]Material!F$5:U$90000,16,0)),VLOOKUP(B473,[1]Material!F$5:U$90000,16,0)&gt;=100,VLOOKUP(B473,[1]Material!F$5:U$90000,16,0)&lt;=999,VLOOKUP(B473,[1]Material!F$5:U$90000,16,0)=INT(VLOOKUP(B473,[1]Material!F$5:U$90000,16,0))),"OEM",
      TRUE,""
    ),
    "không tìm thấy trong file Import"
  ),
  VLOOKUP(F473,'[2]Export shipment'!B:Y,24,0)
)</f>
        <v>PURE</v>
      </c>
      <c r="H473" s="184" t="e">
        <f>VLOOKUP(B473,[4]Export!I$3627:J$3898,2,0)</f>
        <v>#N/A</v>
      </c>
      <c r="I473" s="184" t="s">
        <v>2089</v>
      </c>
      <c r="J473" s="260">
        <f>(V473+X473+AA473)/'Logistics record '!$AD$1</f>
        <v>15.116015418335726</v>
      </c>
      <c r="K473" s="260">
        <f>W473/'Logistics record '!$AD$1</f>
        <v>0</v>
      </c>
      <c r="L473" s="260">
        <f>Y473/'Logistics record '!$AD$1</f>
        <v>0</v>
      </c>
      <c r="M473" s="260">
        <f>AF473/'Logistics record '!$AD$1</f>
        <v>60.750510165520367</v>
      </c>
      <c r="N473" s="260" t="str" cm="1">
        <f t="array" ref="N473">_xlfn.IFS(
    OR(UPPER(S473)="AIR", UPPER(S473)="CPN"), "AIR",
    UPPER(S473)="TC", "LOCAL",
    TRUE, "SEA"
)</f>
        <v>AIR</v>
      </c>
      <c r="O473" s="260">
        <f t="shared" si="36"/>
        <v>75.866525583856088</v>
      </c>
      <c r="P473" s="184" t="s">
        <v>949</v>
      </c>
      <c r="Q473" s="185">
        <v>108361495800</v>
      </c>
      <c r="R473" s="186">
        <v>46195</v>
      </c>
      <c r="S473" s="187" t="s">
        <v>65</v>
      </c>
      <c r="T473" s="188">
        <v>3.4</v>
      </c>
      <c r="U473" s="188"/>
      <c r="V473" s="189">
        <v>400000</v>
      </c>
      <c r="W473" s="190"/>
      <c r="X473" s="190"/>
      <c r="Y473" s="190"/>
      <c r="Z473" s="189">
        <f t="shared" si="44"/>
        <v>400000</v>
      </c>
      <c r="AA473" s="189">
        <v>0</v>
      </c>
      <c r="AB473" s="189">
        <f t="shared" si="41"/>
        <v>400000</v>
      </c>
      <c r="AC473" s="189"/>
      <c r="AD473" s="190">
        <v>1220400</v>
      </c>
      <c r="AE473" s="190">
        <v>387180</v>
      </c>
      <c r="AF473" s="191">
        <f t="shared" si="42"/>
        <v>1607580</v>
      </c>
      <c r="AG473" s="190">
        <f t="shared" si="43"/>
        <v>2007580</v>
      </c>
      <c r="AH473" s="190"/>
      <c r="AI473" s="192" t="str">
        <f>VLOOKUP(Q473,[3]Sheet1!B$11:G$1489,6,0)</f>
        <v>E11</v>
      </c>
      <c r="GK473" s="194"/>
      <c r="GL473" s="195"/>
      <c r="GM473" s="196"/>
      <c r="GN473" s="197"/>
      <c r="GO473" s="198"/>
      <c r="GP473" s="199"/>
      <c r="GQ473" s="200"/>
      <c r="GR473" s="201"/>
      <c r="GS473" s="60"/>
      <c r="GT473" s="202"/>
      <c r="GU473" s="202"/>
      <c r="GV473" s="202"/>
      <c r="GW473" s="202"/>
      <c r="GX473" s="203"/>
      <c r="HA473" s="194"/>
      <c r="HB473" s="195"/>
      <c r="HC473" s="196"/>
      <c r="HD473" s="197"/>
      <c r="HE473" s="198"/>
      <c r="HF473" s="199"/>
      <c r="HG473" s="200"/>
      <c r="HH473" s="201"/>
      <c r="HI473" s="60"/>
      <c r="HJ473" s="202"/>
      <c r="HK473" s="202"/>
      <c r="HL473" s="202"/>
      <c r="HM473" s="202"/>
      <c r="HN473" s="203"/>
    </row>
    <row r="474" spans="1:222" ht="16.5" customHeight="1">
      <c r="A474" s="181">
        <v>471</v>
      </c>
      <c r="B474" s="182" t="s">
        <v>2832</v>
      </c>
      <c r="C474" s="183" t="s">
        <v>2833</v>
      </c>
      <c r="D474" s="184" t="s">
        <v>940</v>
      </c>
      <c r="E474" s="184" t="str">
        <f t="shared" si="45"/>
        <v>Import</v>
      </c>
      <c r="F474" s="720" t="str" cm="1">
        <f t="array" ref="F474">_xlfn.IFS(
  OR(AI474="E11", AI474="E15"), "Raw materials",
  OR(AI474="E13", AI474="G13"), "Equipments + Toolings",
  TRUE, RIGHT(C474, 8)
)</f>
        <v>Raw materials</v>
      </c>
      <c r="G474" s="541" t="str" cm="1">
        <f t="array" ref="G474">IF(E474="Import",
  IFERROR(
    _xlfn.IFS(
      VLOOKUP(B474,[1]Material!F$5:U$90000,16,0)="LUC","Lucid",
      VLOOKUP(B474,[1]Material!F$5:U$90000,16,0)="FMC","FORD",
      OR(VLOOKUP(B474,[1]Material!F$5:U$90000,16,0)="PUR",VLOOKUP(B474,[1]Material!F$5:U$90000,16,0)="HLO"),"PURE",
      VLOOKUP(B474,[1]Material!F$5:U$90000,16,0)="AIC","AIC",
      OR(VLOOKUP(B474,[1]Material!F$5:U$90000,16,0)="AGI",VLOOKUP(B474,[1]Material!F$5:U$90000,16,0)="AGIGA"),"AGIGA",
      OR(LEFT(VLOOKUP(B474,[1]Material!F$5:U$90000,16,0),3)="EF-",VLOOKUP(B474,[1]Material!F$5:U$90000,16,0)="EFI"),"EFI",
      AND(ISNUMBER(VLOOKUP(B474,[1]Material!F$5:U$90000,16,0)),VLOOKUP(B474,[1]Material!F$5:U$90000,16,0)&gt;=100,VLOOKUP(B474,[1]Material!F$5:U$90000,16,0)&lt;=999,VLOOKUP(B474,[1]Material!F$5:U$90000,16,0)=INT(VLOOKUP(B474,[1]Material!F$5:U$90000,16,0))),"OEM",
      TRUE,""
    ),
    "không tìm thấy trong file Import"
  ),
  VLOOKUP(F474,'[2]Export shipment'!B:Y,24,0)
)</f>
        <v>PURE</v>
      </c>
      <c r="H474" s="184" t="e">
        <f>VLOOKUP(B474,[4]Export!I$3627:J$3898,2,0)</f>
        <v>#N/A</v>
      </c>
      <c r="I474" s="184" t="s">
        <v>2089</v>
      </c>
      <c r="J474" s="260">
        <f>(V474+X474+AA474)/'Logistics record '!$AD$1</f>
        <v>15.116015418335726</v>
      </c>
      <c r="K474" s="260">
        <f>W474/'Logistics record '!$AD$1</f>
        <v>0</v>
      </c>
      <c r="L474" s="260">
        <f>Y474/'Logistics record '!$AD$1</f>
        <v>0</v>
      </c>
      <c r="M474" s="260">
        <f>AF474/'Logistics record '!$AD$1</f>
        <v>60.750510165520367</v>
      </c>
      <c r="N474" s="260" t="str" cm="1">
        <f t="array" ref="N474">_xlfn.IFS(
    OR(UPPER(S474)="AIR", UPPER(S474)="CPN"), "AIR",
    UPPER(S474)="TC", "LOCAL",
    TRUE, "SEA"
)</f>
        <v>AIR</v>
      </c>
      <c r="O474" s="260">
        <f t="shared" si="36"/>
        <v>75.866525583856088</v>
      </c>
      <c r="P474" s="184" t="s">
        <v>949</v>
      </c>
      <c r="Q474" s="185">
        <v>108361523800</v>
      </c>
      <c r="R474" s="186">
        <v>46195</v>
      </c>
      <c r="S474" s="187" t="s">
        <v>65</v>
      </c>
      <c r="T474" s="188">
        <v>3.4</v>
      </c>
      <c r="U474" s="188"/>
      <c r="V474" s="189">
        <v>400000</v>
      </c>
      <c r="W474" s="190"/>
      <c r="X474" s="190"/>
      <c r="Y474" s="190"/>
      <c r="Z474" s="189">
        <f t="shared" si="44"/>
        <v>400000</v>
      </c>
      <c r="AA474" s="189">
        <v>0</v>
      </c>
      <c r="AB474" s="189">
        <f t="shared" si="41"/>
        <v>400000</v>
      </c>
      <c r="AC474" s="189"/>
      <c r="AD474" s="190">
        <v>1220400</v>
      </c>
      <c r="AE474" s="190">
        <v>387180</v>
      </c>
      <c r="AF474" s="191">
        <f t="shared" si="42"/>
        <v>1607580</v>
      </c>
      <c r="AG474" s="190">
        <f t="shared" si="43"/>
        <v>2007580</v>
      </c>
      <c r="AH474" s="190"/>
      <c r="AI474" s="192" t="str">
        <f>VLOOKUP(Q474,[3]Sheet1!B$11:G$1489,6,0)</f>
        <v>E11</v>
      </c>
      <c r="GK474" s="194"/>
      <c r="GL474" s="195"/>
      <c r="GM474" s="196"/>
      <c r="GN474" s="197"/>
      <c r="GO474" s="198"/>
      <c r="GP474" s="199"/>
      <c r="GQ474" s="200"/>
      <c r="GR474" s="201"/>
      <c r="GS474" s="60"/>
      <c r="GT474" s="202"/>
      <c r="GU474" s="202"/>
      <c r="GV474" s="202"/>
      <c r="GW474" s="202"/>
      <c r="GX474" s="203"/>
      <c r="HA474" s="194"/>
      <c r="HB474" s="195"/>
      <c r="HC474" s="196"/>
      <c r="HD474" s="197"/>
      <c r="HE474" s="198"/>
      <c r="HF474" s="199"/>
      <c r="HG474" s="200"/>
      <c r="HH474" s="201"/>
      <c r="HI474" s="60"/>
      <c r="HJ474" s="202"/>
      <c r="HK474" s="202"/>
      <c r="HL474" s="202"/>
      <c r="HM474" s="202"/>
      <c r="HN474" s="203"/>
    </row>
    <row r="475" spans="1:222" ht="16.5" customHeight="1">
      <c r="A475" s="181">
        <v>472</v>
      </c>
      <c r="B475" s="182" t="s">
        <v>2834</v>
      </c>
      <c r="C475" s="183" t="s">
        <v>2835</v>
      </c>
      <c r="D475" s="184" t="s">
        <v>940</v>
      </c>
      <c r="E475" s="184" t="str">
        <f t="shared" si="45"/>
        <v>Import</v>
      </c>
      <c r="F475" s="720" t="str" cm="1">
        <f t="array" ref="F475">_xlfn.IFS(
  OR(AI475="E11", AI475="E15"), "Raw materials",
  OR(AI475="E13", AI475="G13"), "Equipments + Toolings",
  TRUE, RIGHT(C475, 8)
)</f>
        <v>Raw materials</v>
      </c>
      <c r="G475" s="541" t="str" cm="1">
        <f t="array" ref="G475">IF(E475="Import",
  IFERROR(
    _xlfn.IFS(
      VLOOKUP(B475,[1]Material!F$5:U$90000,16,0)="LUC","Lucid",
      VLOOKUP(B475,[1]Material!F$5:U$90000,16,0)="FMC","FORD",
      OR(VLOOKUP(B475,[1]Material!F$5:U$90000,16,0)="PUR",VLOOKUP(B475,[1]Material!F$5:U$90000,16,0)="HLO"),"PURE",
      VLOOKUP(B475,[1]Material!F$5:U$90000,16,0)="AIC","AIC",
      OR(VLOOKUP(B475,[1]Material!F$5:U$90000,16,0)="AGI",VLOOKUP(B475,[1]Material!F$5:U$90000,16,0)="AGIGA"),"AGIGA",
      OR(LEFT(VLOOKUP(B475,[1]Material!F$5:U$90000,16,0),3)="EF-",VLOOKUP(B475,[1]Material!F$5:U$90000,16,0)="EFI"),"EFI",
      AND(ISNUMBER(VLOOKUP(B475,[1]Material!F$5:U$90000,16,0)),VLOOKUP(B475,[1]Material!F$5:U$90000,16,0)&gt;=100,VLOOKUP(B475,[1]Material!F$5:U$90000,16,0)&lt;=999,VLOOKUP(B475,[1]Material!F$5:U$90000,16,0)=INT(VLOOKUP(B475,[1]Material!F$5:U$90000,16,0))),"OEM",
      TRUE,""
    ),
    "không tìm thấy trong file Import"
  ),
  VLOOKUP(F475,'[2]Export shipment'!B:Y,24,0)
)</f>
        <v>PURE</v>
      </c>
      <c r="H475" s="184" t="e">
        <f>VLOOKUP(B475,[4]Export!I$3627:J$3898,2,0)</f>
        <v>#N/A</v>
      </c>
      <c r="I475" s="184" t="s">
        <v>2089</v>
      </c>
      <c r="J475" s="260">
        <f>(V475+X475+AA475)/'Logistics record '!$AD$1</f>
        <v>15.116015418335726</v>
      </c>
      <c r="K475" s="260">
        <f>W475/'Logistics record '!$AD$1</f>
        <v>22.674023127503592</v>
      </c>
      <c r="L475" s="260">
        <f>Y475/'Logistics record '!$AD$1</f>
        <v>0</v>
      </c>
      <c r="M475" s="260">
        <f>AF475/'Logistics record '!$AD$1</f>
        <v>60.750510165520367</v>
      </c>
      <c r="N475" s="260" t="str" cm="1">
        <f t="array" ref="N475">_xlfn.IFS(
    OR(UPPER(S475)="AIR", UPPER(S475)="CPN"), "AIR",
    UPPER(S475)="TC", "LOCAL",
    TRUE, "SEA"
)</f>
        <v>AIR</v>
      </c>
      <c r="O475" s="260">
        <f t="shared" si="36"/>
        <v>98.540548711359676</v>
      </c>
      <c r="P475" s="184" t="s">
        <v>949</v>
      </c>
      <c r="Q475" s="185">
        <v>108361544760</v>
      </c>
      <c r="R475" s="186">
        <v>46195</v>
      </c>
      <c r="S475" s="187" t="s">
        <v>65</v>
      </c>
      <c r="T475" s="188">
        <v>3.4</v>
      </c>
      <c r="U475" s="188"/>
      <c r="V475" s="189">
        <v>400000</v>
      </c>
      <c r="W475" s="190">
        <v>600000</v>
      </c>
      <c r="X475" s="190"/>
      <c r="Y475" s="190"/>
      <c r="Z475" s="189">
        <f t="shared" si="44"/>
        <v>1000000</v>
      </c>
      <c r="AA475" s="189">
        <v>0</v>
      </c>
      <c r="AB475" s="189">
        <f t="shared" si="41"/>
        <v>1000000</v>
      </c>
      <c r="AC475" s="189"/>
      <c r="AD475" s="190">
        <v>1220400</v>
      </c>
      <c r="AE475" s="190">
        <v>387180</v>
      </c>
      <c r="AF475" s="191">
        <f t="shared" si="42"/>
        <v>1607580</v>
      </c>
      <c r="AG475" s="190">
        <f t="shared" si="43"/>
        <v>2607580</v>
      </c>
      <c r="AH475" s="190"/>
      <c r="AI475" s="192" t="str">
        <f>VLOOKUP(Q475,[3]Sheet1!B$11:G$1489,6,0)</f>
        <v>E11</v>
      </c>
      <c r="GK475" s="194"/>
      <c r="GL475" s="195"/>
      <c r="GM475" s="196"/>
      <c r="GN475" s="197"/>
      <c r="GO475" s="198"/>
      <c r="GP475" s="199"/>
      <c r="GQ475" s="200"/>
      <c r="GR475" s="201"/>
      <c r="GS475" s="60"/>
      <c r="GT475" s="202"/>
      <c r="GU475" s="202"/>
      <c r="GV475" s="202"/>
      <c r="GW475" s="202"/>
      <c r="GX475" s="203"/>
      <c r="HA475" s="194"/>
      <c r="HB475" s="195"/>
      <c r="HC475" s="196"/>
      <c r="HD475" s="197"/>
      <c r="HE475" s="198"/>
      <c r="HF475" s="199"/>
      <c r="HG475" s="200"/>
      <c r="HH475" s="201"/>
      <c r="HI475" s="60"/>
      <c r="HJ475" s="202"/>
      <c r="HK475" s="202"/>
      <c r="HL475" s="202"/>
      <c r="HM475" s="202"/>
      <c r="HN475" s="203"/>
    </row>
    <row r="476" spans="1:222" ht="16.5" customHeight="1">
      <c r="A476" s="181">
        <v>473</v>
      </c>
      <c r="B476" s="182">
        <v>4110338185</v>
      </c>
      <c r="C476" s="183" t="s">
        <v>2836</v>
      </c>
      <c r="D476" s="184" t="s">
        <v>948</v>
      </c>
      <c r="E476" s="184" t="str">
        <f t="shared" si="45"/>
        <v>Import</v>
      </c>
      <c r="F476" s="720" t="str" cm="1">
        <f t="array" ref="F476">_xlfn.IFS(
  OR(AI476="E11", AI476="E15"), "Raw materials",
  OR(AI476="E13", AI476="G13"), "Equipments + Toolings",
  TRUE, RIGHT(C476, 8)
)</f>
        <v>Raw materials</v>
      </c>
      <c r="G476" s="541" t="str" cm="1">
        <f t="array" ref="G476">IF(E476="Import",
  IFERROR(
    _xlfn.IFS(
      VLOOKUP(B476,[1]Material!F$5:U$90000,16,0)="LUC","Lucid",
      VLOOKUP(B476,[1]Material!F$5:U$90000,16,0)="FMC","FORD",
      OR(VLOOKUP(B476,[1]Material!F$5:U$90000,16,0)="PUR",VLOOKUP(B476,[1]Material!F$5:U$90000,16,0)="HLO"),"PURE",
      VLOOKUP(B476,[1]Material!F$5:U$90000,16,0)="AIC","AIC",
      OR(VLOOKUP(B476,[1]Material!F$5:U$90000,16,0)="AGI",VLOOKUP(B476,[1]Material!F$5:U$90000,16,0)="AGIGA"),"AGIGA",
      OR(LEFT(VLOOKUP(B476,[1]Material!F$5:U$90000,16,0),3)="EF-",VLOOKUP(B476,[1]Material!F$5:U$90000,16,0)="EFI"),"EFI",
      AND(ISNUMBER(VLOOKUP(B476,[1]Material!F$5:U$90000,16,0)),VLOOKUP(B476,[1]Material!F$5:U$90000,16,0)&gt;=100,VLOOKUP(B476,[1]Material!F$5:U$90000,16,0)&lt;=999,VLOOKUP(B476,[1]Material!F$5:U$90000,16,0)=INT(VLOOKUP(B476,[1]Material!F$5:U$90000,16,0))),"OEM",
      TRUE,""
    ),
    "không tìm thấy trong file Import"
  ),
  VLOOKUP(F476,'[2]Export shipment'!B:Y,24,0)
)</f>
        <v>Lucid</v>
      </c>
      <c r="H476" s="184"/>
      <c r="I476" s="184"/>
      <c r="J476" s="260">
        <f>(V476+X476+AA476)/'Logistics record '!$AD$1</f>
        <v>15.116015418335726</v>
      </c>
      <c r="K476" s="260">
        <f>W476/'Logistics record '!$AD$1</f>
        <v>0</v>
      </c>
      <c r="L476" s="260">
        <f>Y476/'Logistics record '!$AD$1</f>
        <v>0</v>
      </c>
      <c r="M476" s="260">
        <f>AF476/'Logistics record '!$AD$1</f>
        <v>0</v>
      </c>
      <c r="N476" s="260" t="str" cm="1">
        <f t="array" ref="N476">_xlfn.IFS(
    OR(UPPER(S476)="AIR", UPPER(S476)="CPN"), "AIR",
    UPPER(S476)="TC", "LOCAL",
    TRUE, "SEA"
)</f>
        <v>AIR</v>
      </c>
      <c r="O476" s="260">
        <f t="shared" si="36"/>
        <v>15.116015418335726</v>
      </c>
      <c r="P476" s="184" t="s">
        <v>935</v>
      </c>
      <c r="Q476" s="185">
        <v>108362108520</v>
      </c>
      <c r="R476" s="186">
        <v>46195</v>
      </c>
      <c r="S476" s="187" t="s">
        <v>65</v>
      </c>
      <c r="T476" s="188">
        <v>354.5</v>
      </c>
      <c r="U476" s="188"/>
      <c r="V476" s="189">
        <v>400000</v>
      </c>
      <c r="W476" s="190"/>
      <c r="X476" s="190"/>
      <c r="Y476" s="190"/>
      <c r="Z476" s="189">
        <f t="shared" si="44"/>
        <v>400000</v>
      </c>
      <c r="AA476" s="189">
        <v>0</v>
      </c>
      <c r="AB476" s="189">
        <f t="shared" si="41"/>
        <v>400000</v>
      </c>
      <c r="AC476" s="189"/>
      <c r="AD476" s="190"/>
      <c r="AE476" s="190"/>
      <c r="AF476" s="191">
        <f t="shared" si="42"/>
        <v>0</v>
      </c>
      <c r="AG476" s="190">
        <f t="shared" si="43"/>
        <v>400000</v>
      </c>
      <c r="AH476" s="190"/>
      <c r="AI476" s="192" t="str">
        <f>VLOOKUP(Q476,[3]Sheet1!B$11:G$1489,6,0)</f>
        <v>E11</v>
      </c>
      <c r="GK476" s="194"/>
      <c r="GL476" s="195"/>
      <c r="GM476" s="196"/>
      <c r="GN476" s="197"/>
      <c r="GO476" s="198"/>
      <c r="GP476" s="199"/>
      <c r="GQ476" s="200"/>
      <c r="GR476" s="201"/>
      <c r="GS476" s="60"/>
      <c r="GT476" s="202"/>
      <c r="GU476" s="202"/>
      <c r="GV476" s="202"/>
      <c r="GW476" s="202"/>
      <c r="GX476" s="203"/>
      <c r="HA476" s="194"/>
      <c r="HB476" s="195"/>
      <c r="HC476" s="196"/>
      <c r="HD476" s="197"/>
      <c r="HE476" s="198"/>
      <c r="HF476" s="199"/>
      <c r="HG476" s="200"/>
      <c r="HH476" s="201"/>
      <c r="HI476" s="60"/>
      <c r="HJ476" s="202"/>
      <c r="HK476" s="202"/>
      <c r="HL476" s="202"/>
      <c r="HM476" s="202"/>
      <c r="HN476" s="203"/>
    </row>
    <row r="477" spans="1:222" ht="16.5" customHeight="1">
      <c r="A477" s="181">
        <v>474</v>
      </c>
      <c r="B477" s="182">
        <v>484361669253</v>
      </c>
      <c r="C477" s="183" t="s">
        <v>2837</v>
      </c>
      <c r="D477" s="184" t="s">
        <v>376</v>
      </c>
      <c r="E477" s="184" t="str">
        <f t="shared" si="45"/>
        <v>Import</v>
      </c>
      <c r="F477" s="720" t="str" cm="1">
        <f t="array" ref="F477">_xlfn.IFS(
  OR(AI477="E11", AI477="E15"), "Raw materials",
  OR(AI477="E13", AI477="G13"), "Equipments + Toolings",
  TRUE, RIGHT(C477, 8)
)</f>
        <v>Raw materials</v>
      </c>
      <c r="G477" s="541" t="str" cm="1">
        <f t="array" ref="G477">IF(E477="Import",
  IFERROR(
    _xlfn.IFS(
      VLOOKUP(B477,[1]Material!F$5:U$90000,16,0)="LUC","Lucid",
      VLOOKUP(B477,[1]Material!F$5:U$90000,16,0)="FMC","FORD",
      OR(VLOOKUP(B477,[1]Material!F$5:U$90000,16,0)="PUR",VLOOKUP(B477,[1]Material!F$5:U$90000,16,0)="HLO"),"PURE",
      VLOOKUP(B477,[1]Material!F$5:U$90000,16,0)="AIC","AIC",
      OR(VLOOKUP(B477,[1]Material!F$5:U$90000,16,0)="AGI",VLOOKUP(B477,[1]Material!F$5:U$90000,16,0)="AGIGA"),"AGIGA",
      OR(LEFT(VLOOKUP(B477,[1]Material!F$5:U$90000,16,0),3)="EF-",VLOOKUP(B477,[1]Material!F$5:U$90000,16,0)="EFI"),"EFI",
      AND(ISNUMBER(VLOOKUP(B477,[1]Material!F$5:U$90000,16,0)),VLOOKUP(B477,[1]Material!F$5:U$90000,16,0)&gt;=100,VLOOKUP(B477,[1]Material!F$5:U$90000,16,0)&lt;=999,VLOOKUP(B477,[1]Material!F$5:U$90000,16,0)=INT(VLOOKUP(B477,[1]Material!F$5:U$90000,16,0))),"OEM",
      TRUE,""
    ),
    "không tìm thấy trong file Import"
  ),
  VLOOKUP(F477,'[2]Export shipment'!B:Y,24,0)
)</f>
        <v>Lucid</v>
      </c>
      <c r="H477" s="184"/>
      <c r="I477" s="184"/>
      <c r="J477" s="260">
        <f>(V477+X477+AA477)/'Logistics record '!$AD$1</f>
        <v>15.116015418335726</v>
      </c>
      <c r="K477" s="260">
        <f>W477/'Logistics record '!$AD$1</f>
        <v>0</v>
      </c>
      <c r="L477" s="260">
        <f>Y477/'Logistics record '!$AD$1</f>
        <v>0</v>
      </c>
      <c r="M477" s="260">
        <f>AF477/'Logistics record '!$AD$1</f>
        <v>0</v>
      </c>
      <c r="N477" s="260" t="str" cm="1">
        <f t="array" ref="N477">_xlfn.IFS(
    OR(UPPER(S477)="AIR", UPPER(S477)="CPN"), "AIR",
    UPPER(S477)="TC", "LOCAL",
    TRUE, "SEA"
)</f>
        <v>AIR</v>
      </c>
      <c r="O477" s="260">
        <f t="shared" si="36"/>
        <v>15.116015418335726</v>
      </c>
      <c r="P477" s="184" t="s">
        <v>937</v>
      </c>
      <c r="Q477" s="185">
        <v>108362284810</v>
      </c>
      <c r="R477" s="186">
        <v>46195</v>
      </c>
      <c r="S477" s="187" t="s">
        <v>928</v>
      </c>
      <c r="T477" s="188">
        <v>114.5</v>
      </c>
      <c r="U477" s="188"/>
      <c r="V477" s="189">
        <v>400000</v>
      </c>
      <c r="W477" s="190"/>
      <c r="X477" s="190"/>
      <c r="Y477" s="190"/>
      <c r="Z477" s="189">
        <f t="shared" si="44"/>
        <v>400000</v>
      </c>
      <c r="AA477" s="189">
        <v>0</v>
      </c>
      <c r="AB477" s="189">
        <f t="shared" si="41"/>
        <v>400000</v>
      </c>
      <c r="AC477" s="189"/>
      <c r="AD477" s="190"/>
      <c r="AE477" s="190"/>
      <c r="AF477" s="191">
        <f t="shared" si="42"/>
        <v>0</v>
      </c>
      <c r="AG477" s="190">
        <f t="shared" si="43"/>
        <v>400000</v>
      </c>
      <c r="AH477" s="190"/>
      <c r="AI477" s="192" t="str">
        <f>VLOOKUP(Q477,[3]Sheet1!B$11:G$1489,6,0)</f>
        <v>E11</v>
      </c>
      <c r="GK477" s="194"/>
      <c r="GL477" s="195"/>
      <c r="GM477" s="196"/>
      <c r="GN477" s="197"/>
      <c r="GO477" s="198"/>
      <c r="GP477" s="199"/>
      <c r="GQ477" s="200"/>
      <c r="GR477" s="201"/>
      <c r="GS477" s="60"/>
      <c r="GT477" s="202"/>
      <c r="GU477" s="202"/>
      <c r="GV477" s="202"/>
      <c r="GW477" s="202"/>
      <c r="GX477" s="203"/>
      <c r="HA477" s="194"/>
      <c r="HB477" s="195"/>
      <c r="HC477" s="196"/>
      <c r="HD477" s="197"/>
      <c r="HE477" s="198"/>
      <c r="HF477" s="199"/>
      <c r="HG477" s="200"/>
      <c r="HH477" s="201"/>
      <c r="HI477" s="60"/>
      <c r="HJ477" s="202"/>
      <c r="HK477" s="202"/>
      <c r="HL477" s="202"/>
      <c r="HM477" s="202"/>
      <c r="HN477" s="203"/>
    </row>
    <row r="478" spans="1:222" ht="16.5" customHeight="1">
      <c r="A478" s="181">
        <v>475</v>
      </c>
      <c r="B478" s="182">
        <v>872983141244</v>
      </c>
      <c r="C478" s="183" t="s">
        <v>2838</v>
      </c>
      <c r="D478" s="184" t="s">
        <v>2176</v>
      </c>
      <c r="E478" s="184" t="str">
        <f t="shared" si="45"/>
        <v>Import</v>
      </c>
      <c r="F478" s="720" t="str" cm="1">
        <f t="array" ref="F478">_xlfn.IFS(
  OR(AI478="E11", AI478="E15"), "Raw materials",
  OR(AI478="E13", AI478="G13"), "Equipments + Toolings",
  TRUE, RIGHT(C478, 8)
)</f>
        <v>Raw materials</v>
      </c>
      <c r="G478" s="541" t="str" cm="1">
        <f t="array" ref="G478">IF(E478="Import",
  IFERROR(
    _xlfn.IFS(
      VLOOKUP(B478,[1]Material!F$5:U$90000,16,0)="LUC","Lucid",
      VLOOKUP(B478,[1]Material!F$5:U$90000,16,0)="FMC","FORD",
      OR(VLOOKUP(B478,[1]Material!F$5:U$90000,16,0)="PUR",VLOOKUP(B478,[1]Material!F$5:U$90000,16,0)="HLO"),"PURE",
      VLOOKUP(B478,[1]Material!F$5:U$90000,16,0)="AIC","AIC",
      OR(VLOOKUP(B478,[1]Material!F$5:U$90000,16,0)="AGI",VLOOKUP(B478,[1]Material!F$5:U$90000,16,0)="AGIGA"),"AGIGA",
      OR(LEFT(VLOOKUP(B478,[1]Material!F$5:U$90000,16,0),3)="EF-",VLOOKUP(B478,[1]Material!F$5:U$90000,16,0)="EFI"),"EFI",
      AND(ISNUMBER(VLOOKUP(B478,[1]Material!F$5:U$90000,16,0)),VLOOKUP(B478,[1]Material!F$5:U$90000,16,0)&gt;=100,VLOOKUP(B478,[1]Material!F$5:U$90000,16,0)&lt;=999,VLOOKUP(B478,[1]Material!F$5:U$90000,16,0)=INT(VLOOKUP(B478,[1]Material!F$5:U$90000,16,0))),"OEM",
      TRUE,""
    ),
    "không tìm thấy trong file Import"
  ),
  VLOOKUP(F478,'[2]Export shipment'!B:Y,24,0)
)</f>
        <v>AIC</v>
      </c>
      <c r="H478" s="184"/>
      <c r="I478" s="184"/>
      <c r="J478" s="260">
        <f>(V478+X478+AA478)/'Logistics record '!$AD$1</f>
        <v>15.116015418335726</v>
      </c>
      <c r="K478" s="260">
        <f>W478/'Logistics record '!$AD$1</f>
        <v>0</v>
      </c>
      <c r="L478" s="260">
        <f>Y478/'Logistics record '!$AD$1</f>
        <v>0</v>
      </c>
      <c r="M478" s="260">
        <f>AF478/'Logistics record '!$AD$1</f>
        <v>0</v>
      </c>
      <c r="N478" s="260" t="str" cm="1">
        <f t="array" ref="N478">_xlfn.IFS(
    OR(UPPER(S478)="AIR", UPPER(S478)="CPN"), "AIR",
    UPPER(S478)="TC", "LOCAL",
    TRUE, "SEA"
)</f>
        <v>AIR</v>
      </c>
      <c r="O478" s="260">
        <f t="shared" si="36"/>
        <v>15.116015418335726</v>
      </c>
      <c r="P478" s="184" t="s">
        <v>932</v>
      </c>
      <c r="Q478" s="185">
        <v>108362625820</v>
      </c>
      <c r="R478" s="186">
        <v>46195</v>
      </c>
      <c r="S478" s="187" t="s">
        <v>928</v>
      </c>
      <c r="T478" s="188">
        <v>0.9</v>
      </c>
      <c r="U478" s="188"/>
      <c r="V478" s="189">
        <v>400000</v>
      </c>
      <c r="W478" s="190"/>
      <c r="X478" s="190"/>
      <c r="Y478" s="190"/>
      <c r="Z478" s="189">
        <f t="shared" si="44"/>
        <v>400000</v>
      </c>
      <c r="AA478" s="189">
        <v>0</v>
      </c>
      <c r="AB478" s="189">
        <f t="shared" si="41"/>
        <v>400000</v>
      </c>
      <c r="AC478" s="189"/>
      <c r="AD478" s="190"/>
      <c r="AE478" s="190"/>
      <c r="AF478" s="191">
        <f t="shared" si="42"/>
        <v>0</v>
      </c>
      <c r="AG478" s="190">
        <f t="shared" si="43"/>
        <v>400000</v>
      </c>
      <c r="AH478" s="190"/>
      <c r="AI478" s="192" t="str">
        <f>VLOOKUP(Q478,[3]Sheet1!B$11:G$1489,6,0)</f>
        <v>E11</v>
      </c>
      <c r="GK478" s="194"/>
      <c r="GL478" s="195"/>
      <c r="GM478" s="196"/>
      <c r="GN478" s="197"/>
      <c r="GO478" s="198"/>
      <c r="GP478" s="199"/>
      <c r="GQ478" s="200"/>
      <c r="GR478" s="201"/>
      <c r="GS478" s="60"/>
      <c r="GT478" s="202"/>
      <c r="GU478" s="202"/>
      <c r="GV478" s="202"/>
      <c r="GW478" s="202"/>
      <c r="GX478" s="203"/>
      <c r="HA478" s="194"/>
      <c r="HB478" s="195"/>
      <c r="HC478" s="196"/>
      <c r="HD478" s="197"/>
      <c r="HE478" s="198"/>
      <c r="HF478" s="199"/>
      <c r="HG478" s="200"/>
      <c r="HH478" s="201"/>
      <c r="HI478" s="60"/>
      <c r="HJ478" s="202"/>
      <c r="HK478" s="202"/>
      <c r="HL478" s="202"/>
      <c r="HM478" s="202"/>
      <c r="HN478" s="203"/>
    </row>
    <row r="479" spans="1:222" ht="16.5" customHeight="1">
      <c r="A479" s="181">
        <v>476</v>
      </c>
      <c r="B479" s="182">
        <v>2043897332</v>
      </c>
      <c r="C479" s="183" t="s">
        <v>2839</v>
      </c>
      <c r="D479" s="184" t="s">
        <v>2840</v>
      </c>
      <c r="E479" s="184" t="str">
        <f t="shared" si="45"/>
        <v>Import</v>
      </c>
      <c r="F479" s="720" t="str" cm="1">
        <f t="array" ref="F479">_xlfn.IFS(
  OR(AI479="E11", AI479="E15"), "Raw materials",
  OR(AI479="E13", AI479="G13"), "Equipments + Toolings",
  TRUE, RIGHT(C479, 8)
)</f>
        <v>Raw materials</v>
      </c>
      <c r="G479" s="541" t="str" cm="1">
        <f t="array" ref="G479">IF(E479="Import",
  IFERROR(
    _xlfn.IFS(
      VLOOKUP(B479,[1]Material!F$5:U$90000,16,0)="LUC","Lucid",
      VLOOKUP(B479,[1]Material!F$5:U$90000,16,0)="FMC","FORD",
      OR(VLOOKUP(B479,[1]Material!F$5:U$90000,16,0)="PUR",VLOOKUP(B479,[1]Material!F$5:U$90000,16,0)="HLO"),"PURE",
      VLOOKUP(B479,[1]Material!F$5:U$90000,16,0)="AIC","AIC",
      OR(VLOOKUP(B479,[1]Material!F$5:U$90000,16,0)="AGI",VLOOKUP(B479,[1]Material!F$5:U$90000,16,0)="AGIGA"),"AGIGA",
      OR(LEFT(VLOOKUP(B479,[1]Material!F$5:U$90000,16,0),3)="EF-",VLOOKUP(B479,[1]Material!F$5:U$90000,16,0)="EFI"),"EFI",
      AND(ISNUMBER(VLOOKUP(B479,[1]Material!F$5:U$90000,16,0)),VLOOKUP(B479,[1]Material!F$5:U$90000,16,0)&gt;=100,VLOOKUP(B479,[1]Material!F$5:U$90000,16,0)&lt;=999,VLOOKUP(B479,[1]Material!F$5:U$90000,16,0)=INT(VLOOKUP(B479,[1]Material!F$5:U$90000,16,0))),"OEM",
      TRUE,""
    ),
    "không tìm thấy trong file Import"
  ),
  VLOOKUP(F479,'[2]Export shipment'!B:Y,24,0)
)</f>
        <v>Lucid</v>
      </c>
      <c r="H479" s="184"/>
      <c r="I479" s="184"/>
      <c r="J479" s="260">
        <f>(V479+X479+AA479)/'Logistics record '!$AD$1</f>
        <v>15.116015418335726</v>
      </c>
      <c r="K479" s="260">
        <f>W479/'Logistics record '!$AD$1</f>
        <v>0</v>
      </c>
      <c r="L479" s="260">
        <f>Y479/'Logistics record '!$AD$1</f>
        <v>0</v>
      </c>
      <c r="M479" s="260">
        <f>AF479/'Logistics record '!$AD$1</f>
        <v>0</v>
      </c>
      <c r="N479" s="260" t="str" cm="1">
        <f t="array" ref="N479">_xlfn.IFS(
    OR(UPPER(S479)="AIR", UPPER(S479)="CPN"), "AIR",
    UPPER(S479)="TC", "LOCAL",
    TRUE, "SEA"
)</f>
        <v>AIR</v>
      </c>
      <c r="O479" s="260">
        <f t="shared" si="36"/>
        <v>15.116015418335726</v>
      </c>
      <c r="P479" s="184" t="s">
        <v>935</v>
      </c>
      <c r="Q479" s="185">
        <v>108363533460</v>
      </c>
      <c r="R479" s="186">
        <v>46195</v>
      </c>
      <c r="S479" s="187" t="s">
        <v>928</v>
      </c>
      <c r="T479" s="188">
        <v>25.3</v>
      </c>
      <c r="U479" s="188"/>
      <c r="V479" s="189">
        <v>400000</v>
      </c>
      <c r="W479" s="190"/>
      <c r="X479" s="190"/>
      <c r="Y479" s="190"/>
      <c r="Z479" s="189">
        <f t="shared" si="44"/>
        <v>400000</v>
      </c>
      <c r="AA479" s="189">
        <v>0</v>
      </c>
      <c r="AB479" s="189">
        <f t="shared" si="41"/>
        <v>400000</v>
      </c>
      <c r="AC479" s="189"/>
      <c r="AD479" s="190"/>
      <c r="AE479" s="190"/>
      <c r="AF479" s="191">
        <f t="shared" si="42"/>
        <v>0</v>
      </c>
      <c r="AG479" s="190">
        <f t="shared" si="43"/>
        <v>400000</v>
      </c>
      <c r="AH479" s="190"/>
      <c r="AI479" s="192" t="str">
        <f>VLOOKUP(Q479,[3]Sheet1!B$11:G$1489,6,0)</f>
        <v>E11</v>
      </c>
      <c r="GK479" s="194"/>
      <c r="GL479" s="195"/>
      <c r="GM479" s="196"/>
      <c r="GN479" s="197"/>
      <c r="GO479" s="198"/>
      <c r="GP479" s="199"/>
      <c r="GQ479" s="200"/>
      <c r="GR479" s="201"/>
      <c r="GS479" s="60"/>
      <c r="GT479" s="202"/>
      <c r="GU479" s="202"/>
      <c r="GV479" s="202"/>
      <c r="GW479" s="202"/>
      <c r="GX479" s="203"/>
      <c r="HA479" s="194"/>
      <c r="HB479" s="195"/>
      <c r="HC479" s="196"/>
      <c r="HD479" s="197"/>
      <c r="HE479" s="198"/>
      <c r="HF479" s="199"/>
      <c r="HG479" s="200"/>
      <c r="HH479" s="201"/>
      <c r="HI479" s="60"/>
      <c r="HJ479" s="202"/>
      <c r="HK479" s="202"/>
      <c r="HL479" s="202"/>
      <c r="HM479" s="202"/>
      <c r="HN479" s="203"/>
    </row>
    <row r="480" spans="1:222" ht="16.5" customHeight="1">
      <c r="A480" s="181">
        <v>477</v>
      </c>
      <c r="B480" s="182">
        <v>5774739541</v>
      </c>
      <c r="C480" s="183" t="s">
        <v>2841</v>
      </c>
      <c r="D480" s="184" t="s">
        <v>951</v>
      </c>
      <c r="E480" s="184" t="str">
        <f t="shared" si="45"/>
        <v>Import</v>
      </c>
      <c r="F480" s="720" t="str" cm="1">
        <f t="array" ref="F480">_xlfn.IFS(
  OR(AI480="E11", AI480="E15"), "Raw materials",
  OR(AI480="E13", AI480="G13"), "Equipments + Toolings",
  TRUE, RIGHT(C480, 8)
)</f>
        <v>Raw materials</v>
      </c>
      <c r="G480" s="541" t="str" cm="1">
        <f t="array" ref="G480">IF(E480="Import",
  IFERROR(
    _xlfn.IFS(
      VLOOKUP(B480,[1]Material!F$5:U$90000,16,0)="LUC","Lucid",
      VLOOKUP(B480,[1]Material!F$5:U$90000,16,0)="FMC","FORD",
      OR(VLOOKUP(B480,[1]Material!F$5:U$90000,16,0)="PUR",VLOOKUP(B480,[1]Material!F$5:U$90000,16,0)="HLO"),"PURE",
      VLOOKUP(B480,[1]Material!F$5:U$90000,16,0)="AIC","AIC",
      OR(VLOOKUP(B480,[1]Material!F$5:U$90000,16,0)="AGI",VLOOKUP(B480,[1]Material!F$5:U$90000,16,0)="AGIGA"),"AGIGA",
      OR(LEFT(VLOOKUP(B480,[1]Material!F$5:U$90000,16,0),3)="EF-",VLOOKUP(B480,[1]Material!F$5:U$90000,16,0)="EFI"),"EFI",
      AND(ISNUMBER(VLOOKUP(B480,[1]Material!F$5:U$90000,16,0)),VLOOKUP(B480,[1]Material!F$5:U$90000,16,0)&gt;=100,VLOOKUP(B480,[1]Material!F$5:U$90000,16,0)&lt;=999,VLOOKUP(B480,[1]Material!F$5:U$90000,16,0)=INT(VLOOKUP(B480,[1]Material!F$5:U$90000,16,0))),"OEM",
      TRUE,""
    ),
    "không tìm thấy trong file Import"
  ),
  VLOOKUP(F480,'[2]Export shipment'!B:Y,24,0)
)</f>
        <v>PURE</v>
      </c>
      <c r="H480" s="184"/>
      <c r="I480" s="184"/>
      <c r="J480" s="260">
        <f>(V480+X480+AA480)/'Logistics record '!$AD$1</f>
        <v>15.116015418335726</v>
      </c>
      <c r="K480" s="260">
        <f>W480/'Logistics record '!$AD$1</f>
        <v>0</v>
      </c>
      <c r="L480" s="260">
        <f>Y480/'Logistics record '!$AD$1</f>
        <v>0</v>
      </c>
      <c r="M480" s="260">
        <f>AF480/'Logistics record '!$AD$1</f>
        <v>0</v>
      </c>
      <c r="N480" s="260" t="str" cm="1">
        <f t="array" ref="N480">_xlfn.IFS(
    OR(UPPER(S480)="AIR", UPPER(S480)="CPN"), "AIR",
    UPPER(S480)="TC", "LOCAL",
    TRUE, "SEA"
)</f>
        <v>AIR</v>
      </c>
      <c r="O480" s="260">
        <f t="shared" si="36"/>
        <v>15.116015418335726</v>
      </c>
      <c r="P480" s="184" t="s">
        <v>937</v>
      </c>
      <c r="Q480" s="185">
        <v>108363659240</v>
      </c>
      <c r="R480" s="186">
        <v>46195</v>
      </c>
      <c r="S480" s="187" t="s">
        <v>928</v>
      </c>
      <c r="T480" s="188">
        <v>3.3</v>
      </c>
      <c r="U480" s="188"/>
      <c r="V480" s="189">
        <v>400000</v>
      </c>
      <c r="W480" s="190"/>
      <c r="X480" s="190"/>
      <c r="Y480" s="190"/>
      <c r="Z480" s="189">
        <f t="shared" si="44"/>
        <v>400000</v>
      </c>
      <c r="AA480" s="189">
        <v>0</v>
      </c>
      <c r="AB480" s="189">
        <f t="shared" si="41"/>
        <v>400000</v>
      </c>
      <c r="AC480" s="189"/>
      <c r="AD480" s="190"/>
      <c r="AE480" s="190"/>
      <c r="AF480" s="191">
        <f t="shared" si="42"/>
        <v>0</v>
      </c>
      <c r="AG480" s="190">
        <f t="shared" si="43"/>
        <v>400000</v>
      </c>
      <c r="AH480" s="190"/>
      <c r="AI480" s="192" t="str">
        <f>VLOOKUP(Q480,[3]Sheet1!B$11:G$1489,6,0)</f>
        <v>E11</v>
      </c>
      <c r="GK480" s="194"/>
      <c r="GL480" s="195"/>
      <c r="GM480" s="196"/>
      <c r="GN480" s="197"/>
      <c r="GO480" s="198"/>
      <c r="GP480" s="199"/>
      <c r="GQ480" s="200"/>
      <c r="GR480" s="201"/>
      <c r="GS480" s="60"/>
      <c r="GT480" s="202"/>
      <c r="GU480" s="202"/>
      <c r="GV480" s="202"/>
      <c r="GW480" s="202"/>
      <c r="GX480" s="203"/>
      <c r="HA480" s="194"/>
      <c r="HB480" s="195"/>
      <c r="HC480" s="196"/>
      <c r="HD480" s="197"/>
      <c r="HE480" s="198"/>
      <c r="HF480" s="199"/>
      <c r="HG480" s="200"/>
      <c r="HH480" s="201"/>
      <c r="HI480" s="60"/>
      <c r="HJ480" s="202"/>
      <c r="HK480" s="202"/>
      <c r="HL480" s="202"/>
      <c r="HM480" s="202"/>
      <c r="HN480" s="203"/>
    </row>
    <row r="481" spans="1:222" ht="16.5" customHeight="1">
      <c r="A481" s="181">
        <v>478</v>
      </c>
      <c r="B481" s="182" t="s">
        <v>2842</v>
      </c>
      <c r="C481" s="183" t="s">
        <v>2843</v>
      </c>
      <c r="D481" s="184" t="s">
        <v>1484</v>
      </c>
      <c r="E481" s="184" t="str">
        <f t="shared" si="45"/>
        <v>Import</v>
      </c>
      <c r="F481" s="720" t="str" cm="1">
        <f t="array" ref="F481">_xlfn.IFS(
  OR(AI481="E11", AI481="E15"), "Raw materials",
  OR(AI481="E13", AI481="G13"), "Equipments + Toolings",
  TRUE, RIGHT(C481, 8)
)</f>
        <v>Raw materials</v>
      </c>
      <c r="G481" s="541" t="str" cm="1">
        <f t="array" ref="G481">IF(E481="Import",
  IFERROR(
    _xlfn.IFS(
      VLOOKUP(B481,[1]Material!F$5:U$90000,16,0)="LUC","Lucid",
      VLOOKUP(B481,[1]Material!F$5:U$90000,16,0)="FMC","FORD",
      OR(VLOOKUP(B481,[1]Material!F$5:U$90000,16,0)="PUR",VLOOKUP(B481,[1]Material!F$5:U$90000,16,0)="HLO"),"PURE",
      VLOOKUP(B481,[1]Material!F$5:U$90000,16,0)="AIC","AIC",
      OR(VLOOKUP(B481,[1]Material!F$5:U$90000,16,0)="AGI",VLOOKUP(B481,[1]Material!F$5:U$90000,16,0)="AGIGA"),"AGIGA",
      OR(LEFT(VLOOKUP(B481,[1]Material!F$5:U$90000,16,0),3)="EF-",VLOOKUP(B481,[1]Material!F$5:U$90000,16,0)="EFI"),"EFI",
      AND(ISNUMBER(VLOOKUP(B481,[1]Material!F$5:U$90000,16,0)),VLOOKUP(B481,[1]Material!F$5:U$90000,16,0)&gt;=100,VLOOKUP(B481,[1]Material!F$5:U$90000,16,0)&lt;=999,VLOOKUP(B481,[1]Material!F$5:U$90000,16,0)=INT(VLOOKUP(B481,[1]Material!F$5:U$90000,16,0))),"OEM",
      TRUE,""
    ),
    "không tìm thấy trong file Import"
  ),
  VLOOKUP(F481,'[2]Export shipment'!B:Y,24,0)
)</f>
        <v>EFI</v>
      </c>
      <c r="H481" s="184"/>
      <c r="I481" s="184"/>
      <c r="J481" s="260">
        <f>(V481+X481+AA481)/'Logistics record '!$AD$1</f>
        <v>15.116015418335726</v>
      </c>
      <c r="K481" s="260">
        <f>W481/'Logistics record '!$AD$1</f>
        <v>0</v>
      </c>
      <c r="L481" s="260">
        <f>Y481/'Logistics record '!$AD$1</f>
        <v>0</v>
      </c>
      <c r="M481" s="260">
        <f>AF481/'Logistics record '!$AD$1</f>
        <v>0</v>
      </c>
      <c r="N481" s="260" t="str" cm="1">
        <f t="array" ref="N481">_xlfn.IFS(
    OR(UPPER(S481)="AIR", UPPER(S481)="CPN"), "AIR",
    UPPER(S481)="TC", "LOCAL",
    TRUE, "SEA"
)</f>
        <v>AIR</v>
      </c>
      <c r="O481" s="260">
        <f t="shared" si="36"/>
        <v>15.116015418335726</v>
      </c>
      <c r="P481" s="184" t="s">
        <v>959</v>
      </c>
      <c r="Q481" s="185">
        <v>108363709050</v>
      </c>
      <c r="R481" s="186">
        <v>46195</v>
      </c>
      <c r="S481" s="187" t="s">
        <v>928</v>
      </c>
      <c r="T481" s="188">
        <v>0.70000000000000007</v>
      </c>
      <c r="U481" s="188"/>
      <c r="V481" s="189">
        <v>400000</v>
      </c>
      <c r="W481" s="190"/>
      <c r="X481" s="190"/>
      <c r="Y481" s="190"/>
      <c r="Z481" s="189">
        <f t="shared" si="44"/>
        <v>400000</v>
      </c>
      <c r="AA481" s="189">
        <v>0</v>
      </c>
      <c r="AB481" s="189">
        <f t="shared" si="41"/>
        <v>400000</v>
      </c>
      <c r="AC481" s="189"/>
      <c r="AD481" s="190"/>
      <c r="AE481" s="190"/>
      <c r="AF481" s="191">
        <f t="shared" si="42"/>
        <v>0</v>
      </c>
      <c r="AG481" s="190">
        <f t="shared" si="43"/>
        <v>400000</v>
      </c>
      <c r="AH481" s="190"/>
      <c r="AI481" s="192" t="str">
        <f>VLOOKUP(Q481,[3]Sheet1!B$11:G$1489,6,0)</f>
        <v>E11</v>
      </c>
      <c r="GK481" s="194"/>
      <c r="GL481" s="195"/>
      <c r="GM481" s="196"/>
      <c r="GN481" s="197"/>
      <c r="GO481" s="198"/>
      <c r="GP481" s="199"/>
      <c r="GQ481" s="200"/>
      <c r="GR481" s="201"/>
      <c r="GS481" s="60"/>
      <c r="GT481" s="202"/>
      <c r="GU481" s="202"/>
      <c r="GV481" s="202"/>
      <c r="GW481" s="202"/>
      <c r="GX481" s="203"/>
      <c r="HA481" s="194"/>
      <c r="HB481" s="195"/>
      <c r="HC481" s="196"/>
      <c r="HD481" s="197"/>
      <c r="HE481" s="198"/>
      <c r="HF481" s="199"/>
      <c r="HG481" s="200"/>
      <c r="HH481" s="201"/>
      <c r="HI481" s="60"/>
      <c r="HJ481" s="202"/>
      <c r="HK481" s="202"/>
      <c r="HL481" s="202"/>
      <c r="HM481" s="202"/>
      <c r="HN481" s="203"/>
    </row>
    <row r="482" spans="1:222" ht="16.5" customHeight="1">
      <c r="A482" s="181">
        <v>479</v>
      </c>
      <c r="B482" s="182">
        <v>382125059463</v>
      </c>
      <c r="C482" s="183" t="s">
        <v>2844</v>
      </c>
      <c r="D482" s="184" t="s">
        <v>2359</v>
      </c>
      <c r="E482" s="184" t="str">
        <f t="shared" si="45"/>
        <v>Import</v>
      </c>
      <c r="F482" s="720" t="str" cm="1">
        <f t="array" ref="F482">_xlfn.IFS(
  OR(AI482="E11", AI482="E15"), "Raw materials",
  OR(AI482="E13", AI482="G13"), "Equipments + Toolings",
  TRUE, RIGHT(C482, 8)
)</f>
        <v>Raw materials</v>
      </c>
      <c r="G482" s="541" t="str" cm="1">
        <f t="array" ref="G482">IF(E482="Import",
  IFERROR(
    _xlfn.IFS(
      VLOOKUP(B482,[1]Material!F$5:U$90000,16,0)="LUC","Lucid",
      VLOOKUP(B482,[1]Material!F$5:U$90000,16,0)="FMC","FORD",
      OR(VLOOKUP(B482,[1]Material!F$5:U$90000,16,0)="PUR",VLOOKUP(B482,[1]Material!F$5:U$90000,16,0)="HLO"),"PURE",
      VLOOKUP(B482,[1]Material!F$5:U$90000,16,0)="AIC","AIC",
      OR(VLOOKUP(B482,[1]Material!F$5:U$90000,16,0)="AGI",VLOOKUP(B482,[1]Material!F$5:U$90000,16,0)="AGIGA"),"AGIGA",
      OR(LEFT(VLOOKUP(B482,[1]Material!F$5:U$90000,16,0),3)="EF-",VLOOKUP(B482,[1]Material!F$5:U$90000,16,0)="EFI"),"EFI",
      AND(ISNUMBER(VLOOKUP(B482,[1]Material!F$5:U$90000,16,0)),VLOOKUP(B482,[1]Material!F$5:U$90000,16,0)&gt;=100,VLOOKUP(B482,[1]Material!F$5:U$90000,16,0)&lt;=999,VLOOKUP(B482,[1]Material!F$5:U$90000,16,0)=INT(VLOOKUP(B482,[1]Material!F$5:U$90000,16,0))),"OEM",
      TRUE,""
    ),
    "không tìm thấy trong file Import"
  ),
  VLOOKUP(F482,'[2]Export shipment'!B:Y,24,0)
)</f>
        <v>PURE</v>
      </c>
      <c r="H482" s="184"/>
      <c r="I482" s="184"/>
      <c r="J482" s="260">
        <f>(V482+X482+AA482)/'Logistics record '!$AD$1</f>
        <v>15.116015418335726</v>
      </c>
      <c r="K482" s="260">
        <f>W482/'Logistics record '!$AD$1</f>
        <v>0</v>
      </c>
      <c r="L482" s="260">
        <f>Y482/'Logistics record '!$AD$1</f>
        <v>0</v>
      </c>
      <c r="M482" s="260">
        <f>AF482/'Logistics record '!$AD$1</f>
        <v>0</v>
      </c>
      <c r="N482" s="260" t="str" cm="1">
        <f t="array" ref="N482">_xlfn.IFS(
    OR(UPPER(S482)="AIR", UPPER(S482)="CPN"), "AIR",
    UPPER(S482)="TC", "LOCAL",
    TRUE, "SEA"
)</f>
        <v>AIR</v>
      </c>
      <c r="O482" s="260">
        <f t="shared" si="36"/>
        <v>15.116015418335726</v>
      </c>
      <c r="P482" s="184" t="s">
        <v>954</v>
      </c>
      <c r="Q482" s="185">
        <v>108363737900</v>
      </c>
      <c r="R482" s="186">
        <v>46195</v>
      </c>
      <c r="S482" s="187" t="s">
        <v>928</v>
      </c>
      <c r="T482" s="188">
        <v>1.3</v>
      </c>
      <c r="U482" s="188"/>
      <c r="V482" s="189">
        <v>400000</v>
      </c>
      <c r="W482" s="190"/>
      <c r="X482" s="190"/>
      <c r="Y482" s="190"/>
      <c r="Z482" s="189">
        <f t="shared" si="44"/>
        <v>400000</v>
      </c>
      <c r="AA482" s="189">
        <v>0</v>
      </c>
      <c r="AB482" s="189">
        <f t="shared" si="41"/>
        <v>400000</v>
      </c>
      <c r="AC482" s="189"/>
      <c r="AD482" s="190"/>
      <c r="AE482" s="190"/>
      <c r="AF482" s="191">
        <f t="shared" si="42"/>
        <v>0</v>
      </c>
      <c r="AG482" s="190">
        <f t="shared" si="43"/>
        <v>400000</v>
      </c>
      <c r="AH482" s="190"/>
      <c r="AI482" s="192" t="str">
        <f>VLOOKUP(Q482,[3]Sheet1!B$11:G$1489,6,0)</f>
        <v>E11</v>
      </c>
      <c r="GK482" s="194"/>
      <c r="GL482" s="195"/>
      <c r="GM482" s="196"/>
      <c r="GN482" s="197"/>
      <c r="GO482" s="198"/>
      <c r="GP482" s="199"/>
      <c r="GQ482" s="200"/>
      <c r="GR482" s="201"/>
      <c r="GS482" s="60"/>
      <c r="GT482" s="202"/>
      <c r="GU482" s="202"/>
      <c r="GV482" s="202"/>
      <c r="GW482" s="202"/>
      <c r="GX482" s="203"/>
      <c r="HA482" s="194"/>
      <c r="HB482" s="195"/>
      <c r="HC482" s="196"/>
      <c r="HD482" s="197"/>
      <c r="HE482" s="198"/>
      <c r="HF482" s="199"/>
      <c r="HG482" s="200"/>
      <c r="HH482" s="201"/>
      <c r="HI482" s="60"/>
      <c r="HJ482" s="202"/>
      <c r="HK482" s="202"/>
      <c r="HL482" s="202"/>
      <c r="HM482" s="202"/>
      <c r="HN482" s="203"/>
    </row>
    <row r="483" spans="1:222" ht="16.5" customHeight="1">
      <c r="A483" s="181">
        <v>480</v>
      </c>
      <c r="B483" s="182">
        <v>462303563016</v>
      </c>
      <c r="C483" s="183" t="s">
        <v>2845</v>
      </c>
      <c r="D483" s="184" t="s">
        <v>968</v>
      </c>
      <c r="E483" s="184" t="str">
        <f t="shared" si="45"/>
        <v>Import</v>
      </c>
      <c r="F483" s="720" t="str" cm="1">
        <f t="array" ref="F483">_xlfn.IFS(
  OR(AI483="E11", AI483="E15"), "Raw materials",
  OR(AI483="E13", AI483="G13"), "Equipments + Toolings",
  TRUE, RIGHT(C483, 8)
)</f>
        <v>Raw materials</v>
      </c>
      <c r="G483" s="541" t="str" cm="1">
        <f t="array" ref="G483">IF(E483="Import",
  IFERROR(
    _xlfn.IFS(
      VLOOKUP(B483,[1]Material!F$5:U$90000,16,0)="LUC","Lucid",
      VLOOKUP(B483,[1]Material!F$5:U$90000,16,0)="FMC","FORD",
      OR(VLOOKUP(B483,[1]Material!F$5:U$90000,16,0)="PUR",VLOOKUP(B483,[1]Material!F$5:U$90000,16,0)="HLO"),"PURE",
      VLOOKUP(B483,[1]Material!F$5:U$90000,16,0)="AIC","AIC",
      OR(VLOOKUP(B483,[1]Material!F$5:U$90000,16,0)="AGI",VLOOKUP(B483,[1]Material!F$5:U$90000,16,0)="AGIGA"),"AGIGA",
      OR(LEFT(VLOOKUP(B483,[1]Material!F$5:U$90000,16,0),3)="EF-",VLOOKUP(B483,[1]Material!F$5:U$90000,16,0)="EFI"),"EFI",
      AND(ISNUMBER(VLOOKUP(B483,[1]Material!F$5:U$90000,16,0)),VLOOKUP(B483,[1]Material!F$5:U$90000,16,0)&gt;=100,VLOOKUP(B483,[1]Material!F$5:U$90000,16,0)&lt;=999,VLOOKUP(B483,[1]Material!F$5:U$90000,16,0)=INT(VLOOKUP(B483,[1]Material!F$5:U$90000,16,0))),"OEM",
      TRUE,""
    ),
    "không tìm thấy trong file Import"
  ),
  VLOOKUP(F483,'[2]Export shipment'!B:Y,24,0)
)</f>
        <v>OEM</v>
      </c>
      <c r="H483" s="184"/>
      <c r="I483" s="184"/>
      <c r="J483" s="260">
        <f>(V483+X483+AA483)/'Logistics record '!$AD$1</f>
        <v>15.116015418335726</v>
      </c>
      <c r="K483" s="260">
        <f>W483/'Logistics record '!$AD$1</f>
        <v>0</v>
      </c>
      <c r="L483" s="260">
        <f>Y483/'Logistics record '!$AD$1</f>
        <v>0</v>
      </c>
      <c r="M483" s="260">
        <f>AF483/'Logistics record '!$AD$1</f>
        <v>0</v>
      </c>
      <c r="N483" s="260" t="str" cm="1">
        <f t="array" ref="N483">_xlfn.IFS(
    OR(UPPER(S483)="AIR", UPPER(S483)="CPN"), "AIR",
    UPPER(S483)="TC", "LOCAL",
    TRUE, "SEA"
)</f>
        <v>AIR</v>
      </c>
      <c r="O483" s="260">
        <f t="shared" si="36"/>
        <v>15.116015418335726</v>
      </c>
      <c r="P483" s="184" t="s">
        <v>935</v>
      </c>
      <c r="Q483" s="185">
        <v>108363789110</v>
      </c>
      <c r="R483" s="186">
        <v>46195</v>
      </c>
      <c r="S483" s="187" t="s">
        <v>928</v>
      </c>
      <c r="T483" s="188">
        <v>0.5</v>
      </c>
      <c r="U483" s="188"/>
      <c r="V483" s="189">
        <v>400000</v>
      </c>
      <c r="W483" s="190"/>
      <c r="X483" s="190"/>
      <c r="Y483" s="190"/>
      <c r="Z483" s="189">
        <f t="shared" si="44"/>
        <v>400000</v>
      </c>
      <c r="AA483" s="189">
        <v>0</v>
      </c>
      <c r="AB483" s="189">
        <f t="shared" si="41"/>
        <v>400000</v>
      </c>
      <c r="AC483" s="189"/>
      <c r="AD483" s="190"/>
      <c r="AE483" s="190"/>
      <c r="AF483" s="191">
        <f t="shared" si="42"/>
        <v>0</v>
      </c>
      <c r="AG483" s="190">
        <f t="shared" si="43"/>
        <v>400000</v>
      </c>
      <c r="AH483" s="190"/>
      <c r="AI483" s="192" t="str">
        <f>VLOOKUP(Q483,[3]Sheet1!B$11:G$1489,6,0)</f>
        <v>E11</v>
      </c>
      <c r="GK483" s="194"/>
      <c r="GL483" s="195"/>
      <c r="GM483" s="196"/>
      <c r="GN483" s="197"/>
      <c r="GO483" s="198"/>
      <c r="GP483" s="199"/>
      <c r="GQ483" s="200"/>
      <c r="GR483" s="201"/>
      <c r="GS483" s="60"/>
      <c r="GT483" s="202"/>
      <c r="GU483" s="202"/>
      <c r="GV483" s="202"/>
      <c r="GW483" s="202"/>
      <c r="GX483" s="203"/>
      <c r="HA483" s="194"/>
      <c r="HB483" s="195"/>
      <c r="HC483" s="196"/>
      <c r="HD483" s="197"/>
      <c r="HE483" s="198"/>
      <c r="HF483" s="199"/>
      <c r="HG483" s="200"/>
      <c r="HH483" s="201"/>
      <c r="HI483" s="60"/>
      <c r="HJ483" s="202"/>
      <c r="HK483" s="202"/>
      <c r="HL483" s="202"/>
      <c r="HM483" s="202"/>
      <c r="HN483" s="203"/>
    </row>
    <row r="484" spans="1:222" ht="16.5" customHeight="1">
      <c r="A484" s="181">
        <v>481</v>
      </c>
      <c r="B484" s="182">
        <v>456732849001</v>
      </c>
      <c r="C484" s="183" t="s">
        <v>2846</v>
      </c>
      <c r="D484" s="184" t="s">
        <v>1495</v>
      </c>
      <c r="E484" s="184" t="str">
        <f t="shared" si="45"/>
        <v>Import</v>
      </c>
      <c r="F484" s="720" t="str" cm="1">
        <f t="array" ref="F484">_xlfn.IFS(
  OR(AI484="E11", AI484="E15"), "Raw materials",
  OR(AI484="E13", AI484="G13"), "Equipments + Toolings",
  TRUE, RIGHT(C484, 8)
)</f>
        <v>Raw materials</v>
      </c>
      <c r="G484" s="541" t="str" cm="1">
        <f t="array" ref="G484">IF(E484="Import",
  IFERROR(
    _xlfn.IFS(
      VLOOKUP(B484,[1]Material!F$5:U$90000,16,0)="LUC","Lucid",
      VLOOKUP(B484,[1]Material!F$5:U$90000,16,0)="FMC","FORD",
      OR(VLOOKUP(B484,[1]Material!F$5:U$90000,16,0)="PUR",VLOOKUP(B484,[1]Material!F$5:U$90000,16,0)="HLO"),"PURE",
      VLOOKUP(B484,[1]Material!F$5:U$90000,16,0)="AIC","AIC",
      OR(VLOOKUP(B484,[1]Material!F$5:U$90000,16,0)="AGI",VLOOKUP(B484,[1]Material!F$5:U$90000,16,0)="AGIGA"),"AGIGA",
      OR(LEFT(VLOOKUP(B484,[1]Material!F$5:U$90000,16,0),3)="EF-",VLOOKUP(B484,[1]Material!F$5:U$90000,16,0)="EFI"),"EFI",
      AND(ISNUMBER(VLOOKUP(B484,[1]Material!F$5:U$90000,16,0)),VLOOKUP(B484,[1]Material!F$5:U$90000,16,0)&gt;=100,VLOOKUP(B484,[1]Material!F$5:U$90000,16,0)&lt;=999,VLOOKUP(B484,[1]Material!F$5:U$90000,16,0)=INT(VLOOKUP(B484,[1]Material!F$5:U$90000,16,0))),"OEM",
      TRUE,""
    ),
    "không tìm thấy trong file Import"
  ),
  VLOOKUP(F484,'[2]Export shipment'!B:Y,24,0)
)</f>
        <v>OEM</v>
      </c>
      <c r="H484" s="184"/>
      <c r="I484" s="184"/>
      <c r="J484" s="260">
        <f>(V484+X484+AA484)/'Logistics record '!$AD$1</f>
        <v>15.116015418335726</v>
      </c>
      <c r="K484" s="260">
        <f>W484/'Logistics record '!$AD$1</f>
        <v>0</v>
      </c>
      <c r="L484" s="260">
        <f>Y484/'Logistics record '!$AD$1</f>
        <v>0</v>
      </c>
      <c r="M484" s="260">
        <f>AF484/'Logistics record '!$AD$1</f>
        <v>0</v>
      </c>
      <c r="N484" s="260" t="str" cm="1">
        <f t="array" ref="N484">_xlfn.IFS(
    OR(UPPER(S484)="AIR", UPPER(S484)="CPN"), "AIR",
    UPPER(S484)="TC", "LOCAL",
    TRUE, "SEA"
)</f>
        <v>AIR</v>
      </c>
      <c r="O484" s="260">
        <f t="shared" si="36"/>
        <v>15.116015418335726</v>
      </c>
      <c r="P484" s="184" t="s">
        <v>931</v>
      </c>
      <c r="Q484" s="185">
        <v>108363841830</v>
      </c>
      <c r="R484" s="186">
        <v>46195</v>
      </c>
      <c r="S484" s="187" t="s">
        <v>928</v>
      </c>
      <c r="T484" s="188">
        <v>7.7</v>
      </c>
      <c r="U484" s="188"/>
      <c r="V484" s="189">
        <v>400000</v>
      </c>
      <c r="W484" s="190"/>
      <c r="X484" s="190"/>
      <c r="Y484" s="190"/>
      <c r="Z484" s="189">
        <f t="shared" si="44"/>
        <v>400000</v>
      </c>
      <c r="AA484" s="189">
        <v>0</v>
      </c>
      <c r="AB484" s="189">
        <f t="shared" si="41"/>
        <v>400000</v>
      </c>
      <c r="AC484" s="189"/>
      <c r="AD484" s="190"/>
      <c r="AE484" s="190"/>
      <c r="AF484" s="191">
        <f t="shared" si="42"/>
        <v>0</v>
      </c>
      <c r="AG484" s="190">
        <f t="shared" si="43"/>
        <v>400000</v>
      </c>
      <c r="AH484" s="190"/>
      <c r="AI484" s="192" t="str">
        <f>VLOOKUP(Q484,[3]Sheet1!B$11:G$1489,6,0)</f>
        <v>E11</v>
      </c>
      <c r="GK484" s="194"/>
      <c r="GL484" s="195"/>
      <c r="GM484" s="196"/>
      <c r="GN484" s="197"/>
      <c r="GO484" s="198"/>
      <c r="GP484" s="199"/>
      <c r="GQ484" s="200"/>
      <c r="GR484" s="201"/>
      <c r="GS484" s="60"/>
      <c r="GT484" s="202"/>
      <c r="GU484" s="202"/>
      <c r="GV484" s="202"/>
      <c r="GW484" s="202"/>
      <c r="GX484" s="203"/>
      <c r="HA484" s="194"/>
      <c r="HB484" s="195"/>
      <c r="HC484" s="196"/>
      <c r="HD484" s="197"/>
      <c r="HE484" s="198"/>
      <c r="HF484" s="199"/>
      <c r="HG484" s="200"/>
      <c r="HH484" s="201"/>
      <c r="HI484" s="60"/>
      <c r="HJ484" s="202"/>
      <c r="HK484" s="202"/>
      <c r="HL484" s="202"/>
      <c r="HM484" s="202"/>
      <c r="HN484" s="203"/>
    </row>
    <row r="485" spans="1:222" ht="16.5" customHeight="1">
      <c r="A485" s="181">
        <v>482</v>
      </c>
      <c r="B485" s="182">
        <v>873230263370</v>
      </c>
      <c r="C485" s="183" t="s">
        <v>2847</v>
      </c>
      <c r="D485" s="184" t="s">
        <v>2522</v>
      </c>
      <c r="E485" s="184" t="str">
        <f t="shared" si="45"/>
        <v>Import</v>
      </c>
      <c r="F485" s="720" t="str" cm="1">
        <f t="array" ref="F485">_xlfn.IFS(
  OR(AI485="E11", AI485="E15"), "Raw materials",
  OR(AI485="E13", AI485="G13"), "Equipments + Toolings",
  TRUE, RIGHT(C485, 8)
)</f>
        <v>Raw materials</v>
      </c>
      <c r="G485" s="541" t="str" cm="1">
        <f t="array" ref="G485">IF(E485="Import",
  IFERROR(
    _xlfn.IFS(
      VLOOKUP(B485,[1]Material!F$5:U$90000,16,0)="LUC","Lucid",
      VLOOKUP(B485,[1]Material!F$5:U$90000,16,0)="FMC","FORD",
      OR(VLOOKUP(B485,[1]Material!F$5:U$90000,16,0)="PUR",VLOOKUP(B485,[1]Material!F$5:U$90000,16,0)="HLO"),"PURE",
      VLOOKUP(B485,[1]Material!F$5:U$90000,16,0)="AIC","AIC",
      OR(VLOOKUP(B485,[1]Material!F$5:U$90000,16,0)="AGI",VLOOKUP(B485,[1]Material!F$5:U$90000,16,0)="AGIGA"),"AGIGA",
      OR(LEFT(VLOOKUP(B485,[1]Material!F$5:U$90000,16,0),3)="EF-",VLOOKUP(B485,[1]Material!F$5:U$90000,16,0)="EFI"),"EFI",
      AND(ISNUMBER(VLOOKUP(B485,[1]Material!F$5:U$90000,16,0)),VLOOKUP(B485,[1]Material!F$5:U$90000,16,0)&gt;=100,VLOOKUP(B485,[1]Material!F$5:U$90000,16,0)&lt;=999,VLOOKUP(B485,[1]Material!F$5:U$90000,16,0)=INT(VLOOKUP(B485,[1]Material!F$5:U$90000,16,0))),"OEM",
      TRUE,""
    ),
    "không tìm thấy trong file Import"
  ),
  VLOOKUP(F485,'[2]Export shipment'!B:Y,24,0)
)</f>
        <v>OEM</v>
      </c>
      <c r="H485" s="184"/>
      <c r="I485" s="184"/>
      <c r="J485" s="260">
        <f>(V485+X485+AA485)/'Logistics record '!$AD$1</f>
        <v>15.116015418335726</v>
      </c>
      <c r="K485" s="260">
        <f>W485/'Logistics record '!$AD$1</f>
        <v>0</v>
      </c>
      <c r="L485" s="260">
        <f>Y485/'Logistics record '!$AD$1</f>
        <v>0</v>
      </c>
      <c r="M485" s="260">
        <f>AF485/'Logistics record '!$AD$1</f>
        <v>0</v>
      </c>
      <c r="N485" s="260" t="str" cm="1">
        <f t="array" ref="N485">_xlfn.IFS(
    OR(UPPER(S485)="AIR", UPPER(S485)="CPN"), "AIR",
    UPPER(S485)="TC", "LOCAL",
    TRUE, "SEA"
)</f>
        <v>AIR</v>
      </c>
      <c r="O485" s="260">
        <f t="shared" si="36"/>
        <v>15.116015418335726</v>
      </c>
      <c r="P485" s="184" t="s">
        <v>939</v>
      </c>
      <c r="Q485" s="185">
        <v>108363875430</v>
      </c>
      <c r="R485" s="186">
        <v>46195</v>
      </c>
      <c r="S485" s="187" t="s">
        <v>928</v>
      </c>
      <c r="T485" s="188">
        <v>85.4</v>
      </c>
      <c r="U485" s="188"/>
      <c r="V485" s="189">
        <v>400000</v>
      </c>
      <c r="W485" s="190"/>
      <c r="X485" s="190"/>
      <c r="Y485" s="190"/>
      <c r="Z485" s="189">
        <f t="shared" si="44"/>
        <v>400000</v>
      </c>
      <c r="AA485" s="189">
        <v>0</v>
      </c>
      <c r="AB485" s="189">
        <f t="shared" si="41"/>
        <v>400000</v>
      </c>
      <c r="AC485" s="189"/>
      <c r="AD485" s="190"/>
      <c r="AE485" s="190"/>
      <c r="AF485" s="191">
        <f t="shared" si="42"/>
        <v>0</v>
      </c>
      <c r="AG485" s="190">
        <f t="shared" si="43"/>
        <v>400000</v>
      </c>
      <c r="AH485" s="190"/>
      <c r="AI485" s="192" t="str">
        <f>VLOOKUP(Q485,[3]Sheet1!B$11:G$1489,6,0)</f>
        <v>E11</v>
      </c>
      <c r="GK485" s="194"/>
      <c r="GL485" s="195"/>
      <c r="GM485" s="196"/>
      <c r="GN485" s="197"/>
      <c r="GO485" s="198"/>
      <c r="GP485" s="199"/>
      <c r="GQ485" s="200"/>
      <c r="GR485" s="201"/>
      <c r="GS485" s="60"/>
      <c r="GT485" s="202"/>
      <c r="GU485" s="202"/>
      <c r="GV485" s="202"/>
      <c r="GW485" s="202"/>
      <c r="GX485" s="203"/>
      <c r="HA485" s="194"/>
      <c r="HB485" s="195"/>
      <c r="HC485" s="196"/>
      <c r="HD485" s="197"/>
      <c r="HE485" s="198"/>
      <c r="HF485" s="199"/>
      <c r="HG485" s="200"/>
      <c r="HH485" s="201"/>
      <c r="HI485" s="60"/>
      <c r="HJ485" s="202"/>
      <c r="HK485" s="202"/>
      <c r="HL485" s="202"/>
      <c r="HM485" s="202"/>
      <c r="HN485" s="203"/>
    </row>
    <row r="486" spans="1:222" ht="16.5" customHeight="1">
      <c r="A486" s="181">
        <v>483</v>
      </c>
      <c r="B486" s="182">
        <v>382040941235</v>
      </c>
      <c r="C486" s="183" t="s">
        <v>2848</v>
      </c>
      <c r="D486" s="184" t="s">
        <v>2849</v>
      </c>
      <c r="E486" s="184" t="str">
        <f t="shared" si="45"/>
        <v>Import</v>
      </c>
      <c r="F486" s="720" t="str" cm="1">
        <f t="array" ref="F486">_xlfn.IFS(
  OR(AI486="E11", AI486="E15"), "Raw materials",
  OR(AI486="E13", AI486="G13"), "Equipments + Toolings",
  TRUE, RIGHT(C486, 8)
)</f>
        <v>Raw materials</v>
      </c>
      <c r="G486" s="541" t="str" cm="1">
        <f t="array" ref="G486">IF(E486="Import",
  IFERROR(
    _xlfn.IFS(
      VLOOKUP(B486,[1]Material!F$5:U$90000,16,0)="LUC","Lucid",
      VLOOKUP(B486,[1]Material!F$5:U$90000,16,0)="FMC","FORD",
      OR(VLOOKUP(B486,[1]Material!F$5:U$90000,16,0)="PUR",VLOOKUP(B486,[1]Material!F$5:U$90000,16,0)="HLO"),"PURE",
      VLOOKUP(B486,[1]Material!F$5:U$90000,16,0)="AIC","AIC",
      OR(VLOOKUP(B486,[1]Material!F$5:U$90000,16,0)="AGI",VLOOKUP(B486,[1]Material!F$5:U$90000,16,0)="AGIGA"),"AGIGA",
      OR(LEFT(VLOOKUP(B486,[1]Material!F$5:U$90000,16,0),3)="EF-",VLOOKUP(B486,[1]Material!F$5:U$90000,16,0)="EFI"),"EFI",
      AND(ISNUMBER(VLOOKUP(B486,[1]Material!F$5:U$90000,16,0)),VLOOKUP(B486,[1]Material!F$5:U$90000,16,0)&gt;=100,VLOOKUP(B486,[1]Material!F$5:U$90000,16,0)&lt;=999,VLOOKUP(B486,[1]Material!F$5:U$90000,16,0)=INT(VLOOKUP(B486,[1]Material!F$5:U$90000,16,0))),"OEM",
      TRUE,""
    ),
    "không tìm thấy trong file Import"
  ),
  VLOOKUP(F486,'[2]Export shipment'!B:Y,24,0)
)</f>
        <v>Lucid</v>
      </c>
      <c r="H486" s="184"/>
      <c r="I486" s="184"/>
      <c r="J486" s="260">
        <f>(V486+X486+AA486)/'Logistics record '!$AD$1</f>
        <v>15.116015418335726</v>
      </c>
      <c r="K486" s="260">
        <f>W486/'Logistics record '!$AD$1</f>
        <v>0</v>
      </c>
      <c r="L486" s="260">
        <f>Y486/'Logistics record '!$AD$1</f>
        <v>0</v>
      </c>
      <c r="M486" s="260">
        <f>AF486/'Logistics record '!$AD$1</f>
        <v>0</v>
      </c>
      <c r="N486" s="260" t="str" cm="1">
        <f t="array" ref="N486">_xlfn.IFS(
    OR(UPPER(S486)="AIR", UPPER(S486)="CPN"), "AIR",
    UPPER(S486)="TC", "LOCAL",
    TRUE, "SEA"
)</f>
        <v>AIR</v>
      </c>
      <c r="O486" s="260">
        <f t="shared" si="36"/>
        <v>15.116015418335726</v>
      </c>
      <c r="P486" s="184" t="s">
        <v>937</v>
      </c>
      <c r="Q486" s="185">
        <v>108364097110</v>
      </c>
      <c r="R486" s="186">
        <v>46195</v>
      </c>
      <c r="S486" s="187" t="s">
        <v>928</v>
      </c>
      <c r="T486" s="188">
        <v>3.1</v>
      </c>
      <c r="U486" s="188"/>
      <c r="V486" s="189">
        <v>400000</v>
      </c>
      <c r="W486" s="190"/>
      <c r="X486" s="190"/>
      <c r="Y486" s="190"/>
      <c r="Z486" s="189">
        <f t="shared" si="44"/>
        <v>400000</v>
      </c>
      <c r="AA486" s="189">
        <v>0</v>
      </c>
      <c r="AB486" s="189">
        <f t="shared" si="41"/>
        <v>400000</v>
      </c>
      <c r="AC486" s="189"/>
      <c r="AD486" s="190"/>
      <c r="AE486" s="190"/>
      <c r="AF486" s="191">
        <f t="shared" si="42"/>
        <v>0</v>
      </c>
      <c r="AG486" s="190">
        <f t="shared" si="43"/>
        <v>400000</v>
      </c>
      <c r="AH486" s="190"/>
      <c r="AI486" s="192" t="str">
        <f>VLOOKUP(Q486,[3]Sheet1!B$11:G$1489,6,0)</f>
        <v>E11</v>
      </c>
      <c r="GK486" s="194"/>
      <c r="GL486" s="195"/>
      <c r="GM486" s="196"/>
      <c r="GN486" s="197"/>
      <c r="GO486" s="198"/>
      <c r="GP486" s="199"/>
      <c r="GQ486" s="200"/>
      <c r="GR486" s="201"/>
      <c r="GS486" s="60"/>
      <c r="GT486" s="202"/>
      <c r="GU486" s="202"/>
      <c r="GV486" s="202"/>
      <c r="GW486" s="202"/>
      <c r="GX486" s="203"/>
      <c r="HA486" s="194"/>
      <c r="HB486" s="195"/>
      <c r="HC486" s="196"/>
      <c r="HD486" s="197"/>
      <c r="HE486" s="198"/>
      <c r="HF486" s="199"/>
      <c r="HG486" s="200"/>
      <c r="HH486" s="201"/>
      <c r="HI486" s="60"/>
      <c r="HJ486" s="202"/>
      <c r="HK486" s="202"/>
      <c r="HL486" s="202"/>
      <c r="HM486" s="202"/>
      <c r="HN486" s="203"/>
    </row>
    <row r="487" spans="1:222" ht="16.5" customHeight="1">
      <c r="A487" s="181">
        <v>484</v>
      </c>
      <c r="B487" s="182">
        <v>489101292961</v>
      </c>
      <c r="C487" s="183" t="s">
        <v>2850</v>
      </c>
      <c r="D487" s="184" t="s">
        <v>2851</v>
      </c>
      <c r="E487" s="184" t="str">
        <f t="shared" si="45"/>
        <v>Import</v>
      </c>
      <c r="F487" s="720" t="str" cm="1">
        <f t="array" ref="F487">_xlfn.IFS(
  OR(AI487="E11", AI487="E15"), "Raw materials",
  OR(AI487="E13", AI487="G13"), "Equipments + Toolings",
  TRUE, RIGHT(C487, 8)
)</f>
        <v>Raw materials</v>
      </c>
      <c r="G487" s="541" t="str" cm="1">
        <f t="array" ref="G487">IF(E487="Import",
  IFERROR(
    _xlfn.IFS(
      VLOOKUP(B487,[1]Material!F$5:U$90000,16,0)="LUC","Lucid",
      VLOOKUP(B487,[1]Material!F$5:U$90000,16,0)="FMC","FORD",
      OR(VLOOKUP(B487,[1]Material!F$5:U$90000,16,0)="PUR",VLOOKUP(B487,[1]Material!F$5:U$90000,16,0)="HLO"),"PURE",
      VLOOKUP(B487,[1]Material!F$5:U$90000,16,0)="AIC","AIC",
      OR(VLOOKUP(B487,[1]Material!F$5:U$90000,16,0)="AGI",VLOOKUP(B487,[1]Material!F$5:U$90000,16,0)="AGIGA"),"AGIGA",
      OR(LEFT(VLOOKUP(B487,[1]Material!F$5:U$90000,16,0),3)="EF-",VLOOKUP(B487,[1]Material!F$5:U$90000,16,0)="EFI"),"EFI",
      AND(ISNUMBER(VLOOKUP(B487,[1]Material!F$5:U$90000,16,0)),VLOOKUP(B487,[1]Material!F$5:U$90000,16,0)&gt;=100,VLOOKUP(B487,[1]Material!F$5:U$90000,16,0)&lt;=999,VLOOKUP(B487,[1]Material!F$5:U$90000,16,0)=INT(VLOOKUP(B487,[1]Material!F$5:U$90000,16,0))),"OEM",
      TRUE,""
    ),
    "không tìm thấy trong file Import"
  ),
  VLOOKUP(F487,'[2]Export shipment'!B:Y,24,0)
)</f>
        <v>PURE</v>
      </c>
      <c r="H487" s="184"/>
      <c r="I487" s="184"/>
      <c r="J487" s="260">
        <f>(V487+X487+AA487)/'Logistics record '!$AD$1</f>
        <v>15.116015418335726</v>
      </c>
      <c r="K487" s="260">
        <f>W487/'Logistics record '!$AD$1</f>
        <v>0</v>
      </c>
      <c r="L487" s="260">
        <f>Y487/'Logistics record '!$AD$1</f>
        <v>0</v>
      </c>
      <c r="M487" s="260">
        <f>AF487/'Logistics record '!$AD$1</f>
        <v>0</v>
      </c>
      <c r="N487" s="260" t="str" cm="1">
        <f t="array" ref="N487">_xlfn.IFS(
    OR(UPPER(S487)="AIR", UPPER(S487)="CPN"), "AIR",
    UPPER(S487)="TC", "LOCAL",
    TRUE, "SEA"
)</f>
        <v>AIR</v>
      </c>
      <c r="O487" s="260">
        <f t="shared" si="36"/>
        <v>15.116015418335726</v>
      </c>
      <c r="P487" s="184" t="s">
        <v>1992</v>
      </c>
      <c r="Q487" s="185">
        <v>108364432260</v>
      </c>
      <c r="R487" s="186">
        <v>46195</v>
      </c>
      <c r="S487" s="187" t="s">
        <v>928</v>
      </c>
      <c r="T487" s="188">
        <v>1.7</v>
      </c>
      <c r="U487" s="188"/>
      <c r="V487" s="189">
        <v>400000</v>
      </c>
      <c r="W487" s="190"/>
      <c r="X487" s="190"/>
      <c r="Y487" s="190"/>
      <c r="Z487" s="189">
        <f t="shared" si="44"/>
        <v>400000</v>
      </c>
      <c r="AA487" s="189">
        <v>0</v>
      </c>
      <c r="AB487" s="189">
        <f t="shared" si="41"/>
        <v>400000</v>
      </c>
      <c r="AC487" s="189"/>
      <c r="AD487" s="190"/>
      <c r="AE487" s="190"/>
      <c r="AF487" s="191">
        <f t="shared" si="42"/>
        <v>0</v>
      </c>
      <c r="AG487" s="190">
        <f t="shared" si="43"/>
        <v>400000</v>
      </c>
      <c r="AH487" s="190"/>
      <c r="AI487" s="192" t="str">
        <f>VLOOKUP(Q487,[3]Sheet1!B$11:G$1489,6,0)</f>
        <v>E11</v>
      </c>
      <c r="GK487" s="194"/>
      <c r="GL487" s="195"/>
      <c r="GM487" s="196"/>
      <c r="GN487" s="197"/>
      <c r="GO487" s="198"/>
      <c r="GP487" s="199"/>
      <c r="GQ487" s="200"/>
      <c r="GR487" s="201"/>
      <c r="GS487" s="60"/>
      <c r="GT487" s="202"/>
      <c r="GU487" s="202"/>
      <c r="GV487" s="202"/>
      <c r="GW487" s="202"/>
      <c r="GX487" s="203"/>
      <c r="HA487" s="194"/>
      <c r="HB487" s="195"/>
      <c r="HC487" s="196"/>
      <c r="HD487" s="197"/>
      <c r="HE487" s="198"/>
      <c r="HF487" s="199"/>
      <c r="HG487" s="200"/>
      <c r="HH487" s="201"/>
      <c r="HI487" s="60"/>
      <c r="HJ487" s="202"/>
      <c r="HK487" s="202"/>
      <c r="HL487" s="202"/>
      <c r="HM487" s="202"/>
      <c r="HN487" s="203"/>
    </row>
    <row r="488" spans="1:222" ht="16.5" customHeight="1">
      <c r="A488" s="181">
        <v>485</v>
      </c>
      <c r="B488" s="182">
        <v>872929576323</v>
      </c>
      <c r="C488" s="183" t="s">
        <v>2852</v>
      </c>
      <c r="D488" s="184" t="s">
        <v>108</v>
      </c>
      <c r="E488" s="184" t="str">
        <f t="shared" si="45"/>
        <v>Import</v>
      </c>
      <c r="F488" s="720" t="str" cm="1">
        <f t="array" ref="F488">_xlfn.IFS(
  OR(AI488="E11", AI488="E15"), "Raw materials",
  OR(AI488="E13", AI488="G13"), "Equipments + Toolings",
  TRUE, RIGHT(C488, 8)
)</f>
        <v>Raw materials</v>
      </c>
      <c r="G488" s="541" t="str" cm="1">
        <f t="array" ref="G488">IF(E488="Import",
  IFERROR(
    _xlfn.IFS(
      VLOOKUP(B488,[1]Material!F$5:U$90000,16,0)="LUC","Lucid",
      VLOOKUP(B488,[1]Material!F$5:U$90000,16,0)="FMC","FORD",
      OR(VLOOKUP(B488,[1]Material!F$5:U$90000,16,0)="PUR",VLOOKUP(B488,[1]Material!F$5:U$90000,16,0)="HLO"),"PURE",
      VLOOKUP(B488,[1]Material!F$5:U$90000,16,0)="AIC","AIC",
      OR(VLOOKUP(B488,[1]Material!F$5:U$90000,16,0)="AGI",VLOOKUP(B488,[1]Material!F$5:U$90000,16,0)="AGIGA"),"AGIGA",
      OR(LEFT(VLOOKUP(B488,[1]Material!F$5:U$90000,16,0),3)="EF-",VLOOKUP(B488,[1]Material!F$5:U$90000,16,0)="EFI"),"EFI",
      AND(ISNUMBER(VLOOKUP(B488,[1]Material!F$5:U$90000,16,0)),VLOOKUP(B488,[1]Material!F$5:U$90000,16,0)&gt;=100,VLOOKUP(B488,[1]Material!F$5:U$90000,16,0)&lt;=999,VLOOKUP(B488,[1]Material!F$5:U$90000,16,0)=INT(VLOOKUP(B488,[1]Material!F$5:U$90000,16,0))),"OEM",
      TRUE,""
    ),
    "không tìm thấy trong file Import"
  ),
  VLOOKUP(F488,'[2]Export shipment'!B:Y,24,0)
)</f>
        <v>EFI</v>
      </c>
      <c r="H488" s="184"/>
      <c r="I488" s="184"/>
      <c r="J488" s="260">
        <f>(V488+X488+AA488)/'Logistics record '!$AD$1</f>
        <v>15.116015418335726</v>
      </c>
      <c r="K488" s="260">
        <f>W488/'Logistics record '!$AD$1</f>
        <v>0</v>
      </c>
      <c r="L488" s="260">
        <f>Y488/'Logistics record '!$AD$1</f>
        <v>0</v>
      </c>
      <c r="M488" s="260">
        <f>AF488/'Logistics record '!$AD$1</f>
        <v>0</v>
      </c>
      <c r="N488" s="260" t="str" cm="1">
        <f t="array" ref="N488">_xlfn.IFS(
    OR(UPPER(S488)="AIR", UPPER(S488)="CPN"), "AIR",
    UPPER(S488)="TC", "LOCAL",
    TRUE, "SEA"
)</f>
        <v>AIR</v>
      </c>
      <c r="O488" s="260">
        <f t="shared" si="36"/>
        <v>15.116015418335726</v>
      </c>
      <c r="P488" s="184" t="s">
        <v>937</v>
      </c>
      <c r="Q488" s="185">
        <v>108365686110</v>
      </c>
      <c r="R488" s="186">
        <v>46196</v>
      </c>
      <c r="S488" s="187" t="s">
        <v>928</v>
      </c>
      <c r="T488" s="188">
        <v>16</v>
      </c>
      <c r="U488" s="188"/>
      <c r="V488" s="189">
        <v>400000</v>
      </c>
      <c r="W488" s="190"/>
      <c r="X488" s="190"/>
      <c r="Y488" s="190"/>
      <c r="Z488" s="189">
        <f t="shared" si="44"/>
        <v>400000</v>
      </c>
      <c r="AA488" s="189">
        <v>0</v>
      </c>
      <c r="AB488" s="189">
        <f t="shared" si="41"/>
        <v>400000</v>
      </c>
      <c r="AC488" s="189"/>
      <c r="AD488" s="190"/>
      <c r="AE488" s="190"/>
      <c r="AF488" s="191">
        <f t="shared" si="42"/>
        <v>0</v>
      </c>
      <c r="AG488" s="190">
        <f t="shared" si="43"/>
        <v>400000</v>
      </c>
      <c r="AH488" s="190"/>
      <c r="AI488" s="192" t="str">
        <f>VLOOKUP(Q488,[3]Sheet1!B$11:G$1489,6,0)</f>
        <v>E11</v>
      </c>
      <c r="GK488" s="194"/>
      <c r="GL488" s="195"/>
      <c r="GM488" s="196"/>
      <c r="GN488" s="197"/>
      <c r="GO488" s="198"/>
      <c r="GP488" s="199"/>
      <c r="GQ488" s="200"/>
      <c r="GR488" s="201"/>
      <c r="GS488" s="60"/>
      <c r="GT488" s="202"/>
      <c r="GU488" s="202"/>
      <c r="GV488" s="202"/>
      <c r="GW488" s="202"/>
      <c r="GX488" s="203"/>
      <c r="HA488" s="194"/>
      <c r="HB488" s="195"/>
      <c r="HC488" s="196"/>
      <c r="HD488" s="197"/>
      <c r="HE488" s="198"/>
      <c r="HF488" s="199"/>
      <c r="HG488" s="200"/>
      <c r="HH488" s="201"/>
      <c r="HI488" s="60"/>
      <c r="HJ488" s="202"/>
      <c r="HK488" s="202"/>
      <c r="HL488" s="202"/>
      <c r="HM488" s="202"/>
      <c r="HN488" s="203"/>
    </row>
    <row r="489" spans="1:222" ht="16.5" customHeight="1">
      <c r="A489" s="181">
        <v>486</v>
      </c>
      <c r="B489" s="182">
        <v>530217606220</v>
      </c>
      <c r="C489" s="183" t="s">
        <v>2853</v>
      </c>
      <c r="D489" s="184" t="s">
        <v>968</v>
      </c>
      <c r="E489" s="184" t="str">
        <f t="shared" si="45"/>
        <v>Import</v>
      </c>
      <c r="F489" s="720" t="str" cm="1">
        <f t="array" ref="F489">_xlfn.IFS(
  OR(AI489="E11", AI489="E15"), "Raw materials",
  OR(AI489="E13", AI489="G13"), "Equipments + Toolings",
  TRUE, RIGHT(C489, 8)
)</f>
        <v>Raw materials</v>
      </c>
      <c r="G489" s="541" t="str" cm="1">
        <f t="array" ref="G489">IF(E489="Import",
  IFERROR(
    _xlfn.IFS(
      VLOOKUP(B489,[1]Material!F$5:U$90000,16,0)="LUC","Lucid",
      VLOOKUP(B489,[1]Material!F$5:U$90000,16,0)="FMC","FORD",
      OR(VLOOKUP(B489,[1]Material!F$5:U$90000,16,0)="PUR",VLOOKUP(B489,[1]Material!F$5:U$90000,16,0)="HLO"),"PURE",
      VLOOKUP(B489,[1]Material!F$5:U$90000,16,0)="AIC","AIC",
      OR(VLOOKUP(B489,[1]Material!F$5:U$90000,16,0)="AGI",VLOOKUP(B489,[1]Material!F$5:U$90000,16,0)="AGIGA"),"AGIGA",
      OR(LEFT(VLOOKUP(B489,[1]Material!F$5:U$90000,16,0),3)="EF-",VLOOKUP(B489,[1]Material!F$5:U$90000,16,0)="EFI"),"EFI",
      AND(ISNUMBER(VLOOKUP(B489,[1]Material!F$5:U$90000,16,0)),VLOOKUP(B489,[1]Material!F$5:U$90000,16,0)&gt;=100,VLOOKUP(B489,[1]Material!F$5:U$90000,16,0)&lt;=999,VLOOKUP(B489,[1]Material!F$5:U$90000,16,0)=INT(VLOOKUP(B489,[1]Material!F$5:U$90000,16,0))),"OEM",
      TRUE,""
    ),
    "không tìm thấy trong file Import"
  ),
  VLOOKUP(F489,'[2]Export shipment'!B:Y,24,0)
)</f>
        <v>EFI</v>
      </c>
      <c r="H489" s="184"/>
      <c r="I489" s="184"/>
      <c r="J489" s="260">
        <f>(V489+X489+AA489)/'Logistics record '!$AD$1</f>
        <v>15.116015418335726</v>
      </c>
      <c r="K489" s="260">
        <f>W489/'Logistics record '!$AD$1</f>
        <v>0</v>
      </c>
      <c r="L489" s="260">
        <f>Y489/'Logistics record '!$AD$1</f>
        <v>0</v>
      </c>
      <c r="M489" s="260">
        <f>AF489/'Logistics record '!$AD$1</f>
        <v>0</v>
      </c>
      <c r="N489" s="260" t="str" cm="1">
        <f t="array" ref="N489">_xlfn.IFS(
    OR(UPPER(S489)="AIR", UPPER(S489)="CPN"), "AIR",
    UPPER(S489)="TC", "LOCAL",
    TRUE, "SEA"
)</f>
        <v>AIR</v>
      </c>
      <c r="O489" s="260">
        <f t="shared" si="36"/>
        <v>15.116015418335726</v>
      </c>
      <c r="P489" s="184" t="s">
        <v>935</v>
      </c>
      <c r="Q489" s="185">
        <v>108366995330</v>
      </c>
      <c r="R489" s="186">
        <v>46196</v>
      </c>
      <c r="S489" s="187" t="s">
        <v>928</v>
      </c>
      <c r="T489" s="188">
        <v>2.5</v>
      </c>
      <c r="U489" s="188"/>
      <c r="V489" s="189">
        <v>400000</v>
      </c>
      <c r="W489" s="190"/>
      <c r="X489" s="190"/>
      <c r="Y489" s="190"/>
      <c r="Z489" s="189">
        <f t="shared" si="44"/>
        <v>400000</v>
      </c>
      <c r="AA489" s="189">
        <v>0</v>
      </c>
      <c r="AB489" s="189">
        <f t="shared" si="41"/>
        <v>400000</v>
      </c>
      <c r="AC489" s="189"/>
      <c r="AD489" s="190"/>
      <c r="AE489" s="190"/>
      <c r="AF489" s="191">
        <f t="shared" si="42"/>
        <v>0</v>
      </c>
      <c r="AG489" s="190">
        <f t="shared" si="43"/>
        <v>400000</v>
      </c>
      <c r="AH489" s="190"/>
      <c r="AI489" s="192" t="str">
        <f>VLOOKUP(Q489,[3]Sheet1!B$11:G$1489,6,0)</f>
        <v>E11</v>
      </c>
      <c r="GK489" s="194"/>
      <c r="GL489" s="195"/>
      <c r="GM489" s="196"/>
      <c r="GN489" s="197"/>
      <c r="GO489" s="198"/>
      <c r="GP489" s="199"/>
      <c r="GQ489" s="200"/>
      <c r="GR489" s="201"/>
      <c r="GS489" s="60"/>
      <c r="GT489" s="202"/>
      <c r="GU489" s="202"/>
      <c r="GV489" s="202"/>
      <c r="GW489" s="202"/>
      <c r="GX489" s="203"/>
      <c r="HA489" s="194"/>
      <c r="HB489" s="195"/>
      <c r="HC489" s="196"/>
      <c r="HD489" s="197"/>
      <c r="HE489" s="198"/>
      <c r="HF489" s="199"/>
      <c r="HG489" s="200"/>
      <c r="HH489" s="201"/>
      <c r="HI489" s="60"/>
      <c r="HJ489" s="202"/>
      <c r="HK489" s="202"/>
      <c r="HL489" s="202"/>
      <c r="HM489" s="202"/>
      <c r="HN489" s="203"/>
    </row>
    <row r="490" spans="1:222" ht="16.5" customHeight="1">
      <c r="A490" s="181">
        <v>487</v>
      </c>
      <c r="B490" s="182">
        <v>4110338149</v>
      </c>
      <c r="C490" s="183" t="s">
        <v>2854</v>
      </c>
      <c r="D490" s="184" t="s">
        <v>948</v>
      </c>
      <c r="E490" s="184" t="str">
        <f t="shared" si="45"/>
        <v>Import</v>
      </c>
      <c r="F490" s="720" t="str" cm="1">
        <f t="array" ref="F490">_xlfn.IFS(
  OR(AI490="E11", AI490="E15"), "Raw materials",
  OR(AI490="E13", AI490="G13"), "Equipments + Toolings",
  TRUE, RIGHT(C490, 8)
)</f>
        <v>Raw materials</v>
      </c>
      <c r="G490" s="541" t="str" cm="1">
        <f t="array" ref="G490">IF(E490="Import",
  IFERROR(
    _xlfn.IFS(
      VLOOKUP(B490,[1]Material!F$5:U$90000,16,0)="LUC","Lucid",
      VLOOKUP(B490,[1]Material!F$5:U$90000,16,0)="FMC","FORD",
      OR(VLOOKUP(B490,[1]Material!F$5:U$90000,16,0)="PUR",VLOOKUP(B490,[1]Material!F$5:U$90000,16,0)="HLO"),"PURE",
      VLOOKUP(B490,[1]Material!F$5:U$90000,16,0)="AIC","AIC",
      OR(VLOOKUP(B490,[1]Material!F$5:U$90000,16,0)="AGI",VLOOKUP(B490,[1]Material!F$5:U$90000,16,0)="AGIGA"),"AGIGA",
      OR(LEFT(VLOOKUP(B490,[1]Material!F$5:U$90000,16,0),3)="EF-",VLOOKUP(B490,[1]Material!F$5:U$90000,16,0)="EFI"),"EFI",
      AND(ISNUMBER(VLOOKUP(B490,[1]Material!F$5:U$90000,16,0)),VLOOKUP(B490,[1]Material!F$5:U$90000,16,0)&gt;=100,VLOOKUP(B490,[1]Material!F$5:U$90000,16,0)&lt;=999,VLOOKUP(B490,[1]Material!F$5:U$90000,16,0)=INT(VLOOKUP(B490,[1]Material!F$5:U$90000,16,0))),"OEM",
      TRUE,""
    ),
    "không tìm thấy trong file Import"
  ),
  VLOOKUP(F490,'[2]Export shipment'!B:Y,24,0)
)</f>
        <v>Lucid</v>
      </c>
      <c r="H490" s="184"/>
      <c r="I490" s="184"/>
      <c r="J490" s="260">
        <f>(V490+X490+AA490)/'Logistics record '!$AD$1</f>
        <v>15.116015418335726</v>
      </c>
      <c r="K490" s="260">
        <f>W490/'Logistics record '!$AD$1</f>
        <v>0</v>
      </c>
      <c r="L490" s="260">
        <f>Y490/'Logistics record '!$AD$1</f>
        <v>0</v>
      </c>
      <c r="M490" s="260">
        <f>AF490/'Logistics record '!$AD$1</f>
        <v>0</v>
      </c>
      <c r="N490" s="260" t="str" cm="1">
        <f t="array" ref="N490">_xlfn.IFS(
    OR(UPPER(S490)="AIR", UPPER(S490)="CPN"), "AIR",
    UPPER(S490)="TC", "LOCAL",
    TRUE, "SEA"
)</f>
        <v>AIR</v>
      </c>
      <c r="O490" s="260">
        <f t="shared" si="36"/>
        <v>15.116015418335726</v>
      </c>
      <c r="P490" s="184" t="s">
        <v>935</v>
      </c>
      <c r="Q490" s="185">
        <v>108367011540</v>
      </c>
      <c r="R490" s="186">
        <v>46196</v>
      </c>
      <c r="S490" s="187" t="s">
        <v>65</v>
      </c>
      <c r="T490" s="188">
        <v>96</v>
      </c>
      <c r="U490" s="188"/>
      <c r="V490" s="189">
        <v>400000</v>
      </c>
      <c r="W490" s="190"/>
      <c r="X490" s="190"/>
      <c r="Y490" s="190"/>
      <c r="Z490" s="189">
        <f t="shared" si="44"/>
        <v>400000</v>
      </c>
      <c r="AA490" s="189">
        <v>0</v>
      </c>
      <c r="AB490" s="189">
        <f t="shared" si="41"/>
        <v>400000</v>
      </c>
      <c r="AC490" s="189"/>
      <c r="AD490" s="190"/>
      <c r="AE490" s="190"/>
      <c r="AF490" s="191">
        <f t="shared" si="42"/>
        <v>0</v>
      </c>
      <c r="AG490" s="190">
        <f t="shared" si="43"/>
        <v>400000</v>
      </c>
      <c r="AH490" s="190"/>
      <c r="AI490" s="192" t="str">
        <f>VLOOKUP(Q490,[3]Sheet1!B$11:G$1489,6,0)</f>
        <v>E11</v>
      </c>
      <c r="GK490" s="194"/>
      <c r="GL490" s="195"/>
      <c r="GM490" s="196"/>
      <c r="GN490" s="197"/>
      <c r="GO490" s="198"/>
      <c r="GP490" s="199"/>
      <c r="GQ490" s="200"/>
      <c r="GR490" s="201"/>
      <c r="GS490" s="60"/>
      <c r="GT490" s="202"/>
      <c r="GU490" s="202"/>
      <c r="GV490" s="202"/>
      <c r="GW490" s="202"/>
      <c r="GX490" s="203"/>
      <c r="HA490" s="194"/>
      <c r="HB490" s="195"/>
      <c r="HC490" s="196"/>
      <c r="HD490" s="197"/>
      <c r="HE490" s="198"/>
      <c r="HF490" s="199"/>
      <c r="HG490" s="200"/>
      <c r="HH490" s="201"/>
      <c r="HI490" s="60"/>
      <c r="HJ490" s="202"/>
      <c r="HK490" s="202"/>
      <c r="HL490" s="202"/>
      <c r="HM490" s="202"/>
      <c r="HN490" s="203"/>
    </row>
    <row r="491" spans="1:222" ht="16.5" customHeight="1">
      <c r="A491" s="181">
        <v>488</v>
      </c>
      <c r="B491" s="182">
        <v>4110338145</v>
      </c>
      <c r="C491" s="183" t="s">
        <v>2855</v>
      </c>
      <c r="D491" s="184" t="s">
        <v>948</v>
      </c>
      <c r="E491" s="184" t="str">
        <f t="shared" si="45"/>
        <v>Import</v>
      </c>
      <c r="F491" s="720" t="str" cm="1">
        <f t="array" ref="F491">_xlfn.IFS(
  OR(AI491="E11", AI491="E15"), "Raw materials",
  OR(AI491="E13", AI491="G13"), "Equipments + Toolings",
  TRUE, RIGHT(C491, 8)
)</f>
        <v>Raw materials</v>
      </c>
      <c r="G491" s="541" t="str" cm="1">
        <f t="array" ref="G491">IF(E491="Import",
  IFERROR(
    _xlfn.IFS(
      VLOOKUP(B491,[1]Material!F$5:U$90000,16,0)="LUC","Lucid",
      VLOOKUP(B491,[1]Material!F$5:U$90000,16,0)="FMC","FORD",
      OR(VLOOKUP(B491,[1]Material!F$5:U$90000,16,0)="PUR",VLOOKUP(B491,[1]Material!F$5:U$90000,16,0)="HLO"),"PURE",
      VLOOKUP(B491,[1]Material!F$5:U$90000,16,0)="AIC","AIC",
      OR(VLOOKUP(B491,[1]Material!F$5:U$90000,16,0)="AGI",VLOOKUP(B491,[1]Material!F$5:U$90000,16,0)="AGIGA"),"AGIGA",
      OR(LEFT(VLOOKUP(B491,[1]Material!F$5:U$90000,16,0),3)="EF-",VLOOKUP(B491,[1]Material!F$5:U$90000,16,0)="EFI"),"EFI",
      AND(ISNUMBER(VLOOKUP(B491,[1]Material!F$5:U$90000,16,0)),VLOOKUP(B491,[1]Material!F$5:U$90000,16,0)&gt;=100,VLOOKUP(B491,[1]Material!F$5:U$90000,16,0)&lt;=999,VLOOKUP(B491,[1]Material!F$5:U$90000,16,0)=INT(VLOOKUP(B491,[1]Material!F$5:U$90000,16,0))),"OEM",
      TRUE,""
    ),
    "không tìm thấy trong file Import"
  ),
  VLOOKUP(F491,'[2]Export shipment'!B:Y,24,0)
)</f>
        <v>Lucid</v>
      </c>
      <c r="H491" s="184"/>
      <c r="I491" s="184"/>
      <c r="J491" s="260">
        <f>(V491+X491+AA491)/'Logistics record '!$AD$1</f>
        <v>15.116015418335726</v>
      </c>
      <c r="K491" s="260">
        <f>W491/'Logistics record '!$AD$1</f>
        <v>0</v>
      </c>
      <c r="L491" s="260">
        <f>Y491/'Logistics record '!$AD$1</f>
        <v>0</v>
      </c>
      <c r="M491" s="260">
        <f>AF491/'Logistics record '!$AD$1</f>
        <v>0</v>
      </c>
      <c r="N491" s="260" t="str" cm="1">
        <f t="array" ref="N491">_xlfn.IFS(
    OR(UPPER(S491)="AIR", UPPER(S491)="CPN"), "AIR",
    UPPER(S491)="TC", "LOCAL",
    TRUE, "SEA"
)</f>
        <v>AIR</v>
      </c>
      <c r="O491" s="260">
        <f t="shared" si="36"/>
        <v>15.116015418335726</v>
      </c>
      <c r="P491" s="184" t="s">
        <v>935</v>
      </c>
      <c r="Q491" s="185">
        <v>108367045360</v>
      </c>
      <c r="R491" s="186">
        <v>46196</v>
      </c>
      <c r="S491" s="187" t="s">
        <v>65</v>
      </c>
      <c r="T491" s="188">
        <v>40.5</v>
      </c>
      <c r="U491" s="188"/>
      <c r="V491" s="189">
        <v>400000</v>
      </c>
      <c r="W491" s="190"/>
      <c r="X491" s="190"/>
      <c r="Y491" s="190"/>
      <c r="Z491" s="189">
        <f t="shared" si="44"/>
        <v>400000</v>
      </c>
      <c r="AA491" s="189">
        <v>0</v>
      </c>
      <c r="AB491" s="189">
        <f t="shared" si="41"/>
        <v>400000</v>
      </c>
      <c r="AC491" s="189"/>
      <c r="AD491" s="190"/>
      <c r="AE491" s="190"/>
      <c r="AF491" s="191">
        <f t="shared" si="42"/>
        <v>0</v>
      </c>
      <c r="AG491" s="190">
        <f t="shared" si="43"/>
        <v>400000</v>
      </c>
      <c r="AH491" s="190"/>
      <c r="AI491" s="192" t="str">
        <f>VLOOKUP(Q491,[3]Sheet1!B$11:G$1489,6,0)</f>
        <v>E11</v>
      </c>
      <c r="GK491" s="194"/>
      <c r="GL491" s="195"/>
      <c r="GM491" s="196"/>
      <c r="GN491" s="197"/>
      <c r="GO491" s="198"/>
      <c r="GP491" s="199"/>
      <c r="GQ491" s="200"/>
      <c r="GR491" s="201"/>
      <c r="GS491" s="60"/>
      <c r="GT491" s="202"/>
      <c r="GU491" s="202"/>
      <c r="GV491" s="202"/>
      <c r="GW491" s="202"/>
      <c r="GX491" s="203"/>
      <c r="HA491" s="194"/>
      <c r="HB491" s="195"/>
      <c r="HC491" s="196"/>
      <c r="HD491" s="197"/>
      <c r="HE491" s="198"/>
      <c r="HF491" s="199"/>
      <c r="HG491" s="200"/>
      <c r="HH491" s="201"/>
      <c r="HI491" s="60"/>
      <c r="HJ491" s="202"/>
      <c r="HK491" s="202"/>
      <c r="HL491" s="202"/>
      <c r="HM491" s="202"/>
      <c r="HN491" s="203"/>
    </row>
    <row r="492" spans="1:222" ht="16.5" customHeight="1">
      <c r="A492" s="181">
        <v>489</v>
      </c>
      <c r="B492" s="182">
        <v>7754186016</v>
      </c>
      <c r="C492" s="183" t="s">
        <v>2856</v>
      </c>
      <c r="D492" s="184" t="s">
        <v>232</v>
      </c>
      <c r="E492" s="184" t="str">
        <f t="shared" si="45"/>
        <v>Import</v>
      </c>
      <c r="F492" s="720" t="str" cm="1">
        <f t="array" ref="F492">_xlfn.IFS(
  OR(AI492="E11", AI492="E15"), "Raw materials",
  OR(AI492="E13", AI492="G13"), "Equipments + Toolings",
  TRUE, RIGHT(C492, 8)
)</f>
        <v>Raw materials</v>
      </c>
      <c r="G492" s="541" t="str" cm="1">
        <f t="array" ref="G492">IF(E492="Import",
  IFERROR(
    _xlfn.IFS(
      VLOOKUP(B492,[1]Material!F$5:U$90000,16,0)="LUC","Lucid",
      VLOOKUP(B492,[1]Material!F$5:U$90000,16,0)="FMC","FORD",
      OR(VLOOKUP(B492,[1]Material!F$5:U$90000,16,0)="PUR",VLOOKUP(B492,[1]Material!F$5:U$90000,16,0)="HLO"),"PURE",
      VLOOKUP(B492,[1]Material!F$5:U$90000,16,0)="AIC","AIC",
      OR(VLOOKUP(B492,[1]Material!F$5:U$90000,16,0)="AGI",VLOOKUP(B492,[1]Material!F$5:U$90000,16,0)="AGIGA"),"AGIGA",
      OR(LEFT(VLOOKUP(B492,[1]Material!F$5:U$90000,16,0),3)="EF-",VLOOKUP(B492,[1]Material!F$5:U$90000,16,0)="EFI"),"EFI",
      AND(ISNUMBER(VLOOKUP(B492,[1]Material!F$5:U$90000,16,0)),VLOOKUP(B492,[1]Material!F$5:U$90000,16,0)&gt;=100,VLOOKUP(B492,[1]Material!F$5:U$90000,16,0)&lt;=999,VLOOKUP(B492,[1]Material!F$5:U$90000,16,0)=INT(VLOOKUP(B492,[1]Material!F$5:U$90000,16,0))),"OEM",
      TRUE,""
    ),
    "không tìm thấy trong file Import"
  ),
  VLOOKUP(F492,'[2]Export shipment'!B:Y,24,0)
)</f>
        <v>AIC</v>
      </c>
      <c r="H492" s="184"/>
      <c r="I492" s="184"/>
      <c r="J492" s="260">
        <f>(V492+X492+AA492)/'Logistics record '!$AD$1</f>
        <v>15.116015418335726</v>
      </c>
      <c r="K492" s="260">
        <f>W492/'Logistics record '!$AD$1</f>
        <v>0</v>
      </c>
      <c r="L492" s="260">
        <f>Y492/'Logistics record '!$AD$1</f>
        <v>0</v>
      </c>
      <c r="M492" s="260">
        <f>AF492/'Logistics record '!$AD$1</f>
        <v>0</v>
      </c>
      <c r="N492" s="260" t="str" cm="1">
        <f t="array" ref="N492">_xlfn.IFS(
    OR(UPPER(S492)="AIR", UPPER(S492)="CPN"), "AIR",
    UPPER(S492)="TC", "LOCAL",
    TRUE, "SEA"
)</f>
        <v>AIR</v>
      </c>
      <c r="O492" s="260">
        <f t="shared" si="36"/>
        <v>15.116015418335726</v>
      </c>
      <c r="P492" s="184" t="s">
        <v>931</v>
      </c>
      <c r="Q492" s="185">
        <v>108367547410</v>
      </c>
      <c r="R492" s="186">
        <v>46196</v>
      </c>
      <c r="S492" s="187" t="s">
        <v>928</v>
      </c>
      <c r="T492" s="188">
        <v>14.9</v>
      </c>
      <c r="U492" s="188"/>
      <c r="V492" s="189">
        <v>400000</v>
      </c>
      <c r="W492" s="190"/>
      <c r="X492" s="190"/>
      <c r="Y492" s="190"/>
      <c r="Z492" s="189">
        <f t="shared" si="44"/>
        <v>400000</v>
      </c>
      <c r="AA492" s="189">
        <v>0</v>
      </c>
      <c r="AB492" s="189">
        <f t="shared" si="41"/>
        <v>400000</v>
      </c>
      <c r="AC492" s="189"/>
      <c r="AD492" s="190"/>
      <c r="AE492" s="190"/>
      <c r="AF492" s="191">
        <f t="shared" si="42"/>
        <v>0</v>
      </c>
      <c r="AG492" s="190">
        <f t="shared" si="43"/>
        <v>400000</v>
      </c>
      <c r="AH492" s="190"/>
      <c r="AI492" s="192" t="str">
        <f>VLOOKUP(Q492,[3]Sheet1!B$11:G$1489,6,0)</f>
        <v>E11</v>
      </c>
      <c r="GK492" s="194"/>
      <c r="GL492" s="195"/>
      <c r="GM492" s="196"/>
      <c r="GN492" s="197"/>
      <c r="GO492" s="198"/>
      <c r="GP492" s="199"/>
      <c r="GQ492" s="200"/>
      <c r="GR492" s="201"/>
      <c r="GS492" s="60"/>
      <c r="GT492" s="202"/>
      <c r="GU492" s="202"/>
      <c r="GV492" s="202"/>
      <c r="GW492" s="202"/>
      <c r="GX492" s="203"/>
      <c r="HA492" s="194"/>
      <c r="HB492" s="195"/>
      <c r="HC492" s="196"/>
      <c r="HD492" s="197"/>
      <c r="HE492" s="198"/>
      <c r="HF492" s="199"/>
      <c r="HG492" s="200"/>
      <c r="HH492" s="201"/>
      <c r="HI492" s="60"/>
      <c r="HJ492" s="202"/>
      <c r="HK492" s="202"/>
      <c r="HL492" s="202"/>
      <c r="HM492" s="202"/>
      <c r="HN492" s="203"/>
    </row>
    <row r="493" spans="1:222" ht="16.5" customHeight="1">
      <c r="A493" s="181">
        <v>490</v>
      </c>
      <c r="B493" s="182">
        <v>873326865634</v>
      </c>
      <c r="C493" s="183" t="s">
        <v>2857</v>
      </c>
      <c r="D493" s="184" t="s">
        <v>2040</v>
      </c>
      <c r="E493" s="184" t="str">
        <f t="shared" si="45"/>
        <v>Import</v>
      </c>
      <c r="F493" s="720" t="str" cm="1">
        <f t="array" ref="F493">_xlfn.IFS(
  OR(AI493="E11", AI493="E15"), "Raw materials",
  OR(AI493="E13", AI493="G13"), "Equipments + Toolings",
  TRUE, RIGHT(C493, 8)
)</f>
        <v>Raw materials</v>
      </c>
      <c r="G493" s="541" t="str" cm="1">
        <f t="array" ref="G493">IF(E493="Import",
  IFERROR(
    _xlfn.IFS(
      VLOOKUP(B493,[1]Material!F$5:U$90000,16,0)="LUC","Lucid",
      VLOOKUP(B493,[1]Material!F$5:U$90000,16,0)="FMC","FORD",
      OR(VLOOKUP(B493,[1]Material!F$5:U$90000,16,0)="PUR",VLOOKUP(B493,[1]Material!F$5:U$90000,16,0)="HLO"),"PURE",
      VLOOKUP(B493,[1]Material!F$5:U$90000,16,0)="AIC","AIC",
      OR(VLOOKUP(B493,[1]Material!F$5:U$90000,16,0)="AGI",VLOOKUP(B493,[1]Material!F$5:U$90000,16,0)="AGIGA"),"AGIGA",
      OR(LEFT(VLOOKUP(B493,[1]Material!F$5:U$90000,16,0),3)="EF-",VLOOKUP(B493,[1]Material!F$5:U$90000,16,0)="EFI"),"EFI",
      AND(ISNUMBER(VLOOKUP(B493,[1]Material!F$5:U$90000,16,0)),VLOOKUP(B493,[1]Material!F$5:U$90000,16,0)&gt;=100,VLOOKUP(B493,[1]Material!F$5:U$90000,16,0)&lt;=999,VLOOKUP(B493,[1]Material!F$5:U$90000,16,0)=INT(VLOOKUP(B493,[1]Material!F$5:U$90000,16,0))),"OEM",
      TRUE,""
    ),
    "không tìm thấy trong file Import"
  ),
  VLOOKUP(F493,'[2]Export shipment'!B:Y,24,0)
)</f>
        <v>Lucid</v>
      </c>
      <c r="H493" s="184"/>
      <c r="I493" s="184"/>
      <c r="J493" s="260">
        <f>(V493+X493+AA493)/'Logistics record '!$AD$1</f>
        <v>15.116015418335726</v>
      </c>
      <c r="K493" s="260">
        <f>W493/'Logistics record '!$AD$1</f>
        <v>0</v>
      </c>
      <c r="L493" s="260">
        <f>Y493/'Logistics record '!$AD$1</f>
        <v>0</v>
      </c>
      <c r="M493" s="260">
        <f>AF493/'Logistics record '!$AD$1</f>
        <v>0</v>
      </c>
      <c r="N493" s="260" t="str" cm="1">
        <f t="array" ref="N493">_xlfn.IFS(
    OR(UPPER(S493)="AIR", UPPER(S493)="CPN"), "AIR",
    UPPER(S493)="TC", "LOCAL",
    TRUE, "SEA"
)</f>
        <v>AIR</v>
      </c>
      <c r="O493" s="260">
        <f t="shared" si="36"/>
        <v>15.116015418335726</v>
      </c>
      <c r="P493" s="184" t="s">
        <v>939</v>
      </c>
      <c r="Q493" s="185">
        <v>108367585760</v>
      </c>
      <c r="R493" s="186">
        <v>46196</v>
      </c>
      <c r="S493" s="187" t="s">
        <v>928</v>
      </c>
      <c r="T493" s="188">
        <v>21.7</v>
      </c>
      <c r="U493" s="188"/>
      <c r="V493" s="189">
        <v>400000</v>
      </c>
      <c r="W493" s="190"/>
      <c r="X493" s="190"/>
      <c r="Y493" s="190"/>
      <c r="Z493" s="189">
        <f t="shared" si="44"/>
        <v>400000</v>
      </c>
      <c r="AA493" s="189">
        <v>0</v>
      </c>
      <c r="AB493" s="189">
        <f t="shared" si="41"/>
        <v>400000</v>
      </c>
      <c r="AC493" s="189"/>
      <c r="AD493" s="190"/>
      <c r="AE493" s="190"/>
      <c r="AF493" s="191">
        <f t="shared" si="42"/>
        <v>0</v>
      </c>
      <c r="AG493" s="190">
        <f t="shared" si="43"/>
        <v>400000</v>
      </c>
      <c r="AH493" s="190"/>
      <c r="AI493" s="192" t="str">
        <f>VLOOKUP(Q493,[3]Sheet1!B$11:G$1489,6,0)</f>
        <v>E11</v>
      </c>
      <c r="GK493" s="194"/>
      <c r="GL493" s="195"/>
      <c r="GM493" s="196"/>
      <c r="GN493" s="197"/>
      <c r="GO493" s="198"/>
      <c r="GP493" s="199"/>
      <c r="GQ493" s="200"/>
      <c r="GR493" s="201"/>
      <c r="GS493" s="60"/>
      <c r="GT493" s="202"/>
      <c r="GU493" s="202"/>
      <c r="GV493" s="202"/>
      <c r="GW493" s="202"/>
      <c r="GX493" s="203"/>
      <c r="HA493" s="194"/>
      <c r="HB493" s="195"/>
      <c r="HC493" s="196"/>
      <c r="HD493" s="197"/>
      <c r="HE493" s="198"/>
      <c r="HF493" s="199"/>
      <c r="HG493" s="200"/>
      <c r="HH493" s="201"/>
      <c r="HI493" s="60"/>
      <c r="HJ493" s="202"/>
      <c r="HK493" s="202"/>
      <c r="HL493" s="202"/>
      <c r="HM493" s="202"/>
      <c r="HN493" s="203"/>
    </row>
    <row r="494" spans="1:222" ht="16.5" customHeight="1">
      <c r="A494" s="181">
        <v>491</v>
      </c>
      <c r="B494" s="182">
        <v>530217677873</v>
      </c>
      <c r="C494" s="183" t="s">
        <v>2858</v>
      </c>
      <c r="D494" s="184" t="s">
        <v>968</v>
      </c>
      <c r="E494" s="184" t="str">
        <f t="shared" si="45"/>
        <v>Import</v>
      </c>
      <c r="F494" s="720" t="str" cm="1">
        <f t="array" ref="F494">_xlfn.IFS(
  OR(AI494="E11", AI494="E15"), "Raw materials",
  OR(AI494="E13", AI494="G13"), "Equipments + Toolings",
  TRUE, RIGHT(C494, 8)
)</f>
        <v>Raw materials</v>
      </c>
      <c r="G494" s="541" t="str" cm="1">
        <f t="array" ref="G494">IF(E494="Import",
  IFERROR(
    _xlfn.IFS(
      VLOOKUP(B494,[1]Material!F$5:U$90000,16,0)="LUC","Lucid",
      VLOOKUP(B494,[1]Material!F$5:U$90000,16,0)="FMC","FORD",
      OR(VLOOKUP(B494,[1]Material!F$5:U$90000,16,0)="PUR",VLOOKUP(B494,[1]Material!F$5:U$90000,16,0)="HLO"),"PURE",
      VLOOKUP(B494,[1]Material!F$5:U$90000,16,0)="AIC","AIC",
      OR(VLOOKUP(B494,[1]Material!F$5:U$90000,16,0)="AGI",VLOOKUP(B494,[1]Material!F$5:U$90000,16,0)="AGIGA"),"AGIGA",
      OR(LEFT(VLOOKUP(B494,[1]Material!F$5:U$90000,16,0),3)="EF-",VLOOKUP(B494,[1]Material!F$5:U$90000,16,0)="EFI"),"EFI",
      AND(ISNUMBER(VLOOKUP(B494,[1]Material!F$5:U$90000,16,0)),VLOOKUP(B494,[1]Material!F$5:U$90000,16,0)&gt;=100,VLOOKUP(B494,[1]Material!F$5:U$90000,16,0)&lt;=999,VLOOKUP(B494,[1]Material!F$5:U$90000,16,0)=INT(VLOOKUP(B494,[1]Material!F$5:U$90000,16,0))),"OEM",
      TRUE,""
    ),
    "không tìm thấy trong file Import"
  ),
  VLOOKUP(F494,'[2]Export shipment'!B:Y,24,0)
)</f>
        <v>OEM</v>
      </c>
      <c r="H494" s="184"/>
      <c r="I494" s="184"/>
      <c r="J494" s="260">
        <f>(V494+X494+AA494)/'Logistics record '!$AD$1</f>
        <v>15.116015418335726</v>
      </c>
      <c r="K494" s="260">
        <f>W494/'Logistics record '!$AD$1</f>
        <v>0</v>
      </c>
      <c r="L494" s="260">
        <f>Y494/'Logistics record '!$AD$1</f>
        <v>0</v>
      </c>
      <c r="M494" s="260">
        <f>AF494/'Logistics record '!$AD$1</f>
        <v>0</v>
      </c>
      <c r="N494" s="260" t="str" cm="1">
        <f t="array" ref="N494">_xlfn.IFS(
    OR(UPPER(S494)="AIR", UPPER(S494)="CPN"), "AIR",
    UPPER(S494)="TC", "LOCAL",
    TRUE, "SEA"
)</f>
        <v>AIR</v>
      </c>
      <c r="O494" s="260">
        <f t="shared" si="36"/>
        <v>15.116015418335726</v>
      </c>
      <c r="P494" s="184" t="s">
        <v>935</v>
      </c>
      <c r="Q494" s="185">
        <v>108367613210</v>
      </c>
      <c r="R494" s="186">
        <v>46196</v>
      </c>
      <c r="S494" s="187" t="s">
        <v>928</v>
      </c>
      <c r="T494" s="188">
        <v>0.60000000000000009</v>
      </c>
      <c r="U494" s="188"/>
      <c r="V494" s="189">
        <v>400000</v>
      </c>
      <c r="W494" s="190"/>
      <c r="X494" s="190"/>
      <c r="Y494" s="190"/>
      <c r="Z494" s="189">
        <f t="shared" si="44"/>
        <v>400000</v>
      </c>
      <c r="AA494" s="189">
        <v>0</v>
      </c>
      <c r="AB494" s="189">
        <f t="shared" si="41"/>
        <v>400000</v>
      </c>
      <c r="AC494" s="189"/>
      <c r="AD494" s="190"/>
      <c r="AE494" s="190"/>
      <c r="AF494" s="191">
        <f t="shared" si="42"/>
        <v>0</v>
      </c>
      <c r="AG494" s="190">
        <f t="shared" si="43"/>
        <v>400000</v>
      </c>
      <c r="AH494" s="190"/>
      <c r="AI494" s="192" t="str">
        <f>VLOOKUP(Q494,[3]Sheet1!B$11:G$1489,6,0)</f>
        <v>E11</v>
      </c>
      <c r="GK494" s="194"/>
      <c r="GL494" s="195"/>
      <c r="GM494" s="196"/>
      <c r="GN494" s="197"/>
      <c r="GO494" s="198"/>
      <c r="GP494" s="199"/>
      <c r="GQ494" s="200"/>
      <c r="GR494" s="201"/>
      <c r="GS494" s="60"/>
      <c r="GT494" s="202"/>
      <c r="GU494" s="202"/>
      <c r="GV494" s="202"/>
      <c r="GW494" s="202"/>
      <c r="GX494" s="203"/>
      <c r="HA494" s="194"/>
      <c r="HB494" s="195"/>
      <c r="HC494" s="196"/>
      <c r="HD494" s="197"/>
      <c r="HE494" s="198"/>
      <c r="HF494" s="199"/>
      <c r="HG494" s="200"/>
      <c r="HH494" s="201"/>
      <c r="HI494" s="60"/>
      <c r="HJ494" s="202"/>
      <c r="HK494" s="202"/>
      <c r="HL494" s="202"/>
      <c r="HM494" s="202"/>
      <c r="HN494" s="203"/>
    </row>
    <row r="495" spans="1:222" ht="16.5" customHeight="1">
      <c r="A495" s="181">
        <v>492</v>
      </c>
      <c r="B495" s="182">
        <v>528979425010</v>
      </c>
      <c r="C495" s="183" t="s">
        <v>2859</v>
      </c>
      <c r="D495" s="184" t="s">
        <v>2860</v>
      </c>
      <c r="E495" s="184" t="str">
        <f t="shared" si="45"/>
        <v>Import</v>
      </c>
      <c r="F495" s="720" t="str" cm="1">
        <f t="array" ref="F495">_xlfn.IFS(
  OR(AI495="E11", AI495="E15"), "Raw materials",
  OR(AI495="E13", AI495="G13"), "Equipments + Toolings",
  TRUE, RIGHT(C495, 8)
)</f>
        <v>Raw materials</v>
      </c>
      <c r="G495" s="541" t="str" cm="1">
        <f t="array" ref="G495">IF(E495="Import",
  IFERROR(
    _xlfn.IFS(
      VLOOKUP(B495,[1]Material!F$5:U$90000,16,0)="LUC","Lucid",
      VLOOKUP(B495,[1]Material!F$5:U$90000,16,0)="FMC","FORD",
      OR(VLOOKUP(B495,[1]Material!F$5:U$90000,16,0)="PUR",VLOOKUP(B495,[1]Material!F$5:U$90000,16,0)="HLO"),"PURE",
      VLOOKUP(B495,[1]Material!F$5:U$90000,16,0)="AIC","AIC",
      OR(VLOOKUP(B495,[1]Material!F$5:U$90000,16,0)="AGI",VLOOKUP(B495,[1]Material!F$5:U$90000,16,0)="AGIGA"),"AGIGA",
      OR(LEFT(VLOOKUP(B495,[1]Material!F$5:U$90000,16,0),3)="EF-",VLOOKUP(B495,[1]Material!F$5:U$90000,16,0)="EFI"),"EFI",
      AND(ISNUMBER(VLOOKUP(B495,[1]Material!F$5:U$90000,16,0)),VLOOKUP(B495,[1]Material!F$5:U$90000,16,0)&gt;=100,VLOOKUP(B495,[1]Material!F$5:U$90000,16,0)&lt;=999,VLOOKUP(B495,[1]Material!F$5:U$90000,16,0)=INT(VLOOKUP(B495,[1]Material!F$5:U$90000,16,0))),"OEM",
      TRUE,""
    ),
    "không tìm thấy trong file Import"
  ),
  VLOOKUP(F495,'[2]Export shipment'!B:Y,24,0)
)</f>
        <v>EFI</v>
      </c>
      <c r="H495" s="184"/>
      <c r="I495" s="184"/>
      <c r="J495" s="260">
        <f>(V495+X495+AA495)/'Logistics record '!$AD$1</f>
        <v>15.116015418335726</v>
      </c>
      <c r="K495" s="260">
        <f>W495/'Logistics record '!$AD$1</f>
        <v>0</v>
      </c>
      <c r="L495" s="260">
        <f>Y495/'Logistics record '!$AD$1</f>
        <v>0</v>
      </c>
      <c r="M495" s="260">
        <f>AF495/'Logistics record '!$AD$1</f>
        <v>0</v>
      </c>
      <c r="N495" s="260" t="str" cm="1">
        <f t="array" ref="N495">_xlfn.IFS(
    OR(UPPER(S495)="AIR", UPPER(S495)="CPN"), "AIR",
    UPPER(S495)="TC", "LOCAL",
    TRUE, "SEA"
)</f>
        <v>AIR</v>
      </c>
      <c r="O495" s="260">
        <f t="shared" si="36"/>
        <v>15.116015418335726</v>
      </c>
      <c r="P495" s="184" t="s">
        <v>935</v>
      </c>
      <c r="Q495" s="185">
        <v>108367651600</v>
      </c>
      <c r="R495" s="186">
        <v>46196</v>
      </c>
      <c r="S495" s="187" t="s">
        <v>928</v>
      </c>
      <c r="T495" s="188">
        <v>1</v>
      </c>
      <c r="U495" s="188"/>
      <c r="V495" s="189">
        <v>400000</v>
      </c>
      <c r="W495" s="190"/>
      <c r="X495" s="190"/>
      <c r="Y495" s="190"/>
      <c r="Z495" s="189">
        <f t="shared" si="44"/>
        <v>400000</v>
      </c>
      <c r="AA495" s="189">
        <v>0</v>
      </c>
      <c r="AB495" s="189">
        <f t="shared" si="41"/>
        <v>400000</v>
      </c>
      <c r="AC495" s="189"/>
      <c r="AD495" s="190"/>
      <c r="AE495" s="190"/>
      <c r="AF495" s="191">
        <f t="shared" si="42"/>
        <v>0</v>
      </c>
      <c r="AG495" s="190">
        <f t="shared" si="43"/>
        <v>400000</v>
      </c>
      <c r="AH495" s="190"/>
      <c r="AI495" s="192" t="str">
        <f>VLOOKUP(Q495,[3]Sheet1!B$11:G$1489,6,0)</f>
        <v>E11</v>
      </c>
      <c r="GK495" s="194"/>
      <c r="GL495" s="195"/>
      <c r="GM495" s="196"/>
      <c r="GN495" s="197"/>
      <c r="GO495" s="198"/>
      <c r="GP495" s="199"/>
      <c r="GQ495" s="200"/>
      <c r="GR495" s="201"/>
      <c r="GS495" s="60"/>
      <c r="GT495" s="202"/>
      <c r="GU495" s="202"/>
      <c r="GV495" s="202"/>
      <c r="GW495" s="202"/>
      <c r="GX495" s="203"/>
      <c r="HA495" s="194"/>
      <c r="HB495" s="195"/>
      <c r="HC495" s="196"/>
      <c r="HD495" s="197"/>
      <c r="HE495" s="198"/>
      <c r="HF495" s="199"/>
      <c r="HG495" s="200"/>
      <c r="HH495" s="201"/>
      <c r="HI495" s="60"/>
      <c r="HJ495" s="202"/>
      <c r="HK495" s="202"/>
      <c r="HL495" s="202"/>
      <c r="HM495" s="202"/>
      <c r="HN495" s="203"/>
    </row>
    <row r="496" spans="1:222" ht="16.5" customHeight="1">
      <c r="A496" s="181">
        <v>493</v>
      </c>
      <c r="B496" s="182">
        <v>456732849192</v>
      </c>
      <c r="C496" s="183" t="s">
        <v>2861</v>
      </c>
      <c r="D496" s="184" t="s">
        <v>1495</v>
      </c>
      <c r="E496" s="184" t="str">
        <f t="shared" si="45"/>
        <v>Import</v>
      </c>
      <c r="F496" s="720" t="str" cm="1">
        <f t="array" ref="F496">_xlfn.IFS(
  OR(AI496="E11", AI496="E15"), "Raw materials",
  OR(AI496="E13", AI496="G13"), "Equipments + Toolings",
  TRUE, RIGHT(C496, 8)
)</f>
        <v>Raw materials</v>
      </c>
      <c r="G496" s="541" t="str" cm="1">
        <f t="array" ref="G496">IF(E496="Import",
  IFERROR(
    _xlfn.IFS(
      VLOOKUP(B496,[1]Material!F$5:U$90000,16,0)="LUC","Lucid",
      VLOOKUP(B496,[1]Material!F$5:U$90000,16,0)="FMC","FORD",
      OR(VLOOKUP(B496,[1]Material!F$5:U$90000,16,0)="PUR",VLOOKUP(B496,[1]Material!F$5:U$90000,16,0)="HLO"),"PURE",
      VLOOKUP(B496,[1]Material!F$5:U$90000,16,0)="AIC","AIC",
      OR(VLOOKUP(B496,[1]Material!F$5:U$90000,16,0)="AGI",VLOOKUP(B496,[1]Material!F$5:U$90000,16,0)="AGIGA"),"AGIGA",
      OR(LEFT(VLOOKUP(B496,[1]Material!F$5:U$90000,16,0),3)="EF-",VLOOKUP(B496,[1]Material!F$5:U$90000,16,0)="EFI"),"EFI",
      AND(ISNUMBER(VLOOKUP(B496,[1]Material!F$5:U$90000,16,0)),VLOOKUP(B496,[1]Material!F$5:U$90000,16,0)&gt;=100,VLOOKUP(B496,[1]Material!F$5:U$90000,16,0)&lt;=999,VLOOKUP(B496,[1]Material!F$5:U$90000,16,0)=INT(VLOOKUP(B496,[1]Material!F$5:U$90000,16,0))),"OEM",
      TRUE,""
    ),
    "không tìm thấy trong file Import"
  ),
  VLOOKUP(F496,'[2]Export shipment'!B:Y,24,0)
)</f>
        <v>OEM</v>
      </c>
      <c r="H496" s="184"/>
      <c r="I496" s="184"/>
      <c r="J496" s="260">
        <f>(V496+X496+AA496)/'Logistics record '!$AD$1</f>
        <v>15.116015418335726</v>
      </c>
      <c r="K496" s="260">
        <f>W496/'Logistics record '!$AD$1</f>
        <v>0</v>
      </c>
      <c r="L496" s="260">
        <f>Y496/'Logistics record '!$AD$1</f>
        <v>0</v>
      </c>
      <c r="M496" s="260">
        <f>AF496/'Logistics record '!$AD$1</f>
        <v>0</v>
      </c>
      <c r="N496" s="260" t="str" cm="1">
        <f t="array" ref="N496">_xlfn.IFS(
    OR(UPPER(S496)="AIR", UPPER(S496)="CPN"), "AIR",
    UPPER(S496)="TC", "LOCAL",
    TRUE, "SEA"
)</f>
        <v>AIR</v>
      </c>
      <c r="O496" s="260">
        <f t="shared" si="36"/>
        <v>15.116015418335726</v>
      </c>
      <c r="P496" s="184" t="s">
        <v>931</v>
      </c>
      <c r="Q496" s="185">
        <v>108367688000</v>
      </c>
      <c r="R496" s="186">
        <v>46196</v>
      </c>
      <c r="S496" s="187" t="s">
        <v>928</v>
      </c>
      <c r="T496" s="188">
        <v>22.1</v>
      </c>
      <c r="U496" s="188"/>
      <c r="V496" s="189">
        <v>400000</v>
      </c>
      <c r="W496" s="190"/>
      <c r="X496" s="190"/>
      <c r="Y496" s="190"/>
      <c r="Z496" s="189">
        <f t="shared" si="44"/>
        <v>400000</v>
      </c>
      <c r="AA496" s="189">
        <v>0</v>
      </c>
      <c r="AB496" s="189">
        <f t="shared" si="41"/>
        <v>400000</v>
      </c>
      <c r="AC496" s="189"/>
      <c r="AD496" s="190"/>
      <c r="AE496" s="190"/>
      <c r="AF496" s="191">
        <f t="shared" si="42"/>
        <v>0</v>
      </c>
      <c r="AG496" s="190">
        <f t="shared" si="43"/>
        <v>400000</v>
      </c>
      <c r="AH496" s="190"/>
      <c r="AI496" s="192" t="str">
        <f>VLOOKUP(Q496,[3]Sheet1!B$11:G$1489,6,0)</f>
        <v>E11</v>
      </c>
      <c r="GK496" s="194"/>
      <c r="GL496" s="195"/>
      <c r="GM496" s="196"/>
      <c r="GN496" s="197"/>
      <c r="GO496" s="198"/>
      <c r="GP496" s="199"/>
      <c r="GQ496" s="200"/>
      <c r="GR496" s="201"/>
      <c r="GS496" s="60"/>
      <c r="GT496" s="202"/>
      <c r="GU496" s="202"/>
      <c r="GV496" s="202"/>
      <c r="GW496" s="202"/>
      <c r="GX496" s="203"/>
      <c r="HA496" s="194"/>
      <c r="HB496" s="195"/>
      <c r="HC496" s="196"/>
      <c r="HD496" s="197"/>
      <c r="HE496" s="198"/>
      <c r="HF496" s="199"/>
      <c r="HG496" s="200"/>
      <c r="HH496" s="201"/>
      <c r="HI496" s="60"/>
      <c r="HJ496" s="202"/>
      <c r="HK496" s="202"/>
      <c r="HL496" s="202"/>
      <c r="HM496" s="202"/>
      <c r="HN496" s="203"/>
    </row>
    <row r="497" spans="1:222" ht="16.5" customHeight="1">
      <c r="A497" s="181">
        <v>494</v>
      </c>
      <c r="B497" s="182">
        <v>525688631247</v>
      </c>
      <c r="C497" s="183" t="s">
        <v>2862</v>
      </c>
      <c r="D497" s="184" t="s">
        <v>2863</v>
      </c>
      <c r="E497" s="184" t="str">
        <f t="shared" si="45"/>
        <v>Import</v>
      </c>
      <c r="F497" s="720" t="str" cm="1">
        <f t="array" ref="F497">_xlfn.IFS(
  OR(AI497="E11", AI497="E15"), "Raw materials",
  OR(AI497="E13", AI497="G13"), "Equipments + Toolings",
  TRUE, RIGHT(C497, 8)
)</f>
        <v>Raw materials</v>
      </c>
      <c r="G497" s="541" t="str" cm="1">
        <f t="array" ref="G497">IF(E497="Import",
  IFERROR(
    _xlfn.IFS(
      VLOOKUP(B497,[1]Material!F$5:U$90000,16,0)="LUC","Lucid",
      VLOOKUP(B497,[1]Material!F$5:U$90000,16,0)="FMC","FORD",
      OR(VLOOKUP(B497,[1]Material!F$5:U$90000,16,0)="PUR",VLOOKUP(B497,[1]Material!F$5:U$90000,16,0)="HLO"),"PURE",
      VLOOKUP(B497,[1]Material!F$5:U$90000,16,0)="AIC","AIC",
      OR(VLOOKUP(B497,[1]Material!F$5:U$90000,16,0)="AGI",VLOOKUP(B497,[1]Material!F$5:U$90000,16,0)="AGIGA"),"AGIGA",
      OR(LEFT(VLOOKUP(B497,[1]Material!F$5:U$90000,16,0),3)="EF-",VLOOKUP(B497,[1]Material!F$5:U$90000,16,0)="EFI"),"EFI",
      AND(ISNUMBER(VLOOKUP(B497,[1]Material!F$5:U$90000,16,0)),VLOOKUP(B497,[1]Material!F$5:U$90000,16,0)&gt;=100,VLOOKUP(B497,[1]Material!F$5:U$90000,16,0)&lt;=999,VLOOKUP(B497,[1]Material!F$5:U$90000,16,0)=INT(VLOOKUP(B497,[1]Material!F$5:U$90000,16,0))),"OEM",
      TRUE,""
    ),
    "không tìm thấy trong file Import"
  ),
  VLOOKUP(F497,'[2]Export shipment'!B:Y,24,0)
)</f>
        <v>PURE</v>
      </c>
      <c r="H497" s="184"/>
      <c r="I497" s="184"/>
      <c r="J497" s="260">
        <f>(V497+X497+AA497)/'Logistics record '!$AD$1</f>
        <v>15.116015418335726</v>
      </c>
      <c r="K497" s="260">
        <f>W497/'Logistics record '!$AD$1</f>
        <v>0</v>
      </c>
      <c r="L497" s="260">
        <f>Y497/'Logistics record '!$AD$1</f>
        <v>0</v>
      </c>
      <c r="M497" s="260">
        <f>AF497/'Logistics record '!$AD$1</f>
        <v>0</v>
      </c>
      <c r="N497" s="260" t="str" cm="1">
        <f t="array" ref="N497">_xlfn.IFS(
    OR(UPPER(S497)="AIR", UPPER(S497)="CPN"), "AIR",
    UPPER(S497)="TC", "LOCAL",
    TRUE, "SEA"
)</f>
        <v>AIR</v>
      </c>
      <c r="O497" s="260">
        <f t="shared" si="36"/>
        <v>15.116015418335726</v>
      </c>
      <c r="P497" s="184" t="s">
        <v>946</v>
      </c>
      <c r="Q497" s="185">
        <v>108367757520</v>
      </c>
      <c r="R497" s="186">
        <v>46196</v>
      </c>
      <c r="S497" s="187" t="s">
        <v>928</v>
      </c>
      <c r="T497" s="188">
        <v>0.5</v>
      </c>
      <c r="U497" s="188"/>
      <c r="V497" s="189">
        <v>400000</v>
      </c>
      <c r="W497" s="190"/>
      <c r="X497" s="190"/>
      <c r="Y497" s="190"/>
      <c r="Z497" s="189">
        <f t="shared" si="44"/>
        <v>400000</v>
      </c>
      <c r="AA497" s="189">
        <v>0</v>
      </c>
      <c r="AB497" s="189">
        <f t="shared" si="41"/>
        <v>400000</v>
      </c>
      <c r="AC497" s="189"/>
      <c r="AD497" s="190"/>
      <c r="AE497" s="190"/>
      <c r="AF497" s="191">
        <f t="shared" si="42"/>
        <v>0</v>
      </c>
      <c r="AG497" s="190">
        <f t="shared" si="43"/>
        <v>400000</v>
      </c>
      <c r="AH497" s="190"/>
      <c r="AI497" s="192" t="str">
        <f>VLOOKUP(Q497,[3]Sheet1!B$11:G$1489,6,0)</f>
        <v>E11</v>
      </c>
      <c r="GK497" s="194"/>
      <c r="GL497" s="195"/>
      <c r="GM497" s="196"/>
      <c r="GN497" s="197"/>
      <c r="GO497" s="198"/>
      <c r="GP497" s="199"/>
      <c r="GQ497" s="200"/>
      <c r="GR497" s="201"/>
      <c r="GS497" s="60"/>
      <c r="GT497" s="202"/>
      <c r="GU497" s="202"/>
      <c r="GV497" s="202"/>
      <c r="GW497" s="202"/>
      <c r="GX497" s="203"/>
      <c r="HA497" s="194"/>
      <c r="HB497" s="195"/>
      <c r="HC497" s="196"/>
      <c r="HD497" s="197"/>
      <c r="HE497" s="198"/>
      <c r="HF497" s="199"/>
      <c r="HG497" s="200"/>
      <c r="HH497" s="201"/>
      <c r="HI497" s="60"/>
      <c r="HJ497" s="202"/>
      <c r="HK497" s="202"/>
      <c r="HL497" s="202"/>
      <c r="HM497" s="202"/>
      <c r="HN497" s="203"/>
    </row>
    <row r="498" spans="1:222" ht="16.5" customHeight="1">
      <c r="A498" s="181">
        <v>495</v>
      </c>
      <c r="B498" s="182">
        <v>873292496961</v>
      </c>
      <c r="C498" s="183" t="s">
        <v>2864</v>
      </c>
      <c r="D498" s="184" t="s">
        <v>2794</v>
      </c>
      <c r="E498" s="184" t="str">
        <f t="shared" si="45"/>
        <v>Import</v>
      </c>
      <c r="F498" s="720" t="str" cm="1">
        <f t="array" ref="F498">_xlfn.IFS(
  OR(AI498="E11", AI498="E15"), "Raw materials",
  OR(AI498="E13", AI498="G13"), "Equipments + Toolings",
  TRUE, RIGHT(C498, 8)
)</f>
        <v>Raw materials</v>
      </c>
      <c r="G498" s="541" t="str" cm="1">
        <f t="array" ref="G498">IF(E498="Import",
  IFERROR(
    _xlfn.IFS(
      VLOOKUP(B498,[1]Material!F$5:U$90000,16,0)="LUC","Lucid",
      VLOOKUP(B498,[1]Material!F$5:U$90000,16,0)="FMC","FORD",
      OR(VLOOKUP(B498,[1]Material!F$5:U$90000,16,0)="PUR",VLOOKUP(B498,[1]Material!F$5:U$90000,16,0)="HLO"),"PURE",
      VLOOKUP(B498,[1]Material!F$5:U$90000,16,0)="AIC","AIC",
      OR(VLOOKUP(B498,[1]Material!F$5:U$90000,16,0)="AGI",VLOOKUP(B498,[1]Material!F$5:U$90000,16,0)="AGIGA"),"AGIGA",
      OR(LEFT(VLOOKUP(B498,[1]Material!F$5:U$90000,16,0),3)="EF-",VLOOKUP(B498,[1]Material!F$5:U$90000,16,0)="EFI"),"EFI",
      AND(ISNUMBER(VLOOKUP(B498,[1]Material!F$5:U$90000,16,0)),VLOOKUP(B498,[1]Material!F$5:U$90000,16,0)&gt;=100,VLOOKUP(B498,[1]Material!F$5:U$90000,16,0)&lt;=999,VLOOKUP(B498,[1]Material!F$5:U$90000,16,0)=INT(VLOOKUP(B498,[1]Material!F$5:U$90000,16,0))),"OEM",
      TRUE,""
    ),
    "không tìm thấy trong file Import"
  ),
  VLOOKUP(F498,'[2]Export shipment'!B:Y,24,0)
)</f>
        <v>EFI</v>
      </c>
      <c r="H498" s="184"/>
      <c r="I498" s="184"/>
      <c r="J498" s="260">
        <f>(V498+X498+AA498)/'Logistics record '!$AD$1</f>
        <v>15.116015418335726</v>
      </c>
      <c r="K498" s="260">
        <f>W498/'Logistics record '!$AD$1</f>
        <v>0</v>
      </c>
      <c r="L498" s="260">
        <f>Y498/'Logistics record '!$AD$1</f>
        <v>0</v>
      </c>
      <c r="M498" s="260">
        <f>AF498/'Logistics record '!$AD$1</f>
        <v>0</v>
      </c>
      <c r="N498" s="260" t="str" cm="1">
        <f t="array" ref="N498">_xlfn.IFS(
    OR(UPPER(S498)="AIR", UPPER(S498)="CPN"), "AIR",
    UPPER(S498)="TC", "LOCAL",
    TRUE, "SEA"
)</f>
        <v>AIR</v>
      </c>
      <c r="O498" s="260">
        <f t="shared" si="36"/>
        <v>15.116015418335726</v>
      </c>
      <c r="P498" s="184" t="s">
        <v>937</v>
      </c>
      <c r="Q498" s="185">
        <v>108367841040</v>
      </c>
      <c r="R498" s="186">
        <v>46196</v>
      </c>
      <c r="S498" s="187" t="s">
        <v>928</v>
      </c>
      <c r="T498" s="188">
        <v>0.8</v>
      </c>
      <c r="U498" s="188"/>
      <c r="V498" s="189">
        <v>400000</v>
      </c>
      <c r="W498" s="190"/>
      <c r="X498" s="190"/>
      <c r="Y498" s="190"/>
      <c r="Z498" s="189">
        <f t="shared" si="44"/>
        <v>400000</v>
      </c>
      <c r="AA498" s="189">
        <v>0</v>
      </c>
      <c r="AB498" s="189">
        <f t="shared" si="41"/>
        <v>400000</v>
      </c>
      <c r="AC498" s="189"/>
      <c r="AD498" s="190"/>
      <c r="AE498" s="190"/>
      <c r="AF498" s="191">
        <f t="shared" si="42"/>
        <v>0</v>
      </c>
      <c r="AG498" s="190">
        <f t="shared" si="43"/>
        <v>400000</v>
      </c>
      <c r="AH498" s="190"/>
      <c r="AI498" s="192" t="str">
        <f>VLOOKUP(Q498,[3]Sheet1!B$11:G$1489,6,0)</f>
        <v>E11</v>
      </c>
      <c r="GK498" s="194"/>
      <c r="GL498" s="195"/>
      <c r="GM498" s="196"/>
      <c r="GN498" s="197"/>
      <c r="GO498" s="198"/>
      <c r="GP498" s="199"/>
      <c r="GQ498" s="200"/>
      <c r="GR498" s="201"/>
      <c r="GS498" s="60"/>
      <c r="GT498" s="202"/>
      <c r="GU498" s="202"/>
      <c r="GV498" s="202"/>
      <c r="GW498" s="202"/>
      <c r="GX498" s="203"/>
      <c r="HA498" s="194"/>
      <c r="HB498" s="195"/>
      <c r="HC498" s="196"/>
      <c r="HD498" s="197"/>
      <c r="HE498" s="198"/>
      <c r="HF498" s="199"/>
      <c r="HG498" s="200"/>
      <c r="HH498" s="201"/>
      <c r="HI498" s="60"/>
      <c r="HJ498" s="202"/>
      <c r="HK498" s="202"/>
      <c r="HL498" s="202"/>
      <c r="HM498" s="202"/>
      <c r="HN498" s="203"/>
    </row>
    <row r="499" spans="1:222" ht="16.5" customHeight="1">
      <c r="A499" s="181">
        <v>496</v>
      </c>
      <c r="B499" s="182">
        <v>382125005305</v>
      </c>
      <c r="C499" s="183" t="s">
        <v>2865</v>
      </c>
      <c r="D499" s="184" t="s">
        <v>2326</v>
      </c>
      <c r="E499" s="184" t="str">
        <f t="shared" si="45"/>
        <v>Import</v>
      </c>
      <c r="F499" s="720" t="str" cm="1">
        <f t="array" ref="F499">_xlfn.IFS(
  OR(AI499="E11", AI499="E15"), "Raw materials",
  OR(AI499="E13", AI499="G13"), "Equipments + Toolings",
  TRUE, RIGHT(C499, 8)
)</f>
        <v>Raw materials</v>
      </c>
      <c r="G499" s="541" t="str" cm="1">
        <f t="array" ref="G499">IF(E499="Import",
  IFERROR(
    _xlfn.IFS(
      VLOOKUP(B499,[1]Material!F$5:U$90000,16,0)="LUC","Lucid",
      VLOOKUP(B499,[1]Material!F$5:U$90000,16,0)="FMC","FORD",
      OR(VLOOKUP(B499,[1]Material!F$5:U$90000,16,0)="PUR",VLOOKUP(B499,[1]Material!F$5:U$90000,16,0)="HLO"),"PURE",
      VLOOKUP(B499,[1]Material!F$5:U$90000,16,0)="AIC","AIC",
      OR(VLOOKUP(B499,[1]Material!F$5:U$90000,16,0)="AGI",VLOOKUP(B499,[1]Material!F$5:U$90000,16,0)="AGIGA"),"AGIGA",
      OR(LEFT(VLOOKUP(B499,[1]Material!F$5:U$90000,16,0),3)="EF-",VLOOKUP(B499,[1]Material!F$5:U$90000,16,0)="EFI"),"EFI",
      AND(ISNUMBER(VLOOKUP(B499,[1]Material!F$5:U$90000,16,0)),VLOOKUP(B499,[1]Material!F$5:U$90000,16,0)&gt;=100,VLOOKUP(B499,[1]Material!F$5:U$90000,16,0)&lt;=999,VLOOKUP(B499,[1]Material!F$5:U$90000,16,0)=INT(VLOOKUP(B499,[1]Material!F$5:U$90000,16,0))),"OEM",
      TRUE,""
    ),
    "không tìm thấy trong file Import"
  ),
  VLOOKUP(F499,'[2]Export shipment'!B:Y,24,0)
)</f>
        <v>PURE</v>
      </c>
      <c r="H499" s="184"/>
      <c r="I499" s="184"/>
      <c r="J499" s="260">
        <f>(V499+X499+AA499)/'Logistics record '!$AD$1</f>
        <v>15.116015418335726</v>
      </c>
      <c r="K499" s="260">
        <f>W499/'Logistics record '!$AD$1</f>
        <v>0</v>
      </c>
      <c r="L499" s="260">
        <f>Y499/'Logistics record '!$AD$1</f>
        <v>0</v>
      </c>
      <c r="M499" s="260">
        <f>AF499/'Logistics record '!$AD$1</f>
        <v>0</v>
      </c>
      <c r="N499" s="260" t="str" cm="1">
        <f t="array" ref="N499">_xlfn.IFS(
    OR(UPPER(S499)="AIR", UPPER(S499)="CPN"), "AIR",
    UPPER(S499)="TC", "LOCAL",
    TRUE, "SEA"
)</f>
        <v>AIR</v>
      </c>
      <c r="O499" s="260">
        <f t="shared" si="36"/>
        <v>15.116015418335726</v>
      </c>
      <c r="P499" s="184" t="s">
        <v>943</v>
      </c>
      <c r="Q499" s="185">
        <v>108367923860</v>
      </c>
      <c r="R499" s="186">
        <v>46196</v>
      </c>
      <c r="S499" s="187" t="s">
        <v>928</v>
      </c>
      <c r="T499" s="188">
        <v>2.2000000000000002</v>
      </c>
      <c r="U499" s="188"/>
      <c r="V499" s="189">
        <v>400000</v>
      </c>
      <c r="W499" s="190"/>
      <c r="X499" s="190"/>
      <c r="Y499" s="190"/>
      <c r="Z499" s="189">
        <f t="shared" si="44"/>
        <v>400000</v>
      </c>
      <c r="AA499" s="189">
        <v>0</v>
      </c>
      <c r="AB499" s="189">
        <f t="shared" si="41"/>
        <v>400000</v>
      </c>
      <c r="AC499" s="189"/>
      <c r="AD499" s="190"/>
      <c r="AE499" s="190"/>
      <c r="AF499" s="191">
        <f t="shared" si="42"/>
        <v>0</v>
      </c>
      <c r="AG499" s="190">
        <f t="shared" si="43"/>
        <v>400000</v>
      </c>
      <c r="AH499" s="190"/>
      <c r="AI499" s="192" t="str">
        <f>VLOOKUP(Q499,[3]Sheet1!B$11:G$1489,6,0)</f>
        <v>E11</v>
      </c>
      <c r="GK499" s="194"/>
      <c r="GL499" s="195"/>
      <c r="GM499" s="196"/>
      <c r="GN499" s="197"/>
      <c r="GO499" s="198"/>
      <c r="GP499" s="199"/>
      <c r="GQ499" s="200"/>
      <c r="GR499" s="201"/>
      <c r="GS499" s="60"/>
      <c r="GT499" s="202"/>
      <c r="GU499" s="202"/>
      <c r="GV499" s="202"/>
      <c r="GW499" s="202"/>
      <c r="GX499" s="203"/>
      <c r="HA499" s="194"/>
      <c r="HB499" s="195"/>
      <c r="HC499" s="196"/>
      <c r="HD499" s="197"/>
      <c r="HE499" s="198"/>
      <c r="HF499" s="199"/>
      <c r="HG499" s="200"/>
      <c r="HH499" s="201"/>
      <c r="HI499" s="60"/>
      <c r="HJ499" s="202"/>
      <c r="HK499" s="202"/>
      <c r="HL499" s="202"/>
      <c r="HM499" s="202"/>
      <c r="HN499" s="203"/>
    </row>
    <row r="500" spans="1:222" ht="16.5" customHeight="1">
      <c r="A500" s="181">
        <v>497</v>
      </c>
      <c r="B500" s="182">
        <v>873285613010</v>
      </c>
      <c r="C500" s="183" t="s">
        <v>2866</v>
      </c>
      <c r="D500" s="184" t="s">
        <v>1469</v>
      </c>
      <c r="E500" s="184" t="str">
        <f t="shared" si="45"/>
        <v>Import</v>
      </c>
      <c r="F500" s="720" t="str" cm="1">
        <f t="array" ref="F500">_xlfn.IFS(
  OR(AI500="E11", AI500="E15"), "Raw materials",
  OR(AI500="E13", AI500="G13"), "Equipments + Toolings",
  TRUE, RIGHT(C500, 8)
)</f>
        <v>Raw materials</v>
      </c>
      <c r="G500" s="541" t="str" cm="1">
        <f t="array" ref="G500">IF(E500="Import",
  IFERROR(
    _xlfn.IFS(
      VLOOKUP(B500,[1]Material!F$5:U$90000,16,0)="LUC","Lucid",
      VLOOKUP(B500,[1]Material!F$5:U$90000,16,0)="FMC","FORD",
      OR(VLOOKUP(B500,[1]Material!F$5:U$90000,16,0)="PUR",VLOOKUP(B500,[1]Material!F$5:U$90000,16,0)="HLO"),"PURE",
      VLOOKUP(B500,[1]Material!F$5:U$90000,16,0)="AIC","AIC",
      OR(VLOOKUP(B500,[1]Material!F$5:U$90000,16,0)="AGI",VLOOKUP(B500,[1]Material!F$5:U$90000,16,0)="AGIGA"),"AGIGA",
      OR(LEFT(VLOOKUP(B500,[1]Material!F$5:U$90000,16,0),3)="EF-",VLOOKUP(B500,[1]Material!F$5:U$90000,16,0)="EFI"),"EFI",
      AND(ISNUMBER(VLOOKUP(B500,[1]Material!F$5:U$90000,16,0)),VLOOKUP(B500,[1]Material!F$5:U$90000,16,0)&gt;=100,VLOOKUP(B500,[1]Material!F$5:U$90000,16,0)&lt;=999,VLOOKUP(B500,[1]Material!F$5:U$90000,16,0)=INT(VLOOKUP(B500,[1]Material!F$5:U$90000,16,0))),"OEM",
      TRUE,""
    ),
    "không tìm thấy trong file Import"
  ),
  VLOOKUP(F500,'[2]Export shipment'!B:Y,24,0)
)</f>
        <v>PURE</v>
      </c>
      <c r="H500" s="184"/>
      <c r="I500" s="184"/>
      <c r="J500" s="260">
        <f>(V500+X500+AA500)/'Logistics record '!$AD$1</f>
        <v>15.116015418335726</v>
      </c>
      <c r="K500" s="260">
        <f>W500/'Logistics record '!$AD$1</f>
        <v>0</v>
      </c>
      <c r="L500" s="260">
        <f>Y500/'Logistics record '!$AD$1</f>
        <v>0</v>
      </c>
      <c r="M500" s="260">
        <f>AF500/'Logistics record '!$AD$1</f>
        <v>0</v>
      </c>
      <c r="N500" s="260" t="str" cm="1">
        <f t="array" ref="N500">_xlfn.IFS(
    OR(UPPER(S500)="AIR", UPPER(S500)="CPN"), "AIR",
    UPPER(S500)="TC", "LOCAL",
    TRUE, "SEA"
)</f>
        <v>AIR</v>
      </c>
      <c r="O500" s="260">
        <f t="shared" si="36"/>
        <v>15.116015418335726</v>
      </c>
      <c r="P500" s="184" t="s">
        <v>937</v>
      </c>
      <c r="Q500" s="185">
        <v>108367970060</v>
      </c>
      <c r="R500" s="186">
        <v>46196</v>
      </c>
      <c r="S500" s="187" t="s">
        <v>928</v>
      </c>
      <c r="T500" s="188">
        <v>3.5</v>
      </c>
      <c r="U500" s="188"/>
      <c r="V500" s="189">
        <v>400000</v>
      </c>
      <c r="W500" s="190"/>
      <c r="X500" s="190"/>
      <c r="Y500" s="190"/>
      <c r="Z500" s="189">
        <f t="shared" si="44"/>
        <v>400000</v>
      </c>
      <c r="AA500" s="189">
        <v>0</v>
      </c>
      <c r="AB500" s="189">
        <f t="shared" si="41"/>
        <v>400000</v>
      </c>
      <c r="AC500" s="189"/>
      <c r="AD500" s="190"/>
      <c r="AE500" s="190"/>
      <c r="AF500" s="191">
        <f t="shared" si="42"/>
        <v>0</v>
      </c>
      <c r="AG500" s="190">
        <f t="shared" si="43"/>
        <v>400000</v>
      </c>
      <c r="AH500" s="190"/>
      <c r="AI500" s="192" t="str">
        <f>VLOOKUP(Q500,[3]Sheet1!B$11:G$1489,6,0)</f>
        <v>E11</v>
      </c>
      <c r="GK500" s="194"/>
      <c r="GL500" s="195"/>
      <c r="GM500" s="196"/>
      <c r="GN500" s="197"/>
      <c r="GO500" s="198"/>
      <c r="GP500" s="199"/>
      <c r="GQ500" s="200"/>
      <c r="GR500" s="201"/>
      <c r="GS500" s="60"/>
      <c r="GT500" s="202"/>
      <c r="GU500" s="202"/>
      <c r="GV500" s="202"/>
      <c r="GW500" s="202"/>
      <c r="GX500" s="203"/>
      <c r="HA500" s="194"/>
      <c r="HB500" s="195"/>
      <c r="HC500" s="196"/>
      <c r="HD500" s="197"/>
      <c r="HE500" s="198"/>
      <c r="HF500" s="199"/>
      <c r="HG500" s="200"/>
      <c r="HH500" s="201"/>
      <c r="HI500" s="60"/>
      <c r="HJ500" s="202"/>
      <c r="HK500" s="202"/>
      <c r="HL500" s="202"/>
      <c r="HM500" s="202"/>
      <c r="HN500" s="203"/>
    </row>
    <row r="501" spans="1:222" ht="16.5" customHeight="1">
      <c r="A501" s="181">
        <v>498</v>
      </c>
      <c r="B501" s="182">
        <v>382080243184</v>
      </c>
      <c r="C501" s="183" t="s">
        <v>2867</v>
      </c>
      <c r="D501" s="184" t="s">
        <v>2868</v>
      </c>
      <c r="E501" s="184" t="str">
        <f t="shared" si="45"/>
        <v>Import</v>
      </c>
      <c r="F501" s="720" t="str" cm="1">
        <f t="array" ref="F501">_xlfn.IFS(
  OR(AI501="E11", AI501="E15"), "Raw materials",
  OR(AI501="E13", AI501="G13"), "Equipments + Toolings",
  TRUE, RIGHT(C501, 8)
)</f>
        <v>Raw materials</v>
      </c>
      <c r="G501" s="541" t="str" cm="1">
        <f t="array" ref="G501">IF(E501="Import",
  IFERROR(
    _xlfn.IFS(
      VLOOKUP(B501,[1]Material!F$5:U$90000,16,0)="LUC","Lucid",
      VLOOKUP(B501,[1]Material!F$5:U$90000,16,0)="FMC","FORD",
      OR(VLOOKUP(B501,[1]Material!F$5:U$90000,16,0)="PUR",VLOOKUP(B501,[1]Material!F$5:U$90000,16,0)="HLO"),"PURE",
      VLOOKUP(B501,[1]Material!F$5:U$90000,16,0)="AIC","AIC",
      OR(VLOOKUP(B501,[1]Material!F$5:U$90000,16,0)="AGI",VLOOKUP(B501,[1]Material!F$5:U$90000,16,0)="AGIGA"),"AGIGA",
      OR(LEFT(VLOOKUP(B501,[1]Material!F$5:U$90000,16,0),3)="EF-",VLOOKUP(B501,[1]Material!F$5:U$90000,16,0)="EFI"),"EFI",
      AND(ISNUMBER(VLOOKUP(B501,[1]Material!F$5:U$90000,16,0)),VLOOKUP(B501,[1]Material!F$5:U$90000,16,0)&gt;=100,VLOOKUP(B501,[1]Material!F$5:U$90000,16,0)&lt;=999,VLOOKUP(B501,[1]Material!F$5:U$90000,16,0)=INT(VLOOKUP(B501,[1]Material!F$5:U$90000,16,0))),"OEM",
      TRUE,""
    ),
    "không tìm thấy trong file Import"
  ),
  VLOOKUP(F501,'[2]Export shipment'!B:Y,24,0)
)</f>
        <v>Lucid</v>
      </c>
      <c r="H501" s="184"/>
      <c r="I501" s="184"/>
      <c r="J501" s="260">
        <f>(V501+X501+AA501)/'Logistics record '!$AD$1</f>
        <v>15.116015418335726</v>
      </c>
      <c r="K501" s="260">
        <f>W501/'Logistics record '!$AD$1</f>
        <v>0</v>
      </c>
      <c r="L501" s="260">
        <f>Y501/'Logistics record '!$AD$1</f>
        <v>0</v>
      </c>
      <c r="M501" s="260">
        <f>AF501/'Logistics record '!$AD$1</f>
        <v>0</v>
      </c>
      <c r="N501" s="260" t="str" cm="1">
        <f t="array" ref="N501">_xlfn.IFS(
    OR(UPPER(S501)="AIR", UPPER(S501)="CPN"), "AIR",
    UPPER(S501)="TC", "LOCAL",
    TRUE, "SEA"
)</f>
        <v>AIR</v>
      </c>
      <c r="O501" s="260">
        <f t="shared" si="36"/>
        <v>15.116015418335726</v>
      </c>
      <c r="P501" s="184" t="s">
        <v>931</v>
      </c>
      <c r="Q501" s="185">
        <v>108367978610</v>
      </c>
      <c r="R501" s="186">
        <v>46196</v>
      </c>
      <c r="S501" s="187" t="s">
        <v>928</v>
      </c>
      <c r="T501" s="188">
        <v>1.1000000000000001</v>
      </c>
      <c r="U501" s="188"/>
      <c r="V501" s="189">
        <v>400000</v>
      </c>
      <c r="W501" s="190"/>
      <c r="X501" s="190"/>
      <c r="Y501" s="190"/>
      <c r="Z501" s="189">
        <f t="shared" si="44"/>
        <v>400000</v>
      </c>
      <c r="AA501" s="189">
        <v>0</v>
      </c>
      <c r="AB501" s="189">
        <f t="shared" si="41"/>
        <v>400000</v>
      </c>
      <c r="AC501" s="189"/>
      <c r="AD501" s="190"/>
      <c r="AE501" s="190"/>
      <c r="AF501" s="191">
        <f t="shared" si="42"/>
        <v>0</v>
      </c>
      <c r="AG501" s="190">
        <f t="shared" si="43"/>
        <v>400000</v>
      </c>
      <c r="AH501" s="190"/>
      <c r="AI501" s="192" t="str">
        <f>VLOOKUP(Q501,[3]Sheet1!B$11:G$1489,6,0)</f>
        <v>E11</v>
      </c>
      <c r="GK501" s="194"/>
      <c r="GL501" s="195"/>
      <c r="GM501" s="196"/>
      <c r="GN501" s="197"/>
      <c r="GO501" s="198"/>
      <c r="GP501" s="199"/>
      <c r="GQ501" s="200"/>
      <c r="GR501" s="201"/>
      <c r="GS501" s="60"/>
      <c r="GT501" s="202"/>
      <c r="GU501" s="202"/>
      <c r="GV501" s="202"/>
      <c r="GW501" s="202"/>
      <c r="GX501" s="203"/>
      <c r="HA501" s="194"/>
      <c r="HB501" s="195"/>
      <c r="HC501" s="196"/>
      <c r="HD501" s="197"/>
      <c r="HE501" s="198"/>
      <c r="HF501" s="199"/>
      <c r="HG501" s="200"/>
      <c r="HH501" s="201"/>
      <c r="HI501" s="60"/>
      <c r="HJ501" s="202"/>
      <c r="HK501" s="202"/>
      <c r="HL501" s="202"/>
      <c r="HM501" s="202"/>
      <c r="HN501" s="203"/>
    </row>
    <row r="502" spans="1:222" ht="16.5" customHeight="1">
      <c r="A502" s="181">
        <v>499</v>
      </c>
      <c r="B502" s="182">
        <v>484361670371</v>
      </c>
      <c r="C502" s="183" t="s">
        <v>2869</v>
      </c>
      <c r="D502" s="184" t="s">
        <v>376</v>
      </c>
      <c r="E502" s="184" t="str">
        <f t="shared" si="45"/>
        <v>Import</v>
      </c>
      <c r="F502" s="720" t="str" cm="1">
        <f t="array" ref="F502">_xlfn.IFS(
  OR(AI502="E11", AI502="E15"), "Raw materials",
  OR(AI502="E13", AI502="G13"), "Equipments + Toolings",
  TRUE, RIGHT(C502, 8)
)</f>
        <v>Raw materials</v>
      </c>
      <c r="G502" s="541" t="str" cm="1">
        <f t="array" ref="G502">IF(E502="Import",
  IFERROR(
    _xlfn.IFS(
      VLOOKUP(B502,[1]Material!F$5:U$90000,16,0)="LUC","Lucid",
      VLOOKUP(B502,[1]Material!F$5:U$90000,16,0)="FMC","FORD",
      OR(VLOOKUP(B502,[1]Material!F$5:U$90000,16,0)="PUR",VLOOKUP(B502,[1]Material!F$5:U$90000,16,0)="HLO"),"PURE",
      VLOOKUP(B502,[1]Material!F$5:U$90000,16,0)="AIC","AIC",
      OR(VLOOKUP(B502,[1]Material!F$5:U$90000,16,0)="AGI",VLOOKUP(B502,[1]Material!F$5:U$90000,16,0)="AGIGA"),"AGIGA",
      OR(LEFT(VLOOKUP(B502,[1]Material!F$5:U$90000,16,0),3)="EF-",VLOOKUP(B502,[1]Material!F$5:U$90000,16,0)="EFI"),"EFI",
      AND(ISNUMBER(VLOOKUP(B502,[1]Material!F$5:U$90000,16,0)),VLOOKUP(B502,[1]Material!F$5:U$90000,16,0)&gt;=100,VLOOKUP(B502,[1]Material!F$5:U$90000,16,0)&lt;=999,VLOOKUP(B502,[1]Material!F$5:U$90000,16,0)=INT(VLOOKUP(B502,[1]Material!F$5:U$90000,16,0))),"OEM",
      TRUE,""
    ),
    "không tìm thấy trong file Import"
  ),
  VLOOKUP(F502,'[2]Export shipment'!B:Y,24,0)
)</f>
        <v>EFI</v>
      </c>
      <c r="H502" s="184"/>
      <c r="I502" s="184"/>
      <c r="J502" s="260">
        <f>(V502+X502+AA502)/'Logistics record '!$AD$1</f>
        <v>15.116015418335726</v>
      </c>
      <c r="K502" s="260">
        <f>W502/'Logistics record '!$AD$1</f>
        <v>0</v>
      </c>
      <c r="L502" s="260">
        <f>Y502/'Logistics record '!$AD$1</f>
        <v>0</v>
      </c>
      <c r="M502" s="260">
        <f>AF502/'Logistics record '!$AD$1</f>
        <v>0</v>
      </c>
      <c r="N502" s="260" t="str" cm="1">
        <f t="array" ref="N502">_xlfn.IFS(
    OR(UPPER(S502)="AIR", UPPER(S502)="CPN"), "AIR",
    UPPER(S502)="TC", "LOCAL",
    TRUE, "SEA"
)</f>
        <v>AIR</v>
      </c>
      <c r="O502" s="260">
        <f t="shared" si="36"/>
        <v>15.116015418335726</v>
      </c>
      <c r="P502" s="184" t="s">
        <v>937</v>
      </c>
      <c r="Q502" s="185">
        <v>108368003330</v>
      </c>
      <c r="R502" s="186">
        <v>46196</v>
      </c>
      <c r="S502" s="187" t="s">
        <v>928</v>
      </c>
      <c r="T502" s="188">
        <v>21.2</v>
      </c>
      <c r="U502" s="188"/>
      <c r="V502" s="189">
        <v>400000</v>
      </c>
      <c r="W502" s="190"/>
      <c r="X502" s="190"/>
      <c r="Y502" s="190"/>
      <c r="Z502" s="189">
        <f t="shared" si="44"/>
        <v>400000</v>
      </c>
      <c r="AA502" s="189">
        <v>0</v>
      </c>
      <c r="AB502" s="189">
        <f t="shared" si="41"/>
        <v>400000</v>
      </c>
      <c r="AC502" s="189"/>
      <c r="AD502" s="190"/>
      <c r="AE502" s="190"/>
      <c r="AF502" s="191">
        <f t="shared" si="42"/>
        <v>0</v>
      </c>
      <c r="AG502" s="190">
        <f t="shared" si="43"/>
        <v>400000</v>
      </c>
      <c r="AH502" s="190"/>
      <c r="AI502" s="192" t="str">
        <f>VLOOKUP(Q502,[3]Sheet1!B$11:G$1489,6,0)</f>
        <v>E11</v>
      </c>
      <c r="GK502" s="194"/>
      <c r="GL502" s="195"/>
      <c r="GM502" s="196"/>
      <c r="GN502" s="197"/>
      <c r="GO502" s="198"/>
      <c r="GP502" s="199"/>
      <c r="GQ502" s="200"/>
      <c r="GR502" s="201"/>
      <c r="GS502" s="60"/>
      <c r="GT502" s="202"/>
      <c r="GU502" s="202"/>
      <c r="GV502" s="202"/>
      <c r="GW502" s="202"/>
      <c r="GX502" s="203"/>
      <c r="HA502" s="194"/>
      <c r="HB502" s="195"/>
      <c r="HC502" s="196"/>
      <c r="HD502" s="197"/>
      <c r="HE502" s="198"/>
      <c r="HF502" s="199"/>
      <c r="HG502" s="200"/>
      <c r="HH502" s="201"/>
      <c r="HI502" s="60"/>
      <c r="HJ502" s="202"/>
      <c r="HK502" s="202"/>
      <c r="HL502" s="202"/>
      <c r="HM502" s="202"/>
      <c r="HN502" s="203"/>
    </row>
    <row r="503" spans="1:222" ht="16.5" customHeight="1">
      <c r="A503" s="181">
        <v>500</v>
      </c>
      <c r="B503" s="182">
        <v>515199061257</v>
      </c>
      <c r="C503" s="183" t="s">
        <v>2870</v>
      </c>
      <c r="D503" s="184" t="s">
        <v>801</v>
      </c>
      <c r="E503" s="184" t="str">
        <f t="shared" si="45"/>
        <v>Import</v>
      </c>
      <c r="F503" s="720" t="str" cm="1">
        <f t="array" ref="F503">_xlfn.IFS(
  OR(AI503="E11", AI503="E15"), "Raw materials",
  OR(AI503="E13", AI503="G13"), "Equipments + Toolings",
  TRUE, RIGHT(C503, 8)
)</f>
        <v>Raw materials</v>
      </c>
      <c r="G503" s="541" t="str" cm="1">
        <f t="array" ref="G503">IF(E503="Import",
  IFERROR(
    _xlfn.IFS(
      VLOOKUP(B503,[1]Material!F$5:U$90000,16,0)="LUC","Lucid",
      VLOOKUP(B503,[1]Material!F$5:U$90000,16,0)="FMC","FORD",
      OR(VLOOKUP(B503,[1]Material!F$5:U$90000,16,0)="PUR",VLOOKUP(B503,[1]Material!F$5:U$90000,16,0)="HLO"),"PURE",
      VLOOKUP(B503,[1]Material!F$5:U$90000,16,0)="AIC","AIC",
      OR(VLOOKUP(B503,[1]Material!F$5:U$90000,16,0)="AGI",VLOOKUP(B503,[1]Material!F$5:U$90000,16,0)="AGIGA"),"AGIGA",
      OR(LEFT(VLOOKUP(B503,[1]Material!F$5:U$90000,16,0),3)="EF-",VLOOKUP(B503,[1]Material!F$5:U$90000,16,0)="EFI"),"EFI",
      AND(ISNUMBER(VLOOKUP(B503,[1]Material!F$5:U$90000,16,0)),VLOOKUP(B503,[1]Material!F$5:U$90000,16,0)&gt;=100,VLOOKUP(B503,[1]Material!F$5:U$90000,16,0)&lt;=999,VLOOKUP(B503,[1]Material!F$5:U$90000,16,0)=INT(VLOOKUP(B503,[1]Material!F$5:U$90000,16,0))),"OEM",
      TRUE,""
    ),
    "không tìm thấy trong file Import"
  ),
  VLOOKUP(F503,'[2]Export shipment'!B:Y,24,0)
)</f>
        <v>PURE</v>
      </c>
      <c r="H503" s="184"/>
      <c r="I503" s="184"/>
      <c r="J503" s="260">
        <f>(V503+X503+AA503)/'Logistics record '!$AD$1</f>
        <v>15.116015418335726</v>
      </c>
      <c r="K503" s="260">
        <f>W503/'Logistics record '!$AD$1</f>
        <v>0</v>
      </c>
      <c r="L503" s="260">
        <f>Y503/'Logistics record '!$AD$1</f>
        <v>0</v>
      </c>
      <c r="M503" s="260">
        <f>AF503/'Logistics record '!$AD$1</f>
        <v>0</v>
      </c>
      <c r="N503" s="260" t="str" cm="1">
        <f t="array" ref="N503">_xlfn.IFS(
    OR(UPPER(S503)="AIR", UPPER(S503)="CPN"), "AIR",
    UPPER(S503)="TC", "LOCAL",
    TRUE, "SEA"
)</f>
        <v>AIR</v>
      </c>
      <c r="O503" s="260">
        <f t="shared" si="36"/>
        <v>15.116015418335726</v>
      </c>
      <c r="P503" s="184" t="s">
        <v>937</v>
      </c>
      <c r="Q503" s="185">
        <v>108368130840</v>
      </c>
      <c r="R503" s="186">
        <v>46196</v>
      </c>
      <c r="S503" s="187" t="s">
        <v>928</v>
      </c>
      <c r="T503" s="188">
        <v>37.9</v>
      </c>
      <c r="U503" s="188"/>
      <c r="V503" s="189">
        <v>400000</v>
      </c>
      <c r="W503" s="190"/>
      <c r="X503" s="190"/>
      <c r="Y503" s="190"/>
      <c r="Z503" s="189">
        <f t="shared" si="44"/>
        <v>400000</v>
      </c>
      <c r="AA503" s="189">
        <v>0</v>
      </c>
      <c r="AB503" s="189">
        <f t="shared" si="41"/>
        <v>400000</v>
      </c>
      <c r="AC503" s="189"/>
      <c r="AD503" s="190"/>
      <c r="AE503" s="190"/>
      <c r="AF503" s="191">
        <f t="shared" si="42"/>
        <v>0</v>
      </c>
      <c r="AG503" s="190">
        <f t="shared" si="43"/>
        <v>400000</v>
      </c>
      <c r="AH503" s="190"/>
      <c r="AI503" s="192" t="str">
        <f>VLOOKUP(Q503,[3]Sheet1!B$11:G$1489,6,0)</f>
        <v>E11</v>
      </c>
      <c r="GK503" s="194"/>
      <c r="GL503" s="195"/>
      <c r="GM503" s="196"/>
      <c r="GN503" s="197"/>
      <c r="GO503" s="198"/>
      <c r="GP503" s="199"/>
      <c r="GQ503" s="200"/>
      <c r="GR503" s="201"/>
      <c r="GS503" s="60"/>
      <c r="GT503" s="202"/>
      <c r="GU503" s="202"/>
      <c r="GV503" s="202"/>
      <c r="GW503" s="202"/>
      <c r="GX503" s="203"/>
      <c r="HA503" s="194"/>
      <c r="HB503" s="195"/>
      <c r="HC503" s="196"/>
      <c r="HD503" s="197"/>
      <c r="HE503" s="198"/>
      <c r="HF503" s="199"/>
      <c r="HG503" s="200"/>
      <c r="HH503" s="201"/>
      <c r="HI503" s="60"/>
      <c r="HJ503" s="202"/>
      <c r="HK503" s="202"/>
      <c r="HL503" s="202"/>
      <c r="HM503" s="202"/>
      <c r="HN503" s="203"/>
    </row>
    <row r="504" spans="1:222" ht="16.5" customHeight="1">
      <c r="A504" s="181">
        <v>501</v>
      </c>
      <c r="B504" s="182">
        <v>382145649953</v>
      </c>
      <c r="C504" s="183" t="s">
        <v>2871</v>
      </c>
      <c r="D504" s="184" t="s">
        <v>1702</v>
      </c>
      <c r="E504" s="184" t="str">
        <f t="shared" si="45"/>
        <v>Import</v>
      </c>
      <c r="F504" s="720" t="str" cm="1">
        <f t="array" ref="F504">_xlfn.IFS(
  OR(AI504="E11", AI504="E15"), "Raw materials",
  OR(AI504="E13", AI504="G13"), "Equipments + Toolings",
  TRUE, RIGHT(C504, 8)
)</f>
        <v>Raw materials</v>
      </c>
      <c r="G504" s="541" t="str" cm="1">
        <f t="array" ref="G504">IF(E504="Import",
  IFERROR(
    _xlfn.IFS(
      VLOOKUP(B504,[1]Material!F$5:U$90000,16,0)="LUC","Lucid",
      VLOOKUP(B504,[1]Material!F$5:U$90000,16,0)="FMC","FORD",
      OR(VLOOKUP(B504,[1]Material!F$5:U$90000,16,0)="PUR",VLOOKUP(B504,[1]Material!F$5:U$90000,16,0)="HLO"),"PURE",
      VLOOKUP(B504,[1]Material!F$5:U$90000,16,0)="AIC","AIC",
      OR(VLOOKUP(B504,[1]Material!F$5:U$90000,16,0)="AGI",VLOOKUP(B504,[1]Material!F$5:U$90000,16,0)="AGIGA"),"AGIGA",
      OR(LEFT(VLOOKUP(B504,[1]Material!F$5:U$90000,16,0),3)="EF-",VLOOKUP(B504,[1]Material!F$5:U$90000,16,0)="EFI"),"EFI",
      AND(ISNUMBER(VLOOKUP(B504,[1]Material!F$5:U$90000,16,0)),VLOOKUP(B504,[1]Material!F$5:U$90000,16,0)&gt;=100,VLOOKUP(B504,[1]Material!F$5:U$90000,16,0)&lt;=999,VLOOKUP(B504,[1]Material!F$5:U$90000,16,0)=INT(VLOOKUP(B504,[1]Material!F$5:U$90000,16,0))),"OEM",
      TRUE,""
    ),
    "không tìm thấy trong file Import"
  ),
  VLOOKUP(F504,'[2]Export shipment'!B:Y,24,0)
)</f>
        <v>PURE</v>
      </c>
      <c r="H504" s="184"/>
      <c r="I504" s="184"/>
      <c r="J504" s="260">
        <f>(V504+X504+AA504)/'Logistics record '!$AD$1</f>
        <v>15.116015418335726</v>
      </c>
      <c r="K504" s="260">
        <f>W504/'Logistics record '!$AD$1</f>
        <v>0</v>
      </c>
      <c r="L504" s="260">
        <f>Y504/'Logistics record '!$AD$1</f>
        <v>0</v>
      </c>
      <c r="M504" s="260">
        <f>AF504/'Logistics record '!$AD$1</f>
        <v>0</v>
      </c>
      <c r="N504" s="260" t="str" cm="1">
        <f t="array" ref="N504">_xlfn.IFS(
    OR(UPPER(S504)="AIR", UPPER(S504)="CPN"), "AIR",
    UPPER(S504)="TC", "LOCAL",
    TRUE, "SEA"
)</f>
        <v>AIR</v>
      </c>
      <c r="O504" s="260">
        <f t="shared" si="36"/>
        <v>15.116015418335726</v>
      </c>
      <c r="P504" s="184" t="s">
        <v>937</v>
      </c>
      <c r="Q504" s="185">
        <v>108368290330</v>
      </c>
      <c r="R504" s="186">
        <v>46196</v>
      </c>
      <c r="S504" s="187" t="s">
        <v>928</v>
      </c>
      <c r="T504" s="188">
        <v>3.4</v>
      </c>
      <c r="U504" s="188"/>
      <c r="V504" s="189">
        <v>400000</v>
      </c>
      <c r="W504" s="190"/>
      <c r="X504" s="190"/>
      <c r="Y504" s="190"/>
      <c r="Z504" s="189">
        <f t="shared" si="44"/>
        <v>400000</v>
      </c>
      <c r="AA504" s="189">
        <v>0</v>
      </c>
      <c r="AB504" s="189">
        <f t="shared" si="41"/>
        <v>400000</v>
      </c>
      <c r="AC504" s="189"/>
      <c r="AD504" s="190"/>
      <c r="AE504" s="190"/>
      <c r="AF504" s="191">
        <f t="shared" si="42"/>
        <v>0</v>
      </c>
      <c r="AG504" s="190">
        <f t="shared" si="43"/>
        <v>400000</v>
      </c>
      <c r="AH504" s="190"/>
      <c r="AI504" s="192" t="str">
        <f>VLOOKUP(Q504,[3]Sheet1!B$11:G$1489,6,0)</f>
        <v>E11</v>
      </c>
      <c r="GK504" s="194"/>
      <c r="GL504" s="195"/>
      <c r="GM504" s="196"/>
      <c r="GN504" s="197"/>
      <c r="GO504" s="198"/>
      <c r="GP504" s="199"/>
      <c r="GQ504" s="200"/>
      <c r="GR504" s="201"/>
      <c r="GS504" s="60"/>
      <c r="GT504" s="202"/>
      <c r="GU504" s="202"/>
      <c r="GV504" s="202"/>
      <c r="GW504" s="202"/>
      <c r="GX504" s="203"/>
      <c r="HA504" s="194"/>
      <c r="HB504" s="195"/>
      <c r="HC504" s="196"/>
      <c r="HD504" s="197"/>
      <c r="HE504" s="198"/>
      <c r="HF504" s="199"/>
      <c r="HG504" s="200"/>
      <c r="HH504" s="201"/>
      <c r="HI504" s="60"/>
      <c r="HJ504" s="202"/>
      <c r="HK504" s="202"/>
      <c r="HL504" s="202"/>
      <c r="HM504" s="202"/>
      <c r="HN504" s="203"/>
    </row>
    <row r="505" spans="1:222" ht="16.5" customHeight="1">
      <c r="A505" s="181">
        <v>502</v>
      </c>
      <c r="B505" s="182">
        <v>815918865136</v>
      </c>
      <c r="C505" s="183" t="s">
        <v>2872</v>
      </c>
      <c r="D505" s="184" t="s">
        <v>2513</v>
      </c>
      <c r="E505" s="184" t="str">
        <f t="shared" si="45"/>
        <v>Import</v>
      </c>
      <c r="F505" s="720" t="str" cm="1">
        <f t="array" ref="F505">_xlfn.IFS(
  OR(AI505="E11", AI505="E15"), "Raw materials",
  OR(AI505="E13", AI505="G13"), "Equipments + Toolings",
  TRUE, RIGHT(C505, 8)
)</f>
        <v>Raw materials</v>
      </c>
      <c r="G505" s="541" t="str" cm="1">
        <f t="array" ref="G505">IF(E505="Import",
  IFERROR(
    _xlfn.IFS(
      VLOOKUP(B505,[1]Material!F$5:U$90000,16,0)="LUC","Lucid",
      VLOOKUP(B505,[1]Material!F$5:U$90000,16,0)="FMC","FORD",
      OR(VLOOKUP(B505,[1]Material!F$5:U$90000,16,0)="PUR",VLOOKUP(B505,[1]Material!F$5:U$90000,16,0)="HLO"),"PURE",
      VLOOKUP(B505,[1]Material!F$5:U$90000,16,0)="AIC","AIC",
      OR(VLOOKUP(B505,[1]Material!F$5:U$90000,16,0)="AGI",VLOOKUP(B505,[1]Material!F$5:U$90000,16,0)="AGIGA"),"AGIGA",
      OR(LEFT(VLOOKUP(B505,[1]Material!F$5:U$90000,16,0),3)="EF-",VLOOKUP(B505,[1]Material!F$5:U$90000,16,0)="EFI"),"EFI",
      AND(ISNUMBER(VLOOKUP(B505,[1]Material!F$5:U$90000,16,0)),VLOOKUP(B505,[1]Material!F$5:U$90000,16,0)&gt;=100,VLOOKUP(B505,[1]Material!F$5:U$90000,16,0)&lt;=999,VLOOKUP(B505,[1]Material!F$5:U$90000,16,0)=INT(VLOOKUP(B505,[1]Material!F$5:U$90000,16,0))),"OEM",
      TRUE,""
    ),
    "không tìm thấy trong file Import"
  ),
  VLOOKUP(F505,'[2]Export shipment'!B:Y,24,0)
)</f>
        <v>Lucid</v>
      </c>
      <c r="H505" s="184"/>
      <c r="I505" s="184"/>
      <c r="J505" s="260">
        <f>(V505+X505+AA505)/'Logistics record '!$AD$1</f>
        <v>15.116015418335726</v>
      </c>
      <c r="K505" s="260">
        <f>W505/'Logistics record '!$AD$1</f>
        <v>0</v>
      </c>
      <c r="L505" s="260">
        <f>Y505/'Logistics record '!$AD$1</f>
        <v>0</v>
      </c>
      <c r="M505" s="260">
        <f>AF505/'Logistics record '!$AD$1</f>
        <v>0</v>
      </c>
      <c r="N505" s="260" t="str" cm="1">
        <f t="array" ref="N505">_xlfn.IFS(
    OR(UPPER(S505)="AIR", UPPER(S505)="CPN"), "AIR",
    UPPER(S505)="TC", "LOCAL",
    TRUE, "SEA"
)</f>
        <v>AIR</v>
      </c>
      <c r="O505" s="260">
        <f t="shared" si="36"/>
        <v>15.116015418335726</v>
      </c>
      <c r="P505" s="184" t="s">
        <v>937</v>
      </c>
      <c r="Q505" s="185">
        <v>108368316230</v>
      </c>
      <c r="R505" s="186">
        <v>46196</v>
      </c>
      <c r="S505" s="187" t="s">
        <v>928</v>
      </c>
      <c r="T505" s="188">
        <v>0.60000000000000009</v>
      </c>
      <c r="U505" s="188"/>
      <c r="V505" s="189">
        <v>400000</v>
      </c>
      <c r="W505" s="190"/>
      <c r="X505" s="190"/>
      <c r="Y505" s="190"/>
      <c r="Z505" s="189">
        <f t="shared" si="44"/>
        <v>400000</v>
      </c>
      <c r="AA505" s="189">
        <v>0</v>
      </c>
      <c r="AB505" s="189">
        <f t="shared" si="41"/>
        <v>400000</v>
      </c>
      <c r="AC505" s="189"/>
      <c r="AD505" s="190"/>
      <c r="AE505" s="190"/>
      <c r="AF505" s="191">
        <f t="shared" si="42"/>
        <v>0</v>
      </c>
      <c r="AG505" s="190">
        <f t="shared" si="43"/>
        <v>400000</v>
      </c>
      <c r="AH505" s="190"/>
      <c r="AI505" s="192" t="str">
        <f>VLOOKUP(Q505,[3]Sheet1!B$11:G$1489,6,0)</f>
        <v>E11</v>
      </c>
      <c r="GK505" s="194"/>
      <c r="GL505" s="195"/>
      <c r="GM505" s="196"/>
      <c r="GN505" s="197"/>
      <c r="GO505" s="198"/>
      <c r="GP505" s="199"/>
      <c r="GQ505" s="200"/>
      <c r="GR505" s="201"/>
      <c r="GS505" s="60"/>
      <c r="GT505" s="202"/>
      <c r="GU505" s="202"/>
      <c r="GV505" s="202"/>
      <c r="GW505" s="202"/>
      <c r="GX505" s="203"/>
      <c r="HA505" s="194"/>
      <c r="HB505" s="195"/>
      <c r="HC505" s="196"/>
      <c r="HD505" s="197"/>
      <c r="HE505" s="198"/>
      <c r="HF505" s="199"/>
      <c r="HG505" s="200"/>
      <c r="HH505" s="201"/>
      <c r="HI505" s="60"/>
      <c r="HJ505" s="202"/>
      <c r="HK505" s="202"/>
      <c r="HL505" s="202"/>
      <c r="HM505" s="202"/>
      <c r="HN505" s="203"/>
    </row>
    <row r="506" spans="1:222" ht="16.5" customHeight="1">
      <c r="A506" s="181">
        <v>503</v>
      </c>
      <c r="B506" s="182">
        <v>382151561475</v>
      </c>
      <c r="C506" s="183" t="s">
        <v>2873</v>
      </c>
      <c r="D506" s="184" t="s">
        <v>2446</v>
      </c>
      <c r="E506" s="184" t="str">
        <f t="shared" si="45"/>
        <v>Import</v>
      </c>
      <c r="F506" s="720" t="str" cm="1">
        <f t="array" ref="F506">_xlfn.IFS(
  OR(AI506="E11", AI506="E15"), "Raw materials",
  OR(AI506="E13", AI506="G13"), "Equipments + Toolings",
  TRUE, RIGHT(C506, 8)
)</f>
        <v>Raw materials</v>
      </c>
      <c r="G506" s="541" t="str" cm="1">
        <f t="array" ref="G506">IF(E506="Import",
  IFERROR(
    _xlfn.IFS(
      VLOOKUP(B506,[1]Material!F$5:U$90000,16,0)="LUC","Lucid",
      VLOOKUP(B506,[1]Material!F$5:U$90000,16,0)="FMC","FORD",
      OR(VLOOKUP(B506,[1]Material!F$5:U$90000,16,0)="PUR",VLOOKUP(B506,[1]Material!F$5:U$90000,16,0)="HLO"),"PURE",
      VLOOKUP(B506,[1]Material!F$5:U$90000,16,0)="AIC","AIC",
      OR(VLOOKUP(B506,[1]Material!F$5:U$90000,16,0)="AGI",VLOOKUP(B506,[1]Material!F$5:U$90000,16,0)="AGIGA"),"AGIGA",
      OR(LEFT(VLOOKUP(B506,[1]Material!F$5:U$90000,16,0),3)="EF-",VLOOKUP(B506,[1]Material!F$5:U$90000,16,0)="EFI"),"EFI",
      AND(ISNUMBER(VLOOKUP(B506,[1]Material!F$5:U$90000,16,0)),VLOOKUP(B506,[1]Material!F$5:U$90000,16,0)&gt;=100,VLOOKUP(B506,[1]Material!F$5:U$90000,16,0)&lt;=999,VLOOKUP(B506,[1]Material!F$5:U$90000,16,0)=INT(VLOOKUP(B506,[1]Material!F$5:U$90000,16,0))),"OEM",
      TRUE,""
    ),
    "không tìm thấy trong file Import"
  ),
  VLOOKUP(F506,'[2]Export shipment'!B:Y,24,0)
)</f>
        <v>PURE</v>
      </c>
      <c r="H506" s="184"/>
      <c r="I506" s="184"/>
      <c r="J506" s="260">
        <f>(V506+X506+AA506)/'Logistics record '!$AD$1</f>
        <v>15.116015418335726</v>
      </c>
      <c r="K506" s="260">
        <f>W506/'Logistics record '!$AD$1</f>
        <v>0</v>
      </c>
      <c r="L506" s="260">
        <f>Y506/'Logistics record '!$AD$1</f>
        <v>0</v>
      </c>
      <c r="M506" s="260">
        <f>AF506/'Logistics record '!$AD$1</f>
        <v>0</v>
      </c>
      <c r="N506" s="260" t="str" cm="1">
        <f t="array" ref="N506">_xlfn.IFS(
    OR(UPPER(S506)="AIR", UPPER(S506)="CPN"), "AIR",
    UPPER(S506)="TC", "LOCAL",
    TRUE, "SEA"
)</f>
        <v>AIR</v>
      </c>
      <c r="O506" s="260">
        <f t="shared" si="36"/>
        <v>15.116015418335726</v>
      </c>
      <c r="P506" s="184" t="s">
        <v>937</v>
      </c>
      <c r="Q506" s="185">
        <v>108368356720</v>
      </c>
      <c r="R506" s="186">
        <v>46196</v>
      </c>
      <c r="S506" s="187" t="s">
        <v>928</v>
      </c>
      <c r="T506" s="188">
        <v>0.5</v>
      </c>
      <c r="U506" s="188"/>
      <c r="V506" s="189">
        <v>400000</v>
      </c>
      <c r="W506" s="190"/>
      <c r="X506" s="190"/>
      <c r="Y506" s="190"/>
      <c r="Z506" s="189">
        <f t="shared" si="44"/>
        <v>400000</v>
      </c>
      <c r="AA506" s="189">
        <v>0</v>
      </c>
      <c r="AB506" s="189">
        <f t="shared" si="41"/>
        <v>400000</v>
      </c>
      <c r="AC506" s="189"/>
      <c r="AD506" s="190"/>
      <c r="AE506" s="190"/>
      <c r="AF506" s="191">
        <f t="shared" si="42"/>
        <v>0</v>
      </c>
      <c r="AG506" s="190">
        <f t="shared" si="43"/>
        <v>400000</v>
      </c>
      <c r="AH506" s="190"/>
      <c r="AI506" s="192" t="str">
        <f>VLOOKUP(Q506,[3]Sheet1!B$11:G$1489,6,0)</f>
        <v>E11</v>
      </c>
      <c r="GK506" s="194"/>
      <c r="GL506" s="195"/>
      <c r="GM506" s="196"/>
      <c r="GN506" s="197"/>
      <c r="GO506" s="198"/>
      <c r="GP506" s="199"/>
      <c r="GQ506" s="200"/>
      <c r="GR506" s="201"/>
      <c r="GS506" s="60"/>
      <c r="GT506" s="202"/>
      <c r="GU506" s="202"/>
      <c r="GV506" s="202"/>
      <c r="GW506" s="202"/>
      <c r="GX506" s="203"/>
      <c r="HA506" s="194"/>
      <c r="HB506" s="195"/>
      <c r="HC506" s="196"/>
      <c r="HD506" s="197"/>
      <c r="HE506" s="198"/>
      <c r="HF506" s="199"/>
      <c r="HG506" s="200"/>
      <c r="HH506" s="201"/>
      <c r="HI506" s="60"/>
      <c r="HJ506" s="202"/>
      <c r="HK506" s="202"/>
      <c r="HL506" s="202"/>
      <c r="HM506" s="202"/>
      <c r="HN506" s="203"/>
    </row>
    <row r="507" spans="1:222" ht="16.5" customHeight="1">
      <c r="A507" s="181">
        <v>504</v>
      </c>
      <c r="B507" s="182">
        <v>530477344966</v>
      </c>
      <c r="C507" s="183" t="s">
        <v>2874</v>
      </c>
      <c r="D507" s="184" t="s">
        <v>938</v>
      </c>
      <c r="E507" s="184" t="str">
        <f t="shared" si="45"/>
        <v>Import</v>
      </c>
      <c r="F507" s="720" t="str" cm="1">
        <f t="array" ref="F507">_xlfn.IFS(
  OR(AI507="E11", AI507="E15"), "Raw materials",
  OR(AI507="E13", AI507="G13"), "Equipments + Toolings",
  TRUE, RIGHT(C507, 8)
)</f>
        <v>Raw materials</v>
      </c>
      <c r="G507" s="541" t="str" cm="1">
        <f t="array" ref="G507">IF(E507="Import",
  IFERROR(
    _xlfn.IFS(
      VLOOKUP(B507,[1]Material!F$5:U$90000,16,0)="LUC","Lucid",
      VLOOKUP(B507,[1]Material!F$5:U$90000,16,0)="FMC","FORD",
      OR(VLOOKUP(B507,[1]Material!F$5:U$90000,16,0)="PUR",VLOOKUP(B507,[1]Material!F$5:U$90000,16,0)="HLO"),"PURE",
      VLOOKUP(B507,[1]Material!F$5:U$90000,16,0)="AIC","AIC",
      OR(VLOOKUP(B507,[1]Material!F$5:U$90000,16,0)="AGI",VLOOKUP(B507,[1]Material!F$5:U$90000,16,0)="AGIGA"),"AGIGA",
      OR(LEFT(VLOOKUP(B507,[1]Material!F$5:U$90000,16,0),3)="EF-",VLOOKUP(B507,[1]Material!F$5:U$90000,16,0)="EFI"),"EFI",
      AND(ISNUMBER(VLOOKUP(B507,[1]Material!F$5:U$90000,16,0)),VLOOKUP(B507,[1]Material!F$5:U$90000,16,0)&gt;=100,VLOOKUP(B507,[1]Material!F$5:U$90000,16,0)&lt;=999,VLOOKUP(B507,[1]Material!F$5:U$90000,16,0)=INT(VLOOKUP(B507,[1]Material!F$5:U$90000,16,0))),"OEM",
      TRUE,""
    ),
    "không tìm thấy trong file Import"
  ),
  VLOOKUP(F507,'[2]Export shipment'!B:Y,24,0)
)</f>
        <v>PURE</v>
      </c>
      <c r="H507" s="184"/>
      <c r="I507" s="184"/>
      <c r="J507" s="260">
        <f>(V507+X507+AA507)/'Logistics record '!$AD$1</f>
        <v>15.116015418335726</v>
      </c>
      <c r="K507" s="260">
        <f>W507/'Logistics record '!$AD$1</f>
        <v>0</v>
      </c>
      <c r="L507" s="260">
        <f>Y507/'Logistics record '!$AD$1</f>
        <v>0</v>
      </c>
      <c r="M507" s="260">
        <f>AF507/'Logistics record '!$AD$1</f>
        <v>0</v>
      </c>
      <c r="N507" s="260" t="str" cm="1">
        <f t="array" ref="N507">_xlfn.IFS(
    OR(UPPER(S507)="AIR", UPPER(S507)="CPN"), "AIR",
    UPPER(S507)="TC", "LOCAL",
    TRUE, "SEA"
)</f>
        <v>AIR</v>
      </c>
      <c r="O507" s="260">
        <f t="shared" si="36"/>
        <v>15.116015418335726</v>
      </c>
      <c r="P507" s="184" t="s">
        <v>939</v>
      </c>
      <c r="Q507" s="185">
        <v>108368361510</v>
      </c>
      <c r="R507" s="186">
        <v>46196</v>
      </c>
      <c r="S507" s="187" t="s">
        <v>928</v>
      </c>
      <c r="T507" s="188">
        <v>8</v>
      </c>
      <c r="U507" s="188"/>
      <c r="V507" s="189">
        <v>400000</v>
      </c>
      <c r="W507" s="190"/>
      <c r="X507" s="190"/>
      <c r="Y507" s="190"/>
      <c r="Z507" s="189">
        <f t="shared" si="44"/>
        <v>400000</v>
      </c>
      <c r="AA507" s="189">
        <v>0</v>
      </c>
      <c r="AB507" s="189">
        <f t="shared" si="41"/>
        <v>400000</v>
      </c>
      <c r="AC507" s="189"/>
      <c r="AD507" s="190"/>
      <c r="AE507" s="190"/>
      <c r="AF507" s="191">
        <f t="shared" si="42"/>
        <v>0</v>
      </c>
      <c r="AG507" s="190">
        <f t="shared" si="43"/>
        <v>400000</v>
      </c>
      <c r="AH507" s="190"/>
      <c r="AI507" s="192" t="str">
        <f>VLOOKUP(Q507,[3]Sheet1!B$11:G$1489,6,0)</f>
        <v>E11</v>
      </c>
      <c r="GK507" s="194"/>
      <c r="GL507" s="195"/>
      <c r="GM507" s="196"/>
      <c r="GN507" s="197"/>
      <c r="GO507" s="198"/>
      <c r="GP507" s="199"/>
      <c r="GQ507" s="200"/>
      <c r="GR507" s="201"/>
      <c r="GS507" s="60"/>
      <c r="GT507" s="202"/>
      <c r="GU507" s="202"/>
      <c r="GV507" s="202"/>
      <c r="GW507" s="202"/>
      <c r="GX507" s="203"/>
      <c r="HA507" s="194"/>
      <c r="HB507" s="195"/>
      <c r="HC507" s="196"/>
      <c r="HD507" s="197"/>
      <c r="HE507" s="198"/>
      <c r="HF507" s="199"/>
      <c r="HG507" s="200"/>
      <c r="HH507" s="201"/>
      <c r="HI507" s="60"/>
      <c r="HJ507" s="202"/>
      <c r="HK507" s="202"/>
      <c r="HL507" s="202"/>
      <c r="HM507" s="202"/>
      <c r="HN507" s="203"/>
    </row>
    <row r="508" spans="1:222" ht="16.5" customHeight="1">
      <c r="A508" s="181">
        <v>505</v>
      </c>
      <c r="B508" s="182">
        <v>119209750328</v>
      </c>
      <c r="C508" s="183" t="s">
        <v>2875</v>
      </c>
      <c r="D508" s="184" t="s">
        <v>944</v>
      </c>
      <c r="E508" s="184" t="str">
        <f t="shared" si="45"/>
        <v>Import</v>
      </c>
      <c r="F508" s="720" t="str" cm="1">
        <f t="array" ref="F508">_xlfn.IFS(
  OR(AI508="E11", AI508="E15"), "Raw materials",
  OR(AI508="E13", AI508="G13"), "Equipments + Toolings",
  TRUE, RIGHT(C508, 8)
)</f>
        <v>Raw materials</v>
      </c>
      <c r="G508" s="541" t="str" cm="1">
        <f t="array" ref="G508">IF(E508="Import",
  IFERROR(
    _xlfn.IFS(
      VLOOKUP(B508,[1]Material!F$5:U$90000,16,0)="LUC","Lucid",
      VLOOKUP(B508,[1]Material!F$5:U$90000,16,0)="FMC","FORD",
      OR(VLOOKUP(B508,[1]Material!F$5:U$90000,16,0)="PUR",VLOOKUP(B508,[1]Material!F$5:U$90000,16,0)="HLO"),"PURE",
      VLOOKUP(B508,[1]Material!F$5:U$90000,16,0)="AIC","AIC",
      OR(VLOOKUP(B508,[1]Material!F$5:U$90000,16,0)="AGI",VLOOKUP(B508,[1]Material!F$5:U$90000,16,0)="AGIGA"),"AGIGA",
      OR(LEFT(VLOOKUP(B508,[1]Material!F$5:U$90000,16,0),3)="EF-",VLOOKUP(B508,[1]Material!F$5:U$90000,16,0)="EFI"),"EFI",
      AND(ISNUMBER(VLOOKUP(B508,[1]Material!F$5:U$90000,16,0)),VLOOKUP(B508,[1]Material!F$5:U$90000,16,0)&gt;=100,VLOOKUP(B508,[1]Material!F$5:U$90000,16,0)&lt;=999,VLOOKUP(B508,[1]Material!F$5:U$90000,16,0)=INT(VLOOKUP(B508,[1]Material!F$5:U$90000,16,0))),"OEM",
      TRUE,""
    ),
    "không tìm thấy trong file Import"
  ),
  VLOOKUP(F508,'[2]Export shipment'!B:Y,24,0)
)</f>
        <v>PURE</v>
      </c>
      <c r="H508" s="184"/>
      <c r="I508" s="184"/>
      <c r="J508" s="260">
        <f>(V508+X508+AA508)/'Logistics record '!$AD$1</f>
        <v>15.116015418335726</v>
      </c>
      <c r="K508" s="260">
        <f>W508/'Logistics record '!$AD$1</f>
        <v>0</v>
      </c>
      <c r="L508" s="260">
        <f>Y508/'Logistics record '!$AD$1</f>
        <v>0</v>
      </c>
      <c r="M508" s="260">
        <f>AF508/'Logistics record '!$AD$1</f>
        <v>0</v>
      </c>
      <c r="N508" s="260" t="str" cm="1">
        <f t="array" ref="N508">_xlfn.IFS(
    OR(UPPER(S508)="AIR", UPPER(S508)="CPN"), "AIR",
    UPPER(S508)="TC", "LOCAL",
    TRUE, "SEA"
)</f>
        <v>AIR</v>
      </c>
      <c r="O508" s="260">
        <f t="shared" si="36"/>
        <v>15.116015418335726</v>
      </c>
      <c r="P508" s="184" t="s">
        <v>935</v>
      </c>
      <c r="Q508" s="185">
        <v>108368440240</v>
      </c>
      <c r="R508" s="186">
        <v>46196</v>
      </c>
      <c r="S508" s="187" t="s">
        <v>928</v>
      </c>
      <c r="T508" s="188">
        <v>5.8</v>
      </c>
      <c r="U508" s="188"/>
      <c r="V508" s="189">
        <v>400000</v>
      </c>
      <c r="W508" s="190"/>
      <c r="X508" s="190"/>
      <c r="Y508" s="190"/>
      <c r="Z508" s="189">
        <f t="shared" si="44"/>
        <v>400000</v>
      </c>
      <c r="AA508" s="189">
        <v>0</v>
      </c>
      <c r="AB508" s="189">
        <f t="shared" si="41"/>
        <v>400000</v>
      </c>
      <c r="AC508" s="189"/>
      <c r="AD508" s="190"/>
      <c r="AE508" s="190"/>
      <c r="AF508" s="191">
        <f t="shared" si="42"/>
        <v>0</v>
      </c>
      <c r="AG508" s="190">
        <f t="shared" si="43"/>
        <v>400000</v>
      </c>
      <c r="AH508" s="190"/>
      <c r="AI508" s="192" t="str">
        <f>VLOOKUP(Q508,[3]Sheet1!B$11:G$1489,6,0)</f>
        <v>E11</v>
      </c>
      <c r="GK508" s="194"/>
      <c r="GL508" s="195"/>
      <c r="GM508" s="196"/>
      <c r="GN508" s="197"/>
      <c r="GO508" s="198"/>
      <c r="GP508" s="199"/>
      <c r="GQ508" s="200"/>
      <c r="GR508" s="201"/>
      <c r="GS508" s="60"/>
      <c r="GT508" s="202"/>
      <c r="GU508" s="202"/>
      <c r="GV508" s="202"/>
      <c r="GW508" s="202"/>
      <c r="GX508" s="203"/>
      <c r="HA508" s="194"/>
      <c r="HB508" s="195"/>
      <c r="HC508" s="196"/>
      <c r="HD508" s="197"/>
      <c r="HE508" s="198"/>
      <c r="HF508" s="199"/>
      <c r="HG508" s="200"/>
      <c r="HH508" s="201"/>
      <c r="HI508" s="60"/>
      <c r="HJ508" s="202"/>
      <c r="HK508" s="202"/>
      <c r="HL508" s="202"/>
      <c r="HM508" s="202"/>
      <c r="HN508" s="203"/>
    </row>
    <row r="509" spans="1:222" ht="16.5" customHeight="1">
      <c r="A509" s="181">
        <v>506</v>
      </c>
      <c r="B509" s="182">
        <v>872817900426</v>
      </c>
      <c r="C509" s="183" t="s">
        <v>2876</v>
      </c>
      <c r="D509" s="184" t="s">
        <v>2877</v>
      </c>
      <c r="E509" s="184" t="str">
        <f t="shared" si="45"/>
        <v>Import</v>
      </c>
      <c r="F509" s="720" t="str" cm="1">
        <f t="array" ref="F509">_xlfn.IFS(
  OR(AI509="E11", AI509="E15"), "Raw materials",
  OR(AI509="E13", AI509="G13"), "Equipments + Toolings",
  TRUE, RIGHT(C509, 8)
)</f>
        <v>Raw materials</v>
      </c>
      <c r="G509" s="541" t="str" cm="1">
        <f t="array" ref="G509">IF(E509="Import",
  IFERROR(
    _xlfn.IFS(
      VLOOKUP(B509,[1]Material!F$5:U$90000,16,0)="LUC","Lucid",
      VLOOKUP(B509,[1]Material!F$5:U$90000,16,0)="FMC","FORD",
      OR(VLOOKUP(B509,[1]Material!F$5:U$90000,16,0)="PUR",VLOOKUP(B509,[1]Material!F$5:U$90000,16,0)="HLO"),"PURE",
      VLOOKUP(B509,[1]Material!F$5:U$90000,16,0)="AIC","AIC",
      OR(VLOOKUP(B509,[1]Material!F$5:U$90000,16,0)="AGI",VLOOKUP(B509,[1]Material!F$5:U$90000,16,0)="AGIGA"),"AGIGA",
      OR(LEFT(VLOOKUP(B509,[1]Material!F$5:U$90000,16,0),3)="EF-",VLOOKUP(B509,[1]Material!F$5:U$90000,16,0)="EFI"),"EFI",
      AND(ISNUMBER(VLOOKUP(B509,[1]Material!F$5:U$90000,16,0)),VLOOKUP(B509,[1]Material!F$5:U$90000,16,0)&gt;=100,VLOOKUP(B509,[1]Material!F$5:U$90000,16,0)&lt;=999,VLOOKUP(B509,[1]Material!F$5:U$90000,16,0)=INT(VLOOKUP(B509,[1]Material!F$5:U$90000,16,0))),"OEM",
      TRUE,""
    ),
    "không tìm thấy trong file Import"
  ),
  VLOOKUP(F509,'[2]Export shipment'!B:Y,24,0)
)</f>
        <v>OEM</v>
      </c>
      <c r="H509" s="184"/>
      <c r="I509" s="184"/>
      <c r="J509" s="260">
        <f>(V509+X509+AA509)/'Logistics record '!$AD$1</f>
        <v>15.116015418335726</v>
      </c>
      <c r="K509" s="260">
        <f>W509/'Logistics record '!$AD$1</f>
        <v>0</v>
      </c>
      <c r="L509" s="260">
        <f>Y509/'Logistics record '!$AD$1</f>
        <v>0</v>
      </c>
      <c r="M509" s="260">
        <f>AF509/'Logistics record '!$AD$1</f>
        <v>0</v>
      </c>
      <c r="N509" s="260" t="str" cm="1">
        <f t="array" ref="N509">_xlfn.IFS(
    OR(UPPER(S509)="AIR", UPPER(S509)="CPN"), "AIR",
    UPPER(S509)="TC", "LOCAL",
    TRUE, "SEA"
)</f>
        <v>AIR</v>
      </c>
      <c r="O509" s="260">
        <f t="shared" si="36"/>
        <v>15.116015418335726</v>
      </c>
      <c r="P509" s="184" t="s">
        <v>949</v>
      </c>
      <c r="Q509" s="185">
        <v>108368452250</v>
      </c>
      <c r="R509" s="186">
        <v>46196</v>
      </c>
      <c r="S509" s="187" t="s">
        <v>928</v>
      </c>
      <c r="T509" s="188">
        <v>1</v>
      </c>
      <c r="U509" s="188"/>
      <c r="V509" s="189">
        <v>400000</v>
      </c>
      <c r="W509" s="190"/>
      <c r="X509" s="190"/>
      <c r="Y509" s="190"/>
      <c r="Z509" s="189">
        <f t="shared" si="44"/>
        <v>400000</v>
      </c>
      <c r="AA509" s="189">
        <v>0</v>
      </c>
      <c r="AB509" s="189">
        <f t="shared" si="41"/>
        <v>400000</v>
      </c>
      <c r="AC509" s="189"/>
      <c r="AD509" s="190"/>
      <c r="AE509" s="190"/>
      <c r="AF509" s="191">
        <f t="shared" si="42"/>
        <v>0</v>
      </c>
      <c r="AG509" s="190">
        <f t="shared" si="43"/>
        <v>400000</v>
      </c>
      <c r="AH509" s="190"/>
      <c r="AI509" s="192" t="str">
        <f>VLOOKUP(Q509,[3]Sheet1!B$11:G$1489,6,0)</f>
        <v>E11</v>
      </c>
      <c r="GK509" s="194"/>
      <c r="GL509" s="195"/>
      <c r="GM509" s="196"/>
      <c r="GN509" s="197"/>
      <c r="GO509" s="198"/>
      <c r="GP509" s="199"/>
      <c r="GQ509" s="200"/>
      <c r="GR509" s="201"/>
      <c r="GS509" s="60"/>
      <c r="GT509" s="202"/>
      <c r="GU509" s="202"/>
      <c r="GV509" s="202"/>
      <c r="GW509" s="202"/>
      <c r="GX509" s="203"/>
      <c r="HA509" s="194"/>
      <c r="HB509" s="195"/>
      <c r="HC509" s="196"/>
      <c r="HD509" s="197"/>
      <c r="HE509" s="198"/>
      <c r="HF509" s="199"/>
      <c r="HG509" s="200"/>
      <c r="HH509" s="201"/>
      <c r="HI509" s="60"/>
      <c r="HJ509" s="202"/>
      <c r="HK509" s="202"/>
      <c r="HL509" s="202"/>
      <c r="HM509" s="202"/>
      <c r="HN509" s="203"/>
    </row>
    <row r="510" spans="1:222" ht="16.5" customHeight="1">
      <c r="A510" s="181">
        <v>507</v>
      </c>
      <c r="B510" s="182">
        <v>525688630788</v>
      </c>
      <c r="C510" s="183" t="s">
        <v>2878</v>
      </c>
      <c r="D510" s="184" t="s">
        <v>945</v>
      </c>
      <c r="E510" s="184" t="str">
        <f t="shared" si="45"/>
        <v>Import</v>
      </c>
      <c r="F510" s="720" t="str" cm="1">
        <f t="array" ref="F510">_xlfn.IFS(
  OR(AI510="E11", AI510="E15"), "Raw materials",
  OR(AI510="E13", AI510="G13"), "Equipments + Toolings",
  TRUE, RIGHT(C510, 8)
)</f>
        <v>Raw materials</v>
      </c>
      <c r="G510" s="541" t="str" cm="1">
        <f t="array" ref="G510">IF(E510="Import",
  IFERROR(
    _xlfn.IFS(
      VLOOKUP(B510,[1]Material!F$5:U$90000,16,0)="LUC","Lucid",
      VLOOKUP(B510,[1]Material!F$5:U$90000,16,0)="FMC","FORD",
      OR(VLOOKUP(B510,[1]Material!F$5:U$90000,16,0)="PUR",VLOOKUP(B510,[1]Material!F$5:U$90000,16,0)="HLO"),"PURE",
      VLOOKUP(B510,[1]Material!F$5:U$90000,16,0)="AIC","AIC",
      OR(VLOOKUP(B510,[1]Material!F$5:U$90000,16,0)="AGI",VLOOKUP(B510,[1]Material!F$5:U$90000,16,0)="AGIGA"),"AGIGA",
      OR(LEFT(VLOOKUP(B510,[1]Material!F$5:U$90000,16,0),3)="EF-",VLOOKUP(B510,[1]Material!F$5:U$90000,16,0)="EFI"),"EFI",
      AND(ISNUMBER(VLOOKUP(B510,[1]Material!F$5:U$90000,16,0)),VLOOKUP(B510,[1]Material!F$5:U$90000,16,0)&gt;=100,VLOOKUP(B510,[1]Material!F$5:U$90000,16,0)&lt;=999,VLOOKUP(B510,[1]Material!F$5:U$90000,16,0)=INT(VLOOKUP(B510,[1]Material!F$5:U$90000,16,0))),"OEM",
      TRUE,""
    ),
    "không tìm thấy trong file Import"
  ),
  VLOOKUP(F510,'[2]Export shipment'!B:Y,24,0)
)</f>
        <v>PURE</v>
      </c>
      <c r="H510" s="184"/>
      <c r="I510" s="184"/>
      <c r="J510" s="260">
        <f>(V510+X510+AA510)/'Logistics record '!$AD$1</f>
        <v>15.116015418335726</v>
      </c>
      <c r="K510" s="260">
        <f>W510/'Logistics record '!$AD$1</f>
        <v>0</v>
      </c>
      <c r="L510" s="260">
        <f>Y510/'Logistics record '!$AD$1</f>
        <v>0</v>
      </c>
      <c r="M510" s="260">
        <f>AF510/'Logistics record '!$AD$1</f>
        <v>0</v>
      </c>
      <c r="N510" s="260" t="str" cm="1">
        <f t="array" ref="N510">_xlfn.IFS(
    OR(UPPER(S510)="AIR", UPPER(S510)="CPN"), "AIR",
    UPPER(S510)="TC", "LOCAL",
    TRUE, "SEA"
)</f>
        <v>AIR</v>
      </c>
      <c r="O510" s="260">
        <f t="shared" si="36"/>
        <v>15.116015418335726</v>
      </c>
      <c r="P510" s="184" t="s">
        <v>946</v>
      </c>
      <c r="Q510" s="185">
        <v>108368457850</v>
      </c>
      <c r="R510" s="186">
        <v>46196</v>
      </c>
      <c r="S510" s="187" t="s">
        <v>928</v>
      </c>
      <c r="T510" s="188">
        <v>2.4</v>
      </c>
      <c r="U510" s="188"/>
      <c r="V510" s="189">
        <v>400000</v>
      </c>
      <c r="W510" s="190"/>
      <c r="X510" s="190"/>
      <c r="Y510" s="190"/>
      <c r="Z510" s="189">
        <f t="shared" si="44"/>
        <v>400000</v>
      </c>
      <c r="AA510" s="189">
        <v>0</v>
      </c>
      <c r="AB510" s="189">
        <f t="shared" si="41"/>
        <v>400000</v>
      </c>
      <c r="AC510" s="189"/>
      <c r="AD510" s="190"/>
      <c r="AE510" s="190"/>
      <c r="AF510" s="191">
        <f t="shared" si="42"/>
        <v>0</v>
      </c>
      <c r="AG510" s="190">
        <f t="shared" si="43"/>
        <v>400000</v>
      </c>
      <c r="AH510" s="190"/>
      <c r="AI510" s="192" t="str">
        <f>VLOOKUP(Q510,[3]Sheet1!B$11:G$1489,6,0)</f>
        <v>E11</v>
      </c>
      <c r="GK510" s="194"/>
      <c r="GL510" s="195"/>
      <c r="GM510" s="196"/>
      <c r="GN510" s="197"/>
      <c r="GO510" s="198"/>
      <c r="GP510" s="199"/>
      <c r="GQ510" s="200"/>
      <c r="GR510" s="201"/>
      <c r="GS510" s="60"/>
      <c r="GT510" s="202"/>
      <c r="GU510" s="202"/>
      <c r="GV510" s="202"/>
      <c r="GW510" s="202"/>
      <c r="GX510" s="203"/>
      <c r="HA510" s="194"/>
      <c r="HB510" s="195"/>
      <c r="HC510" s="196"/>
      <c r="HD510" s="197"/>
      <c r="HE510" s="198"/>
      <c r="HF510" s="199"/>
      <c r="HG510" s="200"/>
      <c r="HH510" s="201"/>
      <c r="HI510" s="60"/>
      <c r="HJ510" s="202"/>
      <c r="HK510" s="202"/>
      <c r="HL510" s="202"/>
      <c r="HM510" s="202"/>
      <c r="HN510" s="203"/>
    </row>
    <row r="511" spans="1:222" ht="16.5" customHeight="1">
      <c r="A511" s="181">
        <v>508</v>
      </c>
      <c r="B511" s="182">
        <v>510007371283</v>
      </c>
      <c r="C511" s="183" t="s">
        <v>2879</v>
      </c>
      <c r="D511" s="184" t="s">
        <v>2880</v>
      </c>
      <c r="E511" s="184" t="str">
        <f t="shared" si="45"/>
        <v>Import</v>
      </c>
      <c r="F511" s="720" t="str" cm="1">
        <f t="array" ref="F511">_xlfn.IFS(
  OR(AI511="E11", AI511="E15"), "Raw materials",
  OR(AI511="E13", AI511="G13"), "Equipments + Toolings",
  TRUE, RIGHT(C511, 8)
)</f>
        <v>Raw materials</v>
      </c>
      <c r="G511" s="541" t="str" cm="1">
        <f t="array" ref="G511">IF(E511="Import",
  IFERROR(
    _xlfn.IFS(
      VLOOKUP(B511,[1]Material!F$5:U$90000,16,0)="LUC","Lucid",
      VLOOKUP(B511,[1]Material!F$5:U$90000,16,0)="FMC","FORD",
      OR(VLOOKUP(B511,[1]Material!F$5:U$90000,16,0)="PUR",VLOOKUP(B511,[1]Material!F$5:U$90000,16,0)="HLO"),"PURE",
      VLOOKUP(B511,[1]Material!F$5:U$90000,16,0)="AIC","AIC",
      OR(VLOOKUP(B511,[1]Material!F$5:U$90000,16,0)="AGI",VLOOKUP(B511,[1]Material!F$5:U$90000,16,0)="AGIGA"),"AGIGA",
      OR(LEFT(VLOOKUP(B511,[1]Material!F$5:U$90000,16,0),3)="EF-",VLOOKUP(B511,[1]Material!F$5:U$90000,16,0)="EFI"),"EFI",
      AND(ISNUMBER(VLOOKUP(B511,[1]Material!F$5:U$90000,16,0)),VLOOKUP(B511,[1]Material!F$5:U$90000,16,0)&gt;=100,VLOOKUP(B511,[1]Material!F$5:U$90000,16,0)&lt;=999,VLOOKUP(B511,[1]Material!F$5:U$90000,16,0)=INT(VLOOKUP(B511,[1]Material!F$5:U$90000,16,0))),"OEM",
      TRUE,""
    ),
    "không tìm thấy trong file Import"
  ),
  VLOOKUP(F511,'[2]Export shipment'!B:Y,24,0)
)</f>
        <v>OEM</v>
      </c>
      <c r="H511" s="184"/>
      <c r="I511" s="184"/>
      <c r="J511" s="260">
        <f>(V511+X511+AA511)/'Logistics record '!$AD$1</f>
        <v>15.116015418335726</v>
      </c>
      <c r="K511" s="260">
        <f>W511/'Logistics record '!$AD$1</f>
        <v>0</v>
      </c>
      <c r="L511" s="260">
        <f>Y511/'Logistics record '!$AD$1</f>
        <v>0</v>
      </c>
      <c r="M511" s="260">
        <f>AF511/'Logistics record '!$AD$1</f>
        <v>0</v>
      </c>
      <c r="N511" s="260" t="str" cm="1">
        <f t="array" ref="N511">_xlfn.IFS(
    OR(UPPER(S511)="AIR", UPPER(S511)="CPN"), "AIR",
    UPPER(S511)="TC", "LOCAL",
    TRUE, "SEA"
)</f>
        <v>AIR</v>
      </c>
      <c r="O511" s="260">
        <f t="shared" si="36"/>
        <v>15.116015418335726</v>
      </c>
      <c r="P511" s="184" t="s">
        <v>927</v>
      </c>
      <c r="Q511" s="185">
        <v>108368584000</v>
      </c>
      <c r="R511" s="186">
        <v>46196</v>
      </c>
      <c r="S511" s="187" t="s">
        <v>928</v>
      </c>
      <c r="T511" s="188">
        <v>48.9</v>
      </c>
      <c r="U511" s="188"/>
      <c r="V511" s="189">
        <v>400000</v>
      </c>
      <c r="W511" s="190"/>
      <c r="X511" s="190"/>
      <c r="Y511" s="190"/>
      <c r="Z511" s="189">
        <f t="shared" si="44"/>
        <v>400000</v>
      </c>
      <c r="AA511" s="189">
        <v>0</v>
      </c>
      <c r="AB511" s="189">
        <f t="shared" si="41"/>
        <v>400000</v>
      </c>
      <c r="AC511" s="189"/>
      <c r="AD511" s="190"/>
      <c r="AE511" s="190"/>
      <c r="AF511" s="191">
        <f t="shared" si="42"/>
        <v>0</v>
      </c>
      <c r="AG511" s="190">
        <f t="shared" si="43"/>
        <v>400000</v>
      </c>
      <c r="AH511" s="190"/>
      <c r="AI511" s="192" t="str">
        <f>VLOOKUP(Q511,[3]Sheet1!B$11:G$1489,6,0)</f>
        <v>E11</v>
      </c>
      <c r="GK511" s="194"/>
      <c r="GL511" s="195"/>
      <c r="GM511" s="196"/>
      <c r="GN511" s="197"/>
      <c r="GO511" s="198"/>
      <c r="GP511" s="199"/>
      <c r="GQ511" s="200"/>
      <c r="GR511" s="201"/>
      <c r="GS511" s="60"/>
      <c r="GT511" s="202"/>
      <c r="GU511" s="202"/>
      <c r="GV511" s="202"/>
      <c r="GW511" s="202"/>
      <c r="GX511" s="203"/>
      <c r="HA511" s="194"/>
      <c r="HB511" s="195"/>
      <c r="HC511" s="196"/>
      <c r="HD511" s="197"/>
      <c r="HE511" s="198"/>
      <c r="HF511" s="199"/>
      <c r="HG511" s="200"/>
      <c r="HH511" s="201"/>
      <c r="HI511" s="60"/>
      <c r="HJ511" s="202"/>
      <c r="HK511" s="202"/>
      <c r="HL511" s="202"/>
      <c r="HM511" s="202"/>
      <c r="HN511" s="203"/>
    </row>
    <row r="512" spans="1:222" ht="16.5" customHeight="1">
      <c r="A512" s="181">
        <v>509</v>
      </c>
      <c r="B512" s="182">
        <v>510007371283</v>
      </c>
      <c r="C512" s="183" t="s">
        <v>2879</v>
      </c>
      <c r="D512" s="184" t="s">
        <v>2880</v>
      </c>
      <c r="E512" s="184" t="str">
        <f t="shared" si="45"/>
        <v>Import</v>
      </c>
      <c r="F512" s="720" t="str" cm="1">
        <f t="array" ref="F512">_xlfn.IFS(
  OR(AI512="E11", AI512="E15"), "Raw materials",
  OR(AI512="E13", AI512="G13"), "Equipments + Toolings",
  TRUE, RIGHT(C512, 8)
)</f>
        <v>Raw materials</v>
      </c>
      <c r="G512" s="541" t="str" cm="1">
        <f t="array" ref="G512">IF(E512="Import",
  IFERROR(
    _xlfn.IFS(
      VLOOKUP(B512,[1]Material!F$5:U$90000,16,0)="LUC","Lucid",
      VLOOKUP(B512,[1]Material!F$5:U$90000,16,0)="FMC","FORD",
      OR(VLOOKUP(B512,[1]Material!F$5:U$90000,16,0)="PUR",VLOOKUP(B512,[1]Material!F$5:U$90000,16,0)="HLO"),"PURE",
      VLOOKUP(B512,[1]Material!F$5:U$90000,16,0)="AIC","AIC",
      OR(VLOOKUP(B512,[1]Material!F$5:U$90000,16,0)="AGI",VLOOKUP(B512,[1]Material!F$5:U$90000,16,0)="AGIGA"),"AGIGA",
      OR(LEFT(VLOOKUP(B512,[1]Material!F$5:U$90000,16,0),3)="EF-",VLOOKUP(B512,[1]Material!F$5:U$90000,16,0)="EFI"),"EFI",
      AND(ISNUMBER(VLOOKUP(B512,[1]Material!F$5:U$90000,16,0)),VLOOKUP(B512,[1]Material!F$5:U$90000,16,0)&gt;=100,VLOOKUP(B512,[1]Material!F$5:U$90000,16,0)&lt;=999,VLOOKUP(B512,[1]Material!F$5:U$90000,16,0)=INT(VLOOKUP(B512,[1]Material!F$5:U$90000,16,0))),"OEM",
      TRUE,""
    ),
    "không tìm thấy trong file Import"
  ),
  VLOOKUP(F512,'[2]Export shipment'!B:Y,24,0)
)</f>
        <v>OEM</v>
      </c>
      <c r="H512" s="184"/>
      <c r="I512" s="184"/>
      <c r="J512" s="260">
        <f>(V512+X512+AA512)/'Logistics record '!$AD$1</f>
        <v>11.337011563751796</v>
      </c>
      <c r="K512" s="260">
        <f>W512/'Logistics record '!$AD$1</f>
        <v>0</v>
      </c>
      <c r="L512" s="260">
        <f>Y512/'Logistics record '!$AD$1</f>
        <v>0</v>
      </c>
      <c r="M512" s="260">
        <f>AF512/'Logistics record '!$AD$1</f>
        <v>0</v>
      </c>
      <c r="N512" s="260" t="str" cm="1">
        <f t="array" ref="N512">_xlfn.IFS(
    OR(UPPER(S512)="AIR", UPPER(S512)="CPN"), "AIR",
    UPPER(S512)="TC", "LOCAL",
    TRUE, "SEA"
)</f>
        <v>AIR</v>
      </c>
      <c r="O512" s="260">
        <f t="shared" si="36"/>
        <v>11.337011563751796</v>
      </c>
      <c r="P512" s="184" t="s">
        <v>927</v>
      </c>
      <c r="Q512" s="185">
        <v>108368587500</v>
      </c>
      <c r="R512" s="186">
        <v>46196</v>
      </c>
      <c r="S512" s="187" t="s">
        <v>928</v>
      </c>
      <c r="T512" s="188">
        <v>48.9</v>
      </c>
      <c r="U512" s="188"/>
      <c r="V512" s="189">
        <v>300000</v>
      </c>
      <c r="W512" s="190"/>
      <c r="X512" s="190"/>
      <c r="Y512" s="190"/>
      <c r="Z512" s="189">
        <f t="shared" si="44"/>
        <v>300000</v>
      </c>
      <c r="AA512" s="189">
        <v>0</v>
      </c>
      <c r="AB512" s="189">
        <f t="shared" si="41"/>
        <v>300000</v>
      </c>
      <c r="AC512" s="189"/>
      <c r="AD512" s="190"/>
      <c r="AE512" s="190"/>
      <c r="AF512" s="191">
        <f t="shared" si="42"/>
        <v>0</v>
      </c>
      <c r="AG512" s="190">
        <f t="shared" si="43"/>
        <v>300000</v>
      </c>
      <c r="AH512" s="190"/>
      <c r="AI512" s="192" t="str">
        <f>VLOOKUP(Q512,[3]Sheet1!B$11:G$1489,6,0)</f>
        <v>E11</v>
      </c>
      <c r="GK512" s="194"/>
      <c r="GL512" s="195"/>
      <c r="GM512" s="196"/>
      <c r="GN512" s="197"/>
      <c r="GO512" s="198"/>
      <c r="GP512" s="199"/>
      <c r="GQ512" s="200"/>
      <c r="GR512" s="201"/>
      <c r="GS512" s="60"/>
      <c r="GT512" s="202"/>
      <c r="GU512" s="202"/>
      <c r="GV512" s="202"/>
      <c r="GW512" s="202"/>
      <c r="GX512" s="203"/>
      <c r="HA512" s="194"/>
      <c r="HB512" s="195"/>
      <c r="HC512" s="196"/>
      <c r="HD512" s="197"/>
      <c r="HE512" s="198"/>
      <c r="HF512" s="199"/>
      <c r="HG512" s="200"/>
      <c r="HH512" s="201"/>
      <c r="HI512" s="60"/>
      <c r="HJ512" s="202"/>
      <c r="HK512" s="202"/>
      <c r="HL512" s="202"/>
      <c r="HM512" s="202"/>
      <c r="HN512" s="203"/>
    </row>
    <row r="513" spans="1:222" ht="16.5" customHeight="1">
      <c r="A513" s="181">
        <v>510</v>
      </c>
      <c r="B513" s="182">
        <v>873153886387</v>
      </c>
      <c r="C513" s="183" t="s">
        <v>2592</v>
      </c>
      <c r="D513" s="184" t="s">
        <v>2881</v>
      </c>
      <c r="E513" s="184" t="str">
        <f t="shared" si="45"/>
        <v>Import</v>
      </c>
      <c r="F513" s="720" t="str" cm="1">
        <f t="array" ref="F513">_xlfn.IFS(
  OR(AI513="E11", AI513="E15"), "Raw materials",
  OR(AI513="E13", AI513="G13"), "Equipments + Toolings",
  TRUE, RIGHT(C513, 8)
)</f>
        <v>Raw materials</v>
      </c>
      <c r="G513" s="541" t="str" cm="1">
        <f t="array" ref="G513">IF(E513="Import",
  IFERROR(
    _xlfn.IFS(
      VLOOKUP(B513,[1]Material!F$5:U$90000,16,0)="LUC","Lucid",
      VLOOKUP(B513,[1]Material!F$5:U$90000,16,0)="FMC","FORD",
      OR(VLOOKUP(B513,[1]Material!F$5:U$90000,16,0)="PUR",VLOOKUP(B513,[1]Material!F$5:U$90000,16,0)="HLO"),"PURE",
      VLOOKUP(B513,[1]Material!F$5:U$90000,16,0)="AIC","AIC",
      OR(VLOOKUP(B513,[1]Material!F$5:U$90000,16,0)="AGI",VLOOKUP(B513,[1]Material!F$5:U$90000,16,0)="AGIGA"),"AGIGA",
      OR(LEFT(VLOOKUP(B513,[1]Material!F$5:U$90000,16,0),3)="EF-",VLOOKUP(B513,[1]Material!F$5:U$90000,16,0)="EFI"),"EFI",
      AND(ISNUMBER(VLOOKUP(B513,[1]Material!F$5:U$90000,16,0)),VLOOKUP(B513,[1]Material!F$5:U$90000,16,0)&gt;=100,VLOOKUP(B513,[1]Material!F$5:U$90000,16,0)&lt;=999,VLOOKUP(B513,[1]Material!F$5:U$90000,16,0)=INT(VLOOKUP(B513,[1]Material!F$5:U$90000,16,0))),"OEM",
      TRUE,""
    ),
    "không tìm thấy trong file Import"
  ),
  VLOOKUP(F513,'[2]Export shipment'!B:Y,24,0)
)</f>
        <v>PURE</v>
      </c>
      <c r="H513" s="184"/>
      <c r="I513" s="184"/>
      <c r="J513" s="260">
        <f>(V513+X513+AA513)/'Logistics record '!$AD$1</f>
        <v>15.116015418335726</v>
      </c>
      <c r="K513" s="260">
        <f>W513/'Logistics record '!$AD$1</f>
        <v>0</v>
      </c>
      <c r="L513" s="260">
        <f>Y513/'Logistics record '!$AD$1</f>
        <v>0</v>
      </c>
      <c r="M513" s="260">
        <f>AF513/'Logistics record '!$AD$1</f>
        <v>0</v>
      </c>
      <c r="N513" s="260" t="str" cm="1">
        <f t="array" ref="N513">_xlfn.IFS(
    OR(UPPER(S513)="AIR", UPPER(S513)="CPN"), "AIR",
    UPPER(S513)="TC", "LOCAL",
    TRUE, "SEA"
)</f>
        <v>AIR</v>
      </c>
      <c r="O513" s="260">
        <f t="shared" si="36"/>
        <v>15.116015418335726</v>
      </c>
      <c r="P513" s="184" t="s">
        <v>935</v>
      </c>
      <c r="Q513" s="185">
        <v>108368596230</v>
      </c>
      <c r="R513" s="186">
        <v>46196</v>
      </c>
      <c r="S513" s="187" t="s">
        <v>928</v>
      </c>
      <c r="T513" s="188">
        <v>0.5</v>
      </c>
      <c r="U513" s="188"/>
      <c r="V513" s="189">
        <v>400000</v>
      </c>
      <c r="W513" s="190"/>
      <c r="X513" s="190"/>
      <c r="Y513" s="190"/>
      <c r="Z513" s="189">
        <f t="shared" si="44"/>
        <v>400000</v>
      </c>
      <c r="AA513" s="189">
        <v>0</v>
      </c>
      <c r="AB513" s="189">
        <f t="shared" si="41"/>
        <v>400000</v>
      </c>
      <c r="AC513" s="189"/>
      <c r="AD513" s="190"/>
      <c r="AE513" s="190"/>
      <c r="AF513" s="191">
        <f t="shared" ref="AF513:AF576" si="46">+SUM(AC513:AE513)</f>
        <v>0</v>
      </c>
      <c r="AG513" s="190">
        <f t="shared" ref="AG513:AG576" si="47">+AF513+AB513</f>
        <v>400000</v>
      </c>
      <c r="AH513" s="190"/>
      <c r="AI513" s="192" t="str">
        <f>VLOOKUP(Q513,[3]Sheet1!B$11:G$1489,6,0)</f>
        <v>E11</v>
      </c>
      <c r="GK513" s="194"/>
      <c r="GL513" s="195"/>
      <c r="GM513" s="196"/>
      <c r="GN513" s="197"/>
      <c r="GO513" s="198"/>
      <c r="GP513" s="199"/>
      <c r="GQ513" s="200"/>
      <c r="GR513" s="201"/>
      <c r="GS513" s="60"/>
      <c r="GT513" s="202"/>
      <c r="GU513" s="202"/>
      <c r="GV513" s="202"/>
      <c r="GW513" s="202"/>
      <c r="GX513" s="203"/>
      <c r="HA513" s="194"/>
      <c r="HB513" s="195"/>
      <c r="HC513" s="196"/>
      <c r="HD513" s="197"/>
      <c r="HE513" s="198"/>
      <c r="HF513" s="199"/>
      <c r="HG513" s="200"/>
      <c r="HH513" s="201"/>
      <c r="HI513" s="60"/>
      <c r="HJ513" s="202"/>
      <c r="HK513" s="202"/>
      <c r="HL513" s="202"/>
      <c r="HM513" s="202"/>
      <c r="HN513" s="203"/>
    </row>
    <row r="514" spans="1:222" ht="16.5" customHeight="1">
      <c r="A514" s="181">
        <v>511</v>
      </c>
      <c r="B514" s="182">
        <v>873287538252</v>
      </c>
      <c r="C514" s="183" t="s">
        <v>2882</v>
      </c>
      <c r="D514" s="184" t="s">
        <v>2877</v>
      </c>
      <c r="E514" s="184" t="str">
        <f t="shared" si="45"/>
        <v>Import</v>
      </c>
      <c r="F514" s="720" t="str" cm="1">
        <f t="array" ref="F514">_xlfn.IFS(
  OR(AI514="E11", AI514="E15"), "Raw materials",
  OR(AI514="E13", AI514="G13"), "Equipments + Toolings",
  TRUE, RIGHT(C514, 8)
)</f>
        <v>Raw materials</v>
      </c>
      <c r="G514" s="541" t="str" cm="1">
        <f t="array" ref="G514">IF(E514="Import",
  IFERROR(
    _xlfn.IFS(
      VLOOKUP(B514,[1]Material!F$5:U$90000,16,0)="LUC","Lucid",
      VLOOKUP(B514,[1]Material!F$5:U$90000,16,0)="FMC","FORD",
      OR(VLOOKUP(B514,[1]Material!F$5:U$90000,16,0)="PUR",VLOOKUP(B514,[1]Material!F$5:U$90000,16,0)="HLO"),"PURE",
      VLOOKUP(B514,[1]Material!F$5:U$90000,16,0)="AIC","AIC",
      OR(VLOOKUP(B514,[1]Material!F$5:U$90000,16,0)="AGI",VLOOKUP(B514,[1]Material!F$5:U$90000,16,0)="AGIGA"),"AGIGA",
      OR(LEFT(VLOOKUP(B514,[1]Material!F$5:U$90000,16,0),3)="EF-",VLOOKUP(B514,[1]Material!F$5:U$90000,16,0)="EFI"),"EFI",
      AND(ISNUMBER(VLOOKUP(B514,[1]Material!F$5:U$90000,16,0)),VLOOKUP(B514,[1]Material!F$5:U$90000,16,0)&gt;=100,VLOOKUP(B514,[1]Material!F$5:U$90000,16,0)&lt;=999,VLOOKUP(B514,[1]Material!F$5:U$90000,16,0)=INT(VLOOKUP(B514,[1]Material!F$5:U$90000,16,0))),"OEM",
      TRUE,""
    ),
    "không tìm thấy trong file Import"
  ),
  VLOOKUP(F514,'[2]Export shipment'!B:Y,24,0)
)</f>
        <v>OEM</v>
      </c>
      <c r="H514" s="184"/>
      <c r="I514" s="184"/>
      <c r="J514" s="260">
        <f>(V514+X514+AA514)/'Logistics record '!$AD$1</f>
        <v>15.116015418335726</v>
      </c>
      <c r="K514" s="260">
        <f>W514/'Logistics record '!$AD$1</f>
        <v>0</v>
      </c>
      <c r="L514" s="260">
        <f>Y514/'Logistics record '!$AD$1</f>
        <v>0</v>
      </c>
      <c r="M514" s="260">
        <f>AF514/'Logistics record '!$AD$1</f>
        <v>0</v>
      </c>
      <c r="N514" s="260" t="str" cm="1">
        <f t="array" ref="N514">_xlfn.IFS(
    OR(UPPER(S514)="AIR", UPPER(S514)="CPN"), "AIR",
    UPPER(S514)="TC", "LOCAL",
    TRUE, "SEA"
)</f>
        <v>AIR</v>
      </c>
      <c r="O514" s="260">
        <f t="shared" si="36"/>
        <v>15.116015418335726</v>
      </c>
      <c r="P514" s="184" t="s">
        <v>949</v>
      </c>
      <c r="Q514" s="185">
        <v>108368634730</v>
      </c>
      <c r="R514" s="186">
        <v>46196</v>
      </c>
      <c r="S514" s="187" t="s">
        <v>928</v>
      </c>
      <c r="T514" s="188">
        <v>1</v>
      </c>
      <c r="U514" s="188"/>
      <c r="V514" s="189">
        <v>400000</v>
      </c>
      <c r="W514" s="190"/>
      <c r="X514" s="190"/>
      <c r="Y514" s="190"/>
      <c r="Z514" s="189">
        <f t="shared" si="44"/>
        <v>400000</v>
      </c>
      <c r="AA514" s="189">
        <v>0</v>
      </c>
      <c r="AB514" s="189">
        <f t="shared" si="41"/>
        <v>400000</v>
      </c>
      <c r="AC514" s="189"/>
      <c r="AD514" s="190"/>
      <c r="AE514" s="190"/>
      <c r="AF514" s="191">
        <f t="shared" si="46"/>
        <v>0</v>
      </c>
      <c r="AG514" s="190">
        <f t="shared" si="47"/>
        <v>400000</v>
      </c>
      <c r="AH514" s="190"/>
      <c r="AI514" s="192" t="str">
        <f>VLOOKUP(Q514,[3]Sheet1!B$11:G$1489,6,0)</f>
        <v>E11</v>
      </c>
      <c r="GK514" s="194"/>
      <c r="GL514" s="195"/>
      <c r="GM514" s="196"/>
      <c r="GN514" s="197"/>
      <c r="GO514" s="198"/>
      <c r="GP514" s="199"/>
      <c r="GQ514" s="200"/>
      <c r="GR514" s="201"/>
      <c r="GS514" s="60"/>
      <c r="GT514" s="202"/>
      <c r="GU514" s="202"/>
      <c r="GV514" s="202"/>
      <c r="GW514" s="202"/>
      <c r="GX514" s="203"/>
      <c r="HA514" s="194"/>
      <c r="HB514" s="195"/>
      <c r="HC514" s="196"/>
      <c r="HD514" s="197"/>
      <c r="HE514" s="198"/>
      <c r="HF514" s="199"/>
      <c r="HG514" s="200"/>
      <c r="HH514" s="201"/>
      <c r="HI514" s="60"/>
      <c r="HJ514" s="202"/>
      <c r="HK514" s="202"/>
      <c r="HL514" s="202"/>
      <c r="HM514" s="202"/>
      <c r="HN514" s="203"/>
    </row>
    <row r="515" spans="1:222" ht="16.5" customHeight="1">
      <c r="A515" s="181">
        <v>512</v>
      </c>
      <c r="B515" s="182">
        <v>409298928147</v>
      </c>
      <c r="C515" s="183" t="s">
        <v>2883</v>
      </c>
      <c r="D515" s="184" t="s">
        <v>378</v>
      </c>
      <c r="E515" s="184" t="str">
        <f t="shared" si="45"/>
        <v>Import</v>
      </c>
      <c r="F515" s="720" t="str" cm="1">
        <f t="array" ref="F515">_xlfn.IFS(
  OR(AI515="E11", AI515="E15"), "Raw materials",
  OR(AI515="E13", AI515="G13"), "Equipments + Toolings",
  TRUE, RIGHT(C515, 8)
)</f>
        <v>Raw materials</v>
      </c>
      <c r="G515" s="541" t="str" cm="1">
        <f t="array" ref="G515">IF(E515="Import",
  IFERROR(
    _xlfn.IFS(
      VLOOKUP(B515,[1]Material!F$5:U$90000,16,0)="LUC","Lucid",
      VLOOKUP(B515,[1]Material!F$5:U$90000,16,0)="FMC","FORD",
      OR(VLOOKUP(B515,[1]Material!F$5:U$90000,16,0)="PUR",VLOOKUP(B515,[1]Material!F$5:U$90000,16,0)="HLO"),"PURE",
      VLOOKUP(B515,[1]Material!F$5:U$90000,16,0)="AIC","AIC",
      OR(VLOOKUP(B515,[1]Material!F$5:U$90000,16,0)="AGI",VLOOKUP(B515,[1]Material!F$5:U$90000,16,0)="AGIGA"),"AGIGA",
      OR(LEFT(VLOOKUP(B515,[1]Material!F$5:U$90000,16,0),3)="EF-",VLOOKUP(B515,[1]Material!F$5:U$90000,16,0)="EFI"),"EFI",
      AND(ISNUMBER(VLOOKUP(B515,[1]Material!F$5:U$90000,16,0)),VLOOKUP(B515,[1]Material!F$5:U$90000,16,0)&gt;=100,VLOOKUP(B515,[1]Material!F$5:U$90000,16,0)&lt;=999,VLOOKUP(B515,[1]Material!F$5:U$90000,16,0)=INT(VLOOKUP(B515,[1]Material!F$5:U$90000,16,0))),"OEM",
      TRUE,""
    ),
    "không tìm thấy trong file Import"
  ),
  VLOOKUP(F515,'[2]Export shipment'!B:Y,24,0)
)</f>
        <v>Lucid</v>
      </c>
      <c r="H515" s="184"/>
      <c r="I515" s="184"/>
      <c r="J515" s="260">
        <f>(V515+X515+AA515)/'Logistics record '!$AD$1</f>
        <v>15.116015418335726</v>
      </c>
      <c r="K515" s="260">
        <f>W515/'Logistics record '!$AD$1</f>
        <v>0</v>
      </c>
      <c r="L515" s="260">
        <f>Y515/'Logistics record '!$AD$1</f>
        <v>0</v>
      </c>
      <c r="M515" s="260">
        <f>AF515/'Logistics record '!$AD$1</f>
        <v>0</v>
      </c>
      <c r="N515" s="260" t="str" cm="1">
        <f t="array" ref="N515">_xlfn.IFS(
    OR(UPPER(S515)="AIR", UPPER(S515)="CPN"), "AIR",
    UPPER(S515)="TC", "LOCAL",
    TRUE, "SEA"
)</f>
        <v>AIR</v>
      </c>
      <c r="O515" s="260">
        <f t="shared" si="36"/>
        <v>15.116015418335726</v>
      </c>
      <c r="P515" s="184" t="s">
        <v>937</v>
      </c>
      <c r="Q515" s="185">
        <v>108368641510</v>
      </c>
      <c r="R515" s="186">
        <v>46196</v>
      </c>
      <c r="S515" s="187" t="s">
        <v>928</v>
      </c>
      <c r="T515" s="188">
        <v>7.4</v>
      </c>
      <c r="U515" s="188"/>
      <c r="V515" s="189">
        <v>400000</v>
      </c>
      <c r="W515" s="190"/>
      <c r="X515" s="190"/>
      <c r="Y515" s="190"/>
      <c r="Z515" s="189">
        <f t="shared" si="44"/>
        <v>400000</v>
      </c>
      <c r="AA515" s="189">
        <v>0</v>
      </c>
      <c r="AB515" s="189">
        <f t="shared" si="41"/>
        <v>400000</v>
      </c>
      <c r="AC515" s="189"/>
      <c r="AD515" s="190"/>
      <c r="AE515" s="190"/>
      <c r="AF515" s="191">
        <f t="shared" si="46"/>
        <v>0</v>
      </c>
      <c r="AG515" s="190">
        <f t="shared" si="47"/>
        <v>400000</v>
      </c>
      <c r="AH515" s="190"/>
      <c r="AI515" s="192" t="str">
        <f>VLOOKUP(Q515,[3]Sheet1!B$11:G$1489,6,0)</f>
        <v>E11</v>
      </c>
      <c r="GK515" s="194"/>
      <c r="GL515" s="195"/>
      <c r="GM515" s="196"/>
      <c r="GN515" s="197"/>
      <c r="GO515" s="198"/>
      <c r="GP515" s="199"/>
      <c r="GQ515" s="200"/>
      <c r="GR515" s="201"/>
      <c r="GS515" s="60"/>
      <c r="GT515" s="202"/>
      <c r="GU515" s="202"/>
      <c r="GV515" s="202"/>
      <c r="GW515" s="202"/>
      <c r="GX515" s="203"/>
      <c r="HA515" s="194"/>
      <c r="HB515" s="195"/>
      <c r="HC515" s="196"/>
      <c r="HD515" s="197"/>
      <c r="HE515" s="198"/>
      <c r="HF515" s="199"/>
      <c r="HG515" s="200"/>
      <c r="HH515" s="201"/>
      <c r="HI515" s="60"/>
      <c r="HJ515" s="202"/>
      <c r="HK515" s="202"/>
      <c r="HL515" s="202"/>
      <c r="HM515" s="202"/>
      <c r="HN515" s="203"/>
    </row>
    <row r="516" spans="1:222" ht="16.5" customHeight="1">
      <c r="A516" s="181">
        <v>513</v>
      </c>
      <c r="B516" s="182" t="s">
        <v>2884</v>
      </c>
      <c r="C516" s="183" t="s">
        <v>2885</v>
      </c>
      <c r="D516" s="184" t="s">
        <v>963</v>
      </c>
      <c r="E516" s="184" t="str">
        <f t="shared" si="45"/>
        <v>Import</v>
      </c>
      <c r="F516" s="720" t="str" cm="1">
        <f t="array" ref="F516">_xlfn.IFS(
  OR(AI516="E11", AI516="E15"), "Raw materials",
  OR(AI516="E13", AI516="G13"), "Equipments + Toolings",
  TRUE, RIGHT(C516, 8)
)</f>
        <v>Raw materials</v>
      </c>
      <c r="G516" s="541" t="str" cm="1">
        <f t="array" ref="G516">IF(E516="Import",
  IFERROR(
    _xlfn.IFS(
      VLOOKUP(B516,[1]Material!F$5:U$90000,16,0)="LUC","Lucid",
      VLOOKUP(B516,[1]Material!F$5:U$90000,16,0)="FMC","FORD",
      OR(VLOOKUP(B516,[1]Material!F$5:U$90000,16,0)="PUR",VLOOKUP(B516,[1]Material!F$5:U$90000,16,0)="HLO"),"PURE",
      VLOOKUP(B516,[1]Material!F$5:U$90000,16,0)="AIC","AIC",
      OR(VLOOKUP(B516,[1]Material!F$5:U$90000,16,0)="AGI",VLOOKUP(B516,[1]Material!F$5:U$90000,16,0)="AGIGA"),"AGIGA",
      OR(LEFT(VLOOKUP(B516,[1]Material!F$5:U$90000,16,0),3)="EF-",VLOOKUP(B516,[1]Material!F$5:U$90000,16,0)="EFI"),"EFI",
      AND(ISNUMBER(VLOOKUP(B516,[1]Material!F$5:U$90000,16,0)),VLOOKUP(B516,[1]Material!F$5:U$90000,16,0)&gt;=100,VLOOKUP(B516,[1]Material!F$5:U$90000,16,0)&lt;=999,VLOOKUP(B516,[1]Material!F$5:U$90000,16,0)=INT(VLOOKUP(B516,[1]Material!F$5:U$90000,16,0))),"OEM",
      TRUE,""
    ),
    "không tìm thấy trong file Import"
  ),
  VLOOKUP(F516,'[2]Export shipment'!B:Y,24,0)
)</f>
        <v>PURE</v>
      </c>
      <c r="H516" s="184"/>
      <c r="I516" s="184"/>
      <c r="J516" s="260">
        <f>(V516+X516+AA516)/'Logistics record '!$AD$1</f>
        <v>15.116015418335726</v>
      </c>
      <c r="K516" s="260">
        <f>W516/'Logistics record '!$AD$1</f>
        <v>0</v>
      </c>
      <c r="L516" s="260">
        <f>Y516/'Logistics record '!$AD$1</f>
        <v>0</v>
      </c>
      <c r="M516" s="260">
        <f>AF516/'Logistics record '!$AD$1</f>
        <v>0</v>
      </c>
      <c r="N516" s="260" t="str" cm="1">
        <f t="array" ref="N516">_xlfn.IFS(
    OR(UPPER(S516)="AIR", UPPER(S516)="CPN"), "AIR",
    UPPER(S516)="TC", "LOCAL",
    TRUE, "SEA"
)</f>
        <v>AIR</v>
      </c>
      <c r="O516" s="260">
        <f t="shared" si="36"/>
        <v>15.116015418335726</v>
      </c>
      <c r="P516" s="184" t="s">
        <v>935</v>
      </c>
      <c r="Q516" s="185">
        <v>108368729560</v>
      </c>
      <c r="R516" s="186">
        <v>46196</v>
      </c>
      <c r="S516" s="187" t="s">
        <v>928</v>
      </c>
      <c r="T516" s="188">
        <v>0.5</v>
      </c>
      <c r="U516" s="188"/>
      <c r="V516" s="189">
        <v>400000</v>
      </c>
      <c r="W516" s="190"/>
      <c r="X516" s="190"/>
      <c r="Y516" s="190"/>
      <c r="Z516" s="189">
        <f t="shared" ref="Z516:Z579" si="48">SUM(V516:Y516)</f>
        <v>400000</v>
      </c>
      <c r="AA516" s="189">
        <v>0</v>
      </c>
      <c r="AB516" s="189">
        <f t="shared" si="41"/>
        <v>400000</v>
      </c>
      <c r="AC516" s="189"/>
      <c r="AD516" s="190"/>
      <c r="AE516" s="190"/>
      <c r="AF516" s="191">
        <f t="shared" si="46"/>
        <v>0</v>
      </c>
      <c r="AG516" s="190">
        <f t="shared" si="47"/>
        <v>400000</v>
      </c>
      <c r="AH516" s="190"/>
      <c r="AI516" s="192" t="str">
        <f>VLOOKUP(Q516,[3]Sheet1!B$11:G$1489,6,0)</f>
        <v>E11</v>
      </c>
      <c r="GK516" s="194"/>
      <c r="GL516" s="195"/>
      <c r="GM516" s="196"/>
      <c r="GN516" s="197"/>
      <c r="GO516" s="198"/>
      <c r="GP516" s="199"/>
      <c r="GQ516" s="200"/>
      <c r="GR516" s="201"/>
      <c r="GS516" s="60"/>
      <c r="GT516" s="202"/>
      <c r="GU516" s="202"/>
      <c r="GV516" s="202"/>
      <c r="GW516" s="202"/>
      <c r="GX516" s="203"/>
      <c r="HA516" s="194"/>
      <c r="HB516" s="195"/>
      <c r="HC516" s="196"/>
      <c r="HD516" s="197"/>
      <c r="HE516" s="198"/>
      <c r="HF516" s="199"/>
      <c r="HG516" s="200"/>
      <c r="HH516" s="201"/>
      <c r="HI516" s="60"/>
      <c r="HJ516" s="202"/>
      <c r="HK516" s="202"/>
      <c r="HL516" s="202"/>
      <c r="HM516" s="202"/>
      <c r="HN516" s="203"/>
    </row>
    <row r="517" spans="1:222" ht="16.5" customHeight="1">
      <c r="A517" s="181">
        <v>514</v>
      </c>
      <c r="B517" s="182" t="s">
        <v>2886</v>
      </c>
      <c r="C517" s="183" t="s">
        <v>2887</v>
      </c>
      <c r="D517" s="184" t="s">
        <v>973</v>
      </c>
      <c r="E517" s="184" t="str">
        <f t="shared" ref="E517:E580" si="49">IF(OR(AI517="E11", AI517="E13", AI517="E15", AI517="G13"), "Import", "Export")</f>
        <v>Import</v>
      </c>
      <c r="F517" s="720" t="str" cm="1">
        <f t="array" ref="F517">_xlfn.IFS(
  OR(AI517="E11", AI517="E15"), "Raw materials",
  OR(AI517="E13", AI517="G13"), "Equipments + Toolings",
  TRUE, RIGHT(C517, 8)
)</f>
        <v>Raw materials</v>
      </c>
      <c r="G517" s="541" t="str" cm="1">
        <f t="array" ref="G517">IF(E517="Import",
  IFERROR(
    _xlfn.IFS(
      VLOOKUP(B517,[1]Material!F$5:U$90000,16,0)="LUC","Lucid",
      VLOOKUP(B517,[1]Material!F$5:U$90000,16,0)="FMC","FORD",
      OR(VLOOKUP(B517,[1]Material!F$5:U$90000,16,0)="PUR",VLOOKUP(B517,[1]Material!F$5:U$90000,16,0)="HLO"),"PURE",
      VLOOKUP(B517,[1]Material!F$5:U$90000,16,0)="AIC","AIC",
      OR(VLOOKUP(B517,[1]Material!F$5:U$90000,16,0)="AGI",VLOOKUP(B517,[1]Material!F$5:U$90000,16,0)="AGIGA"),"AGIGA",
      OR(LEFT(VLOOKUP(B517,[1]Material!F$5:U$90000,16,0),3)="EF-",VLOOKUP(B517,[1]Material!F$5:U$90000,16,0)="EFI"),"EFI",
      AND(ISNUMBER(VLOOKUP(B517,[1]Material!F$5:U$90000,16,0)),VLOOKUP(B517,[1]Material!F$5:U$90000,16,0)&gt;=100,VLOOKUP(B517,[1]Material!F$5:U$90000,16,0)&lt;=999,VLOOKUP(B517,[1]Material!F$5:U$90000,16,0)=INT(VLOOKUP(B517,[1]Material!F$5:U$90000,16,0))),"OEM",
      TRUE,""
    ),
    "không tìm thấy trong file Import"
  ),
  VLOOKUP(F517,'[2]Export shipment'!B:Y,24,0)
)</f>
        <v>EFI</v>
      </c>
      <c r="H517" s="184"/>
      <c r="I517" s="184"/>
      <c r="J517" s="260">
        <f>(V517+X517+AA517)/'Logistics record '!$AD$1</f>
        <v>15.116015418335726</v>
      </c>
      <c r="K517" s="260">
        <f>W517/'Logistics record '!$AD$1</f>
        <v>0</v>
      </c>
      <c r="L517" s="260">
        <f>Y517/'Logistics record '!$AD$1</f>
        <v>0</v>
      </c>
      <c r="M517" s="260">
        <f>AF517/'Logistics record '!$AD$1</f>
        <v>0</v>
      </c>
      <c r="N517" s="260" t="str" cm="1">
        <f t="array" ref="N517">_xlfn.IFS(
    OR(UPPER(S517)="AIR", UPPER(S517)="CPN"), "AIR",
    UPPER(S517)="TC", "LOCAL",
    TRUE, "SEA"
)</f>
        <v>AIR</v>
      </c>
      <c r="O517" s="260">
        <f t="shared" si="36"/>
        <v>15.116015418335726</v>
      </c>
      <c r="P517" s="184" t="s">
        <v>937</v>
      </c>
      <c r="Q517" s="185">
        <v>108368767360</v>
      </c>
      <c r="R517" s="186">
        <v>46196</v>
      </c>
      <c r="S517" s="187" t="s">
        <v>65</v>
      </c>
      <c r="T517" s="188">
        <v>146</v>
      </c>
      <c r="U517" s="188"/>
      <c r="V517" s="189">
        <v>400000</v>
      </c>
      <c r="W517" s="190"/>
      <c r="X517" s="190"/>
      <c r="Y517" s="190"/>
      <c r="Z517" s="189">
        <f t="shared" si="48"/>
        <v>400000</v>
      </c>
      <c r="AA517" s="189">
        <v>0</v>
      </c>
      <c r="AB517" s="189">
        <f t="shared" si="41"/>
        <v>400000</v>
      </c>
      <c r="AC517" s="189"/>
      <c r="AD517" s="190"/>
      <c r="AE517" s="190"/>
      <c r="AF517" s="191">
        <f t="shared" si="46"/>
        <v>0</v>
      </c>
      <c r="AG517" s="190">
        <f t="shared" si="47"/>
        <v>400000</v>
      </c>
      <c r="AH517" s="190"/>
      <c r="AI517" s="192" t="str">
        <f>VLOOKUP(Q517,[3]Sheet1!B$11:G$1489,6,0)</f>
        <v>E11</v>
      </c>
      <c r="GK517" s="194"/>
      <c r="GL517" s="195"/>
      <c r="GM517" s="196"/>
      <c r="GN517" s="197"/>
      <c r="GO517" s="198"/>
      <c r="GP517" s="199"/>
      <c r="GQ517" s="200"/>
      <c r="GR517" s="201"/>
      <c r="GS517" s="60"/>
      <c r="GT517" s="202"/>
      <c r="GU517" s="202"/>
      <c r="GV517" s="202"/>
      <c r="GW517" s="202"/>
      <c r="GX517" s="203"/>
      <c r="HA517" s="194"/>
      <c r="HB517" s="195"/>
      <c r="HC517" s="196"/>
      <c r="HD517" s="197"/>
      <c r="HE517" s="198"/>
      <c r="HF517" s="199"/>
      <c r="HG517" s="200"/>
      <c r="HH517" s="201"/>
      <c r="HI517" s="60"/>
      <c r="HJ517" s="202"/>
      <c r="HK517" s="202"/>
      <c r="HL517" s="202"/>
      <c r="HM517" s="202"/>
      <c r="HN517" s="203"/>
    </row>
    <row r="518" spans="1:222" ht="16.5" customHeight="1">
      <c r="A518" s="181">
        <v>515</v>
      </c>
      <c r="B518" s="182">
        <v>872002149199</v>
      </c>
      <c r="C518" s="183" t="s">
        <v>2888</v>
      </c>
      <c r="D518" s="184" t="s">
        <v>2889</v>
      </c>
      <c r="E518" s="184" t="str">
        <f t="shared" si="49"/>
        <v>Import</v>
      </c>
      <c r="F518" s="720" t="str" cm="1">
        <f t="array" ref="F518">_xlfn.IFS(
  OR(AI518="E11", AI518="E15"), "Raw materials",
  OR(AI518="E13", AI518="G13"), "Equipments + Toolings",
  TRUE, RIGHT(C518, 8)
)</f>
        <v>Equipments + Toolings</v>
      </c>
      <c r="G518" s="541" t="s">
        <v>1271</v>
      </c>
      <c r="H518" s="184"/>
      <c r="I518" s="184"/>
      <c r="J518" s="260">
        <f>(V518+X518+AA518)/'Logistics record '!$AD$1</f>
        <v>15.116015418335726</v>
      </c>
      <c r="K518" s="260">
        <f>W518/'Logistics record '!$AD$1</f>
        <v>0</v>
      </c>
      <c r="L518" s="260">
        <f>Y518/'Logistics record '!$AD$1</f>
        <v>0</v>
      </c>
      <c r="M518" s="260">
        <f>AF518/'Logistics record '!$AD$1</f>
        <v>0</v>
      </c>
      <c r="N518" s="260" t="str" cm="1">
        <f t="array" ref="N518">_xlfn.IFS(
    OR(UPPER(S518)="AIR", UPPER(S518)="CPN"), "AIR",
    UPPER(S518)="TC", "LOCAL",
    TRUE, "SEA"
)</f>
        <v>AIR</v>
      </c>
      <c r="O518" s="260">
        <f t="shared" si="36"/>
        <v>15.116015418335726</v>
      </c>
      <c r="P518" s="184" t="s">
        <v>935</v>
      </c>
      <c r="Q518" s="185">
        <v>108274075230</v>
      </c>
      <c r="R518" s="186">
        <v>46167</v>
      </c>
      <c r="S518" s="187" t="s">
        <v>928</v>
      </c>
      <c r="T518" s="188">
        <v>0.5</v>
      </c>
      <c r="U518" s="188"/>
      <c r="V518" s="189">
        <v>400000</v>
      </c>
      <c r="W518" s="190"/>
      <c r="X518" s="190"/>
      <c r="Y518" s="190"/>
      <c r="Z518" s="189">
        <f t="shared" si="48"/>
        <v>400000</v>
      </c>
      <c r="AA518" s="189">
        <v>0</v>
      </c>
      <c r="AB518" s="189">
        <f t="shared" si="41"/>
        <v>400000</v>
      </c>
      <c r="AC518" s="189"/>
      <c r="AD518" s="190"/>
      <c r="AE518" s="190"/>
      <c r="AF518" s="191">
        <f t="shared" si="46"/>
        <v>0</v>
      </c>
      <c r="AG518" s="190">
        <f t="shared" si="47"/>
        <v>400000</v>
      </c>
      <c r="AH518" s="190"/>
      <c r="AI518" s="192" t="str">
        <f>VLOOKUP(Q518,[3]Sheet1!B$11:G$1489,6,0)</f>
        <v>G13</v>
      </c>
      <c r="GK518" s="194"/>
      <c r="GL518" s="195"/>
      <c r="GM518" s="196"/>
      <c r="GN518" s="197"/>
      <c r="GO518" s="198"/>
      <c r="GP518" s="199"/>
      <c r="GQ518" s="200"/>
      <c r="GR518" s="201"/>
      <c r="GS518" s="60"/>
      <c r="GT518" s="202"/>
      <c r="GU518" s="202"/>
      <c r="GV518" s="202"/>
      <c r="GW518" s="202"/>
      <c r="GX518" s="203"/>
      <c r="HA518" s="194"/>
      <c r="HB518" s="195"/>
      <c r="HC518" s="196"/>
      <c r="HD518" s="197"/>
      <c r="HE518" s="198"/>
      <c r="HF518" s="199"/>
      <c r="HG518" s="200"/>
      <c r="HH518" s="201"/>
      <c r="HI518" s="60"/>
      <c r="HJ518" s="202"/>
      <c r="HK518" s="202"/>
      <c r="HL518" s="202"/>
      <c r="HM518" s="202"/>
      <c r="HN518" s="203"/>
    </row>
    <row r="519" spans="1:222" ht="16.5" customHeight="1">
      <c r="A519" s="181">
        <v>516</v>
      </c>
      <c r="B519" s="182">
        <v>483570646289</v>
      </c>
      <c r="C519" s="183" t="s">
        <v>2042</v>
      </c>
      <c r="D519" s="184" t="s">
        <v>110</v>
      </c>
      <c r="E519" s="184" t="str">
        <f t="shared" si="49"/>
        <v>Import</v>
      </c>
      <c r="F519" s="720" t="str" cm="1">
        <f t="array" ref="F519">_xlfn.IFS(
  OR(AI519="E11", AI519="E15"), "Raw materials",
  OR(AI519="E13", AI519="G13"), "Equipments + Toolings",
  TRUE, RIGHT(C519, 8)
)</f>
        <v>Equipments + Toolings</v>
      </c>
      <c r="G519" s="541" t="s">
        <v>76</v>
      </c>
      <c r="H519" s="184"/>
      <c r="I519" s="184"/>
      <c r="J519" s="260">
        <f>(V519+X519+AA519)/'Logistics record '!$AD$1</f>
        <v>15.116015418335726</v>
      </c>
      <c r="K519" s="260">
        <f>W519/'Logistics record '!$AD$1</f>
        <v>0</v>
      </c>
      <c r="L519" s="260">
        <f>Y519/'Logistics record '!$AD$1</f>
        <v>0</v>
      </c>
      <c r="M519" s="260">
        <f>AF519/'Logistics record '!$AD$1</f>
        <v>0</v>
      </c>
      <c r="N519" s="260" t="str" cm="1">
        <f t="array" ref="N519">_xlfn.IFS(
    OR(UPPER(S519)="AIR", UPPER(S519)="CPN"), "AIR",
    UPPER(S519)="TC", "LOCAL",
    TRUE, "SEA"
)</f>
        <v>AIR</v>
      </c>
      <c r="O519" s="260">
        <f t="shared" si="36"/>
        <v>15.116015418335726</v>
      </c>
      <c r="P519" s="184" t="s">
        <v>935</v>
      </c>
      <c r="Q519" s="185">
        <v>108275908200</v>
      </c>
      <c r="R519" s="186">
        <v>46167</v>
      </c>
      <c r="S519" s="187" t="s">
        <v>928</v>
      </c>
      <c r="T519" s="188">
        <v>0.9</v>
      </c>
      <c r="U519" s="188"/>
      <c r="V519" s="189">
        <v>400000</v>
      </c>
      <c r="W519" s="190"/>
      <c r="X519" s="190"/>
      <c r="Y519" s="190"/>
      <c r="Z519" s="189">
        <f t="shared" si="48"/>
        <v>400000</v>
      </c>
      <c r="AA519" s="189">
        <v>0</v>
      </c>
      <c r="AB519" s="189">
        <f t="shared" si="41"/>
        <v>400000</v>
      </c>
      <c r="AC519" s="189"/>
      <c r="AD519" s="190"/>
      <c r="AE519" s="190"/>
      <c r="AF519" s="191">
        <f t="shared" si="46"/>
        <v>0</v>
      </c>
      <c r="AG519" s="190">
        <f t="shared" si="47"/>
        <v>400000</v>
      </c>
      <c r="AH519" s="190"/>
      <c r="AI519" s="192" t="str">
        <f>VLOOKUP(Q519,[3]Sheet1!B$11:G$1489,6,0)</f>
        <v>E13</v>
      </c>
      <c r="GK519" s="194"/>
      <c r="GL519" s="195"/>
      <c r="GM519" s="196"/>
      <c r="GN519" s="197"/>
      <c r="GO519" s="198"/>
      <c r="GP519" s="199"/>
      <c r="GQ519" s="200"/>
      <c r="GR519" s="201"/>
      <c r="GS519" s="60"/>
      <c r="GT519" s="202"/>
      <c r="GU519" s="202"/>
      <c r="GV519" s="202"/>
      <c r="GW519" s="202"/>
      <c r="GX519" s="203"/>
      <c r="HA519" s="194"/>
      <c r="HB519" s="195"/>
      <c r="HC519" s="196"/>
      <c r="HD519" s="197"/>
      <c r="HE519" s="198"/>
      <c r="HF519" s="199"/>
      <c r="HG519" s="200"/>
      <c r="HH519" s="201"/>
      <c r="HI519" s="60"/>
      <c r="HJ519" s="202"/>
      <c r="HK519" s="202"/>
      <c r="HL519" s="202"/>
      <c r="HM519" s="202"/>
      <c r="HN519" s="203"/>
    </row>
    <row r="520" spans="1:222" ht="16.5" customHeight="1">
      <c r="A520" s="181">
        <v>517</v>
      </c>
      <c r="B520" s="182">
        <v>483570646131</v>
      </c>
      <c r="C520" s="183" t="s">
        <v>2292</v>
      </c>
      <c r="D520" s="184" t="s">
        <v>110</v>
      </c>
      <c r="E520" s="184" t="str">
        <f t="shared" si="49"/>
        <v>Import</v>
      </c>
      <c r="F520" s="720" t="str" cm="1">
        <f t="array" ref="F520">_xlfn.IFS(
  OR(AI520="E11", AI520="E15"), "Raw materials",
  OR(AI520="E13", AI520="G13"), "Equipments + Toolings",
  TRUE, RIGHT(C520, 8)
)</f>
        <v>Equipments + Toolings</v>
      </c>
      <c r="G520" s="541" t="s">
        <v>93</v>
      </c>
      <c r="H520" s="184"/>
      <c r="I520" s="184" t="s">
        <v>2116</v>
      </c>
      <c r="J520" s="260">
        <f>(V520+X520+AA520)/'Logistics record '!$AD$1</f>
        <v>15.116015418335726</v>
      </c>
      <c r="K520" s="260">
        <f>W520/'Logistics record '!$AD$1</f>
        <v>0</v>
      </c>
      <c r="L520" s="260">
        <f>Y520/'Logistics record '!$AD$1</f>
        <v>0</v>
      </c>
      <c r="M520" s="260">
        <f>AF520/'Logistics record '!$AD$1</f>
        <v>0</v>
      </c>
      <c r="N520" s="260" t="str" cm="1">
        <f t="array" ref="N520">_xlfn.IFS(
    OR(UPPER(S520)="AIR", UPPER(S520)="CPN"), "AIR",
    UPPER(S520)="TC", "LOCAL",
    TRUE, "SEA"
)</f>
        <v>AIR</v>
      </c>
      <c r="O520" s="260">
        <f t="shared" si="36"/>
        <v>15.116015418335726</v>
      </c>
      <c r="P520" s="184" t="s">
        <v>935</v>
      </c>
      <c r="Q520" s="185">
        <v>108279655260</v>
      </c>
      <c r="R520" s="186">
        <v>46168</v>
      </c>
      <c r="S520" s="187" t="s">
        <v>928</v>
      </c>
      <c r="T520" s="188">
        <v>50.3</v>
      </c>
      <c r="U520" s="188"/>
      <c r="V520" s="189">
        <v>400000</v>
      </c>
      <c r="W520" s="190"/>
      <c r="X520" s="190"/>
      <c r="Y520" s="190"/>
      <c r="Z520" s="189">
        <f t="shared" si="48"/>
        <v>400000</v>
      </c>
      <c r="AA520" s="189">
        <v>0</v>
      </c>
      <c r="AB520" s="189">
        <f t="shared" si="41"/>
        <v>400000</v>
      </c>
      <c r="AC520" s="189"/>
      <c r="AD520" s="190"/>
      <c r="AE520" s="190"/>
      <c r="AF520" s="191">
        <f t="shared" si="46"/>
        <v>0</v>
      </c>
      <c r="AG520" s="190">
        <f t="shared" si="47"/>
        <v>400000</v>
      </c>
      <c r="AH520" s="190"/>
      <c r="AI520" s="192" t="str">
        <f>VLOOKUP(Q520,[3]Sheet1!B$11:G$1489,6,0)</f>
        <v>G13</v>
      </c>
      <c r="GK520" s="194"/>
      <c r="GL520" s="195"/>
      <c r="GM520" s="196"/>
      <c r="GN520" s="197"/>
      <c r="GO520" s="198"/>
      <c r="GP520" s="199"/>
      <c r="GQ520" s="200"/>
      <c r="GR520" s="201"/>
      <c r="GS520" s="60"/>
      <c r="GT520" s="202"/>
      <c r="GU520" s="202"/>
      <c r="GV520" s="202"/>
      <c r="GW520" s="202"/>
      <c r="GX520" s="203"/>
      <c r="HA520" s="194"/>
      <c r="HB520" s="195"/>
      <c r="HC520" s="196"/>
      <c r="HD520" s="197"/>
      <c r="HE520" s="198"/>
      <c r="HF520" s="199"/>
      <c r="HG520" s="200"/>
      <c r="HH520" s="201"/>
      <c r="HI520" s="60"/>
      <c r="HJ520" s="202"/>
      <c r="HK520" s="202"/>
      <c r="HL520" s="202"/>
      <c r="HM520" s="202"/>
      <c r="HN520" s="203"/>
    </row>
    <row r="521" spans="1:222" ht="16.5" customHeight="1">
      <c r="A521" s="181">
        <v>518</v>
      </c>
      <c r="B521" s="182">
        <v>483570646131</v>
      </c>
      <c r="C521" s="183" t="s">
        <v>2292</v>
      </c>
      <c r="D521" s="184" t="s">
        <v>110</v>
      </c>
      <c r="E521" s="184" t="str">
        <f t="shared" si="49"/>
        <v>Import</v>
      </c>
      <c r="F521" s="720" t="str" cm="1">
        <f t="array" ref="F521">_xlfn.IFS(
  OR(AI521="E11", AI521="E15"), "Raw materials",
  OR(AI521="E13", AI521="G13"), "Equipments + Toolings",
  TRUE, RIGHT(C521, 8)
)</f>
        <v>Equipments + Toolings</v>
      </c>
      <c r="G521" s="541" t="s">
        <v>1608</v>
      </c>
      <c r="H521" s="184"/>
      <c r="I521" s="184"/>
      <c r="J521" s="260">
        <f>(V521+X521+AA521)/'Logistics record '!$AD$1</f>
        <v>15.116015418335726</v>
      </c>
      <c r="K521" s="260">
        <f>W521/'Logistics record '!$AD$1</f>
        <v>0</v>
      </c>
      <c r="L521" s="260">
        <f>Y521/'Logistics record '!$AD$1</f>
        <v>0</v>
      </c>
      <c r="M521" s="260">
        <f>AF521/'Logistics record '!$AD$1</f>
        <v>0</v>
      </c>
      <c r="N521" s="260" t="str" cm="1">
        <f t="array" ref="N521">_xlfn.IFS(
    OR(UPPER(S521)="AIR", UPPER(S521)="CPN"), "AIR",
    UPPER(S521)="TC", "LOCAL",
    TRUE, "SEA"
)</f>
        <v>AIR</v>
      </c>
      <c r="O521" s="260">
        <f t="shared" si="36"/>
        <v>15.116015418335726</v>
      </c>
      <c r="P521" s="184" t="s">
        <v>935</v>
      </c>
      <c r="Q521" s="185">
        <v>108279696820</v>
      </c>
      <c r="R521" s="186">
        <v>46168</v>
      </c>
      <c r="S521" s="187" t="s">
        <v>928</v>
      </c>
      <c r="T521" s="188">
        <v>50.3</v>
      </c>
      <c r="U521" s="188"/>
      <c r="V521" s="189">
        <v>400000</v>
      </c>
      <c r="W521" s="190"/>
      <c r="X521" s="190"/>
      <c r="Y521" s="190"/>
      <c r="Z521" s="189">
        <f t="shared" si="48"/>
        <v>400000</v>
      </c>
      <c r="AA521" s="189">
        <v>0</v>
      </c>
      <c r="AB521" s="189">
        <f t="shared" si="41"/>
        <v>400000</v>
      </c>
      <c r="AC521" s="189"/>
      <c r="AD521" s="190"/>
      <c r="AE521" s="190"/>
      <c r="AF521" s="191">
        <f t="shared" si="46"/>
        <v>0</v>
      </c>
      <c r="AG521" s="190">
        <f t="shared" si="47"/>
        <v>400000</v>
      </c>
      <c r="AH521" s="190"/>
      <c r="AI521" s="192" t="str">
        <f>VLOOKUP(Q521,[3]Sheet1!B$11:G$1489,6,0)</f>
        <v>E13</v>
      </c>
      <c r="GK521" s="194"/>
      <c r="GL521" s="195"/>
      <c r="GM521" s="196"/>
      <c r="GN521" s="197"/>
      <c r="GO521" s="198"/>
      <c r="GP521" s="199"/>
      <c r="GQ521" s="200"/>
      <c r="GR521" s="201"/>
      <c r="GS521" s="60"/>
      <c r="GT521" s="202"/>
      <c r="GU521" s="202"/>
      <c r="GV521" s="202"/>
      <c r="GW521" s="202"/>
      <c r="GX521" s="203"/>
      <c r="HA521" s="194"/>
      <c r="HB521" s="195"/>
      <c r="HC521" s="196"/>
      <c r="HD521" s="197"/>
      <c r="HE521" s="198"/>
      <c r="HF521" s="199"/>
      <c r="HG521" s="200"/>
      <c r="HH521" s="201"/>
      <c r="HI521" s="60"/>
      <c r="HJ521" s="202"/>
      <c r="HK521" s="202"/>
      <c r="HL521" s="202"/>
      <c r="HM521" s="202"/>
      <c r="HN521" s="203"/>
    </row>
    <row r="522" spans="1:222" ht="16.5" customHeight="1">
      <c r="A522" s="181">
        <v>519</v>
      </c>
      <c r="B522" s="182">
        <v>483570646749</v>
      </c>
      <c r="C522" s="183" t="s">
        <v>2306</v>
      </c>
      <c r="D522" s="184" t="s">
        <v>110</v>
      </c>
      <c r="E522" s="184" t="str">
        <f t="shared" si="49"/>
        <v>Import</v>
      </c>
      <c r="F522" s="720" t="str" cm="1">
        <f t="array" ref="F522">_xlfn.IFS(
  OR(AI522="E11", AI522="E15"), "Raw materials",
  OR(AI522="E13", AI522="G13"), "Equipments + Toolings",
  TRUE, RIGHT(C522, 8)
)</f>
        <v>Equipments + Toolings</v>
      </c>
      <c r="G522" s="541" t="s">
        <v>76</v>
      </c>
      <c r="H522" s="184"/>
      <c r="I522" s="184"/>
      <c r="J522" s="260">
        <f>(V522+X522+AA522)/'Logistics record '!$AD$1</f>
        <v>15.116015418335726</v>
      </c>
      <c r="K522" s="260">
        <f>W522/'Logistics record '!$AD$1</f>
        <v>0</v>
      </c>
      <c r="L522" s="260">
        <f>Y522/'Logistics record '!$AD$1</f>
        <v>0</v>
      </c>
      <c r="M522" s="260">
        <f>AF522/'Logistics record '!$AD$1</f>
        <v>0</v>
      </c>
      <c r="N522" s="260" t="str" cm="1">
        <f t="array" ref="N522">_xlfn.IFS(
    OR(UPPER(S522)="AIR", UPPER(S522)="CPN"), "AIR",
    UPPER(S522)="TC", "LOCAL",
    TRUE, "SEA"
)</f>
        <v>AIR</v>
      </c>
      <c r="O522" s="260">
        <f t="shared" si="36"/>
        <v>15.116015418335726</v>
      </c>
      <c r="P522" s="184" t="s">
        <v>935</v>
      </c>
      <c r="Q522" s="185">
        <v>108283244161</v>
      </c>
      <c r="R522" s="186">
        <v>46169</v>
      </c>
      <c r="S522" s="187" t="s">
        <v>928</v>
      </c>
      <c r="T522" s="188">
        <v>4.0999999999999996</v>
      </c>
      <c r="U522" s="188"/>
      <c r="V522" s="189">
        <v>400000</v>
      </c>
      <c r="W522" s="190"/>
      <c r="X522" s="190"/>
      <c r="Y522" s="190"/>
      <c r="Z522" s="189">
        <f t="shared" si="48"/>
        <v>400000</v>
      </c>
      <c r="AA522" s="189">
        <v>0</v>
      </c>
      <c r="AB522" s="189">
        <f t="shared" si="41"/>
        <v>400000</v>
      </c>
      <c r="AC522" s="189"/>
      <c r="AD522" s="190"/>
      <c r="AE522" s="190"/>
      <c r="AF522" s="191">
        <f t="shared" si="46"/>
        <v>0</v>
      </c>
      <c r="AG522" s="190">
        <f t="shared" si="47"/>
        <v>400000</v>
      </c>
      <c r="AH522" s="190"/>
      <c r="AI522" s="192" t="str">
        <f>VLOOKUP(Q522,[3]Sheet1!B$11:G$1489,6,0)</f>
        <v>E13</v>
      </c>
      <c r="GK522" s="194"/>
      <c r="GL522" s="195"/>
      <c r="GM522" s="196"/>
      <c r="GN522" s="197"/>
      <c r="GO522" s="198"/>
      <c r="GP522" s="199"/>
      <c r="GQ522" s="200"/>
      <c r="GR522" s="201"/>
      <c r="GS522" s="60"/>
      <c r="GT522" s="202"/>
      <c r="GU522" s="202"/>
      <c r="GV522" s="202"/>
      <c r="GW522" s="202"/>
      <c r="GX522" s="203"/>
      <c r="HA522" s="194"/>
      <c r="HB522" s="195"/>
      <c r="HC522" s="196"/>
      <c r="HD522" s="197"/>
      <c r="HE522" s="198"/>
      <c r="HF522" s="199"/>
      <c r="HG522" s="200"/>
      <c r="HH522" s="201"/>
      <c r="HI522" s="60"/>
      <c r="HJ522" s="202"/>
      <c r="HK522" s="202"/>
      <c r="HL522" s="202"/>
      <c r="HM522" s="202"/>
      <c r="HN522" s="203"/>
    </row>
    <row r="523" spans="1:222" ht="16.5" customHeight="1">
      <c r="A523" s="181">
        <v>520</v>
      </c>
      <c r="B523" s="182">
        <v>483570646749</v>
      </c>
      <c r="C523" s="183" t="s">
        <v>2306</v>
      </c>
      <c r="D523" s="184" t="s">
        <v>110</v>
      </c>
      <c r="E523" s="184" t="str">
        <f t="shared" si="49"/>
        <v>Import</v>
      </c>
      <c r="F523" s="720" t="str" cm="1">
        <f t="array" ref="F523">_xlfn.IFS(
  OR(AI523="E11", AI523="E15"), "Raw materials",
  OR(AI523="E13", AI523="G13"), "Equipments + Toolings",
  TRUE, RIGHT(C523, 8)
)</f>
        <v>Equipments + Toolings</v>
      </c>
      <c r="G523" s="541" t="s">
        <v>1271</v>
      </c>
      <c r="H523" s="184"/>
      <c r="I523" s="184" t="s">
        <v>2116</v>
      </c>
      <c r="J523" s="260">
        <f>(V523+X523+AA523)/'Logistics record '!$AD$1</f>
        <v>15.116015418335726</v>
      </c>
      <c r="K523" s="260">
        <f>W523/'Logistics record '!$AD$1</f>
        <v>0</v>
      </c>
      <c r="L523" s="260">
        <f>Y523/'Logistics record '!$AD$1</f>
        <v>0</v>
      </c>
      <c r="M523" s="260">
        <f>AF523/'Logistics record '!$AD$1</f>
        <v>0</v>
      </c>
      <c r="N523" s="260" t="str" cm="1">
        <f t="array" ref="N523">_xlfn.IFS(
    OR(UPPER(S523)="AIR", UPPER(S523)="CPN"), "AIR",
    UPPER(S523)="TC", "LOCAL",
    TRUE, "SEA"
)</f>
        <v>AIR</v>
      </c>
      <c r="O523" s="260">
        <f t="shared" si="36"/>
        <v>15.116015418335726</v>
      </c>
      <c r="P523" s="184" t="s">
        <v>935</v>
      </c>
      <c r="Q523" s="185">
        <v>108283278610</v>
      </c>
      <c r="R523" s="186">
        <v>46169</v>
      </c>
      <c r="S523" s="187" t="s">
        <v>928</v>
      </c>
      <c r="T523" s="188">
        <v>4.0999999999999996</v>
      </c>
      <c r="U523" s="188"/>
      <c r="V523" s="189">
        <v>400000</v>
      </c>
      <c r="W523" s="190"/>
      <c r="X523" s="190"/>
      <c r="Y523" s="190"/>
      <c r="Z523" s="189">
        <f t="shared" si="48"/>
        <v>400000</v>
      </c>
      <c r="AA523" s="189">
        <v>0</v>
      </c>
      <c r="AB523" s="189">
        <f t="shared" si="41"/>
        <v>400000</v>
      </c>
      <c r="AC523" s="189"/>
      <c r="AD523" s="190"/>
      <c r="AE523" s="190"/>
      <c r="AF523" s="191">
        <f t="shared" si="46"/>
        <v>0</v>
      </c>
      <c r="AG523" s="190">
        <f t="shared" si="47"/>
        <v>400000</v>
      </c>
      <c r="AH523" s="190"/>
      <c r="AI523" s="192" t="str">
        <f>VLOOKUP(Q523,[3]Sheet1!B$11:G$1489,6,0)</f>
        <v>G13</v>
      </c>
      <c r="GK523" s="194"/>
      <c r="GL523" s="195"/>
      <c r="GM523" s="196"/>
      <c r="GN523" s="197"/>
      <c r="GO523" s="198"/>
      <c r="GP523" s="199"/>
      <c r="GQ523" s="200"/>
      <c r="GR523" s="201"/>
      <c r="GS523" s="60"/>
      <c r="GT523" s="202"/>
      <c r="GU523" s="202"/>
      <c r="GV523" s="202"/>
      <c r="GW523" s="202"/>
      <c r="GX523" s="203"/>
      <c r="HA523" s="194"/>
      <c r="HB523" s="195"/>
      <c r="HC523" s="196"/>
      <c r="HD523" s="197"/>
      <c r="HE523" s="198"/>
      <c r="HF523" s="199"/>
      <c r="HG523" s="200"/>
      <c r="HH523" s="201"/>
      <c r="HI523" s="60"/>
      <c r="HJ523" s="202"/>
      <c r="HK523" s="202"/>
      <c r="HL523" s="202"/>
      <c r="HM523" s="202"/>
      <c r="HN523" s="203"/>
    </row>
    <row r="524" spans="1:222" ht="16.5" customHeight="1">
      <c r="A524" s="181">
        <v>521</v>
      </c>
      <c r="B524" s="182">
        <v>872087824697</v>
      </c>
      <c r="C524" s="183" t="s">
        <v>2890</v>
      </c>
      <c r="D524" s="184" t="s">
        <v>1720</v>
      </c>
      <c r="E524" s="184" t="str">
        <f t="shared" si="49"/>
        <v>Import</v>
      </c>
      <c r="F524" s="720" t="str" cm="1">
        <f t="array" ref="F524">_xlfn.IFS(
  OR(AI524="E11", AI524="E15"), "Raw materials",
  OR(AI524="E13", AI524="G13"), "Equipments + Toolings",
  TRUE, RIGHT(C524, 8)
)</f>
        <v>Equipments + Toolings</v>
      </c>
      <c r="G524" s="541" t="s">
        <v>1271</v>
      </c>
      <c r="H524" s="184"/>
      <c r="I524" s="184"/>
      <c r="J524" s="260">
        <f>(V524+X524+AA524)/'Logistics record '!$AD$1</f>
        <v>94.475096364598286</v>
      </c>
      <c r="K524" s="260">
        <f>W524/'Logistics record '!$AD$1</f>
        <v>0</v>
      </c>
      <c r="L524" s="260">
        <f>Y524/'Logistics record '!$AD$1</f>
        <v>0</v>
      </c>
      <c r="M524" s="260">
        <f>AF524/'Logistics record '!$AD$1</f>
        <v>0</v>
      </c>
      <c r="N524" s="260" t="str" cm="1">
        <f t="array" ref="N524">_xlfn.IFS(
    OR(UPPER(S524)="AIR", UPPER(S524)="CPN"), "AIR",
    UPPER(S524)="TC", "LOCAL",
    TRUE, "SEA"
)</f>
        <v>AIR</v>
      </c>
      <c r="O524" s="260">
        <f t="shared" si="36"/>
        <v>94.475096364598286</v>
      </c>
      <c r="P524" s="184" t="s">
        <v>946</v>
      </c>
      <c r="Q524" s="185">
        <v>108288915010</v>
      </c>
      <c r="R524" s="186">
        <v>46171</v>
      </c>
      <c r="S524" s="187" t="s">
        <v>928</v>
      </c>
      <c r="T524" s="188">
        <v>255</v>
      </c>
      <c r="U524" s="188"/>
      <c r="V524" s="189">
        <v>2500000</v>
      </c>
      <c r="W524" s="190"/>
      <c r="X524" s="190"/>
      <c r="Y524" s="190"/>
      <c r="Z524" s="189">
        <f t="shared" si="48"/>
        <v>2500000</v>
      </c>
      <c r="AA524" s="189">
        <v>0</v>
      </c>
      <c r="AB524" s="189">
        <f t="shared" si="41"/>
        <v>2500000</v>
      </c>
      <c r="AC524" s="189"/>
      <c r="AD524" s="190"/>
      <c r="AE524" s="190"/>
      <c r="AF524" s="191">
        <f t="shared" si="46"/>
        <v>0</v>
      </c>
      <c r="AG524" s="190">
        <f t="shared" si="47"/>
        <v>2500000</v>
      </c>
      <c r="AH524" s="190"/>
      <c r="AI524" s="192" t="str">
        <f>VLOOKUP(Q524,[3]Sheet1!B$11:G$1489,6,0)</f>
        <v>G13</v>
      </c>
      <c r="GK524" s="194"/>
      <c r="GL524" s="195"/>
      <c r="GM524" s="196"/>
      <c r="GN524" s="197"/>
      <c r="GO524" s="198"/>
      <c r="GP524" s="199"/>
      <c r="GQ524" s="200"/>
      <c r="GR524" s="201"/>
      <c r="GS524" s="60"/>
      <c r="GT524" s="202"/>
      <c r="GU524" s="202"/>
      <c r="GV524" s="202"/>
      <c r="GW524" s="202"/>
      <c r="GX524" s="203"/>
      <c r="HA524" s="194"/>
      <c r="HB524" s="195"/>
      <c r="HC524" s="196"/>
      <c r="HD524" s="197"/>
      <c r="HE524" s="198"/>
      <c r="HF524" s="199"/>
      <c r="HG524" s="200"/>
      <c r="HH524" s="201"/>
      <c r="HI524" s="60"/>
      <c r="HJ524" s="202"/>
      <c r="HK524" s="202"/>
      <c r="HL524" s="202"/>
      <c r="HM524" s="202"/>
      <c r="HN524" s="203"/>
    </row>
    <row r="525" spans="1:222" ht="16.5" customHeight="1">
      <c r="A525" s="181">
        <v>522</v>
      </c>
      <c r="B525" s="182">
        <v>872375217260</v>
      </c>
      <c r="C525" s="183" t="s">
        <v>2891</v>
      </c>
      <c r="D525" s="184" t="s">
        <v>1332</v>
      </c>
      <c r="E525" s="184" t="str">
        <f t="shared" si="49"/>
        <v>Import</v>
      </c>
      <c r="F525" s="720" t="str" cm="1">
        <f t="array" ref="F525">_xlfn.IFS(
  OR(AI525="E11", AI525="E15"), "Raw materials",
  OR(AI525="E13", AI525="G13"), "Equipments + Toolings",
  TRUE, RIGHT(C525, 8)
)</f>
        <v>Equipments + Toolings</v>
      </c>
      <c r="G525" s="541" t="str" cm="1">
        <f t="array" ref="G525">IF(E525="Import",
  IFERROR(
    _xlfn.IFS(
      VLOOKUP(B525,[1]Material!F$5:U$90000,16,0)="LUC","Lucid",
      VLOOKUP(B525,[1]Material!F$5:U$90000,16,0)="FMC","FORD",
      OR(VLOOKUP(B525,[1]Material!F$5:U$90000,16,0)="PUR",VLOOKUP(B525,[1]Material!F$5:U$90000,16,0)="HLO"),"PURE",
      VLOOKUP(B525,[1]Material!F$5:U$90000,16,0)="AIC","AIC",
      OR(VLOOKUP(B525,[1]Material!F$5:U$90000,16,0)="AGI",VLOOKUP(B525,[1]Material!F$5:U$90000,16,0)="AGIGA"),"AGIGA",
      OR(LEFT(VLOOKUP(B525,[1]Material!F$5:U$90000,16,0),3)="EF-",VLOOKUP(B525,[1]Material!F$5:U$90000,16,0)="EFI"),"EFI",
      AND(ISNUMBER(VLOOKUP(B525,[1]Material!F$5:U$90000,16,0)),VLOOKUP(B525,[1]Material!F$5:U$90000,16,0)&gt;=100,VLOOKUP(B525,[1]Material!F$5:U$90000,16,0)&lt;=999,VLOOKUP(B525,[1]Material!F$5:U$90000,16,0)=INT(VLOOKUP(B525,[1]Material!F$5:U$90000,16,0))),"OEM",
      TRUE,""
    ),
    "không tìm thấy trong file Import"
  ),
  VLOOKUP(F525,'[2]Export shipment'!B:Y,24,0)
)</f>
        <v>OEM</v>
      </c>
      <c r="H525" s="184"/>
      <c r="I525" s="184"/>
      <c r="J525" s="260">
        <f>(V525+X525+AA525)/'Logistics record '!$AD$1</f>
        <v>15.116015418335726</v>
      </c>
      <c r="K525" s="260">
        <f>W525/'Logistics record '!$AD$1</f>
        <v>0</v>
      </c>
      <c r="L525" s="260">
        <f>Y525/'Logistics record '!$AD$1</f>
        <v>0</v>
      </c>
      <c r="M525" s="260">
        <f>AF525/'Logistics record '!$AD$1</f>
        <v>0</v>
      </c>
      <c r="N525" s="260" t="str" cm="1">
        <f t="array" ref="N525">_xlfn.IFS(
    OR(UPPER(S525)="AIR", UPPER(S525)="CPN"), "AIR",
    UPPER(S525)="TC", "LOCAL",
    TRUE, "SEA"
)</f>
        <v>AIR</v>
      </c>
      <c r="O525" s="260">
        <f t="shared" si="36"/>
        <v>15.116015418335726</v>
      </c>
      <c r="P525" s="184" t="s">
        <v>939</v>
      </c>
      <c r="Q525" s="185">
        <v>108311115140</v>
      </c>
      <c r="R525" s="186">
        <v>46178</v>
      </c>
      <c r="S525" s="187" t="s">
        <v>928</v>
      </c>
      <c r="T525" s="188">
        <v>0.5</v>
      </c>
      <c r="U525" s="188"/>
      <c r="V525" s="189">
        <v>400000</v>
      </c>
      <c r="W525" s="190"/>
      <c r="X525" s="190"/>
      <c r="Y525" s="190"/>
      <c r="Z525" s="189">
        <f t="shared" si="48"/>
        <v>400000</v>
      </c>
      <c r="AA525" s="189">
        <v>0</v>
      </c>
      <c r="AB525" s="189">
        <f t="shared" si="41"/>
        <v>400000</v>
      </c>
      <c r="AC525" s="189"/>
      <c r="AD525" s="190"/>
      <c r="AE525" s="190"/>
      <c r="AF525" s="191">
        <f t="shared" si="46"/>
        <v>0</v>
      </c>
      <c r="AG525" s="190">
        <f t="shared" si="47"/>
        <v>400000</v>
      </c>
      <c r="AH525" s="190"/>
      <c r="AI525" s="192" t="str">
        <f>VLOOKUP(Q525,[3]Sheet1!B$11:G$1489,6,0)</f>
        <v>E13</v>
      </c>
      <c r="GK525" s="194"/>
      <c r="GL525" s="195"/>
      <c r="GM525" s="196"/>
      <c r="GN525" s="197"/>
      <c r="GO525" s="198"/>
      <c r="GP525" s="199"/>
      <c r="GQ525" s="200"/>
      <c r="GR525" s="201"/>
      <c r="GS525" s="60"/>
      <c r="GT525" s="202"/>
      <c r="GU525" s="202"/>
      <c r="GV525" s="202"/>
      <c r="GW525" s="202"/>
      <c r="GX525" s="203"/>
      <c r="HA525" s="194"/>
      <c r="HB525" s="195"/>
      <c r="HC525" s="196"/>
      <c r="HD525" s="197"/>
      <c r="HE525" s="198"/>
      <c r="HF525" s="199"/>
      <c r="HG525" s="200"/>
      <c r="HH525" s="201"/>
      <c r="HI525" s="60"/>
      <c r="HJ525" s="202"/>
      <c r="HK525" s="202"/>
      <c r="HL525" s="202"/>
      <c r="HM525" s="202"/>
      <c r="HN525" s="203"/>
    </row>
    <row r="526" spans="1:222" ht="16.5" customHeight="1">
      <c r="A526" s="181">
        <v>523</v>
      </c>
      <c r="B526" s="182">
        <v>1943962005</v>
      </c>
      <c r="C526" s="183" t="s">
        <v>2892</v>
      </c>
      <c r="D526" s="184" t="s">
        <v>1900</v>
      </c>
      <c r="E526" s="184" t="str">
        <f t="shared" si="49"/>
        <v>Import</v>
      </c>
      <c r="F526" s="720" t="str" cm="1">
        <f t="array" ref="F526">_xlfn.IFS(
  OR(AI526="E11", AI526="E15"), "Raw materials",
  OR(AI526="E13", AI526="G13"), "Equipments + Toolings",
  TRUE, RIGHT(C526, 8)
)</f>
        <v>Equipments + Toolings</v>
      </c>
      <c r="G526" s="541" t="s">
        <v>1608</v>
      </c>
      <c r="H526" s="184"/>
      <c r="I526" s="184"/>
      <c r="J526" s="260">
        <f>(V526+X526+AA526)/'Logistics record '!$AD$1</f>
        <v>15.116015418335726</v>
      </c>
      <c r="K526" s="260">
        <f>W526/'Logistics record '!$AD$1</f>
        <v>0</v>
      </c>
      <c r="L526" s="260">
        <f>Y526/'Logistics record '!$AD$1</f>
        <v>0</v>
      </c>
      <c r="M526" s="260">
        <f>AF526/'Logistics record '!$AD$1</f>
        <v>0</v>
      </c>
      <c r="N526" s="260" t="str" cm="1">
        <f t="array" ref="N526">_xlfn.IFS(
    OR(UPPER(S526)="AIR", UPPER(S526)="CPN"), "AIR",
    UPPER(S526)="TC", "LOCAL",
    TRUE, "SEA"
)</f>
        <v>AIR</v>
      </c>
      <c r="O526" s="260">
        <f t="shared" si="36"/>
        <v>15.116015418335726</v>
      </c>
      <c r="P526" s="184" t="s">
        <v>954</v>
      </c>
      <c r="Q526" s="185">
        <v>108314077910</v>
      </c>
      <c r="R526" s="186">
        <v>46178</v>
      </c>
      <c r="S526" s="187" t="s">
        <v>928</v>
      </c>
      <c r="T526" s="188">
        <v>6.7</v>
      </c>
      <c r="U526" s="188"/>
      <c r="V526" s="189">
        <v>400000</v>
      </c>
      <c r="W526" s="190"/>
      <c r="X526" s="190"/>
      <c r="Y526" s="190"/>
      <c r="Z526" s="189">
        <f t="shared" si="48"/>
        <v>400000</v>
      </c>
      <c r="AA526" s="189">
        <v>0</v>
      </c>
      <c r="AB526" s="189">
        <f t="shared" si="41"/>
        <v>400000</v>
      </c>
      <c r="AC526" s="189"/>
      <c r="AD526" s="190"/>
      <c r="AE526" s="190"/>
      <c r="AF526" s="191">
        <f t="shared" si="46"/>
        <v>0</v>
      </c>
      <c r="AG526" s="190">
        <f t="shared" si="47"/>
        <v>400000</v>
      </c>
      <c r="AH526" s="190"/>
      <c r="AI526" s="192" t="str">
        <f>VLOOKUP(Q526,[3]Sheet1!B$11:G$1489,6,0)</f>
        <v>E13</v>
      </c>
      <c r="GK526" s="194"/>
      <c r="GL526" s="195"/>
      <c r="GM526" s="196"/>
      <c r="GN526" s="197"/>
      <c r="GO526" s="198"/>
      <c r="GP526" s="199"/>
      <c r="GQ526" s="200"/>
      <c r="GR526" s="201"/>
      <c r="GS526" s="60"/>
      <c r="GT526" s="202"/>
      <c r="GU526" s="202"/>
      <c r="GV526" s="202"/>
      <c r="GW526" s="202"/>
      <c r="GX526" s="203"/>
      <c r="HA526" s="194"/>
      <c r="HB526" s="195"/>
      <c r="HC526" s="196"/>
      <c r="HD526" s="197"/>
      <c r="HE526" s="198"/>
      <c r="HF526" s="199"/>
      <c r="HG526" s="200"/>
      <c r="HH526" s="201"/>
      <c r="HI526" s="60"/>
      <c r="HJ526" s="202"/>
      <c r="HK526" s="202"/>
      <c r="HL526" s="202"/>
      <c r="HM526" s="202"/>
      <c r="HN526" s="203"/>
    </row>
    <row r="527" spans="1:222" ht="16.5" customHeight="1">
      <c r="A527" s="181">
        <v>524</v>
      </c>
      <c r="B527" s="182">
        <v>513597200500</v>
      </c>
      <c r="C527" s="183" t="s">
        <v>2893</v>
      </c>
      <c r="D527" s="184" t="s">
        <v>2894</v>
      </c>
      <c r="E527" s="184" t="str">
        <f t="shared" si="49"/>
        <v>Import</v>
      </c>
      <c r="F527" s="720" t="str" cm="1">
        <f t="array" ref="F527">_xlfn.IFS(
  OR(AI527="E11", AI527="E15"), "Raw materials",
  OR(AI527="E13", AI527="G13"), "Equipments + Toolings",
  TRUE, RIGHT(C527, 8)
)</f>
        <v>Equipments + Toolings</v>
      </c>
      <c r="G527" s="541" t="s">
        <v>1271</v>
      </c>
      <c r="H527" s="184"/>
      <c r="I527" s="184" t="s">
        <v>2116</v>
      </c>
      <c r="J527" s="260">
        <f>(V527+X527+AA527)/'Logistics record '!$AD$1</f>
        <v>15.116015418335726</v>
      </c>
      <c r="K527" s="260">
        <f>W527/'Logistics record '!$AD$1</f>
        <v>0</v>
      </c>
      <c r="L527" s="260">
        <f>Y527/'Logistics record '!$AD$1</f>
        <v>0</v>
      </c>
      <c r="M527" s="260">
        <f>AF527/'Logistics record '!$AD$1</f>
        <v>0</v>
      </c>
      <c r="N527" s="260" t="str" cm="1">
        <f t="array" ref="N527">_xlfn.IFS(
    OR(UPPER(S527)="AIR", UPPER(S527)="CPN"), "AIR",
    UPPER(S527)="TC", "LOCAL",
    TRUE, "SEA"
)</f>
        <v>AIR</v>
      </c>
      <c r="O527" s="260">
        <f t="shared" si="36"/>
        <v>15.116015418335726</v>
      </c>
      <c r="P527" s="184" t="s">
        <v>935</v>
      </c>
      <c r="Q527" s="185">
        <v>108320385500</v>
      </c>
      <c r="R527" s="186">
        <v>46181</v>
      </c>
      <c r="S527" s="187" t="s">
        <v>928</v>
      </c>
      <c r="T527" s="188">
        <v>5.5</v>
      </c>
      <c r="U527" s="188"/>
      <c r="V527" s="189">
        <v>400000</v>
      </c>
      <c r="W527" s="190"/>
      <c r="X527" s="190"/>
      <c r="Y527" s="190"/>
      <c r="Z527" s="189">
        <f t="shared" si="48"/>
        <v>400000</v>
      </c>
      <c r="AA527" s="189">
        <v>0</v>
      </c>
      <c r="AB527" s="189">
        <f t="shared" si="41"/>
        <v>400000</v>
      </c>
      <c r="AC527" s="189"/>
      <c r="AD527" s="190"/>
      <c r="AE527" s="190"/>
      <c r="AF527" s="191">
        <f t="shared" si="46"/>
        <v>0</v>
      </c>
      <c r="AG527" s="190">
        <f t="shared" si="47"/>
        <v>400000</v>
      </c>
      <c r="AH527" s="190"/>
      <c r="AI527" s="192" t="str">
        <f>VLOOKUP(Q527,[3]Sheet1!B$11:G$1489,6,0)</f>
        <v>G13</v>
      </c>
      <c r="GK527" s="194"/>
      <c r="GL527" s="195"/>
      <c r="GM527" s="196"/>
      <c r="GN527" s="197"/>
      <c r="GO527" s="198"/>
      <c r="GP527" s="199"/>
      <c r="GQ527" s="200"/>
      <c r="GR527" s="201"/>
      <c r="GS527" s="60"/>
      <c r="GT527" s="202"/>
      <c r="GU527" s="202"/>
      <c r="GV527" s="202"/>
      <c r="GW527" s="202"/>
      <c r="GX527" s="203"/>
      <c r="HA527" s="194"/>
      <c r="HB527" s="195"/>
      <c r="HC527" s="196"/>
      <c r="HD527" s="197"/>
      <c r="HE527" s="198"/>
      <c r="HF527" s="199"/>
      <c r="HG527" s="200"/>
      <c r="HH527" s="201"/>
      <c r="HI527" s="60"/>
      <c r="HJ527" s="202"/>
      <c r="HK527" s="202"/>
      <c r="HL527" s="202"/>
      <c r="HM527" s="202"/>
      <c r="HN527" s="203"/>
    </row>
    <row r="528" spans="1:222" ht="16.5" customHeight="1">
      <c r="A528" s="181">
        <v>525</v>
      </c>
      <c r="B528" s="182">
        <v>872528466333</v>
      </c>
      <c r="C528" s="183" t="s">
        <v>2895</v>
      </c>
      <c r="D528" s="184" t="s">
        <v>1719</v>
      </c>
      <c r="E528" s="184" t="str">
        <f t="shared" si="49"/>
        <v>Import</v>
      </c>
      <c r="F528" s="720" t="str" cm="1">
        <f t="array" ref="F528">_xlfn.IFS(
  OR(AI528="E11", AI528="E15"), "Raw materials",
  OR(AI528="E13", AI528="G13"), "Equipments + Toolings",
  TRUE, RIGHT(C528, 8)
)</f>
        <v>Equipments + Toolings</v>
      </c>
      <c r="G528" s="541" t="s">
        <v>1271</v>
      </c>
      <c r="H528" s="184"/>
      <c r="I528" s="184"/>
      <c r="J528" s="260">
        <f>(V528+X528+AA528)/'Logistics record '!$AD$1</f>
        <v>15.116015418335726</v>
      </c>
      <c r="K528" s="260">
        <f>W528/'Logistics record '!$AD$1</f>
        <v>0</v>
      </c>
      <c r="L528" s="260">
        <f>Y528/'Logistics record '!$AD$1</f>
        <v>0</v>
      </c>
      <c r="M528" s="260">
        <f>AF528/'Logistics record '!$AD$1</f>
        <v>0</v>
      </c>
      <c r="N528" s="260" t="str" cm="1">
        <f t="array" ref="N528">_xlfn.IFS(
    OR(UPPER(S528)="AIR", UPPER(S528)="CPN"), "AIR",
    UPPER(S528)="TC", "LOCAL",
    TRUE, "SEA"
)</f>
        <v>AIR</v>
      </c>
      <c r="O528" s="260">
        <f t="shared" si="36"/>
        <v>15.116015418335726</v>
      </c>
      <c r="P528" s="184" t="s">
        <v>2044</v>
      </c>
      <c r="Q528" s="185">
        <v>108326788250</v>
      </c>
      <c r="R528" s="186">
        <v>46183</v>
      </c>
      <c r="S528" s="187" t="s">
        <v>928</v>
      </c>
      <c r="T528" s="188">
        <v>1.5</v>
      </c>
      <c r="U528" s="188"/>
      <c r="V528" s="189">
        <v>400000</v>
      </c>
      <c r="W528" s="190"/>
      <c r="X528" s="190"/>
      <c r="Y528" s="190"/>
      <c r="Z528" s="189">
        <f t="shared" si="48"/>
        <v>400000</v>
      </c>
      <c r="AA528" s="189">
        <v>0</v>
      </c>
      <c r="AB528" s="189">
        <f t="shared" si="41"/>
        <v>400000</v>
      </c>
      <c r="AC528" s="189"/>
      <c r="AD528" s="190"/>
      <c r="AE528" s="190"/>
      <c r="AF528" s="191">
        <f t="shared" si="46"/>
        <v>0</v>
      </c>
      <c r="AG528" s="190">
        <f t="shared" si="47"/>
        <v>400000</v>
      </c>
      <c r="AH528" s="190"/>
      <c r="AI528" s="192" t="str">
        <f>VLOOKUP(Q528,[3]Sheet1!B$11:G$1489,6,0)</f>
        <v>G13</v>
      </c>
      <c r="GK528" s="194"/>
      <c r="GL528" s="195"/>
      <c r="GM528" s="196"/>
      <c r="GN528" s="197"/>
      <c r="GO528" s="198"/>
      <c r="GP528" s="199"/>
      <c r="GQ528" s="200"/>
      <c r="GR528" s="201"/>
      <c r="GS528" s="60"/>
      <c r="GT528" s="202"/>
      <c r="GU528" s="202"/>
      <c r="GV528" s="202"/>
      <c r="GW528" s="202"/>
      <c r="GX528" s="203"/>
      <c r="HA528" s="194"/>
      <c r="HB528" s="195"/>
      <c r="HC528" s="196"/>
      <c r="HD528" s="197"/>
      <c r="HE528" s="198"/>
      <c r="HF528" s="199"/>
      <c r="HG528" s="200"/>
      <c r="HH528" s="201"/>
      <c r="HI528" s="60"/>
      <c r="HJ528" s="202"/>
      <c r="HK528" s="202"/>
      <c r="HL528" s="202"/>
      <c r="HM528" s="202"/>
      <c r="HN528" s="203"/>
    </row>
    <row r="529" spans="1:222" ht="16.5" customHeight="1">
      <c r="A529" s="181">
        <v>526</v>
      </c>
      <c r="B529" s="182">
        <v>5972754211</v>
      </c>
      <c r="C529" s="183" t="s">
        <v>2896</v>
      </c>
      <c r="D529" s="184" t="s">
        <v>2161</v>
      </c>
      <c r="E529" s="184" t="str">
        <f t="shared" si="49"/>
        <v>Import</v>
      </c>
      <c r="F529" s="720" t="str" cm="1">
        <f t="array" ref="F529">_xlfn.IFS(
  OR(AI529="E11", AI529="E15"), "Raw materials",
  OR(AI529="E13", AI529="G13"), "Equipments + Toolings",
  TRUE, RIGHT(C529, 8)
)</f>
        <v>Equipments + Toolings</v>
      </c>
      <c r="G529" s="541" t="s">
        <v>99</v>
      </c>
      <c r="H529" s="184"/>
      <c r="I529" s="184"/>
      <c r="J529" s="260">
        <f>(V529+X529+AA529)/'Logistics record '!$AD$1</f>
        <v>15.116015418335726</v>
      </c>
      <c r="K529" s="260">
        <f>W529/'Logistics record '!$AD$1</f>
        <v>0</v>
      </c>
      <c r="L529" s="260">
        <f>Y529/'Logistics record '!$AD$1</f>
        <v>0</v>
      </c>
      <c r="M529" s="260">
        <f>AF529/'Logistics record '!$AD$1</f>
        <v>0</v>
      </c>
      <c r="N529" s="260" t="str" cm="1">
        <f t="array" ref="N529">_xlfn.IFS(
    OR(UPPER(S529)="AIR", UPPER(S529)="CPN"), "AIR",
    UPPER(S529)="TC", "LOCAL",
    TRUE, "SEA"
)</f>
        <v>AIR</v>
      </c>
      <c r="O529" s="260">
        <f t="shared" si="36"/>
        <v>15.116015418335726</v>
      </c>
      <c r="P529" s="184" t="s">
        <v>932</v>
      </c>
      <c r="Q529" s="185">
        <v>108337437350</v>
      </c>
      <c r="R529" s="186">
        <v>46186</v>
      </c>
      <c r="S529" s="187" t="s">
        <v>928</v>
      </c>
      <c r="T529" s="188">
        <v>2.2000000000000002</v>
      </c>
      <c r="U529" s="188"/>
      <c r="V529" s="189">
        <v>400000</v>
      </c>
      <c r="W529" s="190"/>
      <c r="X529" s="190"/>
      <c r="Y529" s="190"/>
      <c r="Z529" s="189">
        <f t="shared" si="48"/>
        <v>400000</v>
      </c>
      <c r="AA529" s="189">
        <v>0</v>
      </c>
      <c r="AB529" s="189">
        <f t="shared" si="41"/>
        <v>400000</v>
      </c>
      <c r="AC529" s="189"/>
      <c r="AD529" s="190"/>
      <c r="AE529" s="190"/>
      <c r="AF529" s="191">
        <f t="shared" si="46"/>
        <v>0</v>
      </c>
      <c r="AG529" s="190">
        <f t="shared" si="47"/>
        <v>400000</v>
      </c>
      <c r="AH529" s="190"/>
      <c r="AI529" s="192" t="str">
        <f>VLOOKUP(Q529,[3]Sheet1!B$11:G$1489,6,0)</f>
        <v>E13</v>
      </c>
      <c r="GK529" s="194"/>
      <c r="GL529" s="195"/>
      <c r="GM529" s="196"/>
      <c r="GN529" s="197"/>
      <c r="GO529" s="198"/>
      <c r="GP529" s="199"/>
      <c r="GQ529" s="200"/>
      <c r="GR529" s="201"/>
      <c r="GS529" s="60"/>
      <c r="GT529" s="202"/>
      <c r="GU529" s="202"/>
      <c r="GV529" s="202"/>
      <c r="GW529" s="202"/>
      <c r="GX529" s="203"/>
      <c r="HA529" s="194"/>
      <c r="HB529" s="195"/>
      <c r="HC529" s="196"/>
      <c r="HD529" s="197"/>
      <c r="HE529" s="198"/>
      <c r="HF529" s="199"/>
      <c r="HG529" s="200"/>
      <c r="HH529" s="201"/>
      <c r="HI529" s="60"/>
      <c r="HJ529" s="202"/>
      <c r="HK529" s="202"/>
      <c r="HL529" s="202"/>
      <c r="HM529" s="202"/>
      <c r="HN529" s="203"/>
    </row>
    <row r="530" spans="1:222" ht="16.5" customHeight="1">
      <c r="A530" s="181">
        <v>527</v>
      </c>
      <c r="B530" s="182">
        <v>5597869373</v>
      </c>
      <c r="C530" s="183" t="s">
        <v>2897</v>
      </c>
      <c r="D530" s="184" t="s">
        <v>2898</v>
      </c>
      <c r="E530" s="184" t="str">
        <f t="shared" si="49"/>
        <v>Import</v>
      </c>
      <c r="F530" s="720" t="str" cm="1">
        <f t="array" ref="F530">_xlfn.IFS(
  OR(AI530="E11", AI530="E15"), "Raw materials",
  OR(AI530="E13", AI530="G13"), "Equipments + Toolings",
  TRUE, RIGHT(C530, 8)
)</f>
        <v>Equipments + Toolings</v>
      </c>
      <c r="G530" s="541" t="s">
        <v>1608</v>
      </c>
      <c r="H530" s="184"/>
      <c r="I530" s="184"/>
      <c r="J530" s="260">
        <f>(V530+X530+AA530)/'Logistics record '!$AD$1</f>
        <v>15.116015418335726</v>
      </c>
      <c r="K530" s="260">
        <f>W530/'Logistics record '!$AD$1</f>
        <v>0</v>
      </c>
      <c r="L530" s="260">
        <f>Y530/'Logistics record '!$AD$1</f>
        <v>0</v>
      </c>
      <c r="M530" s="260">
        <f>AF530/'Logistics record '!$AD$1</f>
        <v>0</v>
      </c>
      <c r="N530" s="260" t="str" cm="1">
        <f t="array" ref="N530">_xlfn.IFS(
    OR(UPPER(S530)="AIR", UPPER(S530)="CPN"), "AIR",
    UPPER(S530)="TC", "LOCAL",
    TRUE, "SEA"
)</f>
        <v>AIR</v>
      </c>
      <c r="O530" s="260">
        <f t="shared" si="36"/>
        <v>15.116015418335726</v>
      </c>
      <c r="P530" s="184" t="s">
        <v>937</v>
      </c>
      <c r="Q530" s="185">
        <v>108354637530</v>
      </c>
      <c r="R530" s="186">
        <v>46191</v>
      </c>
      <c r="S530" s="187" t="s">
        <v>928</v>
      </c>
      <c r="T530" s="188">
        <v>9.8000000000000007</v>
      </c>
      <c r="U530" s="188"/>
      <c r="V530" s="189">
        <v>400000</v>
      </c>
      <c r="W530" s="190"/>
      <c r="X530" s="190"/>
      <c r="Y530" s="190"/>
      <c r="Z530" s="189">
        <f t="shared" si="48"/>
        <v>400000</v>
      </c>
      <c r="AA530" s="189">
        <v>0</v>
      </c>
      <c r="AB530" s="189">
        <f t="shared" si="41"/>
        <v>400000</v>
      </c>
      <c r="AC530" s="189"/>
      <c r="AD530" s="190"/>
      <c r="AE530" s="190"/>
      <c r="AF530" s="191">
        <f t="shared" si="46"/>
        <v>0</v>
      </c>
      <c r="AG530" s="190">
        <f t="shared" si="47"/>
        <v>400000</v>
      </c>
      <c r="AH530" s="190"/>
      <c r="AI530" s="192" t="str">
        <f>VLOOKUP(Q530,[3]Sheet1!B$11:G$1489,6,0)</f>
        <v>E13</v>
      </c>
      <c r="GK530" s="194"/>
      <c r="GL530" s="195"/>
      <c r="GM530" s="196"/>
      <c r="GN530" s="197"/>
      <c r="GO530" s="198"/>
      <c r="GP530" s="199"/>
      <c r="GQ530" s="200"/>
      <c r="GR530" s="201"/>
      <c r="GS530" s="60"/>
      <c r="GT530" s="202"/>
      <c r="GU530" s="202"/>
      <c r="GV530" s="202"/>
      <c r="GW530" s="202"/>
      <c r="GX530" s="203"/>
      <c r="HA530" s="194"/>
      <c r="HB530" s="195"/>
      <c r="HC530" s="196"/>
      <c r="HD530" s="197"/>
      <c r="HE530" s="198"/>
      <c r="HF530" s="199"/>
      <c r="HG530" s="200"/>
      <c r="HH530" s="201"/>
      <c r="HI530" s="60"/>
      <c r="HJ530" s="202"/>
      <c r="HK530" s="202"/>
      <c r="HL530" s="202"/>
      <c r="HM530" s="202"/>
      <c r="HN530" s="203"/>
    </row>
    <row r="531" spans="1:222" ht="16.5" customHeight="1">
      <c r="A531" s="181">
        <v>528</v>
      </c>
      <c r="B531" s="182">
        <v>515202941250</v>
      </c>
      <c r="C531" s="183" t="s">
        <v>2899</v>
      </c>
      <c r="D531" s="184" t="s">
        <v>2457</v>
      </c>
      <c r="E531" s="184" t="str">
        <f t="shared" si="49"/>
        <v>Import</v>
      </c>
      <c r="F531" s="720" t="str" cm="1">
        <f t="array" ref="F531">_xlfn.IFS(
  OR(AI531="E11", AI531="E15"), "Raw materials",
  OR(AI531="E13", AI531="G13"), "Equipments + Toolings",
  TRUE, RIGHT(C531, 8)
)</f>
        <v>Equipments + Toolings</v>
      </c>
      <c r="G531" s="541" t="s">
        <v>1271</v>
      </c>
      <c r="H531" s="184"/>
      <c r="I531" s="184"/>
      <c r="J531" s="260">
        <f>(V531+X531+AA531)/'Logistics record '!$AD$1</f>
        <v>15.116015418335726</v>
      </c>
      <c r="K531" s="260">
        <f>W531/'Logistics record '!$AD$1</f>
        <v>0</v>
      </c>
      <c r="L531" s="260">
        <f>Y531/'Logistics record '!$AD$1</f>
        <v>0</v>
      </c>
      <c r="M531" s="260">
        <f>AF531/'Logistics record '!$AD$1</f>
        <v>0</v>
      </c>
      <c r="N531" s="260" t="str" cm="1">
        <f t="array" ref="N531">_xlfn.IFS(
    OR(UPPER(S531)="AIR", UPPER(S531)="CPN"), "AIR",
    UPPER(S531)="TC", "LOCAL",
    TRUE, "SEA"
)</f>
        <v>AIR</v>
      </c>
      <c r="O531" s="260">
        <f t="shared" si="36"/>
        <v>15.116015418335726</v>
      </c>
      <c r="P531" s="184" t="s">
        <v>932</v>
      </c>
      <c r="Q531" s="185">
        <v>108358428360</v>
      </c>
      <c r="R531" s="186">
        <v>46192</v>
      </c>
      <c r="S531" s="187" t="s">
        <v>928</v>
      </c>
      <c r="T531" s="188">
        <v>1.4</v>
      </c>
      <c r="U531" s="188"/>
      <c r="V531" s="189">
        <v>400000</v>
      </c>
      <c r="W531" s="190"/>
      <c r="X531" s="190"/>
      <c r="Y531" s="190"/>
      <c r="Z531" s="189">
        <f t="shared" si="48"/>
        <v>400000</v>
      </c>
      <c r="AA531" s="189">
        <v>0</v>
      </c>
      <c r="AB531" s="189">
        <f t="shared" si="41"/>
        <v>400000</v>
      </c>
      <c r="AC531" s="189"/>
      <c r="AD531" s="190"/>
      <c r="AE531" s="190"/>
      <c r="AF531" s="191">
        <f t="shared" si="46"/>
        <v>0</v>
      </c>
      <c r="AG531" s="190">
        <f t="shared" si="47"/>
        <v>400000</v>
      </c>
      <c r="AH531" s="190"/>
      <c r="AI531" s="192" t="str">
        <f>VLOOKUP(Q531,[3]Sheet1!B$11:G$1489,6,0)</f>
        <v>G13</v>
      </c>
      <c r="GK531" s="194"/>
      <c r="GL531" s="195"/>
      <c r="GM531" s="196"/>
      <c r="GN531" s="197"/>
      <c r="GO531" s="198"/>
      <c r="GP531" s="199"/>
      <c r="GQ531" s="200"/>
      <c r="GR531" s="201"/>
      <c r="GS531" s="60"/>
      <c r="GT531" s="202"/>
      <c r="GU531" s="202"/>
      <c r="GV531" s="202"/>
      <c r="GW531" s="202"/>
      <c r="GX531" s="203"/>
      <c r="HA531" s="194"/>
      <c r="HB531" s="195"/>
      <c r="HC531" s="196"/>
      <c r="HD531" s="197"/>
      <c r="HE531" s="198"/>
      <c r="HF531" s="199"/>
      <c r="HG531" s="200"/>
      <c r="HH531" s="201"/>
      <c r="HI531" s="60"/>
      <c r="HJ531" s="202"/>
      <c r="HK531" s="202"/>
      <c r="HL531" s="202"/>
      <c r="HM531" s="202"/>
      <c r="HN531" s="203"/>
    </row>
    <row r="532" spans="1:222" ht="16.5" customHeight="1">
      <c r="A532" s="181">
        <v>529</v>
      </c>
      <c r="B532" s="182">
        <v>513597201561</v>
      </c>
      <c r="C532" s="183" t="s">
        <v>2900</v>
      </c>
      <c r="D532" s="184" t="s">
        <v>2894</v>
      </c>
      <c r="E532" s="184" t="str">
        <f t="shared" si="49"/>
        <v>Import</v>
      </c>
      <c r="F532" s="720" t="str" cm="1">
        <f t="array" ref="F532">_xlfn.IFS(
  OR(AI532="E11", AI532="E15"), "Raw materials",
  OR(AI532="E13", AI532="G13"), "Equipments + Toolings",
  TRUE, RIGHT(C532, 8)
)</f>
        <v>Equipments + Toolings</v>
      </c>
      <c r="G532" s="541" t="s">
        <v>1271</v>
      </c>
      <c r="H532" s="184"/>
      <c r="I532" s="184" t="s">
        <v>2116</v>
      </c>
      <c r="J532" s="260">
        <f>(V532+X532+AA532)/'Logistics record '!$AD$1</f>
        <v>15.116015418335726</v>
      </c>
      <c r="K532" s="260">
        <f>W532/'Logistics record '!$AD$1</f>
        <v>0</v>
      </c>
      <c r="L532" s="260">
        <f>Y532/'Logistics record '!$AD$1</f>
        <v>0</v>
      </c>
      <c r="M532" s="260">
        <f>AF532/'Logistics record '!$AD$1</f>
        <v>0</v>
      </c>
      <c r="N532" s="260" t="str" cm="1">
        <f t="array" ref="N532">_xlfn.IFS(
    OR(UPPER(S532)="AIR", UPPER(S532)="CPN"), "AIR",
    UPPER(S532)="TC", "LOCAL",
    TRUE, "SEA"
)</f>
        <v>AIR</v>
      </c>
      <c r="O532" s="260">
        <f t="shared" si="36"/>
        <v>15.116015418335726</v>
      </c>
      <c r="P532" s="184" t="s">
        <v>935</v>
      </c>
      <c r="Q532" s="185">
        <v>108364034810</v>
      </c>
      <c r="R532" s="186">
        <v>46195</v>
      </c>
      <c r="S532" s="187" t="s">
        <v>928</v>
      </c>
      <c r="T532" s="188">
        <v>0.8</v>
      </c>
      <c r="U532" s="188"/>
      <c r="V532" s="189">
        <v>400000</v>
      </c>
      <c r="W532" s="190"/>
      <c r="X532" s="190"/>
      <c r="Y532" s="190"/>
      <c r="Z532" s="189">
        <f t="shared" si="48"/>
        <v>400000</v>
      </c>
      <c r="AA532" s="189">
        <v>0</v>
      </c>
      <c r="AB532" s="189">
        <f t="shared" si="41"/>
        <v>400000</v>
      </c>
      <c r="AC532" s="189"/>
      <c r="AD532" s="190"/>
      <c r="AE532" s="190"/>
      <c r="AF532" s="191">
        <f t="shared" si="46"/>
        <v>0</v>
      </c>
      <c r="AG532" s="190">
        <f t="shared" si="47"/>
        <v>400000</v>
      </c>
      <c r="AH532" s="190"/>
      <c r="AI532" s="192" t="str">
        <f>VLOOKUP(Q532,[3]Sheet1!B$11:G$1489,6,0)</f>
        <v>G13</v>
      </c>
      <c r="GK532" s="194"/>
      <c r="GL532" s="195"/>
      <c r="GM532" s="196"/>
      <c r="GN532" s="197"/>
      <c r="GO532" s="198"/>
      <c r="GP532" s="199"/>
      <c r="GQ532" s="200"/>
      <c r="GR532" s="201"/>
      <c r="GS532" s="60"/>
      <c r="GT532" s="202"/>
      <c r="GU532" s="202"/>
      <c r="GV532" s="202"/>
      <c r="GW532" s="202"/>
      <c r="GX532" s="203"/>
      <c r="HA532" s="194"/>
      <c r="HB532" s="195"/>
      <c r="HC532" s="196"/>
      <c r="HD532" s="197"/>
      <c r="HE532" s="198"/>
      <c r="HF532" s="199"/>
      <c r="HG532" s="200"/>
      <c r="HH532" s="201"/>
      <c r="HI532" s="60"/>
      <c r="HJ532" s="202"/>
      <c r="HK532" s="202"/>
      <c r="HL532" s="202"/>
      <c r="HM532" s="202"/>
      <c r="HN532" s="203"/>
    </row>
    <row r="533" spans="1:222" ht="16.5" customHeight="1">
      <c r="A533" s="181">
        <v>530</v>
      </c>
      <c r="B533" s="182">
        <v>513597202020</v>
      </c>
      <c r="C533" s="183" t="s">
        <v>2901</v>
      </c>
      <c r="D533" s="184" t="s">
        <v>2902</v>
      </c>
      <c r="E533" s="184" t="str">
        <f t="shared" si="49"/>
        <v>Import</v>
      </c>
      <c r="F533" s="720" t="str" cm="1">
        <f t="array" ref="F533">_xlfn.IFS(
  OR(AI533="E11", AI533="E15"), "Raw materials",
  OR(AI533="E13", AI533="G13"), "Equipments + Toolings",
  TRUE, RIGHT(C533, 8)
)</f>
        <v>Equipments + Toolings</v>
      </c>
      <c r="G533" s="541" t="s">
        <v>1271</v>
      </c>
      <c r="H533" s="184"/>
      <c r="I533" s="184" t="s">
        <v>2116</v>
      </c>
      <c r="J533" s="260">
        <f>(V533+X533+AA533)/'Logistics record '!$AD$1</f>
        <v>15.116015418335726</v>
      </c>
      <c r="K533" s="260">
        <f>W533/'Logistics record '!$AD$1</f>
        <v>0</v>
      </c>
      <c r="L533" s="260">
        <f>Y533/'Logistics record '!$AD$1</f>
        <v>0</v>
      </c>
      <c r="M533" s="260">
        <f>AF533/'Logistics record '!$AD$1</f>
        <v>0</v>
      </c>
      <c r="N533" s="260" t="str" cm="1">
        <f t="array" ref="N533">_xlfn.IFS(
    OR(UPPER(S533)="AIR", UPPER(S533)="CPN"), "AIR",
    UPPER(S533)="TC", "LOCAL",
    TRUE, "SEA"
)</f>
        <v>AIR</v>
      </c>
      <c r="O533" s="260">
        <f t="shared" si="36"/>
        <v>15.116015418335726</v>
      </c>
      <c r="P533" s="184" t="s">
        <v>935</v>
      </c>
      <c r="Q533" s="185">
        <v>108367566420</v>
      </c>
      <c r="R533" s="186">
        <v>46196</v>
      </c>
      <c r="S533" s="187" t="s">
        <v>928</v>
      </c>
      <c r="T533" s="188">
        <v>0.9</v>
      </c>
      <c r="U533" s="188"/>
      <c r="V533" s="189">
        <v>400000</v>
      </c>
      <c r="W533" s="190"/>
      <c r="X533" s="190"/>
      <c r="Y533" s="190"/>
      <c r="Z533" s="189">
        <f t="shared" si="48"/>
        <v>400000</v>
      </c>
      <c r="AA533" s="189">
        <v>0</v>
      </c>
      <c r="AB533" s="189">
        <f t="shared" si="41"/>
        <v>400000</v>
      </c>
      <c r="AC533" s="189"/>
      <c r="AD533" s="190"/>
      <c r="AE533" s="190"/>
      <c r="AF533" s="191">
        <f t="shared" si="46"/>
        <v>0</v>
      </c>
      <c r="AG533" s="190">
        <f t="shared" si="47"/>
        <v>400000</v>
      </c>
      <c r="AH533" s="190"/>
      <c r="AI533" s="192" t="str">
        <f>VLOOKUP(Q533,[3]Sheet1!B$11:G$1489,6,0)</f>
        <v>G13</v>
      </c>
      <c r="GK533" s="194"/>
      <c r="GL533" s="195"/>
      <c r="GM533" s="196"/>
      <c r="GN533" s="197"/>
      <c r="GO533" s="198"/>
      <c r="GP533" s="199"/>
      <c r="GQ533" s="200"/>
      <c r="GR533" s="201"/>
      <c r="GS533" s="60"/>
      <c r="GT533" s="202"/>
      <c r="GU533" s="202"/>
      <c r="GV533" s="202"/>
      <c r="GW533" s="202"/>
      <c r="GX533" s="203"/>
      <c r="HA533" s="194"/>
      <c r="HB533" s="195"/>
      <c r="HC533" s="196"/>
      <c r="HD533" s="197"/>
      <c r="HE533" s="198"/>
      <c r="HF533" s="199"/>
      <c r="HG533" s="200"/>
      <c r="HH533" s="201"/>
      <c r="HI533" s="60"/>
      <c r="HJ533" s="202"/>
      <c r="HK533" s="202"/>
      <c r="HL533" s="202"/>
      <c r="HM533" s="202"/>
      <c r="HN533" s="203"/>
    </row>
    <row r="534" spans="1:222" ht="16.5" customHeight="1">
      <c r="A534" s="181">
        <v>531</v>
      </c>
      <c r="B534" s="182" t="s">
        <v>1333</v>
      </c>
      <c r="C534" s="183" t="s">
        <v>2903</v>
      </c>
      <c r="D534" s="184" t="s">
        <v>2904</v>
      </c>
      <c r="E534" s="184" t="str">
        <f t="shared" si="49"/>
        <v>Import</v>
      </c>
      <c r="F534" s="720" t="str" cm="1">
        <f t="array" ref="F534">_xlfn.IFS(
  OR(AI534="E11", AI534="E15"), "Raw materials",
  OR(AI534="E13", AI534="G13"), "Equipments + Toolings",
  TRUE, RIGHT(C534, 8)
)</f>
        <v>Equipments + Toolings</v>
      </c>
      <c r="G534" s="541" t="s">
        <v>1608</v>
      </c>
      <c r="H534" s="184"/>
      <c r="I534" s="184"/>
      <c r="J534" s="260">
        <f>(V534+X534+AA534)/'Logistics record '!$AD$1</f>
        <v>15.116000302320307</v>
      </c>
      <c r="K534" s="260">
        <f>W534/'Logistics record '!$AD$1</f>
        <v>0</v>
      </c>
      <c r="L534" s="260">
        <f>Y534/'Logistics record '!$AD$1</f>
        <v>0</v>
      </c>
      <c r="M534" s="260">
        <f>AF534/'Logistics record '!$AD$1</f>
        <v>0</v>
      </c>
      <c r="N534" s="260" t="str" cm="1">
        <f t="array" ref="N534">_xlfn.IFS(
    OR(UPPER(S534)="AIR", UPPER(S534)="CPN"), "AIR",
    UPPER(S534)="TC", "LOCAL",
    TRUE, "SEA"
)</f>
        <v>LOCAL</v>
      </c>
      <c r="O534" s="260">
        <f t="shared" si="36"/>
        <v>15.116000302320307</v>
      </c>
      <c r="P534" s="184" t="s">
        <v>971</v>
      </c>
      <c r="Q534" s="185">
        <v>108288741300</v>
      </c>
      <c r="R534" s="186">
        <v>46171</v>
      </c>
      <c r="S534" s="187" t="s">
        <v>986</v>
      </c>
      <c r="T534" s="188">
        <v>1005</v>
      </c>
      <c r="U534" s="188"/>
      <c r="V534" s="189">
        <v>370370</v>
      </c>
      <c r="W534" s="190"/>
      <c r="X534" s="190"/>
      <c r="Y534" s="190"/>
      <c r="Z534" s="189">
        <f t="shared" si="48"/>
        <v>370370</v>
      </c>
      <c r="AA534" s="189">
        <v>29629.600000000002</v>
      </c>
      <c r="AB534" s="189">
        <f t="shared" si="41"/>
        <v>399999.6</v>
      </c>
      <c r="AC534" s="189"/>
      <c r="AD534" s="190"/>
      <c r="AE534" s="190"/>
      <c r="AF534" s="191">
        <f t="shared" si="46"/>
        <v>0</v>
      </c>
      <c r="AG534" s="190">
        <f t="shared" si="47"/>
        <v>399999.6</v>
      </c>
      <c r="AH534" s="190"/>
      <c r="AI534" s="192" t="str">
        <f>VLOOKUP(Q534,[3]Sheet1!B$11:G$1489,6,0)</f>
        <v>E13</v>
      </c>
      <c r="GK534" s="194"/>
      <c r="GL534" s="195"/>
      <c r="GM534" s="196"/>
      <c r="GN534" s="197"/>
      <c r="GO534" s="198"/>
      <c r="GP534" s="199"/>
      <c r="GQ534" s="200"/>
      <c r="GR534" s="201"/>
      <c r="GS534" s="60"/>
      <c r="GT534" s="202"/>
      <c r="GU534" s="202"/>
      <c r="GV534" s="202"/>
      <c r="GW534" s="202"/>
      <c r="GX534" s="203"/>
      <c r="HA534" s="194"/>
      <c r="HB534" s="195"/>
      <c r="HC534" s="196"/>
      <c r="HD534" s="197"/>
      <c r="HE534" s="198"/>
      <c r="HF534" s="199"/>
      <c r="HG534" s="200"/>
      <c r="HH534" s="201"/>
      <c r="HI534" s="60"/>
      <c r="HJ534" s="202"/>
      <c r="HK534" s="202"/>
      <c r="HL534" s="202"/>
      <c r="HM534" s="202"/>
      <c r="HN534" s="203"/>
    </row>
    <row r="535" spans="1:222" ht="16.5" customHeight="1">
      <c r="A535" s="181">
        <v>532</v>
      </c>
      <c r="B535" s="182" t="s">
        <v>1333</v>
      </c>
      <c r="C535" s="183" t="s">
        <v>2905</v>
      </c>
      <c r="D535" s="184" t="s">
        <v>2906</v>
      </c>
      <c r="E535" s="184" t="str">
        <f t="shared" si="49"/>
        <v>Import</v>
      </c>
      <c r="F535" s="720" t="str" cm="1">
        <f t="array" ref="F535">_xlfn.IFS(
  OR(AI535="E11", AI535="E15"), "Raw materials",
  OR(AI535="E13", AI535="G13"), "Equipments + Toolings",
  TRUE, RIGHT(C535, 8)
)</f>
        <v>Equipments + Toolings</v>
      </c>
      <c r="G535" s="541" t="s">
        <v>1608</v>
      </c>
      <c r="H535" s="184"/>
      <c r="I535" s="184"/>
      <c r="J535" s="260">
        <f>(V535+X535+AA535)/'Logistics record '!$AD$1</f>
        <v>15.116000302320307</v>
      </c>
      <c r="K535" s="260">
        <f>W535/'Logistics record '!$AD$1</f>
        <v>0</v>
      </c>
      <c r="L535" s="260">
        <f>Y535/'Logistics record '!$AD$1</f>
        <v>0</v>
      </c>
      <c r="M535" s="260">
        <f>AF535/'Logistics record '!$AD$1</f>
        <v>0</v>
      </c>
      <c r="N535" s="260" t="str" cm="1">
        <f t="array" ref="N535">_xlfn.IFS(
    OR(UPPER(S535)="AIR", UPPER(S535)="CPN"), "AIR",
    UPPER(S535)="TC", "LOCAL",
    TRUE, "SEA"
)</f>
        <v>LOCAL</v>
      </c>
      <c r="O535" s="260">
        <f t="shared" si="36"/>
        <v>15.116000302320307</v>
      </c>
      <c r="P535" s="184" t="s">
        <v>971</v>
      </c>
      <c r="Q535" s="185">
        <v>108277155120</v>
      </c>
      <c r="R535" s="186">
        <v>46168</v>
      </c>
      <c r="S535" s="187" t="s">
        <v>986</v>
      </c>
      <c r="T535" s="188">
        <v>16</v>
      </c>
      <c r="U535" s="188"/>
      <c r="V535" s="189">
        <v>370370</v>
      </c>
      <c r="W535" s="190"/>
      <c r="X535" s="190"/>
      <c r="Y535" s="190"/>
      <c r="Z535" s="189">
        <f t="shared" si="48"/>
        <v>370370</v>
      </c>
      <c r="AA535" s="189">
        <v>29629.600000000002</v>
      </c>
      <c r="AB535" s="189">
        <f t="shared" si="41"/>
        <v>399999.6</v>
      </c>
      <c r="AC535" s="189"/>
      <c r="AD535" s="190"/>
      <c r="AE535" s="190"/>
      <c r="AF535" s="191">
        <f t="shared" si="46"/>
        <v>0</v>
      </c>
      <c r="AG535" s="190">
        <f t="shared" si="47"/>
        <v>399999.6</v>
      </c>
      <c r="AH535" s="190"/>
      <c r="AI535" s="192" t="str">
        <f>VLOOKUP(Q535,[3]Sheet1!B$11:G$1489,6,0)</f>
        <v>E13</v>
      </c>
      <c r="GK535" s="194"/>
      <c r="GL535" s="195"/>
      <c r="GM535" s="196"/>
      <c r="GN535" s="197"/>
      <c r="GO535" s="198"/>
      <c r="GP535" s="199"/>
      <c r="GQ535" s="200"/>
      <c r="GR535" s="201"/>
      <c r="GS535" s="60"/>
      <c r="GT535" s="202"/>
      <c r="GU535" s="202"/>
      <c r="GV535" s="202"/>
      <c r="GW535" s="202"/>
      <c r="GX535" s="203"/>
      <c r="HA535" s="194"/>
      <c r="HB535" s="195"/>
      <c r="HC535" s="196"/>
      <c r="HD535" s="197"/>
      <c r="HE535" s="198"/>
      <c r="HF535" s="199"/>
      <c r="HG535" s="200"/>
      <c r="HH535" s="201"/>
      <c r="HI535" s="60"/>
      <c r="HJ535" s="202"/>
      <c r="HK535" s="202"/>
      <c r="HL535" s="202"/>
      <c r="HM535" s="202"/>
      <c r="HN535" s="203"/>
    </row>
    <row r="536" spans="1:222" ht="16.5" customHeight="1">
      <c r="A536" s="181">
        <v>533</v>
      </c>
      <c r="B536" s="182" t="s">
        <v>1333</v>
      </c>
      <c r="C536" s="183" t="s">
        <v>2907</v>
      </c>
      <c r="D536" s="184" t="s">
        <v>2908</v>
      </c>
      <c r="E536" s="184" t="str">
        <f t="shared" si="49"/>
        <v>Import</v>
      </c>
      <c r="F536" s="720" t="str" cm="1">
        <f t="array" ref="F536">_xlfn.IFS(
  OR(AI536="E11", AI536="E15"), "Raw materials",
  OR(AI536="E13", AI536="G13"), "Equipments + Toolings",
  TRUE, RIGHT(C536, 8)
)</f>
        <v>Equipments + Toolings</v>
      </c>
      <c r="G536" s="541" t="s">
        <v>1608</v>
      </c>
      <c r="H536" s="184"/>
      <c r="I536" s="184"/>
      <c r="J536" s="260">
        <f>(V536+X536+AA536)/'Logistics record '!$AD$1</f>
        <v>15.116000302320307</v>
      </c>
      <c r="K536" s="260">
        <f>W536/'Logistics record '!$AD$1</f>
        <v>0</v>
      </c>
      <c r="L536" s="260">
        <f>Y536/'Logistics record '!$AD$1</f>
        <v>0</v>
      </c>
      <c r="M536" s="260">
        <f>AF536/'Logistics record '!$AD$1</f>
        <v>0</v>
      </c>
      <c r="N536" s="260" t="str" cm="1">
        <f t="array" ref="N536">_xlfn.IFS(
    OR(UPPER(S536)="AIR", UPPER(S536)="CPN"), "AIR",
    UPPER(S536)="TC", "LOCAL",
    TRUE, "SEA"
)</f>
        <v>LOCAL</v>
      </c>
      <c r="O536" s="260">
        <f t="shared" si="36"/>
        <v>15.116000302320307</v>
      </c>
      <c r="P536" s="184" t="s">
        <v>971</v>
      </c>
      <c r="Q536" s="185">
        <v>108277290700</v>
      </c>
      <c r="R536" s="186">
        <v>46168</v>
      </c>
      <c r="S536" s="187" t="s">
        <v>986</v>
      </c>
      <c r="T536" s="188">
        <v>3</v>
      </c>
      <c r="U536" s="188"/>
      <c r="V536" s="189">
        <v>370370</v>
      </c>
      <c r="W536" s="190"/>
      <c r="X536" s="190"/>
      <c r="Y536" s="190"/>
      <c r="Z536" s="189">
        <f t="shared" si="48"/>
        <v>370370</v>
      </c>
      <c r="AA536" s="189">
        <v>29629.600000000002</v>
      </c>
      <c r="AB536" s="189">
        <f t="shared" si="41"/>
        <v>399999.6</v>
      </c>
      <c r="AC536" s="189"/>
      <c r="AD536" s="190"/>
      <c r="AE536" s="190"/>
      <c r="AF536" s="191">
        <f t="shared" si="46"/>
        <v>0</v>
      </c>
      <c r="AG536" s="190">
        <f t="shared" si="47"/>
        <v>399999.6</v>
      </c>
      <c r="AH536" s="190"/>
      <c r="AI536" s="192" t="str">
        <f>VLOOKUP(Q536,[3]Sheet1!B$11:G$1489,6,0)</f>
        <v>E13</v>
      </c>
      <c r="GK536" s="194"/>
      <c r="GL536" s="195"/>
      <c r="GM536" s="196"/>
      <c r="GN536" s="197"/>
      <c r="GO536" s="198"/>
      <c r="GP536" s="199"/>
      <c r="GQ536" s="200"/>
      <c r="GR536" s="201"/>
      <c r="GS536" s="60"/>
      <c r="GT536" s="202"/>
      <c r="GU536" s="202"/>
      <c r="GV536" s="202"/>
      <c r="GW536" s="202"/>
      <c r="GX536" s="203"/>
      <c r="HA536" s="194"/>
      <c r="HB536" s="195"/>
      <c r="HC536" s="196"/>
      <c r="HD536" s="197"/>
      <c r="HE536" s="198"/>
      <c r="HF536" s="199"/>
      <c r="HG536" s="200"/>
      <c r="HH536" s="201"/>
      <c r="HI536" s="60"/>
      <c r="HJ536" s="202"/>
      <c r="HK536" s="202"/>
      <c r="HL536" s="202"/>
      <c r="HM536" s="202"/>
      <c r="HN536" s="203"/>
    </row>
    <row r="537" spans="1:222" ht="16.5" customHeight="1">
      <c r="A537" s="181">
        <v>534</v>
      </c>
      <c r="B537" s="182" t="s">
        <v>1333</v>
      </c>
      <c r="C537" s="183" t="s">
        <v>2909</v>
      </c>
      <c r="D537" s="184" t="s">
        <v>2910</v>
      </c>
      <c r="E537" s="184" t="str">
        <f t="shared" si="49"/>
        <v>Import</v>
      </c>
      <c r="F537" s="720" t="str" cm="1">
        <f t="array" ref="F537">_xlfn.IFS(
  OR(AI537="E11", AI537="E15"), "Raw materials",
  OR(AI537="E13", AI537="G13"), "Equipments + Toolings",
  TRUE, RIGHT(C537, 8)
)</f>
        <v>Equipments + Toolings</v>
      </c>
      <c r="G537" s="541" t="s">
        <v>1608</v>
      </c>
      <c r="H537" s="184"/>
      <c r="I537" s="184"/>
      <c r="J537" s="260">
        <f>(V537+X537+AA537)/'Logistics record '!$AD$1</f>
        <v>15.116000302320307</v>
      </c>
      <c r="K537" s="260">
        <f>W537/'Logistics record '!$AD$1</f>
        <v>0</v>
      </c>
      <c r="L537" s="260">
        <f>Y537/'Logistics record '!$AD$1</f>
        <v>0</v>
      </c>
      <c r="M537" s="260">
        <f>AF537/'Logistics record '!$AD$1</f>
        <v>0</v>
      </c>
      <c r="N537" s="260" t="str" cm="1">
        <f t="array" ref="N537">_xlfn.IFS(
    OR(UPPER(S537)="AIR", UPPER(S537)="CPN"), "AIR",
    UPPER(S537)="TC", "LOCAL",
    TRUE, "SEA"
)</f>
        <v>LOCAL</v>
      </c>
      <c r="O537" s="260">
        <f t="shared" si="36"/>
        <v>15.116000302320307</v>
      </c>
      <c r="P537" s="184" t="s">
        <v>971</v>
      </c>
      <c r="Q537" s="185">
        <v>108277391130</v>
      </c>
      <c r="R537" s="186">
        <v>46168</v>
      </c>
      <c r="S537" s="187" t="s">
        <v>986</v>
      </c>
      <c r="T537" s="188">
        <v>2.5</v>
      </c>
      <c r="U537" s="188"/>
      <c r="V537" s="189">
        <v>370370</v>
      </c>
      <c r="W537" s="190"/>
      <c r="X537" s="190"/>
      <c r="Y537" s="190"/>
      <c r="Z537" s="189">
        <f t="shared" si="48"/>
        <v>370370</v>
      </c>
      <c r="AA537" s="189">
        <v>29629.600000000002</v>
      </c>
      <c r="AB537" s="189">
        <f t="shared" si="41"/>
        <v>399999.6</v>
      </c>
      <c r="AC537" s="189"/>
      <c r="AD537" s="190"/>
      <c r="AE537" s="190"/>
      <c r="AF537" s="191">
        <f t="shared" si="46"/>
        <v>0</v>
      </c>
      <c r="AG537" s="190">
        <f t="shared" si="47"/>
        <v>399999.6</v>
      </c>
      <c r="AH537" s="190"/>
      <c r="AI537" s="192" t="str">
        <f>VLOOKUP(Q537,[3]Sheet1!B$11:G$1489,6,0)</f>
        <v>E13</v>
      </c>
      <c r="GK537" s="194"/>
      <c r="GL537" s="195"/>
      <c r="GM537" s="196"/>
      <c r="GN537" s="197"/>
      <c r="GO537" s="198"/>
      <c r="GP537" s="199"/>
      <c r="GQ537" s="200"/>
      <c r="GR537" s="201"/>
      <c r="GS537" s="60"/>
      <c r="GT537" s="202"/>
      <c r="GU537" s="202"/>
      <c r="GV537" s="202"/>
      <c r="GW537" s="202"/>
      <c r="GX537" s="203"/>
      <c r="HA537" s="194"/>
      <c r="HB537" s="195"/>
      <c r="HC537" s="196"/>
      <c r="HD537" s="197"/>
      <c r="HE537" s="198"/>
      <c r="HF537" s="199"/>
      <c r="HG537" s="200"/>
      <c r="HH537" s="201"/>
      <c r="HI537" s="60"/>
      <c r="HJ537" s="202"/>
      <c r="HK537" s="202"/>
      <c r="HL537" s="202"/>
      <c r="HM537" s="202"/>
      <c r="HN537" s="203"/>
    </row>
    <row r="538" spans="1:222" ht="16.5" customHeight="1">
      <c r="A538" s="181">
        <v>535</v>
      </c>
      <c r="B538" s="182" t="s">
        <v>1333</v>
      </c>
      <c r="C538" s="183" t="s">
        <v>2911</v>
      </c>
      <c r="D538" s="184" t="s">
        <v>2912</v>
      </c>
      <c r="E538" s="184" t="str">
        <f t="shared" si="49"/>
        <v>Import</v>
      </c>
      <c r="F538" s="720" t="str" cm="1">
        <f t="array" ref="F538">_xlfn.IFS(
  OR(AI538="E11", AI538="E15"), "Raw materials",
  OR(AI538="E13", AI538="G13"), "Equipments + Toolings",
  TRUE, RIGHT(C538, 8)
)</f>
        <v>Equipments + Toolings</v>
      </c>
      <c r="G538" s="541" t="s">
        <v>1608</v>
      </c>
      <c r="H538" s="184"/>
      <c r="I538" s="184"/>
      <c r="J538" s="260">
        <f>(V538+X538+AA538)/'Logistics record '!$AD$1</f>
        <v>15.116000302320307</v>
      </c>
      <c r="K538" s="260">
        <f>W538/'Logistics record '!$AD$1</f>
        <v>0</v>
      </c>
      <c r="L538" s="260">
        <f>Y538/'Logistics record '!$AD$1</f>
        <v>0</v>
      </c>
      <c r="M538" s="260">
        <f>AF538/'Logistics record '!$AD$1</f>
        <v>0</v>
      </c>
      <c r="N538" s="260" t="str" cm="1">
        <f t="array" ref="N538">_xlfn.IFS(
    OR(UPPER(S538)="AIR", UPPER(S538)="CPN"), "AIR",
    UPPER(S538)="TC", "LOCAL",
    TRUE, "SEA"
)</f>
        <v>LOCAL</v>
      </c>
      <c r="O538" s="260">
        <f t="shared" si="36"/>
        <v>15.116000302320307</v>
      </c>
      <c r="P538" s="184" t="s">
        <v>971</v>
      </c>
      <c r="Q538" s="185">
        <v>108285438810</v>
      </c>
      <c r="R538" s="186">
        <v>46170</v>
      </c>
      <c r="S538" s="187" t="s">
        <v>986</v>
      </c>
      <c r="T538" s="188">
        <v>111</v>
      </c>
      <c r="U538" s="188"/>
      <c r="V538" s="189">
        <v>370370</v>
      </c>
      <c r="W538" s="190"/>
      <c r="X538" s="190"/>
      <c r="Y538" s="190"/>
      <c r="Z538" s="189">
        <f t="shared" si="48"/>
        <v>370370</v>
      </c>
      <c r="AA538" s="189">
        <v>29629.600000000002</v>
      </c>
      <c r="AB538" s="189">
        <f t="shared" si="41"/>
        <v>399999.6</v>
      </c>
      <c r="AC538" s="189"/>
      <c r="AD538" s="190"/>
      <c r="AE538" s="190"/>
      <c r="AF538" s="191">
        <f t="shared" si="46"/>
        <v>0</v>
      </c>
      <c r="AG538" s="190">
        <f t="shared" si="47"/>
        <v>399999.6</v>
      </c>
      <c r="AH538" s="190"/>
      <c r="AI538" s="192" t="str">
        <f>VLOOKUP(Q538,[3]Sheet1!B$11:G$1489,6,0)</f>
        <v>E13</v>
      </c>
      <c r="GK538" s="194"/>
      <c r="GL538" s="195"/>
      <c r="GM538" s="196"/>
      <c r="GN538" s="197"/>
      <c r="GO538" s="198"/>
      <c r="GP538" s="199"/>
      <c r="GQ538" s="200"/>
      <c r="GR538" s="201"/>
      <c r="GS538" s="60"/>
      <c r="GT538" s="202"/>
      <c r="GU538" s="202"/>
      <c r="GV538" s="202"/>
      <c r="GW538" s="202"/>
      <c r="GX538" s="203"/>
      <c r="HA538" s="194"/>
      <c r="HB538" s="195"/>
      <c r="HC538" s="196"/>
      <c r="HD538" s="197"/>
      <c r="HE538" s="198"/>
      <c r="HF538" s="199"/>
      <c r="HG538" s="200"/>
      <c r="HH538" s="201"/>
      <c r="HI538" s="60"/>
      <c r="HJ538" s="202"/>
      <c r="HK538" s="202"/>
      <c r="HL538" s="202"/>
      <c r="HM538" s="202"/>
      <c r="HN538" s="203"/>
    </row>
    <row r="539" spans="1:222" ht="16.5" customHeight="1">
      <c r="A539" s="181">
        <v>536</v>
      </c>
      <c r="B539" s="182" t="s">
        <v>1333</v>
      </c>
      <c r="C539" s="183" t="s">
        <v>2913</v>
      </c>
      <c r="D539" s="184" t="s">
        <v>2914</v>
      </c>
      <c r="E539" s="184" t="str">
        <f t="shared" si="49"/>
        <v>Import</v>
      </c>
      <c r="F539" s="720" t="str" cm="1">
        <f t="array" ref="F539">_xlfn.IFS(
  OR(AI539="E11", AI539="E15"), "Raw materials",
  OR(AI539="E13", AI539="G13"), "Equipments + Toolings",
  TRUE, RIGHT(C539, 8)
)</f>
        <v>Equipments + Toolings</v>
      </c>
      <c r="G539" s="541" t="s">
        <v>1608</v>
      </c>
      <c r="H539" s="184"/>
      <c r="I539" s="184"/>
      <c r="J539" s="260">
        <f>(V539+X539+AA539)/'Logistics record '!$AD$1</f>
        <v>15.116000302320307</v>
      </c>
      <c r="K539" s="260">
        <f>W539/'Logistics record '!$AD$1</f>
        <v>0</v>
      </c>
      <c r="L539" s="260">
        <f>Y539/'Logistics record '!$AD$1</f>
        <v>0</v>
      </c>
      <c r="M539" s="260">
        <f>AF539/'Logistics record '!$AD$1</f>
        <v>0</v>
      </c>
      <c r="N539" s="260" t="str" cm="1">
        <f t="array" ref="N539">_xlfn.IFS(
    OR(UPPER(S539)="AIR", UPPER(S539)="CPN"), "AIR",
    UPPER(S539)="TC", "LOCAL",
    TRUE, "SEA"
)</f>
        <v>LOCAL</v>
      </c>
      <c r="O539" s="260">
        <f t="shared" si="36"/>
        <v>15.116000302320307</v>
      </c>
      <c r="P539" s="184" t="s">
        <v>971</v>
      </c>
      <c r="Q539" s="185">
        <v>108288349300</v>
      </c>
      <c r="R539" s="186">
        <v>46171</v>
      </c>
      <c r="S539" s="187" t="s">
        <v>986</v>
      </c>
      <c r="T539" s="188">
        <v>19.63</v>
      </c>
      <c r="U539" s="188"/>
      <c r="V539" s="189">
        <v>370370</v>
      </c>
      <c r="W539" s="190"/>
      <c r="X539" s="190"/>
      <c r="Y539" s="190"/>
      <c r="Z539" s="189">
        <f t="shared" si="48"/>
        <v>370370</v>
      </c>
      <c r="AA539" s="189">
        <v>29629.600000000002</v>
      </c>
      <c r="AB539" s="189">
        <f t="shared" si="41"/>
        <v>399999.6</v>
      </c>
      <c r="AC539" s="189"/>
      <c r="AD539" s="190"/>
      <c r="AE539" s="190"/>
      <c r="AF539" s="191">
        <f t="shared" si="46"/>
        <v>0</v>
      </c>
      <c r="AG539" s="190">
        <f t="shared" si="47"/>
        <v>399999.6</v>
      </c>
      <c r="AH539" s="190"/>
      <c r="AI539" s="192" t="str">
        <f>VLOOKUP(Q539,[3]Sheet1!B$11:G$1489,6,0)</f>
        <v>E13</v>
      </c>
      <c r="GK539" s="194"/>
      <c r="GL539" s="195"/>
      <c r="GM539" s="196"/>
      <c r="GN539" s="197"/>
      <c r="GO539" s="198"/>
      <c r="GP539" s="199"/>
      <c r="GQ539" s="200"/>
      <c r="GR539" s="201"/>
      <c r="GS539" s="60"/>
      <c r="GT539" s="202"/>
      <c r="GU539" s="202"/>
      <c r="GV539" s="202"/>
      <c r="GW539" s="202"/>
      <c r="GX539" s="203"/>
      <c r="HA539" s="194"/>
      <c r="HB539" s="195"/>
      <c r="HC539" s="196"/>
      <c r="HD539" s="197"/>
      <c r="HE539" s="198"/>
      <c r="HF539" s="199"/>
      <c r="HG539" s="200"/>
      <c r="HH539" s="201"/>
      <c r="HI539" s="60"/>
      <c r="HJ539" s="202"/>
      <c r="HK539" s="202"/>
      <c r="HL539" s="202"/>
      <c r="HM539" s="202"/>
      <c r="HN539" s="203"/>
    </row>
    <row r="540" spans="1:222" ht="16.5" customHeight="1">
      <c r="A540" s="181">
        <v>537</v>
      </c>
      <c r="B540" s="182" t="s">
        <v>1333</v>
      </c>
      <c r="C540" s="183" t="s">
        <v>2915</v>
      </c>
      <c r="D540" s="184" t="s">
        <v>2916</v>
      </c>
      <c r="E540" s="184" t="str">
        <f t="shared" si="49"/>
        <v>Import</v>
      </c>
      <c r="F540" s="720" t="str" cm="1">
        <f t="array" ref="F540">_xlfn.IFS(
  OR(AI540="E11", AI540="E15"), "Raw materials",
  OR(AI540="E13", AI540="G13"), "Equipments + Toolings",
  TRUE, RIGHT(C540, 8)
)</f>
        <v>Equipments + Toolings</v>
      </c>
      <c r="G540" s="541" t="s">
        <v>1608</v>
      </c>
      <c r="H540" s="184"/>
      <c r="I540" s="184"/>
      <c r="J540" s="260">
        <f>(V540+X540+AA540)/'Logistics record '!$AD$1</f>
        <v>15.116000302320307</v>
      </c>
      <c r="K540" s="260">
        <f>W540/'Logistics record '!$AD$1</f>
        <v>0</v>
      </c>
      <c r="L540" s="260">
        <f>Y540/'Logistics record '!$AD$1</f>
        <v>0</v>
      </c>
      <c r="M540" s="260">
        <f>AF540/'Logistics record '!$AD$1</f>
        <v>0</v>
      </c>
      <c r="N540" s="260" t="str" cm="1">
        <f t="array" ref="N540">_xlfn.IFS(
    OR(UPPER(S540)="AIR", UPPER(S540)="CPN"), "AIR",
    UPPER(S540)="TC", "LOCAL",
    TRUE, "SEA"
)</f>
        <v>LOCAL</v>
      </c>
      <c r="O540" s="260">
        <f t="shared" si="36"/>
        <v>15.116000302320307</v>
      </c>
      <c r="P540" s="184" t="s">
        <v>971</v>
      </c>
      <c r="Q540" s="185">
        <v>108288725200</v>
      </c>
      <c r="R540" s="186">
        <v>46171</v>
      </c>
      <c r="S540" s="187" t="s">
        <v>986</v>
      </c>
      <c r="T540" s="188">
        <v>900.5</v>
      </c>
      <c r="U540" s="188"/>
      <c r="V540" s="189">
        <v>370370</v>
      </c>
      <c r="W540" s="190"/>
      <c r="X540" s="190"/>
      <c r="Y540" s="190"/>
      <c r="Z540" s="189">
        <f t="shared" si="48"/>
        <v>370370</v>
      </c>
      <c r="AA540" s="189">
        <v>29629.600000000002</v>
      </c>
      <c r="AB540" s="189">
        <f t="shared" si="41"/>
        <v>399999.6</v>
      </c>
      <c r="AC540" s="189"/>
      <c r="AD540" s="190"/>
      <c r="AE540" s="190"/>
      <c r="AF540" s="191">
        <f t="shared" si="46"/>
        <v>0</v>
      </c>
      <c r="AG540" s="190">
        <f t="shared" si="47"/>
        <v>399999.6</v>
      </c>
      <c r="AH540" s="190"/>
      <c r="AI540" s="192" t="str">
        <f>VLOOKUP(Q540,[3]Sheet1!B$11:G$1489,6,0)</f>
        <v>E13</v>
      </c>
      <c r="GK540" s="194"/>
      <c r="GL540" s="195"/>
      <c r="GM540" s="196"/>
      <c r="GN540" s="197"/>
      <c r="GO540" s="198"/>
      <c r="GP540" s="199"/>
      <c r="GQ540" s="200"/>
      <c r="GR540" s="201"/>
      <c r="GS540" s="60"/>
      <c r="GT540" s="202"/>
      <c r="GU540" s="202"/>
      <c r="GV540" s="202"/>
      <c r="GW540" s="202"/>
      <c r="GX540" s="203"/>
      <c r="HA540" s="194"/>
      <c r="HB540" s="195"/>
      <c r="HC540" s="196"/>
      <c r="HD540" s="197"/>
      <c r="HE540" s="198"/>
      <c r="HF540" s="199"/>
      <c r="HG540" s="200"/>
      <c r="HH540" s="201"/>
      <c r="HI540" s="60"/>
      <c r="HJ540" s="202"/>
      <c r="HK540" s="202"/>
      <c r="HL540" s="202"/>
      <c r="HM540" s="202"/>
      <c r="HN540" s="203"/>
    </row>
    <row r="541" spans="1:222" ht="16.5" customHeight="1">
      <c r="A541" s="181">
        <v>538</v>
      </c>
      <c r="B541" s="182" t="s">
        <v>1333</v>
      </c>
      <c r="C541" s="183" t="s">
        <v>2917</v>
      </c>
      <c r="D541" s="184" t="s">
        <v>2918</v>
      </c>
      <c r="E541" s="184" t="str">
        <f t="shared" si="49"/>
        <v>Import</v>
      </c>
      <c r="F541" s="720" t="str" cm="1">
        <f t="array" ref="F541">_xlfn.IFS(
  OR(AI541="E11", AI541="E15"), "Raw materials",
  OR(AI541="E13", AI541="G13"), "Equipments + Toolings",
  TRUE, RIGHT(C541, 8)
)</f>
        <v>Equipments + Toolings</v>
      </c>
      <c r="G541" s="541" t="s">
        <v>1608</v>
      </c>
      <c r="H541" s="184"/>
      <c r="I541" s="184"/>
      <c r="J541" s="260">
        <f>(V541+X541+AA541)/'Logistics record '!$AD$1</f>
        <v>15.116000302320307</v>
      </c>
      <c r="K541" s="260">
        <f>W541/'Logistics record '!$AD$1</f>
        <v>0</v>
      </c>
      <c r="L541" s="260">
        <f>Y541/'Logistics record '!$AD$1</f>
        <v>0</v>
      </c>
      <c r="M541" s="260">
        <f>AF541/'Logistics record '!$AD$1</f>
        <v>0</v>
      </c>
      <c r="N541" s="260" t="str" cm="1">
        <f t="array" ref="N541">_xlfn.IFS(
    OR(UPPER(S541)="AIR", UPPER(S541)="CPN"), "AIR",
    UPPER(S541)="TC", "LOCAL",
    TRUE, "SEA"
)</f>
        <v>LOCAL</v>
      </c>
      <c r="O541" s="260">
        <f t="shared" si="36"/>
        <v>15.116000302320307</v>
      </c>
      <c r="P541" s="184" t="s">
        <v>971</v>
      </c>
      <c r="Q541" s="185">
        <v>108288844200</v>
      </c>
      <c r="R541" s="186">
        <v>46171</v>
      </c>
      <c r="S541" s="187" t="s">
        <v>986</v>
      </c>
      <c r="T541" s="188">
        <v>8.4</v>
      </c>
      <c r="U541" s="188"/>
      <c r="V541" s="189">
        <v>370370</v>
      </c>
      <c r="W541" s="190"/>
      <c r="X541" s="190"/>
      <c r="Y541" s="190"/>
      <c r="Z541" s="189">
        <f t="shared" si="48"/>
        <v>370370</v>
      </c>
      <c r="AA541" s="189">
        <v>29629.600000000002</v>
      </c>
      <c r="AB541" s="189">
        <f t="shared" si="41"/>
        <v>399999.6</v>
      </c>
      <c r="AC541" s="189"/>
      <c r="AD541" s="190"/>
      <c r="AE541" s="190"/>
      <c r="AF541" s="191">
        <f t="shared" si="46"/>
        <v>0</v>
      </c>
      <c r="AG541" s="190">
        <f t="shared" si="47"/>
        <v>399999.6</v>
      </c>
      <c r="AH541" s="190"/>
      <c r="AI541" s="192" t="str">
        <f>VLOOKUP(Q541,[3]Sheet1!B$11:G$1489,6,0)</f>
        <v>E13</v>
      </c>
      <c r="GK541" s="194"/>
      <c r="GL541" s="195"/>
      <c r="GM541" s="196"/>
      <c r="GN541" s="197"/>
      <c r="GO541" s="198"/>
      <c r="GP541" s="199"/>
      <c r="GQ541" s="200"/>
      <c r="GR541" s="201"/>
      <c r="GS541" s="60"/>
      <c r="GT541" s="202"/>
      <c r="GU541" s="202"/>
      <c r="GV541" s="202"/>
      <c r="GW541" s="202"/>
      <c r="GX541" s="203"/>
      <c r="HA541" s="194"/>
      <c r="HB541" s="195"/>
      <c r="HC541" s="196"/>
      <c r="HD541" s="197"/>
      <c r="HE541" s="198"/>
      <c r="HF541" s="199"/>
      <c r="HG541" s="200"/>
      <c r="HH541" s="201"/>
      <c r="HI541" s="60"/>
      <c r="HJ541" s="202"/>
      <c r="HK541" s="202"/>
      <c r="HL541" s="202"/>
      <c r="HM541" s="202"/>
      <c r="HN541" s="203"/>
    </row>
    <row r="542" spans="1:222" ht="16.5" customHeight="1">
      <c r="A542" s="181">
        <v>539</v>
      </c>
      <c r="B542" s="182" t="s">
        <v>1333</v>
      </c>
      <c r="C542" s="183" t="s">
        <v>2919</v>
      </c>
      <c r="D542" s="184" t="s">
        <v>2920</v>
      </c>
      <c r="E542" s="184" t="str">
        <f t="shared" si="49"/>
        <v>Import</v>
      </c>
      <c r="F542" s="720" t="str" cm="1">
        <f t="array" ref="F542">_xlfn.IFS(
  OR(AI542="E11", AI542="E15"), "Raw materials",
  OR(AI542="E13", AI542="G13"), "Equipments + Toolings",
  TRUE, RIGHT(C542, 8)
)</f>
        <v>Equipments + Toolings</v>
      </c>
      <c r="G542" s="541" t="s">
        <v>1608</v>
      </c>
      <c r="H542" s="184"/>
      <c r="I542" s="184"/>
      <c r="J542" s="260">
        <f>(V542+X542+AA542)/'Logistics record '!$AD$1</f>
        <v>15.116000302320307</v>
      </c>
      <c r="K542" s="260">
        <f>W542/'Logistics record '!$AD$1</f>
        <v>0</v>
      </c>
      <c r="L542" s="260">
        <f>Y542/'Logistics record '!$AD$1</f>
        <v>0</v>
      </c>
      <c r="M542" s="260">
        <f>AF542/'Logistics record '!$AD$1</f>
        <v>0</v>
      </c>
      <c r="N542" s="260" t="str" cm="1">
        <f t="array" ref="N542">_xlfn.IFS(
    OR(UPPER(S542)="AIR", UPPER(S542)="CPN"), "AIR",
    UPPER(S542)="TC", "LOCAL",
    TRUE, "SEA"
)</f>
        <v>LOCAL</v>
      </c>
      <c r="O542" s="260">
        <f t="shared" si="36"/>
        <v>15.116000302320307</v>
      </c>
      <c r="P542" s="184" t="s">
        <v>971</v>
      </c>
      <c r="Q542" s="185">
        <v>108289153820</v>
      </c>
      <c r="R542" s="186">
        <v>46171</v>
      </c>
      <c r="S542" s="187" t="s">
        <v>986</v>
      </c>
      <c r="T542" s="188">
        <v>44.47</v>
      </c>
      <c r="U542" s="188"/>
      <c r="V542" s="189">
        <v>370370</v>
      </c>
      <c r="W542" s="190"/>
      <c r="X542" s="190"/>
      <c r="Y542" s="190"/>
      <c r="Z542" s="189">
        <f t="shared" si="48"/>
        <v>370370</v>
      </c>
      <c r="AA542" s="189">
        <v>29629.600000000002</v>
      </c>
      <c r="AB542" s="189">
        <f t="shared" si="41"/>
        <v>399999.6</v>
      </c>
      <c r="AC542" s="189"/>
      <c r="AD542" s="190"/>
      <c r="AE542" s="190"/>
      <c r="AF542" s="191">
        <f t="shared" si="46"/>
        <v>0</v>
      </c>
      <c r="AG542" s="190">
        <f t="shared" si="47"/>
        <v>399999.6</v>
      </c>
      <c r="AH542" s="190"/>
      <c r="AI542" s="192" t="str">
        <f>VLOOKUP(Q542,[3]Sheet1!B$11:G$1489,6,0)</f>
        <v>E13</v>
      </c>
      <c r="GK542" s="194"/>
      <c r="GL542" s="195"/>
      <c r="GM542" s="196"/>
      <c r="GN542" s="197"/>
      <c r="GO542" s="198"/>
      <c r="GP542" s="199"/>
      <c r="GQ542" s="200"/>
      <c r="GR542" s="201"/>
      <c r="GS542" s="60"/>
      <c r="GT542" s="202"/>
      <c r="GU542" s="202"/>
      <c r="GV542" s="202"/>
      <c r="GW542" s="202"/>
      <c r="GX542" s="203"/>
      <c r="HA542" s="194"/>
      <c r="HB542" s="195"/>
      <c r="HC542" s="196"/>
      <c r="HD542" s="197"/>
      <c r="HE542" s="198"/>
      <c r="HF542" s="199"/>
      <c r="HG542" s="200"/>
      <c r="HH542" s="201"/>
      <c r="HI542" s="60"/>
      <c r="HJ542" s="202"/>
      <c r="HK542" s="202"/>
      <c r="HL542" s="202"/>
      <c r="HM542" s="202"/>
      <c r="HN542" s="203"/>
    </row>
    <row r="543" spans="1:222" ht="16.5" customHeight="1">
      <c r="A543" s="181">
        <v>540</v>
      </c>
      <c r="B543" s="182" t="s">
        <v>1333</v>
      </c>
      <c r="C543" s="183" t="s">
        <v>2921</v>
      </c>
      <c r="D543" s="184" t="s">
        <v>2922</v>
      </c>
      <c r="E543" s="184" t="str">
        <f t="shared" si="49"/>
        <v>Import</v>
      </c>
      <c r="F543" s="720" t="str" cm="1">
        <f t="array" ref="F543">_xlfn.IFS(
  OR(AI543="E11", AI543="E15"), "Raw materials",
  OR(AI543="E13", AI543="G13"), "Equipments + Toolings",
  TRUE, RIGHT(C543, 8)
)</f>
        <v>Equipments + Toolings</v>
      </c>
      <c r="G543" s="541" t="s">
        <v>1608</v>
      </c>
      <c r="H543" s="184"/>
      <c r="I543" s="184"/>
      <c r="J543" s="260">
        <f>(V543+X543+AA543)/'Logistics record '!$AD$1</f>
        <v>15.116000302320307</v>
      </c>
      <c r="K543" s="260">
        <f>W543/'Logistics record '!$AD$1</f>
        <v>0</v>
      </c>
      <c r="L543" s="260">
        <f>Y543/'Logistics record '!$AD$1</f>
        <v>0</v>
      </c>
      <c r="M543" s="260">
        <f>AF543/'Logistics record '!$AD$1</f>
        <v>0</v>
      </c>
      <c r="N543" s="260" t="str" cm="1">
        <f t="array" ref="N543">_xlfn.IFS(
    OR(UPPER(S543)="AIR", UPPER(S543)="CPN"), "AIR",
    UPPER(S543)="TC", "LOCAL",
    TRUE, "SEA"
)</f>
        <v>LOCAL</v>
      </c>
      <c r="O543" s="260">
        <f t="shared" si="36"/>
        <v>15.116000302320307</v>
      </c>
      <c r="P543" s="184" t="s">
        <v>971</v>
      </c>
      <c r="Q543" s="185">
        <v>108289565640</v>
      </c>
      <c r="R543" s="186">
        <v>46171</v>
      </c>
      <c r="S543" s="187" t="s">
        <v>986</v>
      </c>
      <c r="T543" s="188">
        <v>51.8</v>
      </c>
      <c r="U543" s="188"/>
      <c r="V543" s="189">
        <v>370370</v>
      </c>
      <c r="W543" s="190"/>
      <c r="X543" s="190"/>
      <c r="Y543" s="190"/>
      <c r="Z543" s="189">
        <f t="shared" si="48"/>
        <v>370370</v>
      </c>
      <c r="AA543" s="189">
        <v>29629.600000000002</v>
      </c>
      <c r="AB543" s="189">
        <f t="shared" si="41"/>
        <v>399999.6</v>
      </c>
      <c r="AC543" s="189"/>
      <c r="AD543" s="190"/>
      <c r="AE543" s="190"/>
      <c r="AF543" s="191">
        <f t="shared" si="46"/>
        <v>0</v>
      </c>
      <c r="AG543" s="190">
        <f t="shared" si="47"/>
        <v>399999.6</v>
      </c>
      <c r="AH543" s="190"/>
      <c r="AI543" s="192" t="str">
        <f>VLOOKUP(Q543,[3]Sheet1!B$11:G$1489,6,0)</f>
        <v>E13</v>
      </c>
      <c r="GK543" s="194"/>
      <c r="GL543" s="195"/>
      <c r="GM543" s="196"/>
      <c r="GN543" s="197"/>
      <c r="GO543" s="198"/>
      <c r="GP543" s="199"/>
      <c r="GQ543" s="200"/>
      <c r="GR543" s="201"/>
      <c r="GS543" s="60"/>
      <c r="GT543" s="202"/>
      <c r="GU543" s="202"/>
      <c r="GV543" s="202"/>
      <c r="GW543" s="202"/>
      <c r="GX543" s="203"/>
      <c r="HA543" s="194"/>
      <c r="HB543" s="195"/>
      <c r="HC543" s="196"/>
      <c r="HD543" s="197"/>
      <c r="HE543" s="198"/>
      <c r="HF543" s="199"/>
      <c r="HG543" s="200"/>
      <c r="HH543" s="201"/>
      <c r="HI543" s="60"/>
      <c r="HJ543" s="202"/>
      <c r="HK543" s="202"/>
      <c r="HL543" s="202"/>
      <c r="HM543" s="202"/>
      <c r="HN543" s="203"/>
    </row>
    <row r="544" spans="1:222" ht="16.5" customHeight="1">
      <c r="A544" s="181">
        <v>541</v>
      </c>
      <c r="B544" s="182" t="s">
        <v>1333</v>
      </c>
      <c r="C544" s="183" t="s">
        <v>2923</v>
      </c>
      <c r="D544" s="184" t="s">
        <v>2924</v>
      </c>
      <c r="E544" s="184" t="str">
        <f t="shared" si="49"/>
        <v>Import</v>
      </c>
      <c r="F544" s="720" t="str" cm="1">
        <f t="array" ref="F544">_xlfn.IFS(
  OR(AI544="E11", AI544="E15"), "Raw materials",
  OR(AI544="E13", AI544="G13"), "Equipments + Toolings",
  TRUE, RIGHT(C544, 8)
)</f>
        <v>Equipments + Toolings</v>
      </c>
      <c r="G544" s="541" t="s">
        <v>1608</v>
      </c>
      <c r="H544" s="184"/>
      <c r="I544" s="184"/>
      <c r="J544" s="260">
        <f>(V544+X544+AA544)/'Logistics record '!$AD$1</f>
        <v>15.116000302320307</v>
      </c>
      <c r="K544" s="260">
        <f>W544/'Logistics record '!$AD$1</f>
        <v>0</v>
      </c>
      <c r="L544" s="260">
        <f>Y544/'Logistics record '!$AD$1</f>
        <v>0</v>
      </c>
      <c r="M544" s="260">
        <f>AF544/'Logistics record '!$AD$1</f>
        <v>0</v>
      </c>
      <c r="N544" s="260" t="str" cm="1">
        <f t="array" ref="N544">_xlfn.IFS(
    OR(UPPER(S544)="AIR", UPPER(S544)="CPN"), "AIR",
    UPPER(S544)="TC", "LOCAL",
    TRUE, "SEA"
)</f>
        <v>LOCAL</v>
      </c>
      <c r="O544" s="260">
        <f t="shared" si="36"/>
        <v>15.116000302320307</v>
      </c>
      <c r="P544" s="184" t="s">
        <v>971</v>
      </c>
      <c r="Q544" s="185">
        <v>108290728450</v>
      </c>
      <c r="R544" s="186">
        <v>46171</v>
      </c>
      <c r="S544" s="187" t="s">
        <v>986</v>
      </c>
      <c r="T544" s="188">
        <v>31</v>
      </c>
      <c r="U544" s="188"/>
      <c r="V544" s="189">
        <v>370370</v>
      </c>
      <c r="W544" s="190"/>
      <c r="X544" s="190"/>
      <c r="Y544" s="190"/>
      <c r="Z544" s="189">
        <f t="shared" si="48"/>
        <v>370370</v>
      </c>
      <c r="AA544" s="189">
        <v>29629.600000000002</v>
      </c>
      <c r="AB544" s="189">
        <f t="shared" si="41"/>
        <v>399999.6</v>
      </c>
      <c r="AC544" s="189"/>
      <c r="AD544" s="190"/>
      <c r="AE544" s="190"/>
      <c r="AF544" s="191">
        <f t="shared" si="46"/>
        <v>0</v>
      </c>
      <c r="AG544" s="190">
        <f t="shared" si="47"/>
        <v>399999.6</v>
      </c>
      <c r="AH544" s="190"/>
      <c r="AI544" s="192" t="str">
        <f>VLOOKUP(Q544,[3]Sheet1!B$11:G$1489,6,0)</f>
        <v>E13</v>
      </c>
      <c r="GK544" s="194"/>
      <c r="GL544" s="195"/>
      <c r="GM544" s="196"/>
      <c r="GN544" s="197"/>
      <c r="GO544" s="198"/>
      <c r="GP544" s="199"/>
      <c r="GQ544" s="200"/>
      <c r="GR544" s="201"/>
      <c r="GS544" s="60"/>
      <c r="GT544" s="202"/>
      <c r="GU544" s="202"/>
      <c r="GV544" s="202"/>
      <c r="GW544" s="202"/>
      <c r="GX544" s="203"/>
      <c r="HA544" s="194"/>
      <c r="HB544" s="195"/>
      <c r="HC544" s="196"/>
      <c r="HD544" s="197"/>
      <c r="HE544" s="198"/>
      <c r="HF544" s="199"/>
      <c r="HG544" s="200"/>
      <c r="HH544" s="201"/>
      <c r="HI544" s="60"/>
      <c r="HJ544" s="202"/>
      <c r="HK544" s="202"/>
      <c r="HL544" s="202"/>
      <c r="HM544" s="202"/>
      <c r="HN544" s="203"/>
    </row>
    <row r="545" spans="1:222" ht="16.5" customHeight="1">
      <c r="A545" s="181">
        <v>542</v>
      </c>
      <c r="B545" s="182" t="s">
        <v>1333</v>
      </c>
      <c r="C545" s="183" t="s">
        <v>2925</v>
      </c>
      <c r="D545" s="184" t="s">
        <v>1571</v>
      </c>
      <c r="E545" s="184" t="str">
        <f t="shared" si="49"/>
        <v>Import</v>
      </c>
      <c r="F545" s="720" t="str" cm="1">
        <f t="array" ref="F545">_xlfn.IFS(
  OR(AI545="E11", AI545="E15"), "Raw materials",
  OR(AI545="E13", AI545="G13"), "Equipments + Toolings",
  TRUE, RIGHT(C545, 8)
)</f>
        <v>Equipments + Toolings</v>
      </c>
      <c r="G545" s="541" t="s">
        <v>1608</v>
      </c>
      <c r="H545" s="184"/>
      <c r="I545" s="184"/>
      <c r="J545" s="260">
        <f>(V545+X545+AA545)/'Logistics record '!$AD$1</f>
        <v>15.116000302320307</v>
      </c>
      <c r="K545" s="260">
        <f>W545/'Logistics record '!$AD$1</f>
        <v>0</v>
      </c>
      <c r="L545" s="260">
        <f>Y545/'Logistics record '!$AD$1</f>
        <v>0</v>
      </c>
      <c r="M545" s="260">
        <f>AF545/'Logistics record '!$AD$1</f>
        <v>0</v>
      </c>
      <c r="N545" s="260" t="str" cm="1">
        <f t="array" ref="N545">_xlfn.IFS(
    OR(UPPER(S545)="AIR", UPPER(S545)="CPN"), "AIR",
    UPPER(S545)="TC", "LOCAL",
    TRUE, "SEA"
)</f>
        <v>LOCAL</v>
      </c>
      <c r="O545" s="260">
        <f t="shared" si="36"/>
        <v>15.116000302320307</v>
      </c>
      <c r="P545" s="184" t="s">
        <v>971</v>
      </c>
      <c r="Q545" s="185">
        <v>108296994960</v>
      </c>
      <c r="R545" s="186">
        <v>46174</v>
      </c>
      <c r="S545" s="187" t="s">
        <v>986</v>
      </c>
      <c r="T545" s="188">
        <v>998</v>
      </c>
      <c r="U545" s="188"/>
      <c r="V545" s="189">
        <v>370370</v>
      </c>
      <c r="W545" s="190"/>
      <c r="X545" s="190"/>
      <c r="Y545" s="190"/>
      <c r="Z545" s="189">
        <f t="shared" si="48"/>
        <v>370370</v>
      </c>
      <c r="AA545" s="189">
        <v>29629.600000000002</v>
      </c>
      <c r="AB545" s="189">
        <f t="shared" si="41"/>
        <v>399999.6</v>
      </c>
      <c r="AC545" s="189"/>
      <c r="AD545" s="190"/>
      <c r="AE545" s="190"/>
      <c r="AF545" s="191">
        <f t="shared" si="46"/>
        <v>0</v>
      </c>
      <c r="AG545" s="190">
        <f t="shared" si="47"/>
        <v>399999.6</v>
      </c>
      <c r="AH545" s="190"/>
      <c r="AI545" s="192" t="str">
        <f>VLOOKUP(Q545,[3]Sheet1!B$11:G$1489,6,0)</f>
        <v>E13</v>
      </c>
      <c r="GK545" s="194"/>
      <c r="GL545" s="195"/>
      <c r="GM545" s="196"/>
      <c r="GN545" s="197"/>
      <c r="GO545" s="198"/>
      <c r="GP545" s="199"/>
      <c r="GQ545" s="200"/>
      <c r="GR545" s="201"/>
      <c r="GS545" s="60"/>
      <c r="GT545" s="202"/>
      <c r="GU545" s="202"/>
      <c r="GV545" s="202"/>
      <c r="GW545" s="202"/>
      <c r="GX545" s="203"/>
      <c r="HA545" s="194"/>
      <c r="HB545" s="195"/>
      <c r="HC545" s="196"/>
      <c r="HD545" s="197"/>
      <c r="HE545" s="198"/>
      <c r="HF545" s="199"/>
      <c r="HG545" s="200"/>
      <c r="HH545" s="201"/>
      <c r="HI545" s="60"/>
      <c r="HJ545" s="202"/>
      <c r="HK545" s="202"/>
      <c r="HL545" s="202"/>
      <c r="HM545" s="202"/>
      <c r="HN545" s="203"/>
    </row>
    <row r="546" spans="1:222" ht="16.5" customHeight="1">
      <c r="A546" s="181">
        <v>543</v>
      </c>
      <c r="B546" s="182" t="s">
        <v>1333</v>
      </c>
      <c r="C546" s="183" t="s">
        <v>2926</v>
      </c>
      <c r="D546" s="184" t="s">
        <v>2927</v>
      </c>
      <c r="E546" s="184" t="str">
        <f t="shared" si="49"/>
        <v>Import</v>
      </c>
      <c r="F546" s="720" t="str" cm="1">
        <f t="array" ref="F546">_xlfn.IFS(
  OR(AI546="E11", AI546="E15"), "Raw materials",
  OR(AI546="E13", AI546="G13"), "Equipments + Toolings",
  TRUE, RIGHT(C546, 8)
)</f>
        <v>Equipments + Toolings</v>
      </c>
      <c r="G546" s="541" t="s">
        <v>1608</v>
      </c>
      <c r="H546" s="184"/>
      <c r="I546" s="184"/>
      <c r="J546" s="260">
        <f>(V546+X546+AA546)/'Logistics record '!$AD$1</f>
        <v>15.116000302320307</v>
      </c>
      <c r="K546" s="260">
        <f>W546/'Logistics record '!$AD$1</f>
        <v>0</v>
      </c>
      <c r="L546" s="260">
        <f>Y546/'Logistics record '!$AD$1</f>
        <v>0</v>
      </c>
      <c r="M546" s="260">
        <f>AF546/'Logistics record '!$AD$1</f>
        <v>0</v>
      </c>
      <c r="N546" s="260" t="str" cm="1">
        <f t="array" ref="N546">_xlfn.IFS(
    OR(UPPER(S546)="AIR", UPPER(S546)="CPN"), "AIR",
    UPPER(S546)="TC", "LOCAL",
    TRUE, "SEA"
)</f>
        <v>LOCAL</v>
      </c>
      <c r="O546" s="260">
        <f t="shared" si="36"/>
        <v>15.116000302320307</v>
      </c>
      <c r="P546" s="184" t="s">
        <v>971</v>
      </c>
      <c r="Q546" s="185">
        <v>108312097460</v>
      </c>
      <c r="R546" s="186">
        <v>46178</v>
      </c>
      <c r="S546" s="187" t="s">
        <v>986</v>
      </c>
      <c r="T546" s="188">
        <v>1039.26</v>
      </c>
      <c r="U546" s="188"/>
      <c r="V546" s="189">
        <v>370370</v>
      </c>
      <c r="W546" s="190"/>
      <c r="X546" s="190"/>
      <c r="Y546" s="190"/>
      <c r="Z546" s="189">
        <f t="shared" si="48"/>
        <v>370370</v>
      </c>
      <c r="AA546" s="189">
        <v>29629.600000000002</v>
      </c>
      <c r="AB546" s="189">
        <f t="shared" si="41"/>
        <v>399999.6</v>
      </c>
      <c r="AC546" s="189"/>
      <c r="AD546" s="190"/>
      <c r="AE546" s="190"/>
      <c r="AF546" s="191">
        <f t="shared" si="46"/>
        <v>0</v>
      </c>
      <c r="AG546" s="190">
        <f t="shared" si="47"/>
        <v>399999.6</v>
      </c>
      <c r="AH546" s="190"/>
      <c r="AI546" s="192" t="str">
        <f>VLOOKUP(Q546,[3]Sheet1!B$11:G$1489,6,0)</f>
        <v>E13</v>
      </c>
      <c r="GK546" s="194"/>
      <c r="GL546" s="195"/>
      <c r="GM546" s="196"/>
      <c r="GN546" s="197"/>
      <c r="GO546" s="198"/>
      <c r="GP546" s="199"/>
      <c r="GQ546" s="200"/>
      <c r="GR546" s="201"/>
      <c r="GS546" s="60"/>
      <c r="GT546" s="202"/>
      <c r="GU546" s="202"/>
      <c r="GV546" s="202"/>
      <c r="GW546" s="202"/>
      <c r="GX546" s="203"/>
      <c r="HA546" s="194"/>
      <c r="HB546" s="195"/>
      <c r="HC546" s="196"/>
      <c r="HD546" s="197"/>
      <c r="HE546" s="198"/>
      <c r="HF546" s="199"/>
      <c r="HG546" s="200"/>
      <c r="HH546" s="201"/>
      <c r="HI546" s="60"/>
      <c r="HJ546" s="202"/>
      <c r="HK546" s="202"/>
      <c r="HL546" s="202"/>
      <c r="HM546" s="202"/>
      <c r="HN546" s="203"/>
    </row>
    <row r="547" spans="1:222" ht="16.5" customHeight="1">
      <c r="A547" s="181">
        <v>544</v>
      </c>
      <c r="B547" s="182" t="s">
        <v>1333</v>
      </c>
      <c r="C547" s="183" t="s">
        <v>2928</v>
      </c>
      <c r="D547" s="184" t="s">
        <v>2929</v>
      </c>
      <c r="E547" s="184" t="str">
        <f t="shared" si="49"/>
        <v>Import</v>
      </c>
      <c r="F547" s="720" t="str" cm="1">
        <f t="array" ref="F547">_xlfn.IFS(
  OR(AI547="E11", AI547="E15"), "Raw materials",
  OR(AI547="E13", AI547="G13"), "Equipments + Toolings",
  TRUE, RIGHT(C547, 8)
)</f>
        <v>Equipments + Toolings</v>
      </c>
      <c r="G547" s="541" t="s">
        <v>1608</v>
      </c>
      <c r="H547" s="184"/>
      <c r="I547" s="184"/>
      <c r="J547" s="260">
        <f>(V547+X547+AA547)/'Logistics record '!$AD$1</f>
        <v>15.116000302320307</v>
      </c>
      <c r="K547" s="260">
        <f>W547/'Logistics record '!$AD$1</f>
        <v>0</v>
      </c>
      <c r="L547" s="260">
        <f>Y547/'Logistics record '!$AD$1</f>
        <v>0</v>
      </c>
      <c r="M547" s="260">
        <f>AF547/'Logistics record '!$AD$1</f>
        <v>0</v>
      </c>
      <c r="N547" s="260" t="str" cm="1">
        <f t="array" ref="N547">_xlfn.IFS(
    OR(UPPER(S547)="AIR", UPPER(S547)="CPN"), "AIR",
    UPPER(S547)="TC", "LOCAL",
    TRUE, "SEA"
)</f>
        <v>LOCAL</v>
      </c>
      <c r="O547" s="260">
        <f t="shared" si="36"/>
        <v>15.116000302320307</v>
      </c>
      <c r="P547" s="184" t="s">
        <v>971</v>
      </c>
      <c r="Q547" s="185">
        <v>108314253240</v>
      </c>
      <c r="R547" s="186">
        <v>46178</v>
      </c>
      <c r="S547" s="187" t="s">
        <v>986</v>
      </c>
      <c r="T547" s="188">
        <v>75.900000000000006</v>
      </c>
      <c r="U547" s="188"/>
      <c r="V547" s="189">
        <v>370370</v>
      </c>
      <c r="W547" s="190"/>
      <c r="X547" s="190"/>
      <c r="Y547" s="190"/>
      <c r="Z547" s="189">
        <f t="shared" si="48"/>
        <v>370370</v>
      </c>
      <c r="AA547" s="189">
        <v>29629.600000000002</v>
      </c>
      <c r="AB547" s="189">
        <f t="shared" si="41"/>
        <v>399999.6</v>
      </c>
      <c r="AC547" s="189"/>
      <c r="AD547" s="190"/>
      <c r="AE547" s="190"/>
      <c r="AF547" s="191">
        <f t="shared" si="46"/>
        <v>0</v>
      </c>
      <c r="AG547" s="190">
        <f t="shared" si="47"/>
        <v>399999.6</v>
      </c>
      <c r="AH547" s="190"/>
      <c r="AI547" s="192" t="str">
        <f>VLOOKUP(Q547,[3]Sheet1!B$11:G$1489,6,0)</f>
        <v>E13</v>
      </c>
      <c r="GK547" s="194"/>
      <c r="GL547" s="195"/>
      <c r="GM547" s="196"/>
      <c r="GN547" s="197"/>
      <c r="GO547" s="198"/>
      <c r="GP547" s="199"/>
      <c r="GQ547" s="200"/>
      <c r="GR547" s="201"/>
      <c r="GS547" s="60"/>
      <c r="GT547" s="202"/>
      <c r="GU547" s="202"/>
      <c r="GV547" s="202"/>
      <c r="GW547" s="202"/>
      <c r="GX547" s="203"/>
      <c r="HA547" s="194"/>
      <c r="HB547" s="195"/>
      <c r="HC547" s="196"/>
      <c r="HD547" s="197"/>
      <c r="HE547" s="198"/>
      <c r="HF547" s="199"/>
      <c r="HG547" s="200"/>
      <c r="HH547" s="201"/>
      <c r="HI547" s="60"/>
      <c r="HJ547" s="202"/>
      <c r="HK547" s="202"/>
      <c r="HL547" s="202"/>
      <c r="HM547" s="202"/>
      <c r="HN547" s="203"/>
    </row>
    <row r="548" spans="1:222" ht="16.5" customHeight="1">
      <c r="A548" s="181">
        <v>545</v>
      </c>
      <c r="B548" s="182" t="s">
        <v>1333</v>
      </c>
      <c r="C548" s="183" t="s">
        <v>2930</v>
      </c>
      <c r="D548" s="184" t="s">
        <v>2931</v>
      </c>
      <c r="E548" s="184" t="str">
        <f t="shared" si="49"/>
        <v>Import</v>
      </c>
      <c r="F548" s="720" t="str" cm="1">
        <f t="array" ref="F548">_xlfn.IFS(
  OR(AI548="E11", AI548="E15"), "Raw materials",
  OR(AI548="E13", AI548="G13"), "Equipments + Toolings",
  TRUE, RIGHT(C548, 8)
)</f>
        <v>Equipments + Toolings</v>
      </c>
      <c r="G548" s="541" t="s">
        <v>1608</v>
      </c>
      <c r="H548" s="184"/>
      <c r="I548" s="184"/>
      <c r="J548" s="260">
        <f>(V548+X548+AA548)/'Logistics record '!$AD$1</f>
        <v>15.116000302320307</v>
      </c>
      <c r="K548" s="260">
        <f>W548/'Logistics record '!$AD$1</f>
        <v>0</v>
      </c>
      <c r="L548" s="260">
        <f>Y548/'Logistics record '!$AD$1</f>
        <v>0</v>
      </c>
      <c r="M548" s="260">
        <f>AF548/'Logistics record '!$AD$1</f>
        <v>0</v>
      </c>
      <c r="N548" s="260" t="str" cm="1">
        <f t="array" ref="N548">_xlfn.IFS(
    OR(UPPER(S548)="AIR", UPPER(S548)="CPN"), "AIR",
    UPPER(S548)="TC", "LOCAL",
    TRUE, "SEA"
)</f>
        <v>LOCAL</v>
      </c>
      <c r="O548" s="260">
        <f t="shared" si="36"/>
        <v>15.116000302320307</v>
      </c>
      <c r="P548" s="184" t="s">
        <v>971</v>
      </c>
      <c r="Q548" s="185">
        <v>108314281720</v>
      </c>
      <c r="R548" s="186">
        <v>46181</v>
      </c>
      <c r="S548" s="187" t="s">
        <v>986</v>
      </c>
      <c r="T548" s="188">
        <v>2.2999999999999998</v>
      </c>
      <c r="U548" s="188"/>
      <c r="V548" s="189">
        <v>370370</v>
      </c>
      <c r="W548" s="190"/>
      <c r="X548" s="190"/>
      <c r="Y548" s="190"/>
      <c r="Z548" s="189">
        <f t="shared" si="48"/>
        <v>370370</v>
      </c>
      <c r="AA548" s="189">
        <v>29629.600000000002</v>
      </c>
      <c r="AB548" s="189">
        <f t="shared" si="41"/>
        <v>399999.6</v>
      </c>
      <c r="AC548" s="189"/>
      <c r="AD548" s="190"/>
      <c r="AE548" s="190"/>
      <c r="AF548" s="191">
        <f t="shared" si="46"/>
        <v>0</v>
      </c>
      <c r="AG548" s="190">
        <f t="shared" si="47"/>
        <v>399999.6</v>
      </c>
      <c r="AH548" s="190"/>
      <c r="AI548" s="192" t="str">
        <f>VLOOKUP(Q548,[3]Sheet1!B$11:G$1489,6,0)</f>
        <v>E13</v>
      </c>
      <c r="GK548" s="194"/>
      <c r="GL548" s="195"/>
      <c r="GM548" s="196"/>
      <c r="GN548" s="197"/>
      <c r="GO548" s="198"/>
      <c r="GP548" s="199"/>
      <c r="GQ548" s="200"/>
      <c r="GR548" s="201"/>
      <c r="GS548" s="60"/>
      <c r="GT548" s="202"/>
      <c r="GU548" s="202"/>
      <c r="GV548" s="202"/>
      <c r="GW548" s="202"/>
      <c r="GX548" s="203"/>
      <c r="HA548" s="194"/>
      <c r="HB548" s="195"/>
      <c r="HC548" s="196"/>
      <c r="HD548" s="197"/>
      <c r="HE548" s="198"/>
      <c r="HF548" s="199"/>
      <c r="HG548" s="200"/>
      <c r="HH548" s="201"/>
      <c r="HI548" s="60"/>
      <c r="HJ548" s="202"/>
      <c r="HK548" s="202"/>
      <c r="HL548" s="202"/>
      <c r="HM548" s="202"/>
      <c r="HN548" s="203"/>
    </row>
    <row r="549" spans="1:222" ht="16.5" customHeight="1">
      <c r="A549" s="181">
        <v>546</v>
      </c>
      <c r="B549" s="182" t="s">
        <v>1333</v>
      </c>
      <c r="C549" s="183" t="s">
        <v>2932</v>
      </c>
      <c r="D549" s="184" t="s">
        <v>2933</v>
      </c>
      <c r="E549" s="184" t="str">
        <f t="shared" si="49"/>
        <v>Import</v>
      </c>
      <c r="F549" s="720" t="str" cm="1">
        <f t="array" ref="F549">_xlfn.IFS(
  OR(AI549="E11", AI549="E15"), "Raw materials",
  OR(AI549="E13", AI549="G13"), "Equipments + Toolings",
  TRUE, RIGHT(C549, 8)
)</f>
        <v>Equipments + Toolings</v>
      </c>
      <c r="G549" s="541" t="s">
        <v>1608</v>
      </c>
      <c r="H549" s="184"/>
      <c r="I549" s="184"/>
      <c r="J549" s="260">
        <f>(V549+X549+AA549)/'Logistics record '!$AD$1</f>
        <v>15.116000302320307</v>
      </c>
      <c r="K549" s="260">
        <f>W549/'Logistics record '!$AD$1</f>
        <v>0</v>
      </c>
      <c r="L549" s="260">
        <f>Y549/'Logistics record '!$AD$1</f>
        <v>0</v>
      </c>
      <c r="M549" s="260">
        <f>AF549/'Logistics record '!$AD$1</f>
        <v>0</v>
      </c>
      <c r="N549" s="260" t="str" cm="1">
        <f t="array" ref="N549">_xlfn.IFS(
    OR(UPPER(S549)="AIR", UPPER(S549)="CPN"), "AIR",
    UPPER(S549)="TC", "LOCAL",
    TRUE, "SEA"
)</f>
        <v>LOCAL</v>
      </c>
      <c r="O549" s="260">
        <f t="shared" si="36"/>
        <v>15.116000302320307</v>
      </c>
      <c r="P549" s="184" t="s">
        <v>2934</v>
      </c>
      <c r="Q549" s="185">
        <v>108314291630</v>
      </c>
      <c r="R549" s="186">
        <v>46178</v>
      </c>
      <c r="S549" s="187" t="s">
        <v>986</v>
      </c>
      <c r="T549" s="188">
        <v>4200</v>
      </c>
      <c r="U549" s="188"/>
      <c r="V549" s="189">
        <v>370370</v>
      </c>
      <c r="W549" s="190"/>
      <c r="X549" s="190"/>
      <c r="Y549" s="190"/>
      <c r="Z549" s="189">
        <f t="shared" si="48"/>
        <v>370370</v>
      </c>
      <c r="AA549" s="189">
        <v>29629.600000000002</v>
      </c>
      <c r="AB549" s="189">
        <f t="shared" si="41"/>
        <v>399999.6</v>
      </c>
      <c r="AC549" s="189"/>
      <c r="AD549" s="190"/>
      <c r="AE549" s="190"/>
      <c r="AF549" s="191">
        <f t="shared" si="46"/>
        <v>0</v>
      </c>
      <c r="AG549" s="190">
        <f t="shared" si="47"/>
        <v>399999.6</v>
      </c>
      <c r="AH549" s="190"/>
      <c r="AI549" s="192" t="str">
        <f>VLOOKUP(Q549,[3]Sheet1!B$11:G$1489,6,0)</f>
        <v>E13</v>
      </c>
      <c r="GK549" s="194"/>
      <c r="GL549" s="195"/>
      <c r="GM549" s="196"/>
      <c r="GN549" s="197"/>
      <c r="GO549" s="198"/>
      <c r="GP549" s="199"/>
      <c r="GQ549" s="200"/>
      <c r="GR549" s="201"/>
      <c r="GS549" s="60"/>
      <c r="GT549" s="202"/>
      <c r="GU549" s="202"/>
      <c r="GV549" s="202"/>
      <c r="GW549" s="202"/>
      <c r="GX549" s="203"/>
      <c r="HA549" s="194"/>
      <c r="HB549" s="195"/>
      <c r="HC549" s="196"/>
      <c r="HD549" s="197"/>
      <c r="HE549" s="198"/>
      <c r="HF549" s="199"/>
      <c r="HG549" s="200"/>
      <c r="HH549" s="201"/>
      <c r="HI549" s="60"/>
      <c r="HJ549" s="202"/>
      <c r="HK549" s="202"/>
      <c r="HL549" s="202"/>
      <c r="HM549" s="202"/>
      <c r="HN549" s="203"/>
    </row>
    <row r="550" spans="1:222" ht="16.5" customHeight="1">
      <c r="A550" s="181">
        <v>547</v>
      </c>
      <c r="B550" s="182" t="s">
        <v>1333</v>
      </c>
      <c r="C550" s="183" t="s">
        <v>2935</v>
      </c>
      <c r="D550" s="184" t="s">
        <v>2936</v>
      </c>
      <c r="E550" s="184" t="str">
        <f t="shared" si="49"/>
        <v>Import</v>
      </c>
      <c r="F550" s="720" t="str" cm="1">
        <f t="array" ref="F550">_xlfn.IFS(
  OR(AI550="E11", AI550="E15"), "Raw materials",
  OR(AI550="E13", AI550="G13"), "Equipments + Toolings",
  TRUE, RIGHT(C550, 8)
)</f>
        <v>Equipments + Toolings</v>
      </c>
      <c r="G550" s="541" t="s">
        <v>1608</v>
      </c>
      <c r="H550" s="184"/>
      <c r="I550" s="184"/>
      <c r="J550" s="260">
        <f>(V550+X550+AA550)/'Logistics record '!$AD$1</f>
        <v>15.116000302320307</v>
      </c>
      <c r="K550" s="260">
        <f>W550/'Logistics record '!$AD$1</f>
        <v>0</v>
      </c>
      <c r="L550" s="260">
        <f>Y550/'Logistics record '!$AD$1</f>
        <v>0</v>
      </c>
      <c r="M550" s="260">
        <f>AF550/'Logistics record '!$AD$1</f>
        <v>0</v>
      </c>
      <c r="N550" s="260" t="str" cm="1">
        <f t="array" ref="N550">_xlfn.IFS(
    OR(UPPER(S550)="AIR", UPPER(S550)="CPN"), "AIR",
    UPPER(S550)="TC", "LOCAL",
    TRUE, "SEA"
)</f>
        <v>LOCAL</v>
      </c>
      <c r="O550" s="260">
        <f t="shared" si="36"/>
        <v>15.116000302320307</v>
      </c>
      <c r="P550" s="184" t="s">
        <v>971</v>
      </c>
      <c r="Q550" s="185">
        <v>108315085320</v>
      </c>
      <c r="R550" s="186">
        <v>46179</v>
      </c>
      <c r="S550" s="187" t="s">
        <v>986</v>
      </c>
      <c r="T550" s="188">
        <v>350.18</v>
      </c>
      <c r="U550" s="188"/>
      <c r="V550" s="189">
        <v>370370</v>
      </c>
      <c r="W550" s="190"/>
      <c r="X550" s="190"/>
      <c r="Y550" s="190"/>
      <c r="Z550" s="189">
        <f t="shared" si="48"/>
        <v>370370</v>
      </c>
      <c r="AA550" s="189">
        <v>29629.600000000002</v>
      </c>
      <c r="AB550" s="189">
        <f t="shared" si="41"/>
        <v>399999.6</v>
      </c>
      <c r="AC550" s="189"/>
      <c r="AD550" s="190"/>
      <c r="AE550" s="190"/>
      <c r="AF550" s="191">
        <f t="shared" si="46"/>
        <v>0</v>
      </c>
      <c r="AG550" s="190">
        <f t="shared" si="47"/>
        <v>399999.6</v>
      </c>
      <c r="AH550" s="190"/>
      <c r="AI550" s="192" t="str">
        <f>VLOOKUP(Q550,[3]Sheet1!B$11:G$1489,6,0)</f>
        <v>E13</v>
      </c>
      <c r="GK550" s="194"/>
      <c r="GL550" s="195"/>
      <c r="GM550" s="196"/>
      <c r="GN550" s="197"/>
      <c r="GO550" s="198"/>
      <c r="GP550" s="199"/>
      <c r="GQ550" s="200"/>
      <c r="GR550" s="201"/>
      <c r="GS550" s="60"/>
      <c r="GT550" s="202"/>
      <c r="GU550" s="202"/>
      <c r="GV550" s="202"/>
      <c r="GW550" s="202"/>
      <c r="GX550" s="203"/>
      <c r="HA550" s="194"/>
      <c r="HB550" s="195"/>
      <c r="HC550" s="196"/>
      <c r="HD550" s="197"/>
      <c r="HE550" s="198"/>
      <c r="HF550" s="199"/>
      <c r="HG550" s="200"/>
      <c r="HH550" s="201"/>
      <c r="HI550" s="60"/>
      <c r="HJ550" s="202"/>
      <c r="HK550" s="202"/>
      <c r="HL550" s="202"/>
      <c r="HM550" s="202"/>
      <c r="HN550" s="203"/>
    </row>
    <row r="551" spans="1:222" ht="16.5" customHeight="1">
      <c r="A551" s="181">
        <v>548</v>
      </c>
      <c r="B551" s="182" t="s">
        <v>1333</v>
      </c>
      <c r="C551" s="183" t="s">
        <v>2937</v>
      </c>
      <c r="D551" s="184" t="s">
        <v>2938</v>
      </c>
      <c r="E551" s="184" t="str">
        <f t="shared" si="49"/>
        <v>Import</v>
      </c>
      <c r="F551" s="720" t="str" cm="1">
        <f t="array" ref="F551">_xlfn.IFS(
  OR(AI551="E11", AI551="E15"), "Raw materials",
  OR(AI551="E13", AI551="G13"), "Equipments + Toolings",
  TRUE, RIGHT(C551, 8)
)</f>
        <v>Equipments + Toolings</v>
      </c>
      <c r="G551" s="541" t="s">
        <v>1608</v>
      </c>
      <c r="H551" s="184"/>
      <c r="I551" s="184"/>
      <c r="J551" s="260">
        <f>(V551+X551+AA551)/'Logistics record '!$AD$1</f>
        <v>15.116000302320307</v>
      </c>
      <c r="K551" s="260">
        <f>W551/'Logistics record '!$AD$1</f>
        <v>0</v>
      </c>
      <c r="L551" s="260">
        <f>Y551/'Logistics record '!$AD$1</f>
        <v>0</v>
      </c>
      <c r="M551" s="260">
        <f>AF551/'Logistics record '!$AD$1</f>
        <v>0</v>
      </c>
      <c r="N551" s="260" t="str" cm="1">
        <f t="array" ref="N551">_xlfn.IFS(
    OR(UPPER(S551)="AIR", UPPER(S551)="CPN"), "AIR",
    UPPER(S551)="TC", "LOCAL",
    TRUE, "SEA"
)</f>
        <v>LOCAL</v>
      </c>
      <c r="O551" s="260">
        <f t="shared" si="36"/>
        <v>15.116000302320307</v>
      </c>
      <c r="P551" s="184" t="s">
        <v>971</v>
      </c>
      <c r="Q551" s="185">
        <v>108348910610</v>
      </c>
      <c r="R551" s="186">
        <v>46190</v>
      </c>
      <c r="S551" s="187" t="s">
        <v>986</v>
      </c>
      <c r="T551" s="188">
        <v>10</v>
      </c>
      <c r="U551" s="188"/>
      <c r="V551" s="189">
        <v>370370</v>
      </c>
      <c r="W551" s="190"/>
      <c r="X551" s="190"/>
      <c r="Y551" s="190"/>
      <c r="Z551" s="189">
        <f t="shared" si="48"/>
        <v>370370</v>
      </c>
      <c r="AA551" s="189">
        <v>29629.600000000002</v>
      </c>
      <c r="AB551" s="189">
        <f t="shared" si="41"/>
        <v>399999.6</v>
      </c>
      <c r="AC551" s="189"/>
      <c r="AD551" s="190"/>
      <c r="AE551" s="190"/>
      <c r="AF551" s="191">
        <f t="shared" si="46"/>
        <v>0</v>
      </c>
      <c r="AG551" s="190">
        <f t="shared" si="47"/>
        <v>399999.6</v>
      </c>
      <c r="AH551" s="190"/>
      <c r="AI551" s="192" t="str">
        <f>VLOOKUP(Q551,[3]Sheet1!B$11:G$1489,6,0)</f>
        <v>E13</v>
      </c>
      <c r="GK551" s="194"/>
      <c r="GL551" s="195"/>
      <c r="GM551" s="196"/>
      <c r="GN551" s="197"/>
      <c r="GO551" s="198"/>
      <c r="GP551" s="199"/>
      <c r="GQ551" s="200"/>
      <c r="GR551" s="201"/>
      <c r="GS551" s="60"/>
      <c r="GT551" s="202"/>
      <c r="GU551" s="202"/>
      <c r="GV551" s="202"/>
      <c r="GW551" s="202"/>
      <c r="GX551" s="203"/>
      <c r="HA551" s="194"/>
      <c r="HB551" s="195"/>
      <c r="HC551" s="196"/>
      <c r="HD551" s="197"/>
      <c r="HE551" s="198"/>
      <c r="HF551" s="199"/>
      <c r="HG551" s="200"/>
      <c r="HH551" s="201"/>
      <c r="HI551" s="60"/>
      <c r="HJ551" s="202"/>
      <c r="HK551" s="202"/>
      <c r="HL551" s="202"/>
      <c r="HM551" s="202"/>
      <c r="HN551" s="203"/>
    </row>
    <row r="552" spans="1:222" ht="16.5" customHeight="1">
      <c r="A552" s="181">
        <v>549</v>
      </c>
      <c r="B552" s="182" t="s">
        <v>1333</v>
      </c>
      <c r="C552" s="183" t="s">
        <v>2939</v>
      </c>
      <c r="D552" s="184" t="s">
        <v>2940</v>
      </c>
      <c r="E552" s="184" t="str">
        <f t="shared" si="49"/>
        <v>Import</v>
      </c>
      <c r="F552" s="720" t="str" cm="1">
        <f t="array" ref="F552">_xlfn.IFS(
  OR(AI552="E11", AI552="E15"), "Raw materials",
  OR(AI552="E13", AI552="G13"), "Equipments + Toolings",
  TRUE, RIGHT(C552, 8)
)</f>
        <v>Equipments + Toolings</v>
      </c>
      <c r="G552" s="541" t="s">
        <v>1608</v>
      </c>
      <c r="H552" s="184"/>
      <c r="I552" s="184"/>
      <c r="J552" s="260">
        <f>(V552+X552+AA552)/'Logistics record '!$AD$1</f>
        <v>15.116000302320307</v>
      </c>
      <c r="K552" s="260">
        <f>W552/'Logistics record '!$AD$1</f>
        <v>0</v>
      </c>
      <c r="L552" s="260">
        <f>Y552/'Logistics record '!$AD$1</f>
        <v>0</v>
      </c>
      <c r="M552" s="260">
        <f>AF552/'Logistics record '!$AD$1</f>
        <v>0</v>
      </c>
      <c r="N552" s="260" t="str" cm="1">
        <f t="array" ref="N552">_xlfn.IFS(
    OR(UPPER(S552)="AIR", UPPER(S552)="CPN"), "AIR",
    UPPER(S552)="TC", "LOCAL",
    TRUE, "SEA"
)</f>
        <v>LOCAL</v>
      </c>
      <c r="O552" s="260">
        <f t="shared" si="36"/>
        <v>15.116000302320307</v>
      </c>
      <c r="P552" s="184" t="s">
        <v>971</v>
      </c>
      <c r="Q552" s="185">
        <v>108364787310</v>
      </c>
      <c r="R552" s="186">
        <v>46195</v>
      </c>
      <c r="S552" s="187" t="s">
        <v>986</v>
      </c>
      <c r="T552" s="188">
        <v>25</v>
      </c>
      <c r="U552" s="188"/>
      <c r="V552" s="189">
        <v>370370</v>
      </c>
      <c r="W552" s="190"/>
      <c r="X552" s="190"/>
      <c r="Y552" s="190"/>
      <c r="Z552" s="189">
        <f t="shared" si="48"/>
        <v>370370</v>
      </c>
      <c r="AA552" s="189">
        <v>29629.600000000002</v>
      </c>
      <c r="AB552" s="189">
        <f t="shared" si="41"/>
        <v>399999.6</v>
      </c>
      <c r="AC552" s="189"/>
      <c r="AD552" s="190"/>
      <c r="AE552" s="190"/>
      <c r="AF552" s="191">
        <f t="shared" si="46"/>
        <v>0</v>
      </c>
      <c r="AG552" s="190">
        <f t="shared" si="47"/>
        <v>399999.6</v>
      </c>
      <c r="AH552" s="190"/>
      <c r="AI552" s="192" t="str">
        <f>VLOOKUP(Q552,[3]Sheet1!B$11:G$1489,6,0)</f>
        <v>E13</v>
      </c>
      <c r="GK552" s="194"/>
      <c r="GL552" s="195"/>
      <c r="GM552" s="196"/>
      <c r="GN552" s="197"/>
      <c r="GO552" s="198"/>
      <c r="GP552" s="199"/>
      <c r="GQ552" s="200"/>
      <c r="GR552" s="201"/>
      <c r="GS552" s="60"/>
      <c r="GT552" s="202"/>
      <c r="GU552" s="202"/>
      <c r="GV552" s="202"/>
      <c r="GW552" s="202"/>
      <c r="GX552" s="203"/>
      <c r="HA552" s="194"/>
      <c r="HB552" s="195"/>
      <c r="HC552" s="196"/>
      <c r="HD552" s="197"/>
      <c r="HE552" s="198"/>
      <c r="HF552" s="199"/>
      <c r="HG552" s="200"/>
      <c r="HH552" s="201"/>
      <c r="HI552" s="60"/>
      <c r="HJ552" s="202"/>
      <c r="HK552" s="202"/>
      <c r="HL552" s="202"/>
      <c r="HM552" s="202"/>
      <c r="HN552" s="203"/>
    </row>
    <row r="553" spans="1:222" ht="16.5" customHeight="1">
      <c r="A553" s="181">
        <v>550</v>
      </c>
      <c r="B553" s="182" t="s">
        <v>1333</v>
      </c>
      <c r="C553" s="183" t="s">
        <v>2941</v>
      </c>
      <c r="D553" s="184" t="s">
        <v>2942</v>
      </c>
      <c r="E553" s="184" t="str">
        <f t="shared" si="49"/>
        <v>Import</v>
      </c>
      <c r="F553" s="720" t="str" cm="1">
        <f t="array" ref="F553">_xlfn.IFS(
  OR(AI553="E11", AI553="E15"), "Raw materials",
  OR(AI553="E13", AI553="G13"), "Equipments + Toolings",
  TRUE, RIGHT(C553, 8)
)</f>
        <v>Raw materials</v>
      </c>
      <c r="G553" s="541" t="s">
        <v>76</v>
      </c>
      <c r="H553" s="184"/>
      <c r="I553" s="184"/>
      <c r="J553" s="260">
        <f>(V553+X553+AA553)/'Logistics record '!$AD$1</f>
        <v>15.116015418335726</v>
      </c>
      <c r="K553" s="260">
        <f>W553/'Logistics record '!$AD$1</f>
        <v>0</v>
      </c>
      <c r="L553" s="260">
        <f>Y553/'Logistics record '!$AD$1</f>
        <v>0</v>
      </c>
      <c r="M553" s="260">
        <f>AF553/'Logistics record '!$AD$1</f>
        <v>0</v>
      </c>
      <c r="N553" s="260" t="str" cm="1">
        <f t="array" ref="N553">_xlfn.IFS(
    OR(UPPER(S553)="AIR", UPPER(S553)="CPN"), "AIR",
    UPPER(S553)="TC", "LOCAL",
    TRUE, "SEA"
)</f>
        <v>LOCAL</v>
      </c>
      <c r="O553" s="260">
        <f t="shared" si="36"/>
        <v>15.116015418335726</v>
      </c>
      <c r="P553" s="184" t="s">
        <v>971</v>
      </c>
      <c r="Q553" s="185">
        <v>108276621500</v>
      </c>
      <c r="R553" s="186">
        <v>46168</v>
      </c>
      <c r="S553" s="187" t="s">
        <v>986</v>
      </c>
      <c r="T553" s="188">
        <v>123.28</v>
      </c>
      <c r="U553" s="188"/>
      <c r="V553" s="189">
        <v>400000</v>
      </c>
      <c r="W553" s="190"/>
      <c r="X553" s="190"/>
      <c r="Y553" s="190"/>
      <c r="Z553" s="189">
        <f t="shared" si="48"/>
        <v>400000</v>
      </c>
      <c r="AA553" s="189">
        <v>0</v>
      </c>
      <c r="AB553" s="189">
        <f t="shared" si="41"/>
        <v>400000</v>
      </c>
      <c r="AC553" s="189"/>
      <c r="AD553" s="190"/>
      <c r="AE553" s="190"/>
      <c r="AF553" s="191">
        <f t="shared" si="46"/>
        <v>0</v>
      </c>
      <c r="AG553" s="190">
        <f t="shared" si="47"/>
        <v>400000</v>
      </c>
      <c r="AH553" s="190"/>
      <c r="AI553" s="192" t="str">
        <f>VLOOKUP(Q553,[3]Sheet1!B$11:G$1489,6,0)</f>
        <v>E15</v>
      </c>
      <c r="GK553" s="194"/>
      <c r="GL553" s="195"/>
      <c r="GM553" s="196"/>
      <c r="GN553" s="197"/>
      <c r="GO553" s="198"/>
      <c r="GP553" s="199"/>
      <c r="GQ553" s="200"/>
      <c r="GR553" s="201"/>
      <c r="GS553" s="60"/>
      <c r="GT553" s="202"/>
      <c r="GU553" s="202"/>
      <c r="GV553" s="202"/>
      <c r="GW553" s="202"/>
      <c r="GX553" s="203"/>
      <c r="HA553" s="194"/>
      <c r="HB553" s="195"/>
      <c r="HC553" s="196"/>
      <c r="HD553" s="197"/>
      <c r="HE553" s="198"/>
      <c r="HF553" s="199"/>
      <c r="HG553" s="200"/>
      <c r="HH553" s="201"/>
      <c r="HI553" s="60"/>
      <c r="HJ553" s="202"/>
      <c r="HK553" s="202"/>
      <c r="HL553" s="202"/>
      <c r="HM553" s="202"/>
      <c r="HN553" s="203"/>
    </row>
    <row r="554" spans="1:222" ht="16.5" customHeight="1">
      <c r="A554" s="181">
        <v>551</v>
      </c>
      <c r="B554" s="182" t="s">
        <v>1333</v>
      </c>
      <c r="C554" s="183" t="s">
        <v>2943</v>
      </c>
      <c r="D554" s="184" t="s">
        <v>2944</v>
      </c>
      <c r="E554" s="184" t="str">
        <f t="shared" si="49"/>
        <v>Import</v>
      </c>
      <c r="F554" s="720" t="str" cm="1">
        <f t="array" ref="F554">_xlfn.IFS(
  OR(AI554="E11", AI554="E15"), "Raw materials",
  OR(AI554="E13", AI554="G13"), "Equipments + Toolings",
  TRUE, RIGHT(C554, 8)
)</f>
        <v>Raw materials</v>
      </c>
      <c r="G554" s="541" t="s">
        <v>1271</v>
      </c>
      <c r="H554" s="184"/>
      <c r="I554" s="184"/>
      <c r="J554" s="260">
        <f>(V554+X554+AA554)/'Logistics record '!$AD$1</f>
        <v>15.116015418335726</v>
      </c>
      <c r="K554" s="260">
        <f>W554/'Logistics record '!$AD$1</f>
        <v>0</v>
      </c>
      <c r="L554" s="260">
        <f>Y554/'Logistics record '!$AD$1</f>
        <v>0</v>
      </c>
      <c r="M554" s="260">
        <f>AF554/'Logistics record '!$AD$1</f>
        <v>0</v>
      </c>
      <c r="N554" s="260" t="str" cm="1">
        <f t="array" ref="N554">_xlfn.IFS(
    OR(UPPER(S554)="AIR", UPPER(S554)="CPN"), "AIR",
    UPPER(S554)="TC", "LOCAL",
    TRUE, "SEA"
)</f>
        <v>LOCAL</v>
      </c>
      <c r="O554" s="260">
        <f t="shared" si="36"/>
        <v>15.116015418335726</v>
      </c>
      <c r="P554" s="184" t="s">
        <v>971</v>
      </c>
      <c r="Q554" s="185">
        <v>108289268360</v>
      </c>
      <c r="R554" s="186">
        <v>46171</v>
      </c>
      <c r="S554" s="187" t="s">
        <v>986</v>
      </c>
      <c r="T554" s="188">
        <v>1015.3</v>
      </c>
      <c r="U554" s="188"/>
      <c r="V554" s="189">
        <v>400000</v>
      </c>
      <c r="W554" s="190"/>
      <c r="X554" s="190"/>
      <c r="Y554" s="190"/>
      <c r="Z554" s="189">
        <f t="shared" si="48"/>
        <v>400000</v>
      </c>
      <c r="AA554" s="189">
        <v>0</v>
      </c>
      <c r="AB554" s="189">
        <f t="shared" si="41"/>
        <v>400000</v>
      </c>
      <c r="AC554" s="189"/>
      <c r="AD554" s="190"/>
      <c r="AE554" s="190"/>
      <c r="AF554" s="191">
        <f t="shared" si="46"/>
        <v>0</v>
      </c>
      <c r="AG554" s="190">
        <f t="shared" si="47"/>
        <v>400000</v>
      </c>
      <c r="AH554" s="190"/>
      <c r="AI554" s="192" t="str">
        <f>VLOOKUP(Q554,[3]Sheet1!B$11:G$1489,6,0)</f>
        <v>E15</v>
      </c>
      <c r="GK554" s="194"/>
      <c r="GL554" s="195"/>
      <c r="GM554" s="196"/>
      <c r="GN554" s="197"/>
      <c r="GO554" s="198"/>
      <c r="GP554" s="199"/>
      <c r="GQ554" s="200"/>
      <c r="GR554" s="201"/>
      <c r="GS554" s="60"/>
      <c r="GT554" s="202"/>
      <c r="GU554" s="202"/>
      <c r="GV554" s="202"/>
      <c r="GW554" s="202"/>
      <c r="GX554" s="203"/>
      <c r="HA554" s="194"/>
      <c r="HB554" s="195"/>
      <c r="HC554" s="196"/>
      <c r="HD554" s="197"/>
      <c r="HE554" s="198"/>
      <c r="HF554" s="199"/>
      <c r="HG554" s="200"/>
      <c r="HH554" s="201"/>
      <c r="HI554" s="60"/>
      <c r="HJ554" s="202"/>
      <c r="HK554" s="202"/>
      <c r="HL554" s="202"/>
      <c r="HM554" s="202"/>
      <c r="HN554" s="203"/>
    </row>
    <row r="555" spans="1:222" ht="16.5" customHeight="1">
      <c r="A555" s="181">
        <v>552</v>
      </c>
      <c r="B555" s="182" t="s">
        <v>1333</v>
      </c>
      <c r="C555" s="183" t="s">
        <v>2945</v>
      </c>
      <c r="D555" s="184" t="s">
        <v>2946</v>
      </c>
      <c r="E555" s="184" t="str">
        <f t="shared" si="49"/>
        <v>Import</v>
      </c>
      <c r="F555" s="720" t="str" cm="1">
        <f t="array" ref="F555">_xlfn.IFS(
  OR(AI555="E11", AI555="E15"), "Raw materials",
  OR(AI555="E13", AI555="G13"), "Equipments + Toolings",
  TRUE, RIGHT(C555, 8)
)</f>
        <v>Raw materials</v>
      </c>
      <c r="G555" s="541" t="s">
        <v>1271</v>
      </c>
      <c r="H555" s="184"/>
      <c r="I555" s="184"/>
      <c r="J555" s="260">
        <f>(V555+X555+AA555)/'Logistics record '!$AD$1</f>
        <v>15.116015418335726</v>
      </c>
      <c r="K555" s="260">
        <f>W555/'Logistics record '!$AD$1</f>
        <v>0</v>
      </c>
      <c r="L555" s="260">
        <f>Y555/'Logistics record '!$AD$1</f>
        <v>0</v>
      </c>
      <c r="M555" s="260">
        <f>AF555/'Logistics record '!$AD$1</f>
        <v>0</v>
      </c>
      <c r="N555" s="260" t="str" cm="1">
        <f t="array" ref="N555">_xlfn.IFS(
    OR(UPPER(S555)="AIR", UPPER(S555)="CPN"), "AIR",
    UPPER(S555)="TC", "LOCAL",
    TRUE, "SEA"
)</f>
        <v>LOCAL</v>
      </c>
      <c r="O555" s="260">
        <f t="shared" si="36"/>
        <v>15.116015418335726</v>
      </c>
      <c r="P555" s="184" t="s">
        <v>971</v>
      </c>
      <c r="Q555" s="185">
        <v>108289370820</v>
      </c>
      <c r="R555" s="186">
        <v>46171</v>
      </c>
      <c r="S555" s="187" t="s">
        <v>986</v>
      </c>
      <c r="T555" s="188">
        <v>376.4</v>
      </c>
      <c r="U555" s="188"/>
      <c r="V555" s="189">
        <v>400000</v>
      </c>
      <c r="W555" s="190"/>
      <c r="X555" s="190"/>
      <c r="Y555" s="190"/>
      <c r="Z555" s="189">
        <f t="shared" si="48"/>
        <v>400000</v>
      </c>
      <c r="AA555" s="189">
        <v>0</v>
      </c>
      <c r="AB555" s="189">
        <f t="shared" si="41"/>
        <v>400000</v>
      </c>
      <c r="AC555" s="189"/>
      <c r="AD555" s="190"/>
      <c r="AE555" s="190"/>
      <c r="AF555" s="191">
        <f t="shared" si="46"/>
        <v>0</v>
      </c>
      <c r="AG555" s="190">
        <f t="shared" si="47"/>
        <v>400000</v>
      </c>
      <c r="AH555" s="190"/>
      <c r="AI555" s="192" t="str">
        <f>VLOOKUP(Q555,[3]Sheet1!B$11:G$1489,6,0)</f>
        <v>E15</v>
      </c>
      <c r="GK555" s="194"/>
      <c r="GL555" s="195"/>
      <c r="GM555" s="196"/>
      <c r="GN555" s="197"/>
      <c r="GO555" s="198"/>
      <c r="GP555" s="199"/>
      <c r="GQ555" s="200"/>
      <c r="GR555" s="201"/>
      <c r="GS555" s="60"/>
      <c r="GT555" s="202"/>
      <c r="GU555" s="202"/>
      <c r="GV555" s="202"/>
      <c r="GW555" s="202"/>
      <c r="GX555" s="203"/>
      <c r="HA555" s="194"/>
      <c r="HB555" s="195"/>
      <c r="HC555" s="196"/>
      <c r="HD555" s="197"/>
      <c r="HE555" s="198"/>
      <c r="HF555" s="199"/>
      <c r="HG555" s="200"/>
      <c r="HH555" s="201"/>
      <c r="HI555" s="60"/>
      <c r="HJ555" s="202"/>
      <c r="HK555" s="202"/>
      <c r="HL555" s="202"/>
      <c r="HM555" s="202"/>
      <c r="HN555" s="203"/>
    </row>
    <row r="556" spans="1:222" ht="16.5" customHeight="1">
      <c r="A556" s="181">
        <v>553</v>
      </c>
      <c r="B556" s="182" t="s">
        <v>1333</v>
      </c>
      <c r="C556" s="183" t="s">
        <v>2947</v>
      </c>
      <c r="D556" s="184" t="s">
        <v>2948</v>
      </c>
      <c r="E556" s="184" t="str">
        <f t="shared" si="49"/>
        <v>Import</v>
      </c>
      <c r="F556" s="720" t="str" cm="1">
        <f t="array" ref="F556">_xlfn.IFS(
  OR(AI556="E11", AI556="E15"), "Raw materials",
  OR(AI556="E13", AI556="G13"), "Equipments + Toolings",
  TRUE, RIGHT(C556, 8)
)</f>
        <v>Raw materials</v>
      </c>
      <c r="G556" s="541" t="s">
        <v>1271</v>
      </c>
      <c r="H556" s="184"/>
      <c r="I556" s="184"/>
      <c r="J556" s="260">
        <f>(V556+X556+AA556)/'Logistics record '!$AD$1</f>
        <v>15.116015418335726</v>
      </c>
      <c r="K556" s="260">
        <f>W556/'Logistics record '!$AD$1</f>
        <v>0</v>
      </c>
      <c r="L556" s="260">
        <f>Y556/'Logistics record '!$AD$1</f>
        <v>0</v>
      </c>
      <c r="M556" s="260">
        <f>AF556/'Logistics record '!$AD$1</f>
        <v>0</v>
      </c>
      <c r="N556" s="260" t="str" cm="1">
        <f t="array" ref="N556">_xlfn.IFS(
    OR(UPPER(S556)="AIR", UPPER(S556)="CPN"), "AIR",
    UPPER(S556)="TC", "LOCAL",
    TRUE, "SEA"
)</f>
        <v>LOCAL</v>
      </c>
      <c r="O556" s="260">
        <f t="shared" si="36"/>
        <v>15.116015418335726</v>
      </c>
      <c r="P556" s="184" t="s">
        <v>971</v>
      </c>
      <c r="Q556" s="185">
        <v>108289455740</v>
      </c>
      <c r="R556" s="186">
        <v>46171</v>
      </c>
      <c r="S556" s="187" t="s">
        <v>986</v>
      </c>
      <c r="T556" s="188">
        <v>1362.6</v>
      </c>
      <c r="U556" s="188"/>
      <c r="V556" s="189">
        <v>400000</v>
      </c>
      <c r="W556" s="190"/>
      <c r="X556" s="190"/>
      <c r="Y556" s="190"/>
      <c r="Z556" s="189">
        <f t="shared" si="48"/>
        <v>400000</v>
      </c>
      <c r="AA556" s="189">
        <v>0</v>
      </c>
      <c r="AB556" s="189">
        <f t="shared" si="41"/>
        <v>400000</v>
      </c>
      <c r="AC556" s="189"/>
      <c r="AD556" s="190"/>
      <c r="AE556" s="190"/>
      <c r="AF556" s="191">
        <f t="shared" si="46"/>
        <v>0</v>
      </c>
      <c r="AG556" s="190">
        <f t="shared" si="47"/>
        <v>400000</v>
      </c>
      <c r="AH556" s="190"/>
      <c r="AI556" s="192" t="str">
        <f>VLOOKUP(Q556,[3]Sheet1!B$11:G$1489,6,0)</f>
        <v>E15</v>
      </c>
      <c r="GK556" s="194"/>
      <c r="GL556" s="195"/>
      <c r="GM556" s="196"/>
      <c r="GN556" s="197"/>
      <c r="GO556" s="198"/>
      <c r="GP556" s="199"/>
      <c r="GQ556" s="200"/>
      <c r="GR556" s="201"/>
      <c r="GS556" s="60"/>
      <c r="GT556" s="202"/>
      <c r="GU556" s="202"/>
      <c r="GV556" s="202"/>
      <c r="GW556" s="202"/>
      <c r="GX556" s="203"/>
      <c r="HA556" s="194"/>
      <c r="HB556" s="195"/>
      <c r="HC556" s="196"/>
      <c r="HD556" s="197"/>
      <c r="HE556" s="198"/>
      <c r="HF556" s="199"/>
      <c r="HG556" s="200"/>
      <c r="HH556" s="201"/>
      <c r="HI556" s="60"/>
      <c r="HJ556" s="202"/>
      <c r="HK556" s="202"/>
      <c r="HL556" s="202"/>
      <c r="HM556" s="202"/>
      <c r="HN556" s="203"/>
    </row>
    <row r="557" spans="1:222" ht="16.5" customHeight="1">
      <c r="A557" s="181">
        <v>554</v>
      </c>
      <c r="B557" s="182" t="s">
        <v>1333</v>
      </c>
      <c r="C557" s="183" t="s">
        <v>2949</v>
      </c>
      <c r="D557" s="184" t="s">
        <v>2950</v>
      </c>
      <c r="E557" s="184" t="str">
        <f t="shared" si="49"/>
        <v>Import</v>
      </c>
      <c r="F557" s="720" t="str" cm="1">
        <f t="array" ref="F557">_xlfn.IFS(
  OR(AI557="E11", AI557="E15"), "Raw materials",
  OR(AI557="E13", AI557="G13"), "Equipments + Toolings",
  TRUE, RIGHT(C557, 8)
)</f>
        <v>Raw materials</v>
      </c>
      <c r="G557" s="541" t="s">
        <v>1271</v>
      </c>
      <c r="H557" s="184"/>
      <c r="I557" s="184"/>
      <c r="J557" s="260">
        <f>(V557+X557+AA557)/'Logistics record '!$AD$1</f>
        <v>15.116015418335726</v>
      </c>
      <c r="K557" s="260">
        <f>W557/'Logistics record '!$AD$1</f>
        <v>0</v>
      </c>
      <c r="L557" s="260">
        <f>Y557/'Logistics record '!$AD$1</f>
        <v>0</v>
      </c>
      <c r="M557" s="260">
        <f>AF557/'Logistics record '!$AD$1</f>
        <v>0</v>
      </c>
      <c r="N557" s="260" t="str" cm="1">
        <f t="array" ref="N557">_xlfn.IFS(
    OR(UPPER(S557)="AIR", UPPER(S557)="CPN"), "AIR",
    UPPER(S557)="TC", "LOCAL",
    TRUE, "SEA"
)</f>
        <v>LOCAL</v>
      </c>
      <c r="O557" s="260">
        <f t="shared" si="36"/>
        <v>15.116015418335726</v>
      </c>
      <c r="P557" s="184" t="s">
        <v>971</v>
      </c>
      <c r="Q557" s="185">
        <v>108289554810</v>
      </c>
      <c r="R557" s="186">
        <v>46171</v>
      </c>
      <c r="S557" s="187" t="s">
        <v>986</v>
      </c>
      <c r="T557" s="188">
        <v>291.33</v>
      </c>
      <c r="U557" s="188"/>
      <c r="V557" s="189">
        <v>400000</v>
      </c>
      <c r="W557" s="190"/>
      <c r="X557" s="190"/>
      <c r="Y557" s="190"/>
      <c r="Z557" s="189">
        <f t="shared" si="48"/>
        <v>400000</v>
      </c>
      <c r="AA557" s="189">
        <v>0</v>
      </c>
      <c r="AB557" s="189">
        <f t="shared" si="41"/>
        <v>400000</v>
      </c>
      <c r="AC557" s="189"/>
      <c r="AD557" s="190"/>
      <c r="AE557" s="190"/>
      <c r="AF557" s="191">
        <f t="shared" si="46"/>
        <v>0</v>
      </c>
      <c r="AG557" s="190">
        <f t="shared" si="47"/>
        <v>400000</v>
      </c>
      <c r="AH557" s="190"/>
      <c r="AI557" s="192" t="str">
        <f>VLOOKUP(Q557,[3]Sheet1!B$11:G$1489,6,0)</f>
        <v>E15</v>
      </c>
      <c r="GK557" s="194"/>
      <c r="GL557" s="195"/>
      <c r="GM557" s="196"/>
      <c r="GN557" s="197"/>
      <c r="GO557" s="198"/>
      <c r="GP557" s="199"/>
      <c r="GQ557" s="200"/>
      <c r="GR557" s="201"/>
      <c r="GS557" s="60"/>
      <c r="GT557" s="202"/>
      <c r="GU557" s="202"/>
      <c r="GV557" s="202"/>
      <c r="GW557" s="202"/>
      <c r="GX557" s="203"/>
      <c r="HA557" s="194"/>
      <c r="HB557" s="195"/>
      <c r="HC557" s="196"/>
      <c r="HD557" s="197"/>
      <c r="HE557" s="198"/>
      <c r="HF557" s="199"/>
      <c r="HG557" s="200"/>
      <c r="HH557" s="201"/>
      <c r="HI557" s="60"/>
      <c r="HJ557" s="202"/>
      <c r="HK557" s="202"/>
      <c r="HL557" s="202"/>
      <c r="HM557" s="202"/>
      <c r="HN557" s="203"/>
    </row>
    <row r="558" spans="1:222" ht="16.5" customHeight="1">
      <c r="A558" s="181">
        <v>555</v>
      </c>
      <c r="B558" s="182" t="s">
        <v>1333</v>
      </c>
      <c r="C558" s="183" t="s">
        <v>2951</v>
      </c>
      <c r="D558" s="184" t="s">
        <v>2952</v>
      </c>
      <c r="E558" s="184" t="str">
        <f t="shared" si="49"/>
        <v>Import</v>
      </c>
      <c r="F558" s="720" t="str" cm="1">
        <f t="array" ref="F558">_xlfn.IFS(
  OR(AI558="E11", AI558="E15"), "Raw materials",
  OR(AI558="E13", AI558="G13"), "Equipments + Toolings",
  TRUE, RIGHT(C558, 8)
)</f>
        <v>Raw materials</v>
      </c>
      <c r="G558" s="541" t="s">
        <v>1271</v>
      </c>
      <c r="H558" s="184"/>
      <c r="I558" s="184"/>
      <c r="J558" s="260">
        <f>(V558+X558+AA558)/'Logistics record '!$AD$1</f>
        <v>15.116015418335726</v>
      </c>
      <c r="K558" s="260">
        <f>W558/'Logistics record '!$AD$1</f>
        <v>0</v>
      </c>
      <c r="L558" s="260">
        <f>Y558/'Logistics record '!$AD$1</f>
        <v>0</v>
      </c>
      <c r="M558" s="260">
        <f>AF558/'Logistics record '!$AD$1</f>
        <v>0</v>
      </c>
      <c r="N558" s="260" t="str" cm="1">
        <f t="array" ref="N558">_xlfn.IFS(
    OR(UPPER(S558)="AIR", UPPER(S558)="CPN"), "AIR",
    UPPER(S558)="TC", "LOCAL",
    TRUE, "SEA"
)</f>
        <v>LOCAL</v>
      </c>
      <c r="O558" s="260">
        <f t="shared" si="36"/>
        <v>15.116015418335726</v>
      </c>
      <c r="P558" s="184" t="s">
        <v>971</v>
      </c>
      <c r="Q558" s="185">
        <v>108289968840</v>
      </c>
      <c r="R558" s="186">
        <v>46171</v>
      </c>
      <c r="S558" s="187" t="s">
        <v>986</v>
      </c>
      <c r="T558" s="188">
        <v>20.100000000000001</v>
      </c>
      <c r="U558" s="188"/>
      <c r="V558" s="189">
        <v>400000</v>
      </c>
      <c r="W558" s="190"/>
      <c r="X558" s="190"/>
      <c r="Y558" s="190"/>
      <c r="Z558" s="189">
        <f t="shared" si="48"/>
        <v>400000</v>
      </c>
      <c r="AA558" s="189">
        <v>0</v>
      </c>
      <c r="AB558" s="189">
        <f t="shared" si="41"/>
        <v>400000</v>
      </c>
      <c r="AC558" s="189"/>
      <c r="AD558" s="190"/>
      <c r="AE558" s="190"/>
      <c r="AF558" s="191">
        <f t="shared" si="46"/>
        <v>0</v>
      </c>
      <c r="AG558" s="190">
        <f t="shared" si="47"/>
        <v>400000</v>
      </c>
      <c r="AH558" s="190"/>
      <c r="AI558" s="192" t="str">
        <f>VLOOKUP(Q558,[3]Sheet1!B$11:G$1489,6,0)</f>
        <v>E15</v>
      </c>
      <c r="GK558" s="194"/>
      <c r="GL558" s="195"/>
      <c r="GM558" s="196"/>
      <c r="GN558" s="197"/>
      <c r="GO558" s="198"/>
      <c r="GP558" s="199"/>
      <c r="GQ558" s="200"/>
      <c r="GR558" s="201"/>
      <c r="GS558" s="60"/>
      <c r="GT558" s="202"/>
      <c r="GU558" s="202"/>
      <c r="GV558" s="202"/>
      <c r="GW558" s="202"/>
      <c r="GX558" s="203"/>
      <c r="HA558" s="194"/>
      <c r="HB558" s="195"/>
      <c r="HC558" s="196"/>
      <c r="HD558" s="197"/>
      <c r="HE558" s="198"/>
      <c r="HF558" s="199"/>
      <c r="HG558" s="200"/>
      <c r="HH558" s="201"/>
      <c r="HI558" s="60"/>
      <c r="HJ558" s="202"/>
      <c r="HK558" s="202"/>
      <c r="HL558" s="202"/>
      <c r="HM558" s="202"/>
      <c r="HN558" s="203"/>
    </row>
    <row r="559" spans="1:222" ht="16.5" customHeight="1">
      <c r="A559" s="181">
        <v>556</v>
      </c>
      <c r="B559" s="182" t="s">
        <v>1333</v>
      </c>
      <c r="C559" s="183" t="s">
        <v>2953</v>
      </c>
      <c r="D559" s="184" t="s">
        <v>2954</v>
      </c>
      <c r="E559" s="184" t="str">
        <f t="shared" si="49"/>
        <v>Import</v>
      </c>
      <c r="F559" s="720" t="str" cm="1">
        <f t="array" ref="F559">_xlfn.IFS(
  OR(AI559="E11", AI559="E15"), "Raw materials",
  OR(AI559="E13", AI559="G13"), "Equipments + Toolings",
  TRUE, RIGHT(C559, 8)
)</f>
        <v>Raw materials</v>
      </c>
      <c r="G559" s="541" t="s">
        <v>94</v>
      </c>
      <c r="H559" s="184"/>
      <c r="I559" s="184"/>
      <c r="J559" s="260">
        <f>(V559+X559+AA559)/'Logistics record '!$AD$1</f>
        <v>15.116015418335726</v>
      </c>
      <c r="K559" s="260">
        <f>W559/'Logistics record '!$AD$1</f>
        <v>0</v>
      </c>
      <c r="L559" s="260">
        <f>Y559/'Logistics record '!$AD$1</f>
        <v>0</v>
      </c>
      <c r="M559" s="260">
        <f>AF559/'Logistics record '!$AD$1</f>
        <v>0</v>
      </c>
      <c r="N559" s="260" t="str" cm="1">
        <f t="array" ref="N559">_xlfn.IFS(
    OR(UPPER(S559)="AIR", UPPER(S559)="CPN"), "AIR",
    UPPER(S559)="TC", "LOCAL",
    TRUE, "SEA"
)</f>
        <v>LOCAL</v>
      </c>
      <c r="O559" s="260">
        <f t="shared" si="36"/>
        <v>15.116015418335726</v>
      </c>
      <c r="P559" s="184" t="s">
        <v>971</v>
      </c>
      <c r="Q559" s="185">
        <v>108291849740</v>
      </c>
      <c r="R559" s="186">
        <v>46171</v>
      </c>
      <c r="S559" s="187" t="s">
        <v>986</v>
      </c>
      <c r="T559" s="188">
        <v>4137.55</v>
      </c>
      <c r="U559" s="188"/>
      <c r="V559" s="189">
        <v>400000</v>
      </c>
      <c r="W559" s="190"/>
      <c r="X559" s="190"/>
      <c r="Y559" s="190"/>
      <c r="Z559" s="189">
        <f t="shared" si="48"/>
        <v>400000</v>
      </c>
      <c r="AA559" s="189">
        <v>0</v>
      </c>
      <c r="AB559" s="189">
        <f t="shared" si="41"/>
        <v>400000</v>
      </c>
      <c r="AC559" s="189"/>
      <c r="AD559" s="190"/>
      <c r="AE559" s="190"/>
      <c r="AF559" s="191">
        <f t="shared" si="46"/>
        <v>0</v>
      </c>
      <c r="AG559" s="190">
        <f t="shared" si="47"/>
        <v>400000</v>
      </c>
      <c r="AH559" s="190"/>
      <c r="AI559" s="192" t="str">
        <f>VLOOKUP(Q559,[3]Sheet1!B$11:G$1489,6,0)</f>
        <v>E15</v>
      </c>
      <c r="GK559" s="194"/>
      <c r="GL559" s="195"/>
      <c r="GM559" s="196"/>
      <c r="GN559" s="197"/>
      <c r="GO559" s="198"/>
      <c r="GP559" s="199"/>
      <c r="GQ559" s="200"/>
      <c r="GR559" s="201"/>
      <c r="GS559" s="60"/>
      <c r="GT559" s="202"/>
      <c r="GU559" s="202"/>
      <c r="GV559" s="202"/>
      <c r="GW559" s="202"/>
      <c r="GX559" s="203"/>
      <c r="HA559" s="194"/>
      <c r="HB559" s="195"/>
      <c r="HC559" s="196"/>
      <c r="HD559" s="197"/>
      <c r="HE559" s="198"/>
      <c r="HF559" s="199"/>
      <c r="HG559" s="200"/>
      <c r="HH559" s="201"/>
      <c r="HI559" s="60"/>
      <c r="HJ559" s="202"/>
      <c r="HK559" s="202"/>
      <c r="HL559" s="202"/>
      <c r="HM559" s="202"/>
      <c r="HN559" s="203"/>
    </row>
    <row r="560" spans="1:222" ht="16.5" customHeight="1">
      <c r="A560" s="181">
        <v>557</v>
      </c>
      <c r="B560" s="182" t="s">
        <v>1333</v>
      </c>
      <c r="C560" s="183" t="s">
        <v>2955</v>
      </c>
      <c r="D560" s="184" t="s">
        <v>2956</v>
      </c>
      <c r="E560" s="184" t="str">
        <f t="shared" si="49"/>
        <v>Import</v>
      </c>
      <c r="F560" s="720" t="str" cm="1">
        <f t="array" ref="F560">_xlfn.IFS(
  OR(AI560="E11", AI560="E15"), "Raw materials",
  OR(AI560="E13", AI560="G13"), "Equipments + Toolings",
  TRUE, RIGHT(C560, 8)
)</f>
        <v>Raw materials</v>
      </c>
      <c r="G560" s="541" t="s">
        <v>1271</v>
      </c>
      <c r="H560" s="184"/>
      <c r="I560" s="184"/>
      <c r="J560" s="260">
        <f>(V560+X560+AA560)/'Logistics record '!$AD$1</f>
        <v>15.116015418335726</v>
      </c>
      <c r="K560" s="260">
        <f>W560/'Logistics record '!$AD$1</f>
        <v>0</v>
      </c>
      <c r="L560" s="260">
        <f>Y560/'Logistics record '!$AD$1</f>
        <v>0</v>
      </c>
      <c r="M560" s="260">
        <f>AF560/'Logistics record '!$AD$1</f>
        <v>0</v>
      </c>
      <c r="N560" s="260" t="str" cm="1">
        <f t="array" ref="N560">_xlfn.IFS(
    OR(UPPER(S560)="AIR", UPPER(S560)="CPN"), "AIR",
    UPPER(S560)="TC", "LOCAL",
    TRUE, "SEA"
)</f>
        <v>LOCAL</v>
      </c>
      <c r="O560" s="260">
        <f t="shared" si="36"/>
        <v>15.116015418335726</v>
      </c>
      <c r="P560" s="184" t="s">
        <v>971</v>
      </c>
      <c r="Q560" s="185">
        <v>108314147650</v>
      </c>
      <c r="R560" s="186">
        <v>46178</v>
      </c>
      <c r="S560" s="187" t="s">
        <v>986</v>
      </c>
      <c r="T560" s="188">
        <v>172.73</v>
      </c>
      <c r="U560" s="188"/>
      <c r="V560" s="189">
        <v>400000</v>
      </c>
      <c r="W560" s="190"/>
      <c r="X560" s="190"/>
      <c r="Y560" s="190"/>
      <c r="Z560" s="189">
        <f t="shared" si="48"/>
        <v>400000</v>
      </c>
      <c r="AA560" s="189">
        <v>0</v>
      </c>
      <c r="AB560" s="189">
        <f t="shared" si="41"/>
        <v>400000</v>
      </c>
      <c r="AC560" s="189"/>
      <c r="AD560" s="190"/>
      <c r="AE560" s="190"/>
      <c r="AF560" s="191">
        <f t="shared" si="46"/>
        <v>0</v>
      </c>
      <c r="AG560" s="190">
        <f t="shared" si="47"/>
        <v>400000</v>
      </c>
      <c r="AH560" s="190"/>
      <c r="AI560" s="192" t="str">
        <f>VLOOKUP(Q560,[3]Sheet1!B$11:G$1489,6,0)</f>
        <v>E15</v>
      </c>
      <c r="GK560" s="194"/>
      <c r="GL560" s="195"/>
      <c r="GM560" s="196"/>
      <c r="GN560" s="197"/>
      <c r="GO560" s="198"/>
      <c r="GP560" s="199"/>
      <c r="GQ560" s="200"/>
      <c r="GR560" s="201"/>
      <c r="GS560" s="60"/>
      <c r="GT560" s="202"/>
      <c r="GU560" s="202"/>
      <c r="GV560" s="202"/>
      <c r="GW560" s="202"/>
      <c r="GX560" s="203"/>
      <c r="HA560" s="194"/>
      <c r="HB560" s="195"/>
      <c r="HC560" s="196"/>
      <c r="HD560" s="197"/>
      <c r="HE560" s="198"/>
      <c r="HF560" s="199"/>
      <c r="HG560" s="200"/>
      <c r="HH560" s="201"/>
      <c r="HI560" s="60"/>
      <c r="HJ560" s="202"/>
      <c r="HK560" s="202"/>
      <c r="HL560" s="202"/>
      <c r="HM560" s="202"/>
      <c r="HN560" s="203"/>
    </row>
    <row r="561" spans="1:222" ht="16.5" customHeight="1">
      <c r="A561" s="181">
        <v>558</v>
      </c>
      <c r="B561" s="182" t="s">
        <v>1333</v>
      </c>
      <c r="C561" s="183" t="s">
        <v>2957</v>
      </c>
      <c r="D561" s="184" t="s">
        <v>2958</v>
      </c>
      <c r="E561" s="184" t="str">
        <f t="shared" si="49"/>
        <v>Import</v>
      </c>
      <c r="F561" s="720" t="str" cm="1">
        <f t="array" ref="F561">_xlfn.IFS(
  OR(AI561="E11", AI561="E15"), "Raw materials",
  OR(AI561="E13", AI561="G13"), "Equipments + Toolings",
  TRUE, RIGHT(C561, 8)
)</f>
        <v>Raw materials</v>
      </c>
      <c r="G561" s="541" t="s">
        <v>1271</v>
      </c>
      <c r="H561" s="184"/>
      <c r="I561" s="184"/>
      <c r="J561" s="260">
        <f>(V561+X561+AA561)/'Logistics record '!$AD$1</f>
        <v>15.116015418335726</v>
      </c>
      <c r="K561" s="260">
        <f>W561/'Logistics record '!$AD$1</f>
        <v>0</v>
      </c>
      <c r="L561" s="260">
        <f>Y561/'Logistics record '!$AD$1</f>
        <v>0</v>
      </c>
      <c r="M561" s="260">
        <f>AF561/'Logistics record '!$AD$1</f>
        <v>0</v>
      </c>
      <c r="N561" s="260" t="str" cm="1">
        <f t="array" ref="N561">_xlfn.IFS(
    OR(UPPER(S561)="AIR", UPPER(S561)="CPN"), "AIR",
    UPPER(S561)="TC", "LOCAL",
    TRUE, "SEA"
)</f>
        <v>LOCAL</v>
      </c>
      <c r="O561" s="260">
        <f t="shared" si="36"/>
        <v>15.116015418335726</v>
      </c>
      <c r="P561" s="184" t="s">
        <v>2934</v>
      </c>
      <c r="Q561" s="185">
        <v>108311088210</v>
      </c>
      <c r="R561" s="186">
        <v>46178</v>
      </c>
      <c r="S561" s="187" t="s">
        <v>986</v>
      </c>
      <c r="T561" s="188">
        <v>71.16</v>
      </c>
      <c r="U561" s="188"/>
      <c r="V561" s="189">
        <v>400000</v>
      </c>
      <c r="W561" s="190"/>
      <c r="X561" s="190"/>
      <c r="Y561" s="190"/>
      <c r="Z561" s="189">
        <f t="shared" si="48"/>
        <v>400000</v>
      </c>
      <c r="AA561" s="189">
        <v>0</v>
      </c>
      <c r="AB561" s="189">
        <f t="shared" si="41"/>
        <v>400000</v>
      </c>
      <c r="AC561" s="189"/>
      <c r="AD561" s="190"/>
      <c r="AE561" s="190"/>
      <c r="AF561" s="191">
        <f t="shared" si="46"/>
        <v>0</v>
      </c>
      <c r="AG561" s="190">
        <f t="shared" si="47"/>
        <v>400000</v>
      </c>
      <c r="AH561" s="190"/>
      <c r="AI561" s="192" t="str">
        <f>VLOOKUP(Q561,[3]Sheet1!B$11:G$1489,6,0)</f>
        <v>E15</v>
      </c>
      <c r="GK561" s="194"/>
      <c r="GL561" s="195"/>
      <c r="GM561" s="196"/>
      <c r="GN561" s="197"/>
      <c r="GO561" s="198"/>
      <c r="GP561" s="199"/>
      <c r="GQ561" s="200"/>
      <c r="GR561" s="201"/>
      <c r="GS561" s="60"/>
      <c r="GT561" s="202"/>
      <c r="GU561" s="202"/>
      <c r="GV561" s="202"/>
      <c r="GW561" s="202"/>
      <c r="GX561" s="203"/>
      <c r="HA561" s="194"/>
      <c r="HB561" s="195"/>
      <c r="HC561" s="196"/>
      <c r="HD561" s="197"/>
      <c r="HE561" s="198"/>
      <c r="HF561" s="199"/>
      <c r="HG561" s="200"/>
      <c r="HH561" s="201"/>
      <c r="HI561" s="60"/>
      <c r="HJ561" s="202"/>
      <c r="HK561" s="202"/>
      <c r="HL561" s="202"/>
      <c r="HM561" s="202"/>
      <c r="HN561" s="203"/>
    </row>
    <row r="562" spans="1:222" ht="16.5" customHeight="1">
      <c r="A562" s="181">
        <v>559</v>
      </c>
      <c r="B562" s="182" t="s">
        <v>1333</v>
      </c>
      <c r="C562" s="183" t="s">
        <v>2959</v>
      </c>
      <c r="D562" s="184" t="s">
        <v>2960</v>
      </c>
      <c r="E562" s="184" t="str">
        <f t="shared" si="49"/>
        <v>Import</v>
      </c>
      <c r="F562" s="720" t="str" cm="1">
        <f t="array" ref="F562">_xlfn.IFS(
  OR(AI562="E11", AI562="E15"), "Raw materials",
  OR(AI562="E13", AI562="G13"), "Equipments + Toolings",
  TRUE, RIGHT(C562, 8)
)</f>
        <v>Raw materials</v>
      </c>
      <c r="G562" s="541" t="s">
        <v>1271</v>
      </c>
      <c r="H562" s="184"/>
      <c r="I562" s="184"/>
      <c r="J562" s="260">
        <f>(V562+X562+AA562)/'Logistics record '!$AD$1</f>
        <v>15.116015418335726</v>
      </c>
      <c r="K562" s="260">
        <f>W562/'Logistics record '!$AD$1</f>
        <v>0</v>
      </c>
      <c r="L562" s="260">
        <f>Y562/'Logistics record '!$AD$1</f>
        <v>0</v>
      </c>
      <c r="M562" s="260">
        <f>AF562/'Logistics record '!$AD$1</f>
        <v>0</v>
      </c>
      <c r="N562" s="260" t="str" cm="1">
        <f t="array" ref="N562">_xlfn.IFS(
    OR(UPPER(S562)="AIR", UPPER(S562)="CPN"), "AIR",
    UPPER(S562)="TC", "LOCAL",
    TRUE, "SEA"
)</f>
        <v>LOCAL</v>
      </c>
      <c r="O562" s="260">
        <f t="shared" si="36"/>
        <v>15.116015418335726</v>
      </c>
      <c r="P562" s="184" t="s">
        <v>971</v>
      </c>
      <c r="Q562" s="185">
        <v>108327050310</v>
      </c>
      <c r="R562" s="186">
        <v>46183</v>
      </c>
      <c r="S562" s="187" t="s">
        <v>986</v>
      </c>
      <c r="T562" s="188">
        <v>1140</v>
      </c>
      <c r="U562" s="188"/>
      <c r="V562" s="189">
        <v>400000</v>
      </c>
      <c r="W562" s="190"/>
      <c r="X562" s="190"/>
      <c r="Y562" s="190"/>
      <c r="Z562" s="189">
        <f t="shared" si="48"/>
        <v>400000</v>
      </c>
      <c r="AA562" s="189">
        <v>0</v>
      </c>
      <c r="AB562" s="189">
        <f t="shared" si="41"/>
        <v>400000</v>
      </c>
      <c r="AC562" s="189"/>
      <c r="AD562" s="190"/>
      <c r="AE562" s="190"/>
      <c r="AF562" s="191">
        <f t="shared" si="46"/>
        <v>0</v>
      </c>
      <c r="AG562" s="190">
        <f t="shared" si="47"/>
        <v>400000</v>
      </c>
      <c r="AH562" s="190"/>
      <c r="AI562" s="192" t="str">
        <f>VLOOKUP(Q562,[3]Sheet1!B$11:G$1489,6,0)</f>
        <v>E15</v>
      </c>
      <c r="GK562" s="194"/>
      <c r="GL562" s="195"/>
      <c r="GM562" s="196"/>
      <c r="GN562" s="197"/>
      <c r="GO562" s="198"/>
      <c r="GP562" s="199"/>
      <c r="GQ562" s="200"/>
      <c r="GR562" s="201"/>
      <c r="GS562" s="60"/>
      <c r="GT562" s="202"/>
      <c r="GU562" s="202"/>
      <c r="GV562" s="202"/>
      <c r="GW562" s="202"/>
      <c r="GX562" s="203"/>
      <c r="HA562" s="194"/>
      <c r="HB562" s="195"/>
      <c r="HC562" s="196"/>
      <c r="HD562" s="197"/>
      <c r="HE562" s="198"/>
      <c r="HF562" s="199"/>
      <c r="HG562" s="200"/>
      <c r="HH562" s="201"/>
      <c r="HI562" s="60"/>
      <c r="HJ562" s="202"/>
      <c r="HK562" s="202"/>
      <c r="HL562" s="202"/>
      <c r="HM562" s="202"/>
      <c r="HN562" s="203"/>
    </row>
    <row r="563" spans="1:222" ht="16.5" customHeight="1">
      <c r="A563" s="181">
        <v>560</v>
      </c>
      <c r="B563" s="182" t="s">
        <v>1333</v>
      </c>
      <c r="C563" s="183" t="s">
        <v>2961</v>
      </c>
      <c r="D563" s="184" t="s">
        <v>2962</v>
      </c>
      <c r="E563" s="184" t="str">
        <f t="shared" si="49"/>
        <v>Import</v>
      </c>
      <c r="F563" s="720" t="str" cm="1">
        <f t="array" ref="F563">_xlfn.IFS(
  OR(AI563="E11", AI563="E15"), "Raw materials",
  OR(AI563="E13", AI563="G13"), "Equipments + Toolings",
  TRUE, RIGHT(C563, 8)
)</f>
        <v>Raw materials</v>
      </c>
      <c r="G563" s="541" t="s">
        <v>1271</v>
      </c>
      <c r="H563" s="184"/>
      <c r="I563" s="184"/>
      <c r="J563" s="260">
        <f>(V563+X563+AA563)/'Logistics record '!$AD$1</f>
        <v>15.116015418335726</v>
      </c>
      <c r="K563" s="260">
        <f>W563/'Logistics record '!$AD$1</f>
        <v>0</v>
      </c>
      <c r="L563" s="260">
        <f>Y563/'Logistics record '!$AD$1</f>
        <v>0</v>
      </c>
      <c r="M563" s="260">
        <f>AF563/'Logistics record '!$AD$1</f>
        <v>0</v>
      </c>
      <c r="N563" s="260" t="str" cm="1">
        <f t="array" ref="N563">_xlfn.IFS(
    OR(UPPER(S563)="AIR", UPPER(S563)="CPN"), "AIR",
    UPPER(S563)="TC", "LOCAL",
    TRUE, "SEA"
)</f>
        <v>LOCAL</v>
      </c>
      <c r="O563" s="260">
        <f t="shared" si="36"/>
        <v>15.116015418335726</v>
      </c>
      <c r="P563" s="184" t="s">
        <v>971</v>
      </c>
      <c r="Q563" s="185">
        <v>108334312920</v>
      </c>
      <c r="R563" s="186">
        <v>46185</v>
      </c>
      <c r="S563" s="187" t="s">
        <v>986</v>
      </c>
      <c r="T563" s="188">
        <v>172.39</v>
      </c>
      <c r="U563" s="188"/>
      <c r="V563" s="189">
        <v>400000</v>
      </c>
      <c r="W563" s="190"/>
      <c r="X563" s="190"/>
      <c r="Y563" s="190"/>
      <c r="Z563" s="189">
        <f t="shared" si="48"/>
        <v>400000</v>
      </c>
      <c r="AA563" s="189">
        <v>0</v>
      </c>
      <c r="AB563" s="189">
        <f t="shared" si="41"/>
        <v>400000</v>
      </c>
      <c r="AC563" s="189"/>
      <c r="AD563" s="190"/>
      <c r="AE563" s="190"/>
      <c r="AF563" s="191">
        <f t="shared" si="46"/>
        <v>0</v>
      </c>
      <c r="AG563" s="190">
        <f t="shared" si="47"/>
        <v>400000</v>
      </c>
      <c r="AH563" s="190"/>
      <c r="AI563" s="192" t="str">
        <f>VLOOKUP(Q563,[3]Sheet1!B$11:G$1489,6,0)</f>
        <v>E15</v>
      </c>
      <c r="GK563" s="194"/>
      <c r="GL563" s="195"/>
      <c r="GM563" s="196"/>
      <c r="GN563" s="197"/>
      <c r="GO563" s="198"/>
      <c r="GP563" s="199"/>
      <c r="GQ563" s="200"/>
      <c r="GR563" s="201"/>
      <c r="GS563" s="60"/>
      <c r="GT563" s="202"/>
      <c r="GU563" s="202"/>
      <c r="GV563" s="202"/>
      <c r="GW563" s="202"/>
      <c r="GX563" s="203"/>
      <c r="HA563" s="194"/>
      <c r="HB563" s="195"/>
      <c r="HC563" s="196"/>
      <c r="HD563" s="197"/>
      <c r="HE563" s="198"/>
      <c r="HF563" s="199"/>
      <c r="HG563" s="200"/>
      <c r="HH563" s="201"/>
      <c r="HI563" s="60"/>
      <c r="HJ563" s="202"/>
      <c r="HK563" s="202"/>
      <c r="HL563" s="202"/>
      <c r="HM563" s="202"/>
      <c r="HN563" s="203"/>
    </row>
    <row r="564" spans="1:222" ht="16.5" customHeight="1">
      <c r="A564" s="181">
        <v>561</v>
      </c>
      <c r="B564" s="182" t="s">
        <v>1333</v>
      </c>
      <c r="C564" s="183" t="s">
        <v>2963</v>
      </c>
      <c r="D564" s="184" t="s">
        <v>2054</v>
      </c>
      <c r="E564" s="184" t="str">
        <f t="shared" si="49"/>
        <v>Import</v>
      </c>
      <c r="F564" s="720" t="str" cm="1">
        <f t="array" ref="F564">_xlfn.IFS(
  OR(AI564="E11", AI564="E15"), "Raw materials",
  OR(AI564="E13", AI564="G13"), "Equipments + Toolings",
  TRUE, RIGHT(C564, 8)
)</f>
        <v>Raw materials</v>
      </c>
      <c r="G564" s="541" t="s">
        <v>1271</v>
      </c>
      <c r="H564" s="184"/>
      <c r="I564" s="184"/>
      <c r="J564" s="260">
        <f>(V564+X564+AA564)/'Logistics record '!$AD$1</f>
        <v>15.116015418335726</v>
      </c>
      <c r="K564" s="260">
        <f>W564/'Logistics record '!$AD$1</f>
        <v>0</v>
      </c>
      <c r="L564" s="260">
        <f>Y564/'Logistics record '!$AD$1</f>
        <v>0</v>
      </c>
      <c r="M564" s="260">
        <f>AF564/'Logistics record '!$AD$1</f>
        <v>0</v>
      </c>
      <c r="N564" s="260" t="str" cm="1">
        <f t="array" ref="N564">_xlfn.IFS(
    OR(UPPER(S564)="AIR", UPPER(S564)="CPN"), "AIR",
    UPPER(S564)="TC", "LOCAL",
    TRUE, "SEA"
)</f>
        <v>LOCAL</v>
      </c>
      <c r="O564" s="260">
        <f t="shared" si="36"/>
        <v>15.116015418335726</v>
      </c>
      <c r="P564" s="184" t="s">
        <v>971</v>
      </c>
      <c r="Q564" s="185">
        <v>108358571050</v>
      </c>
      <c r="R564" s="186">
        <v>46192</v>
      </c>
      <c r="S564" s="187" t="s">
        <v>986</v>
      </c>
      <c r="T564" s="188">
        <v>116.66</v>
      </c>
      <c r="U564" s="188"/>
      <c r="V564" s="189">
        <v>400000</v>
      </c>
      <c r="W564" s="190"/>
      <c r="X564" s="190"/>
      <c r="Y564" s="190"/>
      <c r="Z564" s="189">
        <f t="shared" si="48"/>
        <v>400000</v>
      </c>
      <c r="AA564" s="189">
        <v>0</v>
      </c>
      <c r="AB564" s="189">
        <f t="shared" si="41"/>
        <v>400000</v>
      </c>
      <c r="AC564" s="189"/>
      <c r="AD564" s="190"/>
      <c r="AE564" s="190"/>
      <c r="AF564" s="191">
        <f t="shared" si="46"/>
        <v>0</v>
      </c>
      <c r="AG564" s="190">
        <f t="shared" si="47"/>
        <v>400000</v>
      </c>
      <c r="AH564" s="190"/>
      <c r="AI564" s="192" t="str">
        <f>VLOOKUP(Q564,[3]Sheet1!B$11:G$1489,6,0)</f>
        <v>E15</v>
      </c>
      <c r="GK564" s="194"/>
      <c r="GL564" s="195"/>
      <c r="GM564" s="196"/>
      <c r="GN564" s="197"/>
      <c r="GO564" s="198"/>
      <c r="GP564" s="199"/>
      <c r="GQ564" s="200"/>
      <c r="GR564" s="201"/>
      <c r="GS564" s="60"/>
      <c r="GT564" s="202"/>
      <c r="GU564" s="202"/>
      <c r="GV564" s="202"/>
      <c r="GW564" s="202"/>
      <c r="GX564" s="203"/>
      <c r="HA564" s="194"/>
      <c r="HB564" s="195"/>
      <c r="HC564" s="196"/>
      <c r="HD564" s="197"/>
      <c r="HE564" s="198"/>
      <c r="HF564" s="199"/>
      <c r="HG564" s="200"/>
      <c r="HH564" s="201"/>
      <c r="HI564" s="60"/>
      <c r="HJ564" s="202"/>
      <c r="HK564" s="202"/>
      <c r="HL564" s="202"/>
      <c r="HM564" s="202"/>
      <c r="HN564" s="203"/>
    </row>
    <row r="565" spans="1:222" ht="16.5" customHeight="1">
      <c r="A565" s="181">
        <v>562</v>
      </c>
      <c r="B565" s="182" t="s">
        <v>1333</v>
      </c>
      <c r="C565" s="183" t="s">
        <v>2964</v>
      </c>
      <c r="D565" s="184" t="s">
        <v>2940</v>
      </c>
      <c r="E565" s="184" t="str">
        <f t="shared" si="49"/>
        <v>Import</v>
      </c>
      <c r="F565" s="720" t="str" cm="1">
        <f t="array" ref="F565">_xlfn.IFS(
  OR(AI565="E11", AI565="E15"), "Raw materials",
  OR(AI565="E13", AI565="G13"), "Equipments + Toolings",
  TRUE, RIGHT(C565, 8)
)</f>
        <v>Raw materials</v>
      </c>
      <c r="G565" s="541" t="s">
        <v>1608</v>
      </c>
      <c r="H565" s="184"/>
      <c r="I565" s="184"/>
      <c r="J565" s="260">
        <f>(V565+X565+AA565)/'Logistics record '!$AD$1</f>
        <v>15.116015418335726</v>
      </c>
      <c r="K565" s="260">
        <f>W565/'Logistics record '!$AD$1</f>
        <v>0</v>
      </c>
      <c r="L565" s="260">
        <f>Y565/'Logistics record '!$AD$1</f>
        <v>0</v>
      </c>
      <c r="M565" s="260">
        <f>AF565/'Logistics record '!$AD$1</f>
        <v>0</v>
      </c>
      <c r="N565" s="260" t="str" cm="1">
        <f t="array" ref="N565">_xlfn.IFS(
    OR(UPPER(S565)="AIR", UPPER(S565)="CPN"), "AIR",
    UPPER(S565)="TC", "LOCAL",
    TRUE, "SEA"
)</f>
        <v>LOCAL</v>
      </c>
      <c r="O565" s="260">
        <f t="shared" si="36"/>
        <v>15.116015418335726</v>
      </c>
      <c r="P565" s="184" t="s">
        <v>2934</v>
      </c>
      <c r="Q565" s="185">
        <v>108364569460</v>
      </c>
      <c r="R565" s="186">
        <v>46195</v>
      </c>
      <c r="S565" s="187" t="s">
        <v>986</v>
      </c>
      <c r="T565" s="188">
        <v>58.7</v>
      </c>
      <c r="U565" s="188"/>
      <c r="V565" s="189">
        <v>400000</v>
      </c>
      <c r="W565" s="190"/>
      <c r="X565" s="190"/>
      <c r="Y565" s="190"/>
      <c r="Z565" s="189">
        <f t="shared" si="48"/>
        <v>400000</v>
      </c>
      <c r="AA565" s="189">
        <v>0</v>
      </c>
      <c r="AB565" s="189">
        <f t="shared" si="41"/>
        <v>400000</v>
      </c>
      <c r="AC565" s="189"/>
      <c r="AD565" s="190"/>
      <c r="AE565" s="190"/>
      <c r="AF565" s="191">
        <f t="shared" si="46"/>
        <v>0</v>
      </c>
      <c r="AG565" s="190">
        <f t="shared" si="47"/>
        <v>400000</v>
      </c>
      <c r="AH565" s="190"/>
      <c r="AI565" s="192" t="str">
        <f>VLOOKUP(Q565,[3]Sheet1!B$11:G$1489,6,0)</f>
        <v>E15</v>
      </c>
      <c r="GK565" s="194"/>
      <c r="GL565" s="195"/>
      <c r="GM565" s="196"/>
      <c r="GN565" s="197"/>
      <c r="GO565" s="198"/>
      <c r="GP565" s="199"/>
      <c r="GQ565" s="200"/>
      <c r="GR565" s="201"/>
      <c r="GS565" s="60"/>
      <c r="GT565" s="202"/>
      <c r="GU565" s="202"/>
      <c r="GV565" s="202"/>
      <c r="GW565" s="202"/>
      <c r="GX565" s="203"/>
      <c r="HA565" s="194"/>
      <c r="HB565" s="195"/>
      <c r="HC565" s="196"/>
      <c r="HD565" s="197"/>
      <c r="HE565" s="198"/>
      <c r="HF565" s="199"/>
      <c r="HG565" s="200"/>
      <c r="HH565" s="201"/>
      <c r="HI565" s="60"/>
      <c r="HJ565" s="202"/>
      <c r="HK565" s="202"/>
      <c r="HL565" s="202"/>
      <c r="HM565" s="202"/>
      <c r="HN565" s="203"/>
    </row>
    <row r="566" spans="1:222" ht="16.5" customHeight="1">
      <c r="A566" s="181">
        <v>563</v>
      </c>
      <c r="B566" s="182" t="s">
        <v>7</v>
      </c>
      <c r="C566" s="183" t="s">
        <v>2965</v>
      </c>
      <c r="D566" s="184" t="s">
        <v>82</v>
      </c>
      <c r="E566" s="184" t="str">
        <f t="shared" si="49"/>
        <v>Export</v>
      </c>
      <c r="F566" s="720" t="str" cm="1">
        <f t="array" ref="F566">_xlfn.IFS(
  OR(AI566="E11", AI566="E15"), "Raw materials",
  OR(AI566="E13", AI566="G13"), "Equipments + Toolings",
  TRUE, RIGHT(C566, 8)
)</f>
        <v>INV06835</v>
      </c>
      <c r="G566" s="541" t="str" cm="1">
        <f t="array" ref="G566">IF(E566="Import",
  IFERROR(
    _xlfn.IFS(
      VLOOKUP(B566,[1]Material!F$5:U$90000,16,0)="LUC","Lucid",
      VLOOKUP(B566,[1]Material!F$5:U$90000,16,0)="FMC","FORD",
      OR(VLOOKUP(B566,[1]Material!F$5:U$90000,16,0)="PUR",VLOOKUP(B566,[1]Material!F$5:U$90000,16,0)="HLO"),"PURE",
      VLOOKUP(B566,[1]Material!F$5:U$90000,16,0)="AIC","AIC",
      OR(VLOOKUP(B566,[1]Material!F$5:U$90000,16,0)="AGI",VLOOKUP(B566,[1]Material!F$5:U$90000,16,0)="AGIGA"),"AGIGA",
      OR(LEFT(VLOOKUP(B566,[1]Material!F$5:U$90000,16,0),3)="EF-",VLOOKUP(B566,[1]Material!F$5:U$90000,16,0)="EFI"),"EFI",
      AND(ISNUMBER(VLOOKUP(B566,[1]Material!F$5:U$90000,16,0)),VLOOKUP(B566,[1]Material!F$5:U$90000,16,0)&gt;=100,VLOOKUP(B566,[1]Material!F$5:U$90000,16,0)&lt;=999,VLOOKUP(B566,[1]Material!F$5:U$90000,16,0)=INT(VLOOKUP(B566,[1]Material!F$5:U$90000,16,0))),"OEM",
      TRUE,""
    ),
    "không tìm thấy trong file Import"
  ),
  VLOOKUP(F566,'[2]Export shipment'!B:Y,24,0)
)</f>
        <v>EFI</v>
      </c>
      <c r="H566" s="184" t="str">
        <f>VLOOKUP(F566,'[2]Export shipment'!B$8:AA$9479,26,)</f>
        <v>x</v>
      </c>
      <c r="I566" s="184" t="str">
        <f>VLOOKUP(F566,'[2]Export shipment'!B$8:Z$9479,25,'[2]Export shipment'!$S$460)</f>
        <v>x</v>
      </c>
      <c r="J566" s="260">
        <f>(V566+X566+AA566)/'Logistics record '!$AD$1</f>
        <v>15.116015418335726</v>
      </c>
      <c r="K566" s="260">
        <f>W566/'Logistics record '!$AD$1</f>
        <v>0</v>
      </c>
      <c r="L566" s="260">
        <f>Y566/'Logistics record '!$AD$1</f>
        <v>0</v>
      </c>
      <c r="M566" s="260">
        <f>AF566/'Logistics record '!$AD$1</f>
        <v>0</v>
      </c>
      <c r="N566" s="260" t="str" cm="1">
        <f t="array" ref="N566">_xlfn.IFS(
    OR(UPPER(S566)="AIR", UPPER(S566)="CPN"), "AIR",
    UPPER(S566)="TC", "LOCAL",
    TRUE, "SEA"
)</f>
        <v>AIR</v>
      </c>
      <c r="O566" s="260">
        <f t="shared" si="36"/>
        <v>15.116015418335726</v>
      </c>
      <c r="P566" s="184" t="s">
        <v>935</v>
      </c>
      <c r="Q566" s="185">
        <v>308556901500</v>
      </c>
      <c r="R566" s="186">
        <v>46168</v>
      </c>
      <c r="S566" s="187" t="s">
        <v>928</v>
      </c>
      <c r="T566" s="188">
        <v>143.30000000000001</v>
      </c>
      <c r="U566" s="188"/>
      <c r="V566" s="189">
        <v>400000</v>
      </c>
      <c r="W566" s="190"/>
      <c r="X566" s="190"/>
      <c r="Y566" s="190"/>
      <c r="Z566" s="189">
        <f t="shared" si="48"/>
        <v>400000</v>
      </c>
      <c r="AA566" s="189">
        <v>0</v>
      </c>
      <c r="AB566" s="189">
        <f t="shared" si="41"/>
        <v>400000</v>
      </c>
      <c r="AC566" s="189"/>
      <c r="AD566" s="190"/>
      <c r="AE566" s="190"/>
      <c r="AF566" s="191">
        <f t="shared" si="46"/>
        <v>0</v>
      </c>
      <c r="AG566" s="190">
        <f t="shared" si="47"/>
        <v>400000</v>
      </c>
      <c r="AH566" s="190"/>
      <c r="AI566" s="192" t="str">
        <f>VLOOKUP(Q566,[3]Sheet1!B$11:G$1489,6,0)</f>
        <v>E42</v>
      </c>
      <c r="GK566" s="194"/>
      <c r="GL566" s="195"/>
      <c r="GM566" s="196"/>
      <c r="GN566" s="197"/>
      <c r="GO566" s="198"/>
      <c r="GP566" s="199"/>
      <c r="GQ566" s="200"/>
      <c r="GR566" s="201"/>
      <c r="GS566" s="60"/>
      <c r="GT566" s="202"/>
      <c r="GU566" s="202"/>
      <c r="GV566" s="202"/>
      <c r="GW566" s="202"/>
      <c r="GX566" s="203"/>
      <c r="HA566" s="194"/>
      <c r="HB566" s="195"/>
      <c r="HC566" s="196"/>
      <c r="HD566" s="197"/>
      <c r="HE566" s="198"/>
      <c r="HF566" s="199"/>
      <c r="HG566" s="200"/>
      <c r="HH566" s="201"/>
      <c r="HI566" s="60"/>
      <c r="HJ566" s="202"/>
      <c r="HK566" s="202"/>
      <c r="HL566" s="202"/>
      <c r="HM566" s="202"/>
      <c r="HN566" s="203"/>
    </row>
    <row r="567" spans="1:222" ht="16.5" customHeight="1">
      <c r="A567" s="181">
        <v>564</v>
      </c>
      <c r="B567" s="182" t="s">
        <v>7</v>
      </c>
      <c r="C567" s="183" t="s">
        <v>2966</v>
      </c>
      <c r="D567" s="184" t="s">
        <v>110</v>
      </c>
      <c r="E567" s="184" t="str">
        <f t="shared" si="49"/>
        <v>Export</v>
      </c>
      <c r="F567" s="720" t="str" cm="1">
        <f t="array" ref="F567">_xlfn.IFS(
  OR(AI567="E11", AI567="E15"), "Raw materials",
  OR(AI567="E13", AI567="G13"), "Equipments + Toolings",
  TRUE, RIGHT(C567, 8)
)</f>
        <v>INV06842</v>
      </c>
      <c r="G567" s="541" t="str" cm="1">
        <f t="array" ref="G567">IF(E567="Import",
  IFERROR(
    _xlfn.IFS(
      VLOOKUP(B567,[1]Material!F$5:U$90000,16,0)="LUC","Lucid",
      VLOOKUP(B567,[1]Material!F$5:U$90000,16,0)="FMC","FORD",
      OR(VLOOKUP(B567,[1]Material!F$5:U$90000,16,0)="PUR",VLOOKUP(B567,[1]Material!F$5:U$90000,16,0)="HLO"),"PURE",
      VLOOKUP(B567,[1]Material!F$5:U$90000,16,0)="AIC","AIC",
      OR(VLOOKUP(B567,[1]Material!F$5:U$90000,16,0)="AGI",VLOOKUP(B567,[1]Material!F$5:U$90000,16,0)="AGIGA"),"AGIGA",
      OR(LEFT(VLOOKUP(B567,[1]Material!F$5:U$90000,16,0),3)="EF-",VLOOKUP(B567,[1]Material!F$5:U$90000,16,0)="EFI"),"EFI",
      AND(ISNUMBER(VLOOKUP(B567,[1]Material!F$5:U$90000,16,0)),VLOOKUP(B567,[1]Material!F$5:U$90000,16,0)&gt;=100,VLOOKUP(B567,[1]Material!F$5:U$90000,16,0)&lt;=999,VLOOKUP(B567,[1]Material!F$5:U$90000,16,0)=INT(VLOOKUP(B567,[1]Material!F$5:U$90000,16,0))),"OEM",
      TRUE,""
    ),
    "không tìm thấy trong file Import"
  ),
  VLOOKUP(F567,'[2]Export shipment'!B:Y,24,0)
)</f>
        <v>Transfer</v>
      </c>
      <c r="H567" s="184" t="str">
        <f>VLOOKUP(F567,'[2]Export shipment'!B$8:AA$9479,26,)</f>
        <v>x</v>
      </c>
      <c r="I567" s="184" t="str">
        <f>VLOOKUP(F567,'[2]Export shipment'!B$8:Z$9479,25,'[2]Export shipment'!$S$460)</f>
        <v>Ship MTE's sample board</v>
      </c>
      <c r="J567" s="260">
        <f>(V567+X567+AA567)/'Logistics record '!$AD$1</f>
        <v>15.116015418335726</v>
      </c>
      <c r="K567" s="260">
        <f>W567/'Logistics record '!$AD$1</f>
        <v>0</v>
      </c>
      <c r="L567" s="260">
        <f>Y567/'Logistics record '!$AD$1</f>
        <v>0</v>
      </c>
      <c r="M567" s="260">
        <f>AF567/'Logistics record '!$AD$1</f>
        <v>0</v>
      </c>
      <c r="N567" s="260" t="str" cm="1">
        <f t="array" ref="N567">_xlfn.IFS(
    OR(UPPER(S567)="AIR", UPPER(S567)="CPN"), "AIR",
    UPPER(S567)="TC", "LOCAL",
    TRUE, "SEA"
)</f>
        <v>AIR</v>
      </c>
      <c r="O567" s="260">
        <f t="shared" si="36"/>
        <v>15.116015418335726</v>
      </c>
      <c r="P567" s="184" t="s">
        <v>935</v>
      </c>
      <c r="Q567" s="185">
        <v>308574827100</v>
      </c>
      <c r="R567" s="186">
        <v>46169</v>
      </c>
      <c r="S567" s="187" t="s">
        <v>928</v>
      </c>
      <c r="T567" s="188">
        <v>5.68</v>
      </c>
      <c r="U567" s="188"/>
      <c r="V567" s="189">
        <v>400000</v>
      </c>
      <c r="W567" s="190"/>
      <c r="X567" s="190"/>
      <c r="Y567" s="190"/>
      <c r="Z567" s="189">
        <f t="shared" si="48"/>
        <v>400000</v>
      </c>
      <c r="AA567" s="189">
        <v>0</v>
      </c>
      <c r="AB567" s="189">
        <f t="shared" si="41"/>
        <v>400000</v>
      </c>
      <c r="AC567" s="189"/>
      <c r="AD567" s="190"/>
      <c r="AE567" s="190"/>
      <c r="AF567" s="191">
        <f t="shared" si="46"/>
        <v>0</v>
      </c>
      <c r="AG567" s="190">
        <f t="shared" si="47"/>
        <v>400000</v>
      </c>
      <c r="AH567" s="190"/>
      <c r="AI567" s="192" t="str">
        <f>VLOOKUP(Q567,[3]Sheet1!B$11:G$1489,6,0)</f>
        <v>E42</v>
      </c>
      <c r="GK567" s="194"/>
      <c r="GL567" s="195"/>
      <c r="GM567" s="196"/>
      <c r="GN567" s="197"/>
      <c r="GO567" s="198"/>
      <c r="GP567" s="199"/>
      <c r="GQ567" s="200"/>
      <c r="GR567" s="201"/>
      <c r="GS567" s="60"/>
      <c r="GT567" s="202"/>
      <c r="GU567" s="202"/>
      <c r="GV567" s="202"/>
      <c r="GW567" s="202"/>
      <c r="GX567" s="203"/>
      <c r="HA567" s="194"/>
      <c r="HB567" s="195"/>
      <c r="HC567" s="196"/>
      <c r="HD567" s="197"/>
      <c r="HE567" s="198"/>
      <c r="HF567" s="199"/>
      <c r="HG567" s="200"/>
      <c r="HH567" s="201"/>
      <c r="HI567" s="60"/>
      <c r="HJ567" s="202"/>
      <c r="HK567" s="202"/>
      <c r="HL567" s="202"/>
      <c r="HM567" s="202"/>
      <c r="HN567" s="203"/>
    </row>
    <row r="568" spans="1:222" ht="16.5" customHeight="1">
      <c r="A568" s="181">
        <v>565</v>
      </c>
      <c r="B568" s="182" t="s">
        <v>7</v>
      </c>
      <c r="C568" s="183" t="s">
        <v>2967</v>
      </c>
      <c r="D568" s="184" t="s">
        <v>82</v>
      </c>
      <c r="E568" s="184" t="str">
        <f t="shared" si="49"/>
        <v>Export</v>
      </c>
      <c r="F568" s="720" t="str" cm="1">
        <f t="array" ref="F568">_xlfn.IFS(
  OR(AI568="E11", AI568="E15"), "Raw materials",
  OR(AI568="E13", AI568="G13"), "Equipments + Toolings",
  TRUE, RIGHT(C568, 8)
)</f>
        <v>INV06843</v>
      </c>
      <c r="G568" s="541" t="str" cm="1">
        <f t="array" ref="G568">IF(E568="Import",
  IFERROR(
    _xlfn.IFS(
      VLOOKUP(B568,[1]Material!F$5:U$90000,16,0)="LUC","Lucid",
      VLOOKUP(B568,[1]Material!F$5:U$90000,16,0)="FMC","FORD",
      OR(VLOOKUP(B568,[1]Material!F$5:U$90000,16,0)="PUR",VLOOKUP(B568,[1]Material!F$5:U$90000,16,0)="HLO"),"PURE",
      VLOOKUP(B568,[1]Material!F$5:U$90000,16,0)="AIC","AIC",
      OR(VLOOKUP(B568,[1]Material!F$5:U$90000,16,0)="AGI",VLOOKUP(B568,[1]Material!F$5:U$90000,16,0)="AGIGA"),"AGIGA",
      OR(LEFT(VLOOKUP(B568,[1]Material!F$5:U$90000,16,0),3)="EF-",VLOOKUP(B568,[1]Material!F$5:U$90000,16,0)="EFI"),"EFI",
      AND(ISNUMBER(VLOOKUP(B568,[1]Material!F$5:U$90000,16,0)),VLOOKUP(B568,[1]Material!F$5:U$90000,16,0)&gt;=100,VLOOKUP(B568,[1]Material!F$5:U$90000,16,0)&lt;=999,VLOOKUP(B568,[1]Material!F$5:U$90000,16,0)=INT(VLOOKUP(B568,[1]Material!F$5:U$90000,16,0))),"OEM",
      TRUE,""
    ),
    "không tìm thấy trong file Import"
  ),
  VLOOKUP(F568,'[2]Export shipment'!B:Y,24,0)
)</f>
        <v>EFI</v>
      </c>
      <c r="H568" s="184" t="str">
        <f>VLOOKUP(F568,'[2]Export shipment'!B$8:AA$9479,26,)</f>
        <v>x</v>
      </c>
      <c r="I568" s="184" t="str">
        <f>VLOOKUP(F568,'[2]Export shipment'!B$8:Z$9479,25,'[2]Export shipment'!$S$460)</f>
        <v>Ship MTE's sample board</v>
      </c>
      <c r="J568" s="260">
        <f>(V568+X568+AA568)/'Logistics record '!$AD$1</f>
        <v>15.116015418335726</v>
      </c>
      <c r="K568" s="260">
        <f>W568/'Logistics record '!$AD$1</f>
        <v>0</v>
      </c>
      <c r="L568" s="260">
        <f>Y568/'Logistics record '!$AD$1</f>
        <v>0</v>
      </c>
      <c r="M568" s="260">
        <f>AF568/'Logistics record '!$AD$1</f>
        <v>0</v>
      </c>
      <c r="N568" s="260" t="str" cm="1">
        <f t="array" ref="N568">_xlfn.IFS(
    OR(UPPER(S568)="AIR", UPPER(S568)="CPN"), "AIR",
    UPPER(S568)="TC", "LOCAL",
    TRUE, "SEA"
)</f>
        <v>AIR</v>
      </c>
      <c r="O568" s="260">
        <f t="shared" si="36"/>
        <v>15.116015418335726</v>
      </c>
      <c r="P568" s="184" t="s">
        <v>935</v>
      </c>
      <c r="Q568" s="185">
        <v>308575442360</v>
      </c>
      <c r="R568" s="186">
        <v>46169</v>
      </c>
      <c r="S568" s="187" t="s">
        <v>928</v>
      </c>
      <c r="T568" s="188">
        <v>6.6</v>
      </c>
      <c r="U568" s="188"/>
      <c r="V568" s="189">
        <v>400000</v>
      </c>
      <c r="W568" s="190"/>
      <c r="X568" s="190"/>
      <c r="Y568" s="190"/>
      <c r="Z568" s="189">
        <f t="shared" si="48"/>
        <v>400000</v>
      </c>
      <c r="AA568" s="189">
        <v>0</v>
      </c>
      <c r="AB568" s="189">
        <f t="shared" si="41"/>
        <v>400000</v>
      </c>
      <c r="AC568" s="189"/>
      <c r="AD568" s="190"/>
      <c r="AE568" s="190"/>
      <c r="AF568" s="191">
        <f t="shared" si="46"/>
        <v>0</v>
      </c>
      <c r="AG568" s="190">
        <f t="shared" si="47"/>
        <v>400000</v>
      </c>
      <c r="AH568" s="190"/>
      <c r="AI568" s="192" t="str">
        <f>VLOOKUP(Q568,[3]Sheet1!B$11:G$1489,6,0)</f>
        <v>E42</v>
      </c>
      <c r="GK568" s="194"/>
      <c r="GL568" s="195"/>
      <c r="GM568" s="196"/>
      <c r="GN568" s="197"/>
      <c r="GO568" s="198"/>
      <c r="GP568" s="199"/>
      <c r="GQ568" s="200"/>
      <c r="GR568" s="201"/>
      <c r="GS568" s="60"/>
      <c r="GT568" s="202"/>
      <c r="GU568" s="202"/>
      <c r="GV568" s="202"/>
      <c r="GW568" s="202"/>
      <c r="GX568" s="203"/>
      <c r="HA568" s="194"/>
      <c r="HB568" s="195"/>
      <c r="HC568" s="196"/>
      <c r="HD568" s="197"/>
      <c r="HE568" s="198"/>
      <c r="HF568" s="199"/>
      <c r="HG568" s="200"/>
      <c r="HH568" s="201"/>
      <c r="HI568" s="60"/>
      <c r="HJ568" s="202"/>
      <c r="HK568" s="202"/>
      <c r="HL568" s="202"/>
      <c r="HM568" s="202"/>
      <c r="HN568" s="203"/>
    </row>
    <row r="569" spans="1:222" ht="16.5" customHeight="1">
      <c r="A569" s="181">
        <v>566</v>
      </c>
      <c r="B569" s="182" t="s">
        <v>7</v>
      </c>
      <c r="C569" s="183" t="s">
        <v>2968</v>
      </c>
      <c r="D569" s="184" t="s">
        <v>1001</v>
      </c>
      <c r="E569" s="184" t="str">
        <f t="shared" si="49"/>
        <v>Export</v>
      </c>
      <c r="F569" s="720" t="str" cm="1">
        <f t="array" ref="F569">_xlfn.IFS(
  OR(AI569="E11", AI569="E15"), "Raw materials",
  OR(AI569="E13", AI569="G13"), "Equipments + Toolings",
  TRUE, RIGHT(C569, 8)
)</f>
        <v>INV06846</v>
      </c>
      <c r="G569" s="541" t="str" cm="1">
        <f t="array" ref="G569">IF(E569="Import",
  IFERROR(
    _xlfn.IFS(
      VLOOKUP(B569,[1]Material!F$5:U$90000,16,0)="LUC","Lucid",
      VLOOKUP(B569,[1]Material!F$5:U$90000,16,0)="FMC","FORD",
      OR(VLOOKUP(B569,[1]Material!F$5:U$90000,16,0)="PUR",VLOOKUP(B569,[1]Material!F$5:U$90000,16,0)="HLO"),"PURE",
      VLOOKUP(B569,[1]Material!F$5:U$90000,16,0)="AIC","AIC",
      OR(VLOOKUP(B569,[1]Material!F$5:U$90000,16,0)="AGI",VLOOKUP(B569,[1]Material!F$5:U$90000,16,0)="AGIGA"),"AGIGA",
      OR(LEFT(VLOOKUP(B569,[1]Material!F$5:U$90000,16,0),3)="EF-",VLOOKUP(B569,[1]Material!F$5:U$90000,16,0)="EFI"),"EFI",
      AND(ISNUMBER(VLOOKUP(B569,[1]Material!F$5:U$90000,16,0)),VLOOKUP(B569,[1]Material!F$5:U$90000,16,0)&gt;=100,VLOOKUP(B569,[1]Material!F$5:U$90000,16,0)&lt;=999,VLOOKUP(B569,[1]Material!F$5:U$90000,16,0)=INT(VLOOKUP(B569,[1]Material!F$5:U$90000,16,0))),"OEM",
      TRUE,""
    ),
    "không tìm thấy trong file Import"
  ),
  VLOOKUP(F569,'[2]Export shipment'!B:Y,24,0)
)</f>
        <v>PURE</v>
      </c>
      <c r="H569" s="184" t="str">
        <f>VLOOKUP(F569,'[2]Export shipment'!B$8:AA$9479,26,)</f>
        <v>x</v>
      </c>
      <c r="I569" s="184" t="str">
        <f>VLOOKUP(F569,'[2]Export shipment'!B$8:Z$9479,25,'[2]Export shipment'!$S$460)</f>
        <v>x</v>
      </c>
      <c r="J569" s="260">
        <f>(V569+X569+AA569)/'Logistics record '!$AD$1</f>
        <v>24.563525054795555</v>
      </c>
      <c r="K569" s="260">
        <f>W569/'Logistics record '!$AD$1</f>
        <v>22.674023127503592</v>
      </c>
      <c r="L569" s="260">
        <f>Y569/'Logistics record '!$AD$1</f>
        <v>0</v>
      </c>
      <c r="M569" s="260">
        <f>AF569/'Logistics record '!$AD$1</f>
        <v>0</v>
      </c>
      <c r="N569" s="260" t="str" cm="1">
        <f t="array" ref="N569">_xlfn.IFS(
    OR(UPPER(S569)="AIR", UPPER(S569)="CPN"), "AIR",
    UPPER(S569)="TC", "LOCAL",
    TRUE, "SEA"
)</f>
        <v>AIR</v>
      </c>
      <c r="O569" s="260">
        <f t="shared" si="36"/>
        <v>47.23754818229915</v>
      </c>
      <c r="P569" s="184" t="s">
        <v>946</v>
      </c>
      <c r="Q569" s="185">
        <v>308577664641</v>
      </c>
      <c r="R569" s="186">
        <v>46170</v>
      </c>
      <c r="S569" s="187" t="s">
        <v>928</v>
      </c>
      <c r="T569" s="188">
        <v>10.8</v>
      </c>
      <c r="U569" s="188"/>
      <c r="V569" s="189">
        <v>400000</v>
      </c>
      <c r="W569" s="190">
        <v>600000</v>
      </c>
      <c r="X569" s="190">
        <v>250000</v>
      </c>
      <c r="Y569" s="190"/>
      <c r="Z569" s="189">
        <f t="shared" si="48"/>
        <v>1250000</v>
      </c>
      <c r="AA569" s="189">
        <v>0</v>
      </c>
      <c r="AB569" s="189">
        <f t="shared" si="41"/>
        <v>1250000</v>
      </c>
      <c r="AC569" s="189"/>
      <c r="AD569" s="190"/>
      <c r="AE569" s="190"/>
      <c r="AF569" s="191">
        <f t="shared" si="46"/>
        <v>0</v>
      </c>
      <c r="AG569" s="190">
        <f t="shared" si="47"/>
        <v>1250000</v>
      </c>
      <c r="AH569" s="190"/>
      <c r="AI569" s="192" t="str">
        <f>VLOOKUP(Q569,[3]Sheet1!B$11:G$1489,6,0)</f>
        <v>G23</v>
      </c>
      <c r="GK569" s="194"/>
      <c r="GL569" s="195"/>
      <c r="GM569" s="196"/>
      <c r="GN569" s="197"/>
      <c r="GO569" s="198"/>
      <c r="GP569" s="199"/>
      <c r="GQ569" s="200"/>
      <c r="GR569" s="201"/>
      <c r="GS569" s="60"/>
      <c r="GT569" s="202"/>
      <c r="GU569" s="202"/>
      <c r="GV569" s="202"/>
      <c r="GW569" s="202"/>
      <c r="GX569" s="203"/>
      <c r="HA569" s="194"/>
      <c r="HB569" s="195"/>
      <c r="HC569" s="196"/>
      <c r="HD569" s="197"/>
      <c r="HE569" s="198"/>
      <c r="HF569" s="199"/>
      <c r="HG569" s="200"/>
      <c r="HH569" s="201"/>
      <c r="HI569" s="60"/>
      <c r="HJ569" s="202"/>
      <c r="HK569" s="202"/>
      <c r="HL569" s="202"/>
      <c r="HM569" s="202"/>
      <c r="HN569" s="203"/>
    </row>
    <row r="570" spans="1:222" ht="16.5" customHeight="1">
      <c r="A570" s="181">
        <v>567</v>
      </c>
      <c r="B570" s="182" t="s">
        <v>7</v>
      </c>
      <c r="C570" s="183" t="s">
        <v>2968</v>
      </c>
      <c r="D570" s="184" t="s">
        <v>1001</v>
      </c>
      <c r="E570" s="184" t="str">
        <f t="shared" si="49"/>
        <v>Export</v>
      </c>
      <c r="F570" s="720" t="str" cm="1">
        <f t="array" ref="F570">_xlfn.IFS(
  OR(AI570="E11", AI570="E15"), "Raw materials",
  OR(AI570="E13", AI570="G13"), "Equipments + Toolings",
  TRUE, RIGHT(C570, 8)
)</f>
        <v>INV06846</v>
      </c>
      <c r="G570" s="541" t="str" cm="1">
        <f t="array" ref="G570">IF(E570="Import",
  IFERROR(
    _xlfn.IFS(
      VLOOKUP(B570,[1]Material!F$5:U$90000,16,0)="LUC","Lucid",
      VLOOKUP(B570,[1]Material!F$5:U$90000,16,0)="FMC","FORD",
      OR(VLOOKUP(B570,[1]Material!F$5:U$90000,16,0)="PUR",VLOOKUP(B570,[1]Material!F$5:U$90000,16,0)="HLO"),"PURE",
      VLOOKUP(B570,[1]Material!F$5:U$90000,16,0)="AIC","AIC",
      OR(VLOOKUP(B570,[1]Material!F$5:U$90000,16,0)="AGI",VLOOKUP(B570,[1]Material!F$5:U$90000,16,0)="AGIGA"),"AGIGA",
      OR(LEFT(VLOOKUP(B570,[1]Material!F$5:U$90000,16,0),3)="EF-",VLOOKUP(B570,[1]Material!F$5:U$90000,16,0)="EFI"),"EFI",
      AND(ISNUMBER(VLOOKUP(B570,[1]Material!F$5:U$90000,16,0)),VLOOKUP(B570,[1]Material!F$5:U$90000,16,0)&gt;=100,VLOOKUP(B570,[1]Material!F$5:U$90000,16,0)&lt;=999,VLOOKUP(B570,[1]Material!F$5:U$90000,16,0)=INT(VLOOKUP(B570,[1]Material!F$5:U$90000,16,0))),"OEM",
      TRUE,""
    ),
    "không tìm thấy trong file Import"
  ),
  VLOOKUP(F570,'[2]Export shipment'!B:Y,24,0)
)</f>
        <v>PURE</v>
      </c>
      <c r="H570" s="184" t="str">
        <f>VLOOKUP(F570,'[2]Export shipment'!B$8:AA$9479,26,)</f>
        <v>x</v>
      </c>
      <c r="I570" s="184" t="str">
        <f>VLOOKUP(F570,'[2]Export shipment'!B$8:Z$9479,25,'[2]Export shipment'!$S$460)</f>
        <v>x</v>
      </c>
      <c r="J570" s="260">
        <f>(V570+X570+AA570)/'Logistics record '!$AD$1</f>
        <v>24.563525054795555</v>
      </c>
      <c r="K570" s="260">
        <f>W570/'Logistics record '!$AD$1</f>
        <v>0</v>
      </c>
      <c r="L570" s="260">
        <f>Y570/'Logistics record '!$AD$1</f>
        <v>0</v>
      </c>
      <c r="M570" s="260">
        <f>AF570/'Logistics record '!$AD$1</f>
        <v>0</v>
      </c>
      <c r="N570" s="260" t="str" cm="1">
        <f t="array" ref="N570">_xlfn.IFS(
    OR(UPPER(S570)="AIR", UPPER(S570)="CPN"), "AIR",
    UPPER(S570)="TC", "LOCAL",
    TRUE, "SEA"
)</f>
        <v>AIR</v>
      </c>
      <c r="O570" s="260">
        <f t="shared" si="36"/>
        <v>24.563525054795555</v>
      </c>
      <c r="P570" s="184" t="s">
        <v>946</v>
      </c>
      <c r="Q570" s="185">
        <v>308577690911</v>
      </c>
      <c r="R570" s="186">
        <v>46170</v>
      </c>
      <c r="S570" s="187" t="s">
        <v>928</v>
      </c>
      <c r="T570" s="188">
        <v>10.8</v>
      </c>
      <c r="U570" s="188"/>
      <c r="V570" s="189">
        <v>400000</v>
      </c>
      <c r="W570" s="190"/>
      <c r="X570" s="190">
        <v>250000</v>
      </c>
      <c r="Y570" s="190"/>
      <c r="Z570" s="189">
        <f t="shared" si="48"/>
        <v>650000</v>
      </c>
      <c r="AA570" s="189">
        <v>0</v>
      </c>
      <c r="AB570" s="189">
        <f t="shared" si="41"/>
        <v>650000</v>
      </c>
      <c r="AC570" s="189"/>
      <c r="AD570" s="190"/>
      <c r="AE570" s="190"/>
      <c r="AF570" s="191">
        <f t="shared" si="46"/>
        <v>0</v>
      </c>
      <c r="AG570" s="190">
        <f t="shared" si="47"/>
        <v>650000</v>
      </c>
      <c r="AH570" s="190"/>
      <c r="AI570" s="192" t="str">
        <f>VLOOKUP(Q570,[3]Sheet1!B$11:G$1489,6,0)</f>
        <v>G23</v>
      </c>
      <c r="GK570" s="194"/>
      <c r="GL570" s="195"/>
      <c r="GM570" s="196"/>
      <c r="GN570" s="197"/>
      <c r="GO570" s="198"/>
      <c r="GP570" s="199"/>
      <c r="GQ570" s="200"/>
      <c r="GR570" s="201"/>
      <c r="GS570" s="60"/>
      <c r="GT570" s="202"/>
      <c r="GU570" s="202"/>
      <c r="GV570" s="202"/>
      <c r="GW570" s="202"/>
      <c r="GX570" s="203"/>
      <c r="HA570" s="194"/>
      <c r="HB570" s="195"/>
      <c r="HC570" s="196"/>
      <c r="HD570" s="197"/>
      <c r="HE570" s="198"/>
      <c r="HF570" s="199"/>
      <c r="HG570" s="200"/>
      <c r="HH570" s="201"/>
      <c r="HI570" s="60"/>
      <c r="HJ570" s="202"/>
      <c r="HK570" s="202"/>
      <c r="HL570" s="202"/>
      <c r="HM570" s="202"/>
      <c r="HN570" s="203"/>
    </row>
    <row r="571" spans="1:222" ht="16.5" customHeight="1">
      <c r="A571" s="181">
        <v>568</v>
      </c>
      <c r="B571" s="182" t="s">
        <v>7</v>
      </c>
      <c r="C571" s="183" t="s">
        <v>2969</v>
      </c>
      <c r="D571" s="184" t="s">
        <v>1064</v>
      </c>
      <c r="E571" s="184" t="str">
        <f t="shared" si="49"/>
        <v>Export</v>
      </c>
      <c r="F571" s="720" t="str" cm="1">
        <f t="array" ref="F571">_xlfn.IFS(
  OR(AI571="E11", AI571="E15"), "Raw materials",
  OR(AI571="E13", AI571="G13"), "Equipments + Toolings",
  TRUE, RIGHT(C571, 8)
)</f>
        <v>INV06841</v>
      </c>
      <c r="G571" s="541" t="str" cm="1">
        <f t="array" ref="G571">IF(E571="Import",
  IFERROR(
    _xlfn.IFS(
      VLOOKUP(B571,[1]Material!F$5:U$90000,16,0)="LUC","Lucid",
      VLOOKUP(B571,[1]Material!F$5:U$90000,16,0)="FMC","FORD",
      OR(VLOOKUP(B571,[1]Material!F$5:U$90000,16,0)="PUR",VLOOKUP(B571,[1]Material!F$5:U$90000,16,0)="HLO"),"PURE",
      VLOOKUP(B571,[1]Material!F$5:U$90000,16,0)="AIC","AIC",
      OR(VLOOKUP(B571,[1]Material!F$5:U$90000,16,0)="AGI",VLOOKUP(B571,[1]Material!F$5:U$90000,16,0)="AGIGA"),"AGIGA",
      OR(LEFT(VLOOKUP(B571,[1]Material!F$5:U$90000,16,0),3)="EF-",VLOOKUP(B571,[1]Material!F$5:U$90000,16,0)="EFI"),"EFI",
      AND(ISNUMBER(VLOOKUP(B571,[1]Material!F$5:U$90000,16,0)),VLOOKUP(B571,[1]Material!F$5:U$90000,16,0)&gt;=100,VLOOKUP(B571,[1]Material!F$5:U$90000,16,0)&lt;=999,VLOOKUP(B571,[1]Material!F$5:U$90000,16,0)=INT(VLOOKUP(B571,[1]Material!F$5:U$90000,16,0))),"OEM",
      TRUE,""
    ),
    "không tìm thấy trong file Import"
  ),
  VLOOKUP(F571,'[2]Export shipment'!B:Y,24,0)
)</f>
        <v>Lucid</v>
      </c>
      <c r="H571" s="184" t="str">
        <f>VLOOKUP(F571,'[2]Export shipment'!B$8:AA$9479,26,)</f>
        <v>x</v>
      </c>
      <c r="I571" s="184" t="str">
        <f>VLOOKUP(F571,'[2]Export shipment'!B$8:Z$9479,25,'[2]Export shipment'!$S$460)</f>
        <v>Ship MTE's sample board</v>
      </c>
      <c r="J571" s="260">
        <f>(V571+X571+AA571)/'Logistics record '!$AD$1</f>
        <v>15.116015418335726</v>
      </c>
      <c r="K571" s="260">
        <f>W571/'Logistics record '!$AD$1</f>
        <v>0</v>
      </c>
      <c r="L571" s="260">
        <f>Y571/'Logistics record '!$AD$1</f>
        <v>0</v>
      </c>
      <c r="M571" s="260">
        <f>AF571/'Logistics record '!$AD$1</f>
        <v>0</v>
      </c>
      <c r="N571" s="260" t="str" cm="1">
        <f t="array" ref="N571">_xlfn.IFS(
    OR(UPPER(S571)="AIR", UPPER(S571)="CPN"), "AIR",
    UPPER(S571)="TC", "LOCAL",
    TRUE, "SEA"
)</f>
        <v>LOCAL</v>
      </c>
      <c r="O571" s="260">
        <f t="shared" si="36"/>
        <v>15.116015418335726</v>
      </c>
      <c r="P571" s="184" t="s">
        <v>935</v>
      </c>
      <c r="Q571" s="185">
        <v>308579461320</v>
      </c>
      <c r="R571" s="186">
        <v>46170</v>
      </c>
      <c r="S571" s="187" t="s">
        <v>986</v>
      </c>
      <c r="T571" s="188">
        <v>8.5</v>
      </c>
      <c r="U571" s="188"/>
      <c r="V571" s="189">
        <v>400000</v>
      </c>
      <c r="W571" s="190"/>
      <c r="X571" s="190"/>
      <c r="Y571" s="190"/>
      <c r="Z571" s="189">
        <f t="shared" si="48"/>
        <v>400000</v>
      </c>
      <c r="AA571" s="189">
        <v>0</v>
      </c>
      <c r="AB571" s="189">
        <f t="shared" si="41"/>
        <v>400000</v>
      </c>
      <c r="AC571" s="189"/>
      <c r="AD571" s="190"/>
      <c r="AE571" s="190"/>
      <c r="AF571" s="191">
        <f t="shared" si="46"/>
        <v>0</v>
      </c>
      <c r="AG571" s="190">
        <f t="shared" si="47"/>
        <v>400000</v>
      </c>
      <c r="AH571" s="190"/>
      <c r="AI571" s="192" t="str">
        <f>VLOOKUP(Q571,[3]Sheet1!B$11:G$1489,6,0)</f>
        <v>E42</v>
      </c>
      <c r="GK571" s="194"/>
      <c r="GL571" s="195"/>
      <c r="GM571" s="196"/>
      <c r="GN571" s="197"/>
      <c r="GO571" s="198"/>
      <c r="GP571" s="199"/>
      <c r="GQ571" s="200"/>
      <c r="GR571" s="201"/>
      <c r="GS571" s="60"/>
      <c r="GT571" s="202"/>
      <c r="GU571" s="202"/>
      <c r="GV571" s="202"/>
      <c r="GW571" s="202"/>
      <c r="GX571" s="203"/>
      <c r="HA571" s="194"/>
      <c r="HB571" s="195"/>
      <c r="HC571" s="196"/>
      <c r="HD571" s="197"/>
      <c r="HE571" s="198"/>
      <c r="HF571" s="199"/>
      <c r="HG571" s="200"/>
      <c r="HH571" s="201"/>
      <c r="HI571" s="60"/>
      <c r="HJ571" s="202"/>
      <c r="HK571" s="202"/>
      <c r="HL571" s="202"/>
      <c r="HM571" s="202"/>
      <c r="HN571" s="203"/>
    </row>
    <row r="572" spans="1:222" ht="16.5" customHeight="1">
      <c r="A572" s="181">
        <v>569</v>
      </c>
      <c r="B572" s="182" t="s">
        <v>7</v>
      </c>
      <c r="C572" s="183" t="s">
        <v>2148</v>
      </c>
      <c r="D572" s="184" t="s">
        <v>110</v>
      </c>
      <c r="E572" s="184" t="str">
        <f t="shared" si="49"/>
        <v>Export</v>
      </c>
      <c r="F572" s="720" t="str" cm="1">
        <f t="array" ref="F572">_xlfn.IFS(
  OR(AI572="E11", AI572="E15"), "Raw materials",
  OR(AI572="E13", AI572="G13"), "Equipments + Toolings",
  TRUE, RIGHT(C572, 8)
)</f>
        <v>E01087</v>
      </c>
      <c r="G572" s="541" t="str" cm="1">
        <f t="array" ref="G572">IF(E572="Import",
  IFERROR(
    _xlfn.IFS(
      VLOOKUP(B572,[1]Material!F$5:U$90000,16,0)="LUC","Lucid",
      VLOOKUP(B572,[1]Material!F$5:U$90000,16,0)="FMC","FORD",
      OR(VLOOKUP(B572,[1]Material!F$5:U$90000,16,0)="PUR",VLOOKUP(B572,[1]Material!F$5:U$90000,16,0)="HLO"),"PURE",
      VLOOKUP(B572,[1]Material!F$5:U$90000,16,0)="AIC","AIC",
      OR(VLOOKUP(B572,[1]Material!F$5:U$90000,16,0)="AGI",VLOOKUP(B572,[1]Material!F$5:U$90000,16,0)="AGIGA"),"AGIGA",
      OR(LEFT(VLOOKUP(B572,[1]Material!F$5:U$90000,16,0),3)="EF-",VLOOKUP(B572,[1]Material!F$5:U$90000,16,0)="EFI"),"EFI",
      AND(ISNUMBER(VLOOKUP(B572,[1]Material!F$5:U$90000,16,0)),VLOOKUP(B572,[1]Material!F$5:U$90000,16,0)&gt;=100,VLOOKUP(B572,[1]Material!F$5:U$90000,16,0)&lt;=999,VLOOKUP(B572,[1]Material!F$5:U$90000,16,0)=INT(VLOOKUP(B572,[1]Material!F$5:U$90000,16,0))),"OEM",
      TRUE,""
    ),
    "không tìm thấy trong file Import"
  ),
  VLOOKUP(F572,'[2]Export shipment'!B:Y,24,0)
)</f>
        <v>Transfer</v>
      </c>
      <c r="H572" s="184" t="str">
        <f>VLOOKUP(F572,'[2]Export shipment'!B$8:AA$9479,26,)</f>
        <v>x</v>
      </c>
      <c r="I572" s="184" t="str">
        <f>VLOOKUP(F572,'[2]Export shipment'!B$8:Z$9479,25,'[2]Export shipment'!$S$460)</f>
        <v>Ship material</v>
      </c>
      <c r="J572" s="260">
        <f>(V572+X572+AA572)/'Logistics record '!$AD$1</f>
        <v>24.563525054795555</v>
      </c>
      <c r="K572" s="260">
        <f>W572/'Logistics record '!$AD$1</f>
        <v>22.674023127503592</v>
      </c>
      <c r="L572" s="260">
        <f>Y572/'Logistics record '!$AD$1</f>
        <v>0</v>
      </c>
      <c r="M572" s="260">
        <f>AF572/'Logistics record '!$AD$1</f>
        <v>0</v>
      </c>
      <c r="N572" s="260" t="str" cm="1">
        <f t="array" ref="N572">_xlfn.IFS(
    OR(UPPER(S572)="AIR", UPPER(S572)="CPN"), "AIR",
    UPPER(S572)="TC", "LOCAL",
    TRUE, "SEA"
)</f>
        <v>AIR</v>
      </c>
      <c r="O572" s="260">
        <f t="shared" si="36"/>
        <v>47.23754818229915</v>
      </c>
      <c r="P572" s="184" t="s">
        <v>935</v>
      </c>
      <c r="Q572" s="185">
        <v>308582689831</v>
      </c>
      <c r="R572" s="186">
        <v>46171</v>
      </c>
      <c r="S572" s="187" t="s">
        <v>928</v>
      </c>
      <c r="T572" s="188">
        <v>1.1000000000000001</v>
      </c>
      <c r="U572" s="188"/>
      <c r="V572" s="189">
        <v>400000</v>
      </c>
      <c r="W572" s="190">
        <v>600000</v>
      </c>
      <c r="X572" s="190">
        <v>250000</v>
      </c>
      <c r="Y572" s="190"/>
      <c r="Z572" s="189">
        <f t="shared" si="48"/>
        <v>1250000</v>
      </c>
      <c r="AA572" s="189">
        <v>0</v>
      </c>
      <c r="AB572" s="189">
        <f t="shared" si="41"/>
        <v>1250000</v>
      </c>
      <c r="AC572" s="189"/>
      <c r="AD572" s="190"/>
      <c r="AE572" s="190"/>
      <c r="AF572" s="191">
        <f t="shared" si="46"/>
        <v>0</v>
      </c>
      <c r="AG572" s="190">
        <f t="shared" si="47"/>
        <v>1250000</v>
      </c>
      <c r="AH572" s="190"/>
      <c r="AI572" s="192" t="str">
        <f>VLOOKUP(Q572,[3]Sheet1!B$11:G$1489,6,0)</f>
        <v>B13</v>
      </c>
      <c r="GK572" s="194"/>
      <c r="GL572" s="195"/>
      <c r="GM572" s="196"/>
      <c r="GN572" s="197"/>
      <c r="GO572" s="198"/>
      <c r="GP572" s="199"/>
      <c r="GQ572" s="200"/>
      <c r="GR572" s="201"/>
      <c r="GS572" s="60"/>
      <c r="GT572" s="202"/>
      <c r="GU572" s="202"/>
      <c r="GV572" s="202"/>
      <c r="GW572" s="202"/>
      <c r="GX572" s="203"/>
      <c r="HA572" s="194"/>
      <c r="HB572" s="195"/>
      <c r="HC572" s="196"/>
      <c r="HD572" s="197"/>
      <c r="HE572" s="198"/>
      <c r="HF572" s="199"/>
      <c r="HG572" s="200"/>
      <c r="HH572" s="201"/>
      <c r="HI572" s="60"/>
      <c r="HJ572" s="202"/>
      <c r="HK572" s="202"/>
      <c r="HL572" s="202"/>
      <c r="HM572" s="202"/>
      <c r="HN572" s="203"/>
    </row>
    <row r="573" spans="1:222" ht="16.5" customHeight="1">
      <c r="A573" s="181">
        <v>570</v>
      </c>
      <c r="B573" s="182" t="s">
        <v>7</v>
      </c>
      <c r="C573" s="183" t="s">
        <v>2970</v>
      </c>
      <c r="D573" s="184" t="s">
        <v>1023</v>
      </c>
      <c r="E573" s="184" t="str">
        <f t="shared" si="49"/>
        <v>Export</v>
      </c>
      <c r="F573" s="720" t="str" cm="1">
        <f t="array" ref="F573">_xlfn.IFS(
  OR(AI573="E11", AI573="E15"), "Raw materials",
  OR(AI573="E13", AI573="G13"), "Equipments + Toolings",
  TRUE, RIGHT(C573, 8)
)</f>
        <v>INV06840</v>
      </c>
      <c r="G573" s="541" t="str" cm="1">
        <f t="array" ref="G573">IF(E573="Import",
  IFERROR(
    _xlfn.IFS(
      VLOOKUP(B573,[1]Material!F$5:U$90000,16,0)="LUC","Lucid",
      VLOOKUP(B573,[1]Material!F$5:U$90000,16,0)="FMC","FORD",
      OR(VLOOKUP(B573,[1]Material!F$5:U$90000,16,0)="PUR",VLOOKUP(B573,[1]Material!F$5:U$90000,16,0)="HLO"),"PURE",
      VLOOKUP(B573,[1]Material!F$5:U$90000,16,0)="AIC","AIC",
      OR(VLOOKUP(B573,[1]Material!F$5:U$90000,16,0)="AGI",VLOOKUP(B573,[1]Material!F$5:U$90000,16,0)="AGIGA"),"AGIGA",
      OR(LEFT(VLOOKUP(B573,[1]Material!F$5:U$90000,16,0),3)="EF-",VLOOKUP(B573,[1]Material!F$5:U$90000,16,0)="EFI"),"EFI",
      AND(ISNUMBER(VLOOKUP(B573,[1]Material!F$5:U$90000,16,0)),VLOOKUP(B573,[1]Material!F$5:U$90000,16,0)&gt;=100,VLOOKUP(B573,[1]Material!F$5:U$90000,16,0)&lt;=999,VLOOKUP(B573,[1]Material!F$5:U$90000,16,0)=INT(VLOOKUP(B573,[1]Material!F$5:U$90000,16,0))),"OEM",
      TRUE,""
    ),
    "không tìm thấy trong file Import"
  ),
  VLOOKUP(F573,'[2]Export shipment'!B:Y,24,0)
)</f>
        <v>Lucid</v>
      </c>
      <c r="H573" s="184" t="str">
        <f>VLOOKUP(F573,'[2]Export shipment'!B$8:AA$9479,26,)</f>
        <v>x</v>
      </c>
      <c r="I573" s="184" t="str">
        <f>VLOOKUP(F573,'[2]Export shipment'!B$8:Z$9479,25,'[2]Export shipment'!$S$460)</f>
        <v>Ship MTE's sample board</v>
      </c>
      <c r="J573" s="260">
        <f>(V573+X573+AA573)/'Logistics record '!$AD$1</f>
        <v>15.116015418335726</v>
      </c>
      <c r="K573" s="260">
        <f>W573/'Logistics record '!$AD$1</f>
        <v>0</v>
      </c>
      <c r="L573" s="260">
        <f>Y573/'Logistics record '!$AD$1</f>
        <v>0</v>
      </c>
      <c r="M573" s="260">
        <f>AF573/'Logistics record '!$AD$1</f>
        <v>0</v>
      </c>
      <c r="N573" s="260" t="str" cm="1">
        <f t="array" ref="N573">_xlfn.IFS(
    OR(UPPER(S573)="AIR", UPPER(S573)="CPN"), "AIR",
    UPPER(S573)="TC", "LOCAL",
    TRUE, "SEA"
)</f>
        <v>AIR</v>
      </c>
      <c r="O573" s="260">
        <f t="shared" si="36"/>
        <v>15.116015418335726</v>
      </c>
      <c r="P573" s="184" t="s">
        <v>959</v>
      </c>
      <c r="Q573" s="185">
        <v>308585802140</v>
      </c>
      <c r="R573" s="186">
        <v>46171</v>
      </c>
      <c r="S573" s="187" t="s">
        <v>65</v>
      </c>
      <c r="T573" s="188">
        <v>344.4</v>
      </c>
      <c r="U573" s="188"/>
      <c r="V573" s="189">
        <v>400000</v>
      </c>
      <c r="W573" s="190"/>
      <c r="X573" s="190"/>
      <c r="Y573" s="190"/>
      <c r="Z573" s="189">
        <f t="shared" si="48"/>
        <v>400000</v>
      </c>
      <c r="AA573" s="189">
        <v>0</v>
      </c>
      <c r="AB573" s="189">
        <f t="shared" si="41"/>
        <v>400000</v>
      </c>
      <c r="AC573" s="189"/>
      <c r="AD573" s="190"/>
      <c r="AE573" s="190"/>
      <c r="AF573" s="191">
        <f t="shared" si="46"/>
        <v>0</v>
      </c>
      <c r="AG573" s="190">
        <f t="shared" si="47"/>
        <v>400000</v>
      </c>
      <c r="AH573" s="190"/>
      <c r="AI573" s="192" t="str">
        <f>VLOOKUP(Q573,[3]Sheet1!B$11:G$1489,6,0)</f>
        <v>E42</v>
      </c>
      <c r="GK573" s="194"/>
      <c r="GL573" s="195"/>
      <c r="GM573" s="196"/>
      <c r="GN573" s="197"/>
      <c r="GO573" s="198"/>
      <c r="GP573" s="199"/>
      <c r="GQ573" s="200"/>
      <c r="GR573" s="201"/>
      <c r="GS573" s="60"/>
      <c r="GT573" s="202"/>
      <c r="GU573" s="202"/>
      <c r="GV573" s="202"/>
      <c r="GW573" s="202"/>
      <c r="GX573" s="203"/>
      <c r="HA573" s="194"/>
      <c r="HB573" s="195"/>
      <c r="HC573" s="196"/>
      <c r="HD573" s="197"/>
      <c r="HE573" s="198"/>
      <c r="HF573" s="199"/>
      <c r="HG573" s="200"/>
      <c r="HH573" s="201"/>
      <c r="HI573" s="60"/>
      <c r="HJ573" s="202"/>
      <c r="HK573" s="202"/>
      <c r="HL573" s="202"/>
      <c r="HM573" s="202"/>
      <c r="HN573" s="203"/>
    </row>
    <row r="574" spans="1:222" ht="16.5" customHeight="1">
      <c r="A574" s="181">
        <v>571</v>
      </c>
      <c r="B574" s="182" t="s">
        <v>7</v>
      </c>
      <c r="C574" s="183" t="s">
        <v>2971</v>
      </c>
      <c r="D574" s="184" t="s">
        <v>997</v>
      </c>
      <c r="E574" s="184" t="str">
        <f t="shared" si="49"/>
        <v>Export</v>
      </c>
      <c r="F574" s="720" t="str" cm="1">
        <f t="array" ref="F574">_xlfn.IFS(
  OR(AI574="E11", AI574="E15"), "Raw materials",
  OR(AI574="E13", AI574="G13"), "Equipments + Toolings",
  TRUE, RIGHT(C574, 8)
)</f>
        <v>INV06839</v>
      </c>
      <c r="G574" s="541" t="str" cm="1">
        <f t="array" ref="G574">IF(E574="Import",
  IFERROR(
    _xlfn.IFS(
      VLOOKUP(B574,[1]Material!F$5:U$90000,16,0)="LUC","Lucid",
      VLOOKUP(B574,[1]Material!F$5:U$90000,16,0)="FMC","FORD",
      OR(VLOOKUP(B574,[1]Material!F$5:U$90000,16,0)="PUR",VLOOKUP(B574,[1]Material!F$5:U$90000,16,0)="HLO"),"PURE",
      VLOOKUP(B574,[1]Material!F$5:U$90000,16,0)="AIC","AIC",
      OR(VLOOKUP(B574,[1]Material!F$5:U$90000,16,0)="AGI",VLOOKUP(B574,[1]Material!F$5:U$90000,16,0)="AGIGA"),"AGIGA",
      OR(LEFT(VLOOKUP(B574,[1]Material!F$5:U$90000,16,0),3)="EF-",VLOOKUP(B574,[1]Material!F$5:U$90000,16,0)="EFI"),"EFI",
      AND(ISNUMBER(VLOOKUP(B574,[1]Material!F$5:U$90000,16,0)),VLOOKUP(B574,[1]Material!F$5:U$90000,16,0)&gt;=100,VLOOKUP(B574,[1]Material!F$5:U$90000,16,0)&lt;=999,VLOOKUP(B574,[1]Material!F$5:U$90000,16,0)=INT(VLOOKUP(B574,[1]Material!F$5:U$90000,16,0))),"OEM",
      TRUE,""
    ),
    "không tìm thấy trong file Import"
  ),
  VLOOKUP(F574,'[2]Export shipment'!B:Y,24,0)
)</f>
        <v>Lucid</v>
      </c>
      <c r="H574" s="184" t="str">
        <f>VLOOKUP(F574,'[2]Export shipment'!B$8:AA$9479,26,)</f>
        <v>x</v>
      </c>
      <c r="I574" s="184" t="str">
        <f>VLOOKUP(F574,'[2]Export shipment'!B$8:Z$9479,25,'[2]Export shipment'!$S$460)</f>
        <v>Ship MTE's sample board</v>
      </c>
      <c r="J574" s="260">
        <f>(V574+X574+AA574)/'Logistics record '!$AD$1</f>
        <v>15.116015418335726</v>
      </c>
      <c r="K574" s="260">
        <f>W574/'Logistics record '!$AD$1</f>
        <v>0</v>
      </c>
      <c r="L574" s="260">
        <f>Y574/'Logistics record '!$AD$1</f>
        <v>0</v>
      </c>
      <c r="M574" s="260">
        <f>AF574/'Logistics record '!$AD$1</f>
        <v>0</v>
      </c>
      <c r="N574" s="260" t="str" cm="1">
        <f t="array" ref="N574">_xlfn.IFS(
    OR(UPPER(S574)="AIR", UPPER(S574)="CPN"), "AIR",
    UPPER(S574)="TC", "LOCAL",
    TRUE, "SEA"
)</f>
        <v>SEA</v>
      </c>
      <c r="O574" s="260">
        <f t="shared" si="36"/>
        <v>15.116015418335726</v>
      </c>
      <c r="P574" s="184" t="s">
        <v>935</v>
      </c>
      <c r="Q574" s="185">
        <v>308595999740</v>
      </c>
      <c r="R574" s="186">
        <v>46175</v>
      </c>
      <c r="S574" s="187" t="s">
        <v>1866</v>
      </c>
      <c r="T574" s="188">
        <v>1581.6</v>
      </c>
      <c r="U574" s="188"/>
      <c r="V574" s="189">
        <v>400000</v>
      </c>
      <c r="W574" s="190"/>
      <c r="X574" s="190"/>
      <c r="Y574" s="190"/>
      <c r="Z574" s="189">
        <f t="shared" si="48"/>
        <v>400000</v>
      </c>
      <c r="AA574" s="189">
        <v>0</v>
      </c>
      <c r="AB574" s="189">
        <f t="shared" si="41"/>
        <v>400000</v>
      </c>
      <c r="AC574" s="189"/>
      <c r="AD574" s="190"/>
      <c r="AE574" s="190"/>
      <c r="AF574" s="191">
        <f t="shared" si="46"/>
        <v>0</v>
      </c>
      <c r="AG574" s="190">
        <f t="shared" si="47"/>
        <v>400000</v>
      </c>
      <c r="AH574" s="190"/>
      <c r="AI574" s="192" t="str">
        <f>VLOOKUP(Q574,[3]Sheet1!B$11:G$1489,6,0)</f>
        <v>E42</v>
      </c>
      <c r="GK574" s="194"/>
      <c r="GL574" s="195"/>
      <c r="GM574" s="196"/>
      <c r="GN574" s="197"/>
      <c r="GO574" s="198"/>
      <c r="GP574" s="199"/>
      <c r="GQ574" s="200"/>
      <c r="GR574" s="201"/>
      <c r="GS574" s="60"/>
      <c r="GT574" s="202"/>
      <c r="GU574" s="202"/>
      <c r="GV574" s="202"/>
      <c r="GW574" s="202"/>
      <c r="GX574" s="203"/>
      <c r="HA574" s="194"/>
      <c r="HB574" s="195"/>
      <c r="HC574" s="196"/>
      <c r="HD574" s="197"/>
      <c r="HE574" s="198"/>
      <c r="HF574" s="199"/>
      <c r="HG574" s="200"/>
      <c r="HH574" s="201"/>
      <c r="HI574" s="60"/>
      <c r="HJ574" s="202"/>
      <c r="HK574" s="202"/>
      <c r="HL574" s="202"/>
      <c r="HM574" s="202"/>
      <c r="HN574" s="203"/>
    </row>
    <row r="575" spans="1:222" ht="16.5" customHeight="1">
      <c r="A575" s="181">
        <v>572</v>
      </c>
      <c r="B575" s="182" t="s">
        <v>7</v>
      </c>
      <c r="C575" s="183" t="s">
        <v>2972</v>
      </c>
      <c r="D575" s="184" t="s">
        <v>2973</v>
      </c>
      <c r="E575" s="184" t="str">
        <f t="shared" si="49"/>
        <v>Export</v>
      </c>
      <c r="F575" s="720" t="str" cm="1">
        <f t="array" ref="F575">_xlfn.IFS(
  OR(AI575="E11", AI575="E15"), "Raw materials",
  OR(AI575="E13", AI575="G13"), "Equipments + Toolings",
  TRUE, RIGHT(C575, 8)
)</f>
        <v>INV06858</v>
      </c>
      <c r="G575" s="541" t="str" cm="1">
        <f t="array" ref="G575">IF(E575="Import",
  IFERROR(
    _xlfn.IFS(
      VLOOKUP(B575,[1]Material!F$5:U$90000,16,0)="LUC","Lucid",
      VLOOKUP(B575,[1]Material!F$5:U$90000,16,0)="FMC","FORD",
      OR(VLOOKUP(B575,[1]Material!F$5:U$90000,16,0)="PUR",VLOOKUP(B575,[1]Material!F$5:U$90000,16,0)="HLO"),"PURE",
      VLOOKUP(B575,[1]Material!F$5:U$90000,16,0)="AIC","AIC",
      OR(VLOOKUP(B575,[1]Material!F$5:U$90000,16,0)="AGI",VLOOKUP(B575,[1]Material!F$5:U$90000,16,0)="AGIGA"),"AGIGA",
      OR(LEFT(VLOOKUP(B575,[1]Material!F$5:U$90000,16,0),3)="EF-",VLOOKUP(B575,[1]Material!F$5:U$90000,16,0)="EFI"),"EFI",
      AND(ISNUMBER(VLOOKUP(B575,[1]Material!F$5:U$90000,16,0)),VLOOKUP(B575,[1]Material!F$5:U$90000,16,0)&gt;=100,VLOOKUP(B575,[1]Material!F$5:U$90000,16,0)&lt;=999,VLOOKUP(B575,[1]Material!F$5:U$90000,16,0)=INT(VLOOKUP(B575,[1]Material!F$5:U$90000,16,0))),"OEM",
      TRUE,""
    ),
    "không tìm thấy trong file Import"
  ),
  VLOOKUP(F575,'[2]Export shipment'!B:Y,24,0)
)</f>
        <v>AIC</v>
      </c>
      <c r="H575" s="184" t="str">
        <f>VLOOKUP(F575,'[2]Export shipment'!B$8:AA$9479,26,)</f>
        <v>x</v>
      </c>
      <c r="I575" s="184" t="str">
        <f>VLOOKUP(F575,'[2]Export shipment'!B$8:Z$9479,25,'[2]Export shipment'!$S$460)</f>
        <v>x</v>
      </c>
      <c r="J575" s="260">
        <f>(V575+X575+AA575)/'Logistics record '!$AD$1</f>
        <v>15.116015418335726</v>
      </c>
      <c r="K575" s="260">
        <f>W575/'Logistics record '!$AD$1</f>
        <v>0</v>
      </c>
      <c r="L575" s="260">
        <f>Y575/'Logistics record '!$AD$1</f>
        <v>0</v>
      </c>
      <c r="M575" s="260">
        <f>AF575/'Logistics record '!$AD$1</f>
        <v>0</v>
      </c>
      <c r="N575" s="260" t="str" cm="1">
        <f t="array" ref="N575">_xlfn.IFS(
    OR(UPPER(S575)="AIR", UPPER(S575)="CPN"), "AIR",
    UPPER(S575)="TC", "LOCAL",
    TRUE, "SEA"
)</f>
        <v>AIR</v>
      </c>
      <c r="O575" s="260">
        <f t="shared" si="36"/>
        <v>15.116015418335726</v>
      </c>
      <c r="P575" s="184" t="s">
        <v>932</v>
      </c>
      <c r="Q575" s="185">
        <v>308596890030</v>
      </c>
      <c r="R575" s="186">
        <v>46175</v>
      </c>
      <c r="S575" s="187" t="s">
        <v>928</v>
      </c>
      <c r="T575" s="188">
        <v>4</v>
      </c>
      <c r="U575" s="188"/>
      <c r="V575" s="189">
        <v>400000</v>
      </c>
      <c r="W575" s="190"/>
      <c r="X575" s="190"/>
      <c r="Y575" s="190"/>
      <c r="Z575" s="189">
        <f t="shared" si="48"/>
        <v>400000</v>
      </c>
      <c r="AA575" s="189">
        <v>0</v>
      </c>
      <c r="AB575" s="189">
        <f t="shared" si="41"/>
        <v>400000</v>
      </c>
      <c r="AC575" s="189"/>
      <c r="AD575" s="190"/>
      <c r="AE575" s="190"/>
      <c r="AF575" s="191">
        <f t="shared" si="46"/>
        <v>0</v>
      </c>
      <c r="AG575" s="190">
        <f t="shared" si="47"/>
        <v>400000</v>
      </c>
      <c r="AH575" s="190"/>
      <c r="AI575" s="192" t="str">
        <f>VLOOKUP(Q575,[3]Sheet1!B$11:G$1489,6,0)</f>
        <v>E42</v>
      </c>
      <c r="GK575" s="194"/>
      <c r="GL575" s="195"/>
      <c r="GM575" s="196"/>
      <c r="GN575" s="197"/>
      <c r="GO575" s="198"/>
      <c r="GP575" s="199"/>
      <c r="GQ575" s="200"/>
      <c r="GR575" s="201"/>
      <c r="GS575" s="60"/>
      <c r="GT575" s="202"/>
      <c r="GU575" s="202"/>
      <c r="GV575" s="202"/>
      <c r="GW575" s="202"/>
      <c r="GX575" s="203"/>
      <c r="HA575" s="194"/>
      <c r="HB575" s="195"/>
      <c r="HC575" s="196"/>
      <c r="HD575" s="197"/>
      <c r="HE575" s="198"/>
      <c r="HF575" s="199"/>
      <c r="HG575" s="200"/>
      <c r="HH575" s="201"/>
      <c r="HI575" s="60"/>
      <c r="HJ575" s="202"/>
      <c r="HK575" s="202"/>
      <c r="HL575" s="202"/>
      <c r="HM575" s="202"/>
      <c r="HN575" s="203"/>
    </row>
    <row r="576" spans="1:222" ht="16.5" customHeight="1">
      <c r="A576" s="181">
        <v>573</v>
      </c>
      <c r="B576" s="182" t="s">
        <v>7</v>
      </c>
      <c r="C576" s="183" t="s">
        <v>2974</v>
      </c>
      <c r="D576" s="184" t="s">
        <v>1036</v>
      </c>
      <c r="E576" s="184" t="str">
        <f t="shared" si="49"/>
        <v>Export</v>
      </c>
      <c r="F576" s="720" t="str" cm="1">
        <f t="array" ref="F576">_xlfn.IFS(
  OR(AI576="E11", AI576="E15"), "Raw materials",
  OR(AI576="E13", AI576="G13"), "Equipments + Toolings",
  TRUE, RIGHT(C576, 8)
)</f>
        <v>INV06847</v>
      </c>
      <c r="G576" s="541" t="str" cm="1">
        <f t="array" ref="G576">IF(E576="Import",
  IFERROR(
    _xlfn.IFS(
      VLOOKUP(B576,[1]Material!F$5:U$90000,16,0)="LUC","Lucid",
      VLOOKUP(B576,[1]Material!F$5:U$90000,16,0)="FMC","FORD",
      OR(VLOOKUP(B576,[1]Material!F$5:U$90000,16,0)="PUR",VLOOKUP(B576,[1]Material!F$5:U$90000,16,0)="HLO"),"PURE",
      VLOOKUP(B576,[1]Material!F$5:U$90000,16,0)="AIC","AIC",
      OR(VLOOKUP(B576,[1]Material!F$5:U$90000,16,0)="AGI",VLOOKUP(B576,[1]Material!F$5:U$90000,16,0)="AGIGA"),"AGIGA",
      OR(LEFT(VLOOKUP(B576,[1]Material!F$5:U$90000,16,0),3)="EF-",VLOOKUP(B576,[1]Material!F$5:U$90000,16,0)="EFI"),"EFI",
      AND(ISNUMBER(VLOOKUP(B576,[1]Material!F$5:U$90000,16,0)),VLOOKUP(B576,[1]Material!F$5:U$90000,16,0)&gt;=100,VLOOKUP(B576,[1]Material!F$5:U$90000,16,0)&lt;=999,VLOOKUP(B576,[1]Material!F$5:U$90000,16,0)=INT(VLOOKUP(B576,[1]Material!F$5:U$90000,16,0))),"OEM",
      TRUE,""
    ),
    "không tìm thấy trong file Import"
  ),
  VLOOKUP(F576,'[2]Export shipment'!B:Y,24,0)
)</f>
        <v>PURE</v>
      </c>
      <c r="H576" s="184" t="str">
        <f>VLOOKUP(F576,'[2]Export shipment'!B$8:AA$9479,26,)</f>
        <v>x</v>
      </c>
      <c r="I576" s="184" t="str">
        <f>VLOOKUP(F576,'[2]Export shipment'!B$8:Z$9479,25,'[2]Export shipment'!$S$460)</f>
        <v>x</v>
      </c>
      <c r="J576" s="260">
        <f>(V576+X576+AA576)/'Logistics record '!$AD$1</f>
        <v>15.116015418335726</v>
      </c>
      <c r="K576" s="260">
        <f>W576/'Logistics record '!$AD$1</f>
        <v>0</v>
      </c>
      <c r="L576" s="260">
        <f>Y576/'Logistics record '!$AD$1</f>
        <v>0</v>
      </c>
      <c r="M576" s="260">
        <f>AF576/'Logistics record '!$AD$1</f>
        <v>0</v>
      </c>
      <c r="N576" s="260" t="str" cm="1">
        <f t="array" ref="N576">_xlfn.IFS(
    OR(UPPER(S576)="AIR", UPPER(S576)="CPN"), "AIR",
    UPPER(S576)="TC", "LOCAL",
    TRUE, "SEA"
)</f>
        <v>AIR</v>
      </c>
      <c r="O576" s="260">
        <f t="shared" si="36"/>
        <v>15.116015418335726</v>
      </c>
      <c r="P576" s="184" t="s">
        <v>946</v>
      </c>
      <c r="Q576" s="185">
        <v>308604587120</v>
      </c>
      <c r="R576" s="186">
        <v>46177</v>
      </c>
      <c r="S576" s="187" t="s">
        <v>928</v>
      </c>
      <c r="T576" s="188">
        <v>87</v>
      </c>
      <c r="U576" s="188"/>
      <c r="V576" s="189">
        <v>400000</v>
      </c>
      <c r="W576" s="190"/>
      <c r="X576" s="190"/>
      <c r="Y576" s="190"/>
      <c r="Z576" s="189">
        <f t="shared" si="48"/>
        <v>400000</v>
      </c>
      <c r="AA576" s="189">
        <v>0</v>
      </c>
      <c r="AB576" s="189">
        <f t="shared" si="41"/>
        <v>400000</v>
      </c>
      <c r="AC576" s="189"/>
      <c r="AD576" s="190"/>
      <c r="AE576" s="190"/>
      <c r="AF576" s="191">
        <f t="shared" si="46"/>
        <v>0</v>
      </c>
      <c r="AG576" s="190">
        <f t="shared" si="47"/>
        <v>400000</v>
      </c>
      <c r="AH576" s="190"/>
      <c r="AI576" s="192" t="str">
        <f>VLOOKUP(Q576,[3]Sheet1!B$11:G$1489,6,0)</f>
        <v>E42</v>
      </c>
      <c r="GK576" s="194"/>
      <c r="GL576" s="195"/>
      <c r="GM576" s="196"/>
      <c r="GN576" s="197"/>
      <c r="GO576" s="198"/>
      <c r="GP576" s="199"/>
      <c r="GQ576" s="200"/>
      <c r="GR576" s="201"/>
      <c r="GS576" s="60"/>
      <c r="GT576" s="202"/>
      <c r="GU576" s="202"/>
      <c r="GV576" s="202"/>
      <c r="GW576" s="202"/>
      <c r="GX576" s="203"/>
      <c r="HA576" s="194"/>
      <c r="HB576" s="195"/>
      <c r="HC576" s="196"/>
      <c r="HD576" s="197"/>
      <c r="HE576" s="198"/>
      <c r="HF576" s="199"/>
      <c r="HG576" s="200"/>
      <c r="HH576" s="201"/>
      <c r="HI576" s="60"/>
      <c r="HJ576" s="202"/>
      <c r="HK576" s="202"/>
      <c r="HL576" s="202"/>
      <c r="HM576" s="202"/>
      <c r="HN576" s="203"/>
    </row>
    <row r="577" spans="1:222" ht="16.5" customHeight="1">
      <c r="A577" s="181">
        <v>574</v>
      </c>
      <c r="B577" s="182" t="s">
        <v>7</v>
      </c>
      <c r="C577" s="183" t="s">
        <v>2150</v>
      </c>
      <c r="D577" s="184" t="s">
        <v>110</v>
      </c>
      <c r="E577" s="184" t="str">
        <f t="shared" si="49"/>
        <v>Export</v>
      </c>
      <c r="F577" s="720" t="str" cm="1">
        <f t="array" ref="F577">_xlfn.IFS(
  OR(AI577="E11", AI577="E15"), "Raw materials",
  OR(AI577="E13", AI577="G13"), "Equipments + Toolings",
  TRUE, RIGHT(C577, 8)
)</f>
        <v>E01089</v>
      </c>
      <c r="G577" s="541" t="str" cm="1">
        <f t="array" ref="G577">IF(E577="Import",
  IFERROR(
    _xlfn.IFS(
      VLOOKUP(B577,[1]Material!F$5:U$90000,16,0)="LUC","Lucid",
      VLOOKUP(B577,[1]Material!F$5:U$90000,16,0)="FMC","FORD",
      OR(VLOOKUP(B577,[1]Material!F$5:U$90000,16,0)="PUR",VLOOKUP(B577,[1]Material!F$5:U$90000,16,0)="HLO"),"PURE",
      VLOOKUP(B577,[1]Material!F$5:U$90000,16,0)="AIC","AIC",
      OR(VLOOKUP(B577,[1]Material!F$5:U$90000,16,0)="AGI",VLOOKUP(B577,[1]Material!F$5:U$90000,16,0)="AGIGA"),"AGIGA",
      OR(LEFT(VLOOKUP(B577,[1]Material!F$5:U$90000,16,0),3)="EF-",VLOOKUP(B577,[1]Material!F$5:U$90000,16,0)="EFI"),"EFI",
      AND(ISNUMBER(VLOOKUP(B577,[1]Material!F$5:U$90000,16,0)),VLOOKUP(B577,[1]Material!F$5:U$90000,16,0)&gt;=100,VLOOKUP(B577,[1]Material!F$5:U$90000,16,0)&lt;=999,VLOOKUP(B577,[1]Material!F$5:U$90000,16,0)=INT(VLOOKUP(B577,[1]Material!F$5:U$90000,16,0))),"OEM",
      TRUE,""
    ),
    "không tìm thấy trong file Import"
  ),
  VLOOKUP(F577,'[2]Export shipment'!B:Y,24,0)
)</f>
        <v>Transfer</v>
      </c>
      <c r="H577" s="184" t="str">
        <f>VLOOKUP(F577,'[2]Export shipment'!B$8:AA$9479,26,)</f>
        <v>x</v>
      </c>
      <c r="I577" s="184" t="str">
        <f>VLOOKUP(F577,'[2]Export shipment'!B$8:Z$9479,25,'[2]Export shipment'!$S$460)</f>
        <v>Ship material</v>
      </c>
      <c r="J577" s="260">
        <f>(V577+X577+AA577)/'Logistics record '!$AD$1</f>
        <v>24.563525054795555</v>
      </c>
      <c r="K577" s="260">
        <f>W577/'Logistics record '!$AD$1</f>
        <v>22.674023127503592</v>
      </c>
      <c r="L577" s="260">
        <f>Y577/'Logistics record '!$AD$1</f>
        <v>0</v>
      </c>
      <c r="M577" s="260">
        <f>AF577/'Logistics record '!$AD$1</f>
        <v>0</v>
      </c>
      <c r="N577" s="260" t="str" cm="1">
        <f t="array" ref="N577">_xlfn.IFS(
    OR(UPPER(S577)="AIR", UPPER(S577)="CPN"), "AIR",
    UPPER(S577)="TC", "LOCAL",
    TRUE, "SEA"
)</f>
        <v>AIR</v>
      </c>
      <c r="O577" s="260">
        <f t="shared" si="36"/>
        <v>47.23754818229915</v>
      </c>
      <c r="P577" s="184" t="s">
        <v>935</v>
      </c>
      <c r="Q577" s="185">
        <v>308605891001</v>
      </c>
      <c r="R577" s="186">
        <v>46178</v>
      </c>
      <c r="S577" s="187" t="s">
        <v>928</v>
      </c>
      <c r="T577" s="188">
        <v>8.9</v>
      </c>
      <c r="U577" s="188"/>
      <c r="V577" s="189">
        <v>400000</v>
      </c>
      <c r="W577" s="190">
        <v>600000</v>
      </c>
      <c r="X577" s="190">
        <v>250000</v>
      </c>
      <c r="Y577" s="190"/>
      <c r="Z577" s="189">
        <f t="shared" si="48"/>
        <v>1250000</v>
      </c>
      <c r="AA577" s="189">
        <v>0</v>
      </c>
      <c r="AB577" s="189">
        <f t="shared" si="41"/>
        <v>1250000</v>
      </c>
      <c r="AC577" s="189"/>
      <c r="AD577" s="190"/>
      <c r="AE577" s="190"/>
      <c r="AF577" s="191">
        <f t="shared" ref="AF577:AF602" si="50">+SUM(AC577:AE577)</f>
        <v>0</v>
      </c>
      <c r="AG577" s="190">
        <f t="shared" ref="AG577:AG602" si="51">+AF577+AB577</f>
        <v>1250000</v>
      </c>
      <c r="AH577" s="190"/>
      <c r="AI577" s="192" t="str">
        <f>VLOOKUP(Q577,[3]Sheet1!B$11:G$1489,6,0)</f>
        <v>B13</v>
      </c>
      <c r="GK577" s="194"/>
      <c r="GL577" s="195"/>
      <c r="GM577" s="196"/>
      <c r="GN577" s="197"/>
      <c r="GO577" s="198"/>
      <c r="GP577" s="199"/>
      <c r="GQ577" s="200"/>
      <c r="GR577" s="201"/>
      <c r="GS577" s="60"/>
      <c r="GT577" s="202"/>
      <c r="GU577" s="202"/>
      <c r="GV577" s="202"/>
      <c r="GW577" s="202"/>
      <c r="GX577" s="203"/>
      <c r="HA577" s="194"/>
      <c r="HB577" s="195"/>
      <c r="HC577" s="196"/>
      <c r="HD577" s="197"/>
      <c r="HE577" s="198"/>
      <c r="HF577" s="199"/>
      <c r="HG577" s="200"/>
      <c r="HH577" s="201"/>
      <c r="HI577" s="60"/>
      <c r="HJ577" s="202"/>
      <c r="HK577" s="202"/>
      <c r="HL577" s="202"/>
      <c r="HM577" s="202"/>
      <c r="HN577" s="203"/>
    </row>
    <row r="578" spans="1:222" ht="16.5" customHeight="1">
      <c r="A578" s="181">
        <v>575</v>
      </c>
      <c r="B578" s="182" t="s">
        <v>7</v>
      </c>
      <c r="C578" s="183" t="s">
        <v>2975</v>
      </c>
      <c r="D578" s="184" t="s">
        <v>997</v>
      </c>
      <c r="E578" s="184" t="str">
        <f t="shared" si="49"/>
        <v>Export</v>
      </c>
      <c r="F578" s="720" t="str" cm="1">
        <f t="array" ref="F578">_xlfn.IFS(
  OR(AI578="E11", AI578="E15"), "Raw materials",
  OR(AI578="E13", AI578="G13"), "Equipments + Toolings",
  TRUE, RIGHT(C578, 8)
)</f>
        <v>INV06844</v>
      </c>
      <c r="G578" s="541" t="str" cm="1">
        <f t="array" ref="G578">IF(E578="Import",
  IFERROR(
    _xlfn.IFS(
      VLOOKUP(B578,[1]Material!F$5:U$90000,16,0)="LUC","Lucid",
      VLOOKUP(B578,[1]Material!F$5:U$90000,16,0)="FMC","FORD",
      OR(VLOOKUP(B578,[1]Material!F$5:U$90000,16,0)="PUR",VLOOKUP(B578,[1]Material!F$5:U$90000,16,0)="HLO"),"PURE",
      VLOOKUP(B578,[1]Material!F$5:U$90000,16,0)="AIC","AIC",
      OR(VLOOKUP(B578,[1]Material!F$5:U$90000,16,0)="AGI",VLOOKUP(B578,[1]Material!F$5:U$90000,16,0)="AGIGA"),"AGIGA",
      OR(LEFT(VLOOKUP(B578,[1]Material!F$5:U$90000,16,0),3)="EF-",VLOOKUP(B578,[1]Material!F$5:U$90000,16,0)="EFI"),"EFI",
      AND(ISNUMBER(VLOOKUP(B578,[1]Material!F$5:U$90000,16,0)),VLOOKUP(B578,[1]Material!F$5:U$90000,16,0)&gt;=100,VLOOKUP(B578,[1]Material!F$5:U$90000,16,0)&lt;=999,VLOOKUP(B578,[1]Material!F$5:U$90000,16,0)=INT(VLOOKUP(B578,[1]Material!F$5:U$90000,16,0))),"OEM",
      TRUE,""
    ),
    "không tìm thấy trong file Import"
  ),
  VLOOKUP(F578,'[2]Export shipment'!B:Y,24,0)
)</f>
        <v>Lucid</v>
      </c>
      <c r="H578" s="184" t="str">
        <f>VLOOKUP(F578,'[2]Export shipment'!B$8:AA$9479,26,)</f>
        <v>x</v>
      </c>
      <c r="I578" s="184" t="str">
        <f>VLOOKUP(F578,'[2]Export shipment'!B$8:Z$9479,25,'[2]Export shipment'!$S$460)</f>
        <v>Ship MTE's sample board</v>
      </c>
      <c r="J578" s="260">
        <f>(V578+X578+AA578)/'Logistics record '!$AD$1</f>
        <v>15.116015418335726</v>
      </c>
      <c r="K578" s="260">
        <f>W578/'Logistics record '!$AD$1</f>
        <v>0</v>
      </c>
      <c r="L578" s="260">
        <f>Y578/'Logistics record '!$AD$1</f>
        <v>0</v>
      </c>
      <c r="M578" s="260">
        <f>AF578/'Logistics record '!$AD$1</f>
        <v>0</v>
      </c>
      <c r="N578" s="260" t="str" cm="1">
        <f t="array" ref="N578">_xlfn.IFS(
    OR(UPPER(S578)="AIR", UPPER(S578)="CPN"), "AIR",
    UPPER(S578)="TC", "LOCAL",
    TRUE, "SEA"
)</f>
        <v>SEA</v>
      </c>
      <c r="O578" s="260">
        <f t="shared" si="36"/>
        <v>15.116015418335726</v>
      </c>
      <c r="P578" s="184" t="s">
        <v>935</v>
      </c>
      <c r="Q578" s="185">
        <v>308613998620</v>
      </c>
      <c r="R578" s="186">
        <v>46181</v>
      </c>
      <c r="S578" s="187" t="s">
        <v>1866</v>
      </c>
      <c r="T578" s="188">
        <v>1537.2</v>
      </c>
      <c r="U578" s="188"/>
      <c r="V578" s="189">
        <v>400000</v>
      </c>
      <c r="W578" s="190"/>
      <c r="X578" s="190"/>
      <c r="Y578" s="190"/>
      <c r="Z578" s="189">
        <f t="shared" si="48"/>
        <v>400000</v>
      </c>
      <c r="AA578" s="189">
        <v>0</v>
      </c>
      <c r="AB578" s="189">
        <f t="shared" si="41"/>
        <v>400000</v>
      </c>
      <c r="AC578" s="189"/>
      <c r="AD578" s="190"/>
      <c r="AE578" s="190"/>
      <c r="AF578" s="191">
        <f t="shared" si="50"/>
        <v>0</v>
      </c>
      <c r="AG578" s="190">
        <f t="shared" si="51"/>
        <v>400000</v>
      </c>
      <c r="AH578" s="190"/>
      <c r="AI578" s="192" t="str">
        <f>VLOOKUP(Q578,[3]Sheet1!B$11:G$1489,6,0)</f>
        <v>E42</v>
      </c>
      <c r="GK578" s="194"/>
      <c r="GL578" s="195"/>
      <c r="GM578" s="196"/>
      <c r="GN578" s="197"/>
      <c r="GO578" s="198"/>
      <c r="GP578" s="199"/>
      <c r="GQ578" s="200"/>
      <c r="GR578" s="201"/>
      <c r="GS578" s="60"/>
      <c r="GT578" s="202"/>
      <c r="GU578" s="202"/>
      <c r="GV578" s="202"/>
      <c r="GW578" s="202"/>
      <c r="GX578" s="203"/>
      <c r="HA578" s="194"/>
      <c r="HB578" s="195"/>
      <c r="HC578" s="196"/>
      <c r="HD578" s="197"/>
      <c r="HE578" s="198"/>
      <c r="HF578" s="199"/>
      <c r="HG578" s="200"/>
      <c r="HH578" s="201"/>
      <c r="HI578" s="60"/>
      <c r="HJ578" s="202"/>
      <c r="HK578" s="202"/>
      <c r="HL578" s="202"/>
      <c r="HM578" s="202"/>
      <c r="HN578" s="203"/>
    </row>
    <row r="579" spans="1:222" ht="16.5" customHeight="1">
      <c r="A579" s="181">
        <v>576</v>
      </c>
      <c r="B579" s="182" t="s">
        <v>7</v>
      </c>
      <c r="C579" s="183" t="s">
        <v>2976</v>
      </c>
      <c r="D579" s="184" t="s">
        <v>997</v>
      </c>
      <c r="E579" s="184" t="str">
        <f t="shared" si="49"/>
        <v>Export</v>
      </c>
      <c r="F579" s="720" t="str" cm="1">
        <f t="array" ref="F579">_xlfn.IFS(
  OR(AI579="E11", AI579="E15"), "Raw materials",
  OR(AI579="E13", AI579="G13"), "Equipments + Toolings",
  TRUE, RIGHT(C579, 8)
)</f>
        <v>INV06857</v>
      </c>
      <c r="G579" s="541" t="str" cm="1">
        <f t="array" ref="G579">IF(E579="Import",
  IFERROR(
    _xlfn.IFS(
      VLOOKUP(B579,[1]Material!F$5:U$90000,16,0)="LUC","Lucid",
      VLOOKUP(B579,[1]Material!F$5:U$90000,16,0)="FMC","FORD",
      OR(VLOOKUP(B579,[1]Material!F$5:U$90000,16,0)="PUR",VLOOKUP(B579,[1]Material!F$5:U$90000,16,0)="HLO"),"PURE",
      VLOOKUP(B579,[1]Material!F$5:U$90000,16,0)="AIC","AIC",
      OR(VLOOKUP(B579,[1]Material!F$5:U$90000,16,0)="AGI",VLOOKUP(B579,[1]Material!F$5:U$90000,16,0)="AGIGA"),"AGIGA",
      OR(LEFT(VLOOKUP(B579,[1]Material!F$5:U$90000,16,0),3)="EF-",VLOOKUP(B579,[1]Material!F$5:U$90000,16,0)="EFI"),"EFI",
      AND(ISNUMBER(VLOOKUP(B579,[1]Material!F$5:U$90000,16,0)),VLOOKUP(B579,[1]Material!F$5:U$90000,16,0)&gt;=100,VLOOKUP(B579,[1]Material!F$5:U$90000,16,0)&lt;=999,VLOOKUP(B579,[1]Material!F$5:U$90000,16,0)=INT(VLOOKUP(B579,[1]Material!F$5:U$90000,16,0))),"OEM",
      TRUE,""
    ),
    "không tìm thấy trong file Import"
  ),
  VLOOKUP(F579,'[2]Export shipment'!B:Y,24,0)
)</f>
        <v>Lucid</v>
      </c>
      <c r="H579" s="184" t="str">
        <f>VLOOKUP(F579,'[2]Export shipment'!B$8:AA$9479,26,)</f>
        <v>x</v>
      </c>
      <c r="I579" s="184" t="str">
        <f>VLOOKUP(F579,'[2]Export shipment'!B$8:Z$9479,25,'[2]Export shipment'!$S$460)</f>
        <v>x</v>
      </c>
      <c r="J579" s="260">
        <f>(V579+X579+AA579)/'Logistics record '!$AD$1</f>
        <v>15.116015418335726</v>
      </c>
      <c r="K579" s="260">
        <f>W579/'Logistics record '!$AD$1</f>
        <v>0</v>
      </c>
      <c r="L579" s="260">
        <f>Y579/'Logistics record '!$AD$1</f>
        <v>0</v>
      </c>
      <c r="M579" s="260">
        <f>AF579/'Logistics record '!$AD$1</f>
        <v>0</v>
      </c>
      <c r="N579" s="260" t="str" cm="1">
        <f t="array" ref="N579">_xlfn.IFS(
    OR(UPPER(S579)="AIR", UPPER(S579)="CPN"), "AIR",
    UPPER(S579)="TC", "LOCAL",
    TRUE, "SEA"
)</f>
        <v>SEA</v>
      </c>
      <c r="O579" s="260">
        <f t="shared" si="36"/>
        <v>15.116015418335726</v>
      </c>
      <c r="P579" s="184" t="s">
        <v>935</v>
      </c>
      <c r="Q579" s="185">
        <v>308614119500</v>
      </c>
      <c r="R579" s="186">
        <v>46181</v>
      </c>
      <c r="S579" s="187" t="s">
        <v>1866</v>
      </c>
      <c r="T579" s="188">
        <v>3420</v>
      </c>
      <c r="U579" s="188"/>
      <c r="V579" s="189">
        <v>400000</v>
      </c>
      <c r="W579" s="190"/>
      <c r="X579" s="190"/>
      <c r="Y579" s="190"/>
      <c r="Z579" s="189">
        <f t="shared" si="48"/>
        <v>400000</v>
      </c>
      <c r="AA579" s="189">
        <v>0</v>
      </c>
      <c r="AB579" s="189">
        <f t="shared" si="41"/>
        <v>400000</v>
      </c>
      <c r="AC579" s="189"/>
      <c r="AD579" s="190"/>
      <c r="AE579" s="190"/>
      <c r="AF579" s="191">
        <f t="shared" si="50"/>
        <v>0</v>
      </c>
      <c r="AG579" s="190">
        <f t="shared" si="51"/>
        <v>400000</v>
      </c>
      <c r="AH579" s="190"/>
      <c r="AI579" s="192" t="str">
        <f>VLOOKUP(Q579,[3]Sheet1!B$11:G$1489,6,0)</f>
        <v>E42</v>
      </c>
      <c r="GK579" s="194"/>
      <c r="GL579" s="195"/>
      <c r="GM579" s="196"/>
      <c r="GN579" s="197"/>
      <c r="GO579" s="198"/>
      <c r="GP579" s="199"/>
      <c r="GQ579" s="200"/>
      <c r="GR579" s="201"/>
      <c r="GS579" s="60"/>
      <c r="GT579" s="202"/>
      <c r="GU579" s="202"/>
      <c r="GV579" s="202"/>
      <c r="GW579" s="202"/>
      <c r="GX579" s="203"/>
      <c r="HA579" s="194"/>
      <c r="HB579" s="195"/>
      <c r="HC579" s="196"/>
      <c r="HD579" s="197"/>
      <c r="HE579" s="198"/>
      <c r="HF579" s="199"/>
      <c r="HG579" s="200"/>
      <c r="HH579" s="201"/>
      <c r="HI579" s="60"/>
      <c r="HJ579" s="202"/>
      <c r="HK579" s="202"/>
      <c r="HL579" s="202"/>
      <c r="HM579" s="202"/>
      <c r="HN579" s="203"/>
    </row>
    <row r="580" spans="1:222" ht="16.5" customHeight="1">
      <c r="A580" s="181">
        <v>577</v>
      </c>
      <c r="B580" s="182" t="s">
        <v>7</v>
      </c>
      <c r="C580" s="183" t="s">
        <v>2977</v>
      </c>
      <c r="D580" s="184" t="s">
        <v>1036</v>
      </c>
      <c r="E580" s="184" t="str">
        <f t="shared" si="49"/>
        <v>Export</v>
      </c>
      <c r="F580" s="720" t="str" cm="1">
        <f t="array" ref="F580">_xlfn.IFS(
  OR(AI580="E11", AI580="E15"), "Raw materials",
  OR(AI580="E13", AI580="G13"), "Equipments + Toolings",
  TRUE, RIGHT(C580, 8)
)</f>
        <v>INV06865</v>
      </c>
      <c r="G580" s="541" t="str" cm="1">
        <f t="array" ref="G580">IF(E580="Import",
  IFERROR(
    _xlfn.IFS(
      VLOOKUP(B580,[1]Material!F$5:U$90000,16,0)="LUC","Lucid",
      VLOOKUP(B580,[1]Material!F$5:U$90000,16,0)="FMC","FORD",
      OR(VLOOKUP(B580,[1]Material!F$5:U$90000,16,0)="PUR",VLOOKUP(B580,[1]Material!F$5:U$90000,16,0)="HLO"),"PURE",
      VLOOKUP(B580,[1]Material!F$5:U$90000,16,0)="AIC","AIC",
      OR(VLOOKUP(B580,[1]Material!F$5:U$90000,16,0)="AGI",VLOOKUP(B580,[1]Material!F$5:U$90000,16,0)="AGIGA"),"AGIGA",
      OR(LEFT(VLOOKUP(B580,[1]Material!F$5:U$90000,16,0),3)="EF-",VLOOKUP(B580,[1]Material!F$5:U$90000,16,0)="EFI"),"EFI",
      AND(ISNUMBER(VLOOKUP(B580,[1]Material!F$5:U$90000,16,0)),VLOOKUP(B580,[1]Material!F$5:U$90000,16,0)&gt;=100,VLOOKUP(B580,[1]Material!F$5:U$90000,16,0)&lt;=999,VLOOKUP(B580,[1]Material!F$5:U$90000,16,0)=INT(VLOOKUP(B580,[1]Material!F$5:U$90000,16,0))),"OEM",
      TRUE,""
    ),
    "không tìm thấy trong file Import"
  ),
  VLOOKUP(F580,'[2]Export shipment'!B:Y,24,0)
)</f>
        <v>PURE</v>
      </c>
      <c r="H580" s="184" t="str">
        <f>VLOOKUP(F580,'[2]Export shipment'!B$8:AA$9479,26,)</f>
        <v>x</v>
      </c>
      <c r="I580" s="184" t="str">
        <f>VLOOKUP(F580,'[2]Export shipment'!B$8:Z$9479,25,'[2]Export shipment'!$S$460)</f>
        <v>x</v>
      </c>
      <c r="J580" s="260">
        <f>(V580+X580+AA580)/'Logistics record '!$AD$1</f>
        <v>15.116015418335726</v>
      </c>
      <c r="K580" s="260">
        <f>W580/'Logistics record '!$AD$1</f>
        <v>0</v>
      </c>
      <c r="L580" s="260">
        <f>Y580/'Logistics record '!$AD$1</f>
        <v>0</v>
      </c>
      <c r="M580" s="260">
        <f>AF580/'Logistics record '!$AD$1</f>
        <v>0</v>
      </c>
      <c r="N580" s="260" t="str" cm="1">
        <f t="array" ref="N580">_xlfn.IFS(
    OR(UPPER(S580)="AIR", UPPER(S580)="CPN"), "AIR",
    UPPER(S580)="TC", "LOCAL",
    TRUE, "SEA"
)</f>
        <v>AIR</v>
      </c>
      <c r="O580" s="260">
        <f t="shared" si="36"/>
        <v>15.116015418335726</v>
      </c>
      <c r="P580" s="184" t="s">
        <v>946</v>
      </c>
      <c r="Q580" s="185">
        <v>308614931350</v>
      </c>
      <c r="R580" s="186">
        <v>46181</v>
      </c>
      <c r="S580" s="187" t="s">
        <v>928</v>
      </c>
      <c r="T580" s="188">
        <v>207</v>
      </c>
      <c r="U580" s="188"/>
      <c r="V580" s="189">
        <v>400000</v>
      </c>
      <c r="W580" s="190"/>
      <c r="X580" s="190"/>
      <c r="Y580" s="190"/>
      <c r="Z580" s="189">
        <f t="shared" ref="Z580:Z603" si="52">SUM(V580:Y580)</f>
        <v>400000</v>
      </c>
      <c r="AA580" s="189">
        <v>0</v>
      </c>
      <c r="AB580" s="189">
        <f t="shared" si="41"/>
        <v>400000</v>
      </c>
      <c r="AC580" s="189"/>
      <c r="AD580" s="190"/>
      <c r="AE580" s="190"/>
      <c r="AF580" s="191">
        <f t="shared" si="50"/>
        <v>0</v>
      </c>
      <c r="AG580" s="190">
        <f t="shared" si="51"/>
        <v>400000</v>
      </c>
      <c r="AH580" s="190"/>
      <c r="AI580" s="192" t="str">
        <f>VLOOKUP(Q580,[3]Sheet1!B$11:G$1489,6,0)</f>
        <v>E42</v>
      </c>
      <c r="GK580" s="194"/>
      <c r="GL580" s="195"/>
      <c r="GM580" s="196"/>
      <c r="GN580" s="197"/>
      <c r="GO580" s="198"/>
      <c r="GP580" s="199"/>
      <c r="GQ580" s="200"/>
      <c r="GR580" s="201"/>
      <c r="GS580" s="60"/>
      <c r="GT580" s="202"/>
      <c r="GU580" s="202"/>
      <c r="GV580" s="202"/>
      <c r="GW580" s="202"/>
      <c r="GX580" s="203"/>
      <c r="HA580" s="194"/>
      <c r="HB580" s="195"/>
      <c r="HC580" s="196"/>
      <c r="HD580" s="197"/>
      <c r="HE580" s="198"/>
      <c r="HF580" s="199"/>
      <c r="HG580" s="200"/>
      <c r="HH580" s="201"/>
      <c r="HI580" s="60"/>
      <c r="HJ580" s="202"/>
      <c r="HK580" s="202"/>
      <c r="HL580" s="202"/>
      <c r="HM580" s="202"/>
      <c r="HN580" s="203"/>
    </row>
    <row r="581" spans="1:222" ht="16.5" customHeight="1">
      <c r="A581" s="181">
        <v>578</v>
      </c>
      <c r="B581" s="182" t="s">
        <v>7</v>
      </c>
      <c r="C581" s="183" t="s">
        <v>2978</v>
      </c>
      <c r="D581" s="184" t="s">
        <v>1023</v>
      </c>
      <c r="E581" s="184" t="str">
        <f t="shared" ref="E581:E602" si="53">IF(OR(AI581="E11", AI581="E13", AI581="E15", AI581="G13"), "Import", "Export")</f>
        <v>Export</v>
      </c>
      <c r="F581" s="720" t="str" cm="1">
        <f t="array" ref="F581">_xlfn.IFS(
  OR(AI581="E11", AI581="E15"), "Raw materials",
  OR(AI581="E13", AI581="G13"), "Equipments + Toolings",
  TRUE, RIGHT(C581, 8)
)</f>
        <v>INV06859</v>
      </c>
      <c r="G581" s="541" t="str" cm="1">
        <f t="array" ref="G581">IF(E581="Import",
  IFERROR(
    _xlfn.IFS(
      VLOOKUP(B581,[1]Material!F$5:U$90000,16,0)="LUC","Lucid",
      VLOOKUP(B581,[1]Material!F$5:U$90000,16,0)="FMC","FORD",
      OR(VLOOKUP(B581,[1]Material!F$5:U$90000,16,0)="PUR",VLOOKUP(B581,[1]Material!F$5:U$90000,16,0)="HLO"),"PURE",
      VLOOKUP(B581,[1]Material!F$5:U$90000,16,0)="AIC","AIC",
      OR(VLOOKUP(B581,[1]Material!F$5:U$90000,16,0)="AGI",VLOOKUP(B581,[1]Material!F$5:U$90000,16,0)="AGIGA"),"AGIGA",
      OR(LEFT(VLOOKUP(B581,[1]Material!F$5:U$90000,16,0),3)="EF-",VLOOKUP(B581,[1]Material!F$5:U$90000,16,0)="EFI"),"EFI",
      AND(ISNUMBER(VLOOKUP(B581,[1]Material!F$5:U$90000,16,0)),VLOOKUP(B581,[1]Material!F$5:U$90000,16,0)&gt;=100,VLOOKUP(B581,[1]Material!F$5:U$90000,16,0)&lt;=999,VLOOKUP(B581,[1]Material!F$5:U$90000,16,0)=INT(VLOOKUP(B581,[1]Material!F$5:U$90000,16,0))),"OEM",
      TRUE,""
    ),
    "không tìm thấy trong file Import"
  ),
  VLOOKUP(F581,'[2]Export shipment'!B:Y,24,0)
)</f>
        <v>Lucid</v>
      </c>
      <c r="H581" s="184" t="str">
        <f>VLOOKUP(F581,'[2]Export shipment'!B$8:AA$9479,26,)</f>
        <v>x</v>
      </c>
      <c r="I581" s="184" t="str">
        <f>VLOOKUP(F581,'[2]Export shipment'!B$8:Z$9479,25,'[2]Export shipment'!$S$460)</f>
        <v>x</v>
      </c>
      <c r="J581" s="260">
        <f>(V581+X581+AA581)/'Logistics record '!$AD$1</f>
        <v>15.116015418335726</v>
      </c>
      <c r="K581" s="260">
        <f>W581/'Logistics record '!$AD$1</f>
        <v>0</v>
      </c>
      <c r="L581" s="260">
        <f>Y581/'Logistics record '!$AD$1</f>
        <v>0</v>
      </c>
      <c r="M581" s="260">
        <f>AF581/'Logistics record '!$AD$1</f>
        <v>0</v>
      </c>
      <c r="N581" s="260" t="str" cm="1">
        <f t="array" ref="N581">_xlfn.IFS(
    OR(UPPER(S581)="AIR", UPPER(S581)="CPN"), "AIR",
    UPPER(S581)="TC", "LOCAL",
    TRUE, "SEA"
)</f>
        <v>AIR</v>
      </c>
      <c r="O581" s="260">
        <f t="shared" si="36"/>
        <v>15.116015418335726</v>
      </c>
      <c r="P581" s="184" t="s">
        <v>959</v>
      </c>
      <c r="Q581" s="185">
        <v>308618679410</v>
      </c>
      <c r="R581" s="186">
        <v>46183</v>
      </c>
      <c r="S581" s="187" t="s">
        <v>65</v>
      </c>
      <c r="T581" s="188">
        <v>688.8</v>
      </c>
      <c r="U581" s="188"/>
      <c r="V581" s="189">
        <v>400000</v>
      </c>
      <c r="W581" s="190"/>
      <c r="X581" s="190"/>
      <c r="Y581" s="190"/>
      <c r="Z581" s="189">
        <f t="shared" si="52"/>
        <v>400000</v>
      </c>
      <c r="AA581" s="189">
        <v>0</v>
      </c>
      <c r="AB581" s="189">
        <f t="shared" si="41"/>
        <v>400000</v>
      </c>
      <c r="AC581" s="189"/>
      <c r="AD581" s="190"/>
      <c r="AE581" s="190"/>
      <c r="AF581" s="191">
        <f t="shared" si="50"/>
        <v>0</v>
      </c>
      <c r="AG581" s="190">
        <f t="shared" si="51"/>
        <v>400000</v>
      </c>
      <c r="AH581" s="190"/>
      <c r="AI581" s="192" t="str">
        <f>VLOOKUP(Q581,[3]Sheet1!B$11:G$1489,6,0)</f>
        <v>E42</v>
      </c>
      <c r="GK581" s="194"/>
      <c r="GL581" s="195"/>
      <c r="GM581" s="196"/>
      <c r="GN581" s="197"/>
      <c r="GO581" s="198"/>
      <c r="GP581" s="199"/>
      <c r="GQ581" s="200"/>
      <c r="GR581" s="201"/>
      <c r="GS581" s="60"/>
      <c r="GT581" s="202"/>
      <c r="GU581" s="202"/>
      <c r="GV581" s="202"/>
      <c r="GW581" s="202"/>
      <c r="GX581" s="203"/>
      <c r="HA581" s="194"/>
      <c r="HB581" s="195"/>
      <c r="HC581" s="196"/>
      <c r="HD581" s="197"/>
      <c r="HE581" s="198"/>
      <c r="HF581" s="199"/>
      <c r="HG581" s="200"/>
      <c r="HH581" s="201"/>
      <c r="HI581" s="60"/>
      <c r="HJ581" s="202"/>
      <c r="HK581" s="202"/>
      <c r="HL581" s="202"/>
      <c r="HM581" s="202"/>
      <c r="HN581" s="203"/>
    </row>
    <row r="582" spans="1:222" ht="16.5" customHeight="1">
      <c r="A582" s="181">
        <v>579</v>
      </c>
      <c r="B582" s="182" t="s">
        <v>7</v>
      </c>
      <c r="C582" s="183" t="s">
        <v>2979</v>
      </c>
      <c r="D582" s="184" t="s">
        <v>82</v>
      </c>
      <c r="E582" s="184" t="str">
        <f t="shared" si="53"/>
        <v>Export</v>
      </c>
      <c r="F582" s="720" t="str" cm="1">
        <f t="array" ref="F582">_xlfn.IFS(
  OR(AI582="E11", AI582="E15"), "Raw materials",
  OR(AI582="E13", AI582="G13"), "Equipments + Toolings",
  TRUE, RIGHT(C582, 8)
)</f>
        <v>INV06868</v>
      </c>
      <c r="G582" s="541" t="str" cm="1">
        <f t="array" ref="G582">IF(E582="Import",
  IFERROR(
    _xlfn.IFS(
      VLOOKUP(B582,[1]Material!F$5:U$90000,16,0)="LUC","Lucid",
      VLOOKUP(B582,[1]Material!F$5:U$90000,16,0)="FMC","FORD",
      OR(VLOOKUP(B582,[1]Material!F$5:U$90000,16,0)="PUR",VLOOKUP(B582,[1]Material!F$5:U$90000,16,0)="HLO"),"PURE",
      VLOOKUP(B582,[1]Material!F$5:U$90000,16,0)="AIC","AIC",
      OR(VLOOKUP(B582,[1]Material!F$5:U$90000,16,0)="AGI",VLOOKUP(B582,[1]Material!F$5:U$90000,16,0)="AGIGA"),"AGIGA",
      OR(LEFT(VLOOKUP(B582,[1]Material!F$5:U$90000,16,0),3)="EF-",VLOOKUP(B582,[1]Material!F$5:U$90000,16,0)="EFI"),"EFI",
      AND(ISNUMBER(VLOOKUP(B582,[1]Material!F$5:U$90000,16,0)),VLOOKUP(B582,[1]Material!F$5:U$90000,16,0)&gt;=100,VLOOKUP(B582,[1]Material!F$5:U$90000,16,0)&lt;=999,VLOOKUP(B582,[1]Material!F$5:U$90000,16,0)=INT(VLOOKUP(B582,[1]Material!F$5:U$90000,16,0))),"OEM",
      TRUE,""
    ),
    "không tìm thấy trong file Import"
  ),
  VLOOKUP(F582,'[2]Export shipment'!B:Y,24,0)
)</f>
        <v>EFI</v>
      </c>
      <c r="H582" s="184" t="str">
        <f>VLOOKUP(F582,'[2]Export shipment'!B$8:AA$9479,26,)</f>
        <v>x</v>
      </c>
      <c r="I582" s="184" t="str">
        <f>VLOOKUP(F582,'[2]Export shipment'!B$8:Z$9479,25,'[2]Export shipment'!$S$460)</f>
        <v>x</v>
      </c>
      <c r="J582" s="260">
        <f>(V582+X582+AA582)/'Logistics record '!$AD$1</f>
        <v>15.116015418335726</v>
      </c>
      <c r="K582" s="260">
        <f>W582/'Logistics record '!$AD$1</f>
        <v>0</v>
      </c>
      <c r="L582" s="260">
        <f>Y582/'Logistics record '!$AD$1</f>
        <v>0</v>
      </c>
      <c r="M582" s="260">
        <f>AF582/'Logistics record '!$AD$1</f>
        <v>0</v>
      </c>
      <c r="N582" s="260" t="str" cm="1">
        <f t="array" ref="N582">_xlfn.IFS(
    OR(UPPER(S582)="AIR", UPPER(S582)="CPN"), "AIR",
    UPPER(S582)="TC", "LOCAL",
    TRUE, "SEA"
)</f>
        <v>AIR</v>
      </c>
      <c r="O582" s="260">
        <f t="shared" si="36"/>
        <v>15.116015418335726</v>
      </c>
      <c r="P582" s="184" t="s">
        <v>935</v>
      </c>
      <c r="Q582" s="185">
        <v>308622713730</v>
      </c>
      <c r="R582" s="186">
        <v>46183</v>
      </c>
      <c r="S582" s="187" t="s">
        <v>928</v>
      </c>
      <c r="T582" s="188">
        <v>8.5</v>
      </c>
      <c r="U582" s="188"/>
      <c r="V582" s="189">
        <v>400000</v>
      </c>
      <c r="W582" s="190"/>
      <c r="X582" s="190"/>
      <c r="Y582" s="190"/>
      <c r="Z582" s="189">
        <f t="shared" si="52"/>
        <v>400000</v>
      </c>
      <c r="AA582" s="189">
        <v>0</v>
      </c>
      <c r="AB582" s="189">
        <f t="shared" si="41"/>
        <v>400000</v>
      </c>
      <c r="AC582" s="189"/>
      <c r="AD582" s="190"/>
      <c r="AE582" s="190"/>
      <c r="AF582" s="191">
        <f t="shared" si="50"/>
        <v>0</v>
      </c>
      <c r="AG582" s="190">
        <f t="shared" si="51"/>
        <v>400000</v>
      </c>
      <c r="AH582" s="190"/>
      <c r="AI582" s="192" t="str">
        <f>VLOOKUP(Q582,[3]Sheet1!B$11:G$1489,6,0)</f>
        <v>E42</v>
      </c>
      <c r="GK582" s="194"/>
      <c r="GL582" s="195"/>
      <c r="GM582" s="196"/>
      <c r="GN582" s="197"/>
      <c r="GO582" s="198"/>
      <c r="GP582" s="199"/>
      <c r="GQ582" s="200"/>
      <c r="GR582" s="201"/>
      <c r="GS582" s="60"/>
      <c r="GT582" s="202"/>
      <c r="GU582" s="202"/>
      <c r="GV582" s="202"/>
      <c r="GW582" s="202"/>
      <c r="GX582" s="203"/>
      <c r="HA582" s="194"/>
      <c r="HB582" s="195"/>
      <c r="HC582" s="196"/>
      <c r="HD582" s="197"/>
      <c r="HE582" s="198"/>
      <c r="HF582" s="199"/>
      <c r="HG582" s="200"/>
      <c r="HH582" s="201"/>
      <c r="HI582" s="60"/>
      <c r="HJ582" s="202"/>
      <c r="HK582" s="202"/>
      <c r="HL582" s="202"/>
      <c r="HM582" s="202"/>
      <c r="HN582" s="203"/>
    </row>
    <row r="583" spans="1:222" ht="16.5" customHeight="1">
      <c r="A583" s="181">
        <v>580</v>
      </c>
      <c r="B583" s="182" t="s">
        <v>7</v>
      </c>
      <c r="C583" s="183" t="s">
        <v>2980</v>
      </c>
      <c r="D583" s="184" t="s">
        <v>2143</v>
      </c>
      <c r="E583" s="184" t="str">
        <f t="shared" si="53"/>
        <v>Export</v>
      </c>
      <c r="F583" s="720" t="str" cm="1">
        <f t="array" ref="F583">_xlfn.IFS(
  OR(AI583="E11", AI583="E15"), "Raw materials",
  OR(AI583="E13", AI583="G13"), "Equipments + Toolings",
  TRUE, RIGHT(C583, 8)
)</f>
        <v>INV06869</v>
      </c>
      <c r="G583" s="541" t="str" cm="1">
        <f t="array" ref="G583">IF(E583="Import",
  IFERROR(
    _xlfn.IFS(
      VLOOKUP(B583,[1]Material!F$5:U$90000,16,0)="LUC","Lucid",
      VLOOKUP(B583,[1]Material!F$5:U$90000,16,0)="FMC","FORD",
      OR(VLOOKUP(B583,[1]Material!F$5:U$90000,16,0)="PUR",VLOOKUP(B583,[1]Material!F$5:U$90000,16,0)="HLO"),"PURE",
      VLOOKUP(B583,[1]Material!F$5:U$90000,16,0)="AIC","AIC",
      OR(VLOOKUP(B583,[1]Material!F$5:U$90000,16,0)="AGI",VLOOKUP(B583,[1]Material!F$5:U$90000,16,0)="AGIGA"),"AGIGA",
      OR(LEFT(VLOOKUP(B583,[1]Material!F$5:U$90000,16,0),3)="EF-",VLOOKUP(B583,[1]Material!F$5:U$90000,16,0)="EFI"),"EFI",
      AND(ISNUMBER(VLOOKUP(B583,[1]Material!F$5:U$90000,16,0)),VLOOKUP(B583,[1]Material!F$5:U$90000,16,0)&gt;=100,VLOOKUP(B583,[1]Material!F$5:U$90000,16,0)&lt;=999,VLOOKUP(B583,[1]Material!F$5:U$90000,16,0)=INT(VLOOKUP(B583,[1]Material!F$5:U$90000,16,0))),"OEM",
      TRUE,""
    ),
    "không tìm thấy trong file Import"
  ),
  VLOOKUP(F583,'[2]Export shipment'!B:Y,24,0)
)</f>
        <v>OEM</v>
      </c>
      <c r="H583" s="184" t="str">
        <f>VLOOKUP(F583,'[2]Export shipment'!B$8:AA$9479,26,)</f>
        <v>x</v>
      </c>
      <c r="I583" s="184" t="str">
        <f>VLOOKUP(F583,'[2]Export shipment'!B$8:Z$9479,25,'[2]Export shipment'!$S$460)</f>
        <v>RMA</v>
      </c>
      <c r="J583" s="260">
        <f>(V583+X583+AA583)/'Logistics record '!$AD$1</f>
        <v>24.563525054795555</v>
      </c>
      <c r="K583" s="260">
        <f>W583/'Logistics record '!$AD$1</f>
        <v>22.674023127503592</v>
      </c>
      <c r="L583" s="260">
        <f>Y583/'Logistics record '!$AD$1</f>
        <v>0</v>
      </c>
      <c r="M583" s="260">
        <f>AF583/'Logistics record '!$AD$1</f>
        <v>0</v>
      </c>
      <c r="N583" s="260" t="str" cm="1">
        <f t="array" ref="N583">_xlfn.IFS(
    OR(UPPER(S583)="AIR", UPPER(S583)="CPN"), "AIR",
    UPPER(S583)="TC", "LOCAL",
    TRUE, "SEA"
)</f>
        <v>AIR</v>
      </c>
      <c r="O583" s="260">
        <f t="shared" si="36"/>
        <v>47.23754818229915</v>
      </c>
      <c r="P583" s="184" t="s">
        <v>932</v>
      </c>
      <c r="Q583" s="185">
        <v>308625059801</v>
      </c>
      <c r="R583" s="186">
        <v>46183</v>
      </c>
      <c r="S583" s="187" t="s">
        <v>928</v>
      </c>
      <c r="T583" s="188">
        <v>1.6</v>
      </c>
      <c r="U583" s="188"/>
      <c r="V583" s="189">
        <v>400000</v>
      </c>
      <c r="W583" s="190">
        <v>600000</v>
      </c>
      <c r="X583" s="190">
        <v>250000</v>
      </c>
      <c r="Y583" s="190"/>
      <c r="Z583" s="189">
        <f t="shared" si="52"/>
        <v>1250000</v>
      </c>
      <c r="AA583" s="189">
        <v>0</v>
      </c>
      <c r="AB583" s="189">
        <f t="shared" si="41"/>
        <v>1250000</v>
      </c>
      <c r="AC583" s="189"/>
      <c r="AD583" s="190"/>
      <c r="AE583" s="190"/>
      <c r="AF583" s="191">
        <f t="shared" si="50"/>
        <v>0</v>
      </c>
      <c r="AG583" s="190">
        <f t="shared" si="51"/>
        <v>1250000</v>
      </c>
      <c r="AH583" s="190"/>
      <c r="AI583" s="192" t="str">
        <f>VLOOKUP(Q583,[3]Sheet1!B$11:G$1489,6,0)</f>
        <v>G23</v>
      </c>
      <c r="GK583" s="194"/>
      <c r="GL583" s="195"/>
      <c r="GM583" s="196"/>
      <c r="GN583" s="197"/>
      <c r="GO583" s="198"/>
      <c r="GP583" s="199"/>
      <c r="GQ583" s="200"/>
      <c r="GR583" s="201"/>
      <c r="GS583" s="60"/>
      <c r="GT583" s="202"/>
      <c r="GU583" s="202"/>
      <c r="GV583" s="202"/>
      <c r="GW583" s="202"/>
      <c r="GX583" s="203"/>
      <c r="HA583" s="194"/>
      <c r="HB583" s="195"/>
      <c r="HC583" s="196"/>
      <c r="HD583" s="197"/>
      <c r="HE583" s="198"/>
      <c r="HF583" s="199"/>
      <c r="HG583" s="200"/>
      <c r="HH583" s="201"/>
      <c r="HI583" s="60"/>
      <c r="HJ583" s="202"/>
      <c r="HK583" s="202"/>
      <c r="HL583" s="202"/>
      <c r="HM583" s="202"/>
      <c r="HN583" s="203"/>
    </row>
    <row r="584" spans="1:222" ht="16.5" customHeight="1">
      <c r="A584" s="181">
        <v>581</v>
      </c>
      <c r="B584" s="182" t="s">
        <v>7</v>
      </c>
      <c r="C584" s="183" t="s">
        <v>2981</v>
      </c>
      <c r="D584" s="184" t="s">
        <v>997</v>
      </c>
      <c r="E584" s="184" t="str">
        <f t="shared" si="53"/>
        <v>Export</v>
      </c>
      <c r="F584" s="720" t="str" cm="1">
        <f t="array" ref="F584">_xlfn.IFS(
  OR(AI584="E11", AI584="E15"), "Raw materials",
  OR(AI584="E13", AI584="G13"), "Equipments + Toolings",
  TRUE, RIGHT(C584, 8)
)</f>
        <v>INV06866</v>
      </c>
      <c r="G584" s="541" t="str" cm="1">
        <f t="array" ref="G584">IF(E584="Import",
  IFERROR(
    _xlfn.IFS(
      VLOOKUP(B584,[1]Material!F$5:U$90000,16,0)="LUC","Lucid",
      VLOOKUP(B584,[1]Material!F$5:U$90000,16,0)="FMC","FORD",
      OR(VLOOKUP(B584,[1]Material!F$5:U$90000,16,0)="PUR",VLOOKUP(B584,[1]Material!F$5:U$90000,16,0)="HLO"),"PURE",
      VLOOKUP(B584,[1]Material!F$5:U$90000,16,0)="AIC","AIC",
      OR(VLOOKUP(B584,[1]Material!F$5:U$90000,16,0)="AGI",VLOOKUP(B584,[1]Material!F$5:U$90000,16,0)="AGIGA"),"AGIGA",
      OR(LEFT(VLOOKUP(B584,[1]Material!F$5:U$90000,16,0),3)="EF-",VLOOKUP(B584,[1]Material!F$5:U$90000,16,0)="EFI"),"EFI",
      AND(ISNUMBER(VLOOKUP(B584,[1]Material!F$5:U$90000,16,0)),VLOOKUP(B584,[1]Material!F$5:U$90000,16,0)&gt;=100,VLOOKUP(B584,[1]Material!F$5:U$90000,16,0)&lt;=999,VLOOKUP(B584,[1]Material!F$5:U$90000,16,0)=INT(VLOOKUP(B584,[1]Material!F$5:U$90000,16,0))),"OEM",
      TRUE,""
    ),
    "không tìm thấy trong file Import"
  ),
  VLOOKUP(F584,'[2]Export shipment'!B:Y,24,0)
)</f>
        <v>Lucid</v>
      </c>
      <c r="H584" s="184" t="str">
        <f>VLOOKUP(F584,'[2]Export shipment'!B$8:AA$9479,26,)</f>
        <v>x</v>
      </c>
      <c r="I584" s="184" t="str">
        <f>VLOOKUP(F584,'[2]Export shipment'!B$8:Z$9479,25,'[2]Export shipment'!$S$460)</f>
        <v>x</v>
      </c>
      <c r="J584" s="260">
        <f>(V584+X584+AA584)/'Logistics record '!$AD$1</f>
        <v>15.116015418335726</v>
      </c>
      <c r="K584" s="260">
        <f>W584/'Logistics record '!$AD$1</f>
        <v>0</v>
      </c>
      <c r="L584" s="260">
        <f>Y584/'Logistics record '!$AD$1</f>
        <v>0</v>
      </c>
      <c r="M584" s="260">
        <f>AF584/'Logistics record '!$AD$1</f>
        <v>0</v>
      </c>
      <c r="N584" s="260" t="str" cm="1">
        <f t="array" ref="N584">_xlfn.IFS(
    OR(UPPER(S584)="AIR", UPPER(S584)="CPN"), "AIR",
    UPPER(S584)="TC", "LOCAL",
    TRUE, "SEA"
)</f>
        <v>AIR</v>
      </c>
      <c r="O584" s="260">
        <f t="shared" si="36"/>
        <v>15.116015418335726</v>
      </c>
      <c r="P584" s="184" t="s">
        <v>935</v>
      </c>
      <c r="Q584" s="185">
        <v>308625301260</v>
      </c>
      <c r="R584" s="186">
        <v>46184</v>
      </c>
      <c r="S584" s="187" t="s">
        <v>65</v>
      </c>
      <c r="T584" s="188">
        <v>1590</v>
      </c>
      <c r="U584" s="188"/>
      <c r="V584" s="189">
        <v>400000</v>
      </c>
      <c r="W584" s="190"/>
      <c r="X584" s="190"/>
      <c r="Y584" s="190"/>
      <c r="Z584" s="189">
        <f t="shared" si="52"/>
        <v>400000</v>
      </c>
      <c r="AA584" s="189">
        <v>0</v>
      </c>
      <c r="AB584" s="189">
        <f t="shared" si="41"/>
        <v>400000</v>
      </c>
      <c r="AC584" s="189"/>
      <c r="AD584" s="190"/>
      <c r="AE584" s="190"/>
      <c r="AF584" s="191">
        <f t="shared" si="50"/>
        <v>0</v>
      </c>
      <c r="AG584" s="190">
        <f t="shared" si="51"/>
        <v>400000</v>
      </c>
      <c r="AH584" s="190"/>
      <c r="AI584" s="192" t="str">
        <f>VLOOKUP(Q584,[3]Sheet1!B$11:G$1489,6,0)</f>
        <v>E42</v>
      </c>
      <c r="GK584" s="194"/>
      <c r="GL584" s="195"/>
      <c r="GM584" s="196"/>
      <c r="GN584" s="197"/>
      <c r="GO584" s="198"/>
      <c r="GP584" s="199"/>
      <c r="GQ584" s="200"/>
      <c r="GR584" s="201"/>
      <c r="GS584" s="60"/>
      <c r="GT584" s="202"/>
      <c r="GU584" s="202"/>
      <c r="GV584" s="202"/>
      <c r="GW584" s="202"/>
      <c r="GX584" s="203"/>
      <c r="HA584" s="194"/>
      <c r="HB584" s="195"/>
      <c r="HC584" s="196"/>
      <c r="HD584" s="197"/>
      <c r="HE584" s="198"/>
      <c r="HF584" s="199"/>
      <c r="HG584" s="200"/>
      <c r="HH584" s="201"/>
      <c r="HI584" s="60"/>
      <c r="HJ584" s="202"/>
      <c r="HK584" s="202"/>
      <c r="HL584" s="202"/>
      <c r="HM584" s="202"/>
      <c r="HN584" s="203"/>
    </row>
    <row r="585" spans="1:222" ht="16.5" customHeight="1">
      <c r="A585" s="181">
        <v>582</v>
      </c>
      <c r="B585" s="182" t="s">
        <v>7</v>
      </c>
      <c r="C585" s="183" t="s">
        <v>2982</v>
      </c>
      <c r="D585" s="184" t="s">
        <v>997</v>
      </c>
      <c r="E585" s="184" t="str">
        <f t="shared" si="53"/>
        <v>Export</v>
      </c>
      <c r="F585" s="720" t="str" cm="1">
        <f t="array" ref="F585">_xlfn.IFS(
  OR(AI585="E11", AI585="E15"), "Raw materials",
  OR(AI585="E13", AI585="G13"), "Equipments + Toolings",
  TRUE, RIGHT(C585, 8)
)</f>
        <v>INV06870</v>
      </c>
      <c r="G585" s="541" t="str" cm="1">
        <f t="array" ref="G585">IF(E585="Import",
  IFERROR(
    _xlfn.IFS(
      VLOOKUP(B585,[1]Material!F$5:U$90000,16,0)="LUC","Lucid",
      VLOOKUP(B585,[1]Material!F$5:U$90000,16,0)="FMC","FORD",
      OR(VLOOKUP(B585,[1]Material!F$5:U$90000,16,0)="PUR",VLOOKUP(B585,[1]Material!F$5:U$90000,16,0)="HLO"),"PURE",
      VLOOKUP(B585,[1]Material!F$5:U$90000,16,0)="AIC","AIC",
      OR(VLOOKUP(B585,[1]Material!F$5:U$90000,16,0)="AGI",VLOOKUP(B585,[1]Material!F$5:U$90000,16,0)="AGIGA"),"AGIGA",
      OR(LEFT(VLOOKUP(B585,[1]Material!F$5:U$90000,16,0),3)="EF-",VLOOKUP(B585,[1]Material!F$5:U$90000,16,0)="EFI"),"EFI",
      AND(ISNUMBER(VLOOKUP(B585,[1]Material!F$5:U$90000,16,0)),VLOOKUP(B585,[1]Material!F$5:U$90000,16,0)&gt;=100,VLOOKUP(B585,[1]Material!F$5:U$90000,16,0)&lt;=999,VLOOKUP(B585,[1]Material!F$5:U$90000,16,0)=INT(VLOOKUP(B585,[1]Material!F$5:U$90000,16,0))),"OEM",
      TRUE,""
    ),
    "không tìm thấy trong file Import"
  ),
  VLOOKUP(F585,'[2]Export shipment'!B:Y,24,0)
)</f>
        <v>Lucid</v>
      </c>
      <c r="H585" s="184" t="str">
        <f>VLOOKUP(F585,'[2]Export shipment'!B$8:AA$9479,26,)</f>
        <v>x</v>
      </c>
      <c r="I585" s="184" t="str">
        <f>VLOOKUP(F585,'[2]Export shipment'!B$8:Z$9479,25,'[2]Export shipment'!$S$460)</f>
        <v>x</v>
      </c>
      <c r="J585" s="260">
        <f>(V585+X585+AA585)/'Logistics record '!$AD$1</f>
        <v>15.116015418335726</v>
      </c>
      <c r="K585" s="260">
        <f>W585/'Logistics record '!$AD$1</f>
        <v>0</v>
      </c>
      <c r="L585" s="260">
        <f>Y585/'Logistics record '!$AD$1</f>
        <v>0</v>
      </c>
      <c r="M585" s="260">
        <f>AF585/'Logistics record '!$AD$1</f>
        <v>0</v>
      </c>
      <c r="N585" s="260" t="str" cm="1">
        <f t="array" ref="N585">_xlfn.IFS(
    OR(UPPER(S585)="AIR", UPPER(S585)="CPN"), "AIR",
    UPPER(S585)="TC", "LOCAL",
    TRUE, "SEA"
)</f>
        <v>SEA</v>
      </c>
      <c r="O585" s="260">
        <f t="shared" si="36"/>
        <v>15.116015418335726</v>
      </c>
      <c r="P585" s="184" t="s">
        <v>935</v>
      </c>
      <c r="Q585" s="185">
        <v>308627486700</v>
      </c>
      <c r="R585" s="186">
        <v>46184</v>
      </c>
      <c r="S585" s="187" t="s">
        <v>933</v>
      </c>
      <c r="T585" s="188">
        <v>1952.4</v>
      </c>
      <c r="U585" s="188"/>
      <c r="V585" s="189">
        <v>400000</v>
      </c>
      <c r="W585" s="190"/>
      <c r="X585" s="190"/>
      <c r="Y585" s="190"/>
      <c r="Z585" s="189">
        <f t="shared" si="52"/>
        <v>400000</v>
      </c>
      <c r="AA585" s="189">
        <v>0</v>
      </c>
      <c r="AB585" s="189">
        <f t="shared" si="41"/>
        <v>400000</v>
      </c>
      <c r="AC585" s="189"/>
      <c r="AD585" s="190"/>
      <c r="AE585" s="190"/>
      <c r="AF585" s="191">
        <f t="shared" si="50"/>
        <v>0</v>
      </c>
      <c r="AG585" s="190">
        <f t="shared" si="51"/>
        <v>400000</v>
      </c>
      <c r="AH585" s="190"/>
      <c r="AI585" s="192" t="str">
        <f>VLOOKUP(Q585,[3]Sheet1!B$11:G$1489,6,0)</f>
        <v>E42</v>
      </c>
      <c r="GK585" s="194"/>
      <c r="GL585" s="195"/>
      <c r="GM585" s="196"/>
      <c r="GN585" s="197"/>
      <c r="GO585" s="198"/>
      <c r="GP585" s="199"/>
      <c r="GQ585" s="200"/>
      <c r="GR585" s="201"/>
      <c r="GS585" s="60"/>
      <c r="GT585" s="202"/>
      <c r="GU585" s="202"/>
      <c r="GV585" s="202"/>
      <c r="GW585" s="202"/>
      <c r="GX585" s="203"/>
      <c r="HA585" s="194"/>
      <c r="HB585" s="195"/>
      <c r="HC585" s="196"/>
      <c r="HD585" s="197"/>
      <c r="HE585" s="198"/>
      <c r="HF585" s="199"/>
      <c r="HG585" s="200"/>
      <c r="HH585" s="201"/>
      <c r="HI585" s="60"/>
      <c r="HJ585" s="202"/>
      <c r="HK585" s="202"/>
      <c r="HL585" s="202"/>
      <c r="HM585" s="202"/>
      <c r="HN585" s="203"/>
    </row>
    <row r="586" spans="1:222" ht="16.5" customHeight="1">
      <c r="A586" s="181">
        <v>583</v>
      </c>
      <c r="B586" s="182" t="s">
        <v>7</v>
      </c>
      <c r="C586" s="183" t="s">
        <v>2983</v>
      </c>
      <c r="D586" s="184" t="s">
        <v>1559</v>
      </c>
      <c r="E586" s="184" t="str">
        <f t="shared" si="53"/>
        <v>Export</v>
      </c>
      <c r="F586" s="720" t="str" cm="1">
        <f t="array" ref="F586">_xlfn.IFS(
  OR(AI586="E11", AI586="E15"), "Raw materials",
  OR(AI586="E13", AI586="G13"), "Equipments + Toolings",
  TRUE, RIGHT(C586, 8)
)</f>
        <v>E01088</v>
      </c>
      <c r="G586" s="541" t="str" cm="1">
        <f t="array" ref="G586">IF(E586="Import",
  IFERROR(
    _xlfn.IFS(
      VLOOKUP(B586,[1]Material!F$5:U$90000,16,0)="LUC","Lucid",
      VLOOKUP(B586,[1]Material!F$5:U$90000,16,0)="FMC","FORD",
      OR(VLOOKUP(B586,[1]Material!F$5:U$90000,16,0)="PUR",VLOOKUP(B586,[1]Material!F$5:U$90000,16,0)="HLO"),"PURE",
      VLOOKUP(B586,[1]Material!F$5:U$90000,16,0)="AIC","AIC",
      OR(VLOOKUP(B586,[1]Material!F$5:U$90000,16,0)="AGI",VLOOKUP(B586,[1]Material!F$5:U$90000,16,0)="AGIGA"),"AGIGA",
      OR(LEFT(VLOOKUP(B586,[1]Material!F$5:U$90000,16,0),3)="EF-",VLOOKUP(B586,[1]Material!F$5:U$90000,16,0)="EFI"),"EFI",
      AND(ISNUMBER(VLOOKUP(B586,[1]Material!F$5:U$90000,16,0)),VLOOKUP(B586,[1]Material!F$5:U$90000,16,0)&gt;=100,VLOOKUP(B586,[1]Material!F$5:U$90000,16,0)&lt;=999,VLOOKUP(B586,[1]Material!F$5:U$90000,16,0)=INT(VLOOKUP(B586,[1]Material!F$5:U$90000,16,0))),"OEM",
      TRUE,""
    ),
    "không tìm thấy trong file Import"
  ),
  VLOOKUP(F586,'[2]Export shipment'!B:Y,24,0)
)</f>
        <v>Transfer</v>
      </c>
      <c r="H586" s="184" t="str">
        <f>VLOOKUP(F586,'[2]Export shipment'!B$8:AA$9479,26,)</f>
        <v>x</v>
      </c>
      <c r="I586" s="184" t="str">
        <f>VLOOKUP(F586,'[2]Export shipment'!B$8:Z$9479,25,'[2]Export shipment'!$S$460)</f>
        <v>Ship material</v>
      </c>
      <c r="J586" s="260">
        <f>(V586+X586+AA586)/'Logistics record '!$AD$1</f>
        <v>24.563525054795555</v>
      </c>
      <c r="K586" s="260">
        <f>W586/'Logistics record '!$AD$1</f>
        <v>22.674023127503592</v>
      </c>
      <c r="L586" s="260">
        <f>Y586/'Logistics record '!$AD$1</f>
        <v>0</v>
      </c>
      <c r="M586" s="260">
        <f>AF586/'Logistics record '!$AD$1</f>
        <v>0</v>
      </c>
      <c r="N586" s="260" t="str" cm="1">
        <f t="array" ref="N586">_xlfn.IFS(
    OR(UPPER(S586)="AIR", UPPER(S586)="CPN"), "AIR",
    UPPER(S586)="TC", "LOCAL",
    TRUE, "SEA"
)</f>
        <v>AIR</v>
      </c>
      <c r="O586" s="260">
        <f t="shared" si="36"/>
        <v>47.23754818229915</v>
      </c>
      <c r="P586" s="184" t="s">
        <v>939</v>
      </c>
      <c r="Q586" s="185">
        <v>308629080711</v>
      </c>
      <c r="R586" s="186">
        <v>46185</v>
      </c>
      <c r="S586" s="187" t="s">
        <v>928</v>
      </c>
      <c r="T586" s="188">
        <v>1.6</v>
      </c>
      <c r="U586" s="188"/>
      <c r="V586" s="189">
        <v>400000</v>
      </c>
      <c r="W586" s="190">
        <v>600000</v>
      </c>
      <c r="X586" s="190">
        <v>250000</v>
      </c>
      <c r="Y586" s="190"/>
      <c r="Z586" s="189">
        <f t="shared" si="52"/>
        <v>1250000</v>
      </c>
      <c r="AA586" s="189">
        <v>0</v>
      </c>
      <c r="AB586" s="189">
        <f t="shared" si="41"/>
        <v>1250000</v>
      </c>
      <c r="AC586" s="189"/>
      <c r="AD586" s="190"/>
      <c r="AE586" s="190"/>
      <c r="AF586" s="191">
        <f t="shared" si="50"/>
        <v>0</v>
      </c>
      <c r="AG586" s="190">
        <f t="shared" si="51"/>
        <v>1250000</v>
      </c>
      <c r="AH586" s="190"/>
      <c r="AI586" s="192" t="str">
        <f>VLOOKUP(Q586,[3]Sheet1!B$11:G$1489,6,0)</f>
        <v>B13</v>
      </c>
      <c r="GK586" s="194"/>
      <c r="GL586" s="195"/>
      <c r="GM586" s="196"/>
      <c r="GN586" s="197"/>
      <c r="GO586" s="198"/>
      <c r="GP586" s="199"/>
      <c r="GQ586" s="200"/>
      <c r="GR586" s="201"/>
      <c r="GS586" s="60"/>
      <c r="GT586" s="202"/>
      <c r="GU586" s="202"/>
      <c r="GV586" s="202"/>
      <c r="GW586" s="202"/>
      <c r="GX586" s="203"/>
      <c r="HA586" s="194"/>
      <c r="HB586" s="195"/>
      <c r="HC586" s="196"/>
      <c r="HD586" s="197"/>
      <c r="HE586" s="198"/>
      <c r="HF586" s="199"/>
      <c r="HG586" s="200"/>
      <c r="HH586" s="201"/>
      <c r="HI586" s="60"/>
      <c r="HJ586" s="202"/>
      <c r="HK586" s="202"/>
      <c r="HL586" s="202"/>
      <c r="HM586" s="202"/>
      <c r="HN586" s="203"/>
    </row>
    <row r="587" spans="1:222" ht="16.5" customHeight="1">
      <c r="A587" s="181">
        <v>584</v>
      </c>
      <c r="B587" s="182" t="s">
        <v>7</v>
      </c>
      <c r="C587" s="183" t="s">
        <v>2984</v>
      </c>
      <c r="D587" s="184" t="s">
        <v>2985</v>
      </c>
      <c r="E587" s="184" t="str">
        <f t="shared" si="53"/>
        <v>Export</v>
      </c>
      <c r="F587" s="720" t="str" cm="1">
        <f t="array" ref="F587">_xlfn.IFS(
  OR(AI587="E11", AI587="E15"), "Raw materials",
  OR(AI587="E13", AI587="G13"), "Equipments + Toolings",
  TRUE, RIGHT(C587, 8)
)</f>
        <v>INV06876</v>
      </c>
      <c r="G587" s="541" t="str" cm="1">
        <f t="array" ref="G587">IF(E587="Import",
  IFERROR(
    _xlfn.IFS(
      VLOOKUP(B587,[1]Material!F$5:U$90000,16,0)="LUC","Lucid",
      VLOOKUP(B587,[1]Material!F$5:U$90000,16,0)="FMC","FORD",
      OR(VLOOKUP(B587,[1]Material!F$5:U$90000,16,0)="PUR",VLOOKUP(B587,[1]Material!F$5:U$90000,16,0)="HLO"),"PURE",
      VLOOKUP(B587,[1]Material!F$5:U$90000,16,0)="AIC","AIC",
      OR(VLOOKUP(B587,[1]Material!F$5:U$90000,16,0)="AGI",VLOOKUP(B587,[1]Material!F$5:U$90000,16,0)="AGIGA"),"AGIGA",
      OR(LEFT(VLOOKUP(B587,[1]Material!F$5:U$90000,16,0),3)="EF-",VLOOKUP(B587,[1]Material!F$5:U$90000,16,0)="EFI"),"EFI",
      AND(ISNUMBER(VLOOKUP(B587,[1]Material!F$5:U$90000,16,0)),VLOOKUP(B587,[1]Material!F$5:U$90000,16,0)&gt;=100,VLOOKUP(B587,[1]Material!F$5:U$90000,16,0)&lt;=999,VLOOKUP(B587,[1]Material!F$5:U$90000,16,0)=INT(VLOOKUP(B587,[1]Material!F$5:U$90000,16,0))),"OEM",
      TRUE,""
    ),
    "không tìm thấy trong file Import"
  ),
  VLOOKUP(F587,'[2]Export shipment'!B:Y,24,0)
)</f>
        <v>EFI</v>
      </c>
      <c r="H587" s="184" t="str">
        <f>VLOOKUP(F587,'[2]Export shipment'!B$8:AA$9479,26,)</f>
        <v>x</v>
      </c>
      <c r="I587" s="184" t="str">
        <f>VLOOKUP(F587,'[2]Export shipment'!B$8:Z$9479,25,'[2]Export shipment'!$S$460)</f>
        <v>x</v>
      </c>
      <c r="J587" s="260">
        <f>(V587+X587+AA587)/'Logistics record '!$AD$1</f>
        <v>15.116015418335726</v>
      </c>
      <c r="K587" s="260">
        <f>W587/'Logistics record '!$AD$1</f>
        <v>0</v>
      </c>
      <c r="L587" s="260">
        <f>Y587/'Logistics record '!$AD$1</f>
        <v>0</v>
      </c>
      <c r="M587" s="260">
        <f>AF587/'Logistics record '!$AD$1</f>
        <v>0</v>
      </c>
      <c r="N587" s="260" t="str" cm="1">
        <f t="array" ref="N587">_xlfn.IFS(
    OR(UPPER(S587)="AIR", UPPER(S587)="CPN"), "AIR",
    UPPER(S587)="TC", "LOCAL",
    TRUE, "SEA"
)</f>
        <v>AIR</v>
      </c>
      <c r="O587" s="260">
        <f t="shared" si="36"/>
        <v>15.116015418335726</v>
      </c>
      <c r="P587" s="184" t="s">
        <v>2986</v>
      </c>
      <c r="Q587" s="185">
        <v>308630813650</v>
      </c>
      <c r="R587" s="186">
        <v>46185</v>
      </c>
      <c r="S587" s="187" t="s">
        <v>928</v>
      </c>
      <c r="T587" s="188">
        <v>22.2</v>
      </c>
      <c r="U587" s="188"/>
      <c r="V587" s="189">
        <v>400000</v>
      </c>
      <c r="W587" s="190"/>
      <c r="X587" s="190"/>
      <c r="Y587" s="190"/>
      <c r="Z587" s="189">
        <f t="shared" si="52"/>
        <v>400000</v>
      </c>
      <c r="AA587" s="189">
        <v>0</v>
      </c>
      <c r="AB587" s="189">
        <f t="shared" si="41"/>
        <v>400000</v>
      </c>
      <c r="AC587" s="189"/>
      <c r="AD587" s="190"/>
      <c r="AE587" s="190"/>
      <c r="AF587" s="191">
        <f t="shared" si="50"/>
        <v>0</v>
      </c>
      <c r="AG587" s="190">
        <f t="shared" si="51"/>
        <v>400000</v>
      </c>
      <c r="AH587" s="190"/>
      <c r="AI587" s="192" t="str">
        <f>VLOOKUP(Q587,[3]Sheet1!B$11:G$1489,6,0)</f>
        <v>E42</v>
      </c>
      <c r="GK587" s="194"/>
      <c r="GL587" s="195"/>
      <c r="GM587" s="196"/>
      <c r="GN587" s="197"/>
      <c r="GO587" s="198"/>
      <c r="GP587" s="199"/>
      <c r="GQ587" s="200"/>
      <c r="GR587" s="201"/>
      <c r="GS587" s="60"/>
      <c r="GT587" s="202"/>
      <c r="GU587" s="202"/>
      <c r="GV587" s="202"/>
      <c r="GW587" s="202"/>
      <c r="GX587" s="203"/>
      <c r="HA587" s="194"/>
      <c r="HB587" s="195"/>
      <c r="HC587" s="196"/>
      <c r="HD587" s="197"/>
      <c r="HE587" s="198"/>
      <c r="HF587" s="199"/>
      <c r="HG587" s="200"/>
      <c r="HH587" s="201"/>
      <c r="HI587" s="60"/>
      <c r="HJ587" s="202"/>
      <c r="HK587" s="202"/>
      <c r="HL587" s="202"/>
      <c r="HM587" s="202"/>
      <c r="HN587" s="203"/>
    </row>
    <row r="588" spans="1:222" ht="16.5" customHeight="1">
      <c r="A588" s="181">
        <v>585</v>
      </c>
      <c r="B588" s="182" t="s">
        <v>7</v>
      </c>
      <c r="C588" s="183" t="s">
        <v>2987</v>
      </c>
      <c r="D588" s="184" t="s">
        <v>1036</v>
      </c>
      <c r="E588" s="184" t="str">
        <f t="shared" si="53"/>
        <v>Export</v>
      </c>
      <c r="F588" s="720" t="str" cm="1">
        <f t="array" ref="F588">_xlfn.IFS(
  OR(AI588="E11", AI588="E15"), "Raw materials",
  OR(AI588="E13", AI588="G13"), "Equipments + Toolings",
  TRUE, RIGHT(C588, 8)
)</f>
        <v>INV06878</v>
      </c>
      <c r="G588" s="541" t="str" cm="1">
        <f t="array" ref="G588">IF(E588="Import",
  IFERROR(
    _xlfn.IFS(
      VLOOKUP(B588,[1]Material!F$5:U$90000,16,0)="LUC","Lucid",
      VLOOKUP(B588,[1]Material!F$5:U$90000,16,0)="FMC","FORD",
      OR(VLOOKUP(B588,[1]Material!F$5:U$90000,16,0)="PUR",VLOOKUP(B588,[1]Material!F$5:U$90000,16,0)="HLO"),"PURE",
      VLOOKUP(B588,[1]Material!F$5:U$90000,16,0)="AIC","AIC",
      OR(VLOOKUP(B588,[1]Material!F$5:U$90000,16,0)="AGI",VLOOKUP(B588,[1]Material!F$5:U$90000,16,0)="AGIGA"),"AGIGA",
      OR(LEFT(VLOOKUP(B588,[1]Material!F$5:U$90000,16,0),3)="EF-",VLOOKUP(B588,[1]Material!F$5:U$90000,16,0)="EFI"),"EFI",
      AND(ISNUMBER(VLOOKUP(B588,[1]Material!F$5:U$90000,16,0)),VLOOKUP(B588,[1]Material!F$5:U$90000,16,0)&gt;=100,VLOOKUP(B588,[1]Material!F$5:U$90000,16,0)&lt;=999,VLOOKUP(B588,[1]Material!F$5:U$90000,16,0)=INT(VLOOKUP(B588,[1]Material!F$5:U$90000,16,0))),"OEM",
      TRUE,""
    ),
    "không tìm thấy trong file Import"
  ),
  VLOOKUP(F588,'[2]Export shipment'!B:Y,24,0)
)</f>
        <v>PURE</v>
      </c>
      <c r="H588" s="184" t="str">
        <f>VLOOKUP(F588,'[2]Export shipment'!B$8:AA$9479,26,)</f>
        <v>x</v>
      </c>
      <c r="I588" s="184" t="str">
        <f>VLOOKUP(F588,'[2]Export shipment'!B$8:Z$9479,25,'[2]Export shipment'!$S$460)</f>
        <v>x</v>
      </c>
      <c r="J588" s="260">
        <f>(V588+X588+AA588)/'Logistics record '!$AD$1</f>
        <v>15.116015418335726</v>
      </c>
      <c r="K588" s="260">
        <f>W588/'Logistics record '!$AD$1</f>
        <v>0</v>
      </c>
      <c r="L588" s="260">
        <f>Y588/'Logistics record '!$AD$1</f>
        <v>0</v>
      </c>
      <c r="M588" s="260">
        <f>AF588/'Logistics record '!$AD$1</f>
        <v>0</v>
      </c>
      <c r="N588" s="260" t="str" cm="1">
        <f t="array" ref="N588">_xlfn.IFS(
    OR(UPPER(S588)="AIR", UPPER(S588)="CPN"), "AIR",
    UPPER(S588)="TC", "LOCAL",
    TRUE, "SEA"
)</f>
        <v>AIR</v>
      </c>
      <c r="O588" s="260">
        <f t="shared" si="36"/>
        <v>15.116015418335726</v>
      </c>
      <c r="P588" s="184" t="s">
        <v>946</v>
      </c>
      <c r="Q588" s="185">
        <v>308630868030</v>
      </c>
      <c r="R588" s="186">
        <v>46185</v>
      </c>
      <c r="S588" s="187" t="s">
        <v>928</v>
      </c>
      <c r="T588" s="188">
        <v>207.4</v>
      </c>
      <c r="U588" s="188"/>
      <c r="V588" s="189">
        <v>400000</v>
      </c>
      <c r="W588" s="190"/>
      <c r="X588" s="190"/>
      <c r="Y588" s="190"/>
      <c r="Z588" s="189">
        <f t="shared" si="52"/>
        <v>400000</v>
      </c>
      <c r="AA588" s="189">
        <v>0</v>
      </c>
      <c r="AB588" s="189">
        <f t="shared" si="41"/>
        <v>400000</v>
      </c>
      <c r="AC588" s="189"/>
      <c r="AD588" s="190"/>
      <c r="AE588" s="190"/>
      <c r="AF588" s="191">
        <f t="shared" si="50"/>
        <v>0</v>
      </c>
      <c r="AG588" s="190">
        <f t="shared" si="51"/>
        <v>400000</v>
      </c>
      <c r="AH588" s="190"/>
      <c r="AI588" s="192" t="str">
        <f>VLOOKUP(Q588,[3]Sheet1!B$11:G$1489,6,0)</f>
        <v>E42</v>
      </c>
      <c r="GK588" s="194"/>
      <c r="GL588" s="195"/>
      <c r="GM588" s="196"/>
      <c r="GN588" s="197"/>
      <c r="GO588" s="198"/>
      <c r="GP588" s="199"/>
      <c r="GQ588" s="200"/>
      <c r="GR588" s="201"/>
      <c r="GS588" s="60"/>
      <c r="GT588" s="202"/>
      <c r="GU588" s="202"/>
      <c r="GV588" s="202"/>
      <c r="GW588" s="202"/>
      <c r="GX588" s="203"/>
      <c r="HA588" s="194"/>
      <c r="HB588" s="195"/>
      <c r="HC588" s="196"/>
      <c r="HD588" s="197"/>
      <c r="HE588" s="198"/>
      <c r="HF588" s="199"/>
      <c r="HG588" s="200"/>
      <c r="HH588" s="201"/>
      <c r="HI588" s="60"/>
      <c r="HJ588" s="202"/>
      <c r="HK588" s="202"/>
      <c r="HL588" s="202"/>
      <c r="HM588" s="202"/>
      <c r="HN588" s="203"/>
    </row>
    <row r="589" spans="1:222" ht="16.5" customHeight="1">
      <c r="A589" s="181">
        <v>586</v>
      </c>
      <c r="B589" s="182" t="s">
        <v>7</v>
      </c>
      <c r="C589" s="183" t="s">
        <v>2988</v>
      </c>
      <c r="D589" s="184" t="s">
        <v>109</v>
      </c>
      <c r="E589" s="184" t="str">
        <f t="shared" si="53"/>
        <v>Export</v>
      </c>
      <c r="F589" s="720" t="str" cm="1">
        <f t="array" ref="F589">_xlfn.IFS(
  OR(AI589="E11", AI589="E15"), "Raw materials",
  OR(AI589="E13", AI589="G13"), "Equipments + Toolings",
  TRUE, RIGHT(C589, 8)
)</f>
        <v>INV06879</v>
      </c>
      <c r="G589" s="541" t="str" cm="1">
        <f t="array" ref="G589">IF(E589="Import",
  IFERROR(
    _xlfn.IFS(
      VLOOKUP(B589,[1]Material!F$5:U$90000,16,0)="LUC","Lucid",
      VLOOKUP(B589,[1]Material!F$5:U$90000,16,0)="FMC","FORD",
      OR(VLOOKUP(B589,[1]Material!F$5:U$90000,16,0)="PUR",VLOOKUP(B589,[1]Material!F$5:U$90000,16,0)="HLO"),"PURE",
      VLOOKUP(B589,[1]Material!F$5:U$90000,16,0)="AIC","AIC",
      OR(VLOOKUP(B589,[1]Material!F$5:U$90000,16,0)="AGI",VLOOKUP(B589,[1]Material!F$5:U$90000,16,0)="AGIGA"),"AGIGA",
      OR(LEFT(VLOOKUP(B589,[1]Material!F$5:U$90000,16,0),3)="EF-",VLOOKUP(B589,[1]Material!F$5:U$90000,16,0)="EFI"),"EFI",
      AND(ISNUMBER(VLOOKUP(B589,[1]Material!F$5:U$90000,16,0)),VLOOKUP(B589,[1]Material!F$5:U$90000,16,0)&gt;=100,VLOOKUP(B589,[1]Material!F$5:U$90000,16,0)&lt;=999,VLOOKUP(B589,[1]Material!F$5:U$90000,16,0)=INT(VLOOKUP(B589,[1]Material!F$5:U$90000,16,0))),"OEM",
      TRUE,""
    ),
    "không tìm thấy trong file Import"
  ),
  VLOOKUP(F589,'[2]Export shipment'!B:Y,24,0)
)</f>
        <v>EFI</v>
      </c>
      <c r="H589" s="184" t="str">
        <f>VLOOKUP(F589,'[2]Export shipment'!B$8:AA$9479,26,)</f>
        <v>x</v>
      </c>
      <c r="I589" s="184" t="str">
        <f>VLOOKUP(F589,'[2]Export shipment'!B$8:Z$9479,25,'[2]Export shipment'!$S$460)</f>
        <v>x</v>
      </c>
      <c r="J589" s="260">
        <f>(V589+X589+AA589)/'Logistics record '!$AD$1</f>
        <v>15.116015418335726</v>
      </c>
      <c r="K589" s="260">
        <f>W589/'Logistics record '!$AD$1</f>
        <v>0</v>
      </c>
      <c r="L589" s="260">
        <f>Y589/'Logistics record '!$AD$1</f>
        <v>0</v>
      </c>
      <c r="M589" s="260">
        <f>AF589/'Logistics record '!$AD$1</f>
        <v>0</v>
      </c>
      <c r="N589" s="260" t="str" cm="1">
        <f t="array" ref="N589">_xlfn.IFS(
    OR(UPPER(S589)="AIR", UPPER(S589)="CPN"), "AIR",
    UPPER(S589)="TC", "LOCAL",
    TRUE, "SEA"
)</f>
        <v>AIR</v>
      </c>
      <c r="O589" s="260">
        <f t="shared" si="36"/>
        <v>15.116015418335726</v>
      </c>
      <c r="P589" s="184" t="s">
        <v>2989</v>
      </c>
      <c r="Q589" s="185">
        <v>308630914230</v>
      </c>
      <c r="R589" s="186">
        <v>46185</v>
      </c>
      <c r="S589" s="187" t="s">
        <v>928</v>
      </c>
      <c r="T589" s="188">
        <v>92.5</v>
      </c>
      <c r="U589" s="188"/>
      <c r="V589" s="189">
        <v>400000</v>
      </c>
      <c r="W589" s="190"/>
      <c r="X589" s="190"/>
      <c r="Y589" s="190"/>
      <c r="Z589" s="189">
        <f t="shared" si="52"/>
        <v>400000</v>
      </c>
      <c r="AA589" s="189">
        <v>0</v>
      </c>
      <c r="AB589" s="189">
        <f t="shared" si="41"/>
        <v>400000</v>
      </c>
      <c r="AC589" s="189"/>
      <c r="AD589" s="190"/>
      <c r="AE589" s="190"/>
      <c r="AF589" s="191">
        <f t="shared" si="50"/>
        <v>0</v>
      </c>
      <c r="AG589" s="190">
        <f t="shared" si="51"/>
        <v>400000</v>
      </c>
      <c r="AH589" s="190"/>
      <c r="AI589" s="192" t="str">
        <f>VLOOKUP(Q589,[3]Sheet1!B$11:G$1489,6,0)</f>
        <v>E42</v>
      </c>
      <c r="GK589" s="194"/>
      <c r="GL589" s="195"/>
      <c r="GM589" s="196"/>
      <c r="GN589" s="197"/>
      <c r="GO589" s="198"/>
      <c r="GP589" s="199"/>
      <c r="GQ589" s="200"/>
      <c r="GR589" s="201"/>
      <c r="GS589" s="60"/>
      <c r="GT589" s="202"/>
      <c r="GU589" s="202"/>
      <c r="GV589" s="202"/>
      <c r="GW589" s="202"/>
      <c r="GX589" s="203"/>
      <c r="HA589" s="194"/>
      <c r="HB589" s="195"/>
      <c r="HC589" s="196"/>
      <c r="HD589" s="197"/>
      <c r="HE589" s="198"/>
      <c r="HF589" s="199"/>
      <c r="HG589" s="200"/>
      <c r="HH589" s="201"/>
      <c r="HI589" s="60"/>
      <c r="HJ589" s="202"/>
      <c r="HK589" s="202"/>
      <c r="HL589" s="202"/>
      <c r="HM589" s="202"/>
      <c r="HN589" s="203"/>
    </row>
    <row r="590" spans="1:222" ht="16.5" customHeight="1">
      <c r="A590" s="181">
        <v>587</v>
      </c>
      <c r="B590" s="182" t="s">
        <v>7</v>
      </c>
      <c r="C590" s="183" t="s">
        <v>2990</v>
      </c>
      <c r="D590" s="184" t="s">
        <v>110</v>
      </c>
      <c r="E590" s="184" t="str">
        <f t="shared" si="53"/>
        <v>Export</v>
      </c>
      <c r="F590" s="720" t="str" cm="1">
        <f t="array" ref="F590">_xlfn.IFS(
  OR(AI590="E11", AI590="E15"), "Raw materials",
  OR(AI590="E13", AI590="G13"), "Equipments + Toolings",
  TRUE, RIGHT(C590, 8)
)</f>
        <v>INV06883</v>
      </c>
      <c r="G590" s="541" t="str" cm="1">
        <f t="array" ref="G590">IF(E590="Import",
  IFERROR(
    _xlfn.IFS(
      VLOOKUP(B590,[1]Material!F$5:U$90000,16,0)="LUC","Lucid",
      VLOOKUP(B590,[1]Material!F$5:U$90000,16,0)="FMC","FORD",
      OR(VLOOKUP(B590,[1]Material!F$5:U$90000,16,0)="PUR",VLOOKUP(B590,[1]Material!F$5:U$90000,16,0)="HLO"),"PURE",
      VLOOKUP(B590,[1]Material!F$5:U$90000,16,0)="AIC","AIC",
      OR(VLOOKUP(B590,[1]Material!F$5:U$90000,16,0)="AGI",VLOOKUP(B590,[1]Material!F$5:U$90000,16,0)="AGIGA"),"AGIGA",
      OR(LEFT(VLOOKUP(B590,[1]Material!F$5:U$90000,16,0),3)="EF-",VLOOKUP(B590,[1]Material!F$5:U$90000,16,0)="EFI"),"EFI",
      AND(ISNUMBER(VLOOKUP(B590,[1]Material!F$5:U$90000,16,0)),VLOOKUP(B590,[1]Material!F$5:U$90000,16,0)&gt;=100,VLOOKUP(B590,[1]Material!F$5:U$90000,16,0)&lt;=999,VLOOKUP(B590,[1]Material!F$5:U$90000,16,0)=INT(VLOOKUP(B590,[1]Material!F$5:U$90000,16,0))),"OEM",
      TRUE,""
    ),
    "không tìm thấy trong file Import"
  ),
  VLOOKUP(F590,'[2]Export shipment'!B:Y,24,0)
)</f>
        <v>Transfer</v>
      </c>
      <c r="H590" s="184" t="str">
        <f>VLOOKUP(F590,'[2]Export shipment'!B$8:AA$9479,26,)</f>
        <v>x</v>
      </c>
      <c r="I590" s="184" t="str">
        <f>VLOOKUP(F590,'[2]Export shipment'!B$8:Z$9479,25,'[2]Export shipment'!$S$460)</f>
        <v>Transfer FG</v>
      </c>
      <c r="J590" s="260">
        <f>(V590+X590+AA590)/'Logistics record '!$AD$1</f>
        <v>15.116015418335726</v>
      </c>
      <c r="K590" s="260">
        <f>W590/'Logistics record '!$AD$1</f>
        <v>0</v>
      </c>
      <c r="L590" s="260">
        <f>Y590/'Logistics record '!$AD$1</f>
        <v>0</v>
      </c>
      <c r="M590" s="260">
        <f>AF590/'Logistics record '!$AD$1</f>
        <v>0</v>
      </c>
      <c r="N590" s="260" t="str" cm="1">
        <f t="array" ref="N590">_xlfn.IFS(
    OR(UPPER(S590)="AIR", UPPER(S590)="CPN"), "AIR",
    UPPER(S590)="TC", "LOCAL",
    TRUE, "SEA"
)</f>
        <v>AIR</v>
      </c>
      <c r="O590" s="260">
        <f t="shared" si="36"/>
        <v>15.116015418335726</v>
      </c>
      <c r="P590" s="184" t="s">
        <v>935</v>
      </c>
      <c r="Q590" s="185">
        <v>308638133920</v>
      </c>
      <c r="R590" s="186">
        <v>46188</v>
      </c>
      <c r="S590" s="187" t="s">
        <v>928</v>
      </c>
      <c r="T590" s="188">
        <v>7</v>
      </c>
      <c r="U590" s="188"/>
      <c r="V590" s="189">
        <v>400000</v>
      </c>
      <c r="W590" s="190"/>
      <c r="X590" s="190"/>
      <c r="Y590" s="190"/>
      <c r="Z590" s="189">
        <f t="shared" si="52"/>
        <v>400000</v>
      </c>
      <c r="AA590" s="189">
        <v>0</v>
      </c>
      <c r="AB590" s="189">
        <f t="shared" si="41"/>
        <v>400000</v>
      </c>
      <c r="AC590" s="189"/>
      <c r="AD590" s="190"/>
      <c r="AE590" s="190"/>
      <c r="AF590" s="191">
        <f t="shared" si="50"/>
        <v>0</v>
      </c>
      <c r="AG590" s="190">
        <f t="shared" si="51"/>
        <v>400000</v>
      </c>
      <c r="AH590" s="190"/>
      <c r="AI590" s="192" t="str">
        <f>VLOOKUP(Q590,[3]Sheet1!B$11:G$1489,6,0)</f>
        <v>E42</v>
      </c>
      <c r="GK590" s="194"/>
      <c r="GL590" s="195"/>
      <c r="GM590" s="196"/>
      <c r="GN590" s="197"/>
      <c r="GO590" s="198"/>
      <c r="GP590" s="199"/>
      <c r="GQ590" s="200"/>
      <c r="GR590" s="201"/>
      <c r="GS590" s="60"/>
      <c r="GT590" s="202"/>
      <c r="GU590" s="202"/>
      <c r="GV590" s="202"/>
      <c r="GW590" s="202"/>
      <c r="GX590" s="203"/>
      <c r="HA590" s="194"/>
      <c r="HB590" s="195"/>
      <c r="HC590" s="196"/>
      <c r="HD590" s="197"/>
      <c r="HE590" s="198"/>
      <c r="HF590" s="199"/>
      <c r="HG590" s="200"/>
      <c r="HH590" s="201"/>
      <c r="HI590" s="60"/>
      <c r="HJ590" s="202"/>
      <c r="HK590" s="202"/>
      <c r="HL590" s="202"/>
      <c r="HM590" s="202"/>
      <c r="HN590" s="203"/>
    </row>
    <row r="591" spans="1:222" ht="16.5" customHeight="1">
      <c r="A591" s="181">
        <v>588</v>
      </c>
      <c r="B591" s="182" t="s">
        <v>7</v>
      </c>
      <c r="C591" s="183" t="s">
        <v>2991</v>
      </c>
      <c r="D591" s="184" t="s">
        <v>1064</v>
      </c>
      <c r="E591" s="184" t="str">
        <f t="shared" si="53"/>
        <v>Export</v>
      </c>
      <c r="F591" s="720" t="str" cm="1">
        <f t="array" ref="F591">_xlfn.IFS(
  OR(AI591="E11", AI591="E15"), "Raw materials",
  OR(AI591="E13", AI591="G13"), "Equipments + Toolings",
  TRUE, RIGHT(C591, 8)
)</f>
        <v>INV06880</v>
      </c>
      <c r="G591" s="541" t="str" cm="1">
        <f t="array" ref="G591">IF(E591="Import",
  IFERROR(
    _xlfn.IFS(
      VLOOKUP(B591,[1]Material!F$5:U$90000,16,0)="LUC","Lucid",
      VLOOKUP(B591,[1]Material!F$5:U$90000,16,0)="FMC","FORD",
      OR(VLOOKUP(B591,[1]Material!F$5:U$90000,16,0)="PUR",VLOOKUP(B591,[1]Material!F$5:U$90000,16,0)="HLO"),"PURE",
      VLOOKUP(B591,[1]Material!F$5:U$90000,16,0)="AIC","AIC",
      OR(VLOOKUP(B591,[1]Material!F$5:U$90000,16,0)="AGI",VLOOKUP(B591,[1]Material!F$5:U$90000,16,0)="AGIGA"),"AGIGA",
      OR(LEFT(VLOOKUP(B591,[1]Material!F$5:U$90000,16,0),3)="EF-",VLOOKUP(B591,[1]Material!F$5:U$90000,16,0)="EFI"),"EFI",
      AND(ISNUMBER(VLOOKUP(B591,[1]Material!F$5:U$90000,16,0)),VLOOKUP(B591,[1]Material!F$5:U$90000,16,0)&gt;=100,VLOOKUP(B591,[1]Material!F$5:U$90000,16,0)&lt;=999,VLOOKUP(B591,[1]Material!F$5:U$90000,16,0)=INT(VLOOKUP(B591,[1]Material!F$5:U$90000,16,0))),"OEM",
      TRUE,""
    ),
    "không tìm thấy trong file Import"
  ),
  VLOOKUP(F591,'[2]Export shipment'!B:Y,24,0)
)</f>
        <v>Lucid</v>
      </c>
      <c r="H591" s="184" t="str">
        <f>VLOOKUP(F591,'[2]Export shipment'!B$8:AA$9479,26,)</f>
        <v>x</v>
      </c>
      <c r="I591" s="184" t="str">
        <f>VLOOKUP(F591,'[2]Export shipment'!B$8:Z$9479,25,'[2]Export shipment'!$S$460)</f>
        <v>x</v>
      </c>
      <c r="J591" s="260">
        <f>(V591+X591+AA591)/'Logistics record '!$AD$1</f>
        <v>15.116015418335726</v>
      </c>
      <c r="K591" s="260">
        <f>W591/'Logistics record '!$AD$1</f>
        <v>0</v>
      </c>
      <c r="L591" s="260">
        <f>Y591/'Logistics record '!$AD$1</f>
        <v>0</v>
      </c>
      <c r="M591" s="260">
        <f>AF591/'Logistics record '!$AD$1</f>
        <v>0</v>
      </c>
      <c r="N591" s="260" t="str" cm="1">
        <f t="array" ref="N591">_xlfn.IFS(
    OR(UPPER(S591)="AIR", UPPER(S591)="CPN"), "AIR",
    UPPER(S591)="TC", "LOCAL",
    TRUE, "SEA"
)</f>
        <v>AIR</v>
      </c>
      <c r="O591" s="260">
        <f t="shared" si="36"/>
        <v>15.116015418335726</v>
      </c>
      <c r="P591" s="184" t="s">
        <v>935</v>
      </c>
      <c r="Q591" s="185">
        <v>308640745030</v>
      </c>
      <c r="R591" s="186">
        <v>46188</v>
      </c>
      <c r="S591" s="187" t="s">
        <v>928</v>
      </c>
      <c r="T591" s="188">
        <v>30.7</v>
      </c>
      <c r="U591" s="188"/>
      <c r="V591" s="189">
        <v>400000</v>
      </c>
      <c r="W591" s="190"/>
      <c r="X591" s="190"/>
      <c r="Y591" s="190"/>
      <c r="Z591" s="189">
        <f t="shared" si="52"/>
        <v>400000</v>
      </c>
      <c r="AA591" s="189">
        <v>0</v>
      </c>
      <c r="AB591" s="189">
        <f t="shared" si="41"/>
        <v>400000</v>
      </c>
      <c r="AC591" s="189"/>
      <c r="AD591" s="190"/>
      <c r="AE591" s="190"/>
      <c r="AF591" s="191">
        <f t="shared" si="50"/>
        <v>0</v>
      </c>
      <c r="AG591" s="190">
        <f t="shared" si="51"/>
        <v>400000</v>
      </c>
      <c r="AH591" s="190"/>
      <c r="AI591" s="192" t="str">
        <f>VLOOKUP(Q591,[3]Sheet1!B$11:G$1489,6,0)</f>
        <v>E42</v>
      </c>
      <c r="GK591" s="194"/>
      <c r="GL591" s="195"/>
      <c r="GM591" s="196"/>
      <c r="GN591" s="197"/>
      <c r="GO591" s="198"/>
      <c r="GP591" s="199"/>
      <c r="GQ591" s="200"/>
      <c r="GR591" s="201"/>
      <c r="GS591" s="60"/>
      <c r="GT591" s="202"/>
      <c r="GU591" s="202"/>
      <c r="GV591" s="202"/>
      <c r="GW591" s="202"/>
      <c r="GX591" s="203"/>
      <c r="HA591" s="194"/>
      <c r="HB591" s="195"/>
      <c r="HC591" s="196"/>
      <c r="HD591" s="197"/>
      <c r="HE591" s="198"/>
      <c r="HF591" s="199"/>
      <c r="HG591" s="200"/>
      <c r="HH591" s="201"/>
      <c r="HI591" s="60"/>
      <c r="HJ591" s="202"/>
      <c r="HK591" s="202"/>
      <c r="HL591" s="202"/>
      <c r="HM591" s="202"/>
      <c r="HN591" s="203"/>
    </row>
    <row r="592" spans="1:222" ht="16.5" customHeight="1">
      <c r="A592" s="181">
        <v>589</v>
      </c>
      <c r="B592" s="182" t="s">
        <v>7</v>
      </c>
      <c r="C592" s="183" t="s">
        <v>2992</v>
      </c>
      <c r="D592" s="184" t="s">
        <v>110</v>
      </c>
      <c r="E592" s="184" t="str">
        <f t="shared" si="53"/>
        <v>Export</v>
      </c>
      <c r="F592" s="720" t="str" cm="1">
        <f t="array" ref="F592">_xlfn.IFS(
  OR(AI592="E11", AI592="E15"), "Raw materials",
  OR(AI592="E13", AI592="G13"), "Equipments + Toolings",
  TRUE, RIGHT(C592, 8)
)</f>
        <v>E01090</v>
      </c>
      <c r="G592" s="541" t="str" cm="1">
        <f t="array" ref="G592">IF(E592="Import",
  IFERROR(
    _xlfn.IFS(
      VLOOKUP(B592,[1]Material!F$5:U$90000,16,0)="LUC","Lucid",
      VLOOKUP(B592,[1]Material!F$5:U$90000,16,0)="FMC","FORD",
      OR(VLOOKUP(B592,[1]Material!F$5:U$90000,16,0)="PUR",VLOOKUP(B592,[1]Material!F$5:U$90000,16,0)="HLO"),"PURE",
      VLOOKUP(B592,[1]Material!F$5:U$90000,16,0)="AIC","AIC",
      OR(VLOOKUP(B592,[1]Material!F$5:U$90000,16,0)="AGI",VLOOKUP(B592,[1]Material!F$5:U$90000,16,0)="AGIGA"),"AGIGA",
      OR(LEFT(VLOOKUP(B592,[1]Material!F$5:U$90000,16,0),3)="EF-",VLOOKUP(B592,[1]Material!F$5:U$90000,16,0)="EFI"),"EFI",
      AND(ISNUMBER(VLOOKUP(B592,[1]Material!F$5:U$90000,16,0)),VLOOKUP(B592,[1]Material!F$5:U$90000,16,0)&gt;=100,VLOOKUP(B592,[1]Material!F$5:U$90000,16,0)&lt;=999,VLOOKUP(B592,[1]Material!F$5:U$90000,16,0)=INT(VLOOKUP(B592,[1]Material!F$5:U$90000,16,0))),"OEM",
      TRUE,""
    ),
    "không tìm thấy trong file Import"
  ),
  VLOOKUP(F592,'[2]Export shipment'!B:Y,24,0)
)</f>
        <v>Transfer</v>
      </c>
      <c r="H592" s="184" t="str">
        <f>VLOOKUP(F592,'[2]Export shipment'!B$8:AA$9479,26,)</f>
        <v>x</v>
      </c>
      <c r="I592" s="184" t="str">
        <f>VLOOKUP(F592,'[2]Export shipment'!B$8:Z$9479,25,'[2]Export shipment'!$S$460)</f>
        <v>Ship material</v>
      </c>
      <c r="J592" s="260">
        <f>(V592+X592+AA592)/'Logistics record '!$AD$1</f>
        <v>24.563525054795555</v>
      </c>
      <c r="K592" s="260">
        <f>W592/'Logistics record '!$AD$1</f>
        <v>22.674023127503592</v>
      </c>
      <c r="L592" s="260">
        <f>Y592/'Logistics record '!$AD$1</f>
        <v>0</v>
      </c>
      <c r="M592" s="260">
        <f>AF592/'Logistics record '!$AD$1</f>
        <v>0</v>
      </c>
      <c r="N592" s="260" t="str" cm="1">
        <f t="array" ref="N592">_xlfn.IFS(
    OR(UPPER(S592)="AIR", UPPER(S592)="CPN"), "AIR",
    UPPER(S592)="TC", "LOCAL",
    TRUE, "SEA"
)</f>
        <v>AIR</v>
      </c>
      <c r="O592" s="260">
        <f t="shared" si="36"/>
        <v>47.23754818229915</v>
      </c>
      <c r="P592" s="184" t="s">
        <v>935</v>
      </c>
      <c r="Q592" s="185">
        <v>308642066741</v>
      </c>
      <c r="R592" s="186">
        <v>46189</v>
      </c>
      <c r="S592" s="187" t="s">
        <v>928</v>
      </c>
      <c r="T592" s="188">
        <v>492</v>
      </c>
      <c r="U592" s="188"/>
      <c r="V592" s="189">
        <v>400000</v>
      </c>
      <c r="W592" s="190">
        <v>600000</v>
      </c>
      <c r="X592" s="190">
        <v>250000</v>
      </c>
      <c r="Y592" s="190"/>
      <c r="Z592" s="189">
        <f t="shared" si="52"/>
        <v>1250000</v>
      </c>
      <c r="AA592" s="189">
        <v>0</v>
      </c>
      <c r="AB592" s="189">
        <f t="shared" si="41"/>
        <v>1250000</v>
      </c>
      <c r="AC592" s="189"/>
      <c r="AD592" s="190"/>
      <c r="AE592" s="190"/>
      <c r="AF592" s="191">
        <f t="shared" si="50"/>
        <v>0</v>
      </c>
      <c r="AG592" s="190">
        <f t="shared" si="51"/>
        <v>1250000</v>
      </c>
      <c r="AH592" s="190"/>
      <c r="AI592" s="192" t="str">
        <f>VLOOKUP(Q592,[3]Sheet1!B$11:G$1489,6,0)</f>
        <v>B13</v>
      </c>
      <c r="GK592" s="194"/>
      <c r="GL592" s="195"/>
      <c r="GM592" s="196"/>
      <c r="GN592" s="197"/>
      <c r="GO592" s="198"/>
      <c r="GP592" s="199"/>
      <c r="GQ592" s="200"/>
      <c r="GR592" s="201"/>
      <c r="GS592" s="60"/>
      <c r="GT592" s="202"/>
      <c r="GU592" s="202"/>
      <c r="GV592" s="202"/>
      <c r="GW592" s="202"/>
      <c r="GX592" s="203"/>
      <c r="HA592" s="194"/>
      <c r="HB592" s="195"/>
      <c r="HC592" s="196"/>
      <c r="HD592" s="197"/>
      <c r="HE592" s="198"/>
      <c r="HF592" s="199"/>
      <c r="HG592" s="200"/>
      <c r="HH592" s="201"/>
      <c r="HI592" s="60"/>
      <c r="HJ592" s="202"/>
      <c r="HK592" s="202"/>
      <c r="HL592" s="202"/>
      <c r="HM592" s="202"/>
      <c r="HN592" s="203"/>
    </row>
    <row r="593" spans="1:222" ht="16.5" customHeight="1">
      <c r="A593" s="181">
        <v>590</v>
      </c>
      <c r="B593" s="182" t="s">
        <v>7</v>
      </c>
      <c r="C593" s="183" t="s">
        <v>2992</v>
      </c>
      <c r="D593" s="184" t="s">
        <v>110</v>
      </c>
      <c r="E593" s="184" t="str">
        <f t="shared" si="53"/>
        <v>Export</v>
      </c>
      <c r="F593" s="720" t="str" cm="1">
        <f t="array" ref="F593">_xlfn.IFS(
  OR(AI593="E11", AI593="E15"), "Raw materials",
  OR(AI593="E13", AI593="G13"), "Equipments + Toolings",
  TRUE, RIGHT(C593, 8)
)</f>
        <v>E01090</v>
      </c>
      <c r="G593" s="541" t="str" cm="1">
        <f t="array" ref="G593">IF(E593="Import",
  IFERROR(
    _xlfn.IFS(
      VLOOKUP(B593,[1]Material!F$5:U$90000,16,0)="LUC","Lucid",
      VLOOKUP(B593,[1]Material!F$5:U$90000,16,0)="FMC","FORD",
      OR(VLOOKUP(B593,[1]Material!F$5:U$90000,16,0)="PUR",VLOOKUP(B593,[1]Material!F$5:U$90000,16,0)="HLO"),"PURE",
      VLOOKUP(B593,[1]Material!F$5:U$90000,16,0)="AIC","AIC",
      OR(VLOOKUP(B593,[1]Material!F$5:U$90000,16,0)="AGI",VLOOKUP(B593,[1]Material!F$5:U$90000,16,0)="AGIGA"),"AGIGA",
      OR(LEFT(VLOOKUP(B593,[1]Material!F$5:U$90000,16,0),3)="EF-",VLOOKUP(B593,[1]Material!F$5:U$90000,16,0)="EFI"),"EFI",
      AND(ISNUMBER(VLOOKUP(B593,[1]Material!F$5:U$90000,16,0)),VLOOKUP(B593,[1]Material!F$5:U$90000,16,0)&gt;=100,VLOOKUP(B593,[1]Material!F$5:U$90000,16,0)&lt;=999,VLOOKUP(B593,[1]Material!F$5:U$90000,16,0)=INT(VLOOKUP(B593,[1]Material!F$5:U$90000,16,0))),"OEM",
      TRUE,""
    ),
    "không tìm thấy trong file Import"
  ),
  VLOOKUP(F593,'[2]Export shipment'!B:Y,24,0)
)</f>
        <v>Transfer</v>
      </c>
      <c r="H593" s="184" t="str">
        <f>VLOOKUP(F593,'[2]Export shipment'!B$8:AA$9479,26,)</f>
        <v>x</v>
      </c>
      <c r="I593" s="184" t="str">
        <f>VLOOKUP(F593,'[2]Export shipment'!B$8:Z$9479,25,'[2]Export shipment'!$S$460)</f>
        <v>Ship material</v>
      </c>
      <c r="J593" s="260">
        <f>(V593+X593+AA593)/'Logistics record '!$AD$1</f>
        <v>20.784521200211625</v>
      </c>
      <c r="K593" s="260">
        <f>W593/'Logistics record '!$AD$1</f>
        <v>0</v>
      </c>
      <c r="L593" s="260">
        <f>Y593/'Logistics record '!$AD$1</f>
        <v>0</v>
      </c>
      <c r="M593" s="260">
        <f>AF593/'Logistics record '!$AD$1</f>
        <v>0</v>
      </c>
      <c r="N593" s="260" t="str" cm="1">
        <f t="array" ref="N593">_xlfn.IFS(
    OR(UPPER(S593)="AIR", UPPER(S593)="CPN"), "AIR",
    UPPER(S593)="TC", "LOCAL",
    TRUE, "SEA"
)</f>
        <v>AIR</v>
      </c>
      <c r="O593" s="260">
        <f t="shared" si="36"/>
        <v>20.784521200211625</v>
      </c>
      <c r="P593" s="184" t="s">
        <v>935</v>
      </c>
      <c r="Q593" s="185">
        <v>308642068511</v>
      </c>
      <c r="R593" s="186">
        <v>46189</v>
      </c>
      <c r="S593" s="187" t="s">
        <v>928</v>
      </c>
      <c r="T593" s="188">
        <v>492</v>
      </c>
      <c r="U593" s="188"/>
      <c r="V593" s="189">
        <v>300000</v>
      </c>
      <c r="W593" s="190"/>
      <c r="X593" s="190">
        <v>250000</v>
      </c>
      <c r="Y593" s="190"/>
      <c r="Z593" s="189">
        <f t="shared" si="52"/>
        <v>550000</v>
      </c>
      <c r="AA593" s="189">
        <v>0</v>
      </c>
      <c r="AB593" s="189">
        <f t="shared" si="41"/>
        <v>550000</v>
      </c>
      <c r="AC593" s="189"/>
      <c r="AD593" s="190"/>
      <c r="AE593" s="190"/>
      <c r="AF593" s="191">
        <f t="shared" si="50"/>
        <v>0</v>
      </c>
      <c r="AG593" s="190">
        <f t="shared" si="51"/>
        <v>550000</v>
      </c>
      <c r="AH593" s="190"/>
      <c r="AI593" s="192" t="str">
        <f>VLOOKUP(Q593,[3]Sheet1!B$11:G$1489,6,0)</f>
        <v>B13</v>
      </c>
      <c r="GK593" s="194"/>
      <c r="GL593" s="195"/>
      <c r="GM593" s="196"/>
      <c r="GN593" s="197"/>
      <c r="GO593" s="198"/>
      <c r="GP593" s="199"/>
      <c r="GQ593" s="200"/>
      <c r="GR593" s="201"/>
      <c r="GS593" s="60"/>
      <c r="GT593" s="202"/>
      <c r="GU593" s="202"/>
      <c r="GV593" s="202"/>
      <c r="GW593" s="202"/>
      <c r="GX593" s="203"/>
      <c r="HA593" s="194"/>
      <c r="HB593" s="195"/>
      <c r="HC593" s="196"/>
      <c r="HD593" s="197"/>
      <c r="HE593" s="198"/>
      <c r="HF593" s="199"/>
      <c r="HG593" s="200"/>
      <c r="HH593" s="201"/>
      <c r="HI593" s="60"/>
      <c r="HJ593" s="202"/>
      <c r="HK593" s="202"/>
      <c r="HL593" s="202"/>
      <c r="HM593" s="202"/>
      <c r="HN593" s="203"/>
    </row>
    <row r="594" spans="1:222" ht="16.5" customHeight="1">
      <c r="A594" s="181">
        <v>591</v>
      </c>
      <c r="B594" s="182" t="s">
        <v>7</v>
      </c>
      <c r="C594" s="183" t="s">
        <v>2993</v>
      </c>
      <c r="D594" s="184" t="s">
        <v>2994</v>
      </c>
      <c r="E594" s="184" t="str">
        <f t="shared" si="53"/>
        <v>Export</v>
      </c>
      <c r="F594" s="720" t="str" cm="1">
        <f t="array" ref="F594">_xlfn.IFS(
  OR(AI594="E11", AI594="E15"), "Raw materials",
  OR(AI594="E13", AI594="G13"), "Equipments + Toolings",
  TRUE, RIGHT(C594, 8)
)</f>
        <v>INV06886</v>
      </c>
      <c r="G594" s="541" t="str" cm="1">
        <f t="array" ref="G594">IF(E594="Import",
  IFERROR(
    _xlfn.IFS(
      VLOOKUP(B594,[1]Material!F$5:U$90000,16,0)="LUC","Lucid",
      VLOOKUP(B594,[1]Material!F$5:U$90000,16,0)="FMC","FORD",
      OR(VLOOKUP(B594,[1]Material!F$5:U$90000,16,0)="PUR",VLOOKUP(B594,[1]Material!F$5:U$90000,16,0)="HLO"),"PURE",
      VLOOKUP(B594,[1]Material!F$5:U$90000,16,0)="AIC","AIC",
      OR(VLOOKUP(B594,[1]Material!F$5:U$90000,16,0)="AGI",VLOOKUP(B594,[1]Material!F$5:U$90000,16,0)="AGIGA"),"AGIGA",
      OR(LEFT(VLOOKUP(B594,[1]Material!F$5:U$90000,16,0),3)="EF-",VLOOKUP(B594,[1]Material!F$5:U$90000,16,0)="EFI"),"EFI",
      AND(ISNUMBER(VLOOKUP(B594,[1]Material!F$5:U$90000,16,0)),VLOOKUP(B594,[1]Material!F$5:U$90000,16,0)&gt;=100,VLOOKUP(B594,[1]Material!F$5:U$90000,16,0)&lt;=999,VLOOKUP(B594,[1]Material!F$5:U$90000,16,0)=INT(VLOOKUP(B594,[1]Material!F$5:U$90000,16,0))),"OEM",
      TRUE,""
    ),
    "không tìm thấy trong file Import"
  ),
  VLOOKUP(F594,'[2]Export shipment'!B:Y,24,0)
)</f>
        <v>PURE</v>
      </c>
      <c r="H594" s="184" t="str">
        <f>VLOOKUP(F594,'[2]Export shipment'!B$8:AA$9479,26,)</f>
        <v>x</v>
      </c>
      <c r="I594" s="184" t="str">
        <f>VLOOKUP(F594,'[2]Export shipment'!B$8:Z$9479,25,'[2]Export shipment'!$S$460)</f>
        <v>RMA</v>
      </c>
      <c r="J594" s="260">
        <f>(V594+X594+AA594)/'Logistics record '!$AD$1</f>
        <v>24.563525054795555</v>
      </c>
      <c r="K594" s="260">
        <f>W594/'Logistics record '!$AD$1</f>
        <v>0</v>
      </c>
      <c r="L594" s="260">
        <f>Y594/'Logistics record '!$AD$1</f>
        <v>0</v>
      </c>
      <c r="M594" s="260">
        <f>AF594/'Logistics record '!$AD$1</f>
        <v>0</v>
      </c>
      <c r="N594" s="260" t="str" cm="1">
        <f t="array" ref="N594">_xlfn.IFS(
    OR(UPPER(S594)="AIR", UPPER(S594)="CPN"), "AIR",
    UPPER(S594)="TC", "LOCAL",
    TRUE, "SEA"
)</f>
        <v>AIR</v>
      </c>
      <c r="O594" s="260">
        <f t="shared" si="36"/>
        <v>24.563525054795555</v>
      </c>
      <c r="P594" s="184" t="s">
        <v>935</v>
      </c>
      <c r="Q594" s="185">
        <v>308645636851</v>
      </c>
      <c r="R594" s="186">
        <v>46190</v>
      </c>
      <c r="S594" s="187" t="s">
        <v>928</v>
      </c>
      <c r="T594" s="188">
        <v>15.5</v>
      </c>
      <c r="U594" s="188"/>
      <c r="V594" s="189">
        <v>400000</v>
      </c>
      <c r="W594" s="190"/>
      <c r="X594" s="190">
        <v>250000</v>
      </c>
      <c r="Y594" s="190"/>
      <c r="Z594" s="189">
        <f t="shared" si="52"/>
        <v>650000</v>
      </c>
      <c r="AA594" s="189">
        <v>0</v>
      </c>
      <c r="AB594" s="189">
        <f t="shared" si="41"/>
        <v>650000</v>
      </c>
      <c r="AC594" s="189"/>
      <c r="AD594" s="190"/>
      <c r="AE594" s="190"/>
      <c r="AF594" s="191">
        <f t="shared" si="50"/>
        <v>0</v>
      </c>
      <c r="AG594" s="190">
        <f t="shared" si="51"/>
        <v>650000</v>
      </c>
      <c r="AH594" s="190"/>
      <c r="AI594" s="192" t="str">
        <f>VLOOKUP(Q594,[3]Sheet1!B$11:G$1489,6,0)</f>
        <v>G23</v>
      </c>
      <c r="GK594" s="194"/>
      <c r="GL594" s="195"/>
      <c r="GM594" s="196"/>
      <c r="GN594" s="197"/>
      <c r="GO594" s="198"/>
      <c r="GP594" s="199"/>
      <c r="GQ594" s="200"/>
      <c r="GR594" s="201"/>
      <c r="GS594" s="60"/>
      <c r="GT594" s="202"/>
      <c r="GU594" s="202"/>
      <c r="GV594" s="202"/>
      <c r="GW594" s="202"/>
      <c r="GX594" s="203"/>
      <c r="HA594" s="194"/>
      <c r="HB594" s="195"/>
      <c r="HC594" s="196"/>
      <c r="HD594" s="197"/>
      <c r="HE594" s="198"/>
      <c r="HF594" s="199"/>
      <c r="HG594" s="200"/>
      <c r="HH594" s="201"/>
      <c r="HI594" s="60"/>
      <c r="HJ594" s="202"/>
      <c r="HK594" s="202"/>
      <c r="HL594" s="202"/>
      <c r="HM594" s="202"/>
      <c r="HN594" s="203"/>
    </row>
    <row r="595" spans="1:222" ht="16.5" customHeight="1">
      <c r="A595" s="181">
        <v>592</v>
      </c>
      <c r="B595" s="182" t="s">
        <v>7</v>
      </c>
      <c r="C595" s="183" t="s">
        <v>2993</v>
      </c>
      <c r="D595" s="184" t="s">
        <v>2994</v>
      </c>
      <c r="E595" s="184" t="str">
        <f t="shared" si="53"/>
        <v>Export</v>
      </c>
      <c r="F595" s="720" t="str" cm="1">
        <f t="array" ref="F595">_xlfn.IFS(
  OR(AI595="E11", AI595="E15"), "Raw materials",
  OR(AI595="E13", AI595="G13"), "Equipments + Toolings",
  TRUE, RIGHT(C595, 8)
)</f>
        <v>INV06886</v>
      </c>
      <c r="G595" s="541" t="str" cm="1">
        <f t="array" ref="G595">IF(E595="Import",
  IFERROR(
    _xlfn.IFS(
      VLOOKUP(B595,[1]Material!F$5:U$90000,16,0)="LUC","Lucid",
      VLOOKUP(B595,[1]Material!F$5:U$90000,16,0)="FMC","FORD",
      OR(VLOOKUP(B595,[1]Material!F$5:U$90000,16,0)="PUR",VLOOKUP(B595,[1]Material!F$5:U$90000,16,0)="HLO"),"PURE",
      VLOOKUP(B595,[1]Material!F$5:U$90000,16,0)="AIC","AIC",
      OR(VLOOKUP(B595,[1]Material!F$5:U$90000,16,0)="AGI",VLOOKUP(B595,[1]Material!F$5:U$90000,16,0)="AGIGA"),"AGIGA",
      OR(LEFT(VLOOKUP(B595,[1]Material!F$5:U$90000,16,0),3)="EF-",VLOOKUP(B595,[1]Material!F$5:U$90000,16,0)="EFI"),"EFI",
      AND(ISNUMBER(VLOOKUP(B595,[1]Material!F$5:U$90000,16,0)),VLOOKUP(B595,[1]Material!F$5:U$90000,16,0)&gt;=100,VLOOKUP(B595,[1]Material!F$5:U$90000,16,0)&lt;=999,VLOOKUP(B595,[1]Material!F$5:U$90000,16,0)=INT(VLOOKUP(B595,[1]Material!F$5:U$90000,16,0))),"OEM",
      TRUE,""
    ),
    "không tìm thấy trong file Import"
  ),
  VLOOKUP(F595,'[2]Export shipment'!B:Y,24,0)
)</f>
        <v>PURE</v>
      </c>
      <c r="H595" s="184" t="str">
        <f>VLOOKUP(F595,'[2]Export shipment'!B$8:AA$9479,26,)</f>
        <v>x</v>
      </c>
      <c r="I595" s="184" t="str">
        <f>VLOOKUP(F595,'[2]Export shipment'!B$8:Z$9479,25,'[2]Export shipment'!$S$460)</f>
        <v>RMA</v>
      </c>
      <c r="J595" s="260">
        <f>(V595+X595+AA595)/'Logistics record '!$AD$1</f>
        <v>24.563525054795555</v>
      </c>
      <c r="K595" s="260">
        <f>W595/'Logistics record '!$AD$1</f>
        <v>0</v>
      </c>
      <c r="L595" s="260">
        <f>Y595/'Logistics record '!$AD$1</f>
        <v>0</v>
      </c>
      <c r="M595" s="260">
        <f>AF595/'Logistics record '!$AD$1</f>
        <v>0</v>
      </c>
      <c r="N595" s="260" t="str" cm="1">
        <f t="array" ref="N595">_xlfn.IFS(
    OR(UPPER(S595)="AIR", UPPER(S595)="CPN"), "AIR",
    UPPER(S595)="TC", "LOCAL",
    TRUE, "SEA"
)</f>
        <v>AIR</v>
      </c>
      <c r="O595" s="260">
        <f t="shared" si="36"/>
        <v>24.563525054795555</v>
      </c>
      <c r="P595" s="184" t="s">
        <v>935</v>
      </c>
      <c r="Q595" s="185">
        <v>308645674061</v>
      </c>
      <c r="R595" s="186">
        <v>46190</v>
      </c>
      <c r="S595" s="187" t="s">
        <v>928</v>
      </c>
      <c r="T595" s="188">
        <v>15.5</v>
      </c>
      <c r="U595" s="188"/>
      <c r="V595" s="189">
        <v>400000</v>
      </c>
      <c r="W595" s="190"/>
      <c r="X595" s="190">
        <v>250000</v>
      </c>
      <c r="Y595" s="190"/>
      <c r="Z595" s="189">
        <f t="shared" si="52"/>
        <v>650000</v>
      </c>
      <c r="AA595" s="189">
        <v>0</v>
      </c>
      <c r="AB595" s="189">
        <f t="shared" si="41"/>
        <v>650000</v>
      </c>
      <c r="AC595" s="189"/>
      <c r="AD595" s="190"/>
      <c r="AE595" s="190"/>
      <c r="AF595" s="191">
        <f t="shared" si="50"/>
        <v>0</v>
      </c>
      <c r="AG595" s="190">
        <f t="shared" si="51"/>
        <v>650000</v>
      </c>
      <c r="AH595" s="190"/>
      <c r="AI595" s="192" t="str">
        <f>VLOOKUP(Q595,[3]Sheet1!B$11:G$1489,6,0)</f>
        <v>G23</v>
      </c>
      <c r="GK595" s="194"/>
      <c r="GL595" s="195"/>
      <c r="GM595" s="196"/>
      <c r="GN595" s="197"/>
      <c r="GO595" s="198"/>
      <c r="GP595" s="199"/>
      <c r="GQ595" s="200"/>
      <c r="GR595" s="201"/>
      <c r="GS595" s="60"/>
      <c r="GT595" s="202"/>
      <c r="GU595" s="202"/>
      <c r="GV595" s="202"/>
      <c r="GW595" s="202"/>
      <c r="GX595" s="203"/>
      <c r="HA595" s="194"/>
      <c r="HB595" s="195"/>
      <c r="HC595" s="196"/>
      <c r="HD595" s="197"/>
      <c r="HE595" s="198"/>
      <c r="HF595" s="199"/>
      <c r="HG595" s="200"/>
      <c r="HH595" s="201"/>
      <c r="HI595" s="60"/>
      <c r="HJ595" s="202"/>
      <c r="HK595" s="202"/>
      <c r="HL595" s="202"/>
      <c r="HM595" s="202"/>
      <c r="HN595" s="203"/>
    </row>
    <row r="596" spans="1:222" ht="16.5" customHeight="1">
      <c r="A596" s="181">
        <v>593</v>
      </c>
      <c r="B596" s="182" t="s">
        <v>7</v>
      </c>
      <c r="C596" s="183" t="s">
        <v>2995</v>
      </c>
      <c r="D596" s="184" t="s">
        <v>1001</v>
      </c>
      <c r="E596" s="184" t="str">
        <f t="shared" si="53"/>
        <v>Export</v>
      </c>
      <c r="F596" s="720" t="str" cm="1">
        <f t="array" ref="F596">_xlfn.IFS(
  OR(AI596="E11", AI596="E15"), "Raw materials",
  OR(AI596="E13", AI596="G13"), "Equipments + Toolings",
  TRUE, RIGHT(C596, 8)
)</f>
        <v>INV06887</v>
      </c>
      <c r="G596" s="541" t="str" cm="1">
        <f t="array" ref="G596">IF(E596="Import",
  IFERROR(
    _xlfn.IFS(
      VLOOKUP(B596,[1]Material!F$5:U$90000,16,0)="LUC","Lucid",
      VLOOKUP(B596,[1]Material!F$5:U$90000,16,0)="FMC","FORD",
      OR(VLOOKUP(B596,[1]Material!F$5:U$90000,16,0)="PUR",VLOOKUP(B596,[1]Material!F$5:U$90000,16,0)="HLO"),"PURE",
      VLOOKUP(B596,[1]Material!F$5:U$90000,16,0)="AIC","AIC",
      OR(VLOOKUP(B596,[1]Material!F$5:U$90000,16,0)="AGI",VLOOKUP(B596,[1]Material!F$5:U$90000,16,0)="AGIGA"),"AGIGA",
      OR(LEFT(VLOOKUP(B596,[1]Material!F$5:U$90000,16,0),3)="EF-",VLOOKUP(B596,[1]Material!F$5:U$90000,16,0)="EFI"),"EFI",
      AND(ISNUMBER(VLOOKUP(B596,[1]Material!F$5:U$90000,16,0)),VLOOKUP(B596,[1]Material!F$5:U$90000,16,0)&gt;=100,VLOOKUP(B596,[1]Material!F$5:U$90000,16,0)&lt;=999,VLOOKUP(B596,[1]Material!F$5:U$90000,16,0)=INT(VLOOKUP(B596,[1]Material!F$5:U$90000,16,0))),"OEM",
      TRUE,""
    ),
    "không tìm thấy trong file Import"
  ),
  VLOOKUP(F596,'[2]Export shipment'!B:Y,24,0)
)</f>
        <v>PURE</v>
      </c>
      <c r="H596" s="184" t="str">
        <f>VLOOKUP(F596,'[2]Export shipment'!B$8:AA$9479,26,)</f>
        <v>x</v>
      </c>
      <c r="I596" s="184" t="str">
        <f>VLOOKUP(F596,'[2]Export shipment'!B$8:Z$9479,25,'[2]Export shipment'!$S$460)</f>
        <v>x</v>
      </c>
      <c r="J596" s="260">
        <f>(V596+X596+AA596)/'Logistics record '!$AD$1</f>
        <v>24.563525054795555</v>
      </c>
      <c r="K596" s="260">
        <f>W596/'Logistics record '!$AD$1</f>
        <v>22.674023127503592</v>
      </c>
      <c r="L596" s="260">
        <f>Y596/'Logistics record '!$AD$1</f>
        <v>0</v>
      </c>
      <c r="M596" s="260">
        <f>AF596/'Logistics record '!$AD$1</f>
        <v>0</v>
      </c>
      <c r="N596" s="260" t="str" cm="1">
        <f t="array" ref="N596">_xlfn.IFS(
    OR(UPPER(S596)="AIR", UPPER(S596)="CPN"), "AIR",
    UPPER(S596)="TC", "LOCAL",
    TRUE, "SEA"
)</f>
        <v>AIR</v>
      </c>
      <c r="O596" s="260">
        <f t="shared" si="36"/>
        <v>47.23754818229915</v>
      </c>
      <c r="P596" s="184" t="s">
        <v>946</v>
      </c>
      <c r="Q596" s="185">
        <v>308645704751</v>
      </c>
      <c r="R596" s="186">
        <v>46190</v>
      </c>
      <c r="S596" s="187" t="s">
        <v>928</v>
      </c>
      <c r="T596" s="188">
        <v>10.6</v>
      </c>
      <c r="U596" s="188"/>
      <c r="V596" s="189">
        <v>400000</v>
      </c>
      <c r="W596" s="190">
        <v>600000</v>
      </c>
      <c r="X596" s="190">
        <v>250000</v>
      </c>
      <c r="Y596" s="190"/>
      <c r="Z596" s="189">
        <f t="shared" si="52"/>
        <v>1250000</v>
      </c>
      <c r="AA596" s="189">
        <v>0</v>
      </c>
      <c r="AB596" s="189">
        <f t="shared" si="41"/>
        <v>1250000</v>
      </c>
      <c r="AC596" s="189"/>
      <c r="AD596" s="190"/>
      <c r="AE596" s="190"/>
      <c r="AF596" s="191">
        <f t="shared" si="50"/>
        <v>0</v>
      </c>
      <c r="AG596" s="190">
        <f t="shared" si="51"/>
        <v>1250000</v>
      </c>
      <c r="AH596" s="190"/>
      <c r="AI596" s="192" t="str">
        <f>VLOOKUP(Q596,[3]Sheet1!B$11:G$1489,6,0)</f>
        <v>G23</v>
      </c>
      <c r="GK596" s="194"/>
      <c r="GL596" s="195"/>
      <c r="GM596" s="196"/>
      <c r="GN596" s="197"/>
      <c r="GO596" s="198"/>
      <c r="GP596" s="199"/>
      <c r="GQ596" s="200"/>
      <c r="GR596" s="201"/>
      <c r="GS596" s="60"/>
      <c r="GT596" s="202"/>
      <c r="GU596" s="202"/>
      <c r="GV596" s="202"/>
      <c r="GW596" s="202"/>
      <c r="GX596" s="203"/>
      <c r="HA596" s="194"/>
      <c r="HB596" s="195"/>
      <c r="HC596" s="196"/>
      <c r="HD596" s="197"/>
      <c r="HE596" s="198"/>
      <c r="HF596" s="199"/>
      <c r="HG596" s="200"/>
      <c r="HH596" s="201"/>
      <c r="HI596" s="60"/>
      <c r="HJ596" s="202"/>
      <c r="HK596" s="202"/>
      <c r="HL596" s="202"/>
      <c r="HM596" s="202"/>
      <c r="HN596" s="203"/>
    </row>
    <row r="597" spans="1:222" ht="16.5" customHeight="1">
      <c r="A597" s="181">
        <v>594</v>
      </c>
      <c r="B597" s="182" t="s">
        <v>7</v>
      </c>
      <c r="C597" s="183" t="s">
        <v>2996</v>
      </c>
      <c r="D597" s="184" t="s">
        <v>1023</v>
      </c>
      <c r="E597" s="184" t="str">
        <f t="shared" si="53"/>
        <v>Export</v>
      </c>
      <c r="F597" s="720" t="str" cm="1">
        <f t="array" ref="F597">_xlfn.IFS(
  OR(AI597="E11", AI597="E15"), "Raw materials",
  OR(AI597="E13", AI597="G13"), "Equipments + Toolings",
  TRUE, RIGHT(C597, 8)
)</f>
        <v>INV06871</v>
      </c>
      <c r="G597" s="541" t="str" cm="1">
        <f t="array" ref="G597">IF(E597="Import",
  IFERROR(
    _xlfn.IFS(
      VLOOKUP(B597,[1]Material!F$5:U$90000,16,0)="LUC","Lucid",
      VLOOKUP(B597,[1]Material!F$5:U$90000,16,0)="FMC","FORD",
      OR(VLOOKUP(B597,[1]Material!F$5:U$90000,16,0)="PUR",VLOOKUP(B597,[1]Material!F$5:U$90000,16,0)="HLO"),"PURE",
      VLOOKUP(B597,[1]Material!F$5:U$90000,16,0)="AIC","AIC",
      OR(VLOOKUP(B597,[1]Material!F$5:U$90000,16,0)="AGI",VLOOKUP(B597,[1]Material!F$5:U$90000,16,0)="AGIGA"),"AGIGA",
      OR(LEFT(VLOOKUP(B597,[1]Material!F$5:U$90000,16,0),3)="EF-",VLOOKUP(B597,[1]Material!F$5:U$90000,16,0)="EFI"),"EFI",
      AND(ISNUMBER(VLOOKUP(B597,[1]Material!F$5:U$90000,16,0)),VLOOKUP(B597,[1]Material!F$5:U$90000,16,0)&gt;=100,VLOOKUP(B597,[1]Material!F$5:U$90000,16,0)&lt;=999,VLOOKUP(B597,[1]Material!F$5:U$90000,16,0)=INT(VLOOKUP(B597,[1]Material!F$5:U$90000,16,0))),"OEM",
      TRUE,""
    ),
    "không tìm thấy trong file Import"
  ),
  VLOOKUP(F597,'[2]Export shipment'!B:Y,24,0)
)</f>
        <v>Lucid</v>
      </c>
      <c r="H597" s="184" t="str">
        <f>VLOOKUP(F597,'[2]Export shipment'!B$8:AA$9479,26,)</f>
        <v>x</v>
      </c>
      <c r="I597" s="184" t="str">
        <f>VLOOKUP(F597,'[2]Export shipment'!B$8:Z$9479,25,'[2]Export shipment'!$S$460)</f>
        <v>x</v>
      </c>
      <c r="J597" s="260">
        <f>(V597+X597+AA597)/'Logistics record '!$AD$1</f>
        <v>15.116015418335726</v>
      </c>
      <c r="K597" s="260">
        <f>W597/'Logistics record '!$AD$1</f>
        <v>0</v>
      </c>
      <c r="L597" s="260">
        <f>Y597/'Logistics record '!$AD$1</f>
        <v>0</v>
      </c>
      <c r="M597" s="260">
        <f>AF597/'Logistics record '!$AD$1</f>
        <v>0</v>
      </c>
      <c r="N597" s="260" t="str" cm="1">
        <f t="array" ref="N597">_xlfn.IFS(
    OR(UPPER(S597)="AIR", UPPER(S597)="CPN"), "AIR",
    UPPER(S597)="TC", "LOCAL",
    TRUE, "SEA"
)</f>
        <v>AIR</v>
      </c>
      <c r="O597" s="260">
        <f t="shared" si="36"/>
        <v>15.116015418335726</v>
      </c>
      <c r="P597" s="184" t="s">
        <v>959</v>
      </c>
      <c r="Q597" s="185">
        <v>308647836250</v>
      </c>
      <c r="R597" s="186">
        <v>46190</v>
      </c>
      <c r="S597" s="187" t="s">
        <v>65</v>
      </c>
      <c r="T597" s="188">
        <v>861</v>
      </c>
      <c r="U597" s="188"/>
      <c r="V597" s="189">
        <v>400000</v>
      </c>
      <c r="W597" s="190"/>
      <c r="X597" s="190"/>
      <c r="Y597" s="190"/>
      <c r="Z597" s="189">
        <f t="shared" si="52"/>
        <v>400000</v>
      </c>
      <c r="AA597" s="189">
        <v>0</v>
      </c>
      <c r="AB597" s="189">
        <f t="shared" si="41"/>
        <v>400000</v>
      </c>
      <c r="AC597" s="189"/>
      <c r="AD597" s="190"/>
      <c r="AE597" s="190"/>
      <c r="AF597" s="191">
        <f t="shared" si="50"/>
        <v>0</v>
      </c>
      <c r="AG597" s="190">
        <f t="shared" si="51"/>
        <v>400000</v>
      </c>
      <c r="AH597" s="190"/>
      <c r="AI597" s="192" t="str">
        <f>VLOOKUP(Q597,[3]Sheet1!B$11:G$1489,6,0)</f>
        <v>E42</v>
      </c>
      <c r="GK597" s="194"/>
      <c r="GL597" s="195"/>
      <c r="GM597" s="196"/>
      <c r="GN597" s="197"/>
      <c r="GO597" s="198"/>
      <c r="GP597" s="199"/>
      <c r="GQ597" s="200"/>
      <c r="GR597" s="201"/>
      <c r="GS597" s="60"/>
      <c r="GT597" s="202"/>
      <c r="GU597" s="202"/>
      <c r="GV597" s="202"/>
      <c r="GW597" s="202"/>
      <c r="GX597" s="203"/>
      <c r="HA597" s="194"/>
      <c r="HB597" s="195"/>
      <c r="HC597" s="196"/>
      <c r="HD597" s="197"/>
      <c r="HE597" s="198"/>
      <c r="HF597" s="199"/>
      <c r="HG597" s="200"/>
      <c r="HH597" s="201"/>
      <c r="HI597" s="60"/>
      <c r="HJ597" s="202"/>
      <c r="HK597" s="202"/>
      <c r="HL597" s="202"/>
      <c r="HM597" s="202"/>
      <c r="HN597" s="203"/>
    </row>
    <row r="598" spans="1:222" ht="16.5" customHeight="1">
      <c r="A598" s="181">
        <v>595</v>
      </c>
      <c r="B598" s="182" t="s">
        <v>7</v>
      </c>
      <c r="C598" s="183" t="s">
        <v>2997</v>
      </c>
      <c r="D598" s="184" t="s">
        <v>1728</v>
      </c>
      <c r="E598" s="184" t="str">
        <f t="shared" si="53"/>
        <v>Export</v>
      </c>
      <c r="F598" s="720" t="str" cm="1">
        <f t="array" ref="F598">_xlfn.IFS(
  OR(AI598="E11", AI598="E15"), "Raw materials",
  OR(AI598="E13", AI598="G13"), "Equipments + Toolings",
  TRUE, RIGHT(C598, 8)
)</f>
        <v>INV06882</v>
      </c>
      <c r="G598" s="541" t="str" cm="1">
        <f t="array" ref="G598">IF(E598="Import",
  IFERROR(
    _xlfn.IFS(
      VLOOKUP(B598,[1]Material!F$5:U$90000,16,0)="LUC","Lucid",
      VLOOKUP(B598,[1]Material!F$5:U$90000,16,0)="FMC","FORD",
      OR(VLOOKUP(B598,[1]Material!F$5:U$90000,16,0)="PUR",VLOOKUP(B598,[1]Material!F$5:U$90000,16,0)="HLO"),"PURE",
      VLOOKUP(B598,[1]Material!F$5:U$90000,16,0)="AIC","AIC",
      OR(VLOOKUP(B598,[1]Material!F$5:U$90000,16,0)="AGI",VLOOKUP(B598,[1]Material!F$5:U$90000,16,0)="AGIGA"),"AGIGA",
      OR(LEFT(VLOOKUP(B598,[1]Material!F$5:U$90000,16,0),3)="EF-",VLOOKUP(B598,[1]Material!F$5:U$90000,16,0)="EFI"),"EFI",
      AND(ISNUMBER(VLOOKUP(B598,[1]Material!F$5:U$90000,16,0)),VLOOKUP(B598,[1]Material!F$5:U$90000,16,0)&gt;=100,VLOOKUP(B598,[1]Material!F$5:U$90000,16,0)&lt;=999,VLOOKUP(B598,[1]Material!F$5:U$90000,16,0)=INT(VLOOKUP(B598,[1]Material!F$5:U$90000,16,0))),"OEM",
      TRUE,""
    ),
    "không tìm thấy trong file Import"
  ),
  VLOOKUP(F598,'[2]Export shipment'!B:Y,24,0)
)</f>
        <v>Lucid</v>
      </c>
      <c r="H598" s="184" t="str">
        <f>VLOOKUP(F598,'[2]Export shipment'!B$8:AA$9479,26,)</f>
        <v>x</v>
      </c>
      <c r="I598" s="184" t="str">
        <f>VLOOKUP(F598,'[2]Export shipment'!B$8:Z$9479,25,'[2]Export shipment'!$S$460)</f>
        <v>x</v>
      </c>
      <c r="J598" s="260">
        <f>(V598+X598+AA598)/'Logistics record '!$AD$1</f>
        <v>15.116015418335726</v>
      </c>
      <c r="K598" s="260">
        <f>W598/'Logistics record '!$AD$1</f>
        <v>0</v>
      </c>
      <c r="L598" s="260">
        <f>Y598/'Logistics record '!$AD$1</f>
        <v>0</v>
      </c>
      <c r="M598" s="260">
        <f>AF598/'Logistics record '!$AD$1</f>
        <v>0</v>
      </c>
      <c r="N598" s="260" t="str" cm="1">
        <f t="array" ref="N598">_xlfn.IFS(
    OR(UPPER(S598)="AIR", UPPER(S598)="CPN"), "AIR",
    UPPER(S598)="TC", "LOCAL",
    TRUE, "SEA"
)</f>
        <v>SEA</v>
      </c>
      <c r="O598" s="260">
        <f t="shared" si="36"/>
        <v>15.116015418335726</v>
      </c>
      <c r="P598" s="184" t="s">
        <v>935</v>
      </c>
      <c r="Q598" s="185">
        <v>308649051120</v>
      </c>
      <c r="R598" s="186">
        <v>46190</v>
      </c>
      <c r="S598" s="187" t="s">
        <v>933</v>
      </c>
      <c r="T598" s="188">
        <v>1715.4</v>
      </c>
      <c r="U598" s="188"/>
      <c r="V598" s="189">
        <v>400000</v>
      </c>
      <c r="W598" s="190"/>
      <c r="X598" s="190"/>
      <c r="Y598" s="190"/>
      <c r="Z598" s="189">
        <f t="shared" si="52"/>
        <v>400000</v>
      </c>
      <c r="AA598" s="189">
        <v>0</v>
      </c>
      <c r="AB598" s="189">
        <f t="shared" si="41"/>
        <v>400000</v>
      </c>
      <c r="AC598" s="189"/>
      <c r="AD598" s="190"/>
      <c r="AE598" s="190"/>
      <c r="AF598" s="191">
        <f t="shared" si="50"/>
        <v>0</v>
      </c>
      <c r="AG598" s="190">
        <f t="shared" si="51"/>
        <v>400000</v>
      </c>
      <c r="AH598" s="190"/>
      <c r="AI598" s="192" t="str">
        <f>VLOOKUP(Q598,[3]Sheet1!B$11:G$1489,6,0)</f>
        <v>E42</v>
      </c>
      <c r="GK598" s="194"/>
      <c r="GL598" s="195"/>
      <c r="GM598" s="196"/>
      <c r="GN598" s="197"/>
      <c r="GO598" s="198"/>
      <c r="GP598" s="199"/>
      <c r="GQ598" s="200"/>
      <c r="GR598" s="201"/>
      <c r="GS598" s="60"/>
      <c r="GT598" s="202"/>
      <c r="GU598" s="202"/>
      <c r="GV598" s="202"/>
      <c r="GW598" s="202"/>
      <c r="GX598" s="203"/>
      <c r="HA598" s="194"/>
      <c r="HB598" s="195"/>
      <c r="HC598" s="196"/>
      <c r="HD598" s="197"/>
      <c r="HE598" s="198"/>
      <c r="HF598" s="199"/>
      <c r="HG598" s="200"/>
      <c r="HH598" s="201"/>
      <c r="HI598" s="60"/>
      <c r="HJ598" s="202"/>
      <c r="HK598" s="202"/>
      <c r="HL598" s="202"/>
      <c r="HM598" s="202"/>
      <c r="HN598" s="203"/>
    </row>
    <row r="599" spans="1:222" ht="16.5" customHeight="1">
      <c r="A599" s="181">
        <v>596</v>
      </c>
      <c r="B599" s="182" t="s">
        <v>7</v>
      </c>
      <c r="C599" s="183" t="s">
        <v>2998</v>
      </c>
      <c r="D599" s="184" t="s">
        <v>1501</v>
      </c>
      <c r="E599" s="184" t="str">
        <f t="shared" si="53"/>
        <v>Export</v>
      </c>
      <c r="F599" s="720" t="str" cm="1">
        <f t="array" ref="F599">_xlfn.IFS(
  OR(AI599="E11", AI599="E15"), "Raw materials",
  OR(AI599="E13", AI599="G13"), "Equipments + Toolings",
  TRUE, RIGHT(C599, 8)
)</f>
        <v>INV06881</v>
      </c>
      <c r="G599" s="541" t="str" cm="1">
        <f t="array" ref="G599">IF(E599="Import",
  IFERROR(
    _xlfn.IFS(
      VLOOKUP(B599,[1]Material!F$5:U$90000,16,0)="LUC","Lucid",
      VLOOKUP(B599,[1]Material!F$5:U$90000,16,0)="FMC","FORD",
      OR(VLOOKUP(B599,[1]Material!F$5:U$90000,16,0)="PUR",VLOOKUP(B599,[1]Material!F$5:U$90000,16,0)="HLO"),"PURE",
      VLOOKUP(B599,[1]Material!F$5:U$90000,16,0)="AIC","AIC",
      OR(VLOOKUP(B599,[1]Material!F$5:U$90000,16,0)="AGI",VLOOKUP(B599,[1]Material!F$5:U$90000,16,0)="AGIGA"),"AGIGA",
      OR(LEFT(VLOOKUP(B599,[1]Material!F$5:U$90000,16,0),3)="EF-",VLOOKUP(B599,[1]Material!F$5:U$90000,16,0)="EFI"),"EFI",
      AND(ISNUMBER(VLOOKUP(B599,[1]Material!F$5:U$90000,16,0)),VLOOKUP(B599,[1]Material!F$5:U$90000,16,0)&gt;=100,VLOOKUP(B599,[1]Material!F$5:U$90000,16,0)&lt;=999,VLOOKUP(B599,[1]Material!F$5:U$90000,16,0)=INT(VLOOKUP(B599,[1]Material!F$5:U$90000,16,0))),"OEM",
      TRUE,""
    ),
    "không tìm thấy trong file Import"
  ),
  VLOOKUP(F599,'[2]Export shipment'!B:Y,24,0)
)</f>
        <v>Lucid</v>
      </c>
      <c r="H599" s="184" t="str">
        <f>VLOOKUP(F599,'[2]Export shipment'!B$8:AA$9479,26,)</f>
        <v>x</v>
      </c>
      <c r="I599" s="184" t="str">
        <f>VLOOKUP(F599,'[2]Export shipment'!B$8:Z$9479,25,'[2]Export shipment'!$S$460)</f>
        <v>x</v>
      </c>
      <c r="J599" s="260">
        <f>(V599+X599+AA599)/'Logistics record '!$AD$1</f>
        <v>15.116015418335726</v>
      </c>
      <c r="K599" s="260">
        <f>W599/'Logistics record '!$AD$1</f>
        <v>0</v>
      </c>
      <c r="L599" s="260">
        <f>Y599/'Logistics record '!$AD$1</f>
        <v>0</v>
      </c>
      <c r="M599" s="260">
        <f>AF599/'Logistics record '!$AD$1</f>
        <v>0</v>
      </c>
      <c r="N599" s="260" t="str" cm="1">
        <f t="array" ref="N599">_xlfn.IFS(
    OR(UPPER(S599)="AIR", UPPER(S599)="CPN"), "AIR",
    UPPER(S599)="TC", "LOCAL",
    TRUE, "SEA"
)</f>
        <v>AIR</v>
      </c>
      <c r="O599" s="260">
        <f t="shared" si="36"/>
        <v>15.116015418335726</v>
      </c>
      <c r="P599" s="184" t="s">
        <v>935</v>
      </c>
      <c r="Q599" s="185">
        <v>308650996750</v>
      </c>
      <c r="R599" s="186">
        <v>46191</v>
      </c>
      <c r="S599" s="187" t="s">
        <v>65</v>
      </c>
      <c r="T599" s="188">
        <v>142.19999999999999</v>
      </c>
      <c r="U599" s="188"/>
      <c r="V599" s="189">
        <v>400000</v>
      </c>
      <c r="W599" s="190"/>
      <c r="X599" s="190"/>
      <c r="Y599" s="190"/>
      <c r="Z599" s="189">
        <f t="shared" si="52"/>
        <v>400000</v>
      </c>
      <c r="AA599" s="189">
        <v>0</v>
      </c>
      <c r="AB599" s="189">
        <f t="shared" si="41"/>
        <v>400000</v>
      </c>
      <c r="AC599" s="189"/>
      <c r="AD599" s="190"/>
      <c r="AE599" s="190"/>
      <c r="AF599" s="191">
        <f t="shared" si="50"/>
        <v>0</v>
      </c>
      <c r="AG599" s="190">
        <f t="shared" si="51"/>
        <v>400000</v>
      </c>
      <c r="AH599" s="190"/>
      <c r="AI599" s="192" t="str">
        <f>VLOOKUP(Q599,[3]Sheet1!B$11:G$1489,6,0)</f>
        <v>E42</v>
      </c>
      <c r="GK599" s="194"/>
      <c r="GL599" s="195"/>
      <c r="GM599" s="196"/>
      <c r="GN599" s="197"/>
      <c r="GO599" s="198"/>
      <c r="GP599" s="199"/>
      <c r="GQ599" s="200"/>
      <c r="GR599" s="201"/>
      <c r="GS599" s="60"/>
      <c r="GT599" s="202"/>
      <c r="GU599" s="202"/>
      <c r="GV599" s="202"/>
      <c r="GW599" s="202"/>
      <c r="GX599" s="203"/>
      <c r="HA599" s="194"/>
      <c r="HB599" s="195"/>
      <c r="HC599" s="196"/>
      <c r="HD599" s="197"/>
      <c r="HE599" s="198"/>
      <c r="HF599" s="199"/>
      <c r="HG599" s="200"/>
      <c r="HH599" s="201"/>
      <c r="HI599" s="60"/>
      <c r="HJ599" s="202"/>
      <c r="HK599" s="202"/>
      <c r="HL599" s="202"/>
      <c r="HM599" s="202"/>
      <c r="HN599" s="203"/>
    </row>
    <row r="600" spans="1:222" ht="16.5" customHeight="1">
      <c r="A600" s="181">
        <v>597</v>
      </c>
      <c r="B600" s="182" t="s">
        <v>7</v>
      </c>
      <c r="C600" s="183" t="s">
        <v>2999</v>
      </c>
      <c r="D600" s="184" t="s">
        <v>82</v>
      </c>
      <c r="E600" s="184" t="str">
        <f t="shared" si="53"/>
        <v>Export</v>
      </c>
      <c r="F600" s="720" t="str" cm="1">
        <f t="array" ref="F600">_xlfn.IFS(
  OR(AI600="E11", AI600="E15"), "Raw materials",
  OR(AI600="E13", AI600="G13"), "Equipments + Toolings",
  TRUE, RIGHT(C600, 8)
)</f>
        <v>INV06888</v>
      </c>
      <c r="G600" s="541" t="str" cm="1">
        <f t="array" ref="G600">IF(E600="Import",
  IFERROR(
    _xlfn.IFS(
      VLOOKUP(B600,[1]Material!F$5:U$90000,16,0)="LUC","Lucid",
      VLOOKUP(B600,[1]Material!F$5:U$90000,16,0)="FMC","FORD",
      OR(VLOOKUP(B600,[1]Material!F$5:U$90000,16,0)="PUR",VLOOKUP(B600,[1]Material!F$5:U$90000,16,0)="HLO"),"PURE",
      VLOOKUP(B600,[1]Material!F$5:U$90000,16,0)="AIC","AIC",
      OR(VLOOKUP(B600,[1]Material!F$5:U$90000,16,0)="AGI",VLOOKUP(B600,[1]Material!F$5:U$90000,16,0)="AGIGA"),"AGIGA",
      OR(LEFT(VLOOKUP(B600,[1]Material!F$5:U$90000,16,0),3)="EF-",VLOOKUP(B600,[1]Material!F$5:U$90000,16,0)="EFI"),"EFI",
      AND(ISNUMBER(VLOOKUP(B600,[1]Material!F$5:U$90000,16,0)),VLOOKUP(B600,[1]Material!F$5:U$90000,16,0)&gt;=100,VLOOKUP(B600,[1]Material!F$5:U$90000,16,0)&lt;=999,VLOOKUP(B600,[1]Material!F$5:U$90000,16,0)=INT(VLOOKUP(B600,[1]Material!F$5:U$90000,16,0))),"OEM",
      TRUE,""
    ),
    "không tìm thấy trong file Import"
  ),
  VLOOKUP(F600,'[2]Export shipment'!B:Y,24,0)
)</f>
        <v>EFI</v>
      </c>
      <c r="H600" s="184" t="str">
        <f>VLOOKUP(F600,'[2]Export shipment'!B$8:AA$9479,26,)</f>
        <v>x</v>
      </c>
      <c r="I600" s="184" t="str">
        <f>VLOOKUP(F600,'[2]Export shipment'!B$8:Z$9479,25,'[2]Export shipment'!$S$460)</f>
        <v>x</v>
      </c>
      <c r="J600" s="260">
        <f>(V600+X600+AA600)/'Logistics record '!$AD$1</f>
        <v>15.116015418335726</v>
      </c>
      <c r="K600" s="260">
        <f>W600/'Logistics record '!$AD$1</f>
        <v>0</v>
      </c>
      <c r="L600" s="260">
        <f>Y600/'Logistics record '!$AD$1</f>
        <v>0</v>
      </c>
      <c r="M600" s="260">
        <f>AF600/'Logistics record '!$AD$1</f>
        <v>0</v>
      </c>
      <c r="N600" s="260" t="str" cm="1">
        <f t="array" ref="N600">_xlfn.IFS(
    OR(UPPER(S600)="AIR", UPPER(S600)="CPN"), "AIR",
    UPPER(S600)="TC", "LOCAL",
    TRUE, "SEA"
)</f>
        <v>AIR</v>
      </c>
      <c r="O600" s="260">
        <f t="shared" si="36"/>
        <v>15.116015418335726</v>
      </c>
      <c r="P600" s="184" t="s">
        <v>935</v>
      </c>
      <c r="Q600" s="185">
        <v>308655163740</v>
      </c>
      <c r="R600" s="186">
        <v>46192</v>
      </c>
      <c r="S600" s="187" t="s">
        <v>928</v>
      </c>
      <c r="T600" s="188">
        <v>102</v>
      </c>
      <c r="U600" s="188"/>
      <c r="V600" s="189">
        <v>400000</v>
      </c>
      <c r="W600" s="190"/>
      <c r="X600" s="190"/>
      <c r="Y600" s="190"/>
      <c r="Z600" s="189">
        <f t="shared" si="52"/>
        <v>400000</v>
      </c>
      <c r="AA600" s="189">
        <v>0</v>
      </c>
      <c r="AB600" s="189">
        <f t="shared" si="41"/>
        <v>400000</v>
      </c>
      <c r="AC600" s="189"/>
      <c r="AD600" s="190"/>
      <c r="AE600" s="190"/>
      <c r="AF600" s="191">
        <f t="shared" si="50"/>
        <v>0</v>
      </c>
      <c r="AG600" s="190">
        <f t="shared" si="51"/>
        <v>400000</v>
      </c>
      <c r="AH600" s="190"/>
      <c r="AI600" s="192" t="str">
        <f>VLOOKUP(Q600,[3]Sheet1!B$11:G$1489,6,0)</f>
        <v>E42</v>
      </c>
      <c r="GK600" s="194"/>
      <c r="GL600" s="195"/>
      <c r="GM600" s="196"/>
      <c r="GN600" s="197"/>
      <c r="GO600" s="198"/>
      <c r="GP600" s="199"/>
      <c r="GQ600" s="200"/>
      <c r="GR600" s="201"/>
      <c r="GS600" s="60"/>
      <c r="GT600" s="202"/>
      <c r="GU600" s="202"/>
      <c r="GV600" s="202"/>
      <c r="GW600" s="202"/>
      <c r="GX600" s="203"/>
      <c r="HA600" s="194"/>
      <c r="HB600" s="195"/>
      <c r="HC600" s="196"/>
      <c r="HD600" s="197"/>
      <c r="HE600" s="198"/>
      <c r="HF600" s="199"/>
      <c r="HG600" s="200"/>
      <c r="HH600" s="201"/>
      <c r="HI600" s="60"/>
      <c r="HJ600" s="202"/>
      <c r="HK600" s="202"/>
      <c r="HL600" s="202"/>
      <c r="HM600" s="202"/>
      <c r="HN600" s="203"/>
    </row>
    <row r="601" spans="1:222" ht="16.5" customHeight="1">
      <c r="A601" s="181">
        <v>598</v>
      </c>
      <c r="B601" s="182" t="s">
        <v>7</v>
      </c>
      <c r="C601" s="183" t="s">
        <v>3000</v>
      </c>
      <c r="D601" s="184" t="s">
        <v>1728</v>
      </c>
      <c r="E601" s="184" t="str">
        <f t="shared" si="53"/>
        <v>Export</v>
      </c>
      <c r="F601" s="720" t="str" cm="1">
        <f t="array" ref="F601">_xlfn.IFS(
  OR(AI601="E11", AI601="E15"), "Raw materials",
  OR(AI601="E13", AI601="G13"), "Equipments + Toolings",
  TRUE, RIGHT(C601, 8)
)</f>
        <v>INV06884</v>
      </c>
      <c r="G601" s="541" t="str" cm="1">
        <f t="array" ref="G601">IF(E601="Import",
  IFERROR(
    _xlfn.IFS(
      VLOOKUP(B601,[1]Material!F$5:U$90000,16,0)="LUC","Lucid",
      VLOOKUP(B601,[1]Material!F$5:U$90000,16,0)="FMC","FORD",
      OR(VLOOKUP(B601,[1]Material!F$5:U$90000,16,0)="PUR",VLOOKUP(B601,[1]Material!F$5:U$90000,16,0)="HLO"),"PURE",
      VLOOKUP(B601,[1]Material!F$5:U$90000,16,0)="AIC","AIC",
      OR(VLOOKUP(B601,[1]Material!F$5:U$90000,16,0)="AGI",VLOOKUP(B601,[1]Material!F$5:U$90000,16,0)="AGIGA"),"AGIGA",
      OR(LEFT(VLOOKUP(B601,[1]Material!F$5:U$90000,16,0),3)="EF-",VLOOKUP(B601,[1]Material!F$5:U$90000,16,0)="EFI"),"EFI",
      AND(ISNUMBER(VLOOKUP(B601,[1]Material!F$5:U$90000,16,0)),VLOOKUP(B601,[1]Material!F$5:U$90000,16,0)&gt;=100,VLOOKUP(B601,[1]Material!F$5:U$90000,16,0)&lt;=999,VLOOKUP(B601,[1]Material!F$5:U$90000,16,0)=INT(VLOOKUP(B601,[1]Material!F$5:U$90000,16,0))),"OEM",
      TRUE,""
    ),
    "không tìm thấy trong file Import"
  ),
  VLOOKUP(F601,'[2]Export shipment'!B:Y,24,0)
)</f>
        <v>Lucid</v>
      </c>
      <c r="H601" s="184" t="str">
        <f>VLOOKUP(F601,'[2]Export shipment'!B$8:AA$9479,26,)</f>
        <v>x</v>
      </c>
      <c r="I601" s="184" t="str">
        <f>VLOOKUP(F601,'[2]Export shipment'!B$8:Z$9479,25,'[2]Export shipment'!$S$460)</f>
        <v>Transfer FG</v>
      </c>
      <c r="J601" s="260">
        <f>(V601+X601+AA601)/'Logistics record '!$AD$1</f>
        <v>15.116015418335726</v>
      </c>
      <c r="K601" s="260">
        <f>W601/'Logistics record '!$AD$1</f>
        <v>0</v>
      </c>
      <c r="L601" s="260">
        <f>Y601/'Logistics record '!$AD$1</f>
        <v>0</v>
      </c>
      <c r="M601" s="260">
        <f>AF601/'Logistics record '!$AD$1</f>
        <v>0</v>
      </c>
      <c r="N601" s="260" t="str" cm="1">
        <f t="array" ref="N601">_xlfn.IFS(
    OR(UPPER(S601)="AIR", UPPER(S601)="CPN"), "AIR",
    UPPER(S601)="TC", "LOCAL",
    TRUE, "SEA"
)</f>
        <v>SEA</v>
      </c>
      <c r="O601" s="260">
        <f t="shared" si="36"/>
        <v>15.116015418335726</v>
      </c>
      <c r="P601" s="184" t="s">
        <v>935</v>
      </c>
      <c r="Q601" s="185">
        <v>308655841230</v>
      </c>
      <c r="R601" s="186">
        <v>46192</v>
      </c>
      <c r="S601" s="187" t="s">
        <v>933</v>
      </c>
      <c r="T601" s="188">
        <v>2162.4</v>
      </c>
      <c r="U601" s="188">
        <v>15.162000000000001</v>
      </c>
      <c r="V601" s="189">
        <v>400000</v>
      </c>
      <c r="W601" s="190"/>
      <c r="X601" s="190"/>
      <c r="Y601" s="190"/>
      <c r="Z601" s="189">
        <f t="shared" si="52"/>
        <v>400000</v>
      </c>
      <c r="AA601" s="189">
        <v>0</v>
      </c>
      <c r="AB601" s="189">
        <f t="shared" si="41"/>
        <v>400000</v>
      </c>
      <c r="AC601" s="189"/>
      <c r="AD601" s="190"/>
      <c r="AE601" s="190"/>
      <c r="AF601" s="191">
        <f t="shared" si="50"/>
        <v>0</v>
      </c>
      <c r="AG601" s="190">
        <f t="shared" si="51"/>
        <v>400000</v>
      </c>
      <c r="AH601" s="190"/>
      <c r="AI601" s="192" t="str">
        <f>VLOOKUP(Q601,[3]Sheet1!B$11:G$1489,6,0)</f>
        <v>E42</v>
      </c>
      <c r="GK601" s="194"/>
      <c r="GL601" s="195"/>
      <c r="GM601" s="196"/>
      <c r="GN601" s="197"/>
      <c r="GO601" s="198"/>
      <c r="GP601" s="199"/>
      <c r="GQ601" s="200"/>
      <c r="GR601" s="201"/>
      <c r="GS601" s="60"/>
      <c r="GT601" s="202"/>
      <c r="GU601" s="202"/>
      <c r="GV601" s="202"/>
      <c r="GW601" s="202"/>
      <c r="GX601" s="203"/>
      <c r="HA601" s="194"/>
      <c r="HB601" s="195"/>
      <c r="HC601" s="196"/>
      <c r="HD601" s="197"/>
      <c r="HE601" s="198"/>
      <c r="HF601" s="199"/>
      <c r="HG601" s="200"/>
      <c r="HH601" s="201"/>
      <c r="HI601" s="60"/>
      <c r="HJ601" s="202"/>
      <c r="HK601" s="202"/>
      <c r="HL601" s="202"/>
      <c r="HM601" s="202"/>
      <c r="HN601" s="203"/>
    </row>
    <row r="602" spans="1:222" ht="16.5" customHeight="1">
      <c r="A602" s="181">
        <v>599</v>
      </c>
      <c r="B602" s="182" t="s">
        <v>7</v>
      </c>
      <c r="C602" s="183" t="s">
        <v>3001</v>
      </c>
      <c r="D602" s="184" t="s">
        <v>1501</v>
      </c>
      <c r="E602" s="184" t="str">
        <f t="shared" si="53"/>
        <v>Export</v>
      </c>
      <c r="F602" s="720" t="str" cm="1">
        <f t="array" ref="F602">_xlfn.IFS(
  OR(AI602="E11", AI602="E15"), "Raw materials",
  OR(AI602="E13", AI602="G13"), "Equipments + Toolings",
  TRUE, RIGHT(C602, 8)
)</f>
        <v>INV06885</v>
      </c>
      <c r="G602" s="541" t="str" cm="1">
        <f t="array" ref="G602">IF(E602="Import",
  IFERROR(
    _xlfn.IFS(
      VLOOKUP(B602,[1]Material!F$5:U$90000,16,0)="LUC","Lucid",
      VLOOKUP(B602,[1]Material!F$5:U$90000,16,0)="FMC","FORD",
      OR(VLOOKUP(B602,[1]Material!F$5:U$90000,16,0)="PUR",VLOOKUP(B602,[1]Material!F$5:U$90000,16,0)="HLO"),"PURE",
      VLOOKUP(B602,[1]Material!F$5:U$90000,16,0)="AIC","AIC",
      OR(VLOOKUP(B602,[1]Material!F$5:U$90000,16,0)="AGI",VLOOKUP(B602,[1]Material!F$5:U$90000,16,0)="AGIGA"),"AGIGA",
      OR(LEFT(VLOOKUP(B602,[1]Material!F$5:U$90000,16,0),3)="EF-",VLOOKUP(B602,[1]Material!F$5:U$90000,16,0)="EFI"),"EFI",
      AND(ISNUMBER(VLOOKUP(B602,[1]Material!F$5:U$90000,16,0)),VLOOKUP(B602,[1]Material!F$5:U$90000,16,0)&gt;=100,VLOOKUP(B602,[1]Material!F$5:U$90000,16,0)&lt;=999,VLOOKUP(B602,[1]Material!F$5:U$90000,16,0)=INT(VLOOKUP(B602,[1]Material!F$5:U$90000,16,0))),"OEM",
      TRUE,""
    ),
    "không tìm thấy trong file Import"
  ),
  VLOOKUP(F602,'[2]Export shipment'!B:Y,24,0)
)</f>
        <v>Lucid</v>
      </c>
      <c r="H602" s="184" t="str">
        <f>VLOOKUP(F602,'[2]Export shipment'!B$8:AA$9479,26,)</f>
        <v>x</v>
      </c>
      <c r="I602" s="184" t="str">
        <f>VLOOKUP(F602,'[2]Export shipment'!B$8:Z$9479,25,'[2]Export shipment'!$S$460)</f>
        <v>x</v>
      </c>
      <c r="J602" s="260">
        <f>(V602+X602+AA602)/'Logistics record '!$AD$1</f>
        <v>15.116015418335726</v>
      </c>
      <c r="K602" s="260">
        <f>W602/'Logistics record '!$AD$1</f>
        <v>0</v>
      </c>
      <c r="L602" s="260">
        <f>Y602/'Logistics record '!$AD$1</f>
        <v>0</v>
      </c>
      <c r="M602" s="260">
        <f>AF602/'Logistics record '!$AD$1</f>
        <v>0</v>
      </c>
      <c r="N602" s="260" t="str" cm="1">
        <f t="array" ref="N602">_xlfn.IFS(
    OR(UPPER(S602)="AIR", UPPER(S602)="CPN"), "AIR",
    UPPER(S602)="TC", "LOCAL",
    TRUE, "SEA"
)</f>
        <v>SEA</v>
      </c>
      <c r="O602" s="260">
        <f t="shared" si="36"/>
        <v>15.116015418335726</v>
      </c>
      <c r="P602" s="184" t="s">
        <v>935</v>
      </c>
      <c r="Q602" s="185">
        <v>308656963440</v>
      </c>
      <c r="R602" s="186">
        <v>46192</v>
      </c>
      <c r="S602" s="187" t="s">
        <v>933</v>
      </c>
      <c r="T602" s="188">
        <v>2618.6</v>
      </c>
      <c r="U602" s="188"/>
      <c r="V602" s="189">
        <v>400000</v>
      </c>
      <c r="W602" s="190"/>
      <c r="X602" s="190"/>
      <c r="Y602" s="190"/>
      <c r="Z602" s="189">
        <f t="shared" si="52"/>
        <v>400000</v>
      </c>
      <c r="AA602" s="189">
        <v>0</v>
      </c>
      <c r="AB602" s="189">
        <f t="shared" si="41"/>
        <v>400000</v>
      </c>
      <c r="AC602" s="189"/>
      <c r="AD602" s="190"/>
      <c r="AE602" s="190"/>
      <c r="AF602" s="191">
        <f t="shared" si="50"/>
        <v>0</v>
      </c>
      <c r="AG602" s="190">
        <f t="shared" si="51"/>
        <v>400000</v>
      </c>
      <c r="AH602" s="190"/>
      <c r="AI602" s="192" t="str">
        <f>VLOOKUP(Q602,[3]Sheet1!B$11:G$1489,6,0)</f>
        <v>E42</v>
      </c>
      <c r="GK602" s="194"/>
      <c r="GL602" s="195"/>
      <c r="GM602" s="196"/>
      <c r="GN602" s="197"/>
      <c r="GO602" s="198"/>
      <c r="GP602" s="199"/>
      <c r="GQ602" s="200"/>
      <c r="GR602" s="201"/>
      <c r="GS602" s="60"/>
      <c r="GT602" s="202"/>
      <c r="GU602" s="202"/>
      <c r="GV602" s="202"/>
      <c r="GW602" s="202"/>
      <c r="GX602" s="203"/>
      <c r="HA602" s="194"/>
      <c r="HB602" s="195"/>
      <c r="HC602" s="196"/>
      <c r="HD602" s="197"/>
      <c r="HE602" s="198"/>
      <c r="HF602" s="199"/>
      <c r="HG602" s="200"/>
      <c r="HH602" s="201"/>
      <c r="HI602" s="60"/>
      <c r="HJ602" s="202"/>
      <c r="HK602" s="202"/>
      <c r="HL602" s="202"/>
      <c r="HM602" s="202"/>
      <c r="HN602" s="203"/>
    </row>
    <row r="603" spans="1:222" ht="16.5" customHeight="1">
      <c r="A603" s="181">
        <v>600</v>
      </c>
      <c r="B603" s="182" t="s">
        <v>1869</v>
      </c>
      <c r="C603" s="183"/>
      <c r="D603" s="184"/>
      <c r="E603" s="184"/>
      <c r="F603" s="626"/>
      <c r="G603" s="184"/>
      <c r="H603" s="184"/>
      <c r="I603" s="184"/>
      <c r="J603" s="260">
        <f>(V603+X603+AA603)/'Logistics record '!$AD$1</f>
        <v>0</v>
      </c>
      <c r="K603" s="260">
        <f>W603/'Logistics record '!$AD$1</f>
        <v>0</v>
      </c>
      <c r="L603" s="260">
        <f>Y603/'Logistics record '!$AD$1</f>
        <v>0</v>
      </c>
      <c r="M603" s="260">
        <f>AF603/'Logistics record '!$AD$1</f>
        <v>232.4087370569118</v>
      </c>
      <c r="N603" s="260"/>
      <c r="O603" s="260">
        <f t="shared" si="36"/>
        <v>232.4087370569118</v>
      </c>
      <c r="P603" s="184"/>
      <c r="Q603" s="185"/>
      <c r="R603" s="186"/>
      <c r="S603" s="187"/>
      <c r="T603" s="188"/>
      <c r="U603" s="188"/>
      <c r="V603" s="189"/>
      <c r="W603" s="190"/>
      <c r="X603" s="190"/>
      <c r="Y603" s="190"/>
      <c r="Z603" s="189">
        <f t="shared" si="52"/>
        <v>0</v>
      </c>
      <c r="AA603" s="189">
        <v>0</v>
      </c>
      <c r="AB603" s="189">
        <f t="shared" si="41"/>
        <v>0</v>
      </c>
      <c r="AC603" s="189">
        <v>6150000</v>
      </c>
      <c r="AD603" s="190"/>
      <c r="AE603" s="190"/>
      <c r="AF603" s="191">
        <f t="shared" si="31"/>
        <v>6150000</v>
      </c>
      <c r="AG603" s="190">
        <f t="shared" si="32"/>
        <v>6150000</v>
      </c>
      <c r="AH603" s="190"/>
      <c r="AI603" s="192" t="e">
        <f>VLOOKUP(Q603,[3]Sheet1!B$11:G$1489,6,0)</f>
        <v>#N/A</v>
      </c>
      <c r="GK603" s="194"/>
      <c r="GL603" s="195"/>
      <c r="GM603" s="196"/>
      <c r="GN603" s="197"/>
      <c r="GO603" s="198"/>
      <c r="GP603" s="199"/>
      <c r="GQ603" s="200"/>
      <c r="GR603" s="201"/>
      <c r="GS603" s="60"/>
      <c r="GT603" s="202"/>
      <c r="GU603" s="202"/>
      <c r="GV603" s="202"/>
      <c r="GW603" s="202"/>
      <c r="GX603" s="203"/>
      <c r="HA603" s="194"/>
      <c r="HB603" s="195"/>
      <c r="HC603" s="196"/>
      <c r="HD603" s="197"/>
      <c r="HE603" s="198"/>
      <c r="HF603" s="199"/>
      <c r="HG603" s="200"/>
      <c r="HH603" s="201"/>
      <c r="HI603" s="60"/>
      <c r="HJ603" s="202"/>
      <c r="HK603" s="202"/>
      <c r="HL603" s="202"/>
      <c r="HM603" s="202"/>
      <c r="HN603" s="203"/>
    </row>
    <row r="604" spans="1:222" ht="16.5" customHeight="1" thickBot="1">
      <c r="A604" s="181"/>
      <c r="B604" s="182"/>
      <c r="C604" s="183"/>
      <c r="D604" s="184"/>
      <c r="E604" s="184"/>
      <c r="F604" s="626"/>
      <c r="G604" s="184"/>
      <c r="H604" s="184"/>
      <c r="I604" s="184"/>
      <c r="J604" s="184"/>
      <c r="K604" s="260"/>
      <c r="L604" s="260"/>
      <c r="M604" s="260"/>
      <c r="N604" s="260"/>
      <c r="O604" s="260"/>
      <c r="P604" s="184"/>
      <c r="Q604" s="185"/>
      <c r="R604" s="186"/>
      <c r="S604" s="187"/>
      <c r="T604" s="188"/>
      <c r="U604" s="188"/>
      <c r="V604" s="189"/>
      <c r="W604" s="190"/>
      <c r="X604" s="190"/>
      <c r="Y604" s="190"/>
      <c r="Z604" s="189"/>
      <c r="AA604" s="189"/>
      <c r="AB604" s="189"/>
      <c r="AC604" s="189"/>
      <c r="AD604" s="190"/>
      <c r="AE604" s="190"/>
      <c r="AF604" s="191"/>
      <c r="AG604" s="190"/>
      <c r="AH604" s="190"/>
      <c r="GK604" s="194"/>
      <c r="GL604" s="195"/>
      <c r="GM604" s="196"/>
      <c r="GN604" s="197"/>
      <c r="GO604" s="198"/>
      <c r="GP604" s="199"/>
      <c r="GQ604" s="200"/>
      <c r="GR604" s="201"/>
      <c r="GS604" s="60"/>
      <c r="GT604" s="202"/>
      <c r="GU604" s="202"/>
      <c r="GV604" s="202"/>
      <c r="GW604" s="202"/>
      <c r="GX604" s="203"/>
      <c r="HA604" s="194"/>
      <c r="HB604" s="195"/>
      <c r="HC604" s="196"/>
      <c r="HD604" s="197"/>
      <c r="HE604" s="198"/>
      <c r="HF604" s="199"/>
      <c r="HG604" s="200"/>
      <c r="HH604" s="201"/>
      <c r="HI604" s="60"/>
      <c r="HJ604" s="202"/>
      <c r="HK604" s="202"/>
      <c r="HL604" s="202"/>
      <c r="HM604" s="202"/>
      <c r="HN604" s="203"/>
    </row>
    <row r="605" spans="1:222" ht="18.75" customHeight="1" thickBot="1">
      <c r="A605" s="266" t="s">
        <v>1106</v>
      </c>
      <c r="B605" s="549"/>
      <c r="C605" s="267"/>
      <c r="D605" s="267"/>
      <c r="E605" s="267"/>
      <c r="F605" s="627"/>
      <c r="G605" s="267"/>
      <c r="H605" s="267"/>
      <c r="I605" s="267"/>
      <c r="J605" s="267"/>
      <c r="K605" s="267"/>
      <c r="L605" s="267"/>
      <c r="M605" s="337"/>
      <c r="N605" s="267"/>
      <c r="O605" s="267"/>
      <c r="P605" s="267"/>
      <c r="Q605" s="267"/>
      <c r="R605" s="267"/>
      <c r="S605" s="267"/>
      <c r="T605" s="267"/>
      <c r="U605" s="205"/>
      <c r="V605" s="206">
        <f t="shared" ref="V605:AG605" si="54">SUM(V4:V604)</f>
        <v>240137030</v>
      </c>
      <c r="W605" s="206">
        <f t="shared" si="54"/>
        <v>29800000</v>
      </c>
      <c r="X605" s="206">
        <f t="shared" si="54"/>
        <v>2750000</v>
      </c>
      <c r="Y605" s="206">
        <f t="shared" si="54"/>
        <v>211051465.70999998</v>
      </c>
      <c r="Z605" s="206">
        <f t="shared" si="54"/>
        <v>483738495.71000004</v>
      </c>
      <c r="AA605" s="206">
        <f t="shared" si="54"/>
        <v>562962.39999999979</v>
      </c>
      <c r="AB605" s="206">
        <f t="shared" si="54"/>
        <v>484301458.11000049</v>
      </c>
      <c r="AC605" s="206">
        <f t="shared" si="54"/>
        <v>6235464</v>
      </c>
      <c r="AD605" s="206">
        <f t="shared" si="54"/>
        <v>148444294</v>
      </c>
      <c r="AE605" s="206">
        <f t="shared" si="54"/>
        <v>76700196</v>
      </c>
      <c r="AF605" s="206">
        <f t="shared" si="54"/>
        <v>231379954</v>
      </c>
      <c r="AG605" s="206">
        <f t="shared" si="54"/>
        <v>715681412.11000049</v>
      </c>
      <c r="AH605" s="207"/>
    </row>
    <row r="606" spans="1:222">
      <c r="A606" s="208"/>
      <c r="B606" s="550"/>
      <c r="C606" s="208"/>
      <c r="D606" s="209"/>
      <c r="E606" s="209"/>
      <c r="F606" s="628"/>
      <c r="G606" s="209"/>
      <c r="H606" s="209"/>
      <c r="I606" s="209"/>
      <c r="J606" s="209"/>
      <c r="K606" s="209"/>
      <c r="L606" s="209"/>
      <c r="M606" s="209"/>
      <c r="N606" s="209"/>
      <c r="O606" s="209"/>
      <c r="P606" s="208"/>
      <c r="Q606" s="208"/>
      <c r="R606" s="208"/>
      <c r="S606" s="208"/>
      <c r="T606" s="210"/>
      <c r="U606" s="211"/>
      <c r="V606" s="211"/>
      <c r="W606" s="211"/>
      <c r="X606" s="211"/>
      <c r="Y606" s="211"/>
      <c r="Z606" s="211"/>
      <c r="AA606" s="211"/>
      <c r="AB606" s="212"/>
      <c r="AD606" s="211"/>
      <c r="AE606" s="211"/>
      <c r="AF606" s="211"/>
      <c r="AG606" s="211"/>
      <c r="AH606" s="211"/>
    </row>
    <row r="607" spans="1:222">
      <c r="A607" s="213" t="s">
        <v>1107</v>
      </c>
      <c r="B607" s="551"/>
      <c r="C607" s="214"/>
      <c r="D607" s="213"/>
      <c r="E607" s="213"/>
      <c r="F607" s="629"/>
      <c r="G607" s="213"/>
      <c r="H607" s="213"/>
      <c r="I607" s="213"/>
      <c r="J607" s="213"/>
      <c r="K607" s="213"/>
      <c r="L607" s="213"/>
      <c r="M607" s="213"/>
      <c r="N607" s="213"/>
      <c r="O607" s="213"/>
      <c r="P607" s="215"/>
      <c r="Q607" s="215"/>
      <c r="R607" s="174"/>
      <c r="S607" s="792">
        <f>AB605</f>
        <v>484301458.11000049</v>
      </c>
      <c r="T607" s="792"/>
      <c r="U607" s="216"/>
      <c r="V607" s="217"/>
      <c r="W607" s="216"/>
      <c r="X607" s="216"/>
      <c r="Y607" s="216"/>
      <c r="Z607" s="216"/>
      <c r="AA607" s="216"/>
      <c r="AB607" s="218"/>
      <c r="AD607" s="219"/>
      <c r="AE607" s="219"/>
      <c r="AF607" s="193"/>
      <c r="AG607" s="193"/>
      <c r="AH607" s="220"/>
    </row>
    <row r="608" spans="1:222">
      <c r="A608" s="213" t="s">
        <v>1108</v>
      </c>
      <c r="B608" s="551"/>
      <c r="C608" s="214"/>
      <c r="D608" s="213"/>
      <c r="E608" s="213"/>
      <c r="F608" s="629"/>
      <c r="G608" s="213"/>
      <c r="H608" s="213"/>
      <c r="I608" s="213"/>
      <c r="J608" s="213"/>
      <c r="K608" s="213"/>
      <c r="L608" s="213"/>
      <c r="M608" s="213"/>
      <c r="N608" s="213"/>
      <c r="O608" s="213"/>
      <c r="P608" s="215"/>
      <c r="Q608" s="215"/>
      <c r="R608" s="174"/>
      <c r="S608" s="792">
        <f>AF605</f>
        <v>231379954</v>
      </c>
      <c r="T608" s="792"/>
      <c r="U608" s="221"/>
      <c r="V608" s="217"/>
      <c r="W608" s="221"/>
      <c r="X608" s="221"/>
      <c r="AH608" s="222"/>
    </row>
    <row r="609" spans="1:35">
      <c r="A609" s="223" t="s">
        <v>1109</v>
      </c>
      <c r="B609" s="552"/>
      <c r="C609" s="209"/>
      <c r="D609" s="224"/>
      <c r="E609" s="224"/>
      <c r="F609" s="630"/>
      <c r="G609" s="224"/>
      <c r="H609" s="224"/>
      <c r="I609" s="224"/>
      <c r="J609" s="224"/>
      <c r="K609" s="224"/>
      <c r="L609" s="224"/>
      <c r="M609" s="224"/>
      <c r="N609" s="224"/>
      <c r="O609" s="224"/>
      <c r="P609" s="215"/>
      <c r="Q609" s="225"/>
      <c r="R609" s="226"/>
      <c r="S609" s="792">
        <f>S607+S608</f>
        <v>715681412.11000049</v>
      </c>
      <c r="T609" s="792"/>
      <c r="U609" s="227"/>
      <c r="V609" s="571">
        <f>S609/'Logistics record '!AD1</f>
        <v>27045.628150177632</v>
      </c>
      <c r="W609" s="221"/>
      <c r="X609" s="221"/>
      <c r="AB609" s="193"/>
      <c r="AF609" s="193"/>
      <c r="AH609" s="220"/>
    </row>
    <row r="610" spans="1:35">
      <c r="AB610" s="193"/>
      <c r="AI610" s="228"/>
    </row>
    <row r="611" spans="1:35">
      <c r="AB611" s="193"/>
      <c r="AI611" s="228"/>
    </row>
    <row r="612" spans="1:35">
      <c r="T612" s="228"/>
    </row>
    <row r="613" spans="1:35">
      <c r="S613" s="229"/>
    </row>
  </sheetData>
  <autoFilter ref="A3:HO609" xr:uid="{A1DA7DAF-3322-4AE6-A875-125B2513055C}"/>
  <mergeCells count="38">
    <mergeCell ref="A1:A3"/>
    <mergeCell ref="B1:B3"/>
    <mergeCell ref="C1:C3"/>
    <mergeCell ref="D1:D3"/>
    <mergeCell ref="P1:P3"/>
    <mergeCell ref="E1:E3"/>
    <mergeCell ref="AF1:AF3"/>
    <mergeCell ref="AG1:AG3"/>
    <mergeCell ref="AH1:AH3"/>
    <mergeCell ref="V2:V3"/>
    <mergeCell ref="W2:W3"/>
    <mergeCell ref="X2:X3"/>
    <mergeCell ref="Y2:Y3"/>
    <mergeCell ref="AC2:AC3"/>
    <mergeCell ref="V1:Y1"/>
    <mergeCell ref="AD2:AD3"/>
    <mergeCell ref="AE2:AE3"/>
    <mergeCell ref="AC1:AE1"/>
    <mergeCell ref="Z1:AB1"/>
    <mergeCell ref="Z2:Z3"/>
    <mergeCell ref="AA2:AA3"/>
    <mergeCell ref="AB2:AB3"/>
    <mergeCell ref="S608:T608"/>
    <mergeCell ref="S609:T609"/>
    <mergeCell ref="G1:G3"/>
    <mergeCell ref="H1:H3"/>
    <mergeCell ref="F1:F3"/>
    <mergeCell ref="J1:J3"/>
    <mergeCell ref="Q1:Q3"/>
    <mergeCell ref="R1:R3"/>
    <mergeCell ref="S1:U2"/>
    <mergeCell ref="O1:O3"/>
    <mergeCell ref="I1:I3"/>
    <mergeCell ref="S607:T607"/>
    <mergeCell ref="L1:L3"/>
    <mergeCell ref="M1:M3"/>
    <mergeCell ref="K1:K3"/>
    <mergeCell ref="N1:N3"/>
  </mergeCells>
  <conditionalFormatting sqref="Q623:Q1048576 Q604:Q621 Q1:Q3">
    <cfRule type="duplicateValues" dxfId="98" priority="41"/>
    <cfRule type="duplicateValues" dxfId="97" priority="44"/>
    <cfRule type="duplicateValues" dxfId="96" priority="45"/>
    <cfRule type="duplicateValues" dxfId="95" priority="46"/>
  </conditionalFormatting>
  <pageMargins left="0.17" right="0.17" top="0.62" bottom="0.19" header="0.17" footer="0.3"/>
  <pageSetup paperSize="9" scale="52" orientation="landscape" r:id="rId1"/>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B214A-63FD-4A28-8931-A479B316D409}">
  <sheetPr codeName="Sheet5">
    <tabColor rgb="FF92D050"/>
    <pageSetUpPr fitToPage="1"/>
  </sheetPr>
  <dimension ref="A1:BC33"/>
  <sheetViews>
    <sheetView zoomScale="85" zoomScaleNormal="85" workbookViewId="0">
      <pane xSplit="5" ySplit="12" topLeftCell="AO13" activePane="bottomRight" state="frozen"/>
      <selection activeCell="N29" sqref="A26:N29"/>
      <selection pane="topRight" activeCell="N29" sqref="A26:N29"/>
      <selection pane="bottomLeft" activeCell="N29" sqref="A26:N29"/>
      <selection pane="bottomRight" activeCell="N29" sqref="A26:N29"/>
    </sheetView>
  </sheetViews>
  <sheetFormatPr defaultColWidth="8.85546875" defaultRowHeight="15" outlineLevelRow="1" outlineLevelCol="1"/>
  <cols>
    <col min="1" max="1" width="8.7109375" style="275" bestFit="1" customWidth="1"/>
    <col min="2" max="2" width="13.7109375" style="275" customWidth="1"/>
    <col min="3" max="3" width="12.28515625" style="275" customWidth="1"/>
    <col min="4" max="5" width="16" style="275" customWidth="1"/>
    <col min="6" max="6" width="16" style="275" customWidth="1" outlineLevel="1"/>
    <col min="7" max="7" width="23.85546875" style="275" customWidth="1" outlineLevel="1"/>
    <col min="8" max="8" width="9.5703125" style="275" customWidth="1"/>
    <col min="9" max="9" width="13.7109375" style="275" customWidth="1"/>
    <col min="10" max="11" width="10.85546875" style="275" customWidth="1"/>
    <col min="12" max="12" width="13.5703125" style="275" customWidth="1"/>
    <col min="13" max="13" width="11.5703125" style="275" customWidth="1"/>
    <col min="14" max="14" width="13" style="275" customWidth="1"/>
    <col min="15" max="15" width="10.7109375" style="275" customWidth="1"/>
    <col min="16" max="16" width="25.140625" style="275" customWidth="1"/>
    <col min="17" max="17" width="11.7109375" style="316" customWidth="1"/>
    <col min="18" max="27" width="16.42578125" style="316" customWidth="1"/>
    <col min="28" max="30" width="15.85546875" style="316" customWidth="1"/>
    <col min="31" max="38" width="15.85546875" style="317" customWidth="1"/>
    <col min="39" max="40" width="15.85546875" style="316" customWidth="1"/>
    <col min="41" max="41" width="15.5703125" style="316" customWidth="1"/>
    <col min="42" max="42" width="13.42578125" style="316" customWidth="1"/>
    <col min="43" max="43" width="15.140625" style="275" customWidth="1"/>
    <col min="44" max="44" width="15.42578125" style="275" customWidth="1" outlineLevel="1"/>
    <col min="45" max="45" width="15.28515625" style="275" customWidth="1" outlineLevel="1"/>
    <col min="46" max="46" width="24.42578125" style="275" customWidth="1"/>
    <col min="47" max="48" width="12.7109375" style="275" customWidth="1"/>
    <col min="49" max="49" width="15.28515625" style="275" customWidth="1"/>
    <col min="50" max="51" width="15.28515625" style="580" customWidth="1"/>
    <col min="52" max="53" width="8.85546875" style="275"/>
    <col min="54" max="54" width="12.28515625" style="275" bestFit="1" customWidth="1"/>
    <col min="55" max="55" width="9.5703125" style="275" bestFit="1" customWidth="1"/>
    <col min="56" max="16384" width="8.85546875" style="275"/>
  </cols>
  <sheetData>
    <row r="1" spans="1:55" ht="17.25" hidden="1" customHeight="1" outlineLevel="1" collapsed="1">
      <c r="A1" s="515" t="s">
        <v>1165</v>
      </c>
      <c r="B1" s="515"/>
      <c r="C1" s="515"/>
      <c r="D1" s="515"/>
      <c r="E1" s="515"/>
      <c r="F1" s="515"/>
      <c r="G1" s="515"/>
      <c r="H1" s="515"/>
      <c r="I1" s="515"/>
      <c r="J1" s="515"/>
      <c r="K1" s="515"/>
      <c r="L1" s="515"/>
      <c r="M1" s="515"/>
      <c r="N1" s="515"/>
      <c r="O1" s="515"/>
      <c r="P1" s="515"/>
      <c r="Q1" s="515"/>
      <c r="R1" s="515"/>
      <c r="S1" s="515"/>
      <c r="T1" s="515"/>
      <c r="U1" s="515"/>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row>
    <row r="2" spans="1:55" ht="17.25" hidden="1" customHeight="1" outlineLevel="1">
      <c r="A2" s="276"/>
      <c r="B2" s="277" t="s">
        <v>1166</v>
      </c>
      <c r="C2" s="275" t="s">
        <v>1167</v>
      </c>
      <c r="D2" s="276"/>
      <c r="E2" s="276"/>
      <c r="F2" s="276"/>
      <c r="G2" s="278"/>
      <c r="H2" s="279"/>
      <c r="I2" s="279"/>
      <c r="J2" s="280"/>
      <c r="K2" s="281"/>
      <c r="L2" s="281"/>
      <c r="M2" s="276"/>
      <c r="N2" s="276"/>
      <c r="O2" s="276"/>
      <c r="P2" s="276"/>
      <c r="Q2" s="282"/>
      <c r="R2" s="282"/>
      <c r="S2" s="282"/>
      <c r="T2" s="282"/>
      <c r="U2" s="282"/>
      <c r="V2" s="282"/>
      <c r="W2" s="282"/>
      <c r="X2" s="282"/>
      <c r="Y2" s="282"/>
      <c r="Z2" s="282"/>
      <c r="AA2" s="282"/>
      <c r="AB2" s="282"/>
      <c r="AC2" s="282"/>
      <c r="AD2" s="282"/>
      <c r="AE2" s="283"/>
      <c r="AF2" s="283"/>
      <c r="AG2" s="283"/>
      <c r="AH2" s="283"/>
      <c r="AI2" s="283"/>
      <c r="AJ2" s="283"/>
      <c r="AK2" s="283"/>
      <c r="AL2" s="283"/>
      <c r="AM2" s="282"/>
      <c r="AN2" s="282"/>
      <c r="AO2" s="282"/>
      <c r="AP2" s="282"/>
      <c r="AQ2" s="276"/>
      <c r="AR2" s="276"/>
      <c r="AS2" s="276"/>
      <c r="AT2" s="284" t="s">
        <v>1168</v>
      </c>
      <c r="AU2" s="285">
        <v>46010</v>
      </c>
      <c r="AV2" s="285"/>
    </row>
    <row r="3" spans="1:55" ht="17.25" hidden="1" customHeight="1" outlineLevel="1">
      <c r="A3" s="276"/>
      <c r="B3" s="286" t="s">
        <v>1169</v>
      </c>
      <c r="C3" s="276" t="s">
        <v>1170</v>
      </c>
      <c r="D3" s="276"/>
      <c r="E3" s="276"/>
      <c r="F3" s="276"/>
      <c r="G3" s="278"/>
      <c r="H3" s="279"/>
      <c r="I3" s="279"/>
      <c r="J3" s="280"/>
      <c r="K3" s="281"/>
      <c r="L3" s="281"/>
      <c r="M3" s="276"/>
      <c r="N3" s="276"/>
      <c r="O3" s="276"/>
      <c r="P3" s="276"/>
      <c r="Q3" s="282"/>
      <c r="R3" s="282"/>
      <c r="S3" s="282"/>
      <c r="T3" s="282"/>
      <c r="U3" s="282"/>
      <c r="V3" s="282"/>
      <c r="W3" s="282"/>
      <c r="X3" s="282"/>
      <c r="Y3" s="282"/>
      <c r="Z3" s="282"/>
      <c r="AA3" s="282"/>
      <c r="AB3" s="282"/>
      <c r="AC3" s="282"/>
      <c r="AD3" s="282"/>
      <c r="AE3" s="283"/>
      <c r="AF3" s="283"/>
      <c r="AG3" s="283"/>
      <c r="AH3" s="283"/>
      <c r="AI3" s="283"/>
      <c r="AJ3" s="283"/>
      <c r="AK3" s="283"/>
      <c r="AL3" s="283"/>
      <c r="AM3" s="282"/>
      <c r="AN3" s="282"/>
      <c r="AO3" s="282"/>
      <c r="AP3" s="282"/>
      <c r="AQ3" s="276"/>
      <c r="AR3" s="276"/>
      <c r="AS3" s="276"/>
      <c r="AT3" s="287" t="s">
        <v>1171</v>
      </c>
      <c r="AU3" s="288">
        <f>+AU2</f>
        <v>46010</v>
      </c>
      <c r="AV3" s="288"/>
    </row>
    <row r="4" spans="1:55" ht="17.25" hidden="1" customHeight="1" outlineLevel="1">
      <c r="A4" s="276"/>
      <c r="B4" s="286" t="s">
        <v>1172</v>
      </c>
      <c r="C4" s="276" t="s">
        <v>1173</v>
      </c>
      <c r="D4" s="276"/>
      <c r="E4" s="276"/>
      <c r="F4" s="276"/>
      <c r="G4" s="278"/>
      <c r="H4" s="289"/>
      <c r="I4" s="289"/>
      <c r="J4" s="281"/>
      <c r="K4" s="281"/>
      <c r="L4" s="281"/>
      <c r="M4" s="276"/>
      <c r="N4" s="276"/>
      <c r="O4" s="276"/>
      <c r="P4" s="276"/>
      <c r="Q4" s="282"/>
      <c r="R4" s="282"/>
      <c r="S4" s="282"/>
      <c r="T4" s="282"/>
      <c r="U4" s="282"/>
      <c r="V4" s="282"/>
      <c r="W4" s="282"/>
      <c r="X4" s="282"/>
      <c r="Y4" s="282"/>
      <c r="Z4" s="282"/>
      <c r="AA4" s="282"/>
      <c r="AB4" s="282"/>
      <c r="AC4" s="282"/>
      <c r="AD4" s="282"/>
      <c r="AE4" s="283"/>
      <c r="AF4" s="283"/>
      <c r="AG4" s="283"/>
      <c r="AH4" s="283"/>
      <c r="AI4" s="283"/>
      <c r="AJ4" s="283"/>
      <c r="AK4" s="283"/>
      <c r="AL4" s="283"/>
      <c r="AM4" s="282"/>
      <c r="AN4" s="282"/>
      <c r="AO4" s="282"/>
      <c r="AP4" s="282"/>
      <c r="AQ4" s="276"/>
      <c r="AR4" s="276"/>
      <c r="AS4" s="276"/>
      <c r="AT4" s="287" t="s">
        <v>1174</v>
      </c>
      <c r="AU4" s="290">
        <v>30</v>
      </c>
      <c r="AV4" s="523"/>
    </row>
    <row r="5" spans="1:55" ht="17.25" hidden="1" customHeight="1" outlineLevel="1">
      <c r="A5" s="276"/>
      <c r="B5" s="286" t="s">
        <v>1175</v>
      </c>
      <c r="C5" s="291" t="s">
        <v>1176</v>
      </c>
      <c r="D5" s="276"/>
      <c r="E5" s="276"/>
      <c r="F5" s="276"/>
      <c r="G5" s="281"/>
      <c r="H5" s="279"/>
      <c r="I5" s="279"/>
      <c r="J5" s="280"/>
      <c r="K5" s="281"/>
      <c r="L5" s="281"/>
      <c r="M5" s="276"/>
      <c r="N5" s="276"/>
      <c r="O5" s="276"/>
      <c r="P5" s="276"/>
      <c r="Q5" s="282"/>
      <c r="R5" s="282"/>
      <c r="S5" s="282"/>
      <c r="T5" s="282"/>
      <c r="U5" s="282"/>
      <c r="V5" s="282"/>
      <c r="W5" s="282"/>
      <c r="X5" s="282"/>
      <c r="Y5" s="282"/>
      <c r="Z5" s="282"/>
      <c r="AA5" s="282"/>
      <c r="AB5" s="282"/>
      <c r="AC5" s="282"/>
      <c r="AD5" s="282"/>
      <c r="AE5" s="283"/>
      <c r="AF5" s="283"/>
      <c r="AG5" s="283"/>
      <c r="AH5" s="283"/>
      <c r="AI5" s="283"/>
      <c r="AJ5" s="283"/>
      <c r="AK5" s="283"/>
      <c r="AL5" s="283"/>
      <c r="AM5" s="282"/>
      <c r="AN5" s="282"/>
      <c r="AO5" s="282"/>
      <c r="AP5" s="282"/>
      <c r="AQ5" s="276"/>
      <c r="AR5" s="276"/>
      <c r="AS5" s="276"/>
      <c r="AT5" s="286" t="s">
        <v>1177</v>
      </c>
      <c r="AU5" s="292">
        <f>AU2+AU4</f>
        <v>46040</v>
      </c>
      <c r="AV5" s="292"/>
    </row>
    <row r="6" spans="1:55" s="276" customFormat="1" ht="17.25" hidden="1" customHeight="1" outlineLevel="1">
      <c r="B6" s="286"/>
      <c r="C6" s="286"/>
      <c r="G6" s="281"/>
      <c r="H6" s="279"/>
      <c r="I6" s="279"/>
      <c r="J6" s="280"/>
      <c r="K6" s="281"/>
      <c r="L6" s="281"/>
      <c r="Q6" s="282"/>
      <c r="R6" s="282"/>
      <c r="S6" s="282"/>
      <c r="T6" s="282"/>
      <c r="U6" s="282"/>
      <c r="V6" s="282"/>
      <c r="W6" s="282"/>
      <c r="X6" s="282"/>
      <c r="Y6" s="282"/>
      <c r="Z6" s="282"/>
      <c r="AA6" s="282"/>
      <c r="AB6" s="282"/>
      <c r="AC6" s="282"/>
      <c r="AD6" s="282"/>
      <c r="AE6" s="283"/>
      <c r="AF6" s="283"/>
      <c r="AG6" s="283"/>
      <c r="AH6" s="283"/>
      <c r="AI6" s="283"/>
      <c r="AJ6" s="283"/>
      <c r="AK6" s="283"/>
      <c r="AL6" s="283"/>
      <c r="AM6" s="282"/>
      <c r="AN6" s="282"/>
      <c r="AO6" s="282"/>
      <c r="AP6" s="282"/>
      <c r="AT6" s="286"/>
      <c r="AU6" s="286"/>
      <c r="AV6" s="286"/>
      <c r="AX6" s="580"/>
      <c r="AY6" s="580"/>
    </row>
    <row r="7" spans="1:55" s="276" customFormat="1" ht="17.25" hidden="1" customHeight="1" outlineLevel="1">
      <c r="A7" s="516" t="s">
        <v>1178</v>
      </c>
      <c r="B7" s="516"/>
      <c r="C7" s="516"/>
      <c r="D7" s="516"/>
      <c r="E7" s="516"/>
      <c r="F7" s="516"/>
      <c r="G7" s="516"/>
      <c r="H7" s="516"/>
      <c r="I7" s="516"/>
      <c r="J7" s="516"/>
      <c r="K7" s="516"/>
      <c r="L7" s="516"/>
      <c r="M7" s="516"/>
      <c r="N7" s="516"/>
      <c r="O7" s="516"/>
      <c r="P7" s="516"/>
      <c r="Q7" s="516"/>
      <c r="R7" s="516"/>
      <c r="S7" s="516"/>
      <c r="T7" s="516"/>
      <c r="U7" s="516"/>
      <c r="V7" s="516"/>
      <c r="W7" s="516"/>
      <c r="X7" s="516"/>
      <c r="Y7" s="516"/>
      <c r="Z7" s="516"/>
      <c r="AA7" s="516"/>
      <c r="AB7" s="516"/>
      <c r="AC7" s="516"/>
      <c r="AD7" s="516"/>
      <c r="AE7" s="516"/>
      <c r="AF7" s="516"/>
      <c r="AG7" s="516"/>
      <c r="AH7" s="516"/>
      <c r="AI7" s="516"/>
      <c r="AJ7" s="516"/>
      <c r="AK7" s="516"/>
      <c r="AL7" s="516"/>
      <c r="AM7" s="516"/>
      <c r="AN7" s="516"/>
      <c r="AO7" s="516"/>
      <c r="AP7" s="516"/>
      <c r="AQ7" s="516"/>
      <c r="AR7" s="516"/>
      <c r="AS7" s="516"/>
      <c r="AT7" s="516"/>
      <c r="AU7" s="516"/>
      <c r="AV7" s="516"/>
      <c r="AX7" s="580"/>
      <c r="AY7" s="580"/>
    </row>
    <row r="8" spans="1:55" s="276" customFormat="1" ht="17.25" hidden="1" customHeight="1" outlineLevel="1">
      <c r="Q8" s="282"/>
      <c r="R8" s="282"/>
      <c r="S8" s="282"/>
      <c r="T8" s="282"/>
      <c r="U8" s="282"/>
      <c r="V8" s="282"/>
      <c r="W8" s="282"/>
      <c r="X8" s="282"/>
      <c r="Y8" s="282"/>
      <c r="Z8" s="282"/>
      <c r="AA8" s="282"/>
      <c r="AB8" s="282"/>
      <c r="AC8" s="282"/>
      <c r="AD8" s="282"/>
      <c r="AE8" s="283"/>
      <c r="AF8" s="283"/>
      <c r="AG8" s="283"/>
      <c r="AH8" s="283"/>
      <c r="AI8" s="283"/>
      <c r="AJ8" s="283"/>
      <c r="AK8" s="283"/>
      <c r="AL8" s="283"/>
      <c r="AM8" s="282"/>
      <c r="AN8" s="282"/>
      <c r="AO8" s="282"/>
      <c r="AP8" s="282"/>
      <c r="AT8" s="293" t="s">
        <v>1179</v>
      </c>
      <c r="AU8" s="293" t="s">
        <v>877</v>
      </c>
      <c r="AV8" s="293"/>
      <c r="AX8" s="580"/>
      <c r="AY8" s="580"/>
    </row>
    <row r="9" spans="1:55" s="276" customFormat="1" ht="17.25" hidden="1" customHeight="1" outlineLevel="1" collapsed="1">
      <c r="Q9" s="282"/>
      <c r="R9" s="282"/>
      <c r="S9" s="282"/>
      <c r="T9" s="282"/>
      <c r="U9" s="282"/>
      <c r="V9" s="282"/>
      <c r="W9" s="282"/>
      <c r="X9" s="282"/>
      <c r="Y9" s="282"/>
      <c r="Z9" s="282"/>
      <c r="AA9" s="282"/>
      <c r="AB9" s="282"/>
      <c r="AC9" s="282"/>
      <c r="AD9" s="282"/>
      <c r="AE9" s="283"/>
      <c r="AF9" s="283"/>
      <c r="AG9" s="283"/>
      <c r="AH9" s="283"/>
      <c r="AI9" s="283"/>
      <c r="AJ9" s="283"/>
      <c r="AK9" s="283"/>
      <c r="AL9" s="283"/>
      <c r="AM9" s="282"/>
      <c r="AN9" s="282"/>
      <c r="AO9" s="282"/>
      <c r="AP9" s="282"/>
      <c r="AX9" s="580"/>
      <c r="AY9" s="580"/>
    </row>
    <row r="10" spans="1:55" s="301" customFormat="1" ht="17.25" customHeight="1" collapsed="1">
      <c r="A10" s="294"/>
      <c r="B10" s="294"/>
      <c r="C10" s="294"/>
      <c r="D10" s="294"/>
      <c r="E10" s="294"/>
      <c r="F10" s="295" t="s">
        <v>1180</v>
      </c>
      <c r="G10" s="294"/>
      <c r="H10" s="294"/>
      <c r="I10" s="294"/>
      <c r="J10" s="294"/>
      <c r="K10" s="294"/>
      <c r="L10" s="294" t="s">
        <v>1181</v>
      </c>
      <c r="M10" s="841" t="s">
        <v>1182</v>
      </c>
      <c r="N10" s="841"/>
      <c r="O10" s="841"/>
      <c r="P10" s="842" t="s">
        <v>1183</v>
      </c>
      <c r="Q10" s="843"/>
      <c r="R10" s="844" t="s">
        <v>1184</v>
      </c>
      <c r="S10" s="845"/>
      <c r="T10" s="845"/>
      <c r="U10" s="845"/>
      <c r="V10" s="845"/>
      <c r="W10" s="845"/>
      <c r="X10" s="845"/>
      <c r="Y10" s="845"/>
      <c r="Z10" s="845"/>
      <c r="AA10" s="845"/>
      <c r="AB10" s="845"/>
      <c r="AC10" s="845"/>
      <c r="AD10" s="846"/>
      <c r="AE10" s="299"/>
      <c r="AF10" s="299"/>
      <c r="AG10" s="299"/>
      <c r="AH10" s="299"/>
      <c r="AI10" s="299"/>
      <c r="AJ10" s="299"/>
      <c r="AK10" s="299"/>
      <c r="AL10" s="299"/>
      <c r="AM10" s="296" t="s">
        <v>1185</v>
      </c>
      <c r="AN10" s="296" t="s">
        <v>1186</v>
      </c>
      <c r="AO10" s="842" t="s">
        <v>1187</v>
      </c>
      <c r="AP10" s="847"/>
      <c r="AQ10" s="843"/>
      <c r="AR10" s="841" t="s">
        <v>1188</v>
      </c>
      <c r="AS10" s="841"/>
      <c r="AT10" s="295"/>
      <c r="AU10" s="295"/>
      <c r="AV10" s="524"/>
      <c r="AW10" s="512"/>
      <c r="AX10" s="581"/>
      <c r="AY10" s="581"/>
    </row>
    <row r="11" spans="1:55" s="301" customFormat="1" ht="58.5" customHeight="1">
      <c r="A11" s="302"/>
      <c r="B11" s="302"/>
      <c r="C11" s="302"/>
      <c r="D11" s="302"/>
      <c r="E11" s="302"/>
      <c r="F11" s="303"/>
      <c r="G11" s="302"/>
      <c r="H11" s="302"/>
      <c r="I11" s="302"/>
      <c r="J11" s="302"/>
      <c r="K11" s="302"/>
      <c r="L11" s="302"/>
      <c r="M11" s="296"/>
      <c r="N11" s="296"/>
      <c r="O11" s="296"/>
      <c r="P11" s="297"/>
      <c r="Q11" s="298"/>
      <c r="R11" s="304" t="s">
        <v>1189</v>
      </c>
      <c r="S11" s="304" t="s">
        <v>1190</v>
      </c>
      <c r="T11" s="304" t="s">
        <v>1191</v>
      </c>
      <c r="U11" s="304" t="s">
        <v>1192</v>
      </c>
      <c r="V11" s="304" t="s">
        <v>1193</v>
      </c>
      <c r="W11" s="304" t="s">
        <v>1194</v>
      </c>
      <c r="X11" s="522" t="s">
        <v>1313</v>
      </c>
      <c r="Y11" s="304" t="s">
        <v>1195</v>
      </c>
      <c r="Z11" s="304" t="s">
        <v>1196</v>
      </c>
      <c r="AA11" s="304" t="s">
        <v>1197</v>
      </c>
      <c r="AB11" s="304" t="s">
        <v>1198</v>
      </c>
      <c r="AC11" s="304" t="s">
        <v>1199</v>
      </c>
      <c r="AD11" s="304" t="s">
        <v>1200</v>
      </c>
      <c r="AE11" s="304" t="s">
        <v>1201</v>
      </c>
      <c r="AF11" s="304"/>
      <c r="AG11" s="304"/>
      <c r="AH11" s="304"/>
      <c r="AI11" s="304"/>
      <c r="AJ11" s="304"/>
      <c r="AK11" s="305" t="s">
        <v>1202</v>
      </c>
      <c r="AL11" s="305" t="s">
        <v>1160</v>
      </c>
      <c r="AM11" s="305" t="s">
        <v>1203</v>
      </c>
      <c r="AN11" s="296"/>
      <c r="AO11" s="296"/>
      <c r="AP11" s="297"/>
      <c r="AQ11" s="300"/>
      <c r="AR11" s="298"/>
      <c r="AS11" s="296"/>
      <c r="AT11" s="296"/>
      <c r="AU11" s="303"/>
      <c r="AV11" s="303"/>
      <c r="AW11" s="303"/>
      <c r="AX11" s="582"/>
      <c r="AY11" s="582"/>
    </row>
    <row r="12" spans="1:55" s="308" customFormat="1" ht="37.5" customHeight="1">
      <c r="A12" s="306" t="s">
        <v>1204</v>
      </c>
      <c r="B12" s="306" t="s">
        <v>1205</v>
      </c>
      <c r="C12" s="306" t="s">
        <v>1206</v>
      </c>
      <c r="D12" s="306" t="s">
        <v>1207</v>
      </c>
      <c r="E12" s="306" t="s">
        <v>1208</v>
      </c>
      <c r="F12" s="306" t="s">
        <v>1209</v>
      </c>
      <c r="G12" s="306" t="s">
        <v>910</v>
      </c>
      <c r="H12" s="306" t="s">
        <v>1210</v>
      </c>
      <c r="I12" s="306" t="s">
        <v>1211</v>
      </c>
      <c r="J12" s="306" t="s">
        <v>1212</v>
      </c>
      <c r="K12" s="306" t="s">
        <v>1134</v>
      </c>
      <c r="L12" s="306" t="s">
        <v>1213</v>
      </c>
      <c r="M12" s="307" t="s">
        <v>1214</v>
      </c>
      <c r="N12" s="307" t="s">
        <v>1133</v>
      </c>
      <c r="O12" s="307" t="s">
        <v>1215</v>
      </c>
      <c r="P12" s="307" t="s">
        <v>1216</v>
      </c>
      <c r="Q12" s="304" t="s">
        <v>1217</v>
      </c>
      <c r="R12" s="622" t="s">
        <v>1218</v>
      </c>
      <c r="S12" s="622" t="s">
        <v>1219</v>
      </c>
      <c r="T12" s="304" t="s">
        <v>1220</v>
      </c>
      <c r="U12" s="622" t="s">
        <v>1743</v>
      </c>
      <c r="V12" s="624" t="s">
        <v>1403</v>
      </c>
      <c r="W12" s="622" t="s">
        <v>1221</v>
      </c>
      <c r="X12" s="623" t="s">
        <v>1185</v>
      </c>
      <c r="Y12" s="622" t="s">
        <v>1222</v>
      </c>
      <c r="Z12" s="622" t="s">
        <v>1223</v>
      </c>
      <c r="AA12" s="622" t="s">
        <v>1224</v>
      </c>
      <c r="AB12" s="622" t="s">
        <v>1225</v>
      </c>
      <c r="AC12" s="622" t="s">
        <v>1226</v>
      </c>
      <c r="AD12" s="622" t="s">
        <v>1227</v>
      </c>
      <c r="AE12" s="622" t="s">
        <v>1228</v>
      </c>
      <c r="AF12" s="622" t="s">
        <v>1589</v>
      </c>
      <c r="AG12" s="622" t="s">
        <v>1590</v>
      </c>
      <c r="AH12" s="622" t="s">
        <v>1116</v>
      </c>
      <c r="AI12" s="622" t="s">
        <v>1591</v>
      </c>
      <c r="AJ12" s="622" t="s">
        <v>1592</v>
      </c>
      <c r="AK12" s="305" t="s">
        <v>1229</v>
      </c>
      <c r="AL12" s="305" t="s">
        <v>1230</v>
      </c>
      <c r="AM12" s="305" t="s">
        <v>1231</v>
      </c>
      <c r="AN12" s="304" t="s">
        <v>1232</v>
      </c>
      <c r="AO12" s="304" t="s">
        <v>1233</v>
      </c>
      <c r="AP12" s="307" t="s">
        <v>1234</v>
      </c>
      <c r="AQ12" s="304" t="s">
        <v>1235</v>
      </c>
      <c r="AR12" s="307" t="s">
        <v>1236</v>
      </c>
      <c r="AS12" s="307" t="s">
        <v>1237</v>
      </c>
      <c r="AT12" s="307" t="s">
        <v>66</v>
      </c>
      <c r="AU12" s="306" t="s">
        <v>893</v>
      </c>
      <c r="AV12" s="306" t="s">
        <v>1316</v>
      </c>
      <c r="AW12" s="306" t="s">
        <v>1110</v>
      </c>
      <c r="AX12" s="582" t="s">
        <v>1154</v>
      </c>
      <c r="AY12" s="582"/>
    </row>
    <row r="13" spans="1:55" ht="30">
      <c r="A13" s="517">
        <v>1</v>
      </c>
      <c r="B13" s="554" t="s">
        <v>3002</v>
      </c>
      <c r="C13" s="555">
        <v>46169</v>
      </c>
      <c r="D13" s="555" t="s">
        <v>3003</v>
      </c>
      <c r="E13" s="556">
        <v>4812920786</v>
      </c>
      <c r="F13" s="556" t="s">
        <v>1238</v>
      </c>
      <c r="G13" s="557" t="s">
        <v>3014</v>
      </c>
      <c r="H13" s="556"/>
      <c r="I13" s="558"/>
      <c r="J13" s="556"/>
      <c r="K13" s="558"/>
      <c r="L13" s="558">
        <v>46169</v>
      </c>
      <c r="M13" s="559">
        <v>92</v>
      </c>
      <c r="N13" s="559">
        <v>92</v>
      </c>
      <c r="O13" s="559"/>
      <c r="P13" s="560" t="s">
        <v>3017</v>
      </c>
      <c r="Q13" s="555">
        <v>46169</v>
      </c>
      <c r="R13" s="561">
        <v>46.92</v>
      </c>
      <c r="S13" s="561"/>
      <c r="T13" s="599"/>
      <c r="U13" s="561">
        <v>6.44</v>
      </c>
      <c r="V13" s="561"/>
      <c r="W13" s="599"/>
      <c r="X13" s="561"/>
      <c r="Y13" s="561"/>
      <c r="Z13" s="561">
        <v>1.84</v>
      </c>
      <c r="AA13" s="599"/>
      <c r="AB13" s="561"/>
      <c r="AC13" s="561"/>
      <c r="AD13" s="561"/>
      <c r="AE13" s="561">
        <v>81.88</v>
      </c>
      <c r="AF13" s="599"/>
      <c r="AG13" s="599"/>
      <c r="AH13" s="599"/>
      <c r="AI13" s="599"/>
      <c r="AJ13" s="599"/>
      <c r="AK13" s="561">
        <f>SUM(R13:AJ13)</f>
        <v>137.07999999999998</v>
      </c>
      <c r="AL13" s="561">
        <v>26393.004085205717</v>
      </c>
      <c r="AM13" s="562">
        <f>ROUND(AK13*AL13,0)</f>
        <v>3617953</v>
      </c>
      <c r="AN13" s="589">
        <v>550000</v>
      </c>
      <c r="AO13" s="589">
        <v>330000</v>
      </c>
      <c r="AP13" s="600">
        <f>SUM(AM13:AO13)</f>
        <v>4497953</v>
      </c>
      <c r="AQ13" s="518">
        <v>0</v>
      </c>
      <c r="AR13" s="601">
        <f>AP13</f>
        <v>4497953</v>
      </c>
      <c r="AS13" s="519"/>
      <c r="AT13" s="520"/>
      <c r="AU13" s="521">
        <f>AR13</f>
        <v>4497953</v>
      </c>
      <c r="AV13" s="526">
        <f>AU13/AL13</f>
        <v>170.42216890048047</v>
      </c>
      <c r="AW13" s="275" t="str" cm="1">
        <f t="array" ref="AW13">IFERROR(
_xlfn.IFS(
VLOOKUP(E13,[1]Material!F$5:U$90000,16,0)="LUC","Lucid",
OR(VLOOKUP(E13,[1]Material!F$5:U$90000,16,0)="PUR",
VLOOKUP(E13,[1]Material!F$5:U$90000,16,0)="HLO"),"PURE",
VLOOKUP(E13,[1]Material!F$5:U$90000,16,0)="AIC","AIC",
OR(VLOOKUP(E13,[1]Material!F$5:U$90000,16,0)="AGI",
VLOOKUP(E13,[1]Material!F$5:U$90000,16,0)="AGIGA"),"AGIGA",
OR(LEFT(VLOOKUP(E13,[1]Material!F$5:U$90000,16,0),3)="EF-",
VLOOKUP(E13,[1]Material!F$5:U$90000,16,0)="EFI"),"EFI",
AND(ISNUMBER(VLOOKUP(E13,[1]Material!F$5:U$90000,16,0)),
VLOOKUP(E13,[1]Material!F$5:U$90000,16,0)&gt;=100,
VLOOKUP(E13,[1]Material!F$5:U$90000,16,0)&lt;=999,
VLOOKUP(E13,[1]Material!F$5:U$90000,16,0)=INT(VLOOKUP(E13,[1]Material!F$5:U$90000,16,0))),"OEM",
TRUE,""
),
"không tìm thấy trong file Import"
)</f>
        <v>PURE</v>
      </c>
      <c r="AX13" s="580" t="s">
        <v>1</v>
      </c>
      <c r="AY13" s="580" t="s">
        <v>1155</v>
      </c>
      <c r="AZ13" s="564">
        <f>(AN13+AO13)/AL13</f>
        <v>33.342168900480466</v>
      </c>
      <c r="BA13" s="275" t="s">
        <v>929</v>
      </c>
      <c r="BB13" s="525">
        <f>AV13-AK13</f>
        <v>33.342168900480488</v>
      </c>
      <c r="BC13" s="525">
        <f>SUM(AV13:AV19)</f>
        <v>2104.7273237799404</v>
      </c>
    </row>
    <row r="14" spans="1:55" ht="30">
      <c r="A14" s="517">
        <v>2</v>
      </c>
      <c r="B14" s="554" t="s">
        <v>3004</v>
      </c>
      <c r="C14" s="555">
        <v>46170</v>
      </c>
      <c r="D14" s="555" t="s">
        <v>3005</v>
      </c>
      <c r="E14" s="556">
        <v>4711938288</v>
      </c>
      <c r="F14" s="556" t="s">
        <v>1238</v>
      </c>
      <c r="G14" s="557" t="s">
        <v>801</v>
      </c>
      <c r="H14" s="556"/>
      <c r="I14" s="558"/>
      <c r="J14" s="556"/>
      <c r="K14" s="558"/>
      <c r="L14" s="558">
        <v>46170</v>
      </c>
      <c r="M14" s="559">
        <v>86.5</v>
      </c>
      <c r="N14" s="559">
        <v>85</v>
      </c>
      <c r="O14" s="559"/>
      <c r="P14" s="560" t="s">
        <v>3018</v>
      </c>
      <c r="Q14" s="555">
        <v>46170</v>
      </c>
      <c r="R14" s="561">
        <v>155.69999999999999</v>
      </c>
      <c r="S14" s="561"/>
      <c r="T14" s="599"/>
      <c r="U14" s="561">
        <v>15</v>
      </c>
      <c r="V14" s="561"/>
      <c r="W14" s="599"/>
      <c r="X14" s="561">
        <v>50</v>
      </c>
      <c r="Y14" s="561">
        <v>15</v>
      </c>
      <c r="Z14" s="561"/>
      <c r="AA14" s="599"/>
      <c r="AB14" s="561"/>
      <c r="AC14" s="561"/>
      <c r="AD14" s="561"/>
      <c r="AE14" s="561">
        <v>21.63</v>
      </c>
      <c r="AF14" s="599"/>
      <c r="AG14" s="599"/>
      <c r="AH14" s="599"/>
      <c r="AI14" s="599"/>
      <c r="AJ14" s="599"/>
      <c r="AK14" s="561">
        <f t="shared" ref="AK14:AK18" si="0">SUM(R14:AJ14)</f>
        <v>257.33</v>
      </c>
      <c r="AL14" s="561">
        <v>26393.001204678818</v>
      </c>
      <c r="AM14" s="562">
        <f t="shared" ref="AM14:AM18" si="1">ROUND(AK14*AL14,0)</f>
        <v>6791711</v>
      </c>
      <c r="AN14" s="589">
        <v>550000</v>
      </c>
      <c r="AO14" s="589">
        <v>330000</v>
      </c>
      <c r="AP14" s="600">
        <f t="shared" ref="AP14:AP18" si="2">SUM(AM14:AO14)</f>
        <v>7671711</v>
      </c>
      <c r="AQ14" s="518">
        <v>0</v>
      </c>
      <c r="AR14" s="601">
        <f t="shared" ref="AR14:AR18" si="3">AP14</f>
        <v>7671711</v>
      </c>
      <c r="AS14" s="519"/>
      <c r="AT14" s="520"/>
      <c r="AU14" s="521">
        <f t="shared" ref="AU14:AU18" si="4">AR14</f>
        <v>7671711</v>
      </c>
      <c r="AV14" s="526">
        <f t="shared" ref="AV14:AV18" si="5">AU14/AL14</f>
        <v>290.67217253943812</v>
      </c>
      <c r="AW14" s="275" t="str" cm="1">
        <f t="array" ref="AW14">IFERROR(
_xlfn.IFS(
VLOOKUP(E14,[1]Material!F$5:U$90000,16,0)="LUC","Lucid",
OR(VLOOKUP(E14,[1]Material!F$5:U$90000,16,0)="PUR",
VLOOKUP(E14,[1]Material!F$5:U$90000,16,0)="HLO"),"PURE",
VLOOKUP(E14,[1]Material!F$5:U$90000,16,0)="AIC","AIC",
OR(VLOOKUP(E14,[1]Material!F$5:U$90000,16,0)="AGI",
VLOOKUP(E14,[1]Material!F$5:U$90000,16,0)="AGIGA"),"AGIGA",
OR(LEFT(VLOOKUP(E14,[1]Material!F$5:U$90000,16,0),3)="EF-",
VLOOKUP(E14,[1]Material!F$5:U$90000,16,0)="EFI"),"EFI",
AND(ISNUMBER(VLOOKUP(E14,[1]Material!F$5:U$90000,16,0)),
VLOOKUP(E14,[1]Material!F$5:U$90000,16,0)&gt;=100,
VLOOKUP(E14,[1]Material!F$5:U$90000,16,0)&lt;=999,
VLOOKUP(E14,[1]Material!F$5:U$90000,16,0)=INT(VLOOKUP(E14,[1]Material!F$5:U$90000,16,0))),"OEM",
TRUE,""
),
"không tìm thấy trong file Import"
)</f>
        <v>Lucid</v>
      </c>
      <c r="AX14" s="580" t="s">
        <v>1</v>
      </c>
      <c r="AY14" s="580" t="s">
        <v>1155</v>
      </c>
      <c r="AZ14" s="564">
        <f t="shared" ref="AZ14:AZ18" si="6">(AN14+AO14)/AL14</f>
        <v>33.342172539438145</v>
      </c>
      <c r="BA14" s="275" t="s">
        <v>929</v>
      </c>
      <c r="BB14" s="525">
        <f t="shared" ref="BB14:BB18" si="7">AV14-AK14</f>
        <v>33.342172539438138</v>
      </c>
    </row>
    <row r="15" spans="1:55" ht="30">
      <c r="A15" s="517">
        <v>3</v>
      </c>
      <c r="B15" s="554" t="s">
        <v>3006</v>
      </c>
      <c r="C15" s="555">
        <v>46170</v>
      </c>
      <c r="D15" s="555" t="s">
        <v>3007</v>
      </c>
      <c r="E15" s="556">
        <v>4915119421</v>
      </c>
      <c r="F15" s="556" t="s">
        <v>1238</v>
      </c>
      <c r="G15" s="557" t="s">
        <v>3015</v>
      </c>
      <c r="H15" s="556"/>
      <c r="I15" s="558"/>
      <c r="J15" s="556"/>
      <c r="K15" s="558"/>
      <c r="L15" s="558">
        <v>46170</v>
      </c>
      <c r="M15" s="559">
        <v>100</v>
      </c>
      <c r="N15" s="559">
        <v>100</v>
      </c>
      <c r="O15" s="559"/>
      <c r="P15" s="560" t="s">
        <v>3019</v>
      </c>
      <c r="Q15" s="555">
        <v>46170</v>
      </c>
      <c r="R15" s="561">
        <v>143</v>
      </c>
      <c r="S15" s="561">
        <v>55</v>
      </c>
      <c r="T15" s="599"/>
      <c r="U15" s="561">
        <v>8</v>
      </c>
      <c r="V15" s="561">
        <v>65</v>
      </c>
      <c r="W15" s="599"/>
      <c r="X15" s="561"/>
      <c r="Y15" s="561"/>
      <c r="Z15" s="561"/>
      <c r="AA15" s="599"/>
      <c r="AB15" s="561"/>
      <c r="AC15" s="561"/>
      <c r="AD15" s="561"/>
      <c r="AE15" s="561"/>
      <c r="AF15" s="599"/>
      <c r="AG15" s="599"/>
      <c r="AH15" s="599"/>
      <c r="AI15" s="599"/>
      <c r="AJ15" s="599"/>
      <c r="AK15" s="561">
        <f t="shared" si="0"/>
        <v>271</v>
      </c>
      <c r="AL15" s="561">
        <v>26393</v>
      </c>
      <c r="AM15" s="562">
        <f t="shared" si="1"/>
        <v>7152503</v>
      </c>
      <c r="AN15" s="589">
        <v>550000</v>
      </c>
      <c r="AO15" s="589">
        <v>330000</v>
      </c>
      <c r="AP15" s="600">
        <f t="shared" si="2"/>
        <v>8032503</v>
      </c>
      <c r="AQ15" s="518">
        <v>0</v>
      </c>
      <c r="AR15" s="601">
        <f t="shared" si="3"/>
        <v>8032503</v>
      </c>
      <c r="AS15" s="519"/>
      <c r="AT15" s="520"/>
      <c r="AU15" s="521">
        <f t="shared" si="4"/>
        <v>8032503</v>
      </c>
      <c r="AV15" s="526">
        <f t="shared" si="5"/>
        <v>304.34217406130415</v>
      </c>
      <c r="AW15" s="275" t="str" cm="1">
        <f t="array" ref="AW15">IFERROR(
_xlfn.IFS(
VLOOKUP(E15,[1]Material!F$5:U$90000,16,0)="LUC","Lucid",
OR(VLOOKUP(E15,[1]Material!F$5:U$90000,16,0)="PUR",
VLOOKUP(E15,[1]Material!F$5:U$90000,16,0)="HLO"),"PURE",
VLOOKUP(E15,[1]Material!F$5:U$90000,16,0)="AIC","AIC",
OR(VLOOKUP(E15,[1]Material!F$5:U$90000,16,0)="AGI",
VLOOKUP(E15,[1]Material!F$5:U$90000,16,0)="AGIGA"),"AGIGA",
OR(LEFT(VLOOKUP(E15,[1]Material!F$5:U$90000,16,0),3)="EF-",
VLOOKUP(E15,[1]Material!F$5:U$90000,16,0)="EFI"),"EFI",
AND(ISNUMBER(VLOOKUP(E15,[1]Material!F$5:U$90000,16,0)),
VLOOKUP(E15,[1]Material!F$5:U$90000,16,0)&gt;=100,
VLOOKUP(E15,[1]Material!F$5:U$90000,16,0)&lt;=999,
VLOOKUP(E15,[1]Material!F$5:U$90000,16,0)=INT(VLOOKUP(E15,[1]Material!F$5:U$90000,16,0))),"OEM",
TRUE,""
),
"không tìm thấy trong file Import"
)</f>
        <v>PURE</v>
      </c>
      <c r="AX15" s="580" t="s">
        <v>1</v>
      </c>
      <c r="AY15" s="580" t="s">
        <v>1155</v>
      </c>
      <c r="AZ15" s="564">
        <f t="shared" si="6"/>
        <v>33.342174061304135</v>
      </c>
      <c r="BA15" s="275" t="s">
        <v>929</v>
      </c>
      <c r="BB15" s="525">
        <f t="shared" si="7"/>
        <v>33.342174061304149</v>
      </c>
    </row>
    <row r="16" spans="1:55" ht="30">
      <c r="A16" s="517">
        <v>4</v>
      </c>
      <c r="B16" s="554" t="s">
        <v>3008</v>
      </c>
      <c r="C16" s="555">
        <v>46170</v>
      </c>
      <c r="D16" s="555" t="s">
        <v>3009</v>
      </c>
      <c r="E16" s="556">
        <v>4915119423</v>
      </c>
      <c r="F16" s="556" t="s">
        <v>1238</v>
      </c>
      <c r="G16" s="557" t="s">
        <v>1586</v>
      </c>
      <c r="H16" s="556"/>
      <c r="I16" s="558"/>
      <c r="J16" s="556"/>
      <c r="K16" s="558"/>
      <c r="L16" s="558">
        <v>46170</v>
      </c>
      <c r="M16" s="559">
        <v>321</v>
      </c>
      <c r="N16" s="559">
        <v>288</v>
      </c>
      <c r="O16" s="559"/>
      <c r="P16" s="560" t="s">
        <v>3020</v>
      </c>
      <c r="Q16" s="555">
        <v>46170</v>
      </c>
      <c r="R16" s="561">
        <v>459.03</v>
      </c>
      <c r="S16" s="561">
        <v>55</v>
      </c>
      <c r="T16" s="599"/>
      <c r="U16" s="561">
        <v>25.68</v>
      </c>
      <c r="V16" s="561">
        <v>96.3</v>
      </c>
      <c r="W16" s="599"/>
      <c r="X16" s="561"/>
      <c r="Y16" s="561"/>
      <c r="Z16" s="561"/>
      <c r="AA16" s="599"/>
      <c r="AB16" s="561"/>
      <c r="AC16" s="561"/>
      <c r="AD16" s="561"/>
      <c r="AE16" s="561"/>
      <c r="AF16" s="599"/>
      <c r="AG16" s="599"/>
      <c r="AH16" s="599"/>
      <c r="AI16" s="599"/>
      <c r="AJ16" s="599"/>
      <c r="AK16" s="561">
        <f t="shared" si="0"/>
        <v>636.00999999999988</v>
      </c>
      <c r="AL16" s="561">
        <v>26393.000110061163</v>
      </c>
      <c r="AM16" s="562">
        <f t="shared" si="1"/>
        <v>16786212</v>
      </c>
      <c r="AN16" s="589">
        <v>550000</v>
      </c>
      <c r="AO16" s="589">
        <v>330000</v>
      </c>
      <c r="AP16" s="600">
        <f t="shared" si="2"/>
        <v>17666212</v>
      </c>
      <c r="AQ16" s="518">
        <v>0</v>
      </c>
      <c r="AR16" s="601">
        <f t="shared" si="3"/>
        <v>17666212</v>
      </c>
      <c r="AS16" s="519"/>
      <c r="AT16" s="520"/>
      <c r="AU16" s="521">
        <f t="shared" si="4"/>
        <v>17666212</v>
      </c>
      <c r="AV16" s="526">
        <f t="shared" si="5"/>
        <v>669.35217392226434</v>
      </c>
      <c r="AW16" s="275" t="s">
        <v>1608</v>
      </c>
      <c r="AX16" s="580" t="s">
        <v>1</v>
      </c>
      <c r="AY16" s="580" t="s">
        <v>10</v>
      </c>
      <c r="AZ16" s="564">
        <f t="shared" si="6"/>
        <v>33.342173922264294</v>
      </c>
      <c r="BA16" s="275" t="s">
        <v>2092</v>
      </c>
      <c r="BB16" s="525">
        <f t="shared" si="7"/>
        <v>33.342173922264465</v>
      </c>
    </row>
    <row r="17" spans="1:54" ht="30">
      <c r="A17" s="517">
        <v>5</v>
      </c>
      <c r="B17" s="554" t="s">
        <v>3010</v>
      </c>
      <c r="C17" s="555">
        <v>46188</v>
      </c>
      <c r="D17" s="555" t="s">
        <v>3011</v>
      </c>
      <c r="E17" s="556">
        <v>4812923178</v>
      </c>
      <c r="F17" s="556" t="s">
        <v>1238</v>
      </c>
      <c r="G17" s="557" t="s">
        <v>3014</v>
      </c>
      <c r="H17" s="556"/>
      <c r="I17" s="558"/>
      <c r="J17" s="556"/>
      <c r="K17" s="558"/>
      <c r="L17" s="558">
        <v>46188</v>
      </c>
      <c r="M17" s="559">
        <v>173</v>
      </c>
      <c r="N17" s="559">
        <v>173</v>
      </c>
      <c r="O17" s="559"/>
      <c r="P17" s="560" t="s">
        <v>3021</v>
      </c>
      <c r="Q17" s="555">
        <v>46188</v>
      </c>
      <c r="R17" s="561">
        <v>88.23</v>
      </c>
      <c r="S17" s="561"/>
      <c r="T17" s="599"/>
      <c r="U17" s="561">
        <v>12.11</v>
      </c>
      <c r="V17" s="561"/>
      <c r="W17" s="599"/>
      <c r="X17" s="561"/>
      <c r="Y17" s="561"/>
      <c r="Z17" s="561">
        <v>3.46</v>
      </c>
      <c r="AA17" s="599"/>
      <c r="AB17" s="561"/>
      <c r="AC17" s="561"/>
      <c r="AD17" s="561"/>
      <c r="AE17" s="561">
        <v>164.35</v>
      </c>
      <c r="AF17" s="599"/>
      <c r="AG17" s="599"/>
      <c r="AH17" s="599"/>
      <c r="AI17" s="599"/>
      <c r="AJ17" s="599"/>
      <c r="AK17" s="561">
        <f t="shared" si="0"/>
        <v>268.14999999999998</v>
      </c>
      <c r="AL17" s="561">
        <v>26423.002051090811</v>
      </c>
      <c r="AM17" s="562">
        <f t="shared" si="1"/>
        <v>7085328</v>
      </c>
      <c r="AN17" s="589">
        <v>550000</v>
      </c>
      <c r="AO17" s="589">
        <v>330000</v>
      </c>
      <c r="AP17" s="600">
        <f t="shared" si="2"/>
        <v>7965328</v>
      </c>
      <c r="AQ17" s="518">
        <v>0</v>
      </c>
      <c r="AR17" s="601">
        <f t="shared" si="3"/>
        <v>7965328</v>
      </c>
      <c r="AS17" s="519"/>
      <c r="AT17" s="520"/>
      <c r="AU17" s="521">
        <f t="shared" si="4"/>
        <v>7965328</v>
      </c>
      <c r="AV17" s="526">
        <f>AU17/AL17</f>
        <v>301.45431562236774</v>
      </c>
      <c r="AW17" s="275" t="str" cm="1">
        <f t="array" ref="AW17">IFERROR(
_xlfn.IFS(
VLOOKUP(E17,[1]Material!F$5:U$90000,16,0)="LUC","Lucid",
OR(VLOOKUP(E17,[1]Material!F$5:U$90000,16,0)="PUR",
VLOOKUP(E17,[1]Material!F$5:U$90000,16,0)="HLO"),"PURE",
VLOOKUP(E17,[1]Material!F$5:U$90000,16,0)="AIC","AIC",
OR(VLOOKUP(E17,[1]Material!F$5:U$90000,16,0)="AGI",
VLOOKUP(E17,[1]Material!F$5:U$90000,16,0)="AGIGA"),"AGIGA",
OR(LEFT(VLOOKUP(E17,[1]Material!F$5:U$90000,16,0),3)="EF-",
VLOOKUP(E17,[1]Material!F$5:U$90000,16,0)="EFI"),"EFI",
AND(ISNUMBER(VLOOKUP(E17,[1]Material!F$5:U$90000,16,0)),
VLOOKUP(E17,[1]Material!F$5:U$90000,16,0)&gt;=100,
VLOOKUP(E17,[1]Material!F$5:U$90000,16,0)&lt;=999,
VLOOKUP(E17,[1]Material!F$5:U$90000,16,0)=INT(VLOOKUP(E17,[1]Material!F$5:U$90000,16,0))),"OEM",
TRUE,""
),
"không tìm thấy trong file Import"
)</f>
        <v>PURE</v>
      </c>
      <c r="AX17" s="580" t="s">
        <v>1</v>
      </c>
      <c r="AY17" s="580" t="s">
        <v>1155</v>
      </c>
      <c r="AZ17" s="564">
        <f>(AN17+AO17)/AL17</f>
        <v>33.304315622367795</v>
      </c>
      <c r="BA17" s="275" t="s">
        <v>929</v>
      </c>
      <c r="BB17" s="525">
        <f t="shared" si="7"/>
        <v>33.304315622367767</v>
      </c>
    </row>
    <row r="18" spans="1:54" ht="30">
      <c r="A18" s="517">
        <v>6</v>
      </c>
      <c r="B18" s="554" t="s">
        <v>3012</v>
      </c>
      <c r="C18" s="555">
        <v>46190</v>
      </c>
      <c r="D18" s="555" t="s">
        <v>3013</v>
      </c>
      <c r="E18" s="556">
        <v>4915138037</v>
      </c>
      <c r="F18" s="556" t="s">
        <v>1238</v>
      </c>
      <c r="G18" s="557" t="s">
        <v>3016</v>
      </c>
      <c r="H18" s="556"/>
      <c r="I18" s="558"/>
      <c r="J18" s="556"/>
      <c r="K18" s="558"/>
      <c r="L18" s="558">
        <v>46188</v>
      </c>
      <c r="M18" s="559">
        <v>142.5</v>
      </c>
      <c r="N18" s="559">
        <v>136</v>
      </c>
      <c r="O18" s="559"/>
      <c r="P18" s="560" t="s">
        <v>3022</v>
      </c>
      <c r="Q18" s="555">
        <v>46190</v>
      </c>
      <c r="R18" s="561">
        <v>203.78</v>
      </c>
      <c r="S18" s="561">
        <v>55</v>
      </c>
      <c r="T18" s="599"/>
      <c r="U18" s="561">
        <v>11.4</v>
      </c>
      <c r="V18" s="561">
        <v>65</v>
      </c>
      <c r="W18" s="599"/>
      <c r="X18" s="561"/>
      <c r="Y18" s="561"/>
      <c r="Z18" s="561"/>
      <c r="AA18" s="599"/>
      <c r="AB18" s="561"/>
      <c r="AC18" s="561"/>
      <c r="AD18" s="561"/>
      <c r="AE18" s="561"/>
      <c r="AF18" s="599"/>
      <c r="AG18" s="599"/>
      <c r="AH18" s="599"/>
      <c r="AI18" s="599"/>
      <c r="AJ18" s="599"/>
      <c r="AK18" s="561">
        <f t="shared" si="0"/>
        <v>335.17999999999995</v>
      </c>
      <c r="AL18" s="561">
        <v>26422.99958231398</v>
      </c>
      <c r="AM18" s="562">
        <f t="shared" si="1"/>
        <v>8856461</v>
      </c>
      <c r="AN18" s="589">
        <v>550000</v>
      </c>
      <c r="AO18" s="589">
        <v>330000</v>
      </c>
      <c r="AP18" s="600">
        <f t="shared" si="2"/>
        <v>9736461</v>
      </c>
      <c r="AQ18" s="518">
        <v>0</v>
      </c>
      <c r="AR18" s="601">
        <f t="shared" si="3"/>
        <v>9736461</v>
      </c>
      <c r="AS18" s="519"/>
      <c r="AT18" s="520"/>
      <c r="AU18" s="521">
        <f t="shared" si="4"/>
        <v>9736461</v>
      </c>
      <c r="AV18" s="526">
        <f t="shared" si="5"/>
        <v>368.48431873408578</v>
      </c>
      <c r="AW18" s="275" t="str" cm="1">
        <f t="array" ref="AW18">IFERROR(
_xlfn.IFS(
VLOOKUP(E18,[1]Material!F$5:U$90000,16,0)="LUC","Lucid",
OR(VLOOKUP(E18,[1]Material!F$5:U$90000,16,0)="PUR",
VLOOKUP(E18,[1]Material!F$5:U$90000,16,0)="HLO"),"PURE",
VLOOKUP(E18,[1]Material!F$5:U$90000,16,0)="AIC","AIC",
OR(VLOOKUP(E18,[1]Material!F$5:U$90000,16,0)="AGI",
VLOOKUP(E18,[1]Material!F$5:U$90000,16,0)="AGIGA"),"AGIGA",
OR(LEFT(VLOOKUP(E18,[1]Material!F$5:U$90000,16,0),3)="EF-",
VLOOKUP(E18,[1]Material!F$5:U$90000,16,0)="EFI"),"EFI",
AND(ISNUMBER(VLOOKUP(E18,[1]Material!F$5:U$90000,16,0)),
VLOOKUP(E18,[1]Material!F$5:U$90000,16,0)&gt;=100,
VLOOKUP(E18,[1]Material!F$5:U$90000,16,0)&lt;=999,
VLOOKUP(E18,[1]Material!F$5:U$90000,16,0)=INT(VLOOKUP(E18,[1]Material!F$5:U$90000,16,0))),"OEM",
TRUE,""
),
"không tìm thấy trong file Import"
)</f>
        <v>PURE</v>
      </c>
      <c r="AX18" s="580" t="s">
        <v>1</v>
      </c>
      <c r="AY18" s="580" t="s">
        <v>1155</v>
      </c>
      <c r="AZ18" s="564">
        <f t="shared" si="6"/>
        <v>33.304318734085768</v>
      </c>
      <c r="BA18" s="275" t="s">
        <v>929</v>
      </c>
      <c r="BB18" s="525">
        <f t="shared" si="7"/>
        <v>33.304318734085825</v>
      </c>
    </row>
    <row r="19" spans="1:54" ht="31.5" customHeight="1">
      <c r="A19" s="311"/>
      <c r="B19" s="312" t="s">
        <v>875</v>
      </c>
      <c r="C19" s="312"/>
      <c r="D19" s="312"/>
      <c r="E19" s="312"/>
      <c r="F19" s="312"/>
      <c r="G19" s="312"/>
      <c r="H19" s="312"/>
      <c r="I19" s="312"/>
      <c r="J19" s="312"/>
      <c r="K19" s="312"/>
      <c r="L19" s="312"/>
      <c r="M19" s="312"/>
      <c r="N19" s="312"/>
      <c r="O19" s="312"/>
      <c r="P19" s="313"/>
      <c r="Q19" s="314"/>
      <c r="R19" s="588">
        <f t="shared" ref="R19:AE19" si="8">SUM(R13:R18)</f>
        <v>1096.6600000000001</v>
      </c>
      <c r="S19" s="588">
        <f t="shared" si="8"/>
        <v>165</v>
      </c>
      <c r="T19" s="315">
        <f t="shared" si="8"/>
        <v>0</v>
      </c>
      <c r="U19" s="315">
        <f t="shared" si="8"/>
        <v>78.63000000000001</v>
      </c>
      <c r="V19" s="315">
        <f t="shared" si="8"/>
        <v>226.3</v>
      </c>
      <c r="W19" s="315">
        <f t="shared" si="8"/>
        <v>0</v>
      </c>
      <c r="X19" s="588">
        <f t="shared" si="8"/>
        <v>50</v>
      </c>
      <c r="Y19" s="588">
        <f t="shared" si="8"/>
        <v>15</v>
      </c>
      <c r="Z19" s="315">
        <f t="shared" si="8"/>
        <v>5.3</v>
      </c>
      <c r="AA19" s="315">
        <f t="shared" si="8"/>
        <v>0</v>
      </c>
      <c r="AB19" s="315">
        <f t="shared" si="8"/>
        <v>0</v>
      </c>
      <c r="AC19" s="588">
        <f t="shared" si="8"/>
        <v>0</v>
      </c>
      <c r="AD19" s="315">
        <f t="shared" si="8"/>
        <v>0</v>
      </c>
      <c r="AE19" s="315">
        <f t="shared" si="8"/>
        <v>267.86</v>
      </c>
      <c r="AF19" s="315"/>
      <c r="AG19" s="315"/>
      <c r="AH19" s="315"/>
      <c r="AI19" s="315"/>
      <c r="AJ19" s="315"/>
      <c r="AK19" s="315">
        <f>SUM(AK13:AK18)</f>
        <v>1904.7499999999995</v>
      </c>
      <c r="AL19" s="315"/>
      <c r="AM19" s="309">
        <f t="shared" ref="AM19:AT19" si="9">SUM(AM13:AM18)</f>
        <v>50290168</v>
      </c>
      <c r="AN19" s="309">
        <f t="shared" si="9"/>
        <v>3300000</v>
      </c>
      <c r="AO19" s="309">
        <f t="shared" si="9"/>
        <v>1980000</v>
      </c>
      <c r="AP19" s="309">
        <f t="shared" si="9"/>
        <v>55570168</v>
      </c>
      <c r="AQ19" s="309">
        <f t="shared" si="9"/>
        <v>0</v>
      </c>
      <c r="AR19" s="309">
        <f t="shared" si="9"/>
        <v>55570168</v>
      </c>
      <c r="AS19" s="309">
        <f t="shared" si="9"/>
        <v>0</v>
      </c>
      <c r="AT19" s="309">
        <f t="shared" si="9"/>
        <v>0</v>
      </c>
      <c r="AU19" s="310">
        <f>_xlfn.XLOOKUP(E:E,[5]Sheet1!$F:$F,[5]Sheet1!$E:$E)</f>
        <v>0</v>
      </c>
      <c r="AV19" s="526"/>
    </row>
    <row r="20" spans="1:54" ht="15.75" thickBot="1">
      <c r="AP20" s="318"/>
      <c r="AR20" s="525"/>
      <c r="AU20" s="310">
        <f>_xlfn.XLOOKUP(E:E,[5]Sheet1!$F:$F,[5]Sheet1!$E:$E)</f>
        <v>0</v>
      </c>
      <c r="AV20" s="526"/>
    </row>
    <row r="21" spans="1:54" ht="15.75">
      <c r="B21" s="319" t="s">
        <v>1239</v>
      </c>
      <c r="AQ21" s="320" t="s">
        <v>1240</v>
      </c>
      <c r="AR21" s="321"/>
      <c r="AS21" s="321"/>
      <c r="AT21" s="322">
        <f>AR19</f>
        <v>55570168</v>
      </c>
      <c r="AU21" s="310">
        <f>_xlfn.XLOOKUP(E:E,[5]Sheet1!$F:$F,[5]Sheet1!$E:$E)</f>
        <v>0</v>
      </c>
      <c r="AV21" s="526"/>
    </row>
    <row r="22" spans="1:54">
      <c r="AQ22" s="323" t="s">
        <v>1241</v>
      </c>
      <c r="AR22" s="316"/>
      <c r="AS22" s="316"/>
      <c r="AT22" s="324">
        <f>+AS19</f>
        <v>0</v>
      </c>
      <c r="AU22" s="310">
        <f>_xlfn.XLOOKUP(E:E,[5]Sheet1!$F:$F,[5]Sheet1!$E:$E)</f>
        <v>0</v>
      </c>
      <c r="AV22" s="526"/>
    </row>
    <row r="23" spans="1:54" ht="16.5" thickBot="1">
      <c r="B23" s="325" t="s">
        <v>1242</v>
      </c>
      <c r="C23" s="319"/>
      <c r="D23" s="319"/>
      <c r="E23" s="326"/>
      <c r="F23" s="326"/>
      <c r="AQ23" s="327" t="s">
        <v>1243</v>
      </c>
      <c r="AR23" s="328"/>
      <c r="AS23" s="328"/>
      <c r="AT23" s="329">
        <f>+AT21+AT22</f>
        <v>55570168</v>
      </c>
      <c r="AU23" s="310">
        <f>_xlfn.XLOOKUP(E:E,[5]Sheet1!$F:$F,[5]Sheet1!$E:$E)</f>
        <v>0</v>
      </c>
      <c r="AV23" s="526"/>
    </row>
    <row r="24" spans="1:54">
      <c r="AT24" s="275">
        <f>SUM(AW13:AW18)</f>
        <v>0</v>
      </c>
    </row>
    <row r="25" spans="1:54" s="316" customFormat="1">
      <c r="B25" s="325" t="s">
        <v>1244</v>
      </c>
      <c r="C25" s="325"/>
      <c r="D25" s="325"/>
      <c r="E25" s="325"/>
      <c r="F25" s="325"/>
      <c r="G25" s="275"/>
      <c r="H25" s="275"/>
      <c r="I25" s="275"/>
      <c r="J25" s="275"/>
      <c r="K25" s="275"/>
      <c r="L25" s="275"/>
      <c r="M25" s="275"/>
      <c r="N25" s="275"/>
      <c r="O25" s="275"/>
      <c r="P25" s="275"/>
      <c r="AE25" s="317"/>
      <c r="AF25" s="317"/>
      <c r="AG25" s="317"/>
      <c r="AH25" s="317"/>
      <c r="AI25" s="317"/>
      <c r="AJ25" s="317"/>
      <c r="AK25" s="317"/>
      <c r="AL25" s="317"/>
      <c r="AQ25" s="275"/>
      <c r="AR25" s="275"/>
      <c r="AS25" s="275"/>
      <c r="AT25" s="275"/>
      <c r="AU25" s="275"/>
      <c r="AV25" s="275"/>
      <c r="AW25" s="275"/>
      <c r="AX25" s="580"/>
      <c r="AY25" s="580"/>
    </row>
    <row r="26" spans="1:54" s="332" customFormat="1">
      <c r="B26" s="330"/>
      <c r="C26" s="331" t="s">
        <v>1245</v>
      </c>
      <c r="D26" s="331" t="s">
        <v>1246</v>
      </c>
      <c r="E26" s="331"/>
      <c r="F26" s="331"/>
      <c r="G26" s="330"/>
      <c r="H26" s="330"/>
      <c r="I26" s="330"/>
      <c r="J26" s="330"/>
      <c r="K26" s="330"/>
      <c r="L26" s="330"/>
      <c r="M26" s="330"/>
      <c r="N26" s="330"/>
      <c r="O26" s="330"/>
      <c r="P26" s="331" t="s">
        <v>1247</v>
      </c>
      <c r="AE26" s="333"/>
      <c r="AF26" s="333"/>
      <c r="AG26" s="333"/>
      <c r="AH26" s="333"/>
      <c r="AI26" s="333"/>
      <c r="AJ26" s="333"/>
      <c r="AK26" s="333"/>
      <c r="AL26" s="333"/>
      <c r="AO26" s="334"/>
      <c r="AQ26" s="330"/>
      <c r="AR26" s="330"/>
      <c r="AS26" s="330"/>
      <c r="AT26" s="330"/>
      <c r="AU26" s="330"/>
      <c r="AV26" s="330"/>
      <c r="AW26" s="275"/>
      <c r="AX26" s="580"/>
      <c r="AY26" s="580"/>
    </row>
    <row r="27" spans="1:54" s="316" customFormat="1">
      <c r="B27" s="275"/>
      <c r="C27" s="325" t="s">
        <v>1248</v>
      </c>
      <c r="D27" s="325" t="s">
        <v>1249</v>
      </c>
      <c r="E27" s="325"/>
      <c r="F27" s="325"/>
      <c r="G27" s="275"/>
      <c r="H27" s="275"/>
      <c r="I27" s="275"/>
      <c r="J27" s="275"/>
      <c r="K27" s="275"/>
      <c r="L27" s="275"/>
      <c r="M27" s="275"/>
      <c r="N27" s="275"/>
      <c r="O27" s="275"/>
      <c r="P27" s="325" t="s">
        <v>1250</v>
      </c>
      <c r="AE27" s="317"/>
      <c r="AF27" s="317"/>
      <c r="AG27" s="317"/>
      <c r="AH27" s="317"/>
      <c r="AI27" s="317"/>
      <c r="AJ27" s="317"/>
      <c r="AK27" s="317"/>
      <c r="AL27" s="317"/>
      <c r="AO27" s="318"/>
      <c r="AQ27" s="275"/>
      <c r="AR27" s="275"/>
      <c r="AS27" s="275"/>
      <c r="AT27" s="275"/>
      <c r="AU27" s="275"/>
      <c r="AV27" s="275"/>
      <c r="AW27" s="275"/>
      <c r="AX27" s="580"/>
      <c r="AY27" s="580"/>
    </row>
    <row r="28" spans="1:54" s="316" customFormat="1">
      <c r="B28" s="275"/>
      <c r="C28" s="325" t="s">
        <v>1251</v>
      </c>
      <c r="D28" s="325" t="s">
        <v>1252</v>
      </c>
      <c r="E28" s="325"/>
      <c r="F28" s="325"/>
      <c r="G28" s="275"/>
      <c r="H28" s="275"/>
      <c r="I28" s="275"/>
      <c r="J28" s="275"/>
      <c r="K28" s="275"/>
      <c r="L28" s="275"/>
      <c r="M28" s="275"/>
      <c r="N28" s="275"/>
      <c r="O28" s="275"/>
      <c r="P28" s="325" t="s">
        <v>1253</v>
      </c>
      <c r="AE28" s="317"/>
      <c r="AF28" s="317"/>
      <c r="AG28" s="317"/>
      <c r="AH28" s="317"/>
      <c r="AI28" s="317"/>
      <c r="AJ28" s="317"/>
      <c r="AK28" s="317"/>
      <c r="AL28" s="317"/>
      <c r="AQ28" s="275"/>
      <c r="AR28" s="275"/>
      <c r="AS28" s="275"/>
      <c r="AT28" s="275"/>
      <c r="AU28" s="275"/>
      <c r="AV28" s="275"/>
      <c r="AW28" s="275"/>
      <c r="AX28" s="580"/>
      <c r="AY28" s="580"/>
    </row>
    <row r="29" spans="1:54" s="316" customFormat="1">
      <c r="B29" s="275"/>
      <c r="C29" s="325" t="s">
        <v>1254</v>
      </c>
      <c r="D29" s="325" t="s">
        <v>1255</v>
      </c>
      <c r="E29" s="325"/>
      <c r="F29" s="325"/>
      <c r="G29" s="275"/>
      <c r="H29" s="275"/>
      <c r="I29" s="275"/>
      <c r="J29" s="275"/>
      <c r="K29" s="275"/>
      <c r="L29" s="275"/>
      <c r="M29" s="275"/>
      <c r="N29" s="275"/>
      <c r="O29" s="275"/>
      <c r="P29" s="325" t="s">
        <v>1256</v>
      </c>
      <c r="AE29" s="317"/>
      <c r="AF29" s="317"/>
      <c r="AG29" s="317"/>
      <c r="AH29" s="317"/>
      <c r="AI29" s="317"/>
      <c r="AJ29" s="317"/>
      <c r="AK29" s="317"/>
      <c r="AL29" s="317"/>
      <c r="AQ29" s="275"/>
      <c r="AR29" s="275"/>
      <c r="AS29" s="275"/>
      <c r="AT29" s="275"/>
      <c r="AU29" s="275"/>
      <c r="AV29" s="275"/>
      <c r="AW29" s="275"/>
      <c r="AX29" s="580"/>
      <c r="AY29" s="580"/>
    </row>
    <row r="30" spans="1:54" s="332" customFormat="1">
      <c r="B30" s="330"/>
      <c r="C30" s="331" t="s">
        <v>1257</v>
      </c>
      <c r="D30" s="331" t="s">
        <v>1258</v>
      </c>
      <c r="E30" s="331"/>
      <c r="F30" s="331"/>
      <c r="G30" s="330"/>
      <c r="H30" s="330"/>
      <c r="K30" s="330"/>
      <c r="L30" s="330"/>
      <c r="M30" s="330"/>
      <c r="N30" s="330"/>
      <c r="O30" s="330"/>
      <c r="P30" s="331" t="s">
        <v>1259</v>
      </c>
      <c r="AE30" s="333"/>
      <c r="AF30" s="333"/>
      <c r="AG30" s="333"/>
      <c r="AH30" s="333"/>
      <c r="AI30" s="333"/>
      <c r="AJ30" s="333"/>
      <c r="AK30" s="333"/>
      <c r="AL30" s="333"/>
      <c r="AQ30" s="330"/>
      <c r="AR30" s="330"/>
      <c r="AS30" s="330"/>
      <c r="AT30" s="330"/>
      <c r="AU30" s="330"/>
      <c r="AV30" s="330"/>
      <c r="AW30" s="275"/>
      <c r="AX30" s="580"/>
      <c r="AY30" s="580"/>
    </row>
    <row r="31" spans="1:54" s="316" customFormat="1">
      <c r="B31" s="275"/>
      <c r="C31" s="325" t="s">
        <v>1260</v>
      </c>
      <c r="D31" s="325" t="s">
        <v>1261</v>
      </c>
      <c r="E31" s="335"/>
      <c r="F31" s="335"/>
      <c r="G31" s="275"/>
      <c r="H31" s="275"/>
      <c r="I31" s="275"/>
      <c r="J31" s="275"/>
      <c r="K31" s="275"/>
      <c r="L31" s="275"/>
      <c r="M31" s="275"/>
      <c r="N31" s="275"/>
      <c r="O31" s="275"/>
      <c r="P31" s="275"/>
      <c r="AE31" s="317"/>
      <c r="AF31" s="317"/>
      <c r="AG31" s="317"/>
      <c r="AH31" s="317"/>
      <c r="AI31" s="317"/>
      <c r="AJ31" s="317"/>
      <c r="AK31" s="317"/>
      <c r="AL31" s="317"/>
      <c r="AQ31" s="275"/>
      <c r="AR31" s="275"/>
      <c r="AS31" s="275"/>
      <c r="AT31" s="275"/>
      <c r="AU31" s="275"/>
      <c r="AV31" s="275"/>
      <c r="AW31" s="275"/>
      <c r="AX31" s="580"/>
      <c r="AY31" s="580"/>
    </row>
    <row r="32" spans="1:54" s="316" customFormat="1">
      <c r="B32" s="275"/>
      <c r="C32" s="325"/>
      <c r="D32" s="331"/>
      <c r="E32" s="335"/>
      <c r="F32" s="335"/>
      <c r="G32" s="275"/>
      <c r="H32" s="275"/>
      <c r="I32" s="275"/>
      <c r="J32" s="275"/>
      <c r="K32" s="275"/>
      <c r="L32" s="275"/>
      <c r="M32" s="275"/>
      <c r="N32" s="275"/>
      <c r="O32" s="275"/>
      <c r="P32" s="275"/>
      <c r="AE32" s="317"/>
      <c r="AF32" s="317"/>
      <c r="AG32" s="317"/>
      <c r="AH32" s="317"/>
      <c r="AI32" s="317"/>
      <c r="AJ32" s="317"/>
      <c r="AK32" s="317"/>
      <c r="AL32" s="317"/>
      <c r="AQ32" s="275"/>
      <c r="AR32" s="275"/>
      <c r="AS32" s="275"/>
      <c r="AT32" s="275"/>
      <c r="AU32" s="275"/>
      <c r="AV32" s="275"/>
      <c r="AX32" s="583"/>
      <c r="AY32" s="583"/>
    </row>
    <row r="33" spans="2:51" s="316" customFormat="1">
      <c r="B33" s="336" t="s">
        <v>1262</v>
      </c>
      <c r="C33" s="336"/>
      <c r="D33" s="336"/>
      <c r="E33" s="275"/>
      <c r="F33" s="275"/>
      <c r="G33" s="275"/>
      <c r="H33" s="275"/>
      <c r="I33" s="275"/>
      <c r="J33" s="275"/>
      <c r="K33" s="275"/>
      <c r="L33" s="275"/>
      <c r="M33" s="275"/>
      <c r="N33" s="275"/>
      <c r="O33" s="275"/>
      <c r="P33" s="275"/>
      <c r="AE33" s="317"/>
      <c r="AF33" s="317"/>
      <c r="AG33" s="317"/>
      <c r="AH33" s="317"/>
      <c r="AI33" s="317"/>
      <c r="AJ33" s="317"/>
      <c r="AK33" s="317"/>
      <c r="AL33" s="317"/>
      <c r="AQ33" s="275"/>
      <c r="AR33" s="275"/>
      <c r="AS33" s="275"/>
      <c r="AT33" s="275"/>
      <c r="AU33" s="275"/>
      <c r="AV33" s="275"/>
      <c r="AX33" s="583"/>
      <c r="AY33" s="583"/>
    </row>
  </sheetData>
  <autoFilter ref="A12:AW31" xr:uid="{82EB214A-63FD-4A28-8931-A479B316D409}"/>
  <mergeCells count="5">
    <mergeCell ref="M10:O10"/>
    <mergeCell ref="P10:Q10"/>
    <mergeCell ref="R10:AD10"/>
    <mergeCell ref="AO10:AQ10"/>
    <mergeCell ref="AR10:AS10"/>
  </mergeCells>
  <conditionalFormatting sqref="B13:B18">
    <cfRule type="duplicateValues" dxfId="94" priority="1006"/>
  </conditionalFormatting>
  <pageMargins left="0.7" right="0.7" top="0.75" bottom="0.75" header="0.3" footer="0.3"/>
  <pageSetup paperSize="9" scale="29" fitToHeight="0" orientation="landscape"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BC1E-182E-43E5-B3AF-423F8137B94C}">
  <sheetPr codeName="Sheet6">
    <tabColor rgb="FF92D050"/>
    <pageSetUpPr fitToPage="1"/>
  </sheetPr>
  <dimension ref="A1:AI32"/>
  <sheetViews>
    <sheetView topLeftCell="J5" zoomScaleNormal="100" zoomScaleSheetLayoutView="100" workbookViewId="0">
      <selection activeCell="N29" sqref="A26:N29"/>
    </sheetView>
  </sheetViews>
  <sheetFormatPr defaultColWidth="8.85546875" defaultRowHeight="11.25" outlineLevelCol="1"/>
  <cols>
    <col min="1" max="1" width="2.85546875" style="419" customWidth="1"/>
    <col min="2" max="2" width="17.28515625" style="419" customWidth="1"/>
    <col min="3" max="3" width="13.42578125" style="419" customWidth="1"/>
    <col min="4" max="4" width="32" style="419" customWidth="1"/>
    <col min="5" max="5" width="6.7109375" style="419" customWidth="1"/>
    <col min="6" max="6" width="13.5703125" style="483" customWidth="1"/>
    <col min="7" max="7" width="11.5703125" style="419" customWidth="1"/>
    <col min="8" max="8" width="5" style="419" customWidth="1"/>
    <col min="9" max="9" width="7.42578125" style="421" bestFit="1" customWidth="1"/>
    <col min="10" max="10" width="14.42578125" style="419" customWidth="1" outlineLevel="1"/>
    <col min="11" max="11" width="9" style="419" customWidth="1" outlineLevel="1"/>
    <col min="12" max="12" width="6.7109375" style="419" customWidth="1" outlineLevel="1"/>
    <col min="13" max="14" width="9.140625" style="491" customWidth="1" outlineLevel="1"/>
    <col min="15" max="15" width="10.5703125" style="491" customWidth="1" outlineLevel="1"/>
    <col min="16" max="16" width="10.140625" style="419" customWidth="1" outlineLevel="1"/>
    <col min="17" max="17" width="14.85546875" style="499" customWidth="1" outlineLevel="1"/>
    <col min="18" max="18" width="10.7109375" style="499" customWidth="1" outlineLevel="1"/>
    <col min="19" max="19" width="11" style="499" customWidth="1" outlineLevel="1"/>
    <col min="20" max="20" width="14.140625" style="419" customWidth="1"/>
    <col min="21" max="21" width="8.28515625" style="419" bestFit="1" customWidth="1"/>
    <col min="22" max="22" width="9.28515625" style="419" customWidth="1"/>
    <col min="23" max="23" width="10.140625" style="419" bestFit="1" customWidth="1"/>
    <col min="24" max="24" width="12.7109375" style="499" bestFit="1" customWidth="1"/>
    <col min="25" max="25" width="14.28515625" style="419" customWidth="1"/>
    <col min="26" max="26" width="8" style="419" customWidth="1"/>
    <col min="27" max="28" width="8.85546875" style="419" customWidth="1"/>
    <col min="29" max="29" width="11.42578125" style="419" customWidth="1"/>
    <col min="30" max="16384" width="8.85546875" style="419"/>
  </cols>
  <sheetData>
    <row r="1" spans="1:26" ht="16.5">
      <c r="F1" s="480" t="s">
        <v>1304</v>
      </c>
      <c r="G1" s="420"/>
      <c r="H1" s="420"/>
    </row>
    <row r="2" spans="1:26" ht="15">
      <c r="F2" s="481" t="s">
        <v>1305</v>
      </c>
      <c r="G2" s="422"/>
      <c r="H2" s="422"/>
    </row>
    <row r="3" spans="1:26" ht="15">
      <c r="F3" s="481" t="s">
        <v>1306</v>
      </c>
      <c r="G3" s="422"/>
      <c r="H3" s="422"/>
    </row>
    <row r="4" spans="1:26" ht="15">
      <c r="F4" s="481" t="s">
        <v>1307</v>
      </c>
      <c r="G4" s="422"/>
      <c r="H4" s="422"/>
    </row>
    <row r="5" spans="1:26" ht="15">
      <c r="F5" s="481" t="s">
        <v>1308</v>
      </c>
      <c r="G5" s="422"/>
      <c r="H5" s="422"/>
    </row>
    <row r="6" spans="1:26" ht="15.75" thickBot="1">
      <c r="A6" s="423"/>
      <c r="B6" s="423"/>
      <c r="C6" s="423"/>
      <c r="D6" s="423"/>
      <c r="E6" s="423"/>
      <c r="F6" s="482" t="s">
        <v>1309</v>
      </c>
      <c r="G6" s="424"/>
      <c r="H6" s="424"/>
      <c r="I6" s="425"/>
      <c r="J6" s="423"/>
      <c r="K6" s="423"/>
      <c r="L6" s="423"/>
      <c r="M6" s="492"/>
      <c r="N6" s="492"/>
      <c r="O6" s="492"/>
      <c r="P6" s="423"/>
      <c r="Q6" s="500"/>
      <c r="R6" s="500"/>
      <c r="S6" s="500"/>
      <c r="T6" s="423"/>
      <c r="U6" s="423"/>
      <c r="V6" s="423"/>
      <c r="W6" s="423"/>
      <c r="X6" s="500"/>
      <c r="Y6" s="423"/>
      <c r="Z6" s="423"/>
    </row>
    <row r="7" spans="1:26" ht="12" thickTop="1"/>
    <row r="9" spans="1:26" s="426" customFormat="1" ht="16.5">
      <c r="B9" s="420" t="s">
        <v>1275</v>
      </c>
      <c r="C9" s="420" t="s">
        <v>1276</v>
      </c>
      <c r="F9" s="484"/>
      <c r="I9" s="427"/>
      <c r="M9" s="493"/>
      <c r="N9" s="493"/>
      <c r="O9" s="493"/>
      <c r="Q9" s="501"/>
      <c r="R9" s="501"/>
      <c r="S9" s="501"/>
      <c r="X9" s="501"/>
    </row>
    <row r="10" spans="1:26" s="426" customFormat="1" ht="16.5">
      <c r="B10" s="428" t="s">
        <v>1277</v>
      </c>
      <c r="C10" s="428" t="s">
        <v>1278</v>
      </c>
      <c r="F10" s="484"/>
      <c r="I10" s="427"/>
      <c r="M10" s="493"/>
      <c r="N10" s="493"/>
      <c r="O10" s="493"/>
      <c r="Q10" s="501"/>
      <c r="R10" s="501"/>
      <c r="S10" s="501"/>
      <c r="X10" s="501"/>
    </row>
    <row r="11" spans="1:26" s="426" customFormat="1" ht="16.5">
      <c r="B11" s="429" t="s">
        <v>1279</v>
      </c>
      <c r="C11" s="430">
        <v>46015</v>
      </c>
      <c r="F11" s="484"/>
      <c r="I11" s="427"/>
      <c r="M11" s="493"/>
      <c r="N11" s="493"/>
      <c r="O11" s="493"/>
      <c r="Q11" s="501"/>
      <c r="R11" s="501"/>
      <c r="S11" s="501"/>
      <c r="X11" s="501"/>
    </row>
    <row r="12" spans="1:26" ht="11.25" customHeight="1">
      <c r="A12" s="527" t="s">
        <v>1280</v>
      </c>
      <c r="B12" s="527"/>
      <c r="C12" s="527"/>
      <c r="D12" s="527"/>
      <c r="E12" s="527"/>
      <c r="F12" s="527"/>
      <c r="G12" s="527"/>
      <c r="H12" s="527"/>
      <c r="I12" s="527"/>
      <c r="J12" s="527"/>
      <c r="K12" s="527"/>
      <c r="L12" s="527"/>
      <c r="M12" s="527"/>
      <c r="N12" s="527"/>
      <c r="O12" s="527"/>
      <c r="P12" s="527"/>
      <c r="Q12" s="527"/>
      <c r="R12" s="527"/>
      <c r="S12" s="527"/>
      <c r="T12" s="527"/>
      <c r="U12" s="527"/>
      <c r="V12" s="527"/>
      <c r="W12" s="527"/>
      <c r="X12" s="527"/>
      <c r="Y12" s="527"/>
      <c r="Z12" s="527"/>
    </row>
    <row r="13" spans="1:26" ht="11.25" customHeight="1">
      <c r="A13" s="527"/>
      <c r="B13" s="527"/>
      <c r="C13" s="527"/>
      <c r="D13" s="527"/>
      <c r="E13" s="527"/>
      <c r="F13" s="527"/>
      <c r="G13" s="527"/>
      <c r="H13" s="527"/>
      <c r="I13" s="527"/>
      <c r="J13" s="527"/>
      <c r="K13" s="527"/>
      <c r="L13" s="527"/>
      <c r="M13" s="527"/>
      <c r="N13" s="527"/>
      <c r="O13" s="527"/>
      <c r="P13" s="527"/>
      <c r="Q13" s="527"/>
      <c r="R13" s="527"/>
      <c r="S13" s="527"/>
      <c r="T13" s="527"/>
      <c r="U13" s="527"/>
      <c r="V13" s="527"/>
      <c r="W13" s="527"/>
      <c r="X13" s="527"/>
      <c r="Y13" s="527"/>
      <c r="Z13" s="527"/>
    </row>
    <row r="15" spans="1:26" ht="12" thickBot="1"/>
    <row r="16" spans="1:26" s="432" customFormat="1" ht="20.45" customHeight="1">
      <c r="A16" s="852" t="s">
        <v>907</v>
      </c>
      <c r="B16" s="852" t="s">
        <v>1281</v>
      </c>
      <c r="C16" s="852" t="s">
        <v>909</v>
      </c>
      <c r="D16" s="852" t="s">
        <v>1282</v>
      </c>
      <c r="E16" s="852" t="s">
        <v>1283</v>
      </c>
      <c r="F16" s="853" t="s">
        <v>1310</v>
      </c>
      <c r="G16" s="855" t="s">
        <v>1154</v>
      </c>
      <c r="H16" s="855" t="s">
        <v>1312</v>
      </c>
      <c r="I16" s="854" t="s">
        <v>1217</v>
      </c>
      <c r="J16" s="852" t="s">
        <v>914</v>
      </c>
      <c r="K16" s="852"/>
      <c r="L16" s="852"/>
      <c r="M16" s="852" t="s">
        <v>1284</v>
      </c>
      <c r="N16" s="852"/>
      <c r="O16" s="852"/>
      <c r="P16" s="852"/>
      <c r="Q16" s="852"/>
      <c r="R16" s="852"/>
      <c r="S16" s="852"/>
      <c r="T16" s="859" t="s">
        <v>1285</v>
      </c>
      <c r="U16" s="861" t="s">
        <v>1286</v>
      </c>
      <c r="V16" s="861"/>
      <c r="W16" s="861"/>
      <c r="X16" s="862" t="s">
        <v>1287</v>
      </c>
      <c r="Y16" s="848" t="s">
        <v>919</v>
      </c>
      <c r="Z16" s="848" t="s">
        <v>920</v>
      </c>
    </row>
    <row r="17" spans="1:35" s="432" customFormat="1" ht="38.25">
      <c r="A17" s="852"/>
      <c r="B17" s="852"/>
      <c r="C17" s="852"/>
      <c r="D17" s="852"/>
      <c r="E17" s="852"/>
      <c r="F17" s="853"/>
      <c r="G17" s="856"/>
      <c r="H17" s="856"/>
      <c r="I17" s="854"/>
      <c r="J17" s="431" t="s">
        <v>27</v>
      </c>
      <c r="K17" s="431" t="s">
        <v>28</v>
      </c>
      <c r="L17" s="431" t="s">
        <v>1288</v>
      </c>
      <c r="M17" s="513" t="s">
        <v>1289</v>
      </c>
      <c r="N17" s="513" t="s">
        <v>1290</v>
      </c>
      <c r="O17" s="513" t="s">
        <v>36</v>
      </c>
      <c r="P17" s="513" t="s">
        <v>1742</v>
      </c>
      <c r="Q17" s="502" t="s">
        <v>1291</v>
      </c>
      <c r="R17" s="502" t="s">
        <v>1292</v>
      </c>
      <c r="S17" s="502" t="s">
        <v>1293</v>
      </c>
      <c r="T17" s="860"/>
      <c r="U17" s="433" t="s">
        <v>1294</v>
      </c>
      <c r="V17" s="433" t="s">
        <v>37</v>
      </c>
      <c r="W17" s="433" t="s">
        <v>1295</v>
      </c>
      <c r="X17" s="863"/>
      <c r="Y17" s="849"/>
      <c r="Z17" s="849"/>
      <c r="AA17" s="432" t="s">
        <v>1110</v>
      </c>
      <c r="AB17" s="432" t="s">
        <v>90</v>
      </c>
      <c r="AC17" s="432" t="s">
        <v>1749</v>
      </c>
      <c r="AD17" s="432" t="s">
        <v>1787</v>
      </c>
      <c r="AE17" s="432" t="s">
        <v>53</v>
      </c>
      <c r="AF17" s="432" t="s">
        <v>1786</v>
      </c>
      <c r="AG17" s="432" t="s">
        <v>1788</v>
      </c>
      <c r="AI17" s="432" t="s">
        <v>1886</v>
      </c>
    </row>
    <row r="18" spans="1:35" s="446" customFormat="1" ht="26.25" customHeight="1">
      <c r="A18" s="434">
        <v>1</v>
      </c>
      <c r="B18" s="435" t="s">
        <v>3023</v>
      </c>
      <c r="C18" s="436" t="s">
        <v>3024</v>
      </c>
      <c r="D18" s="434" t="s">
        <v>1581</v>
      </c>
      <c r="E18" s="434" t="s">
        <v>2088</v>
      </c>
      <c r="F18" s="485">
        <v>108279516110</v>
      </c>
      <c r="G18" s="437" t="s">
        <v>1155</v>
      </c>
      <c r="H18" s="437" t="s">
        <v>32</v>
      </c>
      <c r="I18" s="438">
        <v>46168</v>
      </c>
      <c r="J18" s="584" t="s">
        <v>3031</v>
      </c>
      <c r="K18" s="439">
        <v>340.5</v>
      </c>
      <c r="L18" s="440">
        <v>2.36</v>
      </c>
      <c r="M18" s="441">
        <v>390000</v>
      </c>
      <c r="N18" s="586">
        <v>150000</v>
      </c>
      <c r="O18" s="441">
        <v>1150000</v>
      </c>
      <c r="P18" s="441">
        <v>0</v>
      </c>
      <c r="Q18" s="441">
        <v>791820</v>
      </c>
      <c r="R18" s="441">
        <v>2180144</v>
      </c>
      <c r="S18" s="441">
        <v>747478</v>
      </c>
      <c r="T18" s="442">
        <f>ROUND(SUM(M18:S18),0)</f>
        <v>5409442</v>
      </c>
      <c r="U18" s="443">
        <v>0</v>
      </c>
      <c r="V18" s="443"/>
      <c r="W18" s="444">
        <v>1063800</v>
      </c>
      <c r="X18" s="508">
        <f>SUM(U18:W18)</f>
        <v>1063800</v>
      </c>
      <c r="Y18" s="443">
        <f t="shared" ref="Y18:Y21" si="0">X18+T18</f>
        <v>6473242</v>
      </c>
      <c r="Z18" s="445"/>
      <c r="AA18" s="446" t="str" cm="1">
        <f t="array" ref="AA18">IFERROR(
_xlfn.IFS(
VLOOKUP(B18,[1]Material!F$5:U$90000,16,0)="LUC","Lucid",
OR(VLOOKUP(B18,[1]Material!F$5:U$90000,16,0)="PUR",
VLOOKUP(B18,[1]Material!F$5:U$90000,16,0)="HLO"),"PURE",
VLOOKUP(B18,[1]Material!F$5:U$90000,16,0)="AIC","AIC",
OR(VLOOKUP(B18,[1]Material!F$5:U$90000,16,0)="AGI",
VLOOKUP(B18,[1]Material!F$5:U$90000,16,0)="AGIGA"),"AGIGA",
OR(LEFT(VLOOKUP(B18,[1]Material!F$5:U$90000,16,0),3)="EF-",
VLOOKUP(B18,[1]Material!F$5:U$90000,16,0)="EFI"),"EFI",
AND(ISNUMBER(VLOOKUP(B18,[1]Material!F$5:U$90000,16,0)),
VLOOKUP(B18,[1]Material!F$5:U$90000,16,0)&gt;=100,
VLOOKUP(B18,[1]Material!F$5:U$90000,16,0)&lt;=999,
VLOOKUP(B18,[1]Material!F$5:U$90000,16,0)=INT(VLOOKUP(B18,[1]Material!F$5:U$90000,16,0))),"OEM",
TRUE,""
),
"không tìm thấy trong file Import"
)</f>
        <v>PURE</v>
      </c>
      <c r="AB18" s="457" t="s">
        <v>1</v>
      </c>
      <c r="AC18" s="592">
        <f t="shared" ref="AC18:AC21" si="1">Q18+R18+S18</f>
        <v>3719442</v>
      </c>
      <c r="AD18" s="594">
        <f>AC18/'Logistics record '!$AD$1</f>
        <v>140.55785654901368</v>
      </c>
      <c r="AE18" s="592">
        <f t="shared" ref="AE18:AE21" si="2">M18+N18+P18</f>
        <v>540000</v>
      </c>
      <c r="AF18" s="594">
        <f>AE18/'Logistics record '!$AD$1</f>
        <v>20.406620814753232</v>
      </c>
      <c r="AG18" s="594">
        <f>O18/'Logistics record '!$AD$1</f>
        <v>43.458544327715217</v>
      </c>
      <c r="AH18" s="594">
        <f>AG18+AF18+AD18+W18/'Logistics record '!$AD$1</f>
        <v>244.62406469654599</v>
      </c>
      <c r="AI18" s="594">
        <f>AH18-AG18-AF18-AD18</f>
        <v>40.201043005063838</v>
      </c>
    </row>
    <row r="19" spans="1:35" s="457" customFormat="1" ht="26.25" customHeight="1">
      <c r="A19" s="447">
        <v>2</v>
      </c>
      <c r="B19" s="447" t="s">
        <v>3025</v>
      </c>
      <c r="C19" s="448" t="s">
        <v>3026</v>
      </c>
      <c r="D19" s="447" t="s">
        <v>833</v>
      </c>
      <c r="E19" s="447" t="s">
        <v>1297</v>
      </c>
      <c r="F19" s="486">
        <v>108282851460</v>
      </c>
      <c r="G19" s="437" t="s">
        <v>1155</v>
      </c>
      <c r="H19" s="437" t="s">
        <v>32</v>
      </c>
      <c r="I19" s="449">
        <v>46169</v>
      </c>
      <c r="J19" s="585" t="s">
        <v>3032</v>
      </c>
      <c r="K19" s="450">
        <v>794.6</v>
      </c>
      <c r="L19" s="451">
        <v>7.81</v>
      </c>
      <c r="M19" s="452">
        <v>390000</v>
      </c>
      <c r="N19" s="587">
        <v>150000</v>
      </c>
      <c r="O19" s="452">
        <v>2050000</v>
      </c>
      <c r="P19" s="452">
        <v>0</v>
      </c>
      <c r="Q19" s="452">
        <v>791820</v>
      </c>
      <c r="R19" s="452">
        <v>5153429</v>
      </c>
      <c r="S19" s="452">
        <v>18375503</v>
      </c>
      <c r="T19" s="453">
        <f>ROUND(SUM(M19:S19),0)</f>
        <v>26910752</v>
      </c>
      <c r="U19" s="454">
        <v>0</v>
      </c>
      <c r="V19" s="454"/>
      <c r="W19" s="455">
        <v>4681530</v>
      </c>
      <c r="X19" s="509">
        <f t="shared" ref="X19:X21" si="3">SUM(U19:W19)</f>
        <v>4681530</v>
      </c>
      <c r="Y19" s="454">
        <f t="shared" si="0"/>
        <v>31592282</v>
      </c>
      <c r="Z19" s="456"/>
      <c r="AA19" s="446" t="str" cm="1">
        <f t="array" ref="AA19">IFERROR(
_xlfn.IFS(
VLOOKUP(B19,[1]Material!F$5:U$90000,16,0)="LUC","Lucid",
OR(VLOOKUP(B19,[1]Material!F$5:U$90000,16,0)="PUR",
VLOOKUP(B19,[1]Material!F$5:U$90000,16,0)="HLO"),"PURE",
VLOOKUP(B19,[1]Material!F$5:U$90000,16,0)="AIC","AIC",
OR(VLOOKUP(B19,[1]Material!F$5:U$90000,16,0)="AGI",
VLOOKUP(B19,[1]Material!F$5:U$90000,16,0)="AGIGA"),"AGIGA",
OR(LEFT(VLOOKUP(B19,[1]Material!F$5:U$90000,16,0),3)="EF-",
VLOOKUP(B19,[1]Material!F$5:U$90000,16,0)="EFI"),"EFI",
AND(ISNUMBER(VLOOKUP(B19,[1]Material!F$5:U$90000,16,0)),
VLOOKUP(B19,[1]Material!F$5:U$90000,16,0)&gt;=100,
VLOOKUP(B19,[1]Material!F$5:U$90000,16,0)&lt;=999,
VLOOKUP(B19,[1]Material!F$5:U$90000,16,0)=INT(VLOOKUP(B19,[1]Material!F$5:U$90000,16,0))),"OEM",
TRUE,""
),
"không tìm thấy trong file Import"
)</f>
        <v>Lucid</v>
      </c>
      <c r="AB19" s="457" t="s">
        <v>1</v>
      </c>
      <c r="AC19" s="592">
        <f t="shared" si="1"/>
        <v>24320752</v>
      </c>
      <c r="AD19" s="594">
        <f>AC19/'Logistics record '!$AD$1</f>
        <v>919.08215554379865</v>
      </c>
      <c r="AE19" s="592">
        <f t="shared" si="2"/>
        <v>540000</v>
      </c>
      <c r="AF19" s="594">
        <f>AE19/'Logistics record '!$AD$1</f>
        <v>20.406620814753232</v>
      </c>
      <c r="AG19" s="594">
        <f>O19/'Logistics record '!$AD$1</f>
        <v>77.469579018970606</v>
      </c>
      <c r="AH19" s="594">
        <f>AG19+AF19+AD19+W19/'Logistics record '!$AD$1</f>
        <v>1193.8735545310255</v>
      </c>
      <c r="AI19" s="594">
        <f t="shared" ref="AI19:AI21" si="4">AH19-AG19-AF19-AD19</f>
        <v>176.91519915350307</v>
      </c>
    </row>
    <row r="20" spans="1:35" s="446" customFormat="1" ht="26.25" customHeight="1">
      <c r="A20" s="434">
        <v>3</v>
      </c>
      <c r="B20" s="434" t="s">
        <v>3027</v>
      </c>
      <c r="C20" s="436" t="s">
        <v>3028</v>
      </c>
      <c r="D20" s="434" t="s">
        <v>181</v>
      </c>
      <c r="E20" s="434" t="s">
        <v>1297</v>
      </c>
      <c r="F20" s="485">
        <v>108338873050</v>
      </c>
      <c r="G20" s="437" t="s">
        <v>1155</v>
      </c>
      <c r="H20" s="437" t="s">
        <v>32</v>
      </c>
      <c r="I20" s="438">
        <v>46185</v>
      </c>
      <c r="J20" s="584" t="s">
        <v>3033</v>
      </c>
      <c r="K20" s="439">
        <v>1580</v>
      </c>
      <c r="L20" s="440">
        <v>8.9</v>
      </c>
      <c r="M20" s="441">
        <v>390000</v>
      </c>
      <c r="N20" s="586">
        <v>150000</v>
      </c>
      <c r="O20" s="441">
        <v>1250000</v>
      </c>
      <c r="P20" s="441">
        <v>0</v>
      </c>
      <c r="Q20" s="441">
        <v>792360</v>
      </c>
      <c r="R20" s="441">
        <v>5876670</v>
      </c>
      <c r="S20" s="441">
        <v>2350668</v>
      </c>
      <c r="T20" s="442">
        <f>ROUND(SUM(M20:S20),0)</f>
        <v>10809698</v>
      </c>
      <c r="U20" s="443">
        <v>0</v>
      </c>
      <c r="V20" s="443"/>
      <c r="W20" s="444">
        <v>4838192</v>
      </c>
      <c r="X20" s="508">
        <f t="shared" si="3"/>
        <v>4838192</v>
      </c>
      <c r="Y20" s="443">
        <f t="shared" si="0"/>
        <v>15647890</v>
      </c>
      <c r="Z20" s="445"/>
      <c r="AA20" s="446" t="str" cm="1">
        <f t="array" ref="AA20">IFERROR(
_xlfn.IFS(
VLOOKUP(B20,[1]Material!F$5:U$90000,16,0)="LUC","Lucid",
OR(VLOOKUP(B20,[1]Material!F$5:U$90000,16,0)="PUR",
VLOOKUP(B20,[1]Material!F$5:U$90000,16,0)="HLO"),"PURE",
VLOOKUP(B20,[1]Material!F$5:U$90000,16,0)="AIC","AIC",
OR(VLOOKUP(B20,[1]Material!F$5:U$90000,16,0)="AGI",
VLOOKUP(B20,[1]Material!F$5:U$90000,16,0)="AGIGA"),"AGIGA",
OR(LEFT(VLOOKUP(B20,[1]Material!F$5:U$90000,16,0),3)="EF-",
VLOOKUP(B20,[1]Material!F$5:U$90000,16,0)="EFI"),"EFI",
AND(ISNUMBER(VLOOKUP(B20,[1]Material!F$5:U$90000,16,0)),
VLOOKUP(B20,[1]Material!F$5:U$90000,16,0)&gt;=100,
VLOOKUP(B20,[1]Material!F$5:U$90000,16,0)&lt;=999,
VLOOKUP(B20,[1]Material!F$5:U$90000,16,0)=INT(VLOOKUP(B20,[1]Material!F$5:U$90000,16,0))),"OEM",
TRUE,""
),
"không tìm thấy trong file Import"
)</f>
        <v>Lucid</v>
      </c>
      <c r="AB20" s="457" t="s">
        <v>1</v>
      </c>
      <c r="AC20" s="592">
        <f t="shared" si="1"/>
        <v>9019698</v>
      </c>
      <c r="AD20" s="594">
        <f>AC20/'Logistics record '!$AD$1</f>
        <v>340.85473509182981</v>
      </c>
      <c r="AE20" s="592">
        <f t="shared" si="2"/>
        <v>540000</v>
      </c>
      <c r="AF20" s="594">
        <f>AE20/'Logistics record '!$AD$1</f>
        <v>20.406620814753232</v>
      </c>
      <c r="AG20" s="594">
        <f>O20/'Logistics record '!$AD$1</f>
        <v>47.237548182299143</v>
      </c>
      <c r="AH20" s="594">
        <f>AG20+AF20+AD20+W20/'Logistics record '!$AD$1</f>
        <v>591.33436626105356</v>
      </c>
      <c r="AI20" s="594">
        <f t="shared" si="4"/>
        <v>182.83546217217139</v>
      </c>
    </row>
    <row r="21" spans="1:35" s="446" customFormat="1" ht="26.25" customHeight="1">
      <c r="A21" s="434">
        <v>4</v>
      </c>
      <c r="B21" s="434" t="s">
        <v>3029</v>
      </c>
      <c r="C21" s="436" t="s">
        <v>3030</v>
      </c>
      <c r="D21" s="434" t="s">
        <v>1581</v>
      </c>
      <c r="E21" s="434" t="s">
        <v>2088</v>
      </c>
      <c r="F21" s="485">
        <v>108355204200</v>
      </c>
      <c r="G21" s="437" t="s">
        <v>1155</v>
      </c>
      <c r="H21" s="437" t="s">
        <v>32</v>
      </c>
      <c r="I21" s="438">
        <v>46191</v>
      </c>
      <c r="J21" s="584" t="s">
        <v>1741</v>
      </c>
      <c r="K21" s="439">
        <v>114</v>
      </c>
      <c r="L21" s="440">
        <v>1</v>
      </c>
      <c r="M21" s="441">
        <v>390000</v>
      </c>
      <c r="N21" s="586">
        <v>150000</v>
      </c>
      <c r="O21" s="441">
        <v>1150000</v>
      </c>
      <c r="P21" s="441"/>
      <c r="Q21" s="441">
        <v>792930</v>
      </c>
      <c r="R21" s="441">
        <v>925085</v>
      </c>
      <c r="S21" s="441">
        <v>317172</v>
      </c>
      <c r="T21" s="442">
        <f t="shared" ref="T21" si="5">SUM(M21:S21)</f>
        <v>3725187</v>
      </c>
      <c r="U21" s="443">
        <v>0</v>
      </c>
      <c r="V21" s="443"/>
      <c r="W21" s="444">
        <v>576180</v>
      </c>
      <c r="X21" s="508">
        <f t="shared" si="3"/>
        <v>576180</v>
      </c>
      <c r="Y21" s="443">
        <f t="shared" si="0"/>
        <v>4301367</v>
      </c>
      <c r="Z21" s="445"/>
      <c r="AA21" s="446" t="s">
        <v>1271</v>
      </c>
      <c r="AB21" s="457" t="s">
        <v>1</v>
      </c>
      <c r="AC21" s="592">
        <f t="shared" si="1"/>
        <v>2035187</v>
      </c>
      <c r="AD21" s="594">
        <f>AC21/'Logistics record '!$AD$1</f>
        <v>76.909795177991086</v>
      </c>
      <c r="AE21" s="592">
        <f t="shared" si="2"/>
        <v>540000</v>
      </c>
      <c r="AF21" s="594">
        <f>AE21/'Logistics record '!$AD$1</f>
        <v>20.406620814753232</v>
      </c>
      <c r="AG21" s="594">
        <f>O21/'Logistics record '!$AD$1</f>
        <v>43.458544327715217</v>
      </c>
      <c r="AH21" s="594">
        <f>AG21+AF21+AD21+W21/'Logistics record '!$AD$1</f>
        <v>162.54882472980125</v>
      </c>
      <c r="AI21" s="594">
        <f t="shared" si="4"/>
        <v>21.773864409341726</v>
      </c>
    </row>
    <row r="22" spans="1:35" s="459" customFormat="1" ht="48.75" customHeight="1">
      <c r="A22" s="434">
        <v>5</v>
      </c>
      <c r="B22" s="850" t="s">
        <v>1311</v>
      </c>
      <c r="C22" s="851"/>
      <c r="D22" s="851"/>
      <c r="E22" s="851"/>
      <c r="F22" s="487"/>
      <c r="G22" s="461"/>
      <c r="H22" s="461"/>
      <c r="I22" s="461"/>
      <c r="J22" s="461"/>
      <c r="K22" s="461"/>
      <c r="L22" s="461"/>
      <c r="M22" s="494"/>
      <c r="N22" s="494"/>
      <c r="O22" s="494"/>
      <c r="P22" s="461"/>
      <c r="Q22" s="503"/>
      <c r="R22" s="503"/>
      <c r="S22" s="503"/>
      <c r="T22" s="462"/>
      <c r="U22" s="462"/>
      <c r="V22" s="462"/>
      <c r="W22" s="463"/>
      <c r="X22" s="510">
        <v>60000</v>
      </c>
      <c r="Y22" s="458">
        <f t="shared" ref="Y22" si="6">X22+T22</f>
        <v>60000</v>
      </c>
      <c r="Z22" s="460"/>
      <c r="AA22" s="740"/>
    </row>
    <row r="23" spans="1:35" s="446" customFormat="1" ht="24" customHeight="1" thickBot="1">
      <c r="A23" s="529" t="s">
        <v>1298</v>
      </c>
      <c r="B23" s="528"/>
      <c r="C23" s="528"/>
      <c r="D23" s="528"/>
      <c r="E23" s="528"/>
      <c r="F23" s="528"/>
      <c r="G23" s="528"/>
      <c r="H23" s="528"/>
      <c r="I23" s="528"/>
      <c r="J23" s="528"/>
      <c r="K23" s="528"/>
      <c r="L23" s="528"/>
      <c r="M23" s="528"/>
      <c r="N23" s="528"/>
      <c r="O23" s="528"/>
      <c r="P23" s="528"/>
      <c r="Q23" s="528"/>
      <c r="R23" s="528"/>
      <c r="S23" s="528"/>
      <c r="T23" s="464">
        <f>ROUND(SUM(T18:T21),0)</f>
        <v>46855079</v>
      </c>
      <c r="U23" s="857" t="s">
        <v>1295</v>
      </c>
      <c r="V23" s="858"/>
      <c r="W23" s="465"/>
      <c r="X23" s="511">
        <f>SUM(X18:X22)</f>
        <v>11219702</v>
      </c>
      <c r="Y23" s="466">
        <f>SUM(Y18:Y22)</f>
        <v>58074781</v>
      </c>
      <c r="Z23" s="467"/>
      <c r="AC23" s="468"/>
    </row>
    <row r="24" spans="1:35" s="446" customFormat="1" ht="24" customHeight="1">
      <c r="A24" s="469"/>
      <c r="B24" s="469"/>
      <c r="C24" s="469"/>
      <c r="D24" s="469"/>
      <c r="E24" s="469"/>
      <c r="F24" s="488"/>
      <c r="G24" s="469"/>
      <c r="H24" s="469"/>
      <c r="I24" s="469"/>
      <c r="J24" s="469"/>
      <c r="K24" s="469"/>
      <c r="L24" s="469"/>
      <c r="M24" s="495"/>
      <c r="N24" s="495"/>
      <c r="O24" s="495"/>
      <c r="P24" s="469"/>
      <c r="Q24" s="572"/>
      <c r="R24" s="504"/>
      <c r="S24" s="504"/>
      <c r="T24" s="469"/>
      <c r="U24" s="469"/>
      <c r="V24" s="469"/>
      <c r="W24" s="469"/>
      <c r="X24" s="504"/>
      <c r="Y24" s="470"/>
      <c r="Z24" s="471"/>
      <c r="AC24" s="468"/>
    </row>
    <row r="25" spans="1:35" s="446" customFormat="1" ht="24" customHeight="1">
      <c r="A25" s="469"/>
      <c r="B25" s="469"/>
      <c r="C25" s="469"/>
      <c r="D25" s="469"/>
      <c r="E25" s="469"/>
      <c r="F25" s="488"/>
      <c r="G25" s="469"/>
      <c r="H25" s="469"/>
      <c r="I25" s="469"/>
      <c r="J25" s="469"/>
      <c r="K25" s="469"/>
      <c r="L25" s="469"/>
      <c r="M25" s="495"/>
      <c r="N25" s="495"/>
      <c r="O25" s="495"/>
      <c r="P25" s="469"/>
      <c r="Q25" s="531"/>
      <c r="R25" s="504"/>
      <c r="S25" s="504"/>
      <c r="T25" s="469"/>
      <c r="U25" s="469"/>
      <c r="V25" s="469"/>
      <c r="W25" s="469"/>
      <c r="X25" s="504"/>
      <c r="Y25" s="470"/>
      <c r="Z25" s="471"/>
      <c r="AC25" s="468"/>
    </row>
    <row r="26" spans="1:35" s="446" customFormat="1" ht="24" customHeight="1">
      <c r="A26" s="469"/>
      <c r="B26" s="469"/>
      <c r="C26" s="469"/>
      <c r="E26" s="472" t="s">
        <v>1299</v>
      </c>
      <c r="F26" s="488">
        <f>T23</f>
        <v>46855079</v>
      </c>
      <c r="G26" s="473"/>
      <c r="H26" s="473"/>
      <c r="I26" s="469" t="s">
        <v>1300</v>
      </c>
      <c r="J26" s="469"/>
      <c r="K26" s="469"/>
      <c r="L26" s="469"/>
      <c r="M26" s="495"/>
      <c r="N26" s="495"/>
      <c r="O26" s="495"/>
      <c r="P26" s="469"/>
      <c r="Q26" s="504"/>
      <c r="R26" s="504"/>
      <c r="S26" s="504"/>
      <c r="T26" s="469"/>
      <c r="U26" s="469"/>
      <c r="V26" s="469"/>
      <c r="W26" s="469"/>
      <c r="X26" s="504"/>
      <c r="Y26" s="470"/>
      <c r="Z26" s="471"/>
      <c r="AC26" s="468"/>
    </row>
    <row r="27" spans="1:35" s="446" customFormat="1" ht="24" customHeight="1">
      <c r="A27" s="469"/>
      <c r="B27" s="469"/>
      <c r="C27" s="469"/>
      <c r="E27" s="472" t="s">
        <v>1301</v>
      </c>
      <c r="F27" s="488">
        <f>X23</f>
        <v>11219702</v>
      </c>
      <c r="G27" s="473"/>
      <c r="H27" s="473"/>
      <c r="I27" s="469" t="s">
        <v>1300</v>
      </c>
      <c r="J27" s="469"/>
      <c r="K27" s="469"/>
      <c r="L27" s="469"/>
      <c r="M27" s="495"/>
      <c r="N27" s="495"/>
      <c r="O27" s="495"/>
      <c r="P27" s="469"/>
      <c r="Q27" s="504"/>
      <c r="R27" s="504"/>
      <c r="S27" s="504"/>
      <c r="T27" s="469"/>
      <c r="U27" s="469"/>
      <c r="V27" s="469"/>
      <c r="W27" s="469"/>
      <c r="X27" s="504"/>
      <c r="Y27" s="470"/>
      <c r="Z27" s="471"/>
      <c r="AC27" s="468"/>
    </row>
    <row r="28" spans="1:35" s="446" customFormat="1" ht="24" customHeight="1">
      <c r="A28" s="469"/>
      <c r="B28" s="469"/>
      <c r="C28" s="469"/>
      <c r="E28" s="472" t="s">
        <v>1302</v>
      </c>
      <c r="F28" s="488">
        <f>F26+F27</f>
        <v>58074781</v>
      </c>
      <c r="G28" s="473"/>
      <c r="H28" s="473"/>
      <c r="I28" s="469" t="s">
        <v>1300</v>
      </c>
      <c r="J28" s="469"/>
      <c r="K28" s="469"/>
      <c r="L28" s="469"/>
      <c r="M28" s="495"/>
      <c r="N28" s="495"/>
      <c r="O28" s="495"/>
      <c r="P28" s="469"/>
      <c r="Q28" s="504"/>
      <c r="R28" s="504"/>
      <c r="S28" s="504"/>
      <c r="T28" s="469"/>
      <c r="U28" s="469"/>
      <c r="V28" s="469"/>
      <c r="W28" s="469"/>
      <c r="X28" s="504"/>
      <c r="Y28" s="470"/>
      <c r="Z28" s="471"/>
      <c r="AC28" s="468"/>
    </row>
    <row r="29" spans="1:35" s="446" customFormat="1" ht="24" customHeight="1">
      <c r="A29" s="469"/>
      <c r="B29" s="469"/>
      <c r="C29" s="469"/>
      <c r="D29" s="469"/>
      <c r="E29" s="469"/>
      <c r="F29" s="537">
        <f>F28/'Logistics record '!AD1</f>
        <v>2194.6482125311768</v>
      </c>
      <c r="G29" s="469"/>
      <c r="H29" s="469"/>
      <c r="I29" s="469"/>
      <c r="J29" s="469"/>
      <c r="K29" s="469"/>
      <c r="L29" s="469"/>
      <c r="M29" s="495"/>
      <c r="N29" s="495"/>
      <c r="O29" s="495"/>
      <c r="P29" s="469"/>
      <c r="Q29" s="504"/>
      <c r="R29" s="504"/>
      <c r="S29" s="504"/>
      <c r="T29" s="469"/>
      <c r="U29" s="469"/>
      <c r="V29" s="469"/>
      <c r="W29" s="469"/>
      <c r="X29" s="504"/>
      <c r="Y29" s="470"/>
      <c r="Z29" s="471"/>
      <c r="AC29" s="468"/>
    </row>
    <row r="30" spans="1:35" s="446" customFormat="1">
      <c r="F30" s="489"/>
      <c r="I30" s="474"/>
      <c r="M30" s="496"/>
      <c r="N30" s="496"/>
      <c r="O30" s="496"/>
      <c r="P30" s="475"/>
      <c r="Q30" s="505"/>
      <c r="R30" s="505"/>
      <c r="S30" s="505"/>
      <c r="T30" s="475"/>
      <c r="U30" s="475"/>
      <c r="V30" s="475"/>
      <c r="W30" s="475"/>
      <c r="X30" s="505"/>
      <c r="Y30" s="475"/>
    </row>
    <row r="31" spans="1:35">
      <c r="M31" s="497"/>
      <c r="N31" s="497"/>
      <c r="O31" s="497"/>
      <c r="P31" s="476"/>
      <c r="Q31" s="506"/>
      <c r="R31" s="506"/>
      <c r="S31" s="506"/>
      <c r="T31" s="476"/>
      <c r="U31" s="476"/>
      <c r="V31" s="476"/>
      <c r="W31" s="476"/>
      <c r="X31" s="506"/>
      <c r="Y31" s="476"/>
      <c r="AC31" s="477"/>
    </row>
    <row r="32" spans="1:35" s="478" customFormat="1" ht="20.25">
      <c r="A32" s="530" t="s">
        <v>1276</v>
      </c>
      <c r="B32" s="530"/>
      <c r="C32" s="530"/>
      <c r="D32" s="530"/>
      <c r="E32" s="530"/>
      <c r="F32" s="490"/>
      <c r="I32" s="479"/>
      <c r="M32" s="498"/>
      <c r="N32" s="498"/>
      <c r="O32" s="498"/>
      <c r="Q32" s="507"/>
      <c r="R32" s="507"/>
      <c r="S32" s="507"/>
      <c r="T32" s="530" t="s">
        <v>1303</v>
      </c>
      <c r="U32" s="530"/>
      <c r="V32" s="530"/>
      <c r="W32" s="530"/>
      <c r="X32" s="530"/>
      <c r="Y32" s="530"/>
      <c r="Z32" s="530"/>
    </row>
  </sheetData>
  <autoFilter ref="A17:AC23" xr:uid="{1DE3BC1E-182E-43E5-B3AF-423F8137B94C}"/>
  <mergeCells count="18">
    <mergeCell ref="U23:V23"/>
    <mergeCell ref="H16:H17"/>
    <mergeCell ref="T16:T17"/>
    <mergeCell ref="U16:W16"/>
    <mergeCell ref="X16:X17"/>
    <mergeCell ref="Y16:Y17"/>
    <mergeCell ref="Z16:Z17"/>
    <mergeCell ref="B22:E22"/>
    <mergeCell ref="A16:A17"/>
    <mergeCell ref="B16:B17"/>
    <mergeCell ref="C16:C17"/>
    <mergeCell ref="D16:D17"/>
    <mergeCell ref="E16:E17"/>
    <mergeCell ref="F16:F17"/>
    <mergeCell ref="I16:I17"/>
    <mergeCell ref="J16:L16"/>
    <mergeCell ref="M16:S16"/>
    <mergeCell ref="G16:G17"/>
  </mergeCells>
  <pageMargins left="0.25" right="0.25" top="0.75" bottom="0.75" header="0.3" footer="0.3"/>
  <pageSetup scale="55" fitToHeight="0"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DD163-5051-4A7C-B68C-1BE74B1AFAA5}">
  <sheetPr>
    <tabColor rgb="FF92D050"/>
  </sheetPr>
  <dimension ref="A1:W17"/>
  <sheetViews>
    <sheetView topLeftCell="C1" workbookViewId="0">
      <selection activeCell="N29" sqref="A26:N29"/>
    </sheetView>
  </sheetViews>
  <sheetFormatPr defaultRowHeight="15"/>
  <cols>
    <col min="1" max="1" width="10" bestFit="1" customWidth="1"/>
    <col min="2" max="4" width="10" customWidth="1"/>
    <col min="5" max="5" width="14.7109375" bestFit="1" customWidth="1"/>
    <col min="8" max="8" width="11" bestFit="1" customWidth="1"/>
    <col min="10" max="10" width="47" bestFit="1" customWidth="1"/>
    <col min="11" max="11" width="26.140625" bestFit="1" customWidth="1"/>
    <col min="16" max="16" width="9.85546875" bestFit="1" customWidth="1"/>
    <col min="21" max="21" width="12.140625" bestFit="1" customWidth="1"/>
    <col min="22" max="22" width="15.5703125" customWidth="1"/>
    <col min="23" max="23" width="9.140625" style="692"/>
  </cols>
  <sheetData>
    <row r="1" spans="1:23" ht="32.25" customHeight="1">
      <c r="A1" s="864" t="s">
        <v>2117</v>
      </c>
      <c r="B1" s="866" t="s">
        <v>1154</v>
      </c>
      <c r="C1" s="866" t="s">
        <v>1154</v>
      </c>
      <c r="D1" s="866" t="s">
        <v>1110</v>
      </c>
      <c r="E1" s="864" t="s">
        <v>2118</v>
      </c>
      <c r="F1" s="864" t="s">
        <v>1113</v>
      </c>
      <c r="G1" s="864" t="s">
        <v>2119</v>
      </c>
      <c r="H1" s="864" t="s">
        <v>1116</v>
      </c>
      <c r="I1" s="864" t="s">
        <v>1117</v>
      </c>
      <c r="J1" s="864" t="s">
        <v>1118</v>
      </c>
      <c r="K1" s="864" t="s">
        <v>1119</v>
      </c>
      <c r="L1" s="864" t="s">
        <v>1120</v>
      </c>
      <c r="M1" s="864" t="s">
        <v>1121</v>
      </c>
      <c r="N1" s="864" t="s">
        <v>2124</v>
      </c>
      <c r="O1" s="864" t="s">
        <v>1214</v>
      </c>
      <c r="P1" s="864" t="s">
        <v>1124</v>
      </c>
      <c r="Q1" s="864" t="s">
        <v>2120</v>
      </c>
      <c r="R1" s="864" t="s">
        <v>3041</v>
      </c>
      <c r="S1" s="864" t="s">
        <v>3044</v>
      </c>
      <c r="T1" s="864" t="s">
        <v>2121</v>
      </c>
      <c r="U1" s="864" t="s">
        <v>1127</v>
      </c>
      <c r="V1" s="683" t="s">
        <v>919</v>
      </c>
    </row>
    <row r="2" spans="1:23" ht="15.75" thickBot="1">
      <c r="A2" s="865"/>
      <c r="B2" s="867"/>
      <c r="C2" s="867"/>
      <c r="D2" s="867"/>
      <c r="E2" s="865"/>
      <c r="F2" s="865"/>
      <c r="G2" s="865"/>
      <c r="H2" s="865"/>
      <c r="I2" s="865"/>
      <c r="J2" s="865"/>
      <c r="K2" s="865"/>
      <c r="L2" s="865"/>
      <c r="M2" s="865"/>
      <c r="N2" s="865"/>
      <c r="O2" s="865"/>
      <c r="P2" s="865"/>
      <c r="Q2" s="865"/>
      <c r="R2" s="865"/>
      <c r="S2" s="865"/>
      <c r="T2" s="865"/>
      <c r="U2" s="865"/>
      <c r="V2" s="684" t="s">
        <v>2122</v>
      </c>
    </row>
    <row r="3" spans="1:23" ht="15.75" thickBot="1">
      <c r="A3" s="685"/>
      <c r="B3" s="686" t="s">
        <v>1</v>
      </c>
      <c r="C3" s="686" t="s">
        <v>1155</v>
      </c>
      <c r="D3" s="686" t="s">
        <v>76</v>
      </c>
      <c r="E3" s="686" t="s">
        <v>3034</v>
      </c>
      <c r="F3" s="687">
        <v>99931</v>
      </c>
      <c r="G3" s="688">
        <v>46183</v>
      </c>
      <c r="H3" s="687">
        <v>3774718220</v>
      </c>
      <c r="I3" s="688">
        <v>46168</v>
      </c>
      <c r="J3" s="689" t="s">
        <v>3037</v>
      </c>
      <c r="K3" s="689" t="s">
        <v>1136</v>
      </c>
      <c r="L3" s="687" t="s">
        <v>927</v>
      </c>
      <c r="M3" s="687" t="s">
        <v>971</v>
      </c>
      <c r="N3" s="687">
        <v>1</v>
      </c>
      <c r="O3" s="687">
        <v>55</v>
      </c>
      <c r="P3" s="690">
        <v>4125000</v>
      </c>
      <c r="Q3" s="687">
        <v>0</v>
      </c>
      <c r="R3" s="690"/>
      <c r="S3" s="687"/>
      <c r="T3" s="690">
        <v>1969687.5</v>
      </c>
      <c r="U3" s="691">
        <f>8%*(P3+Q3+R3+T3+S3)</f>
        <v>487575</v>
      </c>
      <c r="V3" s="690">
        <f>SUM(P3,R3,Q3,T3,U3,S3)</f>
        <v>6582262.5</v>
      </c>
      <c r="W3" s="692">
        <f>V3/'Logistics record '!$AD$1</f>
        <v>248.74395359383266</v>
      </c>
    </row>
    <row r="4" spans="1:23" ht="15.75" thickBot="1">
      <c r="A4" s="685"/>
      <c r="B4" s="686" t="s">
        <v>1</v>
      </c>
      <c r="C4" s="686" t="s">
        <v>1155</v>
      </c>
      <c r="D4" s="686" t="s">
        <v>1271</v>
      </c>
      <c r="E4" s="686" t="s">
        <v>3034</v>
      </c>
      <c r="F4" s="687">
        <v>99931</v>
      </c>
      <c r="G4" s="688">
        <v>46183</v>
      </c>
      <c r="H4" s="687">
        <v>1725908612</v>
      </c>
      <c r="I4" s="688">
        <v>46169</v>
      </c>
      <c r="J4" s="689" t="s">
        <v>3038</v>
      </c>
      <c r="K4" s="689" t="s">
        <v>1136</v>
      </c>
      <c r="L4" s="687" t="s">
        <v>927</v>
      </c>
      <c r="M4" s="687" t="s">
        <v>971</v>
      </c>
      <c r="N4" s="687">
        <v>1</v>
      </c>
      <c r="O4" s="687">
        <v>34</v>
      </c>
      <c r="P4" s="690">
        <v>2550000</v>
      </c>
      <c r="Q4" s="687">
        <v>0</v>
      </c>
      <c r="R4" s="690"/>
      <c r="S4" s="687"/>
      <c r="T4" s="690">
        <v>1217625</v>
      </c>
      <c r="U4" s="691">
        <f t="shared" ref="U4:U13" si="0">8%*(P4+Q4+R4+T4+S4)</f>
        <v>301410</v>
      </c>
      <c r="V4" s="690">
        <f t="shared" ref="V4:V13" si="1">SUM(P4,R4,Q4,T4,U4,S4)</f>
        <v>4069035</v>
      </c>
      <c r="W4" s="692">
        <f>V4/'Logistics record '!$AD$1</f>
        <v>153.76898949436929</v>
      </c>
    </row>
    <row r="5" spans="1:23" ht="15.75" thickBot="1">
      <c r="A5" s="685"/>
      <c r="B5" s="686" t="s">
        <v>1</v>
      </c>
      <c r="C5" s="686" t="s">
        <v>1155</v>
      </c>
      <c r="D5" s="686" t="s">
        <v>1271</v>
      </c>
      <c r="E5" s="686" t="s">
        <v>3034</v>
      </c>
      <c r="F5" s="687">
        <v>99931</v>
      </c>
      <c r="G5" s="688">
        <v>46183</v>
      </c>
      <c r="H5" s="687">
        <v>6897410575</v>
      </c>
      <c r="I5" s="688">
        <v>46175</v>
      </c>
      <c r="J5" s="689" t="s">
        <v>956</v>
      </c>
      <c r="K5" s="689" t="s">
        <v>1136</v>
      </c>
      <c r="L5" s="687" t="s">
        <v>932</v>
      </c>
      <c r="M5" s="687" t="s">
        <v>971</v>
      </c>
      <c r="N5" s="687">
        <v>3</v>
      </c>
      <c r="O5" s="687">
        <v>39</v>
      </c>
      <c r="P5" s="690">
        <v>3952806</v>
      </c>
      <c r="Q5" s="687">
        <v>0</v>
      </c>
      <c r="R5" s="690"/>
      <c r="S5" s="687"/>
      <c r="T5" s="690">
        <v>1926992.925</v>
      </c>
      <c r="U5" s="691">
        <f t="shared" si="0"/>
        <v>470383.91399999999</v>
      </c>
      <c r="V5" s="690">
        <f t="shared" si="1"/>
        <v>6350182.8389999997</v>
      </c>
      <c r="W5" s="692">
        <f>V5/'Logistics record '!$AD$1</f>
        <v>239.97365425893733</v>
      </c>
    </row>
    <row r="6" spans="1:23" ht="15.75" thickBot="1">
      <c r="A6" s="685"/>
      <c r="B6" s="686" t="s">
        <v>1</v>
      </c>
      <c r="C6" s="686" t="s">
        <v>1155</v>
      </c>
      <c r="D6" s="686" t="s">
        <v>1608</v>
      </c>
      <c r="E6" s="686" t="s">
        <v>3034</v>
      </c>
      <c r="F6" s="687">
        <v>99931</v>
      </c>
      <c r="G6" s="688">
        <v>46183</v>
      </c>
      <c r="H6" s="687">
        <v>1943962005</v>
      </c>
      <c r="I6" s="688">
        <v>46177</v>
      </c>
      <c r="J6" s="689" t="s">
        <v>3039</v>
      </c>
      <c r="K6" s="689" t="s">
        <v>1136</v>
      </c>
      <c r="L6" s="687" t="s">
        <v>954</v>
      </c>
      <c r="M6" s="687" t="s">
        <v>971</v>
      </c>
      <c r="N6" s="687">
        <v>1</v>
      </c>
      <c r="O6" s="687">
        <v>12</v>
      </c>
      <c r="P6" s="690">
        <v>2787945</v>
      </c>
      <c r="Q6" s="687">
        <v>0</v>
      </c>
      <c r="R6" s="690"/>
      <c r="S6" s="687"/>
      <c r="T6" s="690">
        <v>1359123.1875</v>
      </c>
      <c r="U6" s="691">
        <f t="shared" si="0"/>
        <v>331765.45500000002</v>
      </c>
      <c r="V6" s="690">
        <f t="shared" si="1"/>
        <v>4478833.6425000001</v>
      </c>
      <c r="W6" s="692">
        <f>V6/'Logistics record '!$AD$1</f>
        <v>169.25529599047692</v>
      </c>
    </row>
    <row r="7" spans="1:23" ht="15.75" thickBot="1">
      <c r="A7" s="685"/>
      <c r="B7" s="686" t="s">
        <v>1</v>
      </c>
      <c r="C7" s="686" t="s">
        <v>1155</v>
      </c>
      <c r="D7" s="686" t="s">
        <v>94</v>
      </c>
      <c r="E7" s="686" t="s">
        <v>3034</v>
      </c>
      <c r="F7" s="687">
        <v>99931</v>
      </c>
      <c r="G7" s="688">
        <v>46183</v>
      </c>
      <c r="H7" s="687">
        <v>2629838385</v>
      </c>
      <c r="I7" s="688">
        <v>46178</v>
      </c>
      <c r="J7" s="689" t="s">
        <v>984</v>
      </c>
      <c r="K7" s="689" t="s">
        <v>110</v>
      </c>
      <c r="L7" s="687" t="s">
        <v>943</v>
      </c>
      <c r="M7" s="687" t="s">
        <v>971</v>
      </c>
      <c r="N7" s="687">
        <v>3</v>
      </c>
      <c r="O7" s="687">
        <v>2</v>
      </c>
      <c r="P7" s="690">
        <v>1409647</v>
      </c>
      <c r="Q7" s="687">
        <v>0</v>
      </c>
      <c r="R7" s="690">
        <v>136753</v>
      </c>
      <c r="S7" s="687"/>
      <c r="T7" s="690">
        <v>687202.91249999998</v>
      </c>
      <c r="U7" s="691">
        <f t="shared" si="0"/>
        <v>178688.23300000001</v>
      </c>
      <c r="V7" s="690">
        <f t="shared" si="1"/>
        <v>2412291.1455000001</v>
      </c>
      <c r="W7" s="692">
        <f>V7/'Logistics record '!$AD$1</f>
        <v>91.160575372231889</v>
      </c>
    </row>
    <row r="8" spans="1:23" ht="15.75" thickBot="1">
      <c r="A8" s="685"/>
      <c r="B8" s="686" t="s">
        <v>1</v>
      </c>
      <c r="C8" s="686" t="s">
        <v>1155</v>
      </c>
      <c r="D8" s="686" t="s">
        <v>3045</v>
      </c>
      <c r="E8" s="686" t="s">
        <v>3035</v>
      </c>
      <c r="F8" s="687">
        <v>105118</v>
      </c>
      <c r="G8" s="688">
        <v>46183</v>
      </c>
      <c r="H8" s="687">
        <v>1769080994</v>
      </c>
      <c r="I8" s="688">
        <v>46178</v>
      </c>
      <c r="J8" s="689" t="s">
        <v>974</v>
      </c>
      <c r="K8" s="689" t="s">
        <v>110</v>
      </c>
      <c r="L8" s="687" t="s">
        <v>943</v>
      </c>
      <c r="M8" s="687" t="s">
        <v>935</v>
      </c>
      <c r="N8" s="687" t="s">
        <v>3040</v>
      </c>
      <c r="O8" s="687">
        <v>1.5</v>
      </c>
      <c r="P8" s="690">
        <v>6200000</v>
      </c>
      <c r="Q8" s="687">
        <v>0</v>
      </c>
      <c r="R8" s="690">
        <v>136753</v>
      </c>
      <c r="S8" s="687"/>
      <c r="T8" s="690">
        <v>3022500</v>
      </c>
      <c r="U8" s="691">
        <f t="shared" si="0"/>
        <v>748740.24</v>
      </c>
      <c r="V8" s="690">
        <f t="shared" si="1"/>
        <v>10107993.24</v>
      </c>
      <c r="W8" s="692">
        <f>V8/'Logistics record '!$AD$1</f>
        <v>381.98145416068326</v>
      </c>
    </row>
    <row r="9" spans="1:23" ht="15.75" thickBot="1">
      <c r="A9" s="685"/>
      <c r="B9" s="686" t="s">
        <v>7</v>
      </c>
      <c r="C9" s="686"/>
      <c r="D9" s="686" t="s">
        <v>2093</v>
      </c>
      <c r="E9" s="686" t="s">
        <v>3036</v>
      </c>
      <c r="F9" s="687">
        <v>101212</v>
      </c>
      <c r="G9" s="688">
        <v>46183</v>
      </c>
      <c r="H9" s="687">
        <v>7958647502</v>
      </c>
      <c r="I9" s="688">
        <v>46170</v>
      </c>
      <c r="J9" s="689" t="s">
        <v>1595</v>
      </c>
      <c r="K9" s="689" t="s">
        <v>1895</v>
      </c>
      <c r="L9" s="687" t="s">
        <v>971</v>
      </c>
      <c r="M9" s="687" t="s">
        <v>931</v>
      </c>
      <c r="N9" s="687">
        <v>5</v>
      </c>
      <c r="O9" s="687">
        <v>3.5</v>
      </c>
      <c r="P9" s="690">
        <v>1873210</v>
      </c>
      <c r="Q9" s="687">
        <v>0</v>
      </c>
      <c r="R9" s="690"/>
      <c r="S9" s="687"/>
      <c r="T9" s="690">
        <v>894457.77499999991</v>
      </c>
      <c r="U9" s="691">
        <f t="shared" si="0"/>
        <v>221413.42199999999</v>
      </c>
      <c r="V9" s="690">
        <f t="shared" si="1"/>
        <v>2989081.1969999997</v>
      </c>
      <c r="W9" s="692">
        <f>V9/'Logistics record '!$AD$1</f>
        <v>112.95749365127351</v>
      </c>
    </row>
    <row r="10" spans="1:23" ht="15.75" thickBot="1">
      <c r="A10" s="685"/>
      <c r="B10" s="686" t="s">
        <v>1</v>
      </c>
      <c r="C10" s="686" t="s">
        <v>1155</v>
      </c>
      <c r="D10" s="686" t="s">
        <v>94</v>
      </c>
      <c r="E10" s="686" t="s">
        <v>3042</v>
      </c>
      <c r="F10" s="687">
        <v>106113</v>
      </c>
      <c r="G10" s="688">
        <v>46190</v>
      </c>
      <c r="H10" s="687">
        <v>3270210414</v>
      </c>
      <c r="I10" s="688">
        <v>46179</v>
      </c>
      <c r="J10" s="689" t="s">
        <v>974</v>
      </c>
      <c r="K10" s="689" t="s">
        <v>1136</v>
      </c>
      <c r="L10" s="687" t="s">
        <v>943</v>
      </c>
      <c r="M10" s="687" t="s">
        <v>971</v>
      </c>
      <c r="N10" s="687">
        <v>3</v>
      </c>
      <c r="O10" s="687">
        <v>12.5</v>
      </c>
      <c r="P10" s="690">
        <v>3263674</v>
      </c>
      <c r="Q10" s="687">
        <v>0</v>
      </c>
      <c r="R10" s="690">
        <v>136753</v>
      </c>
      <c r="S10" s="687">
        <v>900000</v>
      </c>
      <c r="T10" s="690">
        <v>2029791</v>
      </c>
      <c r="U10" s="691">
        <f t="shared" si="0"/>
        <v>506417.44</v>
      </c>
      <c r="V10" s="690">
        <f t="shared" si="1"/>
        <v>6836635.4400000004</v>
      </c>
      <c r="W10" s="692">
        <f>V10/'Logistics record '!$AD$1</f>
        <v>258.35671680145117</v>
      </c>
    </row>
    <row r="11" spans="1:23" ht="15.75" thickBot="1">
      <c r="A11" s="685"/>
      <c r="B11" s="686" t="s">
        <v>1</v>
      </c>
      <c r="C11" s="686" t="s">
        <v>1155</v>
      </c>
      <c r="D11" s="686" t="s">
        <v>1271</v>
      </c>
      <c r="E11" s="686" t="s">
        <v>3042</v>
      </c>
      <c r="F11" s="687">
        <v>106113</v>
      </c>
      <c r="G11" s="688">
        <v>46190</v>
      </c>
      <c r="H11" s="687">
        <v>4448587290</v>
      </c>
      <c r="I11" s="688">
        <v>46179</v>
      </c>
      <c r="J11" s="689" t="s">
        <v>974</v>
      </c>
      <c r="K11" s="689" t="s">
        <v>1136</v>
      </c>
      <c r="L11" s="687" t="s">
        <v>943</v>
      </c>
      <c r="M11" s="687" t="s">
        <v>971</v>
      </c>
      <c r="N11" s="687">
        <v>3</v>
      </c>
      <c r="O11" s="687">
        <v>9</v>
      </c>
      <c r="P11" s="690">
        <v>2683929</v>
      </c>
      <c r="Q11" s="687">
        <v>0</v>
      </c>
      <c r="R11" s="690">
        <v>136753</v>
      </c>
      <c r="S11" s="687">
        <v>900000</v>
      </c>
      <c r="T11" s="690">
        <v>1747165</v>
      </c>
      <c r="U11" s="691">
        <f t="shared" si="0"/>
        <v>437427.76</v>
      </c>
      <c r="V11" s="690">
        <f t="shared" si="1"/>
        <v>5905274.7599999998</v>
      </c>
      <c r="W11" s="692">
        <f>V11/'Logistics record '!$AD$1</f>
        <v>223.16056080417201</v>
      </c>
    </row>
    <row r="12" spans="1:23" ht="15.75" thickBot="1">
      <c r="A12" s="685"/>
      <c r="B12" s="686" t="s">
        <v>1</v>
      </c>
      <c r="C12" s="686" t="s">
        <v>1155</v>
      </c>
      <c r="D12" s="686" t="s">
        <v>1271</v>
      </c>
      <c r="E12" s="686" t="s">
        <v>3043</v>
      </c>
      <c r="F12" s="687">
        <v>111616</v>
      </c>
      <c r="G12" s="688">
        <v>46197</v>
      </c>
      <c r="H12" s="687">
        <v>1848752496</v>
      </c>
      <c r="I12" s="688">
        <v>46179</v>
      </c>
      <c r="J12" s="689" t="s">
        <v>974</v>
      </c>
      <c r="K12" s="689" t="s">
        <v>1136</v>
      </c>
      <c r="L12" s="687" t="s">
        <v>943</v>
      </c>
      <c r="M12" s="687" t="s">
        <v>971</v>
      </c>
      <c r="N12" s="687">
        <v>3</v>
      </c>
      <c r="O12" s="687">
        <v>10.5</v>
      </c>
      <c r="P12" s="690">
        <v>2924318</v>
      </c>
      <c r="Q12" s="687">
        <v>0</v>
      </c>
      <c r="R12" s="690">
        <v>136753</v>
      </c>
      <c r="S12" s="687">
        <v>900000</v>
      </c>
      <c r="T12" s="690">
        <v>1864355</v>
      </c>
      <c r="U12" s="691">
        <f t="shared" si="0"/>
        <v>466034.08</v>
      </c>
      <c r="V12" s="690">
        <f t="shared" si="1"/>
        <v>6291460.0800000001</v>
      </c>
      <c r="W12" s="692">
        <f>V12/'Logistics record '!$AD$1</f>
        <v>237.7545189328093</v>
      </c>
    </row>
    <row r="13" spans="1:23" ht="15.75" thickBot="1">
      <c r="A13" s="685"/>
      <c r="B13" s="686" t="s">
        <v>1</v>
      </c>
      <c r="C13" s="686" t="s">
        <v>1155</v>
      </c>
      <c r="D13" s="686" t="s">
        <v>76</v>
      </c>
      <c r="E13" s="686" t="s">
        <v>3043</v>
      </c>
      <c r="F13" s="687">
        <v>111616</v>
      </c>
      <c r="G13" s="688">
        <v>46197</v>
      </c>
      <c r="H13" s="687">
        <v>8056639732</v>
      </c>
      <c r="I13" s="688">
        <v>46191</v>
      </c>
      <c r="J13" s="689" t="s">
        <v>801</v>
      </c>
      <c r="K13" s="689" t="s">
        <v>1136</v>
      </c>
      <c r="L13" s="687" t="s">
        <v>937</v>
      </c>
      <c r="M13" s="687" t="s">
        <v>971</v>
      </c>
      <c r="N13" s="687">
        <v>1</v>
      </c>
      <c r="O13" s="687">
        <v>4.5</v>
      </c>
      <c r="P13" s="690">
        <v>1661306</v>
      </c>
      <c r="Q13" s="687">
        <v>0</v>
      </c>
      <c r="R13" s="690"/>
      <c r="S13" s="687"/>
      <c r="T13" s="690">
        <v>780814</v>
      </c>
      <c r="U13" s="691">
        <f t="shared" si="0"/>
        <v>195369.60000000001</v>
      </c>
      <c r="V13" s="690">
        <f t="shared" si="1"/>
        <v>2637489.6</v>
      </c>
      <c r="W13" s="692">
        <f>V13/'Logistics record '!$AD$1</f>
        <v>99.670833648250323</v>
      </c>
    </row>
    <row r="14" spans="1:23" ht="15.75" thickBot="1">
      <c r="A14" s="685"/>
      <c r="B14" s="686"/>
      <c r="C14" s="686"/>
      <c r="D14" s="686"/>
      <c r="E14" s="686"/>
      <c r="F14" s="687"/>
      <c r="G14" s="688"/>
      <c r="H14" s="687"/>
      <c r="I14" s="688"/>
      <c r="J14" s="689"/>
      <c r="K14" s="689"/>
      <c r="L14" s="687"/>
      <c r="M14" s="687"/>
      <c r="N14" s="687"/>
      <c r="O14" s="687"/>
      <c r="P14" s="690"/>
      <c r="Q14" s="687"/>
      <c r="R14" s="690"/>
      <c r="S14" s="687"/>
      <c r="T14" s="690"/>
      <c r="U14" s="691"/>
      <c r="V14" s="690"/>
    </row>
    <row r="15" spans="1:23" ht="15.75" thickBot="1">
      <c r="A15" s="685"/>
      <c r="B15" s="686"/>
      <c r="C15" s="686"/>
      <c r="D15" s="686"/>
      <c r="E15" s="686"/>
      <c r="F15" s="687"/>
      <c r="G15" s="688"/>
      <c r="H15" s="687"/>
      <c r="I15" s="688"/>
      <c r="J15" s="689"/>
      <c r="K15" s="689"/>
      <c r="L15" s="687"/>
      <c r="M15" s="687"/>
      <c r="N15" s="687"/>
      <c r="O15" s="687"/>
      <c r="P15" s="690"/>
      <c r="Q15" s="687"/>
      <c r="R15" s="690"/>
      <c r="S15" s="687"/>
      <c r="T15" s="690"/>
      <c r="U15" s="691"/>
      <c r="V15" s="690"/>
    </row>
    <row r="16" spans="1:23" ht="15.75" thickBot="1">
      <c r="A16" s="685"/>
      <c r="B16" s="686"/>
      <c r="C16" s="686"/>
      <c r="D16" s="686"/>
      <c r="E16" s="686"/>
      <c r="F16" s="687"/>
      <c r="G16" s="688"/>
      <c r="H16" s="687"/>
      <c r="I16" s="688"/>
      <c r="J16" s="689"/>
      <c r="K16" s="689"/>
      <c r="L16" s="687"/>
      <c r="M16" s="687"/>
      <c r="N16" s="687"/>
      <c r="O16" s="687"/>
      <c r="P16" s="690"/>
      <c r="Q16" s="687"/>
      <c r="R16" s="690"/>
      <c r="S16" s="687"/>
      <c r="T16" s="690"/>
      <c r="U16" s="691"/>
      <c r="V16" s="690"/>
    </row>
    <row r="17" spans="1:22" ht="15.75" thickBot="1">
      <c r="A17" s="685"/>
      <c r="B17" s="686"/>
      <c r="C17" s="686"/>
      <c r="D17" s="686"/>
      <c r="E17" s="686"/>
      <c r="F17" s="687"/>
      <c r="G17" s="688"/>
      <c r="H17" s="687"/>
      <c r="I17" s="688"/>
      <c r="J17" s="689"/>
      <c r="K17" s="689"/>
      <c r="L17" s="687"/>
      <c r="M17" s="687"/>
      <c r="N17" s="687"/>
      <c r="O17" s="687"/>
      <c r="P17" s="690"/>
      <c r="Q17" s="687"/>
      <c r="R17" s="690"/>
      <c r="S17" s="687"/>
      <c r="T17" s="690"/>
      <c r="U17" s="691"/>
      <c r="V17" s="690"/>
    </row>
  </sheetData>
  <autoFilter ref="A2:W13" xr:uid="{616DD163-5051-4A7C-B68C-1BE74B1AFAA5}"/>
  <mergeCells count="21">
    <mergeCell ref="Q1:Q2"/>
    <mergeCell ref="S1:S2"/>
    <mergeCell ref="T1:T2"/>
    <mergeCell ref="U1:U2"/>
    <mergeCell ref="R1:R2"/>
    <mergeCell ref="O1:O2"/>
    <mergeCell ref="P1:P2"/>
    <mergeCell ref="A1:A2"/>
    <mergeCell ref="E1:E2"/>
    <mergeCell ref="F1:F2"/>
    <mergeCell ref="G1:G2"/>
    <mergeCell ref="H1:H2"/>
    <mergeCell ref="I1:I2"/>
    <mergeCell ref="B1:B2"/>
    <mergeCell ref="C1:C2"/>
    <mergeCell ref="D1:D2"/>
    <mergeCell ref="N1:N2"/>
    <mergeCell ref="J1:J2"/>
    <mergeCell ref="K1:K2"/>
    <mergeCell ref="L1:L2"/>
    <mergeCell ref="M1:M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AK23"/>
  <sheetViews>
    <sheetView topLeftCell="A4" zoomScale="115" zoomScaleNormal="115" workbookViewId="0">
      <pane xSplit="3" topLeftCell="P1" activePane="topRight" state="frozen"/>
      <selection activeCell="Q240" sqref="Q240"/>
      <selection pane="topRight" activeCell="P16" sqref="P16"/>
    </sheetView>
  </sheetViews>
  <sheetFormatPr defaultColWidth="8.85546875" defaultRowHeight="15"/>
  <cols>
    <col min="1" max="1" width="8.85546875" style="22"/>
    <col min="2" max="2" width="13.42578125" style="22" customWidth="1"/>
    <col min="3" max="3" width="21.140625" style="22" customWidth="1"/>
    <col min="4" max="8" width="13.140625" style="73" hidden="1" customWidth="1"/>
    <col min="9" max="15" width="12.7109375" style="22" hidden="1" customWidth="1"/>
    <col min="16" max="21" width="12.7109375" style="22" customWidth="1"/>
    <col min="38" max="38" width="8.85546875" style="22" customWidth="1"/>
    <col min="39" max="16384" width="8.85546875" style="22"/>
  </cols>
  <sheetData>
    <row r="1" spans="1:21">
      <c r="A1"/>
      <c r="B1"/>
      <c r="C1"/>
      <c r="D1" s="68">
        <v>45658</v>
      </c>
      <c r="E1" s="68">
        <v>45689</v>
      </c>
      <c r="F1" s="68">
        <v>45717</v>
      </c>
      <c r="G1" s="68">
        <v>45748</v>
      </c>
      <c r="H1" s="68">
        <v>45778</v>
      </c>
      <c r="I1" s="68">
        <v>45833</v>
      </c>
      <c r="J1" s="68">
        <v>45863</v>
      </c>
      <c r="K1" s="68">
        <v>45870</v>
      </c>
      <c r="L1" s="68">
        <v>45901</v>
      </c>
      <c r="M1" s="68">
        <v>45931</v>
      </c>
      <c r="N1" s="68">
        <v>45986</v>
      </c>
      <c r="O1" s="68">
        <v>46016</v>
      </c>
      <c r="P1" s="68">
        <v>46023</v>
      </c>
      <c r="Q1" s="68">
        <v>46054</v>
      </c>
      <c r="R1" s="68">
        <v>46082</v>
      </c>
      <c r="S1" s="68">
        <v>46113</v>
      </c>
      <c r="T1" s="68">
        <v>46143</v>
      </c>
      <c r="U1" s="68">
        <v>46174</v>
      </c>
    </row>
    <row r="2" spans="1:21">
      <c r="A2" s="873" t="s">
        <v>3</v>
      </c>
      <c r="B2" s="874" t="s">
        <v>52</v>
      </c>
      <c r="C2" s="2" t="s">
        <v>56</v>
      </c>
      <c r="D2" s="25">
        <v>7</v>
      </c>
      <c r="E2" s="25">
        <v>13</v>
      </c>
      <c r="F2" s="25">
        <v>13</v>
      </c>
      <c r="G2" s="25">
        <v>10</v>
      </c>
      <c r="H2" s="25">
        <v>18</v>
      </c>
      <c r="I2" s="25">
        <v>16</v>
      </c>
      <c r="J2" s="25">
        <v>18</v>
      </c>
      <c r="K2" s="25">
        <v>17</v>
      </c>
      <c r="L2" s="25">
        <v>22</v>
      </c>
      <c r="M2" s="25">
        <v>10</v>
      </c>
      <c r="N2" s="25">
        <v>53</v>
      </c>
      <c r="O2" s="25">
        <v>18</v>
      </c>
      <c r="P2" s="25">
        <v>16</v>
      </c>
      <c r="Q2" s="25">
        <v>7</v>
      </c>
      <c r="R2" s="25">
        <v>10</v>
      </c>
      <c r="S2" s="25">
        <v>2</v>
      </c>
      <c r="T2" s="25">
        <v>5</v>
      </c>
      <c r="U2" s="25">
        <f>'Debit Summary'!S2+'Debit Summary'!T2+'Debit Summary'!U2+'Debit Summary'!V2+'Debit Summary'!W2</f>
        <v>7</v>
      </c>
    </row>
    <row r="3" spans="1:21">
      <c r="A3" s="873"/>
      <c r="B3" s="875"/>
      <c r="C3" s="2" t="s">
        <v>57</v>
      </c>
      <c r="D3" s="25">
        <v>1787</v>
      </c>
      <c r="E3" s="25">
        <v>2804.5</v>
      </c>
      <c r="F3" s="25">
        <v>3547</v>
      </c>
      <c r="G3" s="25">
        <v>3469</v>
      </c>
      <c r="H3" s="25">
        <v>4905.5</v>
      </c>
      <c r="I3" s="25">
        <v>4537</v>
      </c>
      <c r="J3" s="25">
        <v>5768</v>
      </c>
      <c r="K3" s="25">
        <v>5460.5</v>
      </c>
      <c r="L3" s="25">
        <v>10341.5</v>
      </c>
      <c r="M3" s="25">
        <v>2429</v>
      </c>
      <c r="N3" s="25">
        <v>27860.66</v>
      </c>
      <c r="O3" s="25">
        <v>4007</v>
      </c>
      <c r="P3" s="25">
        <v>3201</v>
      </c>
      <c r="Q3" s="25">
        <v>1444</v>
      </c>
      <c r="R3" s="25">
        <v>2200.5</v>
      </c>
      <c r="S3" s="25">
        <v>266</v>
      </c>
      <c r="T3" s="25">
        <v>731</v>
      </c>
      <c r="U3" s="25">
        <f>'Debit Summary'!S3+'Debit Summary'!T3+'Debit Summary'!U3+'Debit Summary'!V3+'Debit Summary'!W3</f>
        <v>1095</v>
      </c>
    </row>
    <row r="4" spans="1:21">
      <c r="A4" s="873"/>
      <c r="B4" s="876"/>
      <c r="C4" s="2" t="s">
        <v>66</v>
      </c>
      <c r="D4" s="69">
        <v>5081.944456915523</v>
      </c>
      <c r="E4" s="69">
        <v>5745.8088482796047</v>
      </c>
      <c r="F4" s="69">
        <v>9996.7485850260764</v>
      </c>
      <c r="G4" s="69">
        <v>7587.1586492908964</v>
      </c>
      <c r="H4" s="69">
        <v>9972.65</v>
      </c>
      <c r="I4" s="69">
        <v>9852.2636686930091</v>
      </c>
      <c r="J4" s="69">
        <v>11394.656742424242</v>
      </c>
      <c r="K4" s="69">
        <v>9912.4798352042944</v>
      </c>
      <c r="L4" s="69">
        <v>18363.684667981342</v>
      </c>
      <c r="M4" s="69">
        <f>5728.51484007882-546.52</f>
        <v>5181.9948400788198</v>
      </c>
      <c r="N4" s="69">
        <v>35903</v>
      </c>
      <c r="O4" s="69">
        <v>9793.8242699167622</v>
      </c>
      <c r="P4" s="69">
        <v>7922.6585886085622</v>
      </c>
      <c r="Q4" s="69">
        <v>2968.7915015984777</v>
      </c>
      <c r="R4" s="69">
        <v>4424.3665967519146</v>
      </c>
      <c r="S4" s="69">
        <v>868.42529276344908</v>
      </c>
      <c r="T4" s="69">
        <v>1843.8313037607541</v>
      </c>
      <c r="U4" s="567">
        <f>'Debit Summary'!S4+'Debit Summary'!T4+'Debit Summary'!U4+'Debit Summary'!V4+'Debit Summary'!W4</f>
        <v>2362.6299680875909</v>
      </c>
    </row>
    <row r="5" spans="1:21">
      <c r="A5" s="873"/>
      <c r="B5" s="874" t="s">
        <v>45</v>
      </c>
      <c r="C5" s="2" t="s">
        <v>56</v>
      </c>
      <c r="D5" s="25">
        <v>71</v>
      </c>
      <c r="E5" s="25">
        <v>94</v>
      </c>
      <c r="F5" s="25">
        <v>122</v>
      </c>
      <c r="G5" s="25">
        <v>126</v>
      </c>
      <c r="H5" s="25">
        <v>126</v>
      </c>
      <c r="I5" s="25">
        <v>164</v>
      </c>
      <c r="J5" s="25">
        <v>109</v>
      </c>
      <c r="K5" s="25">
        <v>192</v>
      </c>
      <c r="L5" s="25">
        <v>190</v>
      </c>
      <c r="M5" s="25">
        <v>209</v>
      </c>
      <c r="N5" s="25">
        <v>199</v>
      </c>
      <c r="O5" s="25">
        <v>209</v>
      </c>
      <c r="P5" s="25">
        <v>164</v>
      </c>
      <c r="Q5" s="25">
        <v>166</v>
      </c>
      <c r="R5" s="25">
        <v>136</v>
      </c>
      <c r="S5" s="25">
        <v>135</v>
      </c>
      <c r="T5" s="25">
        <v>93</v>
      </c>
      <c r="U5" s="25">
        <f>'Debit Summary'!S5+'Debit Summary'!T5+'Debit Summary'!U5+'Debit Summary'!V5+'Debit Summary'!W5</f>
        <v>138</v>
      </c>
    </row>
    <row r="6" spans="1:21">
      <c r="A6" s="873"/>
      <c r="B6" s="875"/>
      <c r="C6" s="2" t="s">
        <v>57</v>
      </c>
      <c r="D6" s="25">
        <v>1491.7300000000002</v>
      </c>
      <c r="E6" s="25">
        <v>1622.7</v>
      </c>
      <c r="F6" s="25">
        <v>2370.1100000000006</v>
      </c>
      <c r="G6" s="25">
        <v>2749.2199999999993</v>
      </c>
      <c r="H6" s="25">
        <v>2864.9</v>
      </c>
      <c r="I6" s="25">
        <v>2917.1999999999985</v>
      </c>
      <c r="J6" s="25">
        <v>2609.6</v>
      </c>
      <c r="K6" s="25">
        <v>4440</v>
      </c>
      <c r="L6" s="25">
        <v>4059.5000000000032</v>
      </c>
      <c r="M6" s="25">
        <v>4242.6000000000004</v>
      </c>
      <c r="N6" s="25">
        <v>4903.2</v>
      </c>
      <c r="O6" s="25">
        <v>4879.9000000000033</v>
      </c>
      <c r="P6" s="25">
        <v>3224.4999999999986</v>
      </c>
      <c r="Q6" s="25">
        <v>2343.1000000000004</v>
      </c>
      <c r="R6" s="25">
        <v>3659</v>
      </c>
      <c r="S6" s="25">
        <v>3350.1000000000008</v>
      </c>
      <c r="T6" s="25">
        <v>2099.6999999999998</v>
      </c>
      <c r="U6" s="25">
        <f>'Debit Summary'!S6+'Debit Summary'!T6+'Debit Summary'!U6+'Debit Summary'!V6+'Debit Summary'!W6</f>
        <v>2534.7999999999993</v>
      </c>
    </row>
    <row r="7" spans="1:21">
      <c r="A7" s="873"/>
      <c r="B7" s="876"/>
      <c r="C7" s="2" t="s">
        <v>66</v>
      </c>
      <c r="D7" s="69">
        <v>5617.3512000000001</v>
      </c>
      <c r="E7" s="69">
        <v>6631.6404400000001</v>
      </c>
      <c r="F7" s="69">
        <v>8503.0719999999983</v>
      </c>
      <c r="G7" s="69">
        <v>9507.2271231828618</v>
      </c>
      <c r="H7" s="69">
        <v>9235.93</v>
      </c>
      <c r="I7" s="69">
        <v>10516.537575987843</v>
      </c>
      <c r="J7" s="69">
        <v>8896.6200000000008</v>
      </c>
      <c r="K7" s="69">
        <v>15167.626062100768</v>
      </c>
      <c r="L7" s="69">
        <v>15449.822261981804</v>
      </c>
      <c r="M7" s="69">
        <v>16078.533651659845</v>
      </c>
      <c r="N7" s="69">
        <v>18467.478094588965</v>
      </c>
      <c r="O7" s="69">
        <v>18148.663419257016</v>
      </c>
      <c r="P7" s="69">
        <v>13656.718974751344</v>
      </c>
      <c r="Q7" s="69">
        <v>10025.437906260689</v>
      </c>
      <c r="R7" s="69">
        <v>13148.533713473125</v>
      </c>
      <c r="S7" s="69">
        <v>11680.676992453347</v>
      </c>
      <c r="T7" s="69">
        <v>7248.9128162399638</v>
      </c>
      <c r="U7" s="567">
        <f>'Debit Summary'!S7+'Debit Summary'!T7+'Debit Summary'!U7+'Debit Summary'!V7+'Debit Summary'!W7</f>
        <v>9743.2527397777885</v>
      </c>
    </row>
    <row r="8" spans="1:21">
      <c r="A8" s="873"/>
      <c r="B8" s="874" t="s">
        <v>897</v>
      </c>
      <c r="C8" s="2" t="s">
        <v>56</v>
      </c>
      <c r="D8" s="69"/>
      <c r="E8" s="69"/>
      <c r="F8" s="69"/>
      <c r="G8" s="69"/>
      <c r="H8" s="69"/>
      <c r="I8" s="69"/>
      <c r="J8" s="69"/>
      <c r="K8" s="69"/>
      <c r="L8" s="69"/>
      <c r="M8" s="69"/>
      <c r="N8" s="69"/>
      <c r="O8" s="69"/>
      <c r="P8" s="69"/>
      <c r="Q8" s="69"/>
      <c r="R8" s="69"/>
      <c r="S8" s="69"/>
      <c r="T8" s="69">
        <v>2</v>
      </c>
      <c r="U8" s="25">
        <f>'Debit Summary'!S8+'Debit Summary'!T8+'Debit Summary'!U8+'Debit Summary'!V8+'Debit Summary'!W8</f>
        <v>10</v>
      </c>
    </row>
    <row r="9" spans="1:21">
      <c r="A9" s="873"/>
      <c r="B9" s="875"/>
      <c r="C9" s="2" t="s">
        <v>57</v>
      </c>
      <c r="D9" s="69"/>
      <c r="E9" s="69"/>
      <c r="F9" s="69"/>
      <c r="G9" s="69"/>
      <c r="H9" s="69"/>
      <c r="I9" s="69"/>
      <c r="J9" s="69"/>
      <c r="K9" s="69"/>
      <c r="L9" s="69"/>
      <c r="M9" s="69"/>
      <c r="N9" s="69"/>
      <c r="O9" s="69"/>
      <c r="P9" s="69"/>
      <c r="Q9" s="69"/>
      <c r="R9" s="69"/>
      <c r="S9" s="69"/>
      <c r="T9" s="69">
        <v>159</v>
      </c>
      <c r="U9" s="25">
        <f>'Debit Summary'!S9+'Debit Summary'!T9+'Debit Summary'!U9+'Debit Summary'!V9+'Debit Summary'!W9</f>
        <v>180</v>
      </c>
    </row>
    <row r="10" spans="1:21">
      <c r="A10" s="873"/>
      <c r="B10" s="876"/>
      <c r="C10" s="2" t="s">
        <v>66</v>
      </c>
      <c r="D10" s="69"/>
      <c r="E10" s="69"/>
      <c r="F10" s="69"/>
      <c r="G10" s="69"/>
      <c r="H10" s="69"/>
      <c r="I10" s="69"/>
      <c r="J10" s="69"/>
      <c r="K10" s="69"/>
      <c r="L10" s="69"/>
      <c r="M10" s="69"/>
      <c r="N10" s="69"/>
      <c r="O10" s="69"/>
      <c r="P10" s="69"/>
      <c r="Q10" s="69"/>
      <c r="R10" s="69"/>
      <c r="S10" s="69"/>
      <c r="T10" s="69">
        <v>1106.7938903196487</v>
      </c>
      <c r="U10" s="567">
        <f>'Debit Summary'!S10+'Debit Summary'!T10+'Debit Summary'!U10+'Debit Summary'!V10+'Debit Summary'!W10</f>
        <v>2103.8265530572144</v>
      </c>
    </row>
    <row r="11" spans="1:21">
      <c r="A11" s="873"/>
      <c r="B11" s="877" t="s">
        <v>48</v>
      </c>
      <c r="C11" s="2" t="s">
        <v>56</v>
      </c>
      <c r="D11" s="75">
        <v>13</v>
      </c>
      <c r="E11" s="75">
        <v>12</v>
      </c>
      <c r="F11" s="75">
        <v>11</v>
      </c>
      <c r="G11" s="75">
        <v>17</v>
      </c>
      <c r="H11" s="75">
        <v>17</v>
      </c>
      <c r="I11" s="75">
        <v>17</v>
      </c>
      <c r="J11" s="75">
        <v>19</v>
      </c>
      <c r="K11" s="25">
        <v>31</v>
      </c>
      <c r="L11" s="25">
        <v>27</v>
      </c>
      <c r="M11" s="25">
        <v>35</v>
      </c>
      <c r="N11" s="25">
        <v>17</v>
      </c>
      <c r="O11" s="25">
        <v>38</v>
      </c>
      <c r="P11" s="25">
        <v>27</v>
      </c>
      <c r="Q11" s="25">
        <v>21</v>
      </c>
      <c r="R11" s="25">
        <v>17</v>
      </c>
      <c r="S11" s="25">
        <v>18</v>
      </c>
      <c r="T11" s="25">
        <v>12</v>
      </c>
      <c r="U11" s="25">
        <f>'Debit Summary'!S11+'Debit Summary'!T11+'Debit Summary'!U11+'Debit Summary'!V11+'Debit Summary'!W11</f>
        <v>16</v>
      </c>
    </row>
    <row r="12" spans="1:21" ht="135.75" hidden="1" customHeight="1">
      <c r="A12" s="873"/>
      <c r="B12" s="878"/>
      <c r="C12" s="2" t="s">
        <v>58</v>
      </c>
      <c r="D12" s="70"/>
      <c r="E12" s="70"/>
      <c r="F12" s="70"/>
      <c r="G12" s="70"/>
      <c r="H12" s="70">
        <v>10931.61</v>
      </c>
      <c r="I12" s="70"/>
      <c r="J12" s="70"/>
      <c r="K12" s="70"/>
      <c r="L12" s="70">
        <v>0</v>
      </c>
      <c r="M12" s="70">
        <v>0</v>
      </c>
      <c r="N12" s="70">
        <v>8521.5300000000007</v>
      </c>
      <c r="O12" s="70">
        <v>0</v>
      </c>
      <c r="P12" s="70">
        <v>0</v>
      </c>
      <c r="Q12" s="70">
        <v>0</v>
      </c>
      <c r="R12" s="70">
        <v>0</v>
      </c>
      <c r="S12" s="70">
        <v>0</v>
      </c>
      <c r="T12" s="70">
        <v>0</v>
      </c>
      <c r="U12" s="70">
        <f>'Debit Summary'!S12+'Debit Summary'!T12+'Debit Summary'!U12+'Debit Summary'!V12</f>
        <v>0</v>
      </c>
    </row>
    <row r="13" spans="1:21" ht="16.149999999999999" customHeight="1">
      <c r="A13" s="873"/>
      <c r="B13" s="879"/>
      <c r="C13" s="2" t="s">
        <v>66</v>
      </c>
      <c r="D13" s="69">
        <v>4727.215424</v>
      </c>
      <c r="E13" s="69">
        <f>6519.22228+1393</f>
        <v>7912.22228</v>
      </c>
      <c r="F13" s="69">
        <v>4518.3653000000004</v>
      </c>
      <c r="G13" s="69">
        <v>9648.7375286916613</v>
      </c>
      <c r="H13" s="69">
        <v>10931.608657513349</v>
      </c>
      <c r="I13" s="69">
        <v>6717.723</v>
      </c>
      <c r="J13" s="69">
        <v>10632.48</v>
      </c>
      <c r="K13" s="69">
        <v>16956.213971446865</v>
      </c>
      <c r="L13" s="69">
        <v>13627.83480905609</v>
      </c>
      <c r="M13" s="69">
        <v>23858.607319614977</v>
      </c>
      <c r="N13" s="69">
        <v>8521.5300000000007</v>
      </c>
      <c r="O13" s="69">
        <v>26945.837980288099</v>
      </c>
      <c r="P13" s="69">
        <v>19636.167087796479</v>
      </c>
      <c r="Q13" s="69">
        <v>13356.911494279089</v>
      </c>
      <c r="R13" s="69">
        <v>8720.5373819368069</v>
      </c>
      <c r="S13" s="69">
        <v>9447.7878082451552</v>
      </c>
      <c r="T13" s="69">
        <v>10386.523138880473</v>
      </c>
      <c r="U13" s="567">
        <f>'Debit Summary'!S13+'Debit Summary'!T13+'Debit Summary'!U13+'Debit Summary'!V13+'Debit Summary'!W13</f>
        <v>8525.7927484695047</v>
      </c>
    </row>
    <row r="14" spans="1:21" ht="15" customHeight="1">
      <c r="A14" s="870" t="s">
        <v>59</v>
      </c>
      <c r="B14" s="874" t="s">
        <v>53</v>
      </c>
      <c r="C14" s="2" t="s">
        <v>56</v>
      </c>
      <c r="D14" s="71">
        <v>251</v>
      </c>
      <c r="E14" s="71">
        <v>251</v>
      </c>
      <c r="F14" s="71">
        <v>290</v>
      </c>
      <c r="G14" s="71">
        <v>333</v>
      </c>
      <c r="H14" s="71">
        <v>312</v>
      </c>
      <c r="I14" s="71">
        <v>438</v>
      </c>
      <c r="J14" s="71">
        <v>515</v>
      </c>
      <c r="K14" s="25">
        <v>578</v>
      </c>
      <c r="L14" s="25">
        <v>596</v>
      </c>
      <c r="M14" s="25">
        <v>781</v>
      </c>
      <c r="N14" s="25">
        <v>785</v>
      </c>
      <c r="O14" s="25">
        <v>655</v>
      </c>
      <c r="P14" s="25">
        <v>395</v>
      </c>
      <c r="Q14" s="25">
        <v>340</v>
      </c>
      <c r="R14" s="25">
        <v>365</v>
      </c>
      <c r="S14" s="25">
        <v>295</v>
      </c>
      <c r="T14" s="25">
        <v>341</v>
      </c>
      <c r="U14" s="25">
        <f>'Debit Summary'!S14+'Debit Summary'!T14+'Debit Summary'!U14+'Debit Summary'!V14+'Debit Summary'!W14</f>
        <v>531</v>
      </c>
    </row>
    <row r="15" spans="1:21">
      <c r="A15" s="871"/>
      <c r="B15" s="876"/>
      <c r="C15" s="2" t="s">
        <v>66</v>
      </c>
      <c r="D15" s="69">
        <v>4081.2</v>
      </c>
      <c r="E15" s="69">
        <v>3999</v>
      </c>
      <c r="F15" s="69">
        <v>4473.0769230769229</v>
      </c>
      <c r="G15" s="69">
        <v>5086.07</v>
      </c>
      <c r="H15" s="69">
        <v>4913.4187000000002</v>
      </c>
      <c r="I15" s="69">
        <v>6806.9937999999993</v>
      </c>
      <c r="J15" s="69">
        <v>7856.8159999999998</v>
      </c>
      <c r="K15" s="69">
        <v>8841.6802520058773</v>
      </c>
      <c r="L15" s="69">
        <v>9241.5299999999988</v>
      </c>
      <c r="M15" s="69">
        <v>12075.951296043655</v>
      </c>
      <c r="N15" s="69">
        <v>11984.93</v>
      </c>
      <c r="O15" s="69">
        <v>10224.033358604962</v>
      </c>
      <c r="P15" s="69">
        <v>6293.8026013772105</v>
      </c>
      <c r="Q15" s="69">
        <v>5217.6226859770813</v>
      </c>
      <c r="R15" s="69">
        <v>5494.0636498122649</v>
      </c>
      <c r="S15" s="69">
        <v>4529.5255432927333</v>
      </c>
      <c r="T15" s="69">
        <v>5175.3522193606823</v>
      </c>
      <c r="U15" s="567">
        <f>'Debit Summary'!S15+'Debit Summary'!T15+'Debit Summary'!U15+'Debit Summary'!V15+'Debit Summary'!W15</f>
        <v>8013.7555740305988</v>
      </c>
    </row>
    <row r="16" spans="1:21">
      <c r="A16" s="871"/>
      <c r="B16" s="874" t="s">
        <v>54</v>
      </c>
      <c r="C16" s="2" t="s">
        <v>56</v>
      </c>
      <c r="D16" s="71">
        <v>20</v>
      </c>
      <c r="E16" s="71">
        <v>19</v>
      </c>
      <c r="F16" s="71">
        <v>21</v>
      </c>
      <c r="G16" s="71">
        <v>22</v>
      </c>
      <c r="H16" s="71">
        <v>32</v>
      </c>
      <c r="I16" s="71">
        <v>37</v>
      </c>
      <c r="J16" s="71">
        <v>38</v>
      </c>
      <c r="K16" s="25">
        <v>41</v>
      </c>
      <c r="L16" s="25">
        <v>48</v>
      </c>
      <c r="M16" s="25">
        <v>51</v>
      </c>
      <c r="N16" s="25">
        <v>45</v>
      </c>
      <c r="O16" s="25">
        <v>60</v>
      </c>
      <c r="P16" s="25">
        <v>41</v>
      </c>
      <c r="Q16" s="25">
        <v>27</v>
      </c>
      <c r="R16" s="25">
        <v>21</v>
      </c>
      <c r="S16" s="25">
        <v>17</v>
      </c>
      <c r="T16" s="25">
        <v>19</v>
      </c>
      <c r="U16" s="25">
        <f>'Debit Summary'!S16+'Debit Summary'!T16+'Debit Summary'!U16+'Debit Summary'!V16+'Debit Summary'!W16</f>
        <v>21</v>
      </c>
    </row>
    <row r="17" spans="1:21">
      <c r="A17" s="871"/>
      <c r="B17" s="876"/>
      <c r="C17" s="2" t="s">
        <v>66</v>
      </c>
      <c r="D17" s="69">
        <v>889.2</v>
      </c>
      <c r="E17" s="69">
        <v>930</v>
      </c>
      <c r="F17" s="69">
        <v>755.76923076923072</v>
      </c>
      <c r="G17" s="69">
        <v>793.79993879112499</v>
      </c>
      <c r="H17" s="69">
        <v>1472.9198799999999</v>
      </c>
      <c r="I17" s="69">
        <v>1547.8728000000001</v>
      </c>
      <c r="J17" s="69">
        <v>1783.329</v>
      </c>
      <c r="K17" s="69">
        <v>2232.6439899046973</v>
      </c>
      <c r="L17" s="69">
        <v>2209.0333345974441</v>
      </c>
      <c r="M17" s="69">
        <v>3046.6870547218432</v>
      </c>
      <c r="N17" s="69">
        <v>2257.5630000000001</v>
      </c>
      <c r="O17" s="69">
        <v>3511.6565579984835</v>
      </c>
      <c r="P17" s="69">
        <v>2314.8431522570772</v>
      </c>
      <c r="Q17" s="69">
        <v>1784.3159615311515</v>
      </c>
      <c r="R17" s="69">
        <v>1024.5419717027653</v>
      </c>
      <c r="S17" s="69">
        <v>1025.5243296544922</v>
      </c>
      <c r="T17" s="69">
        <v>1312.6798969853053</v>
      </c>
      <c r="U17" s="567">
        <f>'Debit Summary'!S17+'Debit Summary'!T17+'Debit Summary'!U17+'Debit Summary'!V17+'Debit Summary'!W17</f>
        <v>1179.0492026301865</v>
      </c>
    </row>
    <row r="18" spans="1:21">
      <c r="A18" s="871"/>
      <c r="B18" s="768" t="s">
        <v>55</v>
      </c>
      <c r="C18" s="2" t="s">
        <v>56</v>
      </c>
      <c r="D18" s="75">
        <v>42</v>
      </c>
      <c r="E18" s="75">
        <v>32</v>
      </c>
      <c r="F18" s="75">
        <v>43</v>
      </c>
      <c r="G18" s="75">
        <v>41</v>
      </c>
      <c r="H18" s="75">
        <v>48</v>
      </c>
      <c r="I18" s="75">
        <v>43</v>
      </c>
      <c r="J18" s="75">
        <v>40</v>
      </c>
      <c r="K18" s="25">
        <v>70</v>
      </c>
      <c r="L18" s="25">
        <v>58</v>
      </c>
      <c r="M18" s="25">
        <v>76</v>
      </c>
      <c r="N18" s="25">
        <v>67</v>
      </c>
      <c r="O18" s="25">
        <v>77</v>
      </c>
      <c r="P18" s="25">
        <v>45</v>
      </c>
      <c r="Q18" s="25">
        <v>28</v>
      </c>
      <c r="R18" s="25">
        <v>26</v>
      </c>
      <c r="S18" s="25">
        <v>21</v>
      </c>
      <c r="T18" s="25">
        <v>50</v>
      </c>
      <c r="U18" s="25">
        <f>'Debit Summary'!S18+'Debit Summary'!T18+'Debit Summary'!U18+'Debit Summary'!V18+'Debit Summary'!W18</f>
        <v>146</v>
      </c>
    </row>
    <row r="19" spans="1:21">
      <c r="A19" s="872"/>
      <c r="B19" s="769"/>
      <c r="C19" s="2" t="s">
        <v>66</v>
      </c>
      <c r="D19" s="69">
        <v>2388.1470399999998</v>
      </c>
      <c r="E19" s="69">
        <v>1810</v>
      </c>
      <c r="F19" s="69">
        <v>2484.2800000000002</v>
      </c>
      <c r="G19" s="69">
        <v>2334.7539785768936</v>
      </c>
      <c r="H19" s="69">
        <v>3092.8692219679633</v>
      </c>
      <c r="I19" s="69">
        <v>2360.0183206686929</v>
      </c>
      <c r="J19" s="69">
        <v>2223.2919999999999</v>
      </c>
      <c r="K19" s="69">
        <v>4446.1981391494328</v>
      </c>
      <c r="L19" s="69">
        <v>6737.37</v>
      </c>
      <c r="M19" s="69">
        <v>5842.2918371987271</v>
      </c>
      <c r="N19" s="69">
        <v>4778.5200000000004</v>
      </c>
      <c r="O19" s="69">
        <v>5708.9771038665676</v>
      </c>
      <c r="P19" s="69">
        <v>3762.7784238714607</v>
      </c>
      <c r="Q19" s="69">
        <v>2248.8200478959975</v>
      </c>
      <c r="R19" s="69">
        <v>1361.3943026210977</v>
      </c>
      <c r="S19" s="69">
        <v>1851.6968559183829</v>
      </c>
      <c r="T19" s="69">
        <v>3716.3484699288001</v>
      </c>
      <c r="U19" s="567">
        <f>'Debit Summary'!S19+'Debit Summary'!T19+'Debit Summary'!U19+'Debit Summary'!V19+'Debit Summary'!W19</f>
        <v>8933.1742120777089</v>
      </c>
    </row>
    <row r="20" spans="1:21">
      <c r="A20" s="868" t="s">
        <v>6</v>
      </c>
      <c r="B20" s="869"/>
      <c r="C20" s="3"/>
      <c r="D20" s="72">
        <f t="shared" ref="D20:N20" si="0">D19+D17+D15+D13+D7+D4</f>
        <v>22785.058120915524</v>
      </c>
      <c r="E20" s="72">
        <f t="shared" si="0"/>
        <v>27028.671568279606</v>
      </c>
      <c r="F20" s="72">
        <f t="shared" si="0"/>
        <v>30731.312038872231</v>
      </c>
      <c r="G20" s="72">
        <f t="shared" si="0"/>
        <v>34957.747218533441</v>
      </c>
      <c r="H20" s="72">
        <f t="shared" si="0"/>
        <v>39619.396459481315</v>
      </c>
      <c r="I20" s="72">
        <f t="shared" si="0"/>
        <v>37801.409165349542</v>
      </c>
      <c r="J20" s="72">
        <f t="shared" si="0"/>
        <v>42787.19374242425</v>
      </c>
      <c r="K20" s="72">
        <f t="shared" si="0"/>
        <v>57556.842249811933</v>
      </c>
      <c r="L20" s="72">
        <f t="shared" si="0"/>
        <v>65629.275073616678</v>
      </c>
      <c r="M20" s="72">
        <f t="shared" si="0"/>
        <v>66084.065999317871</v>
      </c>
      <c r="N20" s="72">
        <f t="shared" si="0"/>
        <v>81913.02109458897</v>
      </c>
      <c r="O20" s="72">
        <v>74332.992689931896</v>
      </c>
      <c r="P20" s="72">
        <v>53586.968828662131</v>
      </c>
      <c r="Q20" s="72">
        <v>35601.899597542484</v>
      </c>
      <c r="R20" s="72">
        <v>34173.437616297968</v>
      </c>
      <c r="S20" s="72">
        <v>29403.636822327557</v>
      </c>
      <c r="T20" s="72">
        <v>30790.441735475626</v>
      </c>
      <c r="U20" s="568">
        <f>U19+U17+U15+U13+U7+U10+U4</f>
        <v>40861.480998130595</v>
      </c>
    </row>
    <row r="22" spans="1:21">
      <c r="D22" s="74"/>
      <c r="E22" s="74"/>
      <c r="F22" s="74"/>
      <c r="G22" s="74"/>
      <c r="H22" s="74"/>
    </row>
    <row r="23" spans="1:21">
      <c r="D23" s="89"/>
      <c r="E23" s="89"/>
      <c r="F23" s="89"/>
      <c r="G23" s="89"/>
      <c r="H23" s="89"/>
      <c r="U23" s="595"/>
    </row>
  </sheetData>
  <mergeCells count="10">
    <mergeCell ref="A20:B20"/>
    <mergeCell ref="A14:A19"/>
    <mergeCell ref="A2:A13"/>
    <mergeCell ref="B2:B4"/>
    <mergeCell ref="B5:B7"/>
    <mergeCell ref="B11:B13"/>
    <mergeCell ref="B16:B17"/>
    <mergeCell ref="B14:B15"/>
    <mergeCell ref="B18:B19"/>
    <mergeCell ref="B8:B10"/>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M439"/>
  <sheetViews>
    <sheetView topLeftCell="A371" zoomScaleNormal="100" workbookViewId="0">
      <selection activeCell="F372" sqref="F372"/>
    </sheetView>
  </sheetViews>
  <sheetFormatPr defaultRowHeight="15" outlineLevelRow="2"/>
  <cols>
    <col min="1" max="1" width="13.85546875" style="92" customWidth="1"/>
    <col min="2" max="2" width="26.7109375" customWidth="1"/>
    <col min="3" max="3" width="13.5703125" customWidth="1"/>
    <col min="4" max="4" width="8.85546875" customWidth="1"/>
    <col min="5" max="5" width="10.85546875" customWidth="1"/>
    <col min="6" max="6" width="13" customWidth="1"/>
    <col min="7" max="7" width="15" customWidth="1"/>
    <col min="8" max="8" width="13.140625" customWidth="1"/>
    <col min="9" max="9" width="16.5703125" customWidth="1"/>
    <col min="10" max="10" width="14.140625" customWidth="1"/>
    <col min="11" max="11" width="12.5703125" customWidth="1"/>
    <col min="12" max="12" width="14.140625" customWidth="1"/>
    <col min="13" max="13" width="13.28515625" customWidth="1"/>
    <col min="14" max="14" width="11.5703125" bestFit="1" customWidth="1"/>
  </cols>
  <sheetData>
    <row r="1" spans="1:10" ht="21" customHeight="1">
      <c r="A1" s="880" t="s">
        <v>881</v>
      </c>
      <c r="B1" s="881"/>
      <c r="C1" s="881"/>
      <c r="D1" s="881"/>
      <c r="E1" s="881"/>
      <c r="F1" s="881"/>
      <c r="G1" s="881"/>
      <c r="H1" s="881"/>
      <c r="I1" s="882"/>
      <c r="J1" s="5"/>
    </row>
    <row r="2" spans="1:10" s="5" customFormat="1" ht="28.5" customHeight="1">
      <c r="A2" s="361" t="s">
        <v>44</v>
      </c>
      <c r="B2" s="151" t="s">
        <v>38</v>
      </c>
      <c r="C2" s="152" t="s">
        <v>67</v>
      </c>
      <c r="D2" s="150" t="s">
        <v>27</v>
      </c>
      <c r="E2" s="150" t="s">
        <v>896</v>
      </c>
      <c r="F2" s="152" t="s">
        <v>36</v>
      </c>
      <c r="G2" s="152" t="s">
        <v>37</v>
      </c>
      <c r="H2" s="152" t="s">
        <v>3</v>
      </c>
      <c r="I2" s="362" t="s">
        <v>35</v>
      </c>
    </row>
    <row r="3" spans="1:10" hidden="1" outlineLevel="2">
      <c r="A3" s="141">
        <v>45658</v>
      </c>
      <c r="B3" s="1" t="s">
        <v>82</v>
      </c>
      <c r="C3" s="1" t="s">
        <v>117</v>
      </c>
      <c r="D3" s="1" t="s">
        <v>897</v>
      </c>
      <c r="E3" s="1">
        <v>96.6</v>
      </c>
      <c r="F3" s="1"/>
      <c r="G3" s="59">
        <v>17.02</v>
      </c>
      <c r="H3" s="59"/>
      <c r="I3" s="59">
        <f t="shared" ref="I3:I9" si="0">SUM(G3:H3)</f>
        <v>17.02</v>
      </c>
    </row>
    <row r="4" spans="1:10" hidden="1" outlineLevel="2">
      <c r="A4" s="141">
        <v>45658</v>
      </c>
      <c r="B4" s="1" t="s">
        <v>86</v>
      </c>
      <c r="C4" s="1" t="s">
        <v>118</v>
      </c>
      <c r="D4" s="1" t="s">
        <v>655</v>
      </c>
      <c r="E4" s="1">
        <v>87</v>
      </c>
      <c r="F4" s="1"/>
      <c r="G4" s="59">
        <v>17.02</v>
      </c>
      <c r="H4" s="59"/>
      <c r="I4" s="59">
        <f t="shared" si="0"/>
        <v>17.02</v>
      </c>
    </row>
    <row r="5" spans="1:10" hidden="1" outlineLevel="2">
      <c r="A5" s="141">
        <v>45658</v>
      </c>
      <c r="B5" s="1" t="s">
        <v>82</v>
      </c>
      <c r="C5" s="1" t="s">
        <v>119</v>
      </c>
      <c r="D5" s="1" t="s">
        <v>897</v>
      </c>
      <c r="E5" s="1">
        <v>66.5</v>
      </c>
      <c r="F5" s="1"/>
      <c r="G5" s="59">
        <v>17.02</v>
      </c>
      <c r="H5" s="59"/>
      <c r="I5" s="59">
        <f t="shared" si="0"/>
        <v>17.02</v>
      </c>
    </row>
    <row r="6" spans="1:10" hidden="1" outlineLevel="2">
      <c r="A6" s="141">
        <v>45658</v>
      </c>
      <c r="B6" s="1" t="s">
        <v>124</v>
      </c>
      <c r="C6" s="1" t="s">
        <v>120</v>
      </c>
      <c r="D6" s="1" t="s">
        <v>655</v>
      </c>
      <c r="E6" s="1">
        <v>12.6</v>
      </c>
      <c r="F6" s="1"/>
      <c r="G6" s="59">
        <v>45.2</v>
      </c>
      <c r="H6" s="59"/>
      <c r="I6" s="59">
        <f t="shared" si="0"/>
        <v>45.2</v>
      </c>
    </row>
    <row r="7" spans="1:10" hidden="1" outlineLevel="2">
      <c r="A7" s="141">
        <v>45658</v>
      </c>
      <c r="B7" s="1" t="s">
        <v>82</v>
      </c>
      <c r="C7" s="1" t="s">
        <v>121</v>
      </c>
      <c r="D7" s="1" t="s">
        <v>897</v>
      </c>
      <c r="E7" s="1">
        <v>75.2</v>
      </c>
      <c r="F7" s="1"/>
      <c r="G7" s="59">
        <v>17.02</v>
      </c>
      <c r="H7" s="59"/>
      <c r="I7" s="59">
        <f t="shared" si="0"/>
        <v>17.02</v>
      </c>
    </row>
    <row r="8" spans="1:10" hidden="1" outlineLevel="2">
      <c r="A8" s="141">
        <v>45658</v>
      </c>
      <c r="B8" s="1" t="s">
        <v>105</v>
      </c>
      <c r="C8" s="1" t="s">
        <v>122</v>
      </c>
      <c r="D8" s="1" t="s">
        <v>655</v>
      </c>
      <c r="E8" s="1">
        <v>22.5</v>
      </c>
      <c r="F8" s="1"/>
      <c r="G8" s="59">
        <v>17.02</v>
      </c>
      <c r="H8" s="59"/>
      <c r="I8" s="59">
        <f t="shared" si="0"/>
        <v>17.02</v>
      </c>
    </row>
    <row r="9" spans="1:10" hidden="1" outlineLevel="2">
      <c r="A9" s="141">
        <v>45658</v>
      </c>
      <c r="B9" s="1" t="s">
        <v>82</v>
      </c>
      <c r="C9" s="1" t="s">
        <v>123</v>
      </c>
      <c r="D9" s="1" t="s">
        <v>897</v>
      </c>
      <c r="E9" s="1">
        <v>100.4</v>
      </c>
      <c r="F9" s="1"/>
      <c r="G9" s="59">
        <v>17.02</v>
      </c>
      <c r="H9" s="59"/>
      <c r="I9" s="59">
        <f t="shared" si="0"/>
        <v>17.02</v>
      </c>
    </row>
    <row r="10" spans="1:10" outlineLevel="1" collapsed="1">
      <c r="A10" s="723" t="s">
        <v>883</v>
      </c>
      <c r="B10" s="1"/>
      <c r="C10" s="1"/>
      <c r="D10" s="1"/>
      <c r="E10" s="1">
        <f>SUBTOTAL(9,E3:E9)</f>
        <v>460.79999999999995</v>
      </c>
      <c r="F10" s="1">
        <f>SUBTOTAL(9,F3:F9)</f>
        <v>0</v>
      </c>
      <c r="G10" s="59">
        <f>SUBTOTAL(9,G3:G9)</f>
        <v>147.32000000000002</v>
      </c>
      <c r="H10" s="59">
        <f>SUBTOTAL(9,H3:H9)</f>
        <v>0</v>
      </c>
      <c r="I10" s="59">
        <f>SUBTOTAL(9,I3:I9)</f>
        <v>147.32000000000002</v>
      </c>
    </row>
    <row r="11" spans="1:10" hidden="1" outlineLevel="2">
      <c r="A11" s="141">
        <v>45689</v>
      </c>
      <c r="B11" s="1" t="s">
        <v>82</v>
      </c>
      <c r="C11" s="344" t="s">
        <v>129</v>
      </c>
      <c r="D11" s="1" t="s">
        <v>897</v>
      </c>
      <c r="E11" s="1">
        <v>806.4</v>
      </c>
      <c r="F11" s="59"/>
      <c r="G11" s="59">
        <v>17.02</v>
      </c>
      <c r="H11" s="59"/>
      <c r="I11" s="59">
        <f>SUM(G11:H11)</f>
        <v>17.02</v>
      </c>
    </row>
    <row r="12" spans="1:10" hidden="1" outlineLevel="2">
      <c r="A12" s="141">
        <f>A11</f>
        <v>45689</v>
      </c>
      <c r="B12" s="1" t="s">
        <v>82</v>
      </c>
      <c r="C12" s="344" t="s">
        <v>130</v>
      </c>
      <c r="D12" s="1" t="s">
        <v>897</v>
      </c>
      <c r="E12" s="1">
        <v>1375</v>
      </c>
      <c r="F12" s="59"/>
      <c r="G12" s="59">
        <v>17.02</v>
      </c>
      <c r="H12" s="59"/>
      <c r="I12" s="59">
        <f>SUM(G12:H12)</f>
        <v>17.02</v>
      </c>
    </row>
    <row r="13" spans="1:10" outlineLevel="1" collapsed="1">
      <c r="A13" s="146" t="s">
        <v>884</v>
      </c>
      <c r="B13" s="1"/>
      <c r="C13" s="344"/>
      <c r="D13" s="1"/>
      <c r="E13" s="1">
        <f>SUBTOTAL(9,E11:E12)</f>
        <v>2181.4</v>
      </c>
      <c r="F13" s="59">
        <f>SUBTOTAL(9,F11:F12)</f>
        <v>0</v>
      </c>
      <c r="G13" s="59">
        <f>SUBTOTAL(9,G11:G12)</f>
        <v>34.04</v>
      </c>
      <c r="H13" s="59">
        <f>SUBTOTAL(9,H11:H12)</f>
        <v>0</v>
      </c>
      <c r="I13" s="59">
        <f>SUBTOTAL(9,I11:I12)</f>
        <v>34.04</v>
      </c>
    </row>
    <row r="14" spans="1:10" hidden="1" outlineLevel="2">
      <c r="A14" s="141">
        <v>45717</v>
      </c>
      <c r="B14" s="1" t="s">
        <v>82</v>
      </c>
      <c r="C14" s="344" t="s">
        <v>138</v>
      </c>
      <c r="D14" s="1" t="s">
        <v>655</v>
      </c>
      <c r="E14" s="1">
        <v>16.3</v>
      </c>
      <c r="F14" s="59"/>
      <c r="G14" s="59"/>
      <c r="H14" s="59">
        <v>174.68263999999999</v>
      </c>
      <c r="I14" s="59">
        <f t="shared" ref="I14:I20" si="1">SUM(G14:H14)</f>
        <v>174.68263999999999</v>
      </c>
    </row>
    <row r="15" spans="1:10" hidden="1" outlineLevel="2">
      <c r="A15" s="141">
        <f t="shared" ref="A15:A20" si="2">A14</f>
        <v>45717</v>
      </c>
      <c r="B15" s="1" t="s">
        <v>82</v>
      </c>
      <c r="C15" s="344" t="s">
        <v>139</v>
      </c>
      <c r="D15" s="1" t="s">
        <v>655</v>
      </c>
      <c r="E15" s="1">
        <v>2.6</v>
      </c>
      <c r="F15" s="59"/>
      <c r="G15" s="59"/>
      <c r="H15" s="59">
        <v>62.385080000000002</v>
      </c>
      <c r="I15" s="59">
        <f t="shared" si="1"/>
        <v>62.385080000000002</v>
      </c>
    </row>
    <row r="16" spans="1:10" hidden="1" outlineLevel="2">
      <c r="A16" s="141">
        <f t="shared" si="2"/>
        <v>45717</v>
      </c>
      <c r="B16" s="1" t="s">
        <v>145</v>
      </c>
      <c r="C16" s="344" t="s">
        <v>140</v>
      </c>
      <c r="D16" s="1" t="s">
        <v>655</v>
      </c>
      <c r="E16" s="1">
        <v>80</v>
      </c>
      <c r="F16" s="59"/>
      <c r="G16" s="59">
        <v>16</v>
      </c>
      <c r="H16" s="59"/>
      <c r="I16" s="59">
        <f t="shared" si="1"/>
        <v>16</v>
      </c>
    </row>
    <row r="17" spans="1:9" hidden="1" outlineLevel="2">
      <c r="A17" s="141">
        <f t="shared" si="2"/>
        <v>45717</v>
      </c>
      <c r="B17" s="1" t="s">
        <v>146</v>
      </c>
      <c r="C17" s="344" t="s">
        <v>141</v>
      </c>
      <c r="D17" s="1" t="s">
        <v>897</v>
      </c>
      <c r="E17" s="1">
        <v>34.9</v>
      </c>
      <c r="F17" s="59"/>
      <c r="G17" s="59">
        <v>16</v>
      </c>
      <c r="H17" s="59"/>
      <c r="I17" s="59">
        <f t="shared" si="1"/>
        <v>16</v>
      </c>
    </row>
    <row r="18" spans="1:9" hidden="1" outlineLevel="2">
      <c r="A18" s="141">
        <f t="shared" si="2"/>
        <v>45717</v>
      </c>
      <c r="B18" s="1" t="s">
        <v>147</v>
      </c>
      <c r="C18" s="344" t="s">
        <v>142</v>
      </c>
      <c r="D18" s="1" t="s">
        <v>655</v>
      </c>
      <c r="E18" s="1">
        <v>15.100000000000001</v>
      </c>
      <c r="F18" s="59"/>
      <c r="G18" s="59">
        <v>16</v>
      </c>
      <c r="H18" s="59"/>
      <c r="I18" s="59">
        <f t="shared" si="1"/>
        <v>16</v>
      </c>
    </row>
    <row r="19" spans="1:9" hidden="1" outlineLevel="2">
      <c r="A19" s="141">
        <f t="shared" si="2"/>
        <v>45717</v>
      </c>
      <c r="B19" s="1" t="s">
        <v>146</v>
      </c>
      <c r="C19" s="344" t="s">
        <v>143</v>
      </c>
      <c r="D19" s="1" t="s">
        <v>655</v>
      </c>
      <c r="E19" s="1">
        <v>16.3</v>
      </c>
      <c r="F19" s="59"/>
      <c r="G19" s="59">
        <v>45.2</v>
      </c>
      <c r="H19" s="59"/>
      <c r="I19" s="59">
        <f t="shared" si="1"/>
        <v>45.2</v>
      </c>
    </row>
    <row r="20" spans="1:9" hidden="1" outlineLevel="2">
      <c r="A20" s="141">
        <f t="shared" si="2"/>
        <v>45717</v>
      </c>
      <c r="B20" s="1" t="s">
        <v>146</v>
      </c>
      <c r="C20" s="344" t="s">
        <v>144</v>
      </c>
      <c r="D20" s="1" t="s">
        <v>655</v>
      </c>
      <c r="E20" s="1">
        <v>2.6</v>
      </c>
      <c r="F20" s="59"/>
      <c r="G20" s="59">
        <v>26</v>
      </c>
      <c r="H20" s="59"/>
      <c r="I20" s="59">
        <f t="shared" si="1"/>
        <v>26</v>
      </c>
    </row>
    <row r="21" spans="1:9" outlineLevel="1" collapsed="1">
      <c r="A21" s="146" t="s">
        <v>885</v>
      </c>
      <c r="B21" s="1"/>
      <c r="C21" s="344"/>
      <c r="D21" s="1"/>
      <c r="E21" s="1">
        <f>SUBTOTAL(9,E14:E20)</f>
        <v>167.8</v>
      </c>
      <c r="F21" s="59">
        <f>SUBTOTAL(9,F14:F20)</f>
        <v>0</v>
      </c>
      <c r="G21" s="59">
        <f>SUBTOTAL(9,G14:G20)</f>
        <v>119.2</v>
      </c>
      <c r="H21" s="59">
        <f>SUBTOTAL(9,H14:H20)</f>
        <v>237.06772000000001</v>
      </c>
      <c r="I21" s="59">
        <f>SUBTOTAL(9,I14:I20)</f>
        <v>356.26772</v>
      </c>
    </row>
    <row r="22" spans="1:9" hidden="1" outlineLevel="2">
      <c r="A22" s="141">
        <v>45778</v>
      </c>
      <c r="B22" s="1" t="s">
        <v>146</v>
      </c>
      <c r="C22" s="344" t="s">
        <v>157</v>
      </c>
      <c r="D22" s="1" t="s">
        <v>655</v>
      </c>
      <c r="E22" s="1">
        <v>0.5</v>
      </c>
      <c r="F22" s="59"/>
      <c r="G22" s="59">
        <v>24.790236460717011</v>
      </c>
      <c r="H22" s="59"/>
      <c r="I22" s="59">
        <f t="shared" ref="I22:I27" si="3">SUM(G22:H22)</f>
        <v>24.790236460717011</v>
      </c>
    </row>
    <row r="23" spans="1:9" hidden="1" outlineLevel="2">
      <c r="A23" s="141">
        <f>A22</f>
        <v>45778</v>
      </c>
      <c r="B23" s="1" t="s">
        <v>146</v>
      </c>
      <c r="C23" s="344" t="s">
        <v>158</v>
      </c>
      <c r="D23" s="1" t="s">
        <v>897</v>
      </c>
      <c r="E23" s="1">
        <v>20.399999999999999</v>
      </c>
      <c r="F23" s="59"/>
      <c r="G23" s="59">
        <v>15.255530129672007</v>
      </c>
      <c r="H23" s="59"/>
      <c r="I23" s="59">
        <f t="shared" si="3"/>
        <v>15.255530129672007</v>
      </c>
    </row>
    <row r="24" spans="1:9" hidden="1" outlineLevel="2">
      <c r="A24" s="141">
        <f>A23</f>
        <v>45778</v>
      </c>
      <c r="B24" s="1" t="s">
        <v>146</v>
      </c>
      <c r="C24" s="344" t="s">
        <v>159</v>
      </c>
      <c r="D24" s="1" t="s">
        <v>52</v>
      </c>
      <c r="E24" s="1">
        <v>124.8</v>
      </c>
      <c r="F24" s="59"/>
      <c r="G24" s="59">
        <v>62.929061784897023</v>
      </c>
      <c r="H24" s="59"/>
      <c r="I24" s="59">
        <f t="shared" si="3"/>
        <v>62.929061784897023</v>
      </c>
    </row>
    <row r="25" spans="1:9" hidden="1" outlineLevel="2">
      <c r="A25" s="141">
        <f>A24</f>
        <v>45778</v>
      </c>
      <c r="B25" s="1" t="s">
        <v>34</v>
      </c>
      <c r="C25" s="344" t="s">
        <v>160</v>
      </c>
      <c r="D25" s="1" t="s">
        <v>655</v>
      </c>
      <c r="E25" s="1">
        <v>2.2999999999999998</v>
      </c>
      <c r="F25" s="59"/>
      <c r="G25" s="59">
        <v>67.887109077040421</v>
      </c>
      <c r="H25" s="59"/>
      <c r="I25" s="59">
        <f t="shared" si="3"/>
        <v>67.887109077040421</v>
      </c>
    </row>
    <row r="26" spans="1:9" hidden="1" outlineLevel="2">
      <c r="A26" s="141">
        <f>A25</f>
        <v>45778</v>
      </c>
      <c r="B26" s="1" t="s">
        <v>145</v>
      </c>
      <c r="C26" s="344" t="s">
        <v>161</v>
      </c>
      <c r="D26" s="1" t="s">
        <v>655</v>
      </c>
      <c r="E26" s="1">
        <v>31.5</v>
      </c>
      <c r="F26" s="59"/>
      <c r="G26" s="59">
        <v>15.255530129672007</v>
      </c>
      <c r="H26" s="59"/>
      <c r="I26" s="59">
        <f t="shared" si="3"/>
        <v>15.255530129672007</v>
      </c>
    </row>
    <row r="27" spans="1:9" hidden="1" outlineLevel="2">
      <c r="A27" s="141">
        <f>A26</f>
        <v>45778</v>
      </c>
      <c r="B27" s="1" t="s">
        <v>146</v>
      </c>
      <c r="C27" s="344" t="s">
        <v>162</v>
      </c>
      <c r="D27" s="1" t="s">
        <v>897</v>
      </c>
      <c r="E27" s="1">
        <v>71.8</v>
      </c>
      <c r="F27" s="59"/>
      <c r="G27" s="59">
        <v>15.255530129672007</v>
      </c>
      <c r="H27" s="59"/>
      <c r="I27" s="59">
        <f t="shared" si="3"/>
        <v>15.255530129672007</v>
      </c>
    </row>
    <row r="28" spans="1:9" outlineLevel="1" collapsed="1">
      <c r="A28" s="146" t="s">
        <v>886</v>
      </c>
      <c r="B28" s="1"/>
      <c r="C28" s="344"/>
      <c r="D28" s="1"/>
      <c r="E28" s="1">
        <f>SUBTOTAL(9,E22:E27)</f>
        <v>251.3</v>
      </c>
      <c r="F28" s="59">
        <f>SUBTOTAL(9,F22:F27)</f>
        <v>0</v>
      </c>
      <c r="G28" s="59">
        <f>SUBTOTAL(9,G22:G27)</f>
        <v>201.37299771167045</v>
      </c>
      <c r="H28" s="59">
        <f>SUBTOTAL(9,H22:H27)</f>
        <v>0</v>
      </c>
      <c r="I28" s="59">
        <f>SUBTOTAL(9,I22:I27)</f>
        <v>201.37299771167045</v>
      </c>
    </row>
    <row r="29" spans="1:9" hidden="1" outlineLevel="2">
      <c r="A29" s="141">
        <v>45809</v>
      </c>
      <c r="B29" s="1" t="s">
        <v>145</v>
      </c>
      <c r="C29" s="344" t="s">
        <v>168</v>
      </c>
      <c r="D29" s="1" t="s">
        <v>655</v>
      </c>
      <c r="E29" s="1">
        <v>104.8</v>
      </c>
      <c r="F29" s="59"/>
      <c r="G29" s="59">
        <f>400000/26320</f>
        <v>15.19756838905775</v>
      </c>
      <c r="H29" s="59"/>
      <c r="I29" s="59">
        <f t="shared" ref="I29:I34" si="4">SUM(G29:H29)</f>
        <v>15.19756838905775</v>
      </c>
    </row>
    <row r="30" spans="1:9" hidden="1" outlineLevel="2">
      <c r="A30" s="141">
        <f>A29</f>
        <v>45809</v>
      </c>
      <c r="B30" s="1" t="s">
        <v>147</v>
      </c>
      <c r="C30" s="344" t="s">
        <v>169</v>
      </c>
      <c r="D30" s="1" t="s">
        <v>655</v>
      </c>
      <c r="E30" s="1">
        <v>94.3</v>
      </c>
      <c r="F30" s="59"/>
      <c r="G30" s="59">
        <f>400000/26320</f>
        <v>15.19756838905775</v>
      </c>
      <c r="H30" s="59"/>
      <c r="I30" s="59">
        <f t="shared" si="4"/>
        <v>15.19756838905775</v>
      </c>
    </row>
    <row r="31" spans="1:9" hidden="1" outlineLevel="2">
      <c r="A31" s="141">
        <f>A30</f>
        <v>45809</v>
      </c>
      <c r="B31" s="1" t="s">
        <v>146</v>
      </c>
      <c r="C31" s="344" t="s">
        <v>170</v>
      </c>
      <c r="D31" s="1" t="s">
        <v>897</v>
      </c>
      <c r="E31" s="1">
        <v>90.5</v>
      </c>
      <c r="F31" s="59"/>
      <c r="G31" s="59">
        <f>400000/26320</f>
        <v>15.19756838905775</v>
      </c>
      <c r="H31" s="59"/>
      <c r="I31" s="59">
        <f t="shared" si="4"/>
        <v>15.19756838905775</v>
      </c>
    </row>
    <row r="32" spans="1:9" hidden="1" outlineLevel="2">
      <c r="A32" s="141">
        <f>A31</f>
        <v>45809</v>
      </c>
      <c r="B32" s="1" t="s">
        <v>146</v>
      </c>
      <c r="C32" s="344" t="s">
        <v>171</v>
      </c>
      <c r="D32" s="1" t="s">
        <v>897</v>
      </c>
      <c r="E32" s="1">
        <v>100.1</v>
      </c>
      <c r="F32" s="59"/>
      <c r="G32" s="59">
        <f>400000/26320</f>
        <v>15.19756838905775</v>
      </c>
      <c r="H32" s="59"/>
      <c r="I32" s="59">
        <f t="shared" si="4"/>
        <v>15.19756838905775</v>
      </c>
    </row>
    <row r="33" spans="1:9" hidden="1" outlineLevel="2">
      <c r="A33" s="141">
        <f>A32</f>
        <v>45809</v>
      </c>
      <c r="B33" s="1" t="s">
        <v>34</v>
      </c>
      <c r="C33" s="344" t="s">
        <v>160</v>
      </c>
      <c r="D33" s="1" t="s">
        <v>655</v>
      </c>
      <c r="E33" s="1">
        <v>2.2999999999999998</v>
      </c>
      <c r="F33" s="59"/>
      <c r="G33" s="59"/>
      <c r="H33" s="59">
        <f>2880058/26320</f>
        <v>109.42469604863221</v>
      </c>
      <c r="I33" s="59">
        <f t="shared" si="4"/>
        <v>109.42469604863221</v>
      </c>
    </row>
    <row r="34" spans="1:9" hidden="1" outlineLevel="2">
      <c r="A34" s="141">
        <f>A33</f>
        <v>45809</v>
      </c>
      <c r="B34" s="1" t="s">
        <v>146</v>
      </c>
      <c r="C34" s="344" t="s">
        <v>172</v>
      </c>
      <c r="D34" s="1" t="s">
        <v>52</v>
      </c>
      <c r="E34" s="1">
        <v>187.7</v>
      </c>
      <c r="F34" s="59"/>
      <c r="G34" s="59"/>
      <c r="H34" s="59">
        <v>1540.17</v>
      </c>
      <c r="I34" s="59">
        <f t="shared" si="4"/>
        <v>1540.17</v>
      </c>
    </row>
    <row r="35" spans="1:9" outlineLevel="1" collapsed="1">
      <c r="A35" s="146" t="s">
        <v>887</v>
      </c>
      <c r="B35" s="1"/>
      <c r="C35" s="344"/>
      <c r="D35" s="1"/>
      <c r="E35" s="1">
        <f>SUBTOTAL(9,E29:E34)</f>
        <v>579.70000000000005</v>
      </c>
      <c r="F35" s="59">
        <f>SUBTOTAL(9,F29:F34)</f>
        <v>0</v>
      </c>
      <c r="G35" s="59">
        <f>SUBTOTAL(9,G29:G34)</f>
        <v>60.790273556231</v>
      </c>
      <c r="H35" s="59">
        <f>SUBTOTAL(9,H29:H34)</f>
        <v>1649.5946960486324</v>
      </c>
      <c r="I35" s="59">
        <f>SUBTOTAL(9,I29:I34)</f>
        <v>1710.3849696048633</v>
      </c>
    </row>
    <row r="36" spans="1:9" hidden="1" outlineLevel="2">
      <c r="A36" s="141">
        <v>45839</v>
      </c>
      <c r="B36" s="1" t="s">
        <v>34</v>
      </c>
      <c r="C36" s="344" t="s">
        <v>160</v>
      </c>
      <c r="D36" s="1" t="s">
        <v>655</v>
      </c>
      <c r="E36" s="1">
        <v>2.2999999999999998</v>
      </c>
      <c r="F36" s="59"/>
      <c r="G36" s="59"/>
      <c r="H36" s="59">
        <v>103.63845093750001</v>
      </c>
      <c r="I36" s="59">
        <f>SUM(F36:H36)</f>
        <v>103.63845093750001</v>
      </c>
    </row>
    <row r="37" spans="1:9" hidden="1" outlineLevel="2">
      <c r="A37" s="141">
        <f>A36</f>
        <v>45839</v>
      </c>
      <c r="B37" s="1" t="s">
        <v>146</v>
      </c>
      <c r="C37" s="344" t="s">
        <v>898</v>
      </c>
      <c r="D37" s="1" t="s">
        <v>52</v>
      </c>
      <c r="E37" s="1">
        <v>187.7</v>
      </c>
      <c r="F37" s="59">
        <f>480000/26400</f>
        <v>18.181818181818183</v>
      </c>
      <c r="G37" s="59">
        <v>113.63636363636363</v>
      </c>
      <c r="H37" s="59">
        <v>391.75</v>
      </c>
      <c r="I37" s="59">
        <f>SUM(F37:H37)</f>
        <v>523.56818181818176</v>
      </c>
    </row>
    <row r="38" spans="1:9" hidden="1" outlineLevel="2">
      <c r="A38" s="141">
        <f>A37</f>
        <v>45839</v>
      </c>
      <c r="B38" s="1" t="s">
        <v>146</v>
      </c>
      <c r="C38" s="344" t="s">
        <v>185</v>
      </c>
      <c r="D38" s="1" t="s">
        <v>897</v>
      </c>
      <c r="E38" s="1">
        <v>3.3</v>
      </c>
      <c r="F38" s="59">
        <f>480000/26400</f>
        <v>18.181818181818183</v>
      </c>
      <c r="G38" s="59">
        <v>24.621212121212121</v>
      </c>
      <c r="H38" s="59"/>
      <c r="I38" s="59">
        <f>SUM(F38:H38)</f>
        <v>42.803030303030305</v>
      </c>
    </row>
    <row r="39" spans="1:9" hidden="1" outlineLevel="2">
      <c r="A39" s="141">
        <f>A38</f>
        <v>45839</v>
      </c>
      <c r="B39" s="1" t="s">
        <v>146</v>
      </c>
      <c r="C39" s="344" t="s">
        <v>186</v>
      </c>
      <c r="D39" s="1" t="s">
        <v>897</v>
      </c>
      <c r="E39" s="1">
        <v>10.8</v>
      </c>
      <c r="F39" s="59"/>
      <c r="G39" s="59">
        <f>400000/26400</f>
        <v>15.151515151515152</v>
      </c>
      <c r="H39" s="59"/>
      <c r="I39" s="59">
        <f>SUM(F39:H39)</f>
        <v>15.151515151515152</v>
      </c>
    </row>
    <row r="40" spans="1:9" hidden="1" outlineLevel="2">
      <c r="A40" s="141">
        <f>A39</f>
        <v>45839</v>
      </c>
      <c r="B40" s="1" t="s">
        <v>147</v>
      </c>
      <c r="C40" s="344" t="s">
        <v>187</v>
      </c>
      <c r="D40" s="1" t="s">
        <v>655</v>
      </c>
      <c r="E40" s="1">
        <v>21.5</v>
      </c>
      <c r="F40" s="59"/>
      <c r="G40" s="59">
        <f>400000/26400</f>
        <v>15.151515151515152</v>
      </c>
      <c r="H40" s="59"/>
      <c r="I40" s="59">
        <f>SUM(F40:H40)</f>
        <v>15.151515151515152</v>
      </c>
    </row>
    <row r="41" spans="1:9" outlineLevel="1" collapsed="1">
      <c r="A41" s="146" t="s">
        <v>888</v>
      </c>
      <c r="B41" s="1"/>
      <c r="C41" s="344"/>
      <c r="D41" s="1"/>
      <c r="E41" s="1">
        <f>SUBTOTAL(9,E36:E40)</f>
        <v>225.60000000000002</v>
      </c>
      <c r="F41" s="59">
        <f>SUBTOTAL(9,F36:F40)</f>
        <v>36.363636363636367</v>
      </c>
      <c r="G41" s="59">
        <f>SUBTOTAL(9,G36:G40)</f>
        <v>168.56060606060606</v>
      </c>
      <c r="H41" s="59">
        <f>SUBTOTAL(9,H36:H40)</f>
        <v>495.38845093750001</v>
      </c>
      <c r="I41" s="59">
        <f>SUBTOTAL(9,I36:I40)</f>
        <v>700.31269336174228</v>
      </c>
    </row>
    <row r="42" spans="1:9" hidden="1" outlineLevel="2">
      <c r="A42" s="141">
        <v>45870</v>
      </c>
      <c r="B42" s="1" t="s">
        <v>82</v>
      </c>
      <c r="C42" s="344" t="s">
        <v>301</v>
      </c>
      <c r="D42" s="1" t="s">
        <v>52</v>
      </c>
      <c r="E42" s="1">
        <v>50.2</v>
      </c>
      <c r="F42" s="59"/>
      <c r="G42" s="59"/>
      <c r="H42" s="59">
        <v>729.31</v>
      </c>
      <c r="I42" s="59">
        <f>SUM(F42:H42)</f>
        <v>729.31</v>
      </c>
    </row>
    <row r="43" spans="1:9" hidden="1" outlineLevel="2">
      <c r="A43" s="141">
        <f>A42</f>
        <v>45870</v>
      </c>
      <c r="B43" s="1" t="s">
        <v>145</v>
      </c>
      <c r="C43" s="344" t="s">
        <v>299</v>
      </c>
      <c r="D43" s="1" t="s">
        <v>655</v>
      </c>
      <c r="E43" s="1">
        <v>200.3</v>
      </c>
      <c r="F43" s="59"/>
      <c r="G43" s="59">
        <f>400000/26547</f>
        <v>15.067615926470035</v>
      </c>
      <c r="H43" s="59"/>
      <c r="I43" s="59">
        <f>SUM(F43:H43)</f>
        <v>15.067615926470035</v>
      </c>
    </row>
    <row r="44" spans="1:9" hidden="1" outlineLevel="2">
      <c r="A44" s="141">
        <f>A43</f>
        <v>45870</v>
      </c>
      <c r="B44" s="1" t="s">
        <v>147</v>
      </c>
      <c r="C44" s="344" t="s">
        <v>300</v>
      </c>
      <c r="D44" s="1" t="s">
        <v>655</v>
      </c>
      <c r="E44" s="1">
        <v>17</v>
      </c>
      <c r="F44" s="59"/>
      <c r="G44" s="59">
        <f>400000/26547</f>
        <v>15.067615926470035</v>
      </c>
      <c r="H44" s="59"/>
      <c r="I44" s="59">
        <f>SUM(F44:H44)</f>
        <v>15.067615926470035</v>
      </c>
    </row>
    <row r="45" spans="1:9" hidden="1" outlineLevel="2">
      <c r="A45" s="141">
        <f>A44</f>
        <v>45870</v>
      </c>
      <c r="B45" s="1" t="s">
        <v>146</v>
      </c>
      <c r="C45" s="344" t="s">
        <v>301</v>
      </c>
      <c r="D45" s="1" t="s">
        <v>52</v>
      </c>
      <c r="E45" s="1">
        <v>50.2</v>
      </c>
      <c r="F45" s="59"/>
      <c r="G45" s="59">
        <f>1130000/26547</f>
        <v>42.56601499227785</v>
      </c>
      <c r="H45" s="59"/>
      <c r="I45" s="59">
        <f>SUM(F45:H45)</f>
        <v>42.56601499227785</v>
      </c>
    </row>
    <row r="46" spans="1:9" hidden="1" outlineLevel="2">
      <c r="A46" s="141">
        <f>A45</f>
        <v>45870</v>
      </c>
      <c r="B46" s="1" t="s">
        <v>146</v>
      </c>
      <c r="C46" s="344" t="s">
        <v>302</v>
      </c>
      <c r="D46" s="1" t="s">
        <v>897</v>
      </c>
      <c r="E46" s="1">
        <v>263.5</v>
      </c>
      <c r="F46" s="59"/>
      <c r="G46" s="59">
        <f>400000/26547</f>
        <v>15.067615926470035</v>
      </c>
      <c r="H46" s="59"/>
      <c r="I46" s="59">
        <f>SUM(F46:H46)</f>
        <v>15.067615926470035</v>
      </c>
    </row>
    <row r="47" spans="1:9" outlineLevel="1" collapsed="1">
      <c r="A47" s="146" t="s">
        <v>889</v>
      </c>
      <c r="B47" s="1"/>
      <c r="C47" s="344"/>
      <c r="D47" s="1"/>
      <c r="E47" s="1">
        <f>SUBTOTAL(9,E42:E46)</f>
        <v>581.20000000000005</v>
      </c>
      <c r="F47" s="59">
        <f>SUBTOTAL(9,F42:F46)</f>
        <v>0</v>
      </c>
      <c r="G47" s="59">
        <f>SUBTOTAL(9,G42:G46)</f>
        <v>87.768862771687964</v>
      </c>
      <c r="H47" s="59">
        <f>SUBTOTAL(9,H42:H46)</f>
        <v>729.31</v>
      </c>
      <c r="I47" s="59">
        <f>SUBTOTAL(9,I42:I46)</f>
        <v>817.0788627716878</v>
      </c>
    </row>
    <row r="48" spans="1:9" hidden="1" outlineLevel="2">
      <c r="A48" s="142">
        <v>45901</v>
      </c>
      <c r="B48" s="1" t="s">
        <v>146</v>
      </c>
      <c r="C48" s="344" t="s">
        <v>384</v>
      </c>
      <c r="D48" s="1" t="s">
        <v>897</v>
      </c>
      <c r="E48" s="1">
        <v>91.5</v>
      </c>
      <c r="F48" s="59"/>
      <c r="G48" s="59">
        <f>400000/26369</f>
        <v>15.169327619553263</v>
      </c>
      <c r="H48" s="59"/>
      <c r="I48" s="59">
        <f>SUM(F48:H48)</f>
        <v>15.169327619553263</v>
      </c>
    </row>
    <row r="49" spans="1:10" outlineLevel="1" collapsed="1">
      <c r="A49" s="147" t="s">
        <v>890</v>
      </c>
      <c r="B49" s="1"/>
      <c r="C49" s="344"/>
      <c r="D49" s="1"/>
      <c r="E49" s="1">
        <f>SUBTOTAL(9,E48:E48)</f>
        <v>91.5</v>
      </c>
      <c r="F49" s="59">
        <f>SUBTOTAL(9,F48:F48)</f>
        <v>0</v>
      </c>
      <c r="G49" s="59">
        <f>SUBTOTAL(9,G48:G48)</f>
        <v>15.169327619553263</v>
      </c>
      <c r="H49" s="59">
        <f>SUBTOTAL(9,H48:H48)</f>
        <v>0</v>
      </c>
      <c r="I49" s="59">
        <f>SUBTOTAL(9,I48:I48)</f>
        <v>15.169327619553263</v>
      </c>
    </row>
    <row r="50" spans="1:10" hidden="1" outlineLevel="2">
      <c r="A50" s="141">
        <v>45931</v>
      </c>
      <c r="B50" s="1" t="s">
        <v>146</v>
      </c>
      <c r="C50" s="344" t="s">
        <v>553</v>
      </c>
      <c r="D50" s="1" t="s">
        <v>897</v>
      </c>
      <c r="E50" s="1">
        <v>169.7</v>
      </c>
      <c r="F50" s="59"/>
      <c r="G50" s="59">
        <f>400000/26388</f>
        <v>15.158405335758678</v>
      </c>
      <c r="H50" s="59"/>
      <c r="I50" s="59">
        <f>SUM(F50:H50)</f>
        <v>15.158405335758678</v>
      </c>
    </row>
    <row r="51" spans="1:10" hidden="1" outlineLevel="2">
      <c r="A51" s="141">
        <f>A50</f>
        <v>45931</v>
      </c>
      <c r="B51" s="1" t="s">
        <v>146</v>
      </c>
      <c r="C51" s="344" t="s">
        <v>554</v>
      </c>
      <c r="D51" s="1" t="s">
        <v>897</v>
      </c>
      <c r="E51" s="1">
        <v>33.5</v>
      </c>
      <c r="F51" s="59"/>
      <c r="G51" s="59">
        <f>400000/26388</f>
        <v>15.158405335758678</v>
      </c>
      <c r="H51" s="59"/>
      <c r="I51" s="59">
        <f>SUM(F51:H51)</f>
        <v>15.158405335758678</v>
      </c>
    </row>
    <row r="52" spans="1:10" outlineLevel="1" collapsed="1">
      <c r="A52" s="146" t="s">
        <v>891</v>
      </c>
      <c r="B52" s="1"/>
      <c r="C52" s="344"/>
      <c r="D52" s="1"/>
      <c r="E52" s="1">
        <f>SUBTOTAL(9,E50:E51)</f>
        <v>203.2</v>
      </c>
      <c r="F52" s="59">
        <f>SUBTOTAL(9,F50:F51)</f>
        <v>0</v>
      </c>
      <c r="G52" s="59">
        <f>SUBTOTAL(9,G50:G51)</f>
        <v>30.316810671517356</v>
      </c>
      <c r="H52" s="59">
        <f>SUBTOTAL(9,H50:H51)</f>
        <v>0</v>
      </c>
      <c r="I52" s="59">
        <f>SUBTOTAL(9,I50:I51)</f>
        <v>30.316810671517356</v>
      </c>
    </row>
    <row r="53" spans="1:10" hidden="1" outlineLevel="2">
      <c r="A53" s="141">
        <v>45962</v>
      </c>
      <c r="B53" s="1" t="s">
        <v>146</v>
      </c>
      <c r="C53" s="344" t="s">
        <v>657</v>
      </c>
      <c r="D53" s="1" t="s">
        <v>897</v>
      </c>
      <c r="E53" s="1">
        <v>102.4</v>
      </c>
      <c r="F53" s="59"/>
      <c r="G53" s="59">
        <v>15.146351622552917</v>
      </c>
      <c r="H53" s="59"/>
      <c r="I53" s="59">
        <f>SUM(F53:H53)</f>
        <v>15.146351622552917</v>
      </c>
    </row>
    <row r="54" spans="1:10" hidden="1" outlineLevel="2">
      <c r="A54" s="141">
        <f>A53</f>
        <v>45962</v>
      </c>
      <c r="B54" s="1" t="s">
        <v>146</v>
      </c>
      <c r="C54" s="344" t="s">
        <v>658</v>
      </c>
      <c r="D54" s="1" t="s">
        <v>897</v>
      </c>
      <c r="E54" s="1">
        <v>31</v>
      </c>
      <c r="F54" s="59"/>
      <c r="G54" s="59">
        <v>15.146351622552917</v>
      </c>
      <c r="H54" s="59"/>
      <c r="I54" s="59">
        <f>SUM(F54:H54)</f>
        <v>15.146351622552917</v>
      </c>
    </row>
    <row r="55" spans="1:10" hidden="1" outlineLevel="2">
      <c r="A55" s="141">
        <f>A54</f>
        <v>45962</v>
      </c>
      <c r="B55" s="1" t="s">
        <v>145</v>
      </c>
      <c r="C55" s="344" t="s">
        <v>659</v>
      </c>
      <c r="D55" s="1" t="s">
        <v>655</v>
      </c>
      <c r="E55" s="1">
        <v>101.9</v>
      </c>
      <c r="F55" s="59"/>
      <c r="G55" s="59">
        <v>15.146351622552917</v>
      </c>
      <c r="H55" s="59"/>
      <c r="I55" s="59">
        <f>SUM(F55:H55)</f>
        <v>15.146351622552917</v>
      </c>
    </row>
    <row r="56" spans="1:10" hidden="1" outlineLevel="2">
      <c r="A56" s="141">
        <f>A55</f>
        <v>45962</v>
      </c>
      <c r="B56" s="1" t="s">
        <v>146</v>
      </c>
      <c r="C56" s="344" t="s">
        <v>660</v>
      </c>
      <c r="D56" s="1" t="s">
        <v>897</v>
      </c>
      <c r="E56" s="1">
        <v>26.2</v>
      </c>
      <c r="F56" s="59"/>
      <c r="G56" s="59">
        <v>15.146351622552917</v>
      </c>
      <c r="H56" s="59"/>
      <c r="I56" s="59">
        <f>SUM(F56:H56)</f>
        <v>15.146351622552917</v>
      </c>
    </row>
    <row r="57" spans="1:10" outlineLevel="1" collapsed="1">
      <c r="A57" s="146" t="s">
        <v>892</v>
      </c>
      <c r="B57" s="1"/>
      <c r="C57" s="344"/>
      <c r="D57" s="1"/>
      <c r="E57" s="1">
        <f>SUBTOTAL(9,E53:E56)</f>
        <v>261.5</v>
      </c>
      <c r="F57" s="59">
        <f>SUBTOTAL(9,F53:F56)</f>
        <v>0</v>
      </c>
      <c r="G57" s="59">
        <f>SUBTOTAL(9,G53:G56)</f>
        <v>60.585406490211668</v>
      </c>
      <c r="H57" s="59">
        <f>SUBTOTAL(9,H53:H56)</f>
        <v>0</v>
      </c>
      <c r="I57" s="59">
        <f>SUBTOTAL(9,I53:I56)</f>
        <v>60.585406490211668</v>
      </c>
    </row>
    <row r="58" spans="1:10" hidden="1" outlineLevel="2">
      <c r="A58" s="146">
        <v>45992</v>
      </c>
      <c r="B58" s="1" t="s">
        <v>110</v>
      </c>
      <c r="C58" s="344" t="s">
        <v>1059</v>
      </c>
      <c r="D58" s="1" t="str">
        <f>VLOOKUP(RIGHT(C58,8),'[6]Export shipment'!B$8:J$1256,9,0)</f>
        <v>FedEx</v>
      </c>
      <c r="E58" s="1">
        <f>VLOOKUP(RIGHT(C58,8),'[6]Export shipment'!B$8:E$1256,4,0)</f>
        <v>63.1</v>
      </c>
      <c r="F58" s="363">
        <v>18.195602729340408</v>
      </c>
      <c r="G58" s="363">
        <v>28.809704321455648</v>
      </c>
      <c r="H58" s="139"/>
      <c r="I58" s="59">
        <f t="shared" ref="I58:I66" si="5">SUM(F58:H58)</f>
        <v>47.005307050796056</v>
      </c>
      <c r="J58" s="20"/>
    </row>
    <row r="59" spans="1:10" hidden="1" outlineLevel="2">
      <c r="A59" s="146">
        <v>45992</v>
      </c>
      <c r="B59" s="1" t="s">
        <v>110</v>
      </c>
      <c r="C59" s="344" t="s">
        <v>1059</v>
      </c>
      <c r="D59" s="1" t="str">
        <f>VLOOKUP(RIGHT(C59,8),'[6]Export shipment'!B$8:J$1256,9,0)</f>
        <v>FedEx</v>
      </c>
      <c r="E59" s="1">
        <f>VLOOKUP(RIGHT(C59,8),'[6]Export shipment'!B$8:E$1256,4,0)</f>
        <v>63.1</v>
      </c>
      <c r="F59" s="363">
        <v>0</v>
      </c>
      <c r="G59" s="363">
        <v>28.809704321455648</v>
      </c>
      <c r="H59" s="139"/>
      <c r="I59" s="59">
        <f t="shared" si="5"/>
        <v>28.809704321455648</v>
      </c>
    </row>
    <row r="60" spans="1:10" hidden="1" outlineLevel="2">
      <c r="A60" s="146">
        <v>45992</v>
      </c>
      <c r="B60" s="1" t="s">
        <v>110</v>
      </c>
      <c r="C60" s="344" t="s">
        <v>1059</v>
      </c>
      <c r="D60" s="1" t="str">
        <f>VLOOKUP(RIGHT(C60,8),'[6]Export shipment'!B$8:J$1256,9,0)</f>
        <v>FedEx</v>
      </c>
      <c r="E60" s="1">
        <f>VLOOKUP(RIGHT(C60,8),'[6]Export shipment'!B$8:E$1256,4,0)</f>
        <v>63.1</v>
      </c>
      <c r="F60" s="363">
        <v>0</v>
      </c>
      <c r="G60" s="363">
        <v>28.809704321455648</v>
      </c>
      <c r="H60" s="139"/>
      <c r="I60" s="59">
        <f t="shared" si="5"/>
        <v>28.809704321455648</v>
      </c>
    </row>
    <row r="61" spans="1:10" hidden="1" outlineLevel="2">
      <c r="A61" s="146">
        <v>45992</v>
      </c>
      <c r="B61" s="1" t="s">
        <v>82</v>
      </c>
      <c r="C61" s="344" t="s">
        <v>1078</v>
      </c>
      <c r="D61" s="1" t="str">
        <f>VLOOKUP(RIGHT(C61,8),'[6]Export shipment'!B$8:J$1256,9,0)</f>
        <v>DHL</v>
      </c>
      <c r="E61" s="1">
        <f>VLOOKUP(RIGHT(C61,8),'[6]Export shipment'!B$8:E$1256,4,0)</f>
        <v>70.5</v>
      </c>
      <c r="F61" s="363">
        <v>0</v>
      </c>
      <c r="G61" s="363">
        <v>15.16300227445034</v>
      </c>
      <c r="H61" s="139"/>
      <c r="I61" s="59">
        <f t="shared" si="5"/>
        <v>15.16300227445034</v>
      </c>
    </row>
    <row r="62" spans="1:10" hidden="1" outlineLevel="2">
      <c r="A62" s="146">
        <v>45992</v>
      </c>
      <c r="B62" s="1" t="s">
        <v>82</v>
      </c>
      <c r="C62" s="344" t="s">
        <v>1094</v>
      </c>
      <c r="D62" s="1" t="str">
        <f>VLOOKUP(RIGHT(C62,8),'[6]Export shipment'!B$8:J$1256,9,0)</f>
        <v>FedEx</v>
      </c>
      <c r="E62" s="1">
        <f>VLOOKUP(RIGHT(C62,8),'[6]Export shipment'!B$8:E$1256,4,0)</f>
        <v>4.4000000000000004</v>
      </c>
      <c r="F62" s="363">
        <v>0</v>
      </c>
      <c r="G62" s="363">
        <v>24.639878695981803</v>
      </c>
      <c r="H62" s="139"/>
      <c r="I62" s="59">
        <f t="shared" si="5"/>
        <v>24.639878695981803</v>
      </c>
    </row>
    <row r="63" spans="1:10" hidden="1" outlineLevel="2">
      <c r="A63" s="146">
        <v>45992</v>
      </c>
      <c r="B63" s="1" t="s">
        <v>82</v>
      </c>
      <c r="C63" s="344" t="s">
        <v>1094</v>
      </c>
      <c r="D63" s="1" t="str">
        <f>VLOOKUP(RIGHT(C63,8),'[6]Export shipment'!B$8:J$1256,9,0)</f>
        <v>FedEx</v>
      </c>
      <c r="E63" s="1">
        <f>VLOOKUP(RIGHT(C63,8),'[6]Export shipment'!B$8:E$1256,4,0)</f>
        <v>4.4000000000000004</v>
      </c>
      <c r="F63" s="363">
        <v>0</v>
      </c>
      <c r="G63" s="363">
        <v>24.639878695981803</v>
      </c>
      <c r="H63" s="139"/>
      <c r="I63" s="59">
        <f t="shared" si="5"/>
        <v>24.639878695981803</v>
      </c>
    </row>
    <row r="64" spans="1:10" hidden="1" outlineLevel="2">
      <c r="A64" s="146">
        <v>45992</v>
      </c>
      <c r="B64" s="1" t="s">
        <v>82</v>
      </c>
      <c r="C64" s="344" t="s">
        <v>1094</v>
      </c>
      <c r="D64" s="1" t="str">
        <f>VLOOKUP(RIGHT(C64,8),'[6]Export shipment'!B$8:J$1256,9,0)</f>
        <v>FedEx</v>
      </c>
      <c r="E64" s="1">
        <f>VLOOKUP(RIGHT(C64,8),'[6]Export shipment'!B$8:E$1256,4,0)</f>
        <v>4.4000000000000004</v>
      </c>
      <c r="F64" s="363">
        <v>0</v>
      </c>
      <c r="G64" s="363">
        <v>24.639878695981803</v>
      </c>
      <c r="H64" s="139"/>
      <c r="I64" s="59">
        <f t="shared" si="5"/>
        <v>24.639878695981803</v>
      </c>
    </row>
    <row r="65" spans="1:9" hidden="1" outlineLevel="2">
      <c r="A65" s="146">
        <v>45992</v>
      </c>
      <c r="B65" s="1" t="s">
        <v>109</v>
      </c>
      <c r="C65" s="344" t="s">
        <v>1099</v>
      </c>
      <c r="D65" s="1" t="str">
        <f>VLOOKUP(RIGHT(C65,8),'[6]Export shipment'!B$8:J$1256,9,0)</f>
        <v>FedEx</v>
      </c>
      <c r="E65" s="1">
        <f>VLOOKUP(RIGHT(C65,8),'[6]Export shipment'!B$8:E$1256,4,0)</f>
        <v>95</v>
      </c>
      <c r="F65" s="363">
        <v>0</v>
      </c>
      <c r="G65" s="363">
        <v>15.16300227445034</v>
      </c>
      <c r="H65" s="139"/>
      <c r="I65" s="59">
        <f t="shared" si="5"/>
        <v>15.16300227445034</v>
      </c>
    </row>
    <row r="66" spans="1:9" hidden="1" outlineLevel="2">
      <c r="A66" s="146">
        <v>45992</v>
      </c>
      <c r="B66" s="1" t="s">
        <v>942</v>
      </c>
      <c r="C66" s="344" t="s">
        <v>1100</v>
      </c>
      <c r="D66" s="1" t="str">
        <f>VLOOKUP(RIGHT(C66,8),'[6]Export shipment'!B$8:J$1256,9,0)</f>
        <v>DHL</v>
      </c>
      <c r="E66" s="1">
        <f>VLOOKUP(RIGHT(C66,8),'[6]Export shipment'!B$8:E$1256,4,0)</f>
        <v>6</v>
      </c>
      <c r="F66" s="363">
        <v>0</v>
      </c>
      <c r="G66" s="363">
        <v>24.639878695981803</v>
      </c>
      <c r="H66" s="139"/>
      <c r="I66" s="59">
        <f t="shared" si="5"/>
        <v>24.639878695981803</v>
      </c>
    </row>
    <row r="67" spans="1:9" outlineLevel="1" collapsed="1">
      <c r="A67" s="146" t="s">
        <v>1265</v>
      </c>
      <c r="B67" s="1"/>
      <c r="C67" s="344"/>
      <c r="D67" s="1"/>
      <c r="E67" s="1">
        <f>SUBTOTAL(9,E58:E66)</f>
        <v>373.99999999999994</v>
      </c>
      <c r="F67" s="363">
        <f>SUBTOTAL(9,F58:F66)</f>
        <v>18.195602729340408</v>
      </c>
      <c r="G67" s="363">
        <f>SUBTOTAL(9,G58:G66)</f>
        <v>215.31463229719481</v>
      </c>
      <c r="H67" s="139">
        <f>SUBTOTAL(9,H58:H66)</f>
        <v>0</v>
      </c>
      <c r="I67" s="59">
        <f>SUBTOTAL(9,I58:I66)</f>
        <v>233.51023502653521</v>
      </c>
    </row>
    <row r="68" spans="1:9" hidden="1" outlineLevel="2">
      <c r="A68" s="146">
        <v>46023</v>
      </c>
      <c r="B68" s="1" t="s">
        <v>82</v>
      </c>
      <c r="C68" s="344" t="s">
        <v>1342</v>
      </c>
      <c r="D68" s="1" t="str">
        <f>VLOOKUP(RIGHT(C68,8),'[6]Export shipment'!B$8:J$1256,9,0)</f>
        <v>DHL</v>
      </c>
      <c r="E68" s="1">
        <f>VLOOKUP(RIGHT(C68,8),'[6]Export shipment'!B$8:E$1256,4,0)</f>
        <v>135.80000000000001</v>
      </c>
      <c r="F68" s="363">
        <v>0</v>
      </c>
      <c r="G68" s="363">
        <v>15.30221882172915</v>
      </c>
      <c r="H68" s="363">
        <v>0</v>
      </c>
      <c r="I68" s="59">
        <f t="shared" ref="I68:I90" si="6">SUM(F68:H68)</f>
        <v>15.30221882172915</v>
      </c>
    </row>
    <row r="69" spans="1:9" hidden="1" outlineLevel="2">
      <c r="A69" s="146">
        <v>46023</v>
      </c>
      <c r="B69" s="1" t="s">
        <v>82</v>
      </c>
      <c r="C69" s="344" t="s">
        <v>1354</v>
      </c>
      <c r="D69" s="1" t="str">
        <f>VLOOKUP(RIGHT(C69,8),'[6]Export shipment'!B$8:J$1256,9,0)</f>
        <v>DHL</v>
      </c>
      <c r="E69" s="1">
        <f>VLOOKUP(RIGHT(C69,8),'[6]Export shipment'!B$8:E$1256,4,0)</f>
        <v>76.8</v>
      </c>
      <c r="F69" s="363">
        <v>0</v>
      </c>
      <c r="G69" s="363">
        <v>15.30221882172915</v>
      </c>
      <c r="H69" s="363">
        <v>0</v>
      </c>
      <c r="I69" s="59">
        <f t="shared" si="6"/>
        <v>15.30221882172915</v>
      </c>
    </row>
    <row r="70" spans="1:9" hidden="1" outlineLevel="2">
      <c r="A70" s="146">
        <v>46023</v>
      </c>
      <c r="B70" s="1" t="s">
        <v>109</v>
      </c>
      <c r="C70" s="344" t="s">
        <v>1359</v>
      </c>
      <c r="D70" s="1" t="str">
        <f>VLOOKUP(RIGHT(C70,8),'[2]Export shipment'!B$8:J$1256,9,0)</f>
        <v>FedEx</v>
      </c>
      <c r="E70" s="1">
        <f>VLOOKUP(RIGHT(C70,8),'[2]Export shipment'!B$8:E$1256,4,0)</f>
        <v>95.1</v>
      </c>
      <c r="F70" s="363">
        <v>0</v>
      </c>
      <c r="G70" s="363">
        <v>15.30221882172915</v>
      </c>
      <c r="H70" s="363">
        <v>0</v>
      </c>
      <c r="I70" s="59">
        <f t="shared" si="6"/>
        <v>15.30221882172915</v>
      </c>
    </row>
    <row r="71" spans="1:9" hidden="1" outlineLevel="2">
      <c r="A71" s="146">
        <v>46023</v>
      </c>
      <c r="B71" s="1" t="s">
        <v>82</v>
      </c>
      <c r="C71" s="344" t="s">
        <v>1375</v>
      </c>
      <c r="D71" s="1" t="str">
        <f>VLOOKUP(RIGHT(C71,8),'[2]Export shipment'!B$8:J$1256,9,0)</f>
        <v>DHL</v>
      </c>
      <c r="E71" s="1">
        <f>VLOOKUP(RIGHT(C71,8),'[2]Export shipment'!B$8:E$1256,4,0)</f>
        <v>85</v>
      </c>
      <c r="F71" s="363">
        <v>0</v>
      </c>
      <c r="G71" s="363">
        <v>15.30221882172915</v>
      </c>
      <c r="H71" s="363">
        <v>0</v>
      </c>
      <c r="I71" s="59">
        <f t="shared" si="6"/>
        <v>15.30221882172915</v>
      </c>
    </row>
    <row r="72" spans="1:9" hidden="1" outlineLevel="2">
      <c r="A72" s="146">
        <v>46023</v>
      </c>
      <c r="B72" s="1" t="s">
        <v>1388</v>
      </c>
      <c r="C72" s="344" t="s">
        <v>1387</v>
      </c>
      <c r="D72" s="1" t="str">
        <f>VLOOKUP(RIGHT(C72,8),'[2]Export shipment'!B$8:J$1256,9,0)</f>
        <v>DHL</v>
      </c>
      <c r="E72" s="1">
        <f>VLOOKUP(RIGHT(C72,8),'[2]Export shipment'!B$8:E$1256,4,0)</f>
        <v>0.6</v>
      </c>
      <c r="F72" s="363">
        <v>18.362662586074983</v>
      </c>
      <c r="G72" s="363">
        <v>24.866105585309871</v>
      </c>
      <c r="H72" s="363">
        <v>0</v>
      </c>
      <c r="I72" s="59">
        <f t="shared" si="6"/>
        <v>43.228768171384857</v>
      </c>
    </row>
    <row r="73" spans="1:9" hidden="1" outlineLevel="2">
      <c r="A73" s="146">
        <v>46023</v>
      </c>
      <c r="B73" s="1" t="s">
        <v>82</v>
      </c>
      <c r="C73" s="344" t="s">
        <v>1391</v>
      </c>
      <c r="D73" s="1" t="str">
        <f>VLOOKUP(RIGHT(C73,8),'[2]Export shipment'!B$8:J$1256,9,0)</f>
        <v>DHL</v>
      </c>
      <c r="E73" s="1">
        <f>VLOOKUP(RIGHT(C73,8),'[2]Export shipment'!B$8:E$1256,4,0)</f>
        <v>92.1</v>
      </c>
      <c r="F73" s="363">
        <v>0</v>
      </c>
      <c r="G73" s="363">
        <v>15.30221882172915</v>
      </c>
      <c r="H73" s="363">
        <v>0</v>
      </c>
      <c r="I73" s="59">
        <f t="shared" si="6"/>
        <v>15.30221882172915</v>
      </c>
    </row>
    <row r="74" spans="1:9" hidden="1" outlineLevel="2">
      <c r="A74" s="146">
        <v>46023</v>
      </c>
      <c r="B74" s="1" t="s">
        <v>82</v>
      </c>
      <c r="C74" s="344" t="s">
        <v>1408</v>
      </c>
      <c r="D74" s="1" t="s">
        <v>655</v>
      </c>
      <c r="E74" s="1">
        <v>77.400000000000006</v>
      </c>
      <c r="F74" s="363">
        <v>0</v>
      </c>
      <c r="G74" s="363">
        <v>0</v>
      </c>
      <c r="H74" s="363">
        <v>699.12180566182099</v>
      </c>
      <c r="I74" s="59">
        <f t="shared" si="6"/>
        <v>699.12180566182099</v>
      </c>
    </row>
    <row r="75" spans="1:9" hidden="1" outlineLevel="2">
      <c r="A75" s="146">
        <v>46023</v>
      </c>
      <c r="B75" s="1" t="s">
        <v>82</v>
      </c>
      <c r="C75" s="344" t="s">
        <v>1409</v>
      </c>
      <c r="D75" s="1" t="s">
        <v>655</v>
      </c>
      <c r="E75" s="1">
        <v>15.6</v>
      </c>
      <c r="F75" s="363">
        <v>0</v>
      </c>
      <c r="G75" s="363">
        <v>0</v>
      </c>
      <c r="H75" s="363">
        <v>174.79062739097168</v>
      </c>
      <c r="I75" s="59">
        <f t="shared" si="6"/>
        <v>174.79062739097168</v>
      </c>
    </row>
    <row r="76" spans="1:9" outlineLevel="1" collapsed="1">
      <c r="A76" s="146" t="s">
        <v>1407</v>
      </c>
      <c r="B76" s="1"/>
      <c r="C76" s="344"/>
      <c r="D76" s="1"/>
      <c r="E76" s="1">
        <f>SUBTOTAL(9,E68:E75)</f>
        <v>578.40000000000009</v>
      </c>
      <c r="F76" s="363">
        <f>SUBTOTAL(9,F68:F75)</f>
        <v>18.362662586074983</v>
      </c>
      <c r="G76" s="363">
        <f>SUBTOTAL(9,G68:G75)</f>
        <v>101.37719969395563</v>
      </c>
      <c r="H76" s="363">
        <f>SUBTOTAL(9,H68:H75)</f>
        <v>873.91243305279272</v>
      </c>
      <c r="I76" s="59">
        <f>SUBTOTAL(9,I68:I75)</f>
        <v>993.65229533282331</v>
      </c>
    </row>
    <row r="77" spans="1:9" hidden="1" outlineLevel="2">
      <c r="A77" s="146">
        <v>46054</v>
      </c>
      <c r="B77" s="144" t="s">
        <v>1520</v>
      </c>
      <c r="C77" s="1" t="s">
        <v>1519</v>
      </c>
      <c r="D77" s="1" t="str">
        <f>VLOOKUP(RIGHT(C77,8),'[2]Export shipment'!B$8:J$1256,9,0)</f>
        <v>FedEx</v>
      </c>
      <c r="E77" s="1">
        <f>VLOOKUP(RIGHT(C77,8),'[2]Export shipment'!B$8:E$1256,4,0)</f>
        <v>1.2</v>
      </c>
      <c r="F77" s="59"/>
      <c r="G77" s="59">
        <v>24.708252556353823</v>
      </c>
      <c r="H77" s="59">
        <v>72.426008286767782</v>
      </c>
      <c r="I77" s="59">
        <f t="shared" si="6"/>
        <v>97.134260843121609</v>
      </c>
    </row>
    <row r="78" spans="1:9" hidden="1" outlineLevel="2">
      <c r="A78" s="146">
        <v>46054</v>
      </c>
      <c r="B78" s="144" t="s">
        <v>82</v>
      </c>
      <c r="C78" s="1" t="s">
        <v>1533</v>
      </c>
      <c r="D78" s="1" t="str">
        <f>VLOOKUP(RIGHT(C78,8),'[2]Export shipment'!B$8:J$1256,9,0)</f>
        <v>DHL</v>
      </c>
      <c r="E78" s="1">
        <f>VLOOKUP(RIGHT(C78,8),'[2]Export shipment'!B$8:E$1256,4,0)</f>
        <v>108.7</v>
      </c>
      <c r="F78" s="59"/>
      <c r="G78" s="59">
        <v>15.205078496217737</v>
      </c>
      <c r="H78" s="59"/>
      <c r="I78" s="59">
        <f t="shared" si="6"/>
        <v>15.205078496217737</v>
      </c>
    </row>
    <row r="79" spans="1:9" outlineLevel="1" collapsed="1">
      <c r="A79" s="146" t="s">
        <v>1609</v>
      </c>
      <c r="B79" s="144"/>
      <c r="C79" s="1"/>
      <c r="D79" s="1"/>
      <c r="E79" s="1">
        <f>SUBTOTAL(9,E77:E78)</f>
        <v>109.9</v>
      </c>
      <c r="F79" s="59">
        <f>SUBTOTAL(9,F77:F78)</f>
        <v>0</v>
      </c>
      <c r="G79" s="59">
        <f>SUBTOTAL(9,G77:G78)</f>
        <v>39.913331052571564</v>
      </c>
      <c r="H79" s="59">
        <f>SUBTOTAL(9,H77:H78)</f>
        <v>72.426008286767782</v>
      </c>
      <c r="I79" s="59">
        <f>SUBTOTAL(9,I77:I78)</f>
        <v>112.33933933933935</v>
      </c>
    </row>
    <row r="80" spans="1:9" hidden="1" outlineLevel="2">
      <c r="A80" s="146">
        <v>46113</v>
      </c>
      <c r="B80" s="144" t="s">
        <v>82</v>
      </c>
      <c r="C80" s="1" t="s">
        <v>1884</v>
      </c>
      <c r="D80" s="1" t="str">
        <f>VLOOKUP(RIGHT(C80,8),'[2]Export shipment'!B$8:J$1256,9,0)</f>
        <v>DHL</v>
      </c>
      <c r="E80" s="1">
        <f>VLOOKUP(RIGHT(C80,8),'[2]Export shipment'!B$8:E$1256,4,0)</f>
        <v>101</v>
      </c>
      <c r="F80" s="59"/>
      <c r="G80" s="59">
        <v>15.170478249326811</v>
      </c>
      <c r="H80" s="59"/>
      <c r="I80" s="59">
        <f t="shared" si="6"/>
        <v>15.170478249326811</v>
      </c>
    </row>
    <row r="81" spans="1:13" hidden="1" outlineLevel="2">
      <c r="A81" s="146">
        <v>46113</v>
      </c>
      <c r="B81" s="144" t="s">
        <v>1388</v>
      </c>
      <c r="C81" s="1" t="s">
        <v>1830</v>
      </c>
      <c r="D81" s="1" t="str">
        <f>VLOOKUP(RIGHT(C81,8),'[2]Export shipment'!B$8:J$1256,9,0)</f>
        <v>DHL</v>
      </c>
      <c r="E81" s="1">
        <f>VLOOKUP(RIGHT(C81,8),'[2]Export shipment'!B$8:E$1256,4,0)</f>
        <v>12</v>
      </c>
      <c r="F81" s="59"/>
      <c r="G81" s="59">
        <v>42.856601054348239</v>
      </c>
      <c r="H81" s="59"/>
      <c r="I81" s="59">
        <f t="shared" si="6"/>
        <v>42.856601054348239</v>
      </c>
    </row>
    <row r="82" spans="1:13" outlineLevel="1" collapsed="1">
      <c r="A82" s="146" t="s">
        <v>1885</v>
      </c>
      <c r="B82" s="144"/>
      <c r="C82" s="1"/>
      <c r="D82" s="1"/>
      <c r="E82" s="1">
        <f>SUBTOTAL(9,E80:E81)</f>
        <v>113</v>
      </c>
      <c r="F82" s="59">
        <f>SUBTOTAL(9,F80:F81)</f>
        <v>0</v>
      </c>
      <c r="G82" s="59">
        <f>SUBTOTAL(9,G80:G81)</f>
        <v>58.027079303675052</v>
      </c>
      <c r="H82" s="59">
        <f>SUBTOTAL(9,H80:H81)</f>
        <v>0</v>
      </c>
      <c r="I82" s="59">
        <f>SUBTOTAL(9,I80:I81)</f>
        <v>58.027079303675052</v>
      </c>
    </row>
    <row r="83" spans="1:13" hidden="1" outlineLevel="2">
      <c r="A83" s="146">
        <v>46143</v>
      </c>
      <c r="B83" s="144" t="s">
        <v>82</v>
      </c>
      <c r="C83" s="1" t="s">
        <v>2094</v>
      </c>
      <c r="D83" s="1" t="str">
        <f>VLOOKUP(RIGHT(C83,8),'[2]Export shipment'!B$8:J$1256,9,0)</f>
        <v>DHL</v>
      </c>
      <c r="E83" s="1">
        <f>VLOOKUP(RIGHT(C83,8),'[2]Export shipment'!B$8:E$1256,4,0)</f>
        <v>137.6</v>
      </c>
      <c r="F83" s="59"/>
      <c r="G83" s="59">
        <v>15.149219815179519</v>
      </c>
      <c r="H83" s="59"/>
      <c r="I83" s="59">
        <f t="shared" si="6"/>
        <v>15.149219815179519</v>
      </c>
    </row>
    <row r="84" spans="1:13" outlineLevel="1" collapsed="1">
      <c r="A84" s="146" t="s">
        <v>2095</v>
      </c>
      <c r="B84" s="144"/>
      <c r="C84" s="1"/>
      <c r="D84" s="1"/>
      <c r="E84" s="1">
        <f>SUBTOTAL(9,E83:E83)</f>
        <v>137.6</v>
      </c>
      <c r="F84" s="59">
        <f>SUBTOTAL(9,F83:F83)</f>
        <v>0</v>
      </c>
      <c r="G84" s="59">
        <f>SUBTOTAL(9,G83:G83)</f>
        <v>15.149219815179519</v>
      </c>
      <c r="H84" s="59">
        <f>SUBTOTAL(9,H83:H83)</f>
        <v>0</v>
      </c>
      <c r="I84" s="59">
        <f>SUBTOTAL(9,I83:I83)</f>
        <v>15.149219815179519</v>
      </c>
    </row>
    <row r="85" spans="1:13" outlineLevel="2">
      <c r="A85" s="146">
        <v>46174</v>
      </c>
      <c r="B85" s="144" t="s">
        <v>82</v>
      </c>
      <c r="C85" s="722" t="s">
        <v>3061</v>
      </c>
      <c r="D85" s="1" t="s">
        <v>897</v>
      </c>
      <c r="E85" s="1">
        <v>143.30000000000001</v>
      </c>
      <c r="F85" s="59">
        <v>0</v>
      </c>
      <c r="G85" s="59">
        <v>15.116015418335726</v>
      </c>
      <c r="H85" s="59">
        <v>0</v>
      </c>
      <c r="I85" s="59">
        <f t="shared" si="6"/>
        <v>15.116015418335726</v>
      </c>
    </row>
    <row r="86" spans="1:13" outlineLevel="2">
      <c r="A86" s="146">
        <v>46174</v>
      </c>
      <c r="B86" s="144" t="s">
        <v>82</v>
      </c>
      <c r="C86" s="722" t="s">
        <v>3062</v>
      </c>
      <c r="D86" s="1" t="s">
        <v>897</v>
      </c>
      <c r="E86" s="1">
        <v>6.6</v>
      </c>
      <c r="F86" s="59">
        <v>0</v>
      </c>
      <c r="G86" s="59">
        <v>15.116015418335726</v>
      </c>
      <c r="H86" s="59">
        <v>0</v>
      </c>
      <c r="I86" s="59">
        <f t="shared" si="6"/>
        <v>15.116015418335726</v>
      </c>
    </row>
    <row r="87" spans="1:13" outlineLevel="2">
      <c r="A87" s="146">
        <v>46174</v>
      </c>
      <c r="B87" s="144" t="s">
        <v>82</v>
      </c>
      <c r="C87" s="722" t="s">
        <v>3063</v>
      </c>
      <c r="D87" s="1" t="s">
        <v>897</v>
      </c>
      <c r="E87" s="1">
        <v>8.5</v>
      </c>
      <c r="F87" s="59">
        <v>0</v>
      </c>
      <c r="G87" s="59">
        <v>15.116015418335726</v>
      </c>
      <c r="H87" s="59">
        <v>0</v>
      </c>
      <c r="I87" s="59">
        <f t="shared" si="6"/>
        <v>15.116015418335726</v>
      </c>
    </row>
    <row r="88" spans="1:13" outlineLevel="2">
      <c r="A88" s="146">
        <v>46174</v>
      </c>
      <c r="B88" s="144" t="s">
        <v>2985</v>
      </c>
      <c r="C88" s="722" t="s">
        <v>3064</v>
      </c>
      <c r="D88" s="1" t="s">
        <v>655</v>
      </c>
      <c r="E88" s="1">
        <v>22.2</v>
      </c>
      <c r="F88" s="59">
        <v>0</v>
      </c>
      <c r="G88" s="59">
        <v>15.116015418335726</v>
      </c>
      <c r="H88" s="59">
        <v>0</v>
      </c>
      <c r="I88" s="59">
        <f t="shared" si="6"/>
        <v>15.116015418335726</v>
      </c>
    </row>
    <row r="89" spans="1:13" outlineLevel="2">
      <c r="A89" s="146">
        <v>46174</v>
      </c>
      <c r="B89" s="144" t="s">
        <v>109</v>
      </c>
      <c r="C89" s="722" t="s">
        <v>3065</v>
      </c>
      <c r="D89" s="1" t="s">
        <v>655</v>
      </c>
      <c r="E89" s="1">
        <v>92.5</v>
      </c>
      <c r="F89" s="59">
        <v>0</v>
      </c>
      <c r="G89" s="59">
        <v>15.116015418335726</v>
      </c>
      <c r="H89" s="59">
        <v>0</v>
      </c>
      <c r="I89" s="59">
        <f t="shared" si="6"/>
        <v>15.116015418335726</v>
      </c>
    </row>
    <row r="90" spans="1:13" outlineLevel="2">
      <c r="A90" s="146">
        <v>46174</v>
      </c>
      <c r="B90" s="144" t="s">
        <v>82</v>
      </c>
      <c r="C90" s="722" t="s">
        <v>3066</v>
      </c>
      <c r="D90" s="1" t="s">
        <v>897</v>
      </c>
      <c r="E90" s="1">
        <v>102</v>
      </c>
      <c r="F90" s="59">
        <v>0</v>
      </c>
      <c r="G90" s="59">
        <v>15.116015418335726</v>
      </c>
      <c r="H90" s="59">
        <v>0</v>
      </c>
      <c r="I90" s="59">
        <f t="shared" si="6"/>
        <v>15.116015418335726</v>
      </c>
    </row>
    <row r="91" spans="1:13" outlineLevel="1">
      <c r="A91" s="724" t="s">
        <v>3046</v>
      </c>
      <c r="B91" s="92"/>
      <c r="C91" s="404"/>
      <c r="E91">
        <f>SUBTOTAL(9,E85:E90)</f>
        <v>375.1</v>
      </c>
      <c r="F91" s="82">
        <f>SUBTOTAL(9,F85:F90)</f>
        <v>0</v>
      </c>
      <c r="G91" s="82">
        <f>SUBTOTAL(9,G85:G90)</f>
        <v>90.696092510014353</v>
      </c>
      <c r="H91" s="82">
        <f>SUBTOTAL(9,H85:H90)</f>
        <v>0</v>
      </c>
      <c r="I91" s="82">
        <f>SUBTOTAL(9,I85:I90)</f>
        <v>90.696092510014353</v>
      </c>
    </row>
    <row r="92" spans="1:13">
      <c r="A92" s="724" t="s">
        <v>893</v>
      </c>
      <c r="B92" s="92"/>
      <c r="C92" s="404"/>
      <c r="E92">
        <f>SUBTOTAL(9,E3:E90)</f>
        <v>6692.0000000000018</v>
      </c>
      <c r="F92" s="82">
        <f>SUBTOTAL(9,F3:F90)</f>
        <v>72.921901679051757</v>
      </c>
      <c r="G92" s="82">
        <f>SUBTOTAL(9,G3:G90)</f>
        <v>1445.6018395540698</v>
      </c>
      <c r="H92" s="82">
        <f>SUBTOTAL(9,H3:H90)</f>
        <v>4057.6993083256921</v>
      </c>
      <c r="I92" s="82">
        <f>SUBTOTAL(9,I3:I90)</f>
        <v>5576.223049558811</v>
      </c>
    </row>
    <row r="95" spans="1:13" ht="27" customHeight="1">
      <c r="A95" s="880" t="s">
        <v>882</v>
      </c>
      <c r="B95" s="881"/>
      <c r="C95" s="881"/>
      <c r="D95" s="881"/>
      <c r="E95" s="881"/>
      <c r="F95" s="881"/>
      <c r="G95" s="881"/>
      <c r="H95" s="881"/>
      <c r="I95" s="881"/>
      <c r="J95" s="881"/>
      <c r="K95" s="881"/>
      <c r="L95" s="881"/>
      <c r="M95" s="882"/>
    </row>
    <row r="96" spans="1:13" ht="30">
      <c r="A96" s="351" t="s">
        <v>44</v>
      </c>
      <c r="B96" s="352" t="s">
        <v>41</v>
      </c>
      <c r="C96" s="352" t="s">
        <v>67</v>
      </c>
      <c r="D96" s="352" t="s">
        <v>27</v>
      </c>
      <c r="E96" s="352" t="s">
        <v>896</v>
      </c>
      <c r="F96" s="352" t="s">
        <v>29</v>
      </c>
      <c r="G96" s="352" t="s">
        <v>25</v>
      </c>
      <c r="H96" s="352" t="s">
        <v>26</v>
      </c>
      <c r="I96" s="352" t="s">
        <v>43</v>
      </c>
      <c r="J96" s="352" t="s">
        <v>42</v>
      </c>
      <c r="K96" s="352" t="s">
        <v>30</v>
      </c>
      <c r="L96" s="352" t="s">
        <v>903</v>
      </c>
      <c r="M96" s="353" t="s">
        <v>35</v>
      </c>
    </row>
    <row r="97" spans="1:13" hidden="1" outlineLevel="2">
      <c r="A97" s="338">
        <v>45658</v>
      </c>
      <c r="B97" s="338" t="s">
        <v>31</v>
      </c>
      <c r="C97" s="338" t="s">
        <v>115</v>
      </c>
      <c r="D97" s="354"/>
      <c r="E97" s="355">
        <v>2932</v>
      </c>
      <c r="F97" s="354"/>
      <c r="G97" s="339">
        <f>4500000/25000</f>
        <v>180</v>
      </c>
      <c r="H97" s="339">
        <v>17.2</v>
      </c>
      <c r="I97" s="339">
        <f>29309291/25000</f>
        <v>1172.3716400000001</v>
      </c>
      <c r="J97" s="339">
        <f>150000/25000</f>
        <v>6</v>
      </c>
      <c r="K97" s="339">
        <f>(1022120+3079600)/25000</f>
        <v>164.06880000000001</v>
      </c>
      <c r="L97" s="339"/>
      <c r="M97" s="356">
        <f>SUM(G97:L97)</f>
        <v>1539.6404400000001</v>
      </c>
    </row>
    <row r="98" spans="1:13" hidden="1" outlineLevel="2">
      <c r="A98" s="338">
        <f>A97</f>
        <v>45658</v>
      </c>
      <c r="B98" s="357" t="s">
        <v>83</v>
      </c>
      <c r="C98" s="358" t="s">
        <v>125</v>
      </c>
      <c r="D98" s="354"/>
      <c r="E98" s="355">
        <v>381.02</v>
      </c>
      <c r="F98" s="359">
        <v>0.97</v>
      </c>
      <c r="G98" s="339"/>
      <c r="H98" s="339">
        <v>17.2</v>
      </c>
      <c r="I98" s="339">
        <f>11885400/25000</f>
        <v>475.416</v>
      </c>
      <c r="J98" s="339"/>
      <c r="K98" s="339">
        <f>918000/25000</f>
        <v>36.72</v>
      </c>
      <c r="L98" s="339"/>
      <c r="M98" s="356">
        <f>SUM(G98:L98)</f>
        <v>529.33600000000001</v>
      </c>
    </row>
    <row r="99" spans="1:13" outlineLevel="1" collapsed="1">
      <c r="A99" s="727" t="s">
        <v>883</v>
      </c>
      <c r="B99" s="357"/>
      <c r="C99" s="358"/>
      <c r="D99" s="354"/>
      <c r="E99" s="355">
        <f t="shared" ref="E99:M99" si="7">SUBTOTAL(9,E97:E98)</f>
        <v>3313.02</v>
      </c>
      <c r="F99" s="359">
        <f t="shared" si="7"/>
        <v>0.97</v>
      </c>
      <c r="G99" s="339">
        <f t="shared" si="7"/>
        <v>180</v>
      </c>
      <c r="H99" s="339">
        <f t="shared" si="7"/>
        <v>34.4</v>
      </c>
      <c r="I99" s="339">
        <f t="shared" si="7"/>
        <v>1647.78764</v>
      </c>
      <c r="J99" s="339">
        <f t="shared" si="7"/>
        <v>6</v>
      </c>
      <c r="K99" s="339">
        <f t="shared" si="7"/>
        <v>200.78880000000001</v>
      </c>
      <c r="L99" s="339">
        <f t="shared" si="7"/>
        <v>0</v>
      </c>
      <c r="M99" s="356">
        <f t="shared" si="7"/>
        <v>2068.9764400000004</v>
      </c>
    </row>
    <row r="100" spans="1:13" hidden="1" outlineLevel="2">
      <c r="A100" s="141">
        <v>45689</v>
      </c>
      <c r="B100" s="143" t="s">
        <v>83</v>
      </c>
      <c r="C100" s="347">
        <v>714497058818</v>
      </c>
      <c r="D100" s="341" t="str">
        <f>VLOOKUP(C100,'[7]EFI import'!C$208:F$242,2,0)</f>
        <v>Fedex</v>
      </c>
      <c r="E100" s="366">
        <v>19.100000000000001</v>
      </c>
      <c r="F100" s="348"/>
      <c r="G100" s="59"/>
      <c r="H100" s="59">
        <v>17.2</v>
      </c>
      <c r="I100" s="59">
        <f>1468935/25000</f>
        <v>58.757399999999997</v>
      </c>
      <c r="J100" s="59"/>
      <c r="K100" s="59"/>
      <c r="L100" s="59"/>
      <c r="M100" s="365">
        <f>SUM(G100:L100)</f>
        <v>75.957399999999993</v>
      </c>
    </row>
    <row r="101" spans="1:13" hidden="1" outlineLevel="2">
      <c r="A101" s="141">
        <f t="shared" ref="A101:A102" si="8">A100</f>
        <v>45689</v>
      </c>
      <c r="B101" s="144" t="s">
        <v>108</v>
      </c>
      <c r="C101" s="344" t="s">
        <v>131</v>
      </c>
      <c r="D101" s="341" t="str">
        <f>VLOOKUP(C101,'[7]EFI import'!C$208:F$242,2,0)</f>
        <v>VVMV</v>
      </c>
      <c r="E101" s="367">
        <v>360</v>
      </c>
      <c r="F101" s="345">
        <v>3.36</v>
      </c>
      <c r="G101" s="59">
        <f>1700000/25000</f>
        <v>68</v>
      </c>
      <c r="H101" s="59">
        <v>17.2</v>
      </c>
      <c r="I101" s="59">
        <v>570.80352000000005</v>
      </c>
      <c r="J101" s="59"/>
      <c r="K101" s="59">
        <f>1053000/25000</f>
        <v>42.12</v>
      </c>
      <c r="L101" s="59"/>
      <c r="M101" s="365">
        <f>SUM(G101:L101)</f>
        <v>698.1235200000001</v>
      </c>
    </row>
    <row r="102" spans="1:13" hidden="1" outlineLevel="2">
      <c r="A102" s="141">
        <f t="shared" si="8"/>
        <v>45689</v>
      </c>
      <c r="B102" s="144" t="s">
        <v>49</v>
      </c>
      <c r="C102" s="344" t="s">
        <v>132</v>
      </c>
      <c r="D102" s="341" t="str">
        <f>VLOOKUP(C102,'[7]EFI import'!C$208:F$242,2,0)</f>
        <v>VVMV</v>
      </c>
      <c r="E102" s="367">
        <v>348</v>
      </c>
      <c r="F102" s="345">
        <v>4.12</v>
      </c>
      <c r="G102" s="59"/>
      <c r="H102" s="59">
        <v>17.2</v>
      </c>
      <c r="I102" s="59">
        <v>734.47199999999998</v>
      </c>
      <c r="J102" s="59"/>
      <c r="K102" s="59">
        <f>2328480/25000</f>
        <v>93.139200000000002</v>
      </c>
      <c r="L102" s="59"/>
      <c r="M102" s="365">
        <f>SUM(G102:L102)</f>
        <v>844.81119999999999</v>
      </c>
    </row>
    <row r="103" spans="1:13" outlineLevel="1" collapsed="1">
      <c r="A103" s="146" t="s">
        <v>884</v>
      </c>
      <c r="B103" s="144"/>
      <c r="C103" s="344"/>
      <c r="D103" s="341"/>
      <c r="E103" s="367">
        <f t="shared" ref="E103:M103" si="9">SUBTOTAL(9,E100:E102)</f>
        <v>727.1</v>
      </c>
      <c r="F103" s="345">
        <f t="shared" si="9"/>
        <v>7.48</v>
      </c>
      <c r="G103" s="59">
        <f t="shared" si="9"/>
        <v>68</v>
      </c>
      <c r="H103" s="59">
        <f t="shared" si="9"/>
        <v>51.599999999999994</v>
      </c>
      <c r="I103" s="59">
        <f t="shared" si="9"/>
        <v>1364.0329200000001</v>
      </c>
      <c r="J103" s="59">
        <f t="shared" si="9"/>
        <v>0</v>
      </c>
      <c r="K103" s="59">
        <f t="shared" si="9"/>
        <v>135.25919999999999</v>
      </c>
      <c r="L103" s="59">
        <f t="shared" si="9"/>
        <v>0</v>
      </c>
      <c r="M103" s="365">
        <f t="shared" si="9"/>
        <v>1618.89212</v>
      </c>
    </row>
    <row r="104" spans="1:13" hidden="1" outlineLevel="2">
      <c r="A104" s="141">
        <v>45717</v>
      </c>
      <c r="B104" s="144" t="s">
        <v>92</v>
      </c>
      <c r="C104" s="346">
        <v>714497059950</v>
      </c>
      <c r="D104" s="341"/>
      <c r="E104" s="367"/>
      <c r="F104" s="345"/>
      <c r="G104" s="59"/>
      <c r="H104" s="59">
        <v>17.2</v>
      </c>
      <c r="I104" s="59">
        <v>116</v>
      </c>
      <c r="J104" s="59"/>
      <c r="K104" s="59"/>
      <c r="L104" s="59"/>
      <c r="M104" s="365">
        <f>SUM(G104:L104)</f>
        <v>133.19999999999999</v>
      </c>
    </row>
    <row r="105" spans="1:13" hidden="1" outlineLevel="2">
      <c r="A105" s="141">
        <f t="shared" ref="A105:A106" si="10">A104</f>
        <v>45717</v>
      </c>
      <c r="B105" s="144" t="s">
        <v>92</v>
      </c>
      <c r="C105" s="346">
        <v>714497060288</v>
      </c>
      <c r="D105" s="341"/>
      <c r="E105" s="367"/>
      <c r="F105" s="345"/>
      <c r="G105" s="59"/>
      <c r="H105" s="59">
        <v>17.2</v>
      </c>
      <c r="I105" s="59">
        <v>93</v>
      </c>
      <c r="J105" s="59"/>
      <c r="K105" s="59"/>
      <c r="L105" s="59"/>
      <c r="M105" s="365">
        <f>SUM(G105:L105)</f>
        <v>110.2</v>
      </c>
    </row>
    <row r="106" spans="1:13" hidden="1" outlineLevel="2">
      <c r="A106" s="141">
        <f t="shared" si="10"/>
        <v>45717</v>
      </c>
      <c r="B106" s="144" t="s">
        <v>46</v>
      </c>
      <c r="C106" s="346">
        <v>772753251410</v>
      </c>
      <c r="D106" s="341"/>
      <c r="E106" s="367"/>
      <c r="F106" s="345"/>
      <c r="G106" s="59"/>
      <c r="H106" s="59">
        <v>17.2</v>
      </c>
      <c r="I106" s="59">
        <v>16</v>
      </c>
      <c r="J106" s="59"/>
      <c r="K106" s="59"/>
      <c r="L106" s="59"/>
      <c r="M106" s="365">
        <f>SUM(G106:L106)</f>
        <v>33.200000000000003</v>
      </c>
    </row>
    <row r="107" spans="1:13" outlineLevel="1" collapsed="1">
      <c r="A107" s="146" t="s">
        <v>885</v>
      </c>
      <c r="B107" s="144"/>
      <c r="C107" s="346"/>
      <c r="D107" s="341"/>
      <c r="E107" s="367">
        <f t="shared" ref="E107:M107" si="11">SUBTOTAL(9,E104:E106)</f>
        <v>0</v>
      </c>
      <c r="F107" s="345">
        <f t="shared" si="11"/>
        <v>0</v>
      </c>
      <c r="G107" s="59">
        <f t="shared" si="11"/>
        <v>0</v>
      </c>
      <c r="H107" s="59">
        <f t="shared" si="11"/>
        <v>51.599999999999994</v>
      </c>
      <c r="I107" s="59">
        <f t="shared" si="11"/>
        <v>225</v>
      </c>
      <c r="J107" s="59">
        <f t="shared" si="11"/>
        <v>0</v>
      </c>
      <c r="K107" s="59">
        <f t="shared" si="11"/>
        <v>0</v>
      </c>
      <c r="L107" s="59">
        <f t="shared" si="11"/>
        <v>0</v>
      </c>
      <c r="M107" s="365">
        <f t="shared" si="11"/>
        <v>276.59999999999997</v>
      </c>
    </row>
    <row r="108" spans="1:13" hidden="1" outlineLevel="2">
      <c r="A108" s="141">
        <v>45748</v>
      </c>
      <c r="B108" s="144" t="s">
        <v>92</v>
      </c>
      <c r="C108" s="347">
        <v>714497069388</v>
      </c>
      <c r="D108" s="341" t="str">
        <f>VLOOKUP(C108,'[7]EFI import'!C$208:F$242,2,0)</f>
        <v>Fedex</v>
      </c>
      <c r="E108" s="366">
        <v>46</v>
      </c>
      <c r="F108" s="348"/>
      <c r="G108" s="59"/>
      <c r="H108" s="59">
        <v>17.2</v>
      </c>
      <c r="I108" s="59">
        <f>3339647/26140</f>
        <v>127.76002295332823</v>
      </c>
      <c r="J108" s="59"/>
      <c r="K108" s="59"/>
      <c r="L108" s="59"/>
      <c r="M108" s="59">
        <f>SUM(G108:L108)</f>
        <v>144.96002295332823</v>
      </c>
    </row>
    <row r="109" spans="1:13" hidden="1" outlineLevel="2">
      <c r="A109" s="141">
        <f t="shared" ref="A109:A110" si="12">A108</f>
        <v>45748</v>
      </c>
      <c r="B109" s="144" t="s">
        <v>84</v>
      </c>
      <c r="C109" s="347" t="s">
        <v>151</v>
      </c>
      <c r="D109" s="341"/>
      <c r="E109" s="366">
        <v>356</v>
      </c>
      <c r="F109" s="348">
        <v>2.23</v>
      </c>
      <c r="G109" s="59">
        <f>1000000/26140</f>
        <v>38.255547054322875</v>
      </c>
      <c r="H109" s="59">
        <v>17.2</v>
      </c>
      <c r="I109" s="59">
        <f>16425580/26140</f>
        <v>628.36954858454476</v>
      </c>
      <c r="J109" s="59"/>
      <c r="K109" s="59"/>
      <c r="L109" s="59"/>
      <c r="M109" s="59">
        <f>SUM(G109:L109)</f>
        <v>683.82509563886765</v>
      </c>
    </row>
    <row r="110" spans="1:13" hidden="1" outlineLevel="2">
      <c r="A110" s="141">
        <f t="shared" si="12"/>
        <v>45748</v>
      </c>
      <c r="B110" s="144" t="s">
        <v>81</v>
      </c>
      <c r="C110" s="347" t="s">
        <v>152</v>
      </c>
      <c r="D110" s="341"/>
      <c r="E110" s="366">
        <v>1356</v>
      </c>
      <c r="F110" s="348">
        <v>6.26</v>
      </c>
      <c r="G110" s="59">
        <f>1700000/26140</f>
        <v>65.03442999234889</v>
      </c>
      <c r="H110" s="59">
        <v>17.2</v>
      </c>
      <c r="I110" s="59">
        <f>22819326/26140</f>
        <v>872.9657995409334</v>
      </c>
      <c r="J110" s="59"/>
      <c r="K110" s="59"/>
      <c r="L110" s="59"/>
      <c r="M110" s="59">
        <f>SUM(G110:L110)</f>
        <v>955.20022953328225</v>
      </c>
    </row>
    <row r="111" spans="1:13" outlineLevel="1" collapsed="1">
      <c r="A111" s="146" t="s">
        <v>894</v>
      </c>
      <c r="B111" s="144"/>
      <c r="C111" s="347"/>
      <c r="D111" s="341"/>
      <c r="E111" s="366">
        <f t="shared" ref="E111:M111" si="13">SUBTOTAL(9,E108:E110)</f>
        <v>1758</v>
      </c>
      <c r="F111" s="348">
        <f t="shared" si="13"/>
        <v>8.49</v>
      </c>
      <c r="G111" s="59">
        <f t="shared" si="13"/>
        <v>103.28997704667177</v>
      </c>
      <c r="H111" s="59">
        <f t="shared" si="13"/>
        <v>51.599999999999994</v>
      </c>
      <c r="I111" s="59">
        <f t="shared" si="13"/>
        <v>1629.0953710788062</v>
      </c>
      <c r="J111" s="59">
        <f t="shared" si="13"/>
        <v>0</v>
      </c>
      <c r="K111" s="59">
        <f t="shared" si="13"/>
        <v>0</v>
      </c>
      <c r="L111" s="59">
        <f t="shared" si="13"/>
        <v>0</v>
      </c>
      <c r="M111" s="59">
        <f t="shared" si="13"/>
        <v>1783.9853481254781</v>
      </c>
    </row>
    <row r="112" spans="1:13" hidden="1" outlineLevel="2">
      <c r="A112" s="141">
        <v>45778</v>
      </c>
      <c r="B112" s="144" t="s">
        <v>92</v>
      </c>
      <c r="C112" s="346">
        <v>714497072730</v>
      </c>
      <c r="D112" s="341" t="str">
        <f>VLOOKUP(C112,'[7]EFI import'!C$208:F$242,2,0)</f>
        <v>Fedex</v>
      </c>
      <c r="E112" s="367">
        <v>63</v>
      </c>
      <c r="F112" s="345"/>
      <c r="G112" s="59"/>
      <c r="H112" s="59">
        <v>17.2</v>
      </c>
      <c r="I112" s="59">
        <f>4467913/26220</f>
        <v>170.40095347063311</v>
      </c>
      <c r="J112" s="59"/>
      <c r="K112" s="59"/>
      <c r="L112" s="59"/>
      <c r="M112" s="59">
        <f>SUM(G112:L112)</f>
        <v>187.6009534706331</v>
      </c>
    </row>
    <row r="113" spans="1:13" hidden="1" outlineLevel="2">
      <c r="A113" s="141">
        <f t="shared" ref="A113:A114" si="14">A112</f>
        <v>45778</v>
      </c>
      <c r="B113" s="144" t="s">
        <v>92</v>
      </c>
      <c r="C113" s="346">
        <v>461596439942</v>
      </c>
      <c r="D113" s="341" t="str">
        <f>VLOOKUP(C113,'[7]EFI import'!C$208:F$242,2,0)</f>
        <v>Fedex</v>
      </c>
      <c r="E113" s="367">
        <v>145</v>
      </c>
      <c r="F113" s="345"/>
      <c r="G113" s="59"/>
      <c r="H113" s="59">
        <v>17.2</v>
      </c>
      <c r="I113" s="59">
        <f>8196276/26220</f>
        <v>312.59633867276887</v>
      </c>
      <c r="J113" s="59"/>
      <c r="K113" s="59"/>
      <c r="L113" s="59"/>
      <c r="M113" s="59">
        <f>SUM(G113:L113)</f>
        <v>329.79633867276885</v>
      </c>
    </row>
    <row r="114" spans="1:13" ht="30" hidden="1" outlineLevel="2">
      <c r="A114" s="141">
        <f t="shared" si="14"/>
        <v>45778</v>
      </c>
      <c r="B114" s="17" t="s">
        <v>164</v>
      </c>
      <c r="C114" s="11" t="s">
        <v>163</v>
      </c>
      <c r="D114" s="341" t="str">
        <f>VLOOKUP(C114,'[7]EFI import'!C$208:F$242,2,0)</f>
        <v>Dolphin</v>
      </c>
      <c r="E114" s="368">
        <v>1092</v>
      </c>
      <c r="F114" s="349" t="s">
        <v>50</v>
      </c>
      <c r="G114" s="59">
        <f>3800000/26220</f>
        <v>144.92753623188406</v>
      </c>
      <c r="H114" s="59">
        <f>540000/26220</f>
        <v>20.594965675057207</v>
      </c>
      <c r="I114" s="59">
        <f>27379000/26220</f>
        <v>1044.2028985507247</v>
      </c>
      <c r="J114" s="59"/>
      <c r="K114" s="59">
        <f>2393000/26220</f>
        <v>91.266209000762771</v>
      </c>
      <c r="L114" s="59"/>
      <c r="M114" s="7">
        <f>SUM(G114:L114)</f>
        <v>1300.9916094584287</v>
      </c>
    </row>
    <row r="115" spans="1:13" outlineLevel="1" collapsed="1">
      <c r="A115" s="146" t="s">
        <v>886</v>
      </c>
      <c r="B115" s="17"/>
      <c r="C115" s="11"/>
      <c r="D115" s="341"/>
      <c r="E115" s="368">
        <f t="shared" ref="E115:M115" si="15">SUBTOTAL(9,E112:E114)</f>
        <v>1300</v>
      </c>
      <c r="F115" s="349">
        <f t="shared" si="15"/>
        <v>0</v>
      </c>
      <c r="G115" s="59">
        <f t="shared" si="15"/>
        <v>144.92753623188406</v>
      </c>
      <c r="H115" s="59">
        <f t="shared" si="15"/>
        <v>54.994965675057202</v>
      </c>
      <c r="I115" s="59">
        <f t="shared" si="15"/>
        <v>1527.2001906941268</v>
      </c>
      <c r="J115" s="59">
        <f t="shared" si="15"/>
        <v>0</v>
      </c>
      <c r="K115" s="59">
        <f t="shared" si="15"/>
        <v>91.266209000762771</v>
      </c>
      <c r="L115" s="59">
        <f t="shared" si="15"/>
        <v>0</v>
      </c>
      <c r="M115" s="7">
        <f t="shared" si="15"/>
        <v>1818.3889016018306</v>
      </c>
    </row>
    <row r="116" spans="1:13" hidden="1" outlineLevel="2">
      <c r="A116" s="141">
        <v>45833</v>
      </c>
      <c r="B116" s="144" t="s">
        <v>92</v>
      </c>
      <c r="C116" s="347">
        <v>461596441482</v>
      </c>
      <c r="D116" s="341" t="str">
        <f>VLOOKUP(C116,'[7]EFI import'!C$208:F$242,2,0)</f>
        <v>Fedex</v>
      </c>
      <c r="E116" s="366">
        <v>200</v>
      </c>
      <c r="F116" s="348"/>
      <c r="G116" s="59"/>
      <c r="H116" s="59">
        <v>17.2</v>
      </c>
      <c r="I116" s="59">
        <f>12241099/26320</f>
        <v>465.0873480243161</v>
      </c>
      <c r="J116" s="59"/>
      <c r="K116" s="59"/>
      <c r="L116" s="59"/>
      <c r="M116" s="59">
        <f>SUM(G116:L116)</f>
        <v>482.28734802431609</v>
      </c>
    </row>
    <row r="117" spans="1:13" hidden="1" outlineLevel="2">
      <c r="A117" s="141">
        <f t="shared" ref="A117:A119" si="16">A116</f>
        <v>45833</v>
      </c>
      <c r="B117" s="144" t="s">
        <v>92</v>
      </c>
      <c r="C117" s="347">
        <v>461596475984</v>
      </c>
      <c r="D117" s="341" t="str">
        <f>VLOOKUP(C117,'[7]EFI import'!C$208:F$242,2,0)</f>
        <v>Fedex</v>
      </c>
      <c r="E117" s="366">
        <v>16.399999999999999</v>
      </c>
      <c r="F117" s="348"/>
      <c r="G117" s="59"/>
      <c r="H117" s="59">
        <v>17.2</v>
      </c>
      <c r="I117" s="59">
        <f>2247492/26320</f>
        <v>85.391033434650453</v>
      </c>
      <c r="J117" s="59"/>
      <c r="K117" s="59"/>
      <c r="L117" s="59"/>
      <c r="M117" s="59">
        <f>SUM(G117:L117)</f>
        <v>102.59103343465046</v>
      </c>
    </row>
    <row r="118" spans="1:13" hidden="1" outlineLevel="2">
      <c r="A118" s="141">
        <f t="shared" si="16"/>
        <v>45833</v>
      </c>
      <c r="B118" s="144" t="s">
        <v>92</v>
      </c>
      <c r="C118" s="347">
        <v>461596476410</v>
      </c>
      <c r="D118" s="341" t="str">
        <f>VLOOKUP(C118,'[7]EFI import'!C$208:F$242,2,0)</f>
        <v>Fedex</v>
      </c>
      <c r="E118" s="366">
        <v>3.2</v>
      </c>
      <c r="F118" s="348"/>
      <c r="G118" s="59"/>
      <c r="H118" s="59">
        <v>17.2</v>
      </c>
      <c r="I118" s="59">
        <f>653370/26320</f>
        <v>24.824088145896656</v>
      </c>
      <c r="J118" s="59"/>
      <c r="K118" s="59"/>
      <c r="L118" s="59"/>
      <c r="M118" s="59">
        <f>SUM(G118:L118)</f>
        <v>42.024088145896656</v>
      </c>
    </row>
    <row r="119" spans="1:13" hidden="1" outlineLevel="2">
      <c r="A119" s="141">
        <f t="shared" si="16"/>
        <v>45833</v>
      </c>
      <c r="B119" s="144" t="s">
        <v>164</v>
      </c>
      <c r="C119" s="347" t="s">
        <v>173</v>
      </c>
      <c r="D119" s="341" t="str">
        <f>VLOOKUP(C119,'[7]EFI import'!C$208:F$242,2,0)</f>
        <v>Dolphin</v>
      </c>
      <c r="E119" s="366">
        <v>1806</v>
      </c>
      <c r="F119" s="348" t="s">
        <v>174</v>
      </c>
      <c r="G119" s="59">
        <f>3800000/26320</f>
        <v>144.37689969604864</v>
      </c>
      <c r="H119" s="59">
        <f>540000/26320</f>
        <v>20.516717325227962</v>
      </c>
      <c r="I119" s="59">
        <f>27428115/26320</f>
        <v>1042.1016337386018</v>
      </c>
      <c r="J119" s="59"/>
      <c r="K119" s="59">
        <f>2328400/26320</f>
        <v>88.465045592705167</v>
      </c>
      <c r="L119" s="59"/>
      <c r="M119" s="59">
        <f>SUM(G119:L119)</f>
        <v>1295.4602963525836</v>
      </c>
    </row>
    <row r="120" spans="1:13" outlineLevel="1" collapsed="1">
      <c r="A120" s="146" t="s">
        <v>887</v>
      </c>
      <c r="B120" s="144"/>
      <c r="C120" s="347"/>
      <c r="D120" s="341"/>
      <c r="E120" s="366">
        <f t="shared" ref="E120:M120" si="17">SUBTOTAL(9,E116:E119)</f>
        <v>2025.6</v>
      </c>
      <c r="F120" s="348">
        <f t="shared" si="17"/>
        <v>0</v>
      </c>
      <c r="G120" s="59">
        <f t="shared" si="17"/>
        <v>144.37689969604864</v>
      </c>
      <c r="H120" s="59">
        <f t="shared" si="17"/>
        <v>72.116717325227953</v>
      </c>
      <c r="I120" s="59">
        <f t="shared" si="17"/>
        <v>1617.4041033434651</v>
      </c>
      <c r="J120" s="59">
        <f t="shared" si="17"/>
        <v>0</v>
      </c>
      <c r="K120" s="59">
        <f t="shared" si="17"/>
        <v>88.465045592705167</v>
      </c>
      <c r="L120" s="59">
        <f t="shared" si="17"/>
        <v>0</v>
      </c>
      <c r="M120" s="59">
        <f t="shared" si="17"/>
        <v>1922.3627659574468</v>
      </c>
    </row>
    <row r="121" spans="1:13" hidden="1" outlineLevel="2">
      <c r="A121" s="141">
        <v>45863</v>
      </c>
      <c r="B121" s="144" t="s">
        <v>210</v>
      </c>
      <c r="C121" s="347" t="s">
        <v>207</v>
      </c>
      <c r="D121" s="341" t="str">
        <f>VLOOKUP(C121,'[7]EFI import'!C$208:F$242,2,0)</f>
        <v>VVMV</v>
      </c>
      <c r="E121" s="366">
        <v>1356</v>
      </c>
      <c r="F121" s="348" t="s">
        <v>211</v>
      </c>
      <c r="G121" s="59">
        <f>1700000/26400</f>
        <v>64.393939393939391</v>
      </c>
      <c r="H121" s="59">
        <f>400000/26400</f>
        <v>15.151515151515152</v>
      </c>
      <c r="I121" s="59">
        <f>19765188/26400</f>
        <v>748.68136363636359</v>
      </c>
      <c r="J121" s="59"/>
      <c r="K121" s="59">
        <f>3026796/26400</f>
        <v>114.65136363636364</v>
      </c>
      <c r="L121" s="59"/>
      <c r="M121" s="59">
        <f>SUM(G121:L121)</f>
        <v>942.8781818181817</v>
      </c>
    </row>
    <row r="122" spans="1:13" hidden="1" outlineLevel="2">
      <c r="A122" s="141">
        <f t="shared" ref="A122:A124" si="18">A121</f>
        <v>45863</v>
      </c>
      <c r="B122" s="144" t="s">
        <v>46</v>
      </c>
      <c r="C122" s="347" t="s">
        <v>208</v>
      </c>
      <c r="D122" s="341" t="str">
        <f>VLOOKUP(C122,'[7]EFI import'!C$208:F$242,2,0)</f>
        <v>Fedex</v>
      </c>
      <c r="E122" s="366">
        <v>3</v>
      </c>
      <c r="F122" s="348"/>
      <c r="G122" s="59"/>
      <c r="H122" s="59">
        <f t="shared" ref="H122:H123" si="19">400000/26400</f>
        <v>15.151515151515152</v>
      </c>
      <c r="I122" s="59">
        <f>671249/26400</f>
        <v>25.426098484848485</v>
      </c>
      <c r="J122" s="59"/>
      <c r="K122" s="59"/>
      <c r="L122" s="59"/>
      <c r="M122" s="59">
        <f>SUM(G122:L122)</f>
        <v>40.577613636363637</v>
      </c>
    </row>
    <row r="123" spans="1:13" hidden="1" outlineLevel="2">
      <c r="A123" s="141">
        <f t="shared" si="18"/>
        <v>45863</v>
      </c>
      <c r="B123" s="144" t="s">
        <v>83</v>
      </c>
      <c r="C123" s="347" t="s">
        <v>209</v>
      </c>
      <c r="D123" s="341" t="str">
        <f>VLOOKUP(C123,'[7]EFI import'!C$208:F$242,2,0)</f>
        <v>Fedex</v>
      </c>
      <c r="E123" s="366">
        <v>333</v>
      </c>
      <c r="F123" s="348"/>
      <c r="G123" s="59"/>
      <c r="H123" s="59">
        <f t="shared" si="19"/>
        <v>15.151515151515152</v>
      </c>
      <c r="I123" s="59">
        <f>19671231/26400</f>
        <v>745.12238636363634</v>
      </c>
      <c r="J123" s="59"/>
      <c r="K123" s="59"/>
      <c r="L123" s="59"/>
      <c r="M123" s="59">
        <f>SUM(G123:L123)</f>
        <v>760.27390151515146</v>
      </c>
    </row>
    <row r="124" spans="1:13" hidden="1" outlineLevel="2">
      <c r="A124" s="141">
        <f t="shared" si="18"/>
        <v>45863</v>
      </c>
      <c r="B124" s="144" t="s">
        <v>213</v>
      </c>
      <c r="C124" s="347" t="s">
        <v>212</v>
      </c>
      <c r="D124" s="341" t="str">
        <f>VLOOKUP(C124,'[7]EFI import'!C$208:F$242,2,0)</f>
        <v>Dolphin</v>
      </c>
      <c r="E124" s="366">
        <v>2048</v>
      </c>
      <c r="F124" s="348">
        <v>12.3</v>
      </c>
      <c r="G124" s="59">
        <f>3800000/26400</f>
        <v>143.93939393939394</v>
      </c>
      <c r="H124" s="59">
        <f>540000/26400</f>
        <v>20.454545454545453</v>
      </c>
      <c r="I124" s="59">
        <f>27473050/26400</f>
        <v>1040.6458333333333</v>
      </c>
      <c r="J124" s="59"/>
      <c r="K124" s="59">
        <f>2308400/26400</f>
        <v>87.439393939393938</v>
      </c>
      <c r="L124" s="59"/>
      <c r="M124" s="59">
        <f>SUM(G124:L124)</f>
        <v>1292.4791666666665</v>
      </c>
    </row>
    <row r="125" spans="1:13" outlineLevel="1" collapsed="1">
      <c r="A125" s="146" t="s">
        <v>888</v>
      </c>
      <c r="B125" s="144"/>
      <c r="C125" s="347"/>
      <c r="D125" s="341"/>
      <c r="E125" s="366">
        <f t="shared" ref="E125:M125" si="20">SUBTOTAL(9,E121:E124)</f>
        <v>3740</v>
      </c>
      <c r="F125" s="348">
        <f t="shared" si="20"/>
        <v>12.3</v>
      </c>
      <c r="G125" s="59">
        <f t="shared" si="20"/>
        <v>208.33333333333331</v>
      </c>
      <c r="H125" s="59">
        <f t="shared" si="20"/>
        <v>65.909090909090907</v>
      </c>
      <c r="I125" s="59">
        <f t="shared" si="20"/>
        <v>2559.8756818181819</v>
      </c>
      <c r="J125" s="59">
        <f t="shared" si="20"/>
        <v>0</v>
      </c>
      <c r="K125" s="59">
        <f t="shared" si="20"/>
        <v>202.09075757575758</v>
      </c>
      <c r="L125" s="59">
        <f t="shared" si="20"/>
        <v>0</v>
      </c>
      <c r="M125" s="59">
        <f t="shared" si="20"/>
        <v>3036.2088636363633</v>
      </c>
    </row>
    <row r="126" spans="1:13" hidden="1" outlineLevel="2">
      <c r="A126" s="141">
        <v>45870</v>
      </c>
      <c r="B126" s="144" t="s">
        <v>83</v>
      </c>
      <c r="C126" s="347">
        <v>461596521818</v>
      </c>
      <c r="D126" s="341" t="str">
        <f>VLOOKUP(C126,'[7]EFI import'!C$208:F$242,2,0)</f>
        <v>Fedex</v>
      </c>
      <c r="E126" s="366">
        <v>106</v>
      </c>
      <c r="F126" s="348"/>
      <c r="G126" s="59"/>
      <c r="H126" s="59">
        <f>400000/26457</f>
        <v>15.118872132138943</v>
      </c>
      <c r="I126" s="59">
        <f>6281404/26457</f>
        <v>237.41935971576521</v>
      </c>
      <c r="J126" s="59"/>
      <c r="K126" s="59"/>
      <c r="L126" s="59"/>
      <c r="M126" s="59">
        <f>SUM(G126:L126)</f>
        <v>252.53823184790414</v>
      </c>
    </row>
    <row r="127" spans="1:13" hidden="1" outlineLevel="2">
      <c r="A127" s="141">
        <f t="shared" ref="A127:A129" si="21">A126</f>
        <v>45870</v>
      </c>
      <c r="B127" s="144" t="s">
        <v>83</v>
      </c>
      <c r="C127" s="347">
        <v>461596522045</v>
      </c>
      <c r="D127" s="341" t="str">
        <f>VLOOKUP(C127,'[7]EFI import'!C$208:F$242,2,0)</f>
        <v>Fedex</v>
      </c>
      <c r="E127" s="366">
        <v>46</v>
      </c>
      <c r="F127" s="348"/>
      <c r="G127" s="59"/>
      <c r="H127" s="59">
        <f>400000/26457</f>
        <v>15.118872132138943</v>
      </c>
      <c r="I127" s="59">
        <f>3397043/26457</f>
        <v>128.39864686094418</v>
      </c>
      <c r="J127" s="59"/>
      <c r="K127" s="59"/>
      <c r="L127" s="59"/>
      <c r="M127" s="59">
        <f>SUM(G127:L127)</f>
        <v>143.51751899308312</v>
      </c>
    </row>
    <row r="128" spans="1:13" hidden="1" outlineLevel="2">
      <c r="A128" s="141">
        <f t="shared" si="21"/>
        <v>45870</v>
      </c>
      <c r="B128" s="144" t="s">
        <v>164</v>
      </c>
      <c r="C128" s="347" t="s">
        <v>261</v>
      </c>
      <c r="D128" s="341" t="str">
        <f>VLOOKUP(C128,'[7]EFI import'!C$208:F$242,2,0)</f>
        <v>Dolphin</v>
      </c>
      <c r="E128" s="366">
        <v>1960</v>
      </c>
      <c r="F128" s="348">
        <v>17.95</v>
      </c>
      <c r="G128" s="59">
        <f>3800000/26547</f>
        <v>143.14235130146534</v>
      </c>
      <c r="H128" s="59">
        <f>540000/26320</f>
        <v>20.516717325227962</v>
      </c>
      <c r="I128" s="59">
        <v>1038.0325460504012</v>
      </c>
      <c r="J128" s="59"/>
      <c r="K128" s="59">
        <v>90.14954608807021</v>
      </c>
      <c r="L128" s="59"/>
      <c r="M128" s="59">
        <f>SUM(G128:L128)</f>
        <v>1291.8411607651647</v>
      </c>
    </row>
    <row r="129" spans="1:13" hidden="1" outlineLevel="2">
      <c r="A129" s="141">
        <f t="shared" si="21"/>
        <v>45870</v>
      </c>
      <c r="B129" s="144" t="s">
        <v>274</v>
      </c>
      <c r="C129" s="343" t="s">
        <v>273</v>
      </c>
      <c r="D129" s="341" t="str">
        <f>VLOOKUP(C129,'[7]EFI import'!C$208:F$242,2,0)</f>
        <v>VVMV</v>
      </c>
      <c r="E129" s="364">
        <v>360</v>
      </c>
      <c r="F129" s="342">
        <v>3.36</v>
      </c>
      <c r="G129" s="59">
        <f>1550000/26547</f>
        <v>58.387011715071381</v>
      </c>
      <c r="H129" s="59">
        <v>17.2</v>
      </c>
      <c r="I129" s="59">
        <f>16626634.4/26547</f>
        <v>626.30935322258642</v>
      </c>
      <c r="J129" s="59"/>
      <c r="K129" s="59">
        <f>1242000/26547</f>
        <v>46.784947451689455</v>
      </c>
      <c r="L129" s="59"/>
      <c r="M129" s="59">
        <f>SUM(G129:L129)</f>
        <v>748.68131238934734</v>
      </c>
    </row>
    <row r="130" spans="1:13" outlineLevel="1" collapsed="1">
      <c r="A130" s="146" t="s">
        <v>889</v>
      </c>
      <c r="B130" s="144"/>
      <c r="C130" s="343"/>
      <c r="D130" s="341"/>
      <c r="E130" s="364">
        <f t="shared" ref="E130:M130" si="22">SUBTOTAL(9,E126:E129)</f>
        <v>2472</v>
      </c>
      <c r="F130" s="342">
        <f t="shared" si="22"/>
        <v>21.31</v>
      </c>
      <c r="G130" s="59">
        <f t="shared" si="22"/>
        <v>201.52936301653671</v>
      </c>
      <c r="H130" s="59">
        <f t="shared" si="22"/>
        <v>67.954461589505854</v>
      </c>
      <c r="I130" s="59">
        <f t="shared" si="22"/>
        <v>2030.159905849697</v>
      </c>
      <c r="J130" s="59">
        <f t="shared" si="22"/>
        <v>0</v>
      </c>
      <c r="K130" s="59">
        <f t="shared" si="22"/>
        <v>136.93449353975967</v>
      </c>
      <c r="L130" s="59">
        <f t="shared" si="22"/>
        <v>0</v>
      </c>
      <c r="M130" s="59">
        <f t="shared" si="22"/>
        <v>2436.5782239954992</v>
      </c>
    </row>
    <row r="131" spans="1:13" hidden="1" outlineLevel="2">
      <c r="A131" s="141">
        <v>45901</v>
      </c>
      <c r="B131" s="9" t="s">
        <v>92</v>
      </c>
      <c r="C131" s="350">
        <v>461596522295</v>
      </c>
      <c r="D131" s="341" t="str">
        <f>VLOOKUP(C131,'[7]EFI import'!C$208:F$242,2,0)</f>
        <v>Fedex</v>
      </c>
      <c r="E131" s="369">
        <v>33.200000000000003</v>
      </c>
      <c r="F131" s="341"/>
      <c r="G131" s="59"/>
      <c r="H131" s="59">
        <f>400000/26369</f>
        <v>15.169327619553263</v>
      </c>
      <c r="I131" s="59">
        <v>107.06655542493078</v>
      </c>
      <c r="J131" s="59"/>
      <c r="K131" s="59"/>
      <c r="L131" s="59"/>
      <c r="M131" s="41">
        <f>SUM(G131:L131)</f>
        <v>122.23588304448404</v>
      </c>
    </row>
    <row r="132" spans="1:13" hidden="1" outlineLevel="2">
      <c r="A132" s="141">
        <f>A131</f>
        <v>45901</v>
      </c>
      <c r="B132" s="9" t="s">
        <v>92</v>
      </c>
      <c r="C132" s="350">
        <v>461596523637</v>
      </c>
      <c r="D132" s="341" t="str">
        <f>VLOOKUP(C132,'[7]EFI import'!C$208:F$242,2,0)</f>
        <v>Fedex</v>
      </c>
      <c r="E132" s="369">
        <v>32.200000000000003</v>
      </c>
      <c r="F132" s="341"/>
      <c r="G132" s="59"/>
      <c r="H132" s="59">
        <f>400000/26369</f>
        <v>15.169327619553263</v>
      </c>
      <c r="I132" s="59">
        <v>116.58932837801964</v>
      </c>
      <c r="J132" s="59"/>
      <c r="K132" s="59"/>
      <c r="L132" s="59"/>
      <c r="M132" s="41">
        <f>SUM(G132:L132)</f>
        <v>131.7586559975729</v>
      </c>
    </row>
    <row r="133" spans="1:13" outlineLevel="1" collapsed="1">
      <c r="A133" s="146" t="s">
        <v>890</v>
      </c>
      <c r="B133" s="9"/>
      <c r="C133" s="350"/>
      <c r="D133" s="341"/>
      <c r="E133" s="369">
        <f t="shared" ref="E133:M133" si="23">SUBTOTAL(9,E131:E132)</f>
        <v>65.400000000000006</v>
      </c>
      <c r="F133" s="341">
        <f t="shared" si="23"/>
        <v>0</v>
      </c>
      <c r="G133" s="59">
        <f t="shared" si="23"/>
        <v>0</v>
      </c>
      <c r="H133" s="59">
        <f t="shared" si="23"/>
        <v>30.338655239106526</v>
      </c>
      <c r="I133" s="59">
        <f t="shared" si="23"/>
        <v>223.65588380295043</v>
      </c>
      <c r="J133" s="59">
        <f t="shared" si="23"/>
        <v>0</v>
      </c>
      <c r="K133" s="59">
        <f t="shared" si="23"/>
        <v>0</v>
      </c>
      <c r="L133" s="59">
        <f t="shared" si="23"/>
        <v>0</v>
      </c>
      <c r="M133" s="41">
        <f t="shared" si="23"/>
        <v>253.99453904205694</v>
      </c>
    </row>
    <row r="134" spans="1:13" hidden="1" outlineLevel="2">
      <c r="A134" s="142">
        <v>45931</v>
      </c>
      <c r="B134" s="9" t="s">
        <v>92</v>
      </c>
      <c r="C134" s="346">
        <v>461596526371</v>
      </c>
      <c r="D134" s="341" t="str">
        <f>VLOOKUP(C134,'[7]EFI import'!C$208:F$242,2,0)</f>
        <v>Fedex</v>
      </c>
      <c r="E134" s="367">
        <v>3.1</v>
      </c>
      <c r="F134" s="345"/>
      <c r="G134" s="59"/>
      <c r="H134" s="59">
        <f>400000/26388</f>
        <v>15.158405335758678</v>
      </c>
      <c r="I134" s="59">
        <f>694415/26388</f>
        <v>26.315560103077157</v>
      </c>
      <c r="J134" s="59"/>
      <c r="K134" s="59"/>
      <c r="L134" s="59"/>
      <c r="M134" s="41">
        <f>SUM(G134:L134)</f>
        <v>41.473965438835833</v>
      </c>
    </row>
    <row r="135" spans="1:13" outlineLevel="1" collapsed="1">
      <c r="A135" s="147" t="s">
        <v>891</v>
      </c>
      <c r="B135" s="9"/>
      <c r="C135" s="346"/>
      <c r="D135" s="341"/>
      <c r="E135" s="367">
        <f t="shared" ref="E135:M135" si="24">SUBTOTAL(9,E134:E134)</f>
        <v>3.1</v>
      </c>
      <c r="F135" s="345">
        <f t="shared" si="24"/>
        <v>0</v>
      </c>
      <c r="G135" s="59">
        <f t="shared" si="24"/>
        <v>0</v>
      </c>
      <c r="H135" s="59">
        <f t="shared" si="24"/>
        <v>15.158405335758678</v>
      </c>
      <c r="I135" s="59">
        <f t="shared" si="24"/>
        <v>26.315560103077157</v>
      </c>
      <c r="J135" s="59">
        <f t="shared" si="24"/>
        <v>0</v>
      </c>
      <c r="K135" s="59">
        <f t="shared" si="24"/>
        <v>0</v>
      </c>
      <c r="L135" s="59">
        <f t="shared" si="24"/>
        <v>0</v>
      </c>
      <c r="M135" s="41">
        <f t="shared" si="24"/>
        <v>41.473965438835833</v>
      </c>
    </row>
    <row r="136" spans="1:13" hidden="1" outlineLevel="2">
      <c r="A136" s="370">
        <v>45986</v>
      </c>
      <c r="B136" s="144" t="s">
        <v>92</v>
      </c>
      <c r="C136" s="346">
        <v>461596530580</v>
      </c>
      <c r="D136" s="341" t="str">
        <f>VLOOKUP(C136,'[7]EFI import'!C$208:F$242,2,0)</f>
        <v>Fedex</v>
      </c>
      <c r="E136" s="367">
        <v>38</v>
      </c>
      <c r="F136" s="345"/>
      <c r="G136" s="59"/>
      <c r="H136" s="59">
        <f t="shared" ref="H136:H141" si="25">400000/26388</f>
        <v>15.158405335758678</v>
      </c>
      <c r="I136" s="59">
        <v>123.23882009920861</v>
      </c>
      <c r="J136" s="59"/>
      <c r="K136" s="59"/>
      <c r="L136" s="59"/>
      <c r="M136" s="41">
        <f t="shared" ref="M136:M199" si="26">SUM(G136:L136)</f>
        <v>138.39722543496728</v>
      </c>
    </row>
    <row r="137" spans="1:13" hidden="1" outlineLevel="2">
      <c r="A137" s="370">
        <f t="shared" ref="A137:A141" si="27">A136</f>
        <v>45986</v>
      </c>
      <c r="B137" s="144" t="s">
        <v>92</v>
      </c>
      <c r="C137" s="346">
        <v>461596531510</v>
      </c>
      <c r="D137" s="341" t="str">
        <f>VLOOKUP(C137,'[7]EFI import'!C$208:F$242,2,0)</f>
        <v>Fedex</v>
      </c>
      <c r="E137" s="367">
        <v>23.8</v>
      </c>
      <c r="F137" s="345"/>
      <c r="G137" s="59"/>
      <c r="H137" s="59">
        <f t="shared" si="25"/>
        <v>15.158405335758678</v>
      </c>
      <c r="I137" s="59">
        <v>79.692377598545946</v>
      </c>
      <c r="J137" s="59"/>
      <c r="K137" s="59"/>
      <c r="L137" s="59"/>
      <c r="M137" s="41">
        <f t="shared" si="26"/>
        <v>94.850782934304618</v>
      </c>
    </row>
    <row r="138" spans="1:13" hidden="1" outlineLevel="2">
      <c r="A138" s="370">
        <f t="shared" si="27"/>
        <v>45986</v>
      </c>
      <c r="B138" s="144" t="s">
        <v>92</v>
      </c>
      <c r="C138" s="346">
        <v>461596533947</v>
      </c>
      <c r="D138" s="341" t="str">
        <f>VLOOKUP(C138,'[7]EFI import'!C$208:F$242,2,0)</f>
        <v>Fedex</v>
      </c>
      <c r="E138" s="367">
        <v>3.3</v>
      </c>
      <c r="F138" s="345"/>
      <c r="G138" s="59"/>
      <c r="H138" s="59">
        <f t="shared" si="25"/>
        <v>15.158405335758678</v>
      </c>
      <c r="I138" s="59">
        <v>27.11166647733727</v>
      </c>
      <c r="J138" s="59"/>
      <c r="K138" s="59"/>
      <c r="L138" s="59"/>
      <c r="M138" s="41">
        <f t="shared" si="26"/>
        <v>42.270071813095946</v>
      </c>
    </row>
    <row r="139" spans="1:13" hidden="1" outlineLevel="2">
      <c r="A139" s="370">
        <f t="shared" si="27"/>
        <v>45986</v>
      </c>
      <c r="B139" s="144" t="s">
        <v>92</v>
      </c>
      <c r="C139" s="346">
        <v>461596534428</v>
      </c>
      <c r="D139" s="341" t="str">
        <f>VLOOKUP(C139,'[7]EFI import'!C$208:F$242,2,0)</f>
        <v>Fedex</v>
      </c>
      <c r="E139" s="367">
        <v>34.1</v>
      </c>
      <c r="F139" s="345"/>
      <c r="G139" s="59"/>
      <c r="H139" s="59">
        <f t="shared" si="25"/>
        <v>15.158405335758678</v>
      </c>
      <c r="I139" s="59">
        <v>116.88473626415237</v>
      </c>
      <c r="J139" s="59"/>
      <c r="K139" s="59"/>
      <c r="L139" s="59"/>
      <c r="M139" s="41">
        <f t="shared" si="26"/>
        <v>132.04314159991105</v>
      </c>
    </row>
    <row r="140" spans="1:13" hidden="1" outlineLevel="2">
      <c r="A140" s="370">
        <f t="shared" si="27"/>
        <v>45986</v>
      </c>
      <c r="B140" s="144" t="s">
        <v>523</v>
      </c>
      <c r="C140" s="346">
        <v>437723155247</v>
      </c>
      <c r="D140" s="341" t="str">
        <f>VLOOKUP(C140,'[7]EFI import'!C$208:F$242,2,0)</f>
        <v>Fedex</v>
      </c>
      <c r="E140" s="367">
        <v>22.2</v>
      </c>
      <c r="F140" s="345"/>
      <c r="G140" s="59"/>
      <c r="H140" s="59">
        <f t="shared" si="25"/>
        <v>15.158405335758678</v>
      </c>
      <c r="I140" s="59">
        <v>92.470559279033665</v>
      </c>
      <c r="J140" s="59"/>
      <c r="K140" s="59"/>
      <c r="L140" s="59"/>
      <c r="M140" s="41">
        <f t="shared" si="26"/>
        <v>107.62896461479234</v>
      </c>
    </row>
    <row r="141" spans="1:13" hidden="1" outlineLevel="2">
      <c r="A141" s="370">
        <f t="shared" si="27"/>
        <v>45986</v>
      </c>
      <c r="B141" s="144" t="s">
        <v>523</v>
      </c>
      <c r="C141" s="346">
        <v>437723157684</v>
      </c>
      <c r="D141" s="341" t="str">
        <f>VLOOKUP(C141,'[7]EFI import'!C$208:F$242,2,0)</f>
        <v>Fedex</v>
      </c>
      <c r="E141" s="367">
        <v>19.2</v>
      </c>
      <c r="F141" s="345"/>
      <c r="G141" s="59"/>
      <c r="H141" s="59">
        <f t="shared" si="25"/>
        <v>15.158405335758678</v>
      </c>
      <c r="I141" s="59">
        <v>71.008557688666741</v>
      </c>
      <c r="J141" s="59"/>
      <c r="K141" s="59"/>
      <c r="L141" s="59"/>
      <c r="M141" s="41">
        <f t="shared" si="26"/>
        <v>86.166963024425414</v>
      </c>
    </row>
    <row r="142" spans="1:13" outlineLevel="1" collapsed="1">
      <c r="A142" s="371" t="s">
        <v>895</v>
      </c>
      <c r="B142" s="144"/>
      <c r="C142" s="346"/>
      <c r="D142" s="341"/>
      <c r="E142" s="367">
        <f t="shared" ref="E142:M142" si="28">SUBTOTAL(9,E136:E141)</f>
        <v>140.6</v>
      </c>
      <c r="F142" s="345">
        <f t="shared" si="28"/>
        <v>0</v>
      </c>
      <c r="G142" s="59">
        <f t="shared" si="28"/>
        <v>0</v>
      </c>
      <c r="H142" s="59">
        <f t="shared" si="28"/>
        <v>90.950432014552064</v>
      </c>
      <c r="I142" s="59">
        <f t="shared" si="28"/>
        <v>510.40671740694461</v>
      </c>
      <c r="J142" s="59">
        <f t="shared" si="28"/>
        <v>0</v>
      </c>
      <c r="K142" s="59">
        <f t="shared" si="28"/>
        <v>0</v>
      </c>
      <c r="L142" s="59">
        <f t="shared" si="28"/>
        <v>0</v>
      </c>
      <c r="M142" s="41">
        <f t="shared" si="28"/>
        <v>601.35714942149662</v>
      </c>
    </row>
    <row r="143" spans="1:13" hidden="1" outlineLevel="2">
      <c r="A143" s="371">
        <v>46016</v>
      </c>
      <c r="B143" s="144" t="s">
        <v>974</v>
      </c>
      <c r="C143" s="346">
        <v>396271986334</v>
      </c>
      <c r="D143" s="341" t="s">
        <v>45</v>
      </c>
      <c r="E143" s="367">
        <v>2.6</v>
      </c>
      <c r="F143" s="345"/>
      <c r="G143" s="59"/>
      <c r="H143" s="59">
        <v>15.16300227445034</v>
      </c>
      <c r="I143" s="59">
        <v>36.526952236542833</v>
      </c>
      <c r="J143" s="59"/>
      <c r="K143" s="59"/>
      <c r="L143" s="59"/>
      <c r="M143" s="41">
        <f t="shared" si="26"/>
        <v>51.689954510993175</v>
      </c>
    </row>
    <row r="144" spans="1:13" hidden="1" outlineLevel="2">
      <c r="A144" s="371">
        <v>46016</v>
      </c>
      <c r="B144" s="144" t="s">
        <v>974</v>
      </c>
      <c r="C144" s="346">
        <v>396615695721</v>
      </c>
      <c r="D144" s="341" t="s">
        <v>45</v>
      </c>
      <c r="E144" s="367">
        <v>3.1</v>
      </c>
      <c r="F144" s="345"/>
      <c r="G144" s="59"/>
      <c r="H144" s="59">
        <v>15.16300227445034</v>
      </c>
      <c r="I144" s="59">
        <v>38.066944655041695</v>
      </c>
      <c r="J144" s="59"/>
      <c r="K144" s="59"/>
      <c r="L144" s="59"/>
      <c r="M144" s="41">
        <f t="shared" si="26"/>
        <v>53.229946929492037</v>
      </c>
    </row>
    <row r="145" spans="1:13" hidden="1" outlineLevel="2">
      <c r="A145" s="371">
        <v>46016</v>
      </c>
      <c r="B145" s="144" t="s">
        <v>807</v>
      </c>
      <c r="C145" s="346">
        <v>886219949382</v>
      </c>
      <c r="D145" s="341" t="s">
        <v>45</v>
      </c>
      <c r="E145" s="367">
        <v>3.8</v>
      </c>
      <c r="F145" s="345"/>
      <c r="G145" s="59"/>
      <c r="H145" s="59">
        <v>15.16300227445034</v>
      </c>
      <c r="I145" s="59">
        <v>31.387566338134949</v>
      </c>
      <c r="J145" s="59"/>
      <c r="K145" s="59"/>
      <c r="L145" s="59"/>
      <c r="M145" s="41">
        <f t="shared" si="26"/>
        <v>46.550568612585288</v>
      </c>
    </row>
    <row r="146" spans="1:13" hidden="1" outlineLevel="2">
      <c r="A146" s="371">
        <v>46016</v>
      </c>
      <c r="B146" s="144" t="s">
        <v>92</v>
      </c>
      <c r="C146" s="346">
        <v>461596508843</v>
      </c>
      <c r="D146" s="341" t="s">
        <v>45</v>
      </c>
      <c r="E146" s="367">
        <v>25.7</v>
      </c>
      <c r="F146" s="345"/>
      <c r="G146" s="59"/>
      <c r="H146" s="59">
        <v>15.16300227445034</v>
      </c>
      <c r="I146" s="59">
        <v>87.089385898407883</v>
      </c>
      <c r="J146" s="59"/>
      <c r="K146" s="59"/>
      <c r="L146" s="59"/>
      <c r="M146" s="41">
        <f t="shared" si="26"/>
        <v>102.25238817285822</v>
      </c>
    </row>
    <row r="147" spans="1:13" hidden="1" outlineLevel="2">
      <c r="A147" s="371">
        <v>46016</v>
      </c>
      <c r="B147" s="144" t="s">
        <v>804</v>
      </c>
      <c r="C147" s="346">
        <v>395866929707</v>
      </c>
      <c r="D147" s="341" t="s">
        <v>45</v>
      </c>
      <c r="E147" s="367">
        <v>2.8</v>
      </c>
      <c r="F147" s="345"/>
      <c r="G147" s="59"/>
      <c r="H147" s="59">
        <v>15.16300227445034</v>
      </c>
      <c r="I147" s="59">
        <v>27.690674753601215</v>
      </c>
      <c r="J147" s="59"/>
      <c r="K147" s="59"/>
      <c r="L147" s="59"/>
      <c r="M147" s="41">
        <f t="shared" si="26"/>
        <v>42.853677028051557</v>
      </c>
    </row>
    <row r="148" spans="1:13" hidden="1" outlineLevel="2">
      <c r="A148" s="371">
        <v>46016</v>
      </c>
      <c r="B148" s="144" t="s">
        <v>1152</v>
      </c>
      <c r="C148" s="346">
        <v>886625070622</v>
      </c>
      <c r="D148" s="341" t="s">
        <v>45</v>
      </c>
      <c r="E148" s="367">
        <v>91.1</v>
      </c>
      <c r="F148" s="345"/>
      <c r="G148" s="59"/>
      <c r="H148" s="59">
        <v>15.16300227445034</v>
      </c>
      <c r="I148" s="59">
        <v>262.50583775587569</v>
      </c>
      <c r="J148" s="59"/>
      <c r="K148" s="59"/>
      <c r="L148" s="59"/>
      <c r="M148" s="41">
        <f t="shared" si="26"/>
        <v>277.66884003032601</v>
      </c>
    </row>
    <row r="149" spans="1:13" hidden="1" outlineLevel="2">
      <c r="A149" s="371">
        <v>46016</v>
      </c>
      <c r="B149" s="144" t="s">
        <v>46</v>
      </c>
      <c r="C149" s="346">
        <v>886614337554</v>
      </c>
      <c r="D149" s="341" t="s">
        <v>45</v>
      </c>
      <c r="E149" s="367">
        <v>15.9</v>
      </c>
      <c r="F149" s="345"/>
      <c r="G149" s="59"/>
      <c r="H149" s="59">
        <v>15.16300227445034</v>
      </c>
      <c r="I149" s="59">
        <v>59.003866565579983</v>
      </c>
      <c r="J149" s="59"/>
      <c r="K149" s="59"/>
      <c r="L149" s="59"/>
      <c r="M149" s="41">
        <f t="shared" si="26"/>
        <v>74.166868840030318</v>
      </c>
    </row>
    <row r="150" spans="1:13" hidden="1" outlineLevel="2">
      <c r="A150" s="371">
        <v>46016</v>
      </c>
      <c r="B150" s="144" t="s">
        <v>804</v>
      </c>
      <c r="C150" s="346">
        <v>396272529892</v>
      </c>
      <c r="D150" s="341" t="s">
        <v>45</v>
      </c>
      <c r="E150" s="367">
        <v>3.8</v>
      </c>
      <c r="F150" s="345"/>
      <c r="G150" s="59"/>
      <c r="H150" s="59">
        <v>15.16300227445034</v>
      </c>
      <c r="I150" s="59">
        <v>31.506671721000757</v>
      </c>
      <c r="J150" s="59"/>
      <c r="K150" s="59"/>
      <c r="L150" s="59"/>
      <c r="M150" s="41">
        <f t="shared" si="26"/>
        <v>46.669673995451099</v>
      </c>
    </row>
    <row r="151" spans="1:13" hidden="1" outlineLevel="2">
      <c r="A151" s="371">
        <v>46016</v>
      </c>
      <c r="B151" s="144" t="s">
        <v>975</v>
      </c>
      <c r="C151" s="346">
        <v>417969483343</v>
      </c>
      <c r="D151" s="341" t="s">
        <v>45</v>
      </c>
      <c r="E151" s="367">
        <v>3.1</v>
      </c>
      <c r="F151" s="345"/>
      <c r="G151" s="59"/>
      <c r="H151" s="59">
        <v>15.16300227445034</v>
      </c>
      <c r="I151" s="59">
        <v>27.904814253222138</v>
      </c>
      <c r="J151" s="59"/>
      <c r="K151" s="59"/>
      <c r="L151" s="59"/>
      <c r="M151" s="41">
        <f t="shared" si="26"/>
        <v>43.067816527672477</v>
      </c>
    </row>
    <row r="152" spans="1:13" hidden="1" outlineLevel="2">
      <c r="A152" s="371">
        <v>46016</v>
      </c>
      <c r="B152" s="144" t="s">
        <v>46</v>
      </c>
      <c r="C152" s="346">
        <v>886867704026</v>
      </c>
      <c r="D152" s="341" t="s">
        <v>45</v>
      </c>
      <c r="E152" s="367">
        <v>7.3</v>
      </c>
      <c r="F152" s="345"/>
      <c r="G152" s="59"/>
      <c r="H152" s="59">
        <v>15.16300227445034</v>
      </c>
      <c r="I152" s="59">
        <v>43.604738438210767</v>
      </c>
      <c r="J152" s="59"/>
      <c r="K152" s="59"/>
      <c r="L152" s="59"/>
      <c r="M152" s="41">
        <f t="shared" si="26"/>
        <v>58.767740712661109</v>
      </c>
    </row>
    <row r="153" spans="1:13" hidden="1" outlineLevel="2">
      <c r="A153" s="371">
        <v>46016</v>
      </c>
      <c r="B153" s="144" t="s">
        <v>1153</v>
      </c>
      <c r="C153" s="346">
        <v>886996157478</v>
      </c>
      <c r="D153" s="341" t="s">
        <v>45</v>
      </c>
      <c r="E153" s="367">
        <v>70.099999999999994</v>
      </c>
      <c r="F153" s="345"/>
      <c r="G153" s="59"/>
      <c r="H153" s="59">
        <v>15.16300227445034</v>
      </c>
      <c r="I153" s="59">
        <v>264.33779378316905</v>
      </c>
      <c r="J153" s="59"/>
      <c r="K153" s="59"/>
      <c r="L153" s="59"/>
      <c r="M153" s="41">
        <f t="shared" si="26"/>
        <v>279.50079605761937</v>
      </c>
    </row>
    <row r="154" spans="1:13" hidden="1" outlineLevel="2">
      <c r="A154" s="371">
        <v>46016</v>
      </c>
      <c r="B154" s="144" t="s">
        <v>92</v>
      </c>
      <c r="C154" s="346">
        <v>461596508692</v>
      </c>
      <c r="D154" s="341" t="s">
        <v>45</v>
      </c>
      <c r="E154" s="367">
        <v>94.9</v>
      </c>
      <c r="F154" s="345"/>
      <c r="G154" s="59"/>
      <c r="H154" s="59">
        <v>24.639878695981803</v>
      </c>
      <c r="I154" s="59">
        <v>262.42187263078091</v>
      </c>
      <c r="J154" s="59"/>
      <c r="K154" s="59"/>
      <c r="L154" s="59"/>
      <c r="M154" s="41">
        <f t="shared" si="26"/>
        <v>287.0617513267627</v>
      </c>
    </row>
    <row r="155" spans="1:13" hidden="1" outlineLevel="2">
      <c r="A155" s="371">
        <v>46016</v>
      </c>
      <c r="B155" s="144" t="s">
        <v>523</v>
      </c>
      <c r="C155" s="346">
        <v>494686533480</v>
      </c>
      <c r="D155" s="341" t="s">
        <v>45</v>
      </c>
      <c r="E155" s="367">
        <v>28.2</v>
      </c>
      <c r="F155" s="345"/>
      <c r="G155" s="59"/>
      <c r="H155" s="59">
        <v>15.16300227445034</v>
      </c>
      <c r="I155" s="59">
        <v>115.39003032600455</v>
      </c>
      <c r="J155" s="59"/>
      <c r="K155" s="59"/>
      <c r="L155" s="59"/>
      <c r="M155" s="41">
        <f t="shared" si="26"/>
        <v>130.55303260045488</v>
      </c>
    </row>
    <row r="156" spans="1:13" hidden="1" outlineLevel="2">
      <c r="A156" s="371">
        <v>46016</v>
      </c>
      <c r="B156" s="144" t="s">
        <v>979</v>
      </c>
      <c r="C156" s="346">
        <v>4915020281</v>
      </c>
      <c r="D156" s="341" t="s">
        <v>85</v>
      </c>
      <c r="E156" s="367">
        <v>216</v>
      </c>
      <c r="F156" s="345"/>
      <c r="G156" s="59"/>
      <c r="H156" s="59">
        <v>15.16300227445034</v>
      </c>
      <c r="I156" s="59">
        <v>446.15999999999997</v>
      </c>
      <c r="J156" s="59"/>
      <c r="K156" s="59">
        <v>33.332071207659006</v>
      </c>
      <c r="L156" s="59"/>
      <c r="M156" s="41">
        <f t="shared" si="26"/>
        <v>494.65507348210929</v>
      </c>
    </row>
    <row r="157" spans="1:13" outlineLevel="1" collapsed="1">
      <c r="A157" s="371" t="s">
        <v>1314</v>
      </c>
      <c r="B157" s="144"/>
      <c r="C157" s="346"/>
      <c r="D157" s="341"/>
      <c r="E157" s="367">
        <f t="shared" ref="E157:M157" si="29">SUBTOTAL(9,E143:E156)</f>
        <v>568.40000000000009</v>
      </c>
      <c r="F157" s="345">
        <f t="shared" si="29"/>
        <v>0</v>
      </c>
      <c r="G157" s="59">
        <f t="shared" si="29"/>
        <v>0</v>
      </c>
      <c r="H157" s="59">
        <f t="shared" si="29"/>
        <v>221.75890826383625</v>
      </c>
      <c r="I157" s="59">
        <f t="shared" si="29"/>
        <v>1733.5971493555726</v>
      </c>
      <c r="J157" s="59">
        <f t="shared" si="29"/>
        <v>0</v>
      </c>
      <c r="K157" s="59">
        <f t="shared" si="29"/>
        <v>33.332071207659006</v>
      </c>
      <c r="L157" s="59">
        <f t="shared" si="29"/>
        <v>0</v>
      </c>
      <c r="M157" s="41">
        <f t="shared" si="29"/>
        <v>1988.6881288270674</v>
      </c>
    </row>
    <row r="158" spans="1:13" hidden="1" outlineLevel="2">
      <c r="A158" s="146">
        <v>46023</v>
      </c>
      <c r="B158" s="144" t="s">
        <v>47</v>
      </c>
      <c r="C158" s="346">
        <v>461596508394</v>
      </c>
      <c r="D158" s="341" t="s">
        <v>45</v>
      </c>
      <c r="E158" s="367">
        <v>41</v>
      </c>
      <c r="F158" s="345"/>
      <c r="G158" s="59"/>
      <c r="H158" s="59">
        <v>15.30221882172915</v>
      </c>
      <c r="I158" s="59">
        <f>IFERROR(VLOOKUP(C158,'FedEx Import'!$E$2:$R$94,14,0),0)</f>
        <v>0</v>
      </c>
      <c r="J158" s="59"/>
      <c r="K158" s="59"/>
      <c r="L158" s="59"/>
      <c r="M158" s="41">
        <f t="shared" si="26"/>
        <v>15.30221882172915</v>
      </c>
    </row>
    <row r="159" spans="1:13" hidden="1" outlineLevel="2">
      <c r="A159" s="146">
        <v>46023</v>
      </c>
      <c r="B159" s="144" t="s">
        <v>952</v>
      </c>
      <c r="C159" s="346">
        <v>397031114499</v>
      </c>
      <c r="D159" s="341" t="s">
        <v>45</v>
      </c>
      <c r="E159" s="367">
        <v>0.5</v>
      </c>
      <c r="F159" s="345"/>
      <c r="G159" s="59"/>
      <c r="H159" s="59">
        <v>15.30221882172915</v>
      </c>
      <c r="I159" s="59">
        <f>IFERROR(VLOOKUP(C159,'FedEx Import'!$E$2:$R$94,14,0),0)</f>
        <v>0</v>
      </c>
      <c r="J159" s="59"/>
      <c r="K159" s="59"/>
      <c r="L159" s="59"/>
      <c r="M159" s="41">
        <f t="shared" si="26"/>
        <v>15.30221882172915</v>
      </c>
    </row>
    <row r="160" spans="1:13" hidden="1" outlineLevel="2">
      <c r="A160" s="146">
        <v>46023</v>
      </c>
      <c r="B160" s="144" t="s">
        <v>523</v>
      </c>
      <c r="C160" s="346">
        <v>494686536870</v>
      </c>
      <c r="D160" s="341" t="s">
        <v>45</v>
      </c>
      <c r="E160" s="367">
        <v>53</v>
      </c>
      <c r="F160" s="345"/>
      <c r="G160" s="59"/>
      <c r="H160" s="59">
        <v>15.30221882172915</v>
      </c>
      <c r="I160" s="59">
        <f>IFERROR(VLOOKUP(C160,'FedEx Import'!$E$2:$R$94,14,0),0)</f>
        <v>0</v>
      </c>
      <c r="J160" s="59"/>
      <c r="K160" s="59"/>
      <c r="L160" s="59"/>
      <c r="M160" s="41">
        <f t="shared" si="26"/>
        <v>15.30221882172915</v>
      </c>
    </row>
    <row r="161" spans="1:13" hidden="1" outlineLevel="2">
      <c r="A161" s="146">
        <v>46023</v>
      </c>
      <c r="B161" s="144" t="s">
        <v>985</v>
      </c>
      <c r="C161" s="346">
        <v>887406729788</v>
      </c>
      <c r="D161" s="341" t="s">
        <v>45</v>
      </c>
      <c r="E161" s="367">
        <v>0.5</v>
      </c>
      <c r="F161" s="345"/>
      <c r="G161" s="59"/>
      <c r="H161" s="59">
        <v>15.30221882172915</v>
      </c>
      <c r="I161" s="59">
        <f>IFERROR(VLOOKUP(C161,'FedEx Import'!$E$2:$R$94,14,0),0)</f>
        <v>0</v>
      </c>
      <c r="J161" s="59"/>
      <c r="K161" s="59"/>
      <c r="L161" s="59"/>
      <c r="M161" s="41">
        <f t="shared" si="26"/>
        <v>15.30221882172915</v>
      </c>
    </row>
    <row r="162" spans="1:13" hidden="1" outlineLevel="2">
      <c r="A162" s="146">
        <v>46023</v>
      </c>
      <c r="B162" s="144" t="s">
        <v>1322</v>
      </c>
      <c r="C162" s="346">
        <v>495506185900</v>
      </c>
      <c r="D162" s="341" t="s">
        <v>45</v>
      </c>
      <c r="E162" s="367">
        <v>1</v>
      </c>
      <c r="F162" s="345"/>
      <c r="G162" s="59"/>
      <c r="H162" s="59">
        <v>15.30221882172915</v>
      </c>
      <c r="I162" s="59">
        <f>IFERROR(VLOOKUP(C162,'FedEx Import'!$E$2:$R$94,14,0),0)</f>
        <v>0</v>
      </c>
      <c r="J162" s="59"/>
      <c r="K162" s="59"/>
      <c r="L162" s="59"/>
      <c r="M162" s="41">
        <f t="shared" si="26"/>
        <v>15.30221882172915</v>
      </c>
    </row>
    <row r="163" spans="1:13" hidden="1" outlineLevel="2">
      <c r="A163" s="146">
        <v>46023</v>
      </c>
      <c r="B163" s="144" t="s">
        <v>966</v>
      </c>
      <c r="C163" s="346">
        <v>397304122013</v>
      </c>
      <c r="D163" s="341" t="s">
        <v>45</v>
      </c>
      <c r="E163" s="367">
        <v>1</v>
      </c>
      <c r="F163" s="345"/>
      <c r="G163" s="59"/>
      <c r="H163" s="59">
        <v>15.30221882172915</v>
      </c>
      <c r="I163" s="59">
        <f>IFERROR(VLOOKUP(C163,'FedEx Import'!$E$2:$R$94,14,0),0)</f>
        <v>0</v>
      </c>
      <c r="J163" s="59"/>
      <c r="K163" s="59"/>
      <c r="L163" s="59"/>
      <c r="M163" s="41">
        <f t="shared" si="26"/>
        <v>15.30221882172915</v>
      </c>
    </row>
    <row r="164" spans="1:13" hidden="1" outlineLevel="2">
      <c r="A164" s="146">
        <v>46023</v>
      </c>
      <c r="B164" s="144" t="s">
        <v>972</v>
      </c>
      <c r="C164" s="346">
        <v>419341607178</v>
      </c>
      <c r="D164" s="341" t="s">
        <v>45</v>
      </c>
      <c r="E164" s="367">
        <v>0.5</v>
      </c>
      <c r="F164" s="345"/>
      <c r="G164" s="59"/>
      <c r="H164" s="59">
        <v>15.30221882172915</v>
      </c>
      <c r="I164" s="59">
        <f>IFERROR(VLOOKUP(C164,'FedEx Import'!$E$2:$R$94,14,0),0)</f>
        <v>0</v>
      </c>
      <c r="J164" s="59"/>
      <c r="K164" s="59"/>
      <c r="L164" s="59"/>
      <c r="M164" s="41">
        <f t="shared" si="26"/>
        <v>15.30221882172915</v>
      </c>
    </row>
    <row r="165" spans="1:13" hidden="1" outlineLevel="2">
      <c r="A165" s="146">
        <v>46023</v>
      </c>
      <c r="B165" s="144" t="s">
        <v>802</v>
      </c>
      <c r="C165" s="346">
        <v>397467245301</v>
      </c>
      <c r="D165" s="341" t="s">
        <v>45</v>
      </c>
      <c r="E165" s="367">
        <v>3.5</v>
      </c>
      <c r="F165" s="345"/>
      <c r="G165" s="59"/>
      <c r="H165" s="59">
        <v>15.30221882172915</v>
      </c>
      <c r="I165" s="59">
        <f>IFERROR(VLOOKUP(C165,'FedEx Import'!$E$2:$R$94,14,0),0)</f>
        <v>0</v>
      </c>
      <c r="J165" s="59"/>
      <c r="K165" s="59"/>
      <c r="L165" s="59"/>
      <c r="M165" s="41">
        <f t="shared" si="26"/>
        <v>15.30221882172915</v>
      </c>
    </row>
    <row r="166" spans="1:13" hidden="1" outlineLevel="2">
      <c r="A166" s="146">
        <v>46023</v>
      </c>
      <c r="B166" s="144" t="s">
        <v>977</v>
      </c>
      <c r="C166" s="346">
        <v>493891683615</v>
      </c>
      <c r="D166" s="341" t="s">
        <v>45</v>
      </c>
      <c r="E166" s="367">
        <v>2.5</v>
      </c>
      <c r="F166" s="345"/>
      <c r="G166" s="59"/>
      <c r="H166" s="59">
        <v>15.30221882172915</v>
      </c>
      <c r="I166" s="59">
        <f>IFERROR(VLOOKUP(C166,'FedEx Import'!$E$2:$R$94,14,0),0)</f>
        <v>0</v>
      </c>
      <c r="J166" s="59"/>
      <c r="K166" s="59"/>
      <c r="L166" s="59"/>
      <c r="M166" s="41">
        <f t="shared" si="26"/>
        <v>15.30221882172915</v>
      </c>
    </row>
    <row r="167" spans="1:13" hidden="1" outlineLevel="2">
      <c r="A167" s="146">
        <v>46023</v>
      </c>
      <c r="B167" s="144" t="s">
        <v>1327</v>
      </c>
      <c r="C167" s="346">
        <v>887849334827</v>
      </c>
      <c r="D167" s="341" t="s">
        <v>45</v>
      </c>
      <c r="E167" s="367">
        <v>3.5</v>
      </c>
      <c r="F167" s="345"/>
      <c r="G167" s="59"/>
      <c r="H167" s="59">
        <v>15.30221882172915</v>
      </c>
      <c r="I167" s="59">
        <f>IFERROR(VLOOKUP(C167,'FedEx Import'!$E$2:$R$94,14,0),0)</f>
        <v>0</v>
      </c>
      <c r="J167" s="59"/>
      <c r="K167" s="59"/>
      <c r="L167" s="59"/>
      <c r="M167" s="41">
        <f t="shared" si="26"/>
        <v>15.30221882172915</v>
      </c>
    </row>
    <row r="168" spans="1:13" hidden="1" outlineLevel="2">
      <c r="A168" s="146">
        <v>46023</v>
      </c>
      <c r="B168" s="144" t="s">
        <v>972</v>
      </c>
      <c r="C168" s="346">
        <v>419341609571</v>
      </c>
      <c r="D168" s="341" t="s">
        <v>45</v>
      </c>
      <c r="E168" s="367">
        <v>0.5</v>
      </c>
      <c r="F168" s="345"/>
      <c r="G168" s="59"/>
      <c r="H168" s="59">
        <v>15.30221882172915</v>
      </c>
      <c r="I168" s="59">
        <f>IFERROR(VLOOKUP(C168,'FedEx Import'!$E$2:$R$94,14,0),0)</f>
        <v>0</v>
      </c>
      <c r="J168" s="59"/>
      <c r="K168" s="59"/>
      <c r="L168" s="59"/>
      <c r="M168" s="41">
        <f t="shared" si="26"/>
        <v>15.30221882172915</v>
      </c>
    </row>
    <row r="169" spans="1:13" hidden="1" outlineLevel="2">
      <c r="A169" s="146">
        <v>46023</v>
      </c>
      <c r="B169" s="144" t="s">
        <v>1329</v>
      </c>
      <c r="C169" s="346">
        <v>479730290570</v>
      </c>
      <c r="D169" s="341" t="s">
        <v>45</v>
      </c>
      <c r="E169" s="367">
        <v>1.5</v>
      </c>
      <c r="F169" s="345"/>
      <c r="G169" s="59"/>
      <c r="H169" s="59">
        <v>15.30221882172915</v>
      </c>
      <c r="I169" s="59">
        <f>IFERROR(VLOOKUP(C169,'FedEx Import'!$E$2:$R$94,14,0),0)</f>
        <v>0</v>
      </c>
      <c r="J169" s="59"/>
      <c r="K169" s="59"/>
      <c r="L169" s="59"/>
      <c r="M169" s="41">
        <f t="shared" si="26"/>
        <v>15.30221882172915</v>
      </c>
    </row>
    <row r="170" spans="1:13" hidden="1" outlineLevel="2">
      <c r="A170" s="146">
        <v>46023</v>
      </c>
      <c r="B170" s="144" t="s">
        <v>110</v>
      </c>
      <c r="C170" s="346">
        <v>483570641460</v>
      </c>
      <c r="D170" s="341" t="s">
        <v>45</v>
      </c>
      <c r="E170" s="367">
        <v>4.5</v>
      </c>
      <c r="F170" s="345"/>
      <c r="G170" s="59"/>
      <c r="H170" s="59">
        <v>15.30221882172915</v>
      </c>
      <c r="I170" s="59">
        <f>IFERROR(VLOOKUP(C170,'FedEx Import'!$E$2:$R$94,14,0),0)</f>
        <v>0</v>
      </c>
      <c r="J170" s="59"/>
      <c r="K170" s="59"/>
      <c r="L170" s="59"/>
      <c r="M170" s="41">
        <f t="shared" si="26"/>
        <v>15.30221882172915</v>
      </c>
    </row>
    <row r="171" spans="1:13" hidden="1" outlineLevel="2">
      <c r="A171" s="146">
        <v>46023</v>
      </c>
      <c r="B171" s="144" t="s">
        <v>844</v>
      </c>
      <c r="C171" s="346">
        <v>887924843125</v>
      </c>
      <c r="D171" s="341" t="s">
        <v>45</v>
      </c>
      <c r="E171" s="367">
        <v>0.5</v>
      </c>
      <c r="F171" s="345"/>
      <c r="G171" s="59"/>
      <c r="H171" s="59">
        <v>15.30221882172915</v>
      </c>
      <c r="I171" s="59">
        <f>IFERROR(VLOOKUP(C171,'FedEx Import'!$E$2:$R$94,14,0),0)</f>
        <v>0</v>
      </c>
      <c r="J171" s="59"/>
      <c r="K171" s="59"/>
      <c r="L171" s="59"/>
      <c r="M171" s="41">
        <f t="shared" si="26"/>
        <v>15.30221882172915</v>
      </c>
    </row>
    <row r="172" spans="1:13" hidden="1" outlineLevel="2">
      <c r="A172" s="146">
        <v>46023</v>
      </c>
      <c r="B172" s="144" t="s">
        <v>972</v>
      </c>
      <c r="C172" s="346">
        <v>419341611192</v>
      </c>
      <c r="D172" s="341" t="s">
        <v>45</v>
      </c>
      <c r="E172" s="367">
        <v>1.5</v>
      </c>
      <c r="F172" s="345"/>
      <c r="G172" s="59"/>
      <c r="H172" s="59">
        <v>15.30221882172915</v>
      </c>
      <c r="I172" s="59">
        <f>IFERROR(VLOOKUP(C172,'FedEx Import'!$E$2:$R$94,14,0),0)</f>
        <v>0</v>
      </c>
      <c r="J172" s="59"/>
      <c r="K172" s="59"/>
      <c r="L172" s="59"/>
      <c r="M172" s="41">
        <f t="shared" si="26"/>
        <v>15.30221882172915</v>
      </c>
    </row>
    <row r="173" spans="1:13" hidden="1" outlineLevel="2">
      <c r="A173" s="146">
        <v>46023</v>
      </c>
      <c r="B173" s="144" t="s">
        <v>1331</v>
      </c>
      <c r="C173" s="346">
        <v>888079044687</v>
      </c>
      <c r="D173" s="341" t="s">
        <v>45</v>
      </c>
      <c r="E173" s="367">
        <v>2.1</v>
      </c>
      <c r="F173" s="345"/>
      <c r="G173" s="59"/>
      <c r="H173" s="59">
        <v>15.30221882172915</v>
      </c>
      <c r="I173" s="59">
        <f>IFERROR(VLOOKUP(C173,'FedEx Import'!$E$2:$R$94,14,0),0)</f>
        <v>0</v>
      </c>
      <c r="J173" s="59"/>
      <c r="K173" s="59"/>
      <c r="L173" s="59"/>
      <c r="M173" s="41">
        <f t="shared" si="26"/>
        <v>15.30221882172915</v>
      </c>
    </row>
    <row r="174" spans="1:13" hidden="1" outlineLevel="2">
      <c r="A174" s="146">
        <v>46023</v>
      </c>
      <c r="B174" s="144" t="s">
        <v>1322</v>
      </c>
      <c r="C174" s="346">
        <v>495506262176</v>
      </c>
      <c r="D174" s="341" t="s">
        <v>45</v>
      </c>
      <c r="E174" s="367">
        <v>0.9</v>
      </c>
      <c r="F174" s="345"/>
      <c r="G174" s="59"/>
      <c r="H174" s="59">
        <v>15.30221882172915</v>
      </c>
      <c r="I174" s="59">
        <f>IFERROR(VLOOKUP(C174,'FedEx Import'!$E$2:$R$94,14,0),0)</f>
        <v>0</v>
      </c>
      <c r="J174" s="59"/>
      <c r="K174" s="59"/>
      <c r="L174" s="59"/>
      <c r="M174" s="41">
        <f t="shared" si="26"/>
        <v>15.30221882172915</v>
      </c>
    </row>
    <row r="175" spans="1:13" hidden="1" outlineLevel="2">
      <c r="A175" s="146">
        <v>46023</v>
      </c>
      <c r="B175" s="144" t="s">
        <v>524</v>
      </c>
      <c r="C175" s="346">
        <v>472187596370</v>
      </c>
      <c r="D175" s="341" t="s">
        <v>45</v>
      </c>
      <c r="E175" s="367">
        <v>10</v>
      </c>
      <c r="F175" s="345"/>
      <c r="G175" s="59"/>
      <c r="H175" s="59">
        <v>15.30221882172915</v>
      </c>
      <c r="I175" s="59">
        <f>IFERROR(VLOOKUP(C175,'FedEx Import'!$E$2:$R$94,14,0),0)</f>
        <v>0</v>
      </c>
      <c r="J175" s="59"/>
      <c r="K175" s="59"/>
      <c r="L175" s="59"/>
      <c r="M175" s="41">
        <f t="shared" si="26"/>
        <v>15.30221882172915</v>
      </c>
    </row>
    <row r="176" spans="1:13" hidden="1" outlineLevel="2">
      <c r="A176" s="146">
        <v>46023</v>
      </c>
      <c r="B176" s="144" t="s">
        <v>1406</v>
      </c>
      <c r="C176" s="346">
        <v>489800985230</v>
      </c>
      <c r="D176" s="341" t="s">
        <v>45</v>
      </c>
      <c r="E176" s="367">
        <v>0.5</v>
      </c>
      <c r="F176" s="345"/>
      <c r="G176" s="59"/>
      <c r="H176" s="59">
        <v>0</v>
      </c>
      <c r="I176" s="59">
        <v>17.703825554705432</v>
      </c>
      <c r="J176" s="59"/>
      <c r="K176" s="59"/>
      <c r="L176" s="59"/>
      <c r="M176" s="41">
        <f t="shared" si="26"/>
        <v>17.703825554705432</v>
      </c>
    </row>
    <row r="177" spans="1:13" outlineLevel="1" collapsed="1">
      <c r="A177" s="146" t="s">
        <v>1407</v>
      </c>
      <c r="B177" s="602"/>
      <c r="C177" s="346"/>
      <c r="D177" s="341"/>
      <c r="E177" s="367">
        <f t="shared" ref="E177:M177" si="30">SUBTOTAL(9,E158:E176)</f>
        <v>129</v>
      </c>
      <c r="F177" s="345">
        <f t="shared" si="30"/>
        <v>0</v>
      </c>
      <c r="G177" s="59">
        <f t="shared" si="30"/>
        <v>0</v>
      </c>
      <c r="H177" s="59">
        <f t="shared" si="30"/>
        <v>275.43993879112475</v>
      </c>
      <c r="I177" s="59">
        <f t="shared" si="30"/>
        <v>17.703825554705432</v>
      </c>
      <c r="J177" s="59">
        <f t="shared" si="30"/>
        <v>0</v>
      </c>
      <c r="K177" s="59">
        <f t="shared" si="30"/>
        <v>0</v>
      </c>
      <c r="L177" s="59">
        <f t="shared" si="30"/>
        <v>0</v>
      </c>
      <c r="M177" s="41">
        <f t="shared" si="30"/>
        <v>293.14376434583016</v>
      </c>
    </row>
    <row r="178" spans="1:13" hidden="1" outlineLevel="2">
      <c r="A178" s="146">
        <v>46054</v>
      </c>
      <c r="B178" s="602" t="s">
        <v>46</v>
      </c>
      <c r="C178" s="346">
        <v>888111997269</v>
      </c>
      <c r="D178" s="341" t="str">
        <f>VLOOKUP(C178,[1]Material!F:J,5,0)</f>
        <v>Fedex</v>
      </c>
      <c r="E178" s="367">
        <v>1.5</v>
      </c>
      <c r="F178" s="345"/>
      <c r="G178" s="59"/>
      <c r="H178" s="59">
        <v>15.205078496217737</v>
      </c>
      <c r="I178" s="59">
        <v>0</v>
      </c>
      <c r="J178" s="59"/>
      <c r="K178" s="59"/>
      <c r="L178" s="59"/>
      <c r="M178" s="41">
        <f t="shared" si="26"/>
        <v>15.205078496217737</v>
      </c>
    </row>
    <row r="179" spans="1:13" hidden="1" outlineLevel="2">
      <c r="A179" s="146">
        <v>46054</v>
      </c>
      <c r="B179" s="602" t="s">
        <v>805</v>
      </c>
      <c r="C179" s="346">
        <v>888197292583</v>
      </c>
      <c r="D179" s="341" t="str">
        <f>VLOOKUP(C179,[1]Material!F:J,5,0)</f>
        <v>Fedex</v>
      </c>
      <c r="E179" s="367">
        <v>1</v>
      </c>
      <c r="F179" s="345"/>
      <c r="G179" s="59"/>
      <c r="H179" s="59">
        <v>15.205078496217737</v>
      </c>
      <c r="I179" s="59">
        <v>0</v>
      </c>
      <c r="J179" s="59"/>
      <c r="K179" s="59"/>
      <c r="L179" s="59"/>
      <c r="M179" s="41">
        <f t="shared" si="26"/>
        <v>15.205078496217737</v>
      </c>
    </row>
    <row r="180" spans="1:13" hidden="1" outlineLevel="2">
      <c r="A180" s="146">
        <v>46054</v>
      </c>
      <c r="B180" s="602" t="s">
        <v>968</v>
      </c>
      <c r="C180" s="346">
        <v>511560752636</v>
      </c>
      <c r="D180" s="341" t="str">
        <f>VLOOKUP(C180,[1]Material!F:J,5,0)</f>
        <v>Fedex</v>
      </c>
      <c r="E180" s="367">
        <v>2.5</v>
      </c>
      <c r="F180" s="345"/>
      <c r="G180" s="59"/>
      <c r="H180" s="59">
        <v>15.205078496217737</v>
      </c>
      <c r="I180" s="59">
        <v>0</v>
      </c>
      <c r="J180" s="59"/>
      <c r="K180" s="59"/>
      <c r="L180" s="59"/>
      <c r="M180" s="41">
        <f t="shared" si="26"/>
        <v>15.205078496217737</v>
      </c>
    </row>
    <row r="181" spans="1:13" hidden="1" outlineLevel="2">
      <c r="A181" s="146">
        <v>46054</v>
      </c>
      <c r="B181" s="602" t="s">
        <v>1322</v>
      </c>
      <c r="C181" s="346">
        <v>495506290084</v>
      </c>
      <c r="D181" s="341" t="str">
        <f>VLOOKUP(C181,[1]Material!F:J,5,0)</f>
        <v>Fedex</v>
      </c>
      <c r="E181" s="367">
        <v>1</v>
      </c>
      <c r="F181" s="345"/>
      <c r="G181" s="59"/>
      <c r="H181" s="59">
        <v>15.205078496217737</v>
      </c>
      <c r="I181" s="59">
        <v>0</v>
      </c>
      <c r="J181" s="59"/>
      <c r="K181" s="59"/>
      <c r="L181" s="59"/>
      <c r="M181" s="41">
        <f t="shared" si="26"/>
        <v>15.205078496217737</v>
      </c>
    </row>
    <row r="182" spans="1:13" hidden="1" outlineLevel="2">
      <c r="A182" s="146">
        <v>46054</v>
      </c>
      <c r="B182" s="602" t="s">
        <v>1330</v>
      </c>
      <c r="C182" s="346">
        <v>888233917556</v>
      </c>
      <c r="D182" s="341" t="str">
        <f>VLOOKUP(C182,[1]Material!F:J,5,0)</f>
        <v>Fedex</v>
      </c>
      <c r="E182" s="367">
        <v>3.5</v>
      </c>
      <c r="F182" s="345"/>
      <c r="G182" s="59"/>
      <c r="H182" s="59">
        <v>15.205078496217737</v>
      </c>
      <c r="I182" s="59">
        <v>0</v>
      </c>
      <c r="J182" s="59"/>
      <c r="K182" s="59"/>
      <c r="L182" s="59"/>
      <c r="M182" s="41">
        <f t="shared" si="26"/>
        <v>15.205078496217737</v>
      </c>
    </row>
    <row r="183" spans="1:13" hidden="1" outlineLevel="2">
      <c r="A183" s="146">
        <v>46054</v>
      </c>
      <c r="B183" s="602" t="s">
        <v>934</v>
      </c>
      <c r="C183" s="346">
        <v>4104760586</v>
      </c>
      <c r="D183" s="341" t="str">
        <f>VLOOKUP(C183,[1]Material!F:J,5,0)</f>
        <v>DHL</v>
      </c>
      <c r="E183" s="367">
        <v>0.5</v>
      </c>
      <c r="F183" s="345"/>
      <c r="G183" s="59"/>
      <c r="H183" s="59">
        <v>15.205078496217737</v>
      </c>
      <c r="I183" s="59">
        <v>0</v>
      </c>
      <c r="J183" s="59"/>
      <c r="K183" s="59"/>
      <c r="L183" s="59"/>
      <c r="M183" s="41">
        <f t="shared" si="26"/>
        <v>15.205078496217737</v>
      </c>
    </row>
    <row r="184" spans="1:13" hidden="1" outlineLevel="2">
      <c r="A184" s="146">
        <v>46054</v>
      </c>
      <c r="B184" s="602" t="s">
        <v>972</v>
      </c>
      <c r="C184" s="346">
        <v>419341613200</v>
      </c>
      <c r="D184" s="341" t="str">
        <f>VLOOKUP(C184,[1]Material!F:J,5,0)</f>
        <v>Fedex</v>
      </c>
      <c r="E184" s="367">
        <v>3</v>
      </c>
      <c r="F184" s="345"/>
      <c r="G184" s="59"/>
      <c r="H184" s="59">
        <v>15.205078496217737</v>
      </c>
      <c r="I184" s="59">
        <v>0</v>
      </c>
      <c r="J184" s="59"/>
      <c r="K184" s="59"/>
      <c r="L184" s="59"/>
      <c r="M184" s="41">
        <f t="shared" si="26"/>
        <v>15.205078496217737</v>
      </c>
    </row>
    <row r="185" spans="1:13" hidden="1" outlineLevel="2">
      <c r="A185" s="146">
        <v>46054</v>
      </c>
      <c r="B185" s="602" t="s">
        <v>523</v>
      </c>
      <c r="C185" s="346">
        <v>494686560050</v>
      </c>
      <c r="D185" s="341" t="str">
        <f>VLOOKUP(C185,[1]Material!F:J,5,0)</f>
        <v>Fedex</v>
      </c>
      <c r="E185" s="367">
        <v>28</v>
      </c>
      <c r="F185" s="345"/>
      <c r="G185" s="59"/>
      <c r="H185" s="59">
        <v>15.205078496217737</v>
      </c>
      <c r="I185" s="59">
        <v>0</v>
      </c>
      <c r="J185" s="59"/>
      <c r="K185" s="59"/>
      <c r="L185" s="59"/>
      <c r="M185" s="41">
        <f t="shared" si="26"/>
        <v>15.205078496217737</v>
      </c>
    </row>
    <row r="186" spans="1:13" hidden="1" outlineLevel="2">
      <c r="A186" s="146">
        <v>46054</v>
      </c>
      <c r="B186" s="602" t="s">
        <v>1471</v>
      </c>
      <c r="C186" s="346">
        <v>888321125415</v>
      </c>
      <c r="D186" s="341" t="str">
        <f>VLOOKUP(C186,[1]Material!F:J,5,0)</f>
        <v>Fedex</v>
      </c>
      <c r="E186" s="367">
        <v>3.5</v>
      </c>
      <c r="F186" s="345"/>
      <c r="G186" s="59"/>
      <c r="H186" s="59">
        <v>15.205078496217737</v>
      </c>
      <c r="I186" s="59">
        <v>0</v>
      </c>
      <c r="J186" s="59"/>
      <c r="K186" s="59"/>
      <c r="L186" s="59"/>
      <c r="M186" s="41">
        <f t="shared" si="26"/>
        <v>15.205078496217737</v>
      </c>
    </row>
    <row r="187" spans="1:13" hidden="1" outlineLevel="2">
      <c r="A187" s="146">
        <v>46054</v>
      </c>
      <c r="B187" s="602" t="s">
        <v>47</v>
      </c>
      <c r="C187" s="346">
        <v>497354637793</v>
      </c>
      <c r="D187" s="341" t="str">
        <f>VLOOKUP(C187,[1]Material!F:J,5,0)</f>
        <v>Fedex</v>
      </c>
      <c r="E187" s="367">
        <v>27</v>
      </c>
      <c r="F187" s="345"/>
      <c r="G187" s="59"/>
      <c r="H187" s="59">
        <v>15.205078496217737</v>
      </c>
      <c r="I187" s="59">
        <v>0</v>
      </c>
      <c r="J187" s="59"/>
      <c r="K187" s="59"/>
      <c r="L187" s="59"/>
      <c r="M187" s="41">
        <f t="shared" si="26"/>
        <v>15.205078496217737</v>
      </c>
    </row>
    <row r="188" spans="1:13" hidden="1" outlineLevel="2">
      <c r="A188" s="146">
        <v>46054</v>
      </c>
      <c r="B188" s="602" t="s">
        <v>1475</v>
      </c>
      <c r="C188" s="346">
        <v>888381889579</v>
      </c>
      <c r="D188" s="341" t="str">
        <f>VLOOKUP(C188,[1]Material!F:J,5,0)</f>
        <v>Fedex</v>
      </c>
      <c r="E188" s="367">
        <v>0.5</v>
      </c>
      <c r="F188" s="345"/>
      <c r="G188" s="59"/>
      <c r="H188" s="59">
        <v>15.205078496217737</v>
      </c>
      <c r="I188" s="59">
        <v>0</v>
      </c>
      <c r="J188" s="59"/>
      <c r="K188" s="59"/>
      <c r="L188" s="59"/>
      <c r="M188" s="41">
        <f t="shared" si="26"/>
        <v>15.205078496217737</v>
      </c>
    </row>
    <row r="189" spans="1:13" hidden="1" outlineLevel="2">
      <c r="A189" s="146">
        <v>46054</v>
      </c>
      <c r="B189" s="602" t="s">
        <v>1477</v>
      </c>
      <c r="C189" s="346">
        <v>417969485655</v>
      </c>
      <c r="D189" s="341" t="str">
        <f>VLOOKUP(C189,[1]Material!F:J,5,0)</f>
        <v>Fedex</v>
      </c>
      <c r="E189" s="367">
        <v>2</v>
      </c>
      <c r="F189" s="345"/>
      <c r="G189" s="59"/>
      <c r="H189" s="59">
        <v>15.205078496217737</v>
      </c>
      <c r="I189" s="59">
        <v>0</v>
      </c>
      <c r="J189" s="59"/>
      <c r="K189" s="59"/>
      <c r="L189" s="59"/>
      <c r="M189" s="41">
        <f t="shared" si="26"/>
        <v>15.205078496217737</v>
      </c>
    </row>
    <row r="190" spans="1:13" hidden="1" outlineLevel="2">
      <c r="A190" s="146">
        <v>46054</v>
      </c>
      <c r="B190" s="602" t="s">
        <v>810</v>
      </c>
      <c r="C190" s="346">
        <v>510007298677</v>
      </c>
      <c r="D190" s="341" t="str">
        <f>VLOOKUP(C190,[1]Material!F:J,5,0)</f>
        <v>Fedex</v>
      </c>
      <c r="E190" s="367">
        <v>23.5</v>
      </c>
      <c r="F190" s="345"/>
      <c r="G190" s="59"/>
      <c r="H190" s="59">
        <v>15.205078496217737</v>
      </c>
      <c r="I190" s="59">
        <v>0</v>
      </c>
      <c r="J190" s="59"/>
      <c r="K190" s="59"/>
      <c r="L190" s="59"/>
      <c r="M190" s="41">
        <f t="shared" si="26"/>
        <v>15.205078496217737</v>
      </c>
    </row>
    <row r="191" spans="1:13" hidden="1" outlineLevel="2">
      <c r="A191" s="146">
        <v>46054</v>
      </c>
      <c r="B191" s="602" t="s">
        <v>46</v>
      </c>
      <c r="C191" s="346">
        <v>888389416150</v>
      </c>
      <c r="D191" s="341" t="str">
        <f>VLOOKUP(C191,[1]Material!F:J,5,0)</f>
        <v>Fedex</v>
      </c>
      <c r="E191" s="367">
        <v>6</v>
      </c>
      <c r="F191" s="345"/>
      <c r="G191" s="59"/>
      <c r="H191" s="59">
        <v>15.205078496217737</v>
      </c>
      <c r="I191" s="59">
        <v>0</v>
      </c>
      <c r="J191" s="59"/>
      <c r="K191" s="59"/>
      <c r="L191" s="59"/>
      <c r="M191" s="41">
        <f t="shared" si="26"/>
        <v>15.205078496217737</v>
      </c>
    </row>
    <row r="192" spans="1:13" hidden="1" outlineLevel="2">
      <c r="A192" s="146">
        <v>46054</v>
      </c>
      <c r="B192" s="602" t="s">
        <v>819</v>
      </c>
      <c r="C192" s="346">
        <v>469369309982</v>
      </c>
      <c r="D192" s="341" t="str">
        <f>VLOOKUP(C192,[1]Material!F:J,5,0)</f>
        <v>Fedex</v>
      </c>
      <c r="E192" s="367">
        <v>1</v>
      </c>
      <c r="F192" s="345"/>
      <c r="G192" s="59"/>
      <c r="H192" s="59">
        <v>15.205078496217737</v>
      </c>
      <c r="I192" s="59">
        <v>0</v>
      </c>
      <c r="J192" s="59"/>
      <c r="K192" s="59"/>
      <c r="L192" s="59"/>
      <c r="M192" s="41">
        <f t="shared" si="26"/>
        <v>15.205078496217737</v>
      </c>
    </row>
    <row r="193" spans="1:13" hidden="1" outlineLevel="2">
      <c r="A193" s="146">
        <v>46054</v>
      </c>
      <c r="B193" s="602" t="s">
        <v>83</v>
      </c>
      <c r="C193" s="346">
        <v>461596508990</v>
      </c>
      <c r="D193" s="341" t="str">
        <f>VLOOKUP(C193,[1]Material!F:J,5,0)</f>
        <v>Fedex</v>
      </c>
      <c r="E193" s="367">
        <v>116.5</v>
      </c>
      <c r="F193" s="345"/>
      <c r="G193" s="59"/>
      <c r="H193" s="59">
        <v>15.205078496217737</v>
      </c>
      <c r="I193" s="59">
        <v>0</v>
      </c>
      <c r="J193" s="59"/>
      <c r="K193" s="59"/>
      <c r="L193" s="59"/>
      <c r="M193" s="41">
        <f t="shared" si="26"/>
        <v>15.205078496217737</v>
      </c>
    </row>
    <row r="194" spans="1:13" hidden="1" outlineLevel="2">
      <c r="A194" s="146">
        <v>46054</v>
      </c>
      <c r="B194" s="602" t="s">
        <v>972</v>
      </c>
      <c r="C194" s="346">
        <v>419341614950</v>
      </c>
      <c r="D194" s="341" t="str">
        <f>VLOOKUP(C194,[1]Material!F:J,5,0)</f>
        <v>Fedex</v>
      </c>
      <c r="E194" s="367">
        <v>4</v>
      </c>
      <c r="F194" s="345"/>
      <c r="G194" s="59"/>
      <c r="H194" s="59">
        <v>15.205078496217737</v>
      </c>
      <c r="I194" s="59">
        <v>0</v>
      </c>
      <c r="J194" s="59"/>
      <c r="K194" s="59"/>
      <c r="L194" s="59"/>
      <c r="M194" s="41">
        <f t="shared" si="26"/>
        <v>15.205078496217737</v>
      </c>
    </row>
    <row r="195" spans="1:13" hidden="1" outlineLevel="2">
      <c r="A195" s="146">
        <v>46054</v>
      </c>
      <c r="B195" s="602" t="s">
        <v>1330</v>
      </c>
      <c r="C195" s="346">
        <v>888464048544</v>
      </c>
      <c r="D195" s="341" t="str">
        <f>VLOOKUP(C195,[1]Material!F:J,5,0)</f>
        <v>Fedex</v>
      </c>
      <c r="E195" s="367">
        <v>2</v>
      </c>
      <c r="F195" s="345"/>
      <c r="G195" s="59"/>
      <c r="H195" s="59">
        <v>15.205078496217737</v>
      </c>
      <c r="I195" s="59">
        <v>0</v>
      </c>
      <c r="J195" s="59"/>
      <c r="K195" s="59"/>
      <c r="L195" s="59"/>
      <c r="M195" s="41">
        <f t="shared" si="26"/>
        <v>15.205078496217737</v>
      </c>
    </row>
    <row r="196" spans="1:13" hidden="1" outlineLevel="2">
      <c r="A196" s="146">
        <v>46054</v>
      </c>
      <c r="B196" s="602" t="s">
        <v>523</v>
      </c>
      <c r="C196" s="346">
        <v>494686561491</v>
      </c>
      <c r="D196" s="341" t="str">
        <f>VLOOKUP(C196,[1]Material!F:J,5,0)</f>
        <v>Fedex</v>
      </c>
      <c r="E196" s="367">
        <v>28.5</v>
      </c>
      <c r="F196" s="345"/>
      <c r="G196" s="59"/>
      <c r="H196" s="59">
        <v>15.205078496217737</v>
      </c>
      <c r="I196" s="59">
        <v>0</v>
      </c>
      <c r="J196" s="59"/>
      <c r="K196" s="59"/>
      <c r="L196" s="59"/>
      <c r="M196" s="41">
        <f t="shared" si="26"/>
        <v>15.205078496217737</v>
      </c>
    </row>
    <row r="197" spans="1:13" hidden="1" outlineLevel="2">
      <c r="A197" s="146">
        <v>46054</v>
      </c>
      <c r="B197" s="602" t="s">
        <v>1322</v>
      </c>
      <c r="C197" s="346">
        <v>495506321639</v>
      </c>
      <c r="D197" s="341" t="str">
        <f>VLOOKUP(C197,[1]Material!F:J,5,0)</f>
        <v>Fedex</v>
      </c>
      <c r="E197" s="367">
        <v>4</v>
      </c>
      <c r="F197" s="345"/>
      <c r="G197" s="59"/>
      <c r="H197" s="59">
        <v>15.205078496217737</v>
      </c>
      <c r="I197" s="59">
        <v>0</v>
      </c>
      <c r="J197" s="59"/>
      <c r="K197" s="59"/>
      <c r="L197" s="59"/>
      <c r="M197" s="41">
        <f t="shared" si="26"/>
        <v>15.205078496217737</v>
      </c>
    </row>
    <row r="198" spans="1:13" hidden="1" outlineLevel="2">
      <c r="A198" s="146">
        <v>46054</v>
      </c>
      <c r="B198" s="602" t="s">
        <v>844</v>
      </c>
      <c r="C198" s="346">
        <v>888470517625</v>
      </c>
      <c r="D198" s="341" t="str">
        <f>VLOOKUP(C198,[1]Material!F:J,5,0)</f>
        <v>Fedex</v>
      </c>
      <c r="E198" s="367">
        <v>0.5</v>
      </c>
      <c r="F198" s="345"/>
      <c r="G198" s="59"/>
      <c r="H198" s="59">
        <v>15.205078496217737</v>
      </c>
      <c r="I198" s="59">
        <v>0</v>
      </c>
      <c r="J198" s="59"/>
      <c r="K198" s="59"/>
      <c r="L198" s="59"/>
      <c r="M198" s="41">
        <f t="shared" si="26"/>
        <v>15.205078496217737</v>
      </c>
    </row>
    <row r="199" spans="1:13" hidden="1" outlineLevel="2">
      <c r="A199" s="146">
        <v>46054</v>
      </c>
      <c r="B199" s="602" t="s">
        <v>945</v>
      </c>
      <c r="C199" s="346">
        <v>479730328810</v>
      </c>
      <c r="D199" s="341" t="str">
        <f>VLOOKUP(C199,[1]Material!F:J,5,0)</f>
        <v>Fedex</v>
      </c>
      <c r="E199" s="367">
        <v>1.5</v>
      </c>
      <c r="F199" s="345"/>
      <c r="G199" s="59"/>
      <c r="H199" s="59">
        <v>15.205078496217737</v>
      </c>
      <c r="I199" s="59">
        <v>0</v>
      </c>
      <c r="J199" s="59"/>
      <c r="K199" s="59"/>
      <c r="L199" s="59"/>
      <c r="M199" s="41">
        <f t="shared" si="26"/>
        <v>15.205078496217737</v>
      </c>
    </row>
    <row r="200" spans="1:13" hidden="1" outlineLevel="2">
      <c r="A200" s="146">
        <v>46054</v>
      </c>
      <c r="B200" s="602" t="s">
        <v>947</v>
      </c>
      <c r="C200" s="346">
        <v>500292443714</v>
      </c>
      <c r="D200" s="341" t="str">
        <f>VLOOKUP(C200,[1]Material!F:J,5,0)</f>
        <v>Fedex</v>
      </c>
      <c r="E200" s="367">
        <v>1.5</v>
      </c>
      <c r="F200" s="345"/>
      <c r="G200" s="59"/>
      <c r="H200" s="59">
        <v>15.205078496217737</v>
      </c>
      <c r="I200" s="59">
        <v>0</v>
      </c>
      <c r="J200" s="59"/>
      <c r="K200" s="59"/>
      <c r="L200" s="59"/>
      <c r="M200" s="41">
        <f t="shared" ref="M200:M263" si="31">SUM(G200:L200)</f>
        <v>15.205078496217737</v>
      </c>
    </row>
    <row r="201" spans="1:13" hidden="1" outlineLevel="2">
      <c r="A201" s="146">
        <v>46054</v>
      </c>
      <c r="B201" s="602" t="s">
        <v>1481</v>
      </c>
      <c r="C201" s="346">
        <v>888599621677</v>
      </c>
      <c r="D201" s="341" t="str">
        <f>VLOOKUP(C201,[1]Material!F:J,5,0)</f>
        <v>Fedex</v>
      </c>
      <c r="E201" s="367">
        <v>41.5</v>
      </c>
      <c r="F201" s="345"/>
      <c r="G201" s="59"/>
      <c r="H201" s="59">
        <v>15.205078496217737</v>
      </c>
      <c r="I201" s="59">
        <v>0</v>
      </c>
      <c r="J201" s="59"/>
      <c r="K201" s="59"/>
      <c r="L201" s="59"/>
      <c r="M201" s="41">
        <f t="shared" si="31"/>
        <v>15.205078496217737</v>
      </c>
    </row>
    <row r="202" spans="1:13" hidden="1" outlineLevel="2">
      <c r="A202" s="146">
        <v>46054</v>
      </c>
      <c r="B202" s="602" t="s">
        <v>970</v>
      </c>
      <c r="C202" s="346">
        <v>398586746821</v>
      </c>
      <c r="D202" s="341" t="str">
        <f>VLOOKUP(C202,[1]Material!F:J,5,0)</f>
        <v>Fedex</v>
      </c>
      <c r="E202" s="367">
        <v>2</v>
      </c>
      <c r="F202" s="345"/>
      <c r="G202" s="59"/>
      <c r="H202" s="59">
        <v>15.205078496217737</v>
      </c>
      <c r="I202" s="59">
        <v>0</v>
      </c>
      <c r="J202" s="59"/>
      <c r="K202" s="59"/>
      <c r="L202" s="59"/>
      <c r="M202" s="41">
        <f t="shared" si="31"/>
        <v>15.205078496217737</v>
      </c>
    </row>
    <row r="203" spans="1:13" hidden="1" outlineLevel="2">
      <c r="A203" s="146">
        <v>46054</v>
      </c>
      <c r="B203" s="602" t="s">
        <v>1490</v>
      </c>
      <c r="C203" s="346">
        <v>888545769078</v>
      </c>
      <c r="D203" s="341" t="str">
        <f>VLOOKUP(C203,[1]Material!F:J,5,0)</f>
        <v>Fedex</v>
      </c>
      <c r="E203" s="367">
        <v>0.5</v>
      </c>
      <c r="F203" s="345"/>
      <c r="G203" s="59"/>
      <c r="H203" s="59">
        <v>15.205078496217737</v>
      </c>
      <c r="I203" s="59">
        <v>0</v>
      </c>
      <c r="J203" s="59"/>
      <c r="K203" s="59"/>
      <c r="L203" s="59"/>
      <c r="M203" s="41">
        <f t="shared" si="31"/>
        <v>15.205078496217737</v>
      </c>
    </row>
    <row r="204" spans="1:13" hidden="1" outlineLevel="2">
      <c r="A204" s="146">
        <v>46054</v>
      </c>
      <c r="B204" s="602" t="s">
        <v>47</v>
      </c>
      <c r="C204" s="346">
        <v>497354639351</v>
      </c>
      <c r="D204" s="341" t="str">
        <f>VLOOKUP(C204,[1]Material!F:J,5,0)</f>
        <v>Fedex</v>
      </c>
      <c r="E204" s="367">
        <v>79</v>
      </c>
      <c r="F204" s="345"/>
      <c r="G204" s="59"/>
      <c r="H204" s="59">
        <v>15.205078496217737</v>
      </c>
      <c r="I204" s="59">
        <v>0</v>
      </c>
      <c r="J204" s="59"/>
      <c r="K204" s="59"/>
      <c r="L204" s="59"/>
      <c r="M204" s="41">
        <f t="shared" si="31"/>
        <v>15.205078496217737</v>
      </c>
    </row>
    <row r="205" spans="1:13" hidden="1" outlineLevel="2">
      <c r="A205" s="146">
        <v>46054</v>
      </c>
      <c r="B205" s="602" t="s">
        <v>972</v>
      </c>
      <c r="C205" s="346">
        <v>419341616448</v>
      </c>
      <c r="D205" s="341" t="str">
        <f>VLOOKUP(C205,[1]Material!F:J,5,0)</f>
        <v>Fedex</v>
      </c>
      <c r="E205" s="367">
        <v>0.5</v>
      </c>
      <c r="F205" s="345"/>
      <c r="G205" s="59"/>
      <c r="H205" s="59">
        <v>15.205078496217737</v>
      </c>
      <c r="I205" s="59">
        <v>0</v>
      </c>
      <c r="J205" s="59"/>
      <c r="K205" s="59"/>
      <c r="L205" s="59"/>
      <c r="M205" s="41">
        <f t="shared" si="31"/>
        <v>15.205078496217737</v>
      </c>
    </row>
    <row r="206" spans="1:13" hidden="1" outlineLevel="2">
      <c r="A206" s="146">
        <v>46054</v>
      </c>
      <c r="B206" s="602" t="s">
        <v>375</v>
      </c>
      <c r="C206" s="346">
        <v>888750336768</v>
      </c>
      <c r="D206" s="341" t="str">
        <f>VLOOKUP(C206,[1]Material!F:J,5,0)</f>
        <v>Fedex</v>
      </c>
      <c r="E206" s="367">
        <v>9.5</v>
      </c>
      <c r="F206" s="345"/>
      <c r="G206" s="59"/>
      <c r="H206" s="59">
        <v>15.205078496217737</v>
      </c>
      <c r="I206" s="59">
        <v>0</v>
      </c>
      <c r="J206" s="59"/>
      <c r="K206" s="59"/>
      <c r="L206" s="59"/>
      <c r="M206" s="41">
        <f t="shared" si="31"/>
        <v>15.205078496217737</v>
      </c>
    </row>
    <row r="207" spans="1:13" hidden="1" outlineLevel="2">
      <c r="A207" s="146">
        <v>46054</v>
      </c>
      <c r="B207" s="602" t="s">
        <v>1496</v>
      </c>
      <c r="C207" s="346">
        <v>398733755769</v>
      </c>
      <c r="D207" s="341" t="str">
        <f>VLOOKUP(C207,[1]Material!F:J,5,0)</f>
        <v>Fedex</v>
      </c>
      <c r="E207" s="367">
        <v>3.5</v>
      </c>
      <c r="F207" s="345"/>
      <c r="G207" s="59"/>
      <c r="H207" s="59">
        <v>15.205078496217737</v>
      </c>
      <c r="I207" s="59">
        <v>0</v>
      </c>
      <c r="J207" s="59"/>
      <c r="K207" s="59"/>
      <c r="L207" s="59"/>
      <c r="M207" s="41">
        <f t="shared" si="31"/>
        <v>15.205078496217737</v>
      </c>
    </row>
    <row r="208" spans="1:13" hidden="1" outlineLevel="2">
      <c r="A208" s="146">
        <v>46054</v>
      </c>
      <c r="B208" s="602" t="s">
        <v>968</v>
      </c>
      <c r="C208" s="346">
        <v>513416560941</v>
      </c>
      <c r="D208" s="341" t="str">
        <f>VLOOKUP(C208,[1]Material!F:J,5,0)</f>
        <v>Fedex</v>
      </c>
      <c r="E208" s="367">
        <v>0.5</v>
      </c>
      <c r="F208" s="345"/>
      <c r="G208" s="59"/>
      <c r="H208" s="59">
        <v>15.205078496217737</v>
      </c>
      <c r="I208" s="59">
        <v>0</v>
      </c>
      <c r="J208" s="59"/>
      <c r="K208" s="59"/>
      <c r="L208" s="59"/>
      <c r="M208" s="41">
        <f t="shared" si="31"/>
        <v>15.205078496217737</v>
      </c>
    </row>
    <row r="209" spans="1:13" hidden="1" outlineLevel="2">
      <c r="A209" s="146">
        <v>46054</v>
      </c>
      <c r="B209" s="602" t="s">
        <v>981</v>
      </c>
      <c r="C209" s="346">
        <v>398722068637</v>
      </c>
      <c r="D209" s="341" t="str">
        <f>VLOOKUP(C209,[1]Material!F:J,5,0)</f>
        <v>Fedex</v>
      </c>
      <c r="E209" s="367">
        <v>5</v>
      </c>
      <c r="F209" s="345"/>
      <c r="G209" s="59"/>
      <c r="H209" s="59">
        <v>15.205078496217737</v>
      </c>
      <c r="I209" s="59">
        <v>0</v>
      </c>
      <c r="J209" s="59"/>
      <c r="K209" s="59"/>
      <c r="L209" s="59"/>
      <c r="M209" s="41">
        <f t="shared" si="31"/>
        <v>15.205078496217737</v>
      </c>
    </row>
    <row r="210" spans="1:13" hidden="1" outlineLevel="2">
      <c r="A210" s="146">
        <v>46054</v>
      </c>
      <c r="B210" s="602" t="s">
        <v>957</v>
      </c>
      <c r="C210" s="346">
        <v>514873546849</v>
      </c>
      <c r="D210" s="341" t="str">
        <f>VLOOKUP(C210,[1]Material!F:J,5,0)</f>
        <v>Fedex</v>
      </c>
      <c r="E210" s="367">
        <v>0.5</v>
      </c>
      <c r="F210" s="345"/>
      <c r="G210" s="59"/>
      <c r="H210" s="59">
        <v>15.205078496217737</v>
      </c>
      <c r="I210" s="59">
        <v>0</v>
      </c>
      <c r="J210" s="59"/>
      <c r="K210" s="59"/>
      <c r="L210" s="59"/>
      <c r="M210" s="41">
        <f t="shared" si="31"/>
        <v>15.205078496217737</v>
      </c>
    </row>
    <row r="211" spans="1:13" hidden="1" outlineLevel="2">
      <c r="A211" s="146">
        <v>46054</v>
      </c>
      <c r="B211" s="602" t="s">
        <v>1498</v>
      </c>
      <c r="C211" s="346">
        <v>398902743864</v>
      </c>
      <c r="D211" s="341" t="str">
        <f>VLOOKUP(C211,[1]Material!F:J,5,0)</f>
        <v>Fedex</v>
      </c>
      <c r="E211" s="367">
        <v>1</v>
      </c>
      <c r="F211" s="345"/>
      <c r="G211" s="59"/>
      <c r="H211" s="59">
        <v>15.205078496217737</v>
      </c>
      <c r="I211" s="59">
        <v>0</v>
      </c>
      <c r="J211" s="59"/>
      <c r="K211" s="59"/>
      <c r="L211" s="59"/>
      <c r="M211" s="41">
        <f t="shared" si="31"/>
        <v>15.205078496217737</v>
      </c>
    </row>
    <row r="212" spans="1:13" hidden="1" outlineLevel="2">
      <c r="A212" s="146">
        <v>46054</v>
      </c>
      <c r="B212" s="602" t="s">
        <v>1513</v>
      </c>
      <c r="C212" s="346" t="s">
        <v>1333</v>
      </c>
      <c r="D212" s="341" t="s">
        <v>1333</v>
      </c>
      <c r="E212" s="367"/>
      <c r="F212" s="345"/>
      <c r="G212" s="59"/>
      <c r="H212" s="59">
        <v>15.205078496217737</v>
      </c>
      <c r="I212" s="59">
        <v>0</v>
      </c>
      <c r="J212" s="59"/>
      <c r="K212" s="59"/>
      <c r="L212" s="59"/>
      <c r="M212" s="41">
        <f t="shared" si="31"/>
        <v>15.205078496217737</v>
      </c>
    </row>
    <row r="213" spans="1:13" hidden="1" outlineLevel="2">
      <c r="A213" s="146">
        <v>46054</v>
      </c>
      <c r="B213" s="602" t="s">
        <v>948</v>
      </c>
      <c r="C213" s="346">
        <v>4110333123</v>
      </c>
      <c r="D213" s="341" t="s">
        <v>85</v>
      </c>
      <c r="E213" s="367">
        <v>16.5</v>
      </c>
      <c r="F213" s="345"/>
      <c r="G213" s="59"/>
      <c r="H213" s="59">
        <v>24.708252556353823</v>
      </c>
      <c r="I213" s="59">
        <v>0</v>
      </c>
      <c r="J213" s="59"/>
      <c r="K213" s="59"/>
      <c r="L213" s="59"/>
      <c r="M213" s="41">
        <f t="shared" si="31"/>
        <v>24.708252556353823</v>
      </c>
    </row>
    <row r="214" spans="1:13" hidden="1" outlineLevel="2">
      <c r="A214" s="146">
        <v>46054</v>
      </c>
      <c r="B214" s="602" t="s">
        <v>948</v>
      </c>
      <c r="C214" s="346">
        <v>4110333124</v>
      </c>
      <c r="D214" s="341" t="s">
        <v>85</v>
      </c>
      <c r="E214" s="367">
        <v>16.5</v>
      </c>
      <c r="F214" s="345"/>
      <c r="G214" s="59"/>
      <c r="H214" s="59">
        <v>24.708252556353823</v>
      </c>
      <c r="I214" s="59">
        <v>0</v>
      </c>
      <c r="J214" s="59"/>
      <c r="K214" s="59"/>
      <c r="L214" s="59"/>
      <c r="M214" s="41">
        <f t="shared" si="31"/>
        <v>24.708252556353823</v>
      </c>
    </row>
    <row r="215" spans="1:13" outlineLevel="1" collapsed="1">
      <c r="A215" s="146" t="s">
        <v>1609</v>
      </c>
      <c r="B215" s="602"/>
      <c r="C215" s="346"/>
      <c r="D215" s="341"/>
      <c r="E215" s="367">
        <f t="shared" ref="E215:M215" si="32">SUBTOTAL(9,E178:E214)</f>
        <v>439.5</v>
      </c>
      <c r="F215" s="345">
        <f t="shared" si="32"/>
        <v>0</v>
      </c>
      <c r="G215" s="59">
        <f t="shared" si="32"/>
        <v>0</v>
      </c>
      <c r="H215" s="59">
        <f t="shared" si="32"/>
        <v>581.59425248032903</v>
      </c>
      <c r="I215" s="59">
        <f t="shared" si="32"/>
        <v>0</v>
      </c>
      <c r="J215" s="59">
        <f t="shared" si="32"/>
        <v>0</v>
      </c>
      <c r="K215" s="59">
        <f t="shared" si="32"/>
        <v>0</v>
      </c>
      <c r="L215" s="59">
        <f t="shared" si="32"/>
        <v>0</v>
      </c>
      <c r="M215" s="41">
        <f t="shared" si="32"/>
        <v>581.59425248032903</v>
      </c>
    </row>
    <row r="216" spans="1:13" hidden="1" outlineLevel="2">
      <c r="A216" s="146">
        <v>46082</v>
      </c>
      <c r="B216" s="602" t="s">
        <v>974</v>
      </c>
      <c r="C216" s="346">
        <v>398733755769</v>
      </c>
      <c r="D216" s="341" t="str">
        <f>VLOOKUP(C216,[1]Material!F:J,5,0)</f>
        <v>Fedex</v>
      </c>
      <c r="E216" s="367">
        <v>3.1</v>
      </c>
      <c r="F216" s="345"/>
      <c r="G216" s="59"/>
      <c r="H216" s="59">
        <v>0</v>
      </c>
      <c r="I216" s="59">
        <f>IFERROR(VLOOKUP(C216,'FedEx Import'!$E$2:$R$94,14,0),0)</f>
        <v>0</v>
      </c>
      <c r="J216" s="59"/>
      <c r="K216" s="59"/>
      <c r="L216" s="59"/>
      <c r="M216" s="41">
        <f t="shared" si="31"/>
        <v>0</v>
      </c>
    </row>
    <row r="217" spans="1:13" hidden="1" outlineLevel="2">
      <c r="A217" s="146">
        <v>46082</v>
      </c>
      <c r="B217" s="602" t="s">
        <v>974</v>
      </c>
      <c r="C217" s="346">
        <v>399020986999</v>
      </c>
      <c r="D217" s="341" t="str">
        <f>VLOOKUP(C217,[1]Material!F:J,5,0)</f>
        <v>Fedex</v>
      </c>
      <c r="E217" s="367">
        <v>1.8</v>
      </c>
      <c r="F217" s="345"/>
      <c r="G217" s="59"/>
      <c r="H217" s="59">
        <v>15.172780032621477</v>
      </c>
      <c r="I217" s="59">
        <f>IFERROR(VLOOKUP(C217,'FedEx Import'!$E$2:$R$94,14,0),0)</f>
        <v>0</v>
      </c>
      <c r="J217" s="59"/>
      <c r="K217" s="59"/>
      <c r="L217" s="59"/>
      <c r="M217" s="41">
        <f t="shared" si="31"/>
        <v>15.172780032621477</v>
      </c>
    </row>
    <row r="218" spans="1:13" hidden="1" outlineLevel="2">
      <c r="A218" s="146">
        <v>46082</v>
      </c>
      <c r="B218" s="602" t="s">
        <v>974</v>
      </c>
      <c r="C218" s="346">
        <v>399282887301</v>
      </c>
      <c r="D218" s="341" t="str">
        <f>VLOOKUP(C218,[1]Material!F:J,5,0)</f>
        <v>Fedex</v>
      </c>
      <c r="E218" s="367">
        <v>24.6</v>
      </c>
      <c r="F218" s="345"/>
      <c r="G218" s="59"/>
      <c r="H218" s="59">
        <v>15.172780032621477</v>
      </c>
      <c r="I218" s="59">
        <f>IFERROR(VLOOKUP(C218,'FedEx Import'!$E$2:$R$94,14,0),0)</f>
        <v>0</v>
      </c>
      <c r="J218" s="59"/>
      <c r="K218" s="59"/>
      <c r="L218" s="59"/>
      <c r="M218" s="41">
        <f t="shared" si="31"/>
        <v>15.172780032621477</v>
      </c>
    </row>
    <row r="219" spans="1:13" hidden="1" outlineLevel="2">
      <c r="A219" s="146">
        <v>46082</v>
      </c>
      <c r="B219" s="602" t="s">
        <v>375</v>
      </c>
      <c r="C219" s="346">
        <v>888750336768</v>
      </c>
      <c r="D219" s="341" t="str">
        <f>VLOOKUP(C219,[1]Material!F:J,5,0)</f>
        <v>Fedex</v>
      </c>
      <c r="E219" s="367">
        <v>9.3000000000000007</v>
      </c>
      <c r="F219" s="345"/>
      <c r="G219" s="59"/>
      <c r="H219" s="59">
        <v>0</v>
      </c>
      <c r="I219" s="59">
        <f>IFERROR(VLOOKUP(C219,'FedEx Import'!$E$2:$R$94,14,0),0)</f>
        <v>0</v>
      </c>
      <c r="J219" s="59"/>
      <c r="K219" s="59"/>
      <c r="L219" s="59"/>
      <c r="M219" s="41">
        <f t="shared" si="31"/>
        <v>0</v>
      </c>
    </row>
    <row r="220" spans="1:13" hidden="1" outlineLevel="2">
      <c r="A220" s="146">
        <v>46082</v>
      </c>
      <c r="B220" s="602" t="s">
        <v>809</v>
      </c>
      <c r="C220" s="346">
        <v>511467535629</v>
      </c>
      <c r="D220" s="341" t="str">
        <f>VLOOKUP(C220,[1]Material!F:J,5,0)</f>
        <v>Fedex</v>
      </c>
      <c r="E220" s="367">
        <v>0.5</v>
      </c>
      <c r="F220" s="345"/>
      <c r="G220" s="59"/>
      <c r="H220" s="59">
        <v>15.172780032621477</v>
      </c>
      <c r="I220" s="59">
        <f>IFERROR(VLOOKUP(C220,'FedEx Import'!$E$2:$R$94,14,0),0)</f>
        <v>0</v>
      </c>
      <c r="J220" s="59"/>
      <c r="K220" s="59"/>
      <c r="L220" s="59"/>
      <c r="M220" s="41">
        <f t="shared" si="31"/>
        <v>15.172780032621477</v>
      </c>
    </row>
    <row r="221" spans="1:13" hidden="1" outlineLevel="2">
      <c r="A221" s="146">
        <v>46082</v>
      </c>
      <c r="B221" s="602" t="s">
        <v>648</v>
      </c>
      <c r="C221" s="346">
        <v>889094994800</v>
      </c>
      <c r="D221" s="341" t="str">
        <f>VLOOKUP(C221,[1]Material!F:J,5,0)</f>
        <v>Fedex</v>
      </c>
      <c r="E221" s="367">
        <v>1</v>
      </c>
      <c r="F221" s="345"/>
      <c r="G221" s="59"/>
      <c r="H221" s="59">
        <v>15.172780032621477</v>
      </c>
      <c r="I221" s="59">
        <f>IFERROR(VLOOKUP(C221,'FedEx Import'!$E$2:$R$94,14,0),0)</f>
        <v>0</v>
      </c>
      <c r="J221" s="59"/>
      <c r="K221" s="59"/>
      <c r="L221" s="59"/>
      <c r="M221" s="41">
        <f t="shared" si="31"/>
        <v>15.172780032621477</v>
      </c>
    </row>
    <row r="222" spans="1:13" hidden="1" outlineLevel="2">
      <c r="A222" s="146">
        <v>46082</v>
      </c>
      <c r="B222" s="602" t="s">
        <v>376</v>
      </c>
      <c r="C222" s="346">
        <v>451257566405</v>
      </c>
      <c r="D222" s="341" t="str">
        <f>VLOOKUP(C222,[1]Material!F:J,5,0)</f>
        <v>Fedex</v>
      </c>
      <c r="E222" s="367">
        <v>10.1</v>
      </c>
      <c r="F222" s="345"/>
      <c r="G222" s="59"/>
      <c r="H222" s="59">
        <v>15.172780032621477</v>
      </c>
      <c r="I222" s="59">
        <f>IFERROR(VLOOKUP(C222,'FedEx Import'!$E$2:$R$94,14,0),0)</f>
        <v>0</v>
      </c>
      <c r="J222" s="59"/>
      <c r="K222" s="59"/>
      <c r="L222" s="59"/>
      <c r="M222" s="41">
        <f t="shared" si="31"/>
        <v>15.172780032621477</v>
      </c>
    </row>
    <row r="223" spans="1:13" hidden="1" outlineLevel="2">
      <c r="A223" s="146">
        <v>46082</v>
      </c>
      <c r="B223" s="602" t="s">
        <v>92</v>
      </c>
      <c r="C223" s="346">
        <v>461596510497</v>
      </c>
      <c r="D223" s="341" t="str">
        <f>VLOOKUP(C223,[1]Material!F:J,5,0)</f>
        <v>Fedex</v>
      </c>
      <c r="E223" s="367">
        <v>29.1</v>
      </c>
      <c r="F223" s="345"/>
      <c r="G223" s="59"/>
      <c r="H223" s="59">
        <v>15.172780032621477</v>
      </c>
      <c r="I223" s="59">
        <f>IFERROR(VLOOKUP(C223,'FedEx Import'!$E$2:$R$94,14,0),0)</f>
        <v>0</v>
      </c>
      <c r="J223" s="59"/>
      <c r="K223" s="59"/>
      <c r="L223" s="59"/>
      <c r="M223" s="41">
        <f t="shared" si="31"/>
        <v>15.172780032621477</v>
      </c>
    </row>
    <row r="224" spans="1:13" hidden="1" outlineLevel="2">
      <c r="A224" s="146">
        <v>46082</v>
      </c>
      <c r="B224" s="602" t="s">
        <v>1618</v>
      </c>
      <c r="C224" s="346">
        <v>889184332705</v>
      </c>
      <c r="D224" s="341" t="str">
        <f>VLOOKUP(C224,[1]Material!F:J,5,0)</f>
        <v>Fedex</v>
      </c>
      <c r="E224" s="367">
        <v>6</v>
      </c>
      <c r="F224" s="345"/>
      <c r="G224" s="59"/>
      <c r="H224" s="59">
        <v>15.172780032621477</v>
      </c>
      <c r="I224" s="59">
        <f>IFERROR(VLOOKUP(C224,'FedEx Import'!$E$2:$R$94,14,0),0)</f>
        <v>0</v>
      </c>
      <c r="J224" s="59"/>
      <c r="K224" s="59"/>
      <c r="L224" s="59"/>
      <c r="M224" s="41">
        <f t="shared" si="31"/>
        <v>15.172780032621477</v>
      </c>
    </row>
    <row r="225" spans="1:13" hidden="1" outlineLevel="2">
      <c r="A225" s="146">
        <v>46082</v>
      </c>
      <c r="B225" s="602" t="s">
        <v>46</v>
      </c>
      <c r="C225" s="346">
        <v>889228404218</v>
      </c>
      <c r="D225" s="341" t="str">
        <f>VLOOKUP(C225,[1]Material!F:J,5,0)</f>
        <v>Fedex</v>
      </c>
      <c r="E225" s="367">
        <v>15.9</v>
      </c>
      <c r="F225" s="345"/>
      <c r="G225" s="59"/>
      <c r="H225" s="59">
        <v>15.172780032621477</v>
      </c>
      <c r="I225" s="59">
        <f>IFERROR(VLOOKUP(C225,'FedEx Import'!$E$2:$R$94,14,0),0)</f>
        <v>0</v>
      </c>
      <c r="J225" s="59"/>
      <c r="K225" s="59"/>
      <c r="L225" s="59"/>
      <c r="M225" s="41">
        <f t="shared" si="31"/>
        <v>15.172780032621477</v>
      </c>
    </row>
    <row r="226" spans="1:13" hidden="1" outlineLevel="2">
      <c r="A226" s="146">
        <v>46082</v>
      </c>
      <c r="B226" s="602" t="s">
        <v>807</v>
      </c>
      <c r="C226" s="346">
        <v>889231738600</v>
      </c>
      <c r="D226" s="341" t="str">
        <f>VLOOKUP(C226,[1]Material!F:J,5,0)</f>
        <v>Fedex</v>
      </c>
      <c r="E226" s="367">
        <v>43.4</v>
      </c>
      <c r="F226" s="345"/>
      <c r="G226" s="59"/>
      <c r="H226" s="59">
        <v>15.172780032621477</v>
      </c>
      <c r="I226" s="59">
        <f>IFERROR(VLOOKUP(C226,'FedEx Import'!$E$2:$R$94,14,0),0)</f>
        <v>0</v>
      </c>
      <c r="J226" s="59"/>
      <c r="K226" s="59"/>
      <c r="L226" s="59"/>
      <c r="M226" s="41">
        <f t="shared" si="31"/>
        <v>15.172780032621477</v>
      </c>
    </row>
    <row r="227" spans="1:13" hidden="1" outlineLevel="2">
      <c r="A227" s="146">
        <v>46082</v>
      </c>
      <c r="B227" s="602" t="s">
        <v>1481</v>
      </c>
      <c r="C227" s="346">
        <v>889276161181</v>
      </c>
      <c r="D227" s="341" t="str">
        <f>VLOOKUP(C227,[1]Material!F:J,5,0)</f>
        <v>Fedex</v>
      </c>
      <c r="E227" s="367">
        <v>95.4</v>
      </c>
      <c r="F227" s="345"/>
      <c r="G227" s="59"/>
      <c r="H227" s="59">
        <v>15.172780032621477</v>
      </c>
      <c r="I227" s="59">
        <f>IFERROR(VLOOKUP(C227,'FedEx Import'!$E$2:$R$94,14,0),0)</f>
        <v>0</v>
      </c>
      <c r="J227" s="59"/>
      <c r="K227" s="59"/>
      <c r="L227" s="59"/>
      <c r="M227" s="41">
        <f t="shared" si="31"/>
        <v>15.172780032621477</v>
      </c>
    </row>
    <row r="228" spans="1:13" hidden="1" outlineLevel="2">
      <c r="A228" s="146">
        <v>46082</v>
      </c>
      <c r="B228" s="602" t="s">
        <v>1620</v>
      </c>
      <c r="C228" s="346">
        <v>889275424811</v>
      </c>
      <c r="D228" s="341" t="str">
        <f>VLOOKUP(C228,[1]Material!F:J,5,0)</f>
        <v>Fedex</v>
      </c>
      <c r="E228" s="367">
        <v>1.9</v>
      </c>
      <c r="F228" s="345"/>
      <c r="G228" s="59"/>
      <c r="H228" s="59">
        <v>15.172780032621477</v>
      </c>
      <c r="I228" s="59">
        <f>IFERROR(VLOOKUP(C228,'FedEx Import'!$E$2:$R$94,14,0),0)</f>
        <v>0</v>
      </c>
      <c r="J228" s="59"/>
      <c r="K228" s="59"/>
      <c r="L228" s="59"/>
      <c r="M228" s="41">
        <f t="shared" si="31"/>
        <v>15.172780032621477</v>
      </c>
    </row>
    <row r="229" spans="1:13" hidden="1" outlineLevel="2">
      <c r="A229" s="146">
        <v>46082</v>
      </c>
      <c r="B229" s="602" t="s">
        <v>92</v>
      </c>
      <c r="C229" s="346">
        <v>497354642510</v>
      </c>
      <c r="D229" s="341" t="str">
        <f>VLOOKUP(C229,[1]Material!F:J,5,0)</f>
        <v>Fedex</v>
      </c>
      <c r="E229" s="367">
        <v>41.2</v>
      </c>
      <c r="F229" s="345"/>
      <c r="G229" s="59"/>
      <c r="H229" s="59">
        <v>15.172780032621477</v>
      </c>
      <c r="I229" s="59">
        <f>IFERROR(VLOOKUP(C229,'FedEx Import'!$E$2:$R$94,14,0),0)</f>
        <v>0</v>
      </c>
      <c r="J229" s="59"/>
      <c r="K229" s="59"/>
      <c r="L229" s="59"/>
      <c r="M229" s="41">
        <f t="shared" si="31"/>
        <v>15.172780032621477</v>
      </c>
    </row>
    <row r="230" spans="1:13" hidden="1" outlineLevel="2">
      <c r="A230" s="146">
        <v>46082</v>
      </c>
      <c r="B230" s="602" t="s">
        <v>802</v>
      </c>
      <c r="C230" s="346">
        <v>399319277761</v>
      </c>
      <c r="D230" s="341" t="str">
        <f>VLOOKUP(C230,[1]Material!F:J,5,0)</f>
        <v>Fedex</v>
      </c>
      <c r="E230" s="367">
        <v>3.4</v>
      </c>
      <c r="F230" s="345"/>
      <c r="G230" s="59"/>
      <c r="H230" s="59">
        <v>15.172780032621477</v>
      </c>
      <c r="I230" s="59">
        <f>IFERROR(VLOOKUP(C230,'FedEx Import'!$E$2:$R$94,14,0),0)</f>
        <v>0</v>
      </c>
      <c r="J230" s="59"/>
      <c r="K230" s="59"/>
      <c r="L230" s="59"/>
      <c r="M230" s="41">
        <f t="shared" si="31"/>
        <v>15.172780032621477</v>
      </c>
    </row>
    <row r="231" spans="1:13" hidden="1" outlineLevel="2">
      <c r="A231" s="146">
        <v>46082</v>
      </c>
      <c r="B231" s="602" t="s">
        <v>800</v>
      </c>
      <c r="C231" s="346">
        <v>678845983333</v>
      </c>
      <c r="D231" s="341" t="str">
        <f>VLOOKUP(C231,[1]Material!F:J,5,0)</f>
        <v>Fedex</v>
      </c>
      <c r="E231" s="367">
        <v>1.7</v>
      </c>
      <c r="F231" s="345"/>
      <c r="G231" s="59"/>
      <c r="H231" s="59">
        <v>15.172780032621477</v>
      </c>
      <c r="I231" s="59">
        <f>IFERROR(VLOOKUP(C231,'FedEx Import'!$E$2:$R$94,14,0),0)</f>
        <v>0</v>
      </c>
      <c r="J231" s="59"/>
      <c r="K231" s="59"/>
      <c r="L231" s="59"/>
      <c r="M231" s="41">
        <f t="shared" si="31"/>
        <v>15.172780032621477</v>
      </c>
    </row>
    <row r="232" spans="1:13" hidden="1" outlineLevel="2">
      <c r="A232" s="146">
        <v>46082</v>
      </c>
      <c r="B232" s="602" t="s">
        <v>46</v>
      </c>
      <c r="C232" s="346">
        <v>889452193781</v>
      </c>
      <c r="D232" s="341" t="str">
        <f>VLOOKUP(C232,[1]Material!F:J,5,0)</f>
        <v>Fedex</v>
      </c>
      <c r="E232" s="367">
        <v>430</v>
      </c>
      <c r="F232" s="345"/>
      <c r="G232" s="59"/>
      <c r="H232" s="59">
        <v>15.172780032621477</v>
      </c>
      <c r="I232" s="59">
        <f>IFERROR(VLOOKUP(C232,'FedEx Import'!$E$2:$R$94,14,0),0)</f>
        <v>0</v>
      </c>
      <c r="J232" s="59"/>
      <c r="K232" s="59"/>
      <c r="L232" s="59"/>
      <c r="M232" s="41">
        <f t="shared" si="31"/>
        <v>15.172780032621477</v>
      </c>
    </row>
    <row r="233" spans="1:13" hidden="1" outlineLevel="2">
      <c r="A233" s="146">
        <v>46082</v>
      </c>
      <c r="B233" s="602" t="s">
        <v>523</v>
      </c>
      <c r="C233" s="346">
        <v>494686566725</v>
      </c>
      <c r="D233" s="341" t="str">
        <f>VLOOKUP(C233,[1]Material!F:J,5,0)</f>
        <v>Fedex</v>
      </c>
      <c r="E233" s="367">
        <v>84.6</v>
      </c>
      <c r="F233" s="345"/>
      <c r="G233" s="59"/>
      <c r="H233" s="59">
        <v>15.172780032621477</v>
      </c>
      <c r="I233" s="59">
        <f>IFERROR(VLOOKUP(C233,'FedEx Import'!$E$2:$R$94,14,0),0)</f>
        <v>0</v>
      </c>
      <c r="J233" s="59"/>
      <c r="K233" s="59"/>
      <c r="L233" s="59"/>
      <c r="M233" s="41">
        <f t="shared" si="31"/>
        <v>15.172780032621477</v>
      </c>
    </row>
    <row r="234" spans="1:13" hidden="1" outlineLevel="2">
      <c r="A234" s="146">
        <v>46082</v>
      </c>
      <c r="B234" s="602" t="s">
        <v>92</v>
      </c>
      <c r="C234" s="346">
        <v>461596510340</v>
      </c>
      <c r="D234" s="341" t="str">
        <f>VLOOKUP(C234,[1]Material!F:J,5,0)</f>
        <v>Fedex</v>
      </c>
      <c r="E234" s="367">
        <v>45.1</v>
      </c>
      <c r="F234" s="345"/>
      <c r="G234" s="59"/>
      <c r="H234" s="59">
        <v>15.172780032621477</v>
      </c>
      <c r="I234" s="59">
        <f>IFERROR(VLOOKUP(C234,'FedEx Import'!$E$2:$R$94,14,0),0)</f>
        <v>0</v>
      </c>
      <c r="J234" s="59"/>
      <c r="K234" s="59"/>
      <c r="L234" s="59"/>
      <c r="M234" s="41">
        <f t="shared" si="31"/>
        <v>15.172780032621477</v>
      </c>
    </row>
    <row r="235" spans="1:13" hidden="1" outlineLevel="2">
      <c r="A235" s="146">
        <v>46082</v>
      </c>
      <c r="B235" s="602" t="s">
        <v>524</v>
      </c>
      <c r="C235" s="346">
        <v>472187603169</v>
      </c>
      <c r="D235" s="341" t="str">
        <f>VLOOKUP(C235,[1]Material!F:J,5,0)</f>
        <v>Fedex</v>
      </c>
      <c r="E235" s="367">
        <v>17.600000000000001</v>
      </c>
      <c r="F235" s="345"/>
      <c r="G235" s="59"/>
      <c r="H235" s="59">
        <v>15.172780032621477</v>
      </c>
      <c r="I235" s="59">
        <f>IFERROR(VLOOKUP(C235,'FedEx Import'!$E$2:$R$94,14,0),0)</f>
        <v>0</v>
      </c>
      <c r="J235" s="59"/>
      <c r="K235" s="59"/>
      <c r="L235" s="59"/>
      <c r="M235" s="41">
        <f t="shared" si="31"/>
        <v>15.172780032621477</v>
      </c>
    </row>
    <row r="236" spans="1:13" hidden="1" outlineLevel="2">
      <c r="A236" s="146">
        <v>46082</v>
      </c>
      <c r="B236" s="602" t="s">
        <v>977</v>
      </c>
      <c r="C236" s="346">
        <v>493891684747</v>
      </c>
      <c r="D236" s="341" t="str">
        <f>VLOOKUP(C236,[1]Material!F:J,5,0)</f>
        <v>Fedex</v>
      </c>
      <c r="E236" s="367">
        <f>_xlfn.XLOOKUP(C236,[1]Material!$F:$F,[1]Material!$D:$D)</f>
        <v>32</v>
      </c>
      <c r="F236" s="345"/>
      <c r="G236" s="59"/>
      <c r="H236" s="59">
        <v>15.172780032621477</v>
      </c>
      <c r="I236" s="59">
        <f>IFERROR(VLOOKUP(C236,'FedEx Import'!$E$2:$R$94,14,0),0)</f>
        <v>0</v>
      </c>
      <c r="J236" s="59"/>
      <c r="K236" s="59"/>
      <c r="L236" s="59"/>
      <c r="M236" s="41">
        <f t="shared" si="31"/>
        <v>15.172780032621477</v>
      </c>
    </row>
    <row r="237" spans="1:13" hidden="1" outlineLevel="2">
      <c r="A237" s="146">
        <v>46082</v>
      </c>
      <c r="B237" s="602" t="s">
        <v>945</v>
      </c>
      <c r="C237" s="346">
        <v>500292457310</v>
      </c>
      <c r="D237" s="341" t="str">
        <f>VLOOKUP(C237,[1]Material!F:J,5,0)</f>
        <v>Fedex</v>
      </c>
      <c r="E237" s="367">
        <f>_xlfn.XLOOKUP(C237,[1]Material!$F:$F,[1]Material!$D:$D)</f>
        <v>0.5</v>
      </c>
      <c r="F237" s="345"/>
      <c r="G237" s="59"/>
      <c r="H237" s="59">
        <v>15.172780032621477</v>
      </c>
      <c r="I237" s="59">
        <f>IFERROR(VLOOKUP(C237,'FedEx Import'!$E$2:$R$94,14,0),0)</f>
        <v>0</v>
      </c>
      <c r="J237" s="59"/>
      <c r="K237" s="59"/>
      <c r="L237" s="59"/>
      <c r="M237" s="41">
        <f t="shared" si="31"/>
        <v>15.172780032621477</v>
      </c>
    </row>
    <row r="238" spans="1:13" hidden="1" outlineLevel="2">
      <c r="A238" s="146">
        <v>46082</v>
      </c>
      <c r="B238" s="602" t="s">
        <v>1475</v>
      </c>
      <c r="C238" s="346">
        <v>888894336900</v>
      </c>
      <c r="D238" s="341" t="str">
        <f>VLOOKUP(C238,[1]Material!F:J,5,0)</f>
        <v>Fedex</v>
      </c>
      <c r="E238" s="367">
        <f>_xlfn.XLOOKUP(C238,[1]Material!$F:$F,[1]Material!$D:$D)</f>
        <v>2</v>
      </c>
      <c r="F238" s="345"/>
      <c r="G238" s="59"/>
      <c r="H238" s="59">
        <v>15.172780032621477</v>
      </c>
      <c r="I238" s="59">
        <f>IFERROR(VLOOKUP(C238,'FedEx Import'!$E$2:$R$94,14,0),0)</f>
        <v>0</v>
      </c>
      <c r="J238" s="59"/>
      <c r="K238" s="59"/>
      <c r="L238" s="59"/>
      <c r="M238" s="41">
        <f t="shared" si="31"/>
        <v>15.172780032621477</v>
      </c>
    </row>
    <row r="239" spans="1:13" hidden="1" outlineLevel="2">
      <c r="A239" s="146">
        <v>46082</v>
      </c>
      <c r="B239" s="602" t="s">
        <v>963</v>
      </c>
      <c r="C239" s="346">
        <v>514128796814</v>
      </c>
      <c r="D239" s="341" t="str">
        <f>VLOOKUP(C239,[1]Material!F:J,5,0)</f>
        <v>Fedex</v>
      </c>
      <c r="E239" s="367">
        <f>_xlfn.XLOOKUP(C239,[1]Material!$F:$F,[1]Material!$D:$D)</f>
        <v>1</v>
      </c>
      <c r="F239" s="345"/>
      <c r="G239" s="59"/>
      <c r="H239" s="59">
        <v>15.172780032621477</v>
      </c>
      <c r="I239" s="59">
        <f>IFERROR(VLOOKUP(C239,'FedEx Import'!$E$2:$R$94,14,0),0)</f>
        <v>0</v>
      </c>
      <c r="J239" s="59"/>
      <c r="K239" s="59"/>
      <c r="L239" s="59"/>
      <c r="M239" s="41">
        <f t="shared" si="31"/>
        <v>15.172780032621477</v>
      </c>
    </row>
    <row r="240" spans="1:13" hidden="1" outlineLevel="2">
      <c r="A240" s="146">
        <v>46082</v>
      </c>
      <c r="B240" s="602" t="s">
        <v>110</v>
      </c>
      <c r="C240" s="346">
        <v>483570642684</v>
      </c>
      <c r="D240" s="341" t="str">
        <f>VLOOKUP(C240,[1]Material!F:J,5,0)</f>
        <v>Fedex</v>
      </c>
      <c r="E240" s="367">
        <f>_xlfn.XLOOKUP(C240,[1]Material!$F:$F,[1]Material!$D:$D)</f>
        <v>2</v>
      </c>
      <c r="F240" s="345"/>
      <c r="G240" s="59"/>
      <c r="H240" s="59">
        <v>15.172780032621477</v>
      </c>
      <c r="I240" s="59">
        <f>IFERROR(VLOOKUP(C240,'FedEx Import'!$E$2:$R$94,14,0),0)</f>
        <v>0</v>
      </c>
      <c r="J240" s="59"/>
      <c r="K240" s="59"/>
      <c r="L240" s="59"/>
      <c r="M240" s="41">
        <f t="shared" si="31"/>
        <v>15.172780032621477</v>
      </c>
    </row>
    <row r="241" spans="1:13" hidden="1" outlineLevel="2">
      <c r="A241" s="146">
        <v>46082</v>
      </c>
      <c r="B241" s="602" t="s">
        <v>1690</v>
      </c>
      <c r="C241" s="346">
        <v>472175061827</v>
      </c>
      <c r="D241" s="341" t="str">
        <f>VLOOKUP(C241,[1]Material!F:J,5,0)</f>
        <v>Fedex</v>
      </c>
      <c r="E241" s="367">
        <f>_xlfn.XLOOKUP(C241,[1]Material!$F:$F,[1]Material!$D:$D)</f>
        <v>2.5</v>
      </c>
      <c r="F241" s="345"/>
      <c r="G241" s="59"/>
      <c r="H241" s="59">
        <v>15.172780032621477</v>
      </c>
      <c r="I241" s="59">
        <f>IFERROR(VLOOKUP(C241,'FedEx Import'!$E$2:$R$94,14,0),0)</f>
        <v>0</v>
      </c>
      <c r="J241" s="59"/>
      <c r="K241" s="59"/>
      <c r="L241" s="59"/>
      <c r="M241" s="41">
        <f t="shared" si="31"/>
        <v>15.172780032621477</v>
      </c>
    </row>
    <row r="242" spans="1:13" hidden="1" outlineLevel="2">
      <c r="A242" s="146">
        <v>46082</v>
      </c>
      <c r="B242" s="602" t="s">
        <v>957</v>
      </c>
      <c r="C242" s="346">
        <v>514873644595</v>
      </c>
      <c r="D242" s="341" t="str">
        <f>VLOOKUP(C242,[1]Material!F:J,5,0)</f>
        <v>Fedex</v>
      </c>
      <c r="E242" s="367">
        <f>_xlfn.XLOOKUP(C242,[1]Material!$F:$F,[1]Material!$D:$D)</f>
        <v>1</v>
      </c>
      <c r="F242" s="345"/>
      <c r="G242" s="59"/>
      <c r="H242" s="59">
        <v>15.172780032621477</v>
      </c>
      <c r="I242" s="59">
        <f>IFERROR(VLOOKUP(C242,'FedEx Import'!$E$2:$R$94,14,0),0)</f>
        <v>0</v>
      </c>
      <c r="J242" s="59"/>
      <c r="K242" s="59"/>
      <c r="L242" s="59"/>
      <c r="M242" s="41">
        <f t="shared" si="31"/>
        <v>15.172780032621477</v>
      </c>
    </row>
    <row r="243" spans="1:13" hidden="1" outlineLevel="2">
      <c r="A243" s="146">
        <v>46082</v>
      </c>
      <c r="B243" s="602" t="s">
        <v>1322</v>
      </c>
      <c r="C243" s="346">
        <v>495506394634</v>
      </c>
      <c r="D243" s="341" t="str">
        <f>VLOOKUP(C243,[1]Material!F:J,5,0)</f>
        <v>Fedex</v>
      </c>
      <c r="E243" s="367">
        <f>_xlfn.XLOOKUP(C243,[1]Material!$F:$F,[1]Material!$D:$D)</f>
        <v>7</v>
      </c>
      <c r="F243" s="345"/>
      <c r="G243" s="59"/>
      <c r="H243" s="59">
        <v>15.172780032621477</v>
      </c>
      <c r="I243" s="59">
        <f>IFERROR(VLOOKUP(C243,'FedEx Import'!$E$2:$R$94,14,0),0)</f>
        <v>0</v>
      </c>
      <c r="J243" s="59"/>
      <c r="K243" s="59"/>
      <c r="L243" s="59"/>
      <c r="M243" s="41">
        <f t="shared" si="31"/>
        <v>15.172780032621477</v>
      </c>
    </row>
    <row r="244" spans="1:13" hidden="1" outlineLevel="2">
      <c r="A244" s="146">
        <v>46082</v>
      </c>
      <c r="B244" s="602" t="s">
        <v>1330</v>
      </c>
      <c r="C244" s="346">
        <v>889056975620</v>
      </c>
      <c r="D244" s="341" t="str">
        <f>VLOOKUP(C244,[1]Material!F:J,5,0)</f>
        <v>Fedex</v>
      </c>
      <c r="E244" s="367">
        <f>_xlfn.XLOOKUP(C244,[1]Material!$F:$F,[1]Material!$D:$D)</f>
        <v>10.5</v>
      </c>
      <c r="F244" s="345"/>
      <c r="G244" s="59"/>
      <c r="H244" s="59">
        <v>15.172780032621477</v>
      </c>
      <c r="I244" s="59">
        <f>IFERROR(VLOOKUP(C244,'FedEx Import'!$E$2:$R$94,14,0),0)</f>
        <v>0</v>
      </c>
      <c r="J244" s="59"/>
      <c r="K244" s="59"/>
      <c r="L244" s="59"/>
      <c r="M244" s="41">
        <f t="shared" si="31"/>
        <v>15.172780032621477</v>
      </c>
    </row>
    <row r="245" spans="1:13" hidden="1" outlineLevel="2">
      <c r="A245" s="146">
        <v>46082</v>
      </c>
      <c r="B245" s="602" t="s">
        <v>945</v>
      </c>
      <c r="C245" s="346">
        <v>500292473176</v>
      </c>
      <c r="D245" s="341" t="str">
        <f>VLOOKUP(C245,[1]Material!F:J,5,0)</f>
        <v>Fedex</v>
      </c>
      <c r="E245" s="367">
        <f>_xlfn.XLOOKUP(C245,[1]Material!$F:$F,[1]Material!$D:$D)</f>
        <v>0.5</v>
      </c>
      <c r="F245" s="345"/>
      <c r="G245" s="59"/>
      <c r="H245" s="59">
        <v>15.172780032621477</v>
      </c>
      <c r="I245" s="59">
        <f>IFERROR(VLOOKUP(C245,'FedEx Import'!$E$2:$R$94,14,0),0)</f>
        <v>0</v>
      </c>
      <c r="J245" s="59"/>
      <c r="K245" s="59"/>
      <c r="L245" s="59"/>
      <c r="M245" s="41">
        <f t="shared" si="31"/>
        <v>15.172780032621477</v>
      </c>
    </row>
    <row r="246" spans="1:13" hidden="1" outlineLevel="2">
      <c r="A246" s="146">
        <v>46082</v>
      </c>
      <c r="B246" s="602" t="s">
        <v>972</v>
      </c>
      <c r="C246" s="346">
        <v>419341620164</v>
      </c>
      <c r="D246" s="341" t="str">
        <f>VLOOKUP(C246,[1]Material!F:J,5,0)</f>
        <v>Fedex</v>
      </c>
      <c r="E246" s="367">
        <f>_xlfn.XLOOKUP(C246,[1]Material!$F:$F,[1]Material!$D:$D)</f>
        <v>1</v>
      </c>
      <c r="F246" s="345"/>
      <c r="G246" s="59"/>
      <c r="H246" s="59">
        <v>15.172780032621477</v>
      </c>
      <c r="I246" s="59">
        <f>IFERROR(VLOOKUP(C246,'FedEx Import'!$E$2:$R$94,14,0),0)</f>
        <v>0</v>
      </c>
      <c r="J246" s="59"/>
      <c r="K246" s="59"/>
      <c r="L246" s="59"/>
      <c r="M246" s="41">
        <f t="shared" si="31"/>
        <v>15.172780032621477</v>
      </c>
    </row>
    <row r="247" spans="1:13" hidden="1" outlineLevel="2">
      <c r="A247" s="146">
        <v>46082</v>
      </c>
      <c r="B247" s="602" t="s">
        <v>981</v>
      </c>
      <c r="C247" s="346">
        <v>399004076520</v>
      </c>
      <c r="D247" s="341" t="str">
        <f>VLOOKUP(C247,[1]Material!F:J,5,0)</f>
        <v>Fedex</v>
      </c>
      <c r="E247" s="367">
        <f>_xlfn.XLOOKUP(C247,[1]Material!$F:$F,[1]Material!$D:$D)</f>
        <v>8</v>
      </c>
      <c r="F247" s="345"/>
      <c r="G247" s="59"/>
      <c r="H247" s="59">
        <v>15.172780032621477</v>
      </c>
      <c r="I247" s="59">
        <f>IFERROR(VLOOKUP(C247,'FedEx Import'!$E$2:$R$94,14,0),0)</f>
        <v>0</v>
      </c>
      <c r="J247" s="59"/>
      <c r="K247" s="59"/>
      <c r="L247" s="59"/>
      <c r="M247" s="41">
        <f t="shared" si="31"/>
        <v>15.172780032621477</v>
      </c>
    </row>
    <row r="248" spans="1:13" hidden="1" outlineLevel="2">
      <c r="A248" s="146">
        <v>46082</v>
      </c>
      <c r="B248" s="602" t="s">
        <v>1692</v>
      </c>
      <c r="C248" s="346">
        <v>888978191580</v>
      </c>
      <c r="D248" s="341" t="str">
        <f>VLOOKUP(C248,[1]Material!F:J,5,0)</f>
        <v>Fedex</v>
      </c>
      <c r="E248" s="367">
        <f>_xlfn.XLOOKUP(C248,[1]Material!$F:$F,[1]Material!$D:$D)</f>
        <v>1.5</v>
      </c>
      <c r="F248" s="345"/>
      <c r="G248" s="59"/>
      <c r="H248" s="59">
        <v>15.172780032621477</v>
      </c>
      <c r="I248" s="59">
        <f>IFERROR(VLOOKUP(C248,'FedEx Import'!$E$2:$R$94,14,0),0)</f>
        <v>0</v>
      </c>
      <c r="J248" s="59"/>
      <c r="K248" s="59"/>
      <c r="L248" s="59"/>
      <c r="M248" s="41">
        <f t="shared" si="31"/>
        <v>15.172780032621477</v>
      </c>
    </row>
    <row r="249" spans="1:13" hidden="1" outlineLevel="2">
      <c r="A249" s="146">
        <v>46082</v>
      </c>
      <c r="B249" s="602" t="s">
        <v>1693</v>
      </c>
      <c r="C249" s="346">
        <v>399134397922</v>
      </c>
      <c r="D249" s="341" t="str">
        <f>VLOOKUP(C249,[1]Material!F:J,5,0)</f>
        <v>Fedex</v>
      </c>
      <c r="E249" s="367">
        <f>_xlfn.XLOOKUP(C249,[1]Material!$F:$F,[1]Material!$D:$D)</f>
        <v>0.5</v>
      </c>
      <c r="F249" s="345"/>
      <c r="G249" s="59"/>
      <c r="H249" s="59">
        <v>15.172780032621477</v>
      </c>
      <c r="I249" s="59">
        <f>IFERROR(VLOOKUP(C249,'FedEx Import'!$E$2:$R$94,14,0),0)</f>
        <v>0</v>
      </c>
      <c r="J249" s="59"/>
      <c r="K249" s="59"/>
      <c r="L249" s="59"/>
      <c r="M249" s="41">
        <f t="shared" si="31"/>
        <v>15.172780032621477</v>
      </c>
    </row>
    <row r="250" spans="1:13" hidden="1" outlineLevel="2">
      <c r="A250" s="146">
        <v>46082</v>
      </c>
      <c r="B250" s="602" t="s">
        <v>945</v>
      </c>
      <c r="C250" s="346">
        <v>500292489418</v>
      </c>
      <c r="D250" s="341" t="str">
        <f>VLOOKUP(C250,[1]Material!F:J,5,0)</f>
        <v>Fedex</v>
      </c>
      <c r="E250" s="367">
        <f>_xlfn.XLOOKUP(C250,[1]Material!$F:$F,[1]Material!$D:$D)</f>
        <v>1.5</v>
      </c>
      <c r="F250" s="345"/>
      <c r="G250" s="59"/>
      <c r="H250" s="59">
        <v>15.172780032621477</v>
      </c>
      <c r="I250" s="59">
        <f>IFERROR(VLOOKUP(C250,'FedEx Import'!$E$2:$R$94,14,0),0)</f>
        <v>0</v>
      </c>
      <c r="J250" s="59"/>
      <c r="K250" s="59"/>
      <c r="L250" s="59"/>
      <c r="M250" s="41">
        <f t="shared" si="31"/>
        <v>15.172780032621477</v>
      </c>
    </row>
    <row r="251" spans="1:13" hidden="1" outlineLevel="2">
      <c r="A251" s="146">
        <v>46082</v>
      </c>
      <c r="B251" s="602" t="s">
        <v>1694</v>
      </c>
      <c r="C251" s="346">
        <v>399134339805</v>
      </c>
      <c r="D251" s="341" t="str">
        <f>VLOOKUP(C251,[1]Material!F:J,5,0)</f>
        <v>Fedex</v>
      </c>
      <c r="E251" s="367">
        <f>_xlfn.XLOOKUP(C251,[1]Material!$F:$F,[1]Material!$D:$D)</f>
        <v>3</v>
      </c>
      <c r="F251" s="345"/>
      <c r="G251" s="59"/>
      <c r="H251" s="59">
        <v>15.172780032621477</v>
      </c>
      <c r="I251" s="59">
        <f>IFERROR(VLOOKUP(C251,'FedEx Import'!$E$2:$R$94,14,0),0)</f>
        <v>0</v>
      </c>
      <c r="J251" s="59"/>
      <c r="K251" s="59"/>
      <c r="L251" s="59"/>
      <c r="M251" s="41">
        <f t="shared" si="31"/>
        <v>15.172780032621477</v>
      </c>
    </row>
    <row r="252" spans="1:13" hidden="1" outlineLevel="2">
      <c r="A252" s="146">
        <v>46082</v>
      </c>
      <c r="B252" s="602" t="s">
        <v>1696</v>
      </c>
      <c r="C252" s="346">
        <v>399135282761</v>
      </c>
      <c r="D252" s="341" t="str">
        <f>VLOOKUP(C252,[1]Material!F:J,5,0)</f>
        <v>Fedex</v>
      </c>
      <c r="E252" s="367">
        <f>_xlfn.XLOOKUP(C252,[1]Material!$F:$F,[1]Material!$D:$D)</f>
        <v>1.5</v>
      </c>
      <c r="F252" s="345"/>
      <c r="G252" s="59"/>
      <c r="H252" s="59">
        <v>15.172780032621477</v>
      </c>
      <c r="I252" s="59">
        <f>IFERROR(VLOOKUP(C252,'FedEx Import'!$E$2:$R$94,14,0),0)</f>
        <v>0</v>
      </c>
      <c r="J252" s="59"/>
      <c r="K252" s="59"/>
      <c r="L252" s="59"/>
      <c r="M252" s="41">
        <f t="shared" si="31"/>
        <v>15.172780032621477</v>
      </c>
    </row>
    <row r="253" spans="1:13" hidden="1" outlineLevel="2">
      <c r="A253" s="146">
        <v>46082</v>
      </c>
      <c r="B253" s="602" t="s">
        <v>1697</v>
      </c>
      <c r="C253" s="346">
        <v>9974897903</v>
      </c>
      <c r="D253" s="341" t="s">
        <v>897</v>
      </c>
      <c r="E253" s="367">
        <f>_xlfn.XLOOKUP(C253,[1]Material!$F:$F,[1]Material!$D:$D)</f>
        <v>1.4</v>
      </c>
      <c r="F253" s="345"/>
      <c r="G253" s="59"/>
      <c r="H253" s="59">
        <v>15.172780032621477</v>
      </c>
      <c r="I253" s="59">
        <f>IFERROR(VLOOKUP(C253,'FedEx Import'!$E$2:$R$94,14,0),0)</f>
        <v>0</v>
      </c>
      <c r="J253" s="59"/>
      <c r="K253" s="59"/>
      <c r="L253" s="59"/>
      <c r="M253" s="41">
        <f t="shared" si="31"/>
        <v>15.172780032621477</v>
      </c>
    </row>
    <row r="254" spans="1:13" hidden="1" outlineLevel="2">
      <c r="A254" s="146">
        <v>46082</v>
      </c>
      <c r="B254" s="602" t="s">
        <v>1699</v>
      </c>
      <c r="C254" s="346">
        <v>500394438949</v>
      </c>
      <c r="D254" s="341" t="str">
        <f>VLOOKUP(C254,[1]Material!F:J,5,0)</f>
        <v>Fedex</v>
      </c>
      <c r="E254" s="367">
        <f>_xlfn.XLOOKUP(C254,[1]Material!$F:$F,[1]Material!$D:$D)</f>
        <v>3.5</v>
      </c>
      <c r="F254" s="345"/>
      <c r="G254" s="59"/>
      <c r="H254" s="59">
        <v>15.172780032621477</v>
      </c>
      <c r="I254" s="59">
        <f>IFERROR(VLOOKUP(C254,'FedEx Import'!$E$2:$R$94,14,0),0)</f>
        <v>0</v>
      </c>
      <c r="J254" s="59"/>
      <c r="K254" s="59"/>
      <c r="L254" s="59"/>
      <c r="M254" s="41">
        <f t="shared" si="31"/>
        <v>15.172780032621477</v>
      </c>
    </row>
    <row r="255" spans="1:13" hidden="1" outlineLevel="2">
      <c r="A255" s="146">
        <v>46082</v>
      </c>
      <c r="B255" s="602" t="s">
        <v>957</v>
      </c>
      <c r="C255" s="346">
        <v>516044229901</v>
      </c>
      <c r="D255" s="341" t="str">
        <f>VLOOKUP(C255,[1]Material!F:J,5,0)</f>
        <v>Fedex</v>
      </c>
      <c r="E255" s="367">
        <f>_xlfn.XLOOKUP(C255,[1]Material!$F:$F,[1]Material!$D:$D)</f>
        <v>4</v>
      </c>
      <c r="F255" s="345"/>
      <c r="G255" s="59"/>
      <c r="H255" s="59">
        <v>15.172780032621477</v>
      </c>
      <c r="I255" s="59">
        <f>IFERROR(VLOOKUP(C255,'FedEx Import'!$E$2:$R$94,14,0),0)</f>
        <v>0</v>
      </c>
      <c r="J255" s="59"/>
      <c r="K255" s="59"/>
      <c r="L255" s="59"/>
      <c r="M255" s="41">
        <f t="shared" si="31"/>
        <v>15.172780032621477</v>
      </c>
    </row>
    <row r="256" spans="1:13" hidden="1" outlineLevel="2">
      <c r="A256" s="146">
        <v>46082</v>
      </c>
      <c r="B256" s="602" t="s">
        <v>1475</v>
      </c>
      <c r="C256" s="346">
        <v>889228496150</v>
      </c>
      <c r="D256" s="341" t="str">
        <f>VLOOKUP(C256,[1]Material!F:J,5,0)</f>
        <v>Fedex</v>
      </c>
      <c r="E256" s="367">
        <f>_xlfn.XLOOKUP(C256,[1]Material!$F:$F,[1]Material!$D:$D)</f>
        <v>0.5</v>
      </c>
      <c r="F256" s="345"/>
      <c r="G256" s="59"/>
      <c r="H256" s="59">
        <v>15.172780032621477</v>
      </c>
      <c r="I256" s="59">
        <f>IFERROR(VLOOKUP(C256,'FedEx Import'!$E$2:$R$94,14,0),0)</f>
        <v>0</v>
      </c>
      <c r="J256" s="59"/>
      <c r="K256" s="59"/>
      <c r="L256" s="59"/>
      <c r="M256" s="41">
        <f t="shared" si="31"/>
        <v>15.172780032621477</v>
      </c>
    </row>
    <row r="257" spans="1:13" hidden="1" outlineLevel="2">
      <c r="A257" s="146">
        <v>46082</v>
      </c>
      <c r="B257" s="602" t="s">
        <v>1520</v>
      </c>
      <c r="C257" s="346">
        <v>889248516960</v>
      </c>
      <c r="D257" s="341" t="str">
        <f>VLOOKUP(C257,[1]Material!F:J,5,0)</f>
        <v>Fedex</v>
      </c>
      <c r="E257" s="367">
        <f>_xlfn.XLOOKUP(C257,[1]Material!$F:$F,[1]Material!$D:$D)</f>
        <v>1</v>
      </c>
      <c r="F257" s="345"/>
      <c r="G257" s="59"/>
      <c r="H257" s="59">
        <v>15.172780032621477</v>
      </c>
      <c r="I257" s="59">
        <f>IFERROR(VLOOKUP(C257,'FedEx Import'!$E$2:$R$94,14,0),0)</f>
        <v>0</v>
      </c>
      <c r="J257" s="59"/>
      <c r="K257" s="59"/>
      <c r="L257" s="59"/>
      <c r="M257" s="41">
        <f t="shared" si="31"/>
        <v>15.172780032621477</v>
      </c>
    </row>
    <row r="258" spans="1:13" hidden="1" outlineLevel="2">
      <c r="A258" s="146">
        <v>46082</v>
      </c>
      <c r="B258" s="602" t="s">
        <v>968</v>
      </c>
      <c r="C258" s="346">
        <v>515282226740</v>
      </c>
      <c r="D258" s="341" t="str">
        <f>VLOOKUP(C258,[1]Material!F:J,5,0)</f>
        <v>Fedex</v>
      </c>
      <c r="E258" s="367">
        <f>_xlfn.XLOOKUP(C258,[1]Material!$F:$F,[1]Material!$D:$D)</f>
        <v>2.5</v>
      </c>
      <c r="F258" s="345"/>
      <c r="G258" s="59"/>
      <c r="H258" s="59">
        <v>15.172780032621477</v>
      </c>
      <c r="I258" s="59">
        <f>IFERROR(VLOOKUP(C258,'FedEx Import'!$E$2:$R$94,14,0),0)</f>
        <v>0</v>
      </c>
      <c r="J258" s="59"/>
      <c r="K258" s="59"/>
      <c r="L258" s="59"/>
      <c r="M258" s="41">
        <f t="shared" si="31"/>
        <v>15.172780032621477</v>
      </c>
    </row>
    <row r="259" spans="1:13" hidden="1" outlineLevel="2">
      <c r="A259" s="146">
        <v>46082</v>
      </c>
      <c r="B259" s="602" t="s">
        <v>957</v>
      </c>
      <c r="C259" s="346">
        <v>516542936042</v>
      </c>
      <c r="D259" s="341" t="str">
        <f>VLOOKUP(C259,[1]Material!F:J,5,0)</f>
        <v>Fedex</v>
      </c>
      <c r="E259" s="367">
        <f>_xlfn.XLOOKUP(C259,[1]Material!$F:$F,[1]Material!$D:$D)</f>
        <v>0.5</v>
      </c>
      <c r="F259" s="345"/>
      <c r="G259" s="59"/>
      <c r="H259" s="59">
        <v>15.172780032621477</v>
      </c>
      <c r="I259" s="59">
        <f>IFERROR(VLOOKUP(C259,'FedEx Import'!$E$2:$R$94,14,0),0)</f>
        <v>0</v>
      </c>
      <c r="J259" s="59"/>
      <c r="K259" s="59"/>
      <c r="L259" s="59"/>
      <c r="M259" s="41">
        <f t="shared" si="31"/>
        <v>15.172780032621477</v>
      </c>
    </row>
    <row r="260" spans="1:13" hidden="1" outlineLevel="2">
      <c r="A260" s="146">
        <v>46082</v>
      </c>
      <c r="B260" s="602" t="s">
        <v>968</v>
      </c>
      <c r="C260" s="346">
        <v>515282254979</v>
      </c>
      <c r="D260" s="341" t="str">
        <f>VLOOKUP(C260,[1]Material!F:J,5,0)</f>
        <v>Fedex</v>
      </c>
      <c r="E260" s="367">
        <f>_xlfn.XLOOKUP(C260,[1]Material!$F:$F,[1]Material!$D:$D)</f>
        <v>0.5</v>
      </c>
      <c r="F260" s="345"/>
      <c r="G260" s="59"/>
      <c r="H260" s="59">
        <v>15.172780032621477</v>
      </c>
      <c r="I260" s="59">
        <f>IFERROR(VLOOKUP(C260,'FedEx Import'!$E$2:$R$94,14,0),0)</f>
        <v>0</v>
      </c>
      <c r="J260" s="59"/>
      <c r="K260" s="59"/>
      <c r="L260" s="59"/>
      <c r="M260" s="41">
        <f t="shared" si="31"/>
        <v>15.172780032621477</v>
      </c>
    </row>
    <row r="261" spans="1:13" hidden="1" outlineLevel="2">
      <c r="A261" s="146">
        <v>46082</v>
      </c>
      <c r="B261" s="602" t="s">
        <v>1471</v>
      </c>
      <c r="C261" s="346">
        <v>889258088418</v>
      </c>
      <c r="D261" s="341" t="str">
        <f>VLOOKUP(C261,[1]Material!F:J,5,0)</f>
        <v>Fedex</v>
      </c>
      <c r="E261" s="367">
        <f>_xlfn.XLOOKUP(C261,[1]Material!$F:$F,[1]Material!$D:$D)</f>
        <v>3.5</v>
      </c>
      <c r="F261" s="345"/>
      <c r="G261" s="59"/>
      <c r="H261" s="59">
        <v>15.172780032621477</v>
      </c>
      <c r="I261" s="59">
        <f>IFERROR(VLOOKUP(C261,'FedEx Import'!$E$2:$R$94,14,0),0)</f>
        <v>0</v>
      </c>
      <c r="J261" s="59"/>
      <c r="K261" s="59"/>
      <c r="L261" s="59"/>
      <c r="M261" s="41">
        <f t="shared" si="31"/>
        <v>15.172780032621477</v>
      </c>
    </row>
    <row r="262" spans="1:13" hidden="1" outlineLevel="2">
      <c r="A262" s="146">
        <v>46082</v>
      </c>
      <c r="B262" s="602" t="s">
        <v>802</v>
      </c>
      <c r="C262" s="346">
        <v>399360573886</v>
      </c>
      <c r="D262" s="341" t="str">
        <f>VLOOKUP(C262,[1]Material!F:J,5,0)</f>
        <v>Fedex</v>
      </c>
      <c r="E262" s="367">
        <f>_xlfn.XLOOKUP(C262,[1]Material!$F:$F,[1]Material!$D:$D)</f>
        <v>1.5</v>
      </c>
      <c r="F262" s="345"/>
      <c r="G262" s="59"/>
      <c r="H262" s="59">
        <v>15.172780032621477</v>
      </c>
      <c r="I262" s="59">
        <f>IFERROR(VLOOKUP(C262,'FedEx Import'!$E$2:$R$94,14,0),0)</f>
        <v>0</v>
      </c>
      <c r="J262" s="59"/>
      <c r="K262" s="59"/>
      <c r="L262" s="59"/>
      <c r="M262" s="41">
        <f t="shared" si="31"/>
        <v>15.172780032621477</v>
      </c>
    </row>
    <row r="263" spans="1:13" hidden="1" outlineLevel="2">
      <c r="A263" s="146">
        <v>46082</v>
      </c>
      <c r="B263" s="602" t="s">
        <v>972</v>
      </c>
      <c r="C263" s="346">
        <v>493602820104</v>
      </c>
      <c r="D263" s="341" t="str">
        <f>VLOOKUP(C263,[1]Material!F:J,5,0)</f>
        <v>Fedex</v>
      </c>
      <c r="E263" s="367">
        <f>_xlfn.XLOOKUP(C263,[1]Material!$F:$F,[1]Material!$D:$D)</f>
        <v>4</v>
      </c>
      <c r="F263" s="345"/>
      <c r="G263" s="59"/>
      <c r="H263" s="59">
        <v>15.172780032621477</v>
      </c>
      <c r="I263" s="59">
        <f>IFERROR(VLOOKUP(C263,'FedEx Import'!$E$2:$R$94,14,0),0)</f>
        <v>0</v>
      </c>
      <c r="J263" s="59"/>
      <c r="K263" s="59"/>
      <c r="L263" s="59"/>
      <c r="M263" s="41">
        <f t="shared" si="31"/>
        <v>15.172780032621477</v>
      </c>
    </row>
    <row r="264" spans="1:13" hidden="1" outlineLevel="2">
      <c r="A264" s="146">
        <v>46082</v>
      </c>
      <c r="B264" s="602" t="s">
        <v>972</v>
      </c>
      <c r="C264" s="346">
        <v>493602821615</v>
      </c>
      <c r="D264" s="341" t="str">
        <f>VLOOKUP(C264,[1]Material!F:J,5,0)</f>
        <v>Fedex</v>
      </c>
      <c r="E264" s="367">
        <f>_xlfn.XLOOKUP(C264,[1]Material!$F:$F,[1]Material!$D:$D)</f>
        <v>7</v>
      </c>
      <c r="F264" s="345"/>
      <c r="G264" s="59"/>
      <c r="H264" s="59">
        <v>15.172780032621477</v>
      </c>
      <c r="I264" s="59">
        <f>IFERROR(VLOOKUP(C264,'FedEx Import'!$E$2:$R$94,14,0),0)</f>
        <v>0</v>
      </c>
      <c r="J264" s="59"/>
      <c r="K264" s="59"/>
      <c r="L264" s="59"/>
      <c r="M264" s="41">
        <f t="shared" ref="M264:M327" si="33">SUM(G264:L264)</f>
        <v>15.172780032621477</v>
      </c>
    </row>
    <row r="265" spans="1:13" hidden="1" outlineLevel="2">
      <c r="A265" s="146">
        <v>46082</v>
      </c>
      <c r="B265" s="602" t="s">
        <v>977</v>
      </c>
      <c r="C265" s="346">
        <v>493891685618</v>
      </c>
      <c r="D265" s="341" t="str">
        <f>VLOOKUP(C265,[1]Material!F:J,5,0)</f>
        <v>Fedex</v>
      </c>
      <c r="E265" s="367">
        <f>_xlfn.XLOOKUP(C265,[1]Material!$F:$F,[1]Material!$D:$D)</f>
        <v>15</v>
      </c>
      <c r="F265" s="345"/>
      <c r="G265" s="59"/>
      <c r="H265" s="59">
        <v>15.172780032621477</v>
      </c>
      <c r="I265" s="59">
        <f>IFERROR(VLOOKUP(C265,'FedEx Import'!$E$2:$R$94,14,0),0)</f>
        <v>0</v>
      </c>
      <c r="J265" s="59"/>
      <c r="K265" s="59"/>
      <c r="L265" s="59"/>
      <c r="M265" s="41">
        <f t="shared" si="33"/>
        <v>15.172780032621477</v>
      </c>
    </row>
    <row r="266" spans="1:13" hidden="1" outlineLevel="2">
      <c r="A266" s="146">
        <v>46082</v>
      </c>
      <c r="B266" s="602" t="s">
        <v>961</v>
      </c>
      <c r="C266" s="346">
        <v>516924200802</v>
      </c>
      <c r="D266" s="341" t="str">
        <f>VLOOKUP(C266,[1]Material!F:J,5,0)</f>
        <v>Fedex</v>
      </c>
      <c r="E266" s="367">
        <f>_xlfn.XLOOKUP(C266,[1]Material!$F:$F,[1]Material!$D:$D)</f>
        <v>1</v>
      </c>
      <c r="F266" s="345"/>
      <c r="G266" s="59"/>
      <c r="H266" s="59">
        <v>15.172780032621477</v>
      </c>
      <c r="I266" s="59">
        <f>IFERROR(VLOOKUP(C266,'FedEx Import'!$E$2:$R$94,14,0),0)</f>
        <v>0</v>
      </c>
      <c r="J266" s="59"/>
      <c r="K266" s="59"/>
      <c r="L266" s="59"/>
      <c r="M266" s="41">
        <f t="shared" si="33"/>
        <v>15.172780032621477</v>
      </c>
    </row>
    <row r="267" spans="1:13" hidden="1" outlineLevel="2">
      <c r="A267" s="146">
        <v>46082</v>
      </c>
      <c r="B267" s="602" t="s">
        <v>802</v>
      </c>
      <c r="C267" s="346">
        <v>399501046760</v>
      </c>
      <c r="D267" s="341" t="str">
        <f>VLOOKUP(C267,[1]Material!F:J,5,0)</f>
        <v>Fedex</v>
      </c>
      <c r="E267" s="367">
        <f>_xlfn.XLOOKUP(C267,[1]Material!$F:$F,[1]Material!$D:$D)</f>
        <v>1.5</v>
      </c>
      <c r="F267" s="345"/>
      <c r="G267" s="59"/>
      <c r="H267" s="59">
        <v>15.172780032621477</v>
      </c>
      <c r="I267" s="59">
        <f>IFERROR(VLOOKUP(C267,'FedEx Import'!$E$2:$R$94,14,0),0)</f>
        <v>0</v>
      </c>
      <c r="J267" s="59"/>
      <c r="K267" s="59"/>
      <c r="L267" s="59"/>
      <c r="M267" s="41">
        <f t="shared" si="33"/>
        <v>15.172780032621477</v>
      </c>
    </row>
    <row r="268" spans="1:13" hidden="1" outlineLevel="2">
      <c r="A268" s="146">
        <v>46082</v>
      </c>
      <c r="B268" s="602" t="s">
        <v>947</v>
      </c>
      <c r="C268" s="346">
        <v>500292509251</v>
      </c>
      <c r="D268" s="341" t="str">
        <f>VLOOKUP(C268,[1]Material!F:J,5,0)</f>
        <v>Fedex</v>
      </c>
      <c r="E268" s="367">
        <f>_xlfn.XLOOKUP(C268,[1]Material!$F:$F,[1]Material!$D:$D)</f>
        <v>2</v>
      </c>
      <c r="F268" s="345"/>
      <c r="G268" s="59"/>
      <c r="H268" s="59">
        <v>15.172780032621477</v>
      </c>
      <c r="I268" s="59">
        <f>IFERROR(VLOOKUP(C268,'FedEx Import'!$E$2:$R$94,14,0),0)</f>
        <v>0</v>
      </c>
      <c r="J268" s="59"/>
      <c r="K268" s="59"/>
      <c r="L268" s="59"/>
      <c r="M268" s="41">
        <f t="shared" si="33"/>
        <v>15.172780032621477</v>
      </c>
    </row>
    <row r="269" spans="1:13" hidden="1" outlineLevel="2">
      <c r="A269" s="146">
        <v>46082</v>
      </c>
      <c r="B269" s="602" t="s">
        <v>945</v>
      </c>
      <c r="C269" s="346">
        <v>500292515018</v>
      </c>
      <c r="D269" s="341" t="str">
        <f>VLOOKUP(C269,[1]Material!F:J,5,0)</f>
        <v>Fedex</v>
      </c>
      <c r="E269" s="367">
        <f>_xlfn.XLOOKUP(C269,[1]Material!$F:$F,[1]Material!$D:$D)</f>
        <v>0.5</v>
      </c>
      <c r="F269" s="345"/>
      <c r="G269" s="59"/>
      <c r="H269" s="59">
        <v>15.172780032621477</v>
      </c>
      <c r="I269" s="59">
        <f>IFERROR(VLOOKUP(C269,'FedEx Import'!$E$2:$R$94,14,0),0)</f>
        <v>0</v>
      </c>
      <c r="J269" s="59"/>
      <c r="K269" s="59"/>
      <c r="L269" s="59"/>
      <c r="M269" s="41">
        <f t="shared" si="33"/>
        <v>15.172780032621477</v>
      </c>
    </row>
    <row r="270" spans="1:13" hidden="1" outlineLevel="2">
      <c r="A270" s="146">
        <v>46082</v>
      </c>
      <c r="B270" s="602" t="s">
        <v>947</v>
      </c>
      <c r="C270" s="346">
        <v>500292516827</v>
      </c>
      <c r="D270" s="341" t="str">
        <f>VLOOKUP(C270,[1]Material!F:J,5,0)</f>
        <v>Fedex</v>
      </c>
      <c r="E270" s="367">
        <f>_xlfn.XLOOKUP(C270,[1]Material!$F:$F,[1]Material!$D:$D)</f>
        <v>1</v>
      </c>
      <c r="F270" s="345"/>
      <c r="G270" s="59"/>
      <c r="H270" s="59">
        <v>15.172780032621477</v>
      </c>
      <c r="I270" s="59">
        <f>IFERROR(VLOOKUP(C270,'FedEx Import'!$E$2:$R$94,14,0),0)</f>
        <v>0</v>
      </c>
      <c r="J270" s="59"/>
      <c r="K270" s="59"/>
      <c r="L270" s="59"/>
      <c r="M270" s="41">
        <f t="shared" si="33"/>
        <v>15.172780032621477</v>
      </c>
    </row>
    <row r="271" spans="1:13" hidden="1" outlineLevel="2">
      <c r="A271" s="146">
        <v>46082</v>
      </c>
      <c r="B271" s="602" t="s">
        <v>945</v>
      </c>
      <c r="C271" s="346">
        <v>500292514375</v>
      </c>
      <c r="D271" s="341" t="str">
        <f>VLOOKUP(C271,[1]Material!F:J,5,0)</f>
        <v>Fedex</v>
      </c>
      <c r="E271" s="367">
        <f>_xlfn.XLOOKUP(C271,[1]Material!$F:$F,[1]Material!$D:$D)</f>
        <v>0.5</v>
      </c>
      <c r="F271" s="345"/>
      <c r="G271" s="59"/>
      <c r="H271" s="59">
        <v>15.172780032621477</v>
      </c>
      <c r="I271" s="59">
        <f>IFERROR(VLOOKUP(C271,'FedEx Import'!$E$2:$R$94,14,0),0)</f>
        <v>0</v>
      </c>
      <c r="J271" s="59"/>
      <c r="K271" s="59"/>
      <c r="L271" s="59"/>
      <c r="M271" s="41">
        <f t="shared" si="33"/>
        <v>15.172780032621477</v>
      </c>
    </row>
    <row r="272" spans="1:13" hidden="1" outlineLevel="2">
      <c r="A272" s="146">
        <v>46082</v>
      </c>
      <c r="B272" s="602" t="s">
        <v>977</v>
      </c>
      <c r="C272" s="346">
        <v>493891686100</v>
      </c>
      <c r="D272" s="341" t="str">
        <f>VLOOKUP(C272,[1]Material!F:J,5,0)</f>
        <v>Fedex</v>
      </c>
      <c r="E272" s="367">
        <f>_xlfn.XLOOKUP(C272,[1]Material!$F:$F,[1]Material!$D:$D)</f>
        <v>2</v>
      </c>
      <c r="F272" s="345"/>
      <c r="G272" s="59"/>
      <c r="H272" s="59">
        <v>15.172780032621477</v>
      </c>
      <c r="I272" s="59">
        <f>IFERROR(VLOOKUP(C272,'FedEx Import'!$E$2:$R$94,14,0),0)</f>
        <v>0</v>
      </c>
      <c r="J272" s="59"/>
      <c r="K272" s="59"/>
      <c r="L272" s="59"/>
      <c r="M272" s="41">
        <f t="shared" si="33"/>
        <v>15.172780032621477</v>
      </c>
    </row>
    <row r="273" spans="1:13" hidden="1" outlineLevel="2">
      <c r="A273" s="146">
        <v>46082</v>
      </c>
      <c r="B273" s="602" t="s">
        <v>945</v>
      </c>
      <c r="C273" s="346">
        <v>500292515062</v>
      </c>
      <c r="D273" s="341" t="str">
        <f>VLOOKUP(C273,[1]Material!F:J,5,0)</f>
        <v>Fedex</v>
      </c>
      <c r="E273" s="367">
        <f>_xlfn.XLOOKUP(C273,[1]Material!$F:$F,[1]Material!$D:$D)</f>
        <v>0.5</v>
      </c>
      <c r="F273" s="345"/>
      <c r="G273" s="59"/>
      <c r="H273" s="59">
        <v>15.172780032621477</v>
      </c>
      <c r="I273" s="59">
        <f>IFERROR(VLOOKUP(C273,'FedEx Import'!$E$2:$R$94,14,0),0)</f>
        <v>0</v>
      </c>
      <c r="J273" s="59"/>
      <c r="K273" s="59"/>
      <c r="L273" s="59"/>
      <c r="M273" s="41">
        <f t="shared" si="33"/>
        <v>15.172780032621477</v>
      </c>
    </row>
    <row r="274" spans="1:13" hidden="1" outlineLevel="2">
      <c r="A274" s="146">
        <v>46082</v>
      </c>
      <c r="B274" s="602" t="s">
        <v>981</v>
      </c>
      <c r="C274" s="346">
        <v>399652340970</v>
      </c>
      <c r="D274" s="341" t="str">
        <f>VLOOKUP(C274,[1]Material!F:J,5,0)</f>
        <v>Fedex</v>
      </c>
      <c r="E274" s="367">
        <f>_xlfn.XLOOKUP(C274,[1]Material!$F:$F,[1]Material!$D:$D)</f>
        <v>2</v>
      </c>
      <c r="F274" s="345"/>
      <c r="G274" s="59"/>
      <c r="H274" s="59">
        <v>15.172780032621477</v>
      </c>
      <c r="I274" s="59">
        <f>IFERROR(VLOOKUP(C274,'FedEx Import'!$E$2:$R$94,14,0),0)</f>
        <v>0</v>
      </c>
      <c r="J274" s="59"/>
      <c r="K274" s="59"/>
      <c r="L274" s="59"/>
      <c r="M274" s="41">
        <f t="shared" si="33"/>
        <v>15.172780032621477</v>
      </c>
    </row>
    <row r="275" spans="1:13" hidden="1" outlineLevel="2">
      <c r="A275" s="146">
        <v>46082</v>
      </c>
      <c r="B275" s="602" t="s">
        <v>1714</v>
      </c>
      <c r="C275" s="346">
        <v>889687591404</v>
      </c>
      <c r="D275" s="341" t="str">
        <f>VLOOKUP(C275,[1]Material!F:J,5,0)</f>
        <v>Fedex</v>
      </c>
      <c r="E275" s="367">
        <f>_xlfn.XLOOKUP(C275,[1]Material!$F:$F,[1]Material!$D:$D)</f>
        <v>0.5</v>
      </c>
      <c r="F275" s="345"/>
      <c r="G275" s="59"/>
      <c r="H275" s="59">
        <v>15.172780032621477</v>
      </c>
      <c r="I275" s="59">
        <f>IFERROR(VLOOKUP(C275,'FedEx Import'!$E$2:$R$94,14,0),0)</f>
        <v>0</v>
      </c>
      <c r="J275" s="59"/>
      <c r="K275" s="59"/>
      <c r="L275" s="59"/>
      <c r="M275" s="41">
        <f t="shared" si="33"/>
        <v>15.172780032621477</v>
      </c>
    </row>
    <row r="276" spans="1:13" hidden="1" outlineLevel="2">
      <c r="A276" s="146">
        <v>46082</v>
      </c>
      <c r="B276" s="602" t="s">
        <v>1322</v>
      </c>
      <c r="C276" s="346">
        <v>515510847045</v>
      </c>
      <c r="D276" s="341" t="str">
        <f>VLOOKUP(C276,[1]Material!F:J,5,0)</f>
        <v>Fedex</v>
      </c>
      <c r="E276" s="367">
        <f>_xlfn.XLOOKUP(C276,[1]Material!$F:$F,[1]Material!$D:$D)</f>
        <v>1</v>
      </c>
      <c r="F276" s="345"/>
      <c r="G276" s="59"/>
      <c r="H276" s="59">
        <v>15.172780032621477</v>
      </c>
      <c r="I276" s="59">
        <f>IFERROR(VLOOKUP(C276,'FedEx Import'!$E$2:$R$94,14,0),0)</f>
        <v>0</v>
      </c>
      <c r="J276" s="59"/>
      <c r="K276" s="59"/>
      <c r="L276" s="59"/>
      <c r="M276" s="41">
        <f t="shared" si="33"/>
        <v>15.172780032621477</v>
      </c>
    </row>
    <row r="277" spans="1:13" hidden="1" outlineLevel="2">
      <c r="A277" s="146">
        <v>46082</v>
      </c>
      <c r="B277" s="602" t="s">
        <v>977</v>
      </c>
      <c r="C277" s="346">
        <v>493891686224</v>
      </c>
      <c r="D277" s="341" t="str">
        <f>VLOOKUP(C277,[1]Material!F:J,5,0)</f>
        <v>Fedex</v>
      </c>
      <c r="E277" s="367">
        <f>_xlfn.XLOOKUP(C277,[1]Material!$F:$F,[1]Material!$D:$D)</f>
        <v>35.9</v>
      </c>
      <c r="F277" s="345"/>
      <c r="G277" s="59"/>
      <c r="H277" s="59">
        <v>15.172780032621477</v>
      </c>
      <c r="I277" s="59">
        <f>IFERROR(VLOOKUP(C277,'FedEx Import'!$E$2:$R$94,14,0),0)</f>
        <v>0</v>
      </c>
      <c r="J277" s="59"/>
      <c r="K277" s="59"/>
      <c r="L277" s="59"/>
      <c r="M277" s="41">
        <f t="shared" si="33"/>
        <v>15.172780032621477</v>
      </c>
    </row>
    <row r="278" spans="1:13" hidden="1" outlineLevel="2">
      <c r="A278" s="146">
        <v>46082</v>
      </c>
      <c r="B278" s="602" t="s">
        <v>110</v>
      </c>
      <c r="C278" s="346">
        <v>483570643809</v>
      </c>
      <c r="D278" s="341" t="str">
        <f>VLOOKUP(C278,[1]Material!F:J,5,0)</f>
        <v>Fedex</v>
      </c>
      <c r="E278" s="367">
        <f>_xlfn.XLOOKUP(C278,[1]Material!$F:$F,[1]Material!$D:$D)</f>
        <v>32.700000000000003</v>
      </c>
      <c r="F278" s="345"/>
      <c r="G278" s="59"/>
      <c r="H278" s="59">
        <v>15.172780032621477</v>
      </c>
      <c r="I278" s="59">
        <f>IFERROR(VLOOKUP(C278,'FedEx Import'!$E$2:$R$94,14,0),0)</f>
        <v>0</v>
      </c>
      <c r="J278" s="59"/>
      <c r="K278" s="59"/>
      <c r="L278" s="59"/>
      <c r="M278" s="41">
        <f t="shared" si="33"/>
        <v>15.172780032621477</v>
      </c>
    </row>
    <row r="279" spans="1:13" hidden="1" outlineLevel="2">
      <c r="A279" s="146">
        <v>46082</v>
      </c>
      <c r="B279" s="602" t="s">
        <v>1330</v>
      </c>
      <c r="C279" s="346">
        <v>889730851549</v>
      </c>
      <c r="D279" s="341" t="str">
        <f>VLOOKUP(C279,[1]Material!F:J,5,0)</f>
        <v>Fedex</v>
      </c>
      <c r="E279" s="367">
        <f>_xlfn.XLOOKUP(C279,[1]Material!$F:$F,[1]Material!$D:$D)</f>
        <v>1.3</v>
      </c>
      <c r="F279" s="345"/>
      <c r="G279" s="59"/>
      <c r="H279" s="59">
        <v>15.172780032621477</v>
      </c>
      <c r="I279" s="59">
        <f>IFERROR(VLOOKUP(C279,'FedEx Import'!$E$2:$R$94,14,0),0)</f>
        <v>0</v>
      </c>
      <c r="J279" s="59"/>
      <c r="K279" s="59"/>
      <c r="L279" s="59"/>
      <c r="M279" s="41">
        <f t="shared" si="33"/>
        <v>15.172780032621477</v>
      </c>
    </row>
    <row r="280" spans="1:13" outlineLevel="1" collapsed="1">
      <c r="A280" s="146" t="s">
        <v>1750</v>
      </c>
      <c r="B280" s="602"/>
      <c r="C280" s="346"/>
      <c r="D280" s="341"/>
      <c r="E280" s="367">
        <f t="shared" ref="E280:M280" si="34">SUBTOTAL(9,E216:E279)</f>
        <v>1069</v>
      </c>
      <c r="F280" s="345">
        <f t="shared" si="34"/>
        <v>0</v>
      </c>
      <c r="G280" s="59">
        <f t="shared" si="34"/>
        <v>0</v>
      </c>
      <c r="H280" s="59">
        <f t="shared" si="34"/>
        <v>940.71236202253249</v>
      </c>
      <c r="I280" s="59">
        <f t="shared" si="34"/>
        <v>0</v>
      </c>
      <c r="J280" s="59">
        <f t="shared" si="34"/>
        <v>0</v>
      </c>
      <c r="K280" s="59">
        <f t="shared" si="34"/>
        <v>0</v>
      </c>
      <c r="L280" s="59">
        <f t="shared" si="34"/>
        <v>0</v>
      </c>
      <c r="M280" s="41">
        <f t="shared" si="34"/>
        <v>940.71236202253249</v>
      </c>
    </row>
    <row r="281" spans="1:13" hidden="1" outlineLevel="2">
      <c r="A281" s="146">
        <v>46113</v>
      </c>
      <c r="B281" s="602" t="s">
        <v>648</v>
      </c>
      <c r="C281" s="346">
        <v>889801135892</v>
      </c>
      <c r="D281" s="341" t="str">
        <f>VLOOKUP(C281,[1]Material!F:J,5,0)</f>
        <v>Fedex</v>
      </c>
      <c r="E281" s="367">
        <f>_xlfn.XLOOKUP(C281,[1]Material!$F:$F,[1]Material!$D:$D)</f>
        <v>4.2</v>
      </c>
      <c r="F281" s="345"/>
      <c r="G281" s="59"/>
      <c r="H281" s="59">
        <v>15.170478249326811</v>
      </c>
      <c r="I281" s="59">
        <v>41.099821746880572</v>
      </c>
      <c r="J281" s="59"/>
      <c r="K281" s="59"/>
      <c r="L281" s="59"/>
      <c r="M281" s="41">
        <f t="shared" si="33"/>
        <v>56.270299996207385</v>
      </c>
    </row>
    <row r="282" spans="1:13" hidden="1" outlineLevel="2">
      <c r="A282" s="146">
        <v>46113</v>
      </c>
      <c r="B282" s="602" t="s">
        <v>1808</v>
      </c>
      <c r="C282" s="346">
        <v>889681476322</v>
      </c>
      <c r="D282" s="341" t="str">
        <f>VLOOKUP(C282,[1]Material!F:J,5,0)</f>
        <v>Fedex</v>
      </c>
      <c r="E282" s="367">
        <f>_xlfn.XLOOKUP(C282,[1]Material!$F:$F,[1]Material!$D:$D)</f>
        <v>3.8</v>
      </c>
      <c r="F282" s="345"/>
      <c r="G282" s="59"/>
      <c r="H282" s="59">
        <v>15.170478249326811</v>
      </c>
      <c r="I282" s="59">
        <v>33.859483445215609</v>
      </c>
      <c r="J282" s="59"/>
      <c r="K282" s="59"/>
      <c r="L282" s="59"/>
      <c r="M282" s="41">
        <f t="shared" si="33"/>
        <v>49.029961694542422</v>
      </c>
    </row>
    <row r="283" spans="1:13" hidden="1" outlineLevel="2">
      <c r="A283" s="146">
        <v>46113</v>
      </c>
      <c r="B283" s="602" t="s">
        <v>844</v>
      </c>
      <c r="C283" s="346">
        <v>889807650346</v>
      </c>
      <c r="D283" s="341" t="str">
        <f>VLOOKUP(C283,[1]Material!F:J,5,0)</f>
        <v>Fedex</v>
      </c>
      <c r="E283" s="367">
        <f>_xlfn.XLOOKUP(C283,[1]Material!$F:$F,[1]Material!$D:$D)</f>
        <v>1.1000000000000001</v>
      </c>
      <c r="F283" s="345"/>
      <c r="G283" s="59"/>
      <c r="H283" s="59">
        <v>15.170478249326811</v>
      </c>
      <c r="I283" s="59">
        <v>17.626654530284068</v>
      </c>
      <c r="J283" s="59"/>
      <c r="K283" s="59"/>
      <c r="L283" s="59"/>
      <c r="M283" s="41">
        <f t="shared" si="33"/>
        <v>32.797132779610877</v>
      </c>
    </row>
    <row r="284" spans="1:13" hidden="1" outlineLevel="2">
      <c r="A284" s="146">
        <v>46113</v>
      </c>
      <c r="B284" s="602" t="s">
        <v>46</v>
      </c>
      <c r="C284" s="346">
        <v>889802956189</v>
      </c>
      <c r="D284" s="341" t="str">
        <f>VLOOKUP(C284,[1]Material!F:J,5,0)</f>
        <v>Fedex</v>
      </c>
      <c r="E284" s="367">
        <f>_xlfn.XLOOKUP(C284,[1]Material!$F:$F,[1]Material!$D:$D)</f>
        <v>1.5</v>
      </c>
      <c r="F284" s="345"/>
      <c r="G284" s="59"/>
      <c r="H284" s="59">
        <v>15.170478249326811</v>
      </c>
      <c r="I284" s="59">
        <v>36.842909697728224</v>
      </c>
      <c r="J284" s="59"/>
      <c r="K284" s="59"/>
      <c r="L284" s="59"/>
      <c r="M284" s="41">
        <f t="shared" si="33"/>
        <v>52.013387947055037</v>
      </c>
    </row>
    <row r="285" spans="1:13" hidden="1" outlineLevel="2">
      <c r="A285" s="146">
        <v>46113</v>
      </c>
      <c r="B285" s="602" t="s">
        <v>92</v>
      </c>
      <c r="C285" s="346">
        <v>497354644203</v>
      </c>
      <c r="D285" s="341" t="str">
        <f>VLOOKUP(C285,[1]Material!F:J,5,0)</f>
        <v>Fedex</v>
      </c>
      <c r="E285" s="367">
        <f>_xlfn.XLOOKUP(C285,[1]Material!$F:$F,[1]Material!$D:$D)</f>
        <v>87.8</v>
      </c>
      <c r="F285" s="345"/>
      <c r="G285" s="59"/>
      <c r="H285" s="59">
        <v>15.170478249326811</v>
      </c>
      <c r="I285" s="59">
        <v>213.81033109568779</v>
      </c>
      <c r="J285" s="59"/>
      <c r="K285" s="59"/>
      <c r="L285" s="59"/>
      <c r="M285" s="41">
        <f t="shared" si="33"/>
        <v>228.98080934501459</v>
      </c>
    </row>
    <row r="286" spans="1:13" hidden="1" outlineLevel="2">
      <c r="A286" s="146">
        <v>46113</v>
      </c>
      <c r="B286" s="602" t="s">
        <v>844</v>
      </c>
      <c r="C286" s="346">
        <v>870001600869</v>
      </c>
      <c r="D286" s="341" t="str">
        <f>VLOOKUP(C286,[1]Material!F:J,5,0)</f>
        <v>Fedex</v>
      </c>
      <c r="E286" s="367">
        <f>_xlfn.XLOOKUP(C286,[1]Material!$F:$F,[1]Material!$D:$D)</f>
        <v>1</v>
      </c>
      <c r="F286" s="345"/>
      <c r="G286" s="59"/>
      <c r="H286" s="59">
        <v>15.170478249326811</v>
      </c>
      <c r="I286" s="59">
        <v>16.485796639739068</v>
      </c>
      <c r="J286" s="59"/>
      <c r="K286" s="59"/>
      <c r="L286" s="59"/>
      <c r="M286" s="41">
        <f t="shared" si="33"/>
        <v>31.656274889065877</v>
      </c>
    </row>
    <row r="287" spans="1:13" hidden="1" outlineLevel="2">
      <c r="A287" s="146">
        <v>46113</v>
      </c>
      <c r="B287" s="602" t="s">
        <v>92</v>
      </c>
      <c r="C287" s="346">
        <v>497354646445</v>
      </c>
      <c r="D287" s="341" t="str">
        <f>VLOOKUP(C287,[1]Material!F:J,5,0)</f>
        <v>Fedex</v>
      </c>
      <c r="E287" s="367">
        <f>_xlfn.XLOOKUP(C287,[1]Material!$F:$F,[1]Material!$D:$D)</f>
        <v>58.4</v>
      </c>
      <c r="F287" s="345"/>
      <c r="G287" s="59"/>
      <c r="H287" s="59">
        <v>15.170478249326811</v>
      </c>
      <c r="I287" s="59">
        <v>185.24834072894149</v>
      </c>
      <c r="J287" s="59"/>
      <c r="K287" s="59"/>
      <c r="L287" s="59"/>
      <c r="M287" s="41">
        <f t="shared" si="33"/>
        <v>200.41881897826829</v>
      </c>
    </row>
    <row r="288" spans="1:13" hidden="1" outlineLevel="2">
      <c r="A288" s="146">
        <v>46113</v>
      </c>
      <c r="B288" s="602" t="s">
        <v>804</v>
      </c>
      <c r="C288" s="346">
        <v>380142266975</v>
      </c>
      <c r="D288" s="341" t="str">
        <f>VLOOKUP(C288,[1]Material!F:J,5,0)</f>
        <v>Fedex</v>
      </c>
      <c r="E288" s="367">
        <f>_xlfn.XLOOKUP(C288,[1]Material!$F:$F,[1]Material!$D:$D)</f>
        <v>0.5</v>
      </c>
      <c r="F288" s="345"/>
      <c r="G288" s="59"/>
      <c r="H288" s="59">
        <v>15.170478249326811</v>
      </c>
      <c r="I288" s="59">
        <v>17.009140213145219</v>
      </c>
      <c r="J288" s="59"/>
      <c r="K288" s="59"/>
      <c r="L288" s="59"/>
      <c r="M288" s="41">
        <f t="shared" si="33"/>
        <v>32.179618462472028</v>
      </c>
    </row>
    <row r="289" spans="1:13" hidden="1" outlineLevel="2">
      <c r="A289" s="146">
        <v>46113</v>
      </c>
      <c r="B289" s="602" t="s">
        <v>808</v>
      </c>
      <c r="C289" s="346">
        <v>500292567060</v>
      </c>
      <c r="D289" s="341" t="str">
        <f>VLOOKUP(C289,[1]Material!F:J,5,0)</f>
        <v>Fedex</v>
      </c>
      <c r="E289" s="367">
        <f>_xlfn.XLOOKUP(C289,[1]Material!$F:$F,[1]Material!$D:$D)</f>
        <v>1.1000000000000001</v>
      </c>
      <c r="F289" s="345"/>
      <c r="G289" s="59"/>
      <c r="H289" s="59">
        <v>15.170478249326811</v>
      </c>
      <c r="I289" s="59">
        <v>46.512800091022868</v>
      </c>
      <c r="J289" s="59"/>
      <c r="K289" s="59"/>
      <c r="L289" s="59"/>
      <c r="M289" s="41">
        <f t="shared" si="33"/>
        <v>61.68327834034968</v>
      </c>
    </row>
    <row r="290" spans="1:13" hidden="1" outlineLevel="2">
      <c r="A290" s="146">
        <v>46113</v>
      </c>
      <c r="B290" s="602" t="s">
        <v>804</v>
      </c>
      <c r="C290" s="346">
        <v>380380441160</v>
      </c>
      <c r="D290" s="341" t="str">
        <f>VLOOKUP(C290,[1]Material!F:J,5,0)</f>
        <v>Fedex</v>
      </c>
      <c r="E290" s="367">
        <f>_xlfn.XLOOKUP(C290,[1]Material!$F:$F,[1]Material!$D:$D)</f>
        <v>0.5</v>
      </c>
      <c r="F290" s="345"/>
      <c r="G290" s="59"/>
      <c r="H290" s="59">
        <v>15.170478249326811</v>
      </c>
      <c r="I290" s="59">
        <v>16.980050821102136</v>
      </c>
      <c r="J290" s="59"/>
      <c r="K290" s="59"/>
      <c r="L290" s="59"/>
      <c r="M290" s="41">
        <f t="shared" si="33"/>
        <v>32.150529070428945</v>
      </c>
    </row>
    <row r="291" spans="1:13" hidden="1" outlineLevel="2">
      <c r="A291" s="146">
        <v>46113</v>
      </c>
      <c r="B291" s="602" t="s">
        <v>523</v>
      </c>
      <c r="C291" s="346">
        <v>494686575650</v>
      </c>
      <c r="D291" s="341" t="str">
        <f>VLOOKUP(C291,[1]Material!F:J,5,0)</f>
        <v>Fedex</v>
      </c>
      <c r="E291" s="367">
        <f>_xlfn.XLOOKUP(C291,[1]Material!$F:$F,[1]Material!$D:$D)</f>
        <v>46</v>
      </c>
      <c r="F291" s="345"/>
      <c r="G291" s="59"/>
      <c r="H291" s="59">
        <v>15.170478249326811</v>
      </c>
      <c r="I291" s="59">
        <v>173.99487996359085</v>
      </c>
      <c r="J291" s="59"/>
      <c r="K291" s="59"/>
      <c r="L291" s="59"/>
      <c r="M291" s="41">
        <f t="shared" si="33"/>
        <v>189.16535821291765</v>
      </c>
    </row>
    <row r="292" spans="1:13" hidden="1" outlineLevel="2">
      <c r="A292" s="146">
        <v>46113</v>
      </c>
      <c r="B292" s="602" t="s">
        <v>819</v>
      </c>
      <c r="C292" s="346">
        <v>469369329300</v>
      </c>
      <c r="D292" s="341" t="str">
        <f>VLOOKUP(C292,[1]Material!F:J,5,0)</f>
        <v>Fedex</v>
      </c>
      <c r="E292" s="367">
        <f>_xlfn.XLOOKUP(C292,[1]Material!$F:$F,[1]Material!$D:$D)</f>
        <v>0.6</v>
      </c>
      <c r="F292" s="345"/>
      <c r="G292" s="59"/>
      <c r="H292" s="59">
        <v>15.170478249326811</v>
      </c>
      <c r="I292" s="59">
        <v>26.818712784920546</v>
      </c>
      <c r="J292" s="59"/>
      <c r="K292" s="59"/>
      <c r="L292" s="59"/>
      <c r="M292" s="41">
        <f t="shared" si="33"/>
        <v>41.989191034247355</v>
      </c>
    </row>
    <row r="293" spans="1:13" hidden="1" outlineLevel="2">
      <c r="A293" s="146">
        <v>46113</v>
      </c>
      <c r="B293" s="602" t="s">
        <v>372</v>
      </c>
      <c r="C293" s="346">
        <v>472187357962</v>
      </c>
      <c r="D293" s="341" t="str">
        <f>VLOOKUP(C293,[1]Material!F:J,5,0)</f>
        <v>Fedex</v>
      </c>
      <c r="E293" s="367">
        <f>_xlfn.XLOOKUP(C293,[1]Material!$F:$F,[1]Material!$D:$D)</f>
        <v>6.1</v>
      </c>
      <c r="F293" s="345"/>
      <c r="G293" s="59"/>
      <c r="H293" s="59">
        <v>15.170478249326811</v>
      </c>
      <c r="I293" s="59">
        <v>45.754465809534643</v>
      </c>
      <c r="J293" s="59"/>
      <c r="K293" s="59"/>
      <c r="L293" s="59"/>
      <c r="M293" s="41">
        <f t="shared" si="33"/>
        <v>60.924944058861456</v>
      </c>
    </row>
    <row r="294" spans="1:13" hidden="1" outlineLevel="2">
      <c r="A294" s="146">
        <v>46113</v>
      </c>
      <c r="B294" s="602" t="s">
        <v>947</v>
      </c>
      <c r="C294" s="346">
        <v>500292529492</v>
      </c>
      <c r="D294" s="341" t="str">
        <f>VLOOKUP(C294,[1]Material!F:J,5,0)</f>
        <v>Fedex</v>
      </c>
      <c r="E294" s="367">
        <f>_xlfn.XLOOKUP(C294,[1]Material!$F:$F,[1]Material!$D:$D)</f>
        <v>1.6</v>
      </c>
      <c r="F294" s="345"/>
      <c r="G294" s="59">
        <v>0</v>
      </c>
      <c r="H294" s="59">
        <v>15.170478249326811</v>
      </c>
      <c r="I294" s="59">
        <v>0</v>
      </c>
      <c r="J294" s="59"/>
      <c r="K294" s="59">
        <v>0</v>
      </c>
      <c r="L294" s="59"/>
      <c r="M294" s="41">
        <f t="shared" si="33"/>
        <v>15.170478249326811</v>
      </c>
    </row>
    <row r="295" spans="1:13" hidden="1" outlineLevel="2">
      <c r="A295" s="146">
        <v>46113</v>
      </c>
      <c r="B295" s="602" t="s">
        <v>1471</v>
      </c>
      <c r="C295" s="346">
        <v>889705280240</v>
      </c>
      <c r="D295" s="341" t="str">
        <f>VLOOKUP(C295,[1]Material!F:J,5,0)</f>
        <v>Fedex</v>
      </c>
      <c r="E295" s="367">
        <f>_xlfn.XLOOKUP(C295,[1]Material!$F:$F,[1]Material!$D:$D)</f>
        <v>2.2999999999999998</v>
      </c>
      <c r="F295" s="345"/>
      <c r="G295" s="59">
        <v>0</v>
      </c>
      <c r="H295" s="59">
        <v>15.170478249326811</v>
      </c>
      <c r="I295" s="59">
        <v>0</v>
      </c>
      <c r="J295" s="59"/>
      <c r="K295" s="59">
        <v>0</v>
      </c>
      <c r="L295" s="59"/>
      <c r="M295" s="41">
        <f t="shared" si="33"/>
        <v>15.170478249326811</v>
      </c>
    </row>
    <row r="296" spans="1:13" hidden="1" outlineLevel="2">
      <c r="A296" s="146">
        <v>46113</v>
      </c>
      <c r="B296" s="602" t="s">
        <v>31</v>
      </c>
      <c r="C296" s="346" t="s">
        <v>1792</v>
      </c>
      <c r="D296" s="341" t="str">
        <f>VLOOKUP(C296,[1]Material!F:J,5,0)</f>
        <v>VVMV(sea)</v>
      </c>
      <c r="E296" s="367">
        <f>_xlfn.XLOOKUP(C296,[1]Material!$F:$F,[1]Material!$D:$D)</f>
        <v>971</v>
      </c>
      <c r="F296" s="345"/>
      <c r="G296" s="59">
        <v>117.57120643228278</v>
      </c>
      <c r="H296" s="59">
        <v>15.170478249326811</v>
      </c>
      <c r="I296" s="59">
        <v>1081.4169378389654</v>
      </c>
      <c r="J296" s="59"/>
      <c r="K296" s="59">
        <v>166.11036522926386</v>
      </c>
      <c r="L296" s="59"/>
      <c r="M296" s="41">
        <f t="shared" si="33"/>
        <v>1380.2689877498387</v>
      </c>
    </row>
    <row r="297" spans="1:13" hidden="1" outlineLevel="2">
      <c r="A297" s="146">
        <v>46113</v>
      </c>
      <c r="B297" s="602" t="s">
        <v>947</v>
      </c>
      <c r="C297" s="346">
        <v>500292535671</v>
      </c>
      <c r="D297" s="341" t="str">
        <f>VLOOKUP(C297,[1]Material!F:J,5,0)</f>
        <v>Fedex</v>
      </c>
      <c r="E297" s="367">
        <f>_xlfn.XLOOKUP(C297,[1]Material!$F:$F,[1]Material!$D:$D)</f>
        <v>1.4</v>
      </c>
      <c r="F297" s="345"/>
      <c r="G297" s="59">
        <v>0</v>
      </c>
      <c r="H297" s="59">
        <v>15.170478249326811</v>
      </c>
      <c r="I297" s="59">
        <v>0</v>
      </c>
      <c r="J297" s="59"/>
      <c r="K297" s="59">
        <v>0</v>
      </c>
      <c r="L297" s="59"/>
      <c r="M297" s="41">
        <f t="shared" si="33"/>
        <v>15.170478249326811</v>
      </c>
    </row>
    <row r="298" spans="1:13" hidden="1" outlineLevel="2">
      <c r="A298" s="146">
        <v>46113</v>
      </c>
      <c r="B298" s="602" t="s">
        <v>934</v>
      </c>
      <c r="C298" s="346">
        <v>1040456126</v>
      </c>
      <c r="D298" s="341" t="str">
        <f>VLOOKUP(C298,[1]Material!F:J,5,0)</f>
        <v>DHL</v>
      </c>
      <c r="E298" s="367">
        <f>_xlfn.XLOOKUP(C298,[1]Material!$F:$F,[1]Material!$D:$D)</f>
        <v>2.4</v>
      </c>
      <c r="F298" s="345"/>
      <c r="G298" s="59">
        <v>0</v>
      </c>
      <c r="H298" s="59">
        <v>15.170478249326811</v>
      </c>
      <c r="I298" s="59">
        <v>0</v>
      </c>
      <c r="J298" s="59"/>
      <c r="K298" s="59">
        <v>0</v>
      </c>
      <c r="L298" s="59"/>
      <c r="M298" s="41">
        <f t="shared" si="33"/>
        <v>15.170478249326811</v>
      </c>
    </row>
    <row r="299" spans="1:13" hidden="1" outlineLevel="2">
      <c r="A299" s="146">
        <v>46113</v>
      </c>
      <c r="B299" s="602" t="s">
        <v>1330</v>
      </c>
      <c r="C299" s="346">
        <v>889994920218</v>
      </c>
      <c r="D299" s="341" t="str">
        <f>VLOOKUP(C299,[1]Material!F:J,5,0)</f>
        <v>Fedex</v>
      </c>
      <c r="E299" s="367">
        <f>_xlfn.XLOOKUP(C299,[1]Material!$F:$F,[1]Material!$D:$D)</f>
        <v>2.1</v>
      </c>
      <c r="F299" s="345"/>
      <c r="G299" s="59">
        <v>0</v>
      </c>
      <c r="H299" s="59">
        <v>15.170478249326811</v>
      </c>
      <c r="I299" s="59">
        <v>0</v>
      </c>
      <c r="J299" s="59"/>
      <c r="K299" s="59">
        <v>0</v>
      </c>
      <c r="L299" s="59"/>
      <c r="M299" s="41">
        <f t="shared" si="33"/>
        <v>15.170478249326811</v>
      </c>
    </row>
    <row r="300" spans="1:13" hidden="1" outlineLevel="2">
      <c r="A300" s="146">
        <v>46113</v>
      </c>
      <c r="B300" s="602" t="s">
        <v>1330</v>
      </c>
      <c r="C300" s="346">
        <v>870073547359</v>
      </c>
      <c r="D300" s="341" t="str">
        <f>VLOOKUP(C300,[1]Material!F:J,5,0)</f>
        <v>Fedex</v>
      </c>
      <c r="E300" s="367">
        <f>_xlfn.XLOOKUP(C300,[1]Material!$F:$F,[1]Material!$D:$D)</f>
        <v>8.6999999999999993</v>
      </c>
      <c r="F300" s="345"/>
      <c r="G300" s="59">
        <v>0</v>
      </c>
      <c r="H300" s="59">
        <v>15.170478249326811</v>
      </c>
      <c r="I300" s="59">
        <v>0</v>
      </c>
      <c r="J300" s="59"/>
      <c r="K300" s="59">
        <v>0</v>
      </c>
      <c r="L300" s="59"/>
      <c r="M300" s="41">
        <f t="shared" si="33"/>
        <v>15.170478249326811</v>
      </c>
    </row>
    <row r="301" spans="1:13" hidden="1" outlineLevel="2">
      <c r="A301" s="146">
        <v>46113</v>
      </c>
      <c r="B301" s="602" t="s">
        <v>1330</v>
      </c>
      <c r="C301" s="346">
        <v>870039003800</v>
      </c>
      <c r="D301" s="341" t="str">
        <f>VLOOKUP(C301,[1]Material!F:J,5,0)</f>
        <v>Fedex</v>
      </c>
      <c r="E301" s="367">
        <f>_xlfn.XLOOKUP(C301,[1]Material!$F:$F,[1]Material!$D:$D)</f>
        <v>7.4</v>
      </c>
      <c r="F301" s="345"/>
      <c r="G301" s="59">
        <v>0</v>
      </c>
      <c r="H301" s="59">
        <v>15.170478249326811</v>
      </c>
      <c r="I301" s="59">
        <v>0</v>
      </c>
      <c r="J301" s="59"/>
      <c r="K301" s="59">
        <v>0</v>
      </c>
      <c r="L301" s="59"/>
      <c r="M301" s="41">
        <f t="shared" si="33"/>
        <v>15.170478249326811</v>
      </c>
    </row>
    <row r="302" spans="1:13" hidden="1" outlineLevel="2">
      <c r="A302" s="146">
        <v>46113</v>
      </c>
      <c r="B302" s="602" t="s">
        <v>81</v>
      </c>
      <c r="C302" s="346" t="s">
        <v>1795</v>
      </c>
      <c r="D302" s="341" t="str">
        <f>VLOOKUP(C302,[1]Material!F:J,5,0)</f>
        <v>VVMV(sea)</v>
      </c>
      <c r="E302" s="367">
        <f>_xlfn.XLOOKUP(C302,[1]Material!$F:$F,[1]Material!$D:$D)</f>
        <v>1427</v>
      </c>
      <c r="F302" s="345"/>
      <c r="G302" s="59">
        <v>64.474532559638945</v>
      </c>
      <c r="H302" s="59">
        <v>15.170478249326811</v>
      </c>
      <c r="I302" s="59">
        <v>751.81475708271705</v>
      </c>
      <c r="J302" s="59"/>
      <c r="K302" s="59">
        <v>120.16277923161527</v>
      </c>
      <c r="L302" s="59"/>
      <c r="M302" s="41">
        <f t="shared" si="33"/>
        <v>951.62254712329809</v>
      </c>
    </row>
    <row r="303" spans="1:13" hidden="1" outlineLevel="2">
      <c r="A303" s="146">
        <v>46113</v>
      </c>
      <c r="B303" s="602" t="s">
        <v>1322</v>
      </c>
      <c r="C303" s="346">
        <v>515510900451</v>
      </c>
      <c r="D303" s="341" t="str">
        <f>VLOOKUP(C303,[1]Material!F:J,5,0)</f>
        <v>Fedex</v>
      </c>
      <c r="E303" s="367">
        <f>_xlfn.XLOOKUP(C303,[1]Material!$F:$F,[1]Material!$D:$D)</f>
        <v>2.1</v>
      </c>
      <c r="F303" s="345"/>
      <c r="G303" s="59">
        <v>0</v>
      </c>
      <c r="H303" s="59">
        <v>15.170478249326811</v>
      </c>
      <c r="I303" s="59">
        <v>0</v>
      </c>
      <c r="J303" s="59"/>
      <c r="K303" s="59">
        <v>0</v>
      </c>
      <c r="L303" s="59"/>
      <c r="M303" s="41">
        <f t="shared" si="33"/>
        <v>15.170478249326811</v>
      </c>
    </row>
    <row r="304" spans="1:13" hidden="1" outlineLevel="2">
      <c r="A304" s="146">
        <v>46113</v>
      </c>
      <c r="B304" s="602" t="s">
        <v>1710</v>
      </c>
      <c r="C304" s="346">
        <v>3204331620</v>
      </c>
      <c r="D304" s="341" t="str">
        <f>VLOOKUP(C304,[1]Material!F:J,5,0)</f>
        <v>DHL</v>
      </c>
      <c r="E304" s="367">
        <f>_xlfn.XLOOKUP(C304,[1]Material!$F:$F,[1]Material!$D:$D)</f>
        <v>0.3</v>
      </c>
      <c r="F304" s="345"/>
      <c r="G304" s="59">
        <v>0</v>
      </c>
      <c r="H304" s="59">
        <v>15.170478249326811</v>
      </c>
      <c r="I304" s="59">
        <v>0</v>
      </c>
      <c r="J304" s="59"/>
      <c r="K304" s="59">
        <v>0</v>
      </c>
      <c r="L304" s="59"/>
      <c r="M304" s="41">
        <f t="shared" si="33"/>
        <v>15.170478249326811</v>
      </c>
    </row>
    <row r="305" spans="1:13" hidden="1" outlineLevel="2">
      <c r="A305" s="146">
        <v>46113</v>
      </c>
      <c r="B305" s="602" t="s">
        <v>802</v>
      </c>
      <c r="C305" s="346">
        <v>380138105360</v>
      </c>
      <c r="D305" s="341" t="str">
        <f>VLOOKUP(C305,[1]Material!F:J,5,0)</f>
        <v>Fedex</v>
      </c>
      <c r="E305" s="367">
        <f>_xlfn.XLOOKUP(C305,[1]Material!$F:$F,[1]Material!$D:$D)</f>
        <v>2.6</v>
      </c>
      <c r="F305" s="345"/>
      <c r="G305" s="59">
        <v>0</v>
      </c>
      <c r="H305" s="59">
        <v>15.170478249326811</v>
      </c>
      <c r="I305" s="59">
        <v>0</v>
      </c>
      <c r="J305" s="59"/>
      <c r="K305" s="59">
        <v>0</v>
      </c>
      <c r="L305" s="59"/>
      <c r="M305" s="41">
        <f t="shared" si="33"/>
        <v>15.170478249326811</v>
      </c>
    </row>
    <row r="306" spans="1:13" hidden="1" outlineLevel="2">
      <c r="A306" s="146">
        <v>46113</v>
      </c>
      <c r="B306" s="602" t="s">
        <v>972</v>
      </c>
      <c r="C306" s="346">
        <v>493602826992</v>
      </c>
      <c r="D306" s="341" t="str">
        <f>VLOOKUP(C306,[1]Material!F:J,5,0)</f>
        <v>Fedex</v>
      </c>
      <c r="E306" s="367">
        <f>_xlfn.XLOOKUP(C306,[1]Material!$F:$F,[1]Material!$D:$D)</f>
        <v>0.5</v>
      </c>
      <c r="F306" s="345"/>
      <c r="G306" s="59">
        <v>0</v>
      </c>
      <c r="H306" s="59">
        <v>15.170478249326811</v>
      </c>
      <c r="I306" s="59">
        <v>0</v>
      </c>
      <c r="J306" s="59"/>
      <c r="K306" s="59">
        <v>0</v>
      </c>
      <c r="L306" s="59"/>
      <c r="M306" s="41">
        <f t="shared" si="33"/>
        <v>15.170478249326811</v>
      </c>
    </row>
    <row r="307" spans="1:13" hidden="1" outlineLevel="2">
      <c r="A307" s="146">
        <v>46113</v>
      </c>
      <c r="B307" s="602" t="s">
        <v>1819</v>
      </c>
      <c r="C307" s="346" t="s">
        <v>1799</v>
      </c>
      <c r="D307" s="341" t="str">
        <f>VLOOKUP(C307,[1]Material!F:J,5,0)</f>
        <v>DSV</v>
      </c>
      <c r="E307" s="367">
        <f>_xlfn.XLOOKUP(C307,[1]Material!$F:$F,[1]Material!$D:$D)</f>
        <v>3310</v>
      </c>
      <c r="F307" s="345"/>
      <c r="G307" s="59">
        <v>0</v>
      </c>
      <c r="H307" s="59">
        <v>26.548336936321917</v>
      </c>
      <c r="I307" s="59">
        <v>0</v>
      </c>
      <c r="J307" s="59"/>
      <c r="K307" s="59">
        <v>0</v>
      </c>
      <c r="L307" s="59"/>
      <c r="M307" s="41">
        <f t="shared" si="33"/>
        <v>26.548336936321917</v>
      </c>
    </row>
    <row r="308" spans="1:13" hidden="1" outlineLevel="2">
      <c r="A308" s="146">
        <v>46113</v>
      </c>
      <c r="B308" s="602" t="s">
        <v>1498</v>
      </c>
      <c r="C308" s="346">
        <v>380291681072</v>
      </c>
      <c r="D308" s="341" t="str">
        <f>VLOOKUP(C308,[1]Material!F:J,5,0)</f>
        <v>Fedex</v>
      </c>
      <c r="E308" s="367">
        <f>_xlfn.XLOOKUP(C308,[1]Material!$F:$F,[1]Material!$D:$D)</f>
        <v>0.5</v>
      </c>
      <c r="F308" s="345"/>
      <c r="G308" s="59">
        <v>0</v>
      </c>
      <c r="H308" s="59">
        <v>15.170478249326811</v>
      </c>
      <c r="I308" s="59">
        <v>0</v>
      </c>
      <c r="J308" s="59"/>
      <c r="K308" s="59">
        <v>0</v>
      </c>
      <c r="L308" s="59"/>
      <c r="M308" s="41">
        <f t="shared" si="33"/>
        <v>15.170478249326811</v>
      </c>
    </row>
    <row r="309" spans="1:13" hidden="1" outlineLevel="2">
      <c r="A309" s="146">
        <v>46113</v>
      </c>
      <c r="B309" s="602" t="s">
        <v>972</v>
      </c>
      <c r="C309" s="346">
        <v>493602828653</v>
      </c>
      <c r="D309" s="341" t="str">
        <f>VLOOKUP(C309,[1]Material!F:J,5,0)</f>
        <v>Fedex</v>
      </c>
      <c r="E309" s="367">
        <f>_xlfn.XLOOKUP(C309,[1]Material!$F:$F,[1]Material!$D:$D)</f>
        <v>0.3</v>
      </c>
      <c r="F309" s="345"/>
      <c r="G309" s="59">
        <v>0</v>
      </c>
      <c r="H309" s="59">
        <v>15.170478249326811</v>
      </c>
      <c r="I309" s="59">
        <v>0</v>
      </c>
      <c r="J309" s="59"/>
      <c r="K309" s="59">
        <v>0</v>
      </c>
      <c r="L309" s="59"/>
      <c r="M309" s="41">
        <f t="shared" si="33"/>
        <v>15.170478249326811</v>
      </c>
    </row>
    <row r="310" spans="1:13" hidden="1" outlineLevel="2">
      <c r="A310" s="146">
        <v>46113</v>
      </c>
      <c r="B310" s="602" t="s">
        <v>945</v>
      </c>
      <c r="C310" s="346">
        <v>500292567530</v>
      </c>
      <c r="D310" s="341" t="str">
        <f>VLOOKUP(C310,[1]Material!F:J,5,0)</f>
        <v>Fedex</v>
      </c>
      <c r="E310" s="367">
        <f>_xlfn.XLOOKUP(C310,[1]Material!$F:$F,[1]Material!$D:$D)</f>
        <v>4.4000000000000004</v>
      </c>
      <c r="F310" s="345"/>
      <c r="G310" s="59">
        <v>0</v>
      </c>
      <c r="H310" s="59">
        <v>15.170478249326811</v>
      </c>
      <c r="I310" s="59">
        <v>0</v>
      </c>
      <c r="J310" s="59"/>
      <c r="K310" s="59">
        <v>0</v>
      </c>
      <c r="L310" s="59"/>
      <c r="M310" s="41">
        <f t="shared" si="33"/>
        <v>15.170478249326811</v>
      </c>
    </row>
    <row r="311" spans="1:13" hidden="1" outlineLevel="2">
      <c r="A311" s="146">
        <v>46113</v>
      </c>
      <c r="B311" s="602" t="s">
        <v>961</v>
      </c>
      <c r="C311" s="346">
        <v>520413905996</v>
      </c>
      <c r="D311" s="341" t="str">
        <f>VLOOKUP(C311,[1]Material!F:J,5,0)</f>
        <v>Fedex</v>
      </c>
      <c r="E311" s="367">
        <f>_xlfn.XLOOKUP(C311,[1]Material!$F:$F,[1]Material!$D:$D)</f>
        <v>1.5</v>
      </c>
      <c r="F311" s="345"/>
      <c r="G311" s="59">
        <v>0</v>
      </c>
      <c r="H311" s="59">
        <v>15.170478249326811</v>
      </c>
      <c r="I311" s="59">
        <v>0</v>
      </c>
      <c r="J311" s="59"/>
      <c r="K311" s="59">
        <v>0</v>
      </c>
      <c r="L311" s="59"/>
      <c r="M311" s="41">
        <f t="shared" si="33"/>
        <v>15.170478249326811</v>
      </c>
    </row>
    <row r="312" spans="1:13" hidden="1" outlineLevel="2">
      <c r="A312" s="146">
        <v>46113</v>
      </c>
      <c r="B312" s="602" t="s">
        <v>947</v>
      </c>
      <c r="C312" s="346">
        <v>500292566269</v>
      </c>
      <c r="D312" s="341" t="str">
        <f>VLOOKUP(C312,[1]Material!F:J,5,0)</f>
        <v>Fedex</v>
      </c>
      <c r="E312" s="367">
        <f>_xlfn.XLOOKUP(C312,[1]Material!$F:$F,[1]Material!$D:$D)</f>
        <v>1.5</v>
      </c>
      <c r="F312" s="345"/>
      <c r="G312" s="59">
        <v>0</v>
      </c>
      <c r="H312" s="59">
        <v>15.170478249326811</v>
      </c>
      <c r="I312" s="59">
        <v>0</v>
      </c>
      <c r="J312" s="59"/>
      <c r="K312" s="59">
        <v>0</v>
      </c>
      <c r="L312" s="59"/>
      <c r="M312" s="41">
        <f t="shared" si="33"/>
        <v>15.170478249326811</v>
      </c>
    </row>
    <row r="313" spans="1:13" hidden="1" outlineLevel="2">
      <c r="A313" s="146">
        <v>46113</v>
      </c>
      <c r="B313" s="602" t="s">
        <v>945</v>
      </c>
      <c r="C313" s="346">
        <v>500292566199</v>
      </c>
      <c r="D313" s="341" t="str">
        <f>VLOOKUP(C313,[1]Material!F:J,5,0)</f>
        <v>Fedex</v>
      </c>
      <c r="E313" s="367">
        <f>_xlfn.XLOOKUP(C313,[1]Material!$F:$F,[1]Material!$D:$D)</f>
        <v>1.6</v>
      </c>
      <c r="F313" s="345"/>
      <c r="G313" s="59">
        <v>0</v>
      </c>
      <c r="H313" s="59">
        <v>15.170478249326811</v>
      </c>
      <c r="I313" s="59">
        <v>0</v>
      </c>
      <c r="J313" s="59"/>
      <c r="K313" s="59">
        <v>0</v>
      </c>
      <c r="L313" s="59"/>
      <c r="M313" s="41">
        <f t="shared" si="33"/>
        <v>15.170478249326811</v>
      </c>
    </row>
    <row r="314" spans="1:13" hidden="1" outlineLevel="2">
      <c r="A314" s="146">
        <v>46113</v>
      </c>
      <c r="B314" s="602" t="s">
        <v>945</v>
      </c>
      <c r="C314" s="346">
        <v>500292566258</v>
      </c>
      <c r="D314" s="341" t="str">
        <f>VLOOKUP(C314,[1]Material!F:J,5,0)</f>
        <v>Fedex</v>
      </c>
      <c r="E314" s="367">
        <f>_xlfn.XLOOKUP(C314,[1]Material!$F:$F,[1]Material!$D:$D)</f>
        <v>1.7</v>
      </c>
      <c r="F314" s="345"/>
      <c r="G314" s="59">
        <v>0</v>
      </c>
      <c r="H314" s="59">
        <v>15.170478249326811</v>
      </c>
      <c r="I314" s="59">
        <v>0</v>
      </c>
      <c r="J314" s="59"/>
      <c r="K314" s="59">
        <v>0</v>
      </c>
      <c r="L314" s="59"/>
      <c r="M314" s="41">
        <f t="shared" si="33"/>
        <v>15.170478249326811</v>
      </c>
    </row>
    <row r="315" spans="1:13" hidden="1" outlineLevel="2">
      <c r="A315" s="146">
        <v>46113</v>
      </c>
      <c r="B315" s="602" t="s">
        <v>972</v>
      </c>
      <c r="C315" s="346">
        <v>493602830447</v>
      </c>
      <c r="D315" s="341" t="str">
        <f>VLOOKUP(C315,[1]Material!F:J,5,0)</f>
        <v>Fedex</v>
      </c>
      <c r="E315" s="367">
        <f>_xlfn.XLOOKUP(C315,[1]Material!$F:$F,[1]Material!$D:$D)</f>
        <v>0.4</v>
      </c>
      <c r="F315" s="345"/>
      <c r="G315" s="59">
        <v>0</v>
      </c>
      <c r="H315" s="59">
        <v>15.170478249326811</v>
      </c>
      <c r="I315" s="59">
        <v>0</v>
      </c>
      <c r="J315" s="59"/>
      <c r="K315" s="59">
        <v>0</v>
      </c>
      <c r="L315" s="59"/>
      <c r="M315" s="41">
        <f t="shared" si="33"/>
        <v>15.170478249326811</v>
      </c>
    </row>
    <row r="316" spans="1:13" hidden="1" outlineLevel="2">
      <c r="A316" s="146">
        <v>46113</v>
      </c>
      <c r="B316" s="602" t="s">
        <v>944</v>
      </c>
      <c r="C316" s="346">
        <v>119209713312</v>
      </c>
      <c r="D316" s="341" t="str">
        <f>VLOOKUP(C316,[1]Material!F:J,5,0)</f>
        <v>Fedex</v>
      </c>
      <c r="E316" s="367">
        <f>_xlfn.XLOOKUP(C316,[1]Material!$F:$F,[1]Material!$D:$D)</f>
        <v>1.2</v>
      </c>
      <c r="F316" s="345"/>
      <c r="G316" s="59">
        <v>0</v>
      </c>
      <c r="H316" s="59">
        <v>15.170478249326811</v>
      </c>
      <c r="I316" s="59">
        <v>0</v>
      </c>
      <c r="J316" s="59"/>
      <c r="K316" s="59">
        <v>0</v>
      </c>
      <c r="L316" s="59"/>
      <c r="M316" s="41">
        <f t="shared" si="33"/>
        <v>15.170478249326811</v>
      </c>
    </row>
    <row r="317" spans="1:13" hidden="1" outlineLevel="2">
      <c r="A317" s="146">
        <v>46113</v>
      </c>
      <c r="B317" s="602" t="s">
        <v>963</v>
      </c>
      <c r="C317" s="346">
        <v>522128128764</v>
      </c>
      <c r="D317" s="341" t="str">
        <f>VLOOKUP(C317,[1]Material!F:J,5,0)</f>
        <v>Fedex</v>
      </c>
      <c r="E317" s="367">
        <f>_xlfn.XLOOKUP(C317,[1]Material!$F:$F,[1]Material!$D:$D)</f>
        <v>4.5999999999999996</v>
      </c>
      <c r="F317" s="345"/>
      <c r="G317" s="59">
        <v>0</v>
      </c>
      <c r="H317" s="59">
        <v>15.170478249326811</v>
      </c>
      <c r="I317" s="59">
        <v>0</v>
      </c>
      <c r="J317" s="59"/>
      <c r="K317" s="59">
        <v>0</v>
      </c>
      <c r="L317" s="59"/>
      <c r="M317" s="41">
        <f t="shared" si="33"/>
        <v>15.170478249326811</v>
      </c>
    </row>
    <row r="318" spans="1:13" hidden="1" outlineLevel="2">
      <c r="A318" s="146">
        <v>46113</v>
      </c>
      <c r="B318" s="602" t="s">
        <v>110</v>
      </c>
      <c r="C318" s="346">
        <v>483570645341</v>
      </c>
      <c r="D318" s="341" t="str">
        <f>VLOOKUP(C318,[1]Material!F:J,5,0)</f>
        <v>Fedex</v>
      </c>
      <c r="E318" s="367">
        <f>_xlfn.XLOOKUP(C318,[1]Material!$F:$F,[1]Material!$D:$D)</f>
        <v>10</v>
      </c>
      <c r="F318" s="345"/>
      <c r="G318" s="59">
        <v>0</v>
      </c>
      <c r="H318" s="59">
        <v>15.170478249326811</v>
      </c>
      <c r="I318" s="59">
        <v>0</v>
      </c>
      <c r="J318" s="59"/>
      <c r="K318" s="59">
        <v>0</v>
      </c>
      <c r="L318" s="59"/>
      <c r="M318" s="41">
        <f t="shared" si="33"/>
        <v>15.170478249326811</v>
      </c>
    </row>
    <row r="319" spans="1:13" hidden="1" outlineLevel="2">
      <c r="A319" s="146">
        <v>46113</v>
      </c>
      <c r="B319" s="602" t="s">
        <v>1330</v>
      </c>
      <c r="C319" s="346">
        <v>870806551058</v>
      </c>
      <c r="D319" s="341" t="str">
        <f>VLOOKUP(C319,[1]Material!F:J,5,0)</f>
        <v>Fedex</v>
      </c>
      <c r="E319" s="367">
        <f>_xlfn.XLOOKUP(C319,[1]Material!$F:$F,[1]Material!$D:$D)</f>
        <v>1.6</v>
      </c>
      <c r="F319" s="345"/>
      <c r="G319" s="59">
        <v>0</v>
      </c>
      <c r="H319" s="59">
        <v>15.170478249326811</v>
      </c>
      <c r="I319" s="59">
        <v>0</v>
      </c>
      <c r="J319" s="59"/>
      <c r="K319" s="59">
        <v>0</v>
      </c>
      <c r="L319" s="59"/>
      <c r="M319" s="41">
        <f t="shared" si="33"/>
        <v>15.170478249326811</v>
      </c>
    </row>
    <row r="320" spans="1:13" outlineLevel="1" collapsed="1">
      <c r="A320" s="146" t="s">
        <v>1885</v>
      </c>
      <c r="B320" s="602"/>
      <c r="C320" s="346"/>
      <c r="D320" s="341"/>
      <c r="E320" s="367">
        <f t="shared" ref="E320:M320" si="35">SUBTOTAL(9,E281:E319)</f>
        <v>5981.3</v>
      </c>
      <c r="F320" s="345">
        <f t="shared" si="35"/>
        <v>0</v>
      </c>
      <c r="G320" s="59">
        <f t="shared" si="35"/>
        <v>182.04573899192172</v>
      </c>
      <c r="H320" s="59">
        <f t="shared" si="35"/>
        <v>603.02651041074114</v>
      </c>
      <c r="I320" s="59">
        <f t="shared" si="35"/>
        <v>2705.2750824894756</v>
      </c>
      <c r="J320" s="59">
        <f t="shared" si="35"/>
        <v>0</v>
      </c>
      <c r="K320" s="59">
        <f t="shared" si="35"/>
        <v>286.27314446087917</v>
      </c>
      <c r="L320" s="59">
        <f t="shared" si="35"/>
        <v>0</v>
      </c>
      <c r="M320" s="41">
        <f t="shared" si="35"/>
        <v>3776.6204763530131</v>
      </c>
    </row>
    <row r="321" spans="1:13" hidden="1" outlineLevel="2">
      <c r="A321" s="146">
        <v>46143</v>
      </c>
      <c r="B321" s="602" t="s">
        <v>523</v>
      </c>
      <c r="C321" s="346">
        <v>494686578762</v>
      </c>
      <c r="D321" s="341" t="str">
        <f>VLOOKUP(C321,[1]Material!F:J,5,0)</f>
        <v>Fedex</v>
      </c>
      <c r="E321" s="367">
        <f>_xlfn.XLOOKUP(C321,[1]Material!$F:$F,[1]Material!$D:$D)</f>
        <v>2.8</v>
      </c>
      <c r="F321" s="345"/>
      <c r="G321" s="59"/>
      <c r="H321" s="59">
        <v>15.149219815179519</v>
      </c>
      <c r="I321" s="59">
        <v>20.867595818815332</v>
      </c>
      <c r="J321" s="59"/>
      <c r="K321" s="59"/>
      <c r="L321" s="59"/>
      <c r="M321" s="41">
        <f t="shared" si="33"/>
        <v>36.016815633994852</v>
      </c>
    </row>
    <row r="322" spans="1:13" hidden="1" outlineLevel="2">
      <c r="A322" s="146">
        <v>46143</v>
      </c>
      <c r="B322" s="602" t="s">
        <v>92</v>
      </c>
      <c r="C322" s="346">
        <v>497354649867</v>
      </c>
      <c r="D322" s="341" t="str">
        <f>VLOOKUP(C322,[1]Material!F:J,5,0)</f>
        <v>Fedex</v>
      </c>
      <c r="E322" s="367">
        <f>_xlfn.XLOOKUP(C322,[1]Material!$F:$F,[1]Material!$D:$D)</f>
        <v>143.6</v>
      </c>
      <c r="F322" s="345"/>
      <c r="G322" s="59"/>
      <c r="H322" s="59">
        <v>0</v>
      </c>
      <c r="I322" s="59">
        <v>343.05427207998787</v>
      </c>
      <c r="J322" s="59"/>
      <c r="K322" s="59"/>
      <c r="L322" s="59"/>
      <c r="M322" s="41">
        <f t="shared" si="33"/>
        <v>343.05427207998787</v>
      </c>
    </row>
    <row r="323" spans="1:13" hidden="1" outlineLevel="2">
      <c r="A323" s="146">
        <v>46143</v>
      </c>
      <c r="B323" s="602" t="s">
        <v>524</v>
      </c>
      <c r="C323" s="346">
        <v>472187608517</v>
      </c>
      <c r="D323" s="341" t="str">
        <f>VLOOKUP(C323,[1]Material!F:J,5,0)</f>
        <v>Fedex</v>
      </c>
      <c r="E323" s="367">
        <f>_xlfn.XLOOKUP(C323,[1]Material!$F:$F,[1]Material!$D:$D)</f>
        <v>15.1</v>
      </c>
      <c r="F323" s="345"/>
      <c r="G323" s="59"/>
      <c r="H323" s="59">
        <v>15.149219815179519</v>
      </c>
      <c r="I323" s="59">
        <v>57.243144978033634</v>
      </c>
      <c r="J323" s="59"/>
      <c r="K323" s="59"/>
      <c r="L323" s="59"/>
      <c r="M323" s="41">
        <f t="shared" si="33"/>
        <v>72.392364793213147</v>
      </c>
    </row>
    <row r="324" spans="1:13" hidden="1" outlineLevel="2">
      <c r="A324" s="146">
        <v>46143</v>
      </c>
      <c r="B324" s="602" t="s">
        <v>1481</v>
      </c>
      <c r="C324" s="346">
        <v>871203060211</v>
      </c>
      <c r="D324" s="341" t="str">
        <f>VLOOKUP(C324,[1]Material!F:J,5,0)</f>
        <v>Fedex</v>
      </c>
      <c r="E324" s="367">
        <f>_xlfn.XLOOKUP(C324,[1]Material!$F:$F,[1]Material!$D:$D)</f>
        <v>134.1</v>
      </c>
      <c r="F324" s="345"/>
      <c r="G324" s="59"/>
      <c r="H324" s="59">
        <v>15.149219815179519</v>
      </c>
      <c r="I324" s="59">
        <v>425.80048477503408</v>
      </c>
      <c r="J324" s="59"/>
      <c r="K324" s="59"/>
      <c r="L324" s="59"/>
      <c r="M324" s="41">
        <f t="shared" si="33"/>
        <v>440.94970459021357</v>
      </c>
    </row>
    <row r="325" spans="1:13" hidden="1" outlineLevel="2">
      <c r="A325" s="146">
        <v>46143</v>
      </c>
      <c r="B325" s="602" t="s">
        <v>807</v>
      </c>
      <c r="C325" s="346">
        <v>871195834350</v>
      </c>
      <c r="D325" s="341" t="str">
        <f>VLOOKUP(C325,[1]Material!F:J,5,0)</f>
        <v>Fedex</v>
      </c>
      <c r="E325" s="367">
        <f>_xlfn.XLOOKUP(C325,[1]Material!$F:$F,[1]Material!$D:$D)</f>
        <v>6</v>
      </c>
      <c r="F325" s="345"/>
      <c r="G325" s="59"/>
      <c r="H325" s="59">
        <v>15.149219815179519</v>
      </c>
      <c r="I325" s="59">
        <v>34.184100893803972</v>
      </c>
      <c r="J325" s="59"/>
      <c r="K325" s="59"/>
      <c r="L325" s="59"/>
      <c r="M325" s="41">
        <f t="shared" si="33"/>
        <v>49.333320708983493</v>
      </c>
    </row>
    <row r="326" spans="1:13" hidden="1" outlineLevel="2">
      <c r="A326" s="146">
        <v>46143</v>
      </c>
      <c r="B326" s="602" t="s">
        <v>376</v>
      </c>
      <c r="C326" s="346">
        <v>484361665626</v>
      </c>
      <c r="D326" s="341" t="str">
        <f>VLOOKUP(C326,[1]Material!F:J,5,0)</f>
        <v>Fedex</v>
      </c>
      <c r="E326" s="367">
        <f>_xlfn.XLOOKUP(C326,[1]Material!$F:$F,[1]Material!$D:$D)</f>
        <v>0.6</v>
      </c>
      <c r="F326" s="345"/>
      <c r="G326" s="59"/>
      <c r="H326" s="59">
        <v>15.149219815179519</v>
      </c>
      <c r="I326" s="59">
        <v>19.808854718981973</v>
      </c>
      <c r="J326" s="59"/>
      <c r="K326" s="59"/>
      <c r="L326" s="59"/>
      <c r="M326" s="41">
        <f t="shared" si="33"/>
        <v>34.95807453416149</v>
      </c>
    </row>
    <row r="327" spans="1:13" hidden="1" outlineLevel="2">
      <c r="A327" s="146">
        <v>46143</v>
      </c>
      <c r="B327" s="602" t="s">
        <v>807</v>
      </c>
      <c r="C327" s="346">
        <v>871461013935</v>
      </c>
      <c r="D327" s="341" t="str">
        <f>VLOOKUP(C327,[1]Material!F:J,5,0)</f>
        <v>Fedex</v>
      </c>
      <c r="E327" s="367">
        <f>_xlfn.XLOOKUP(C327,[1]Material!$F:$F,[1]Material!$D:$D)</f>
        <v>4.2</v>
      </c>
      <c r="F327" s="345"/>
      <c r="G327" s="59"/>
      <c r="H327" s="59">
        <v>15.149219815179519</v>
      </c>
      <c r="I327" s="59">
        <v>28.812831389183458</v>
      </c>
      <c r="J327" s="59"/>
      <c r="K327" s="59"/>
      <c r="L327" s="59"/>
      <c r="M327" s="41">
        <f t="shared" si="33"/>
        <v>43.962051204362979</v>
      </c>
    </row>
    <row r="328" spans="1:13" hidden="1" outlineLevel="2">
      <c r="A328" s="146">
        <v>46143</v>
      </c>
      <c r="B328" s="602" t="s">
        <v>805</v>
      </c>
      <c r="C328" s="346">
        <v>871508756402</v>
      </c>
      <c r="D328" s="341" t="str">
        <f>VLOOKUP(C328,[1]Material!F:J,5,0)</f>
        <v>Fedex</v>
      </c>
      <c r="E328" s="367">
        <f>_xlfn.XLOOKUP(C328,[1]Material!$F:$F,[1]Material!$D:$D)</f>
        <v>3</v>
      </c>
      <c r="F328" s="345"/>
      <c r="G328" s="59"/>
      <c r="H328" s="59">
        <v>15.149219815179519</v>
      </c>
      <c r="I328" s="59">
        <v>20.050409028935011</v>
      </c>
      <c r="J328" s="59"/>
      <c r="K328" s="59"/>
      <c r="L328" s="59"/>
      <c r="M328" s="41">
        <f t="shared" ref="M328:M391" si="36">SUM(G328:L328)</f>
        <v>35.199628844114528</v>
      </c>
    </row>
    <row r="329" spans="1:13" hidden="1" outlineLevel="2">
      <c r="A329" s="146">
        <v>46143</v>
      </c>
      <c r="B329" s="602" t="s">
        <v>648</v>
      </c>
      <c r="C329" s="346">
        <v>871552641540</v>
      </c>
      <c r="D329" s="341" t="str">
        <f>VLOOKUP(C329,[1]Material!F:J,5,0)</f>
        <v>Fedex</v>
      </c>
      <c r="E329" s="367">
        <f>_xlfn.XLOOKUP(C329,[1]Material!$F:$F,[1]Material!$D:$D)</f>
        <v>1.7</v>
      </c>
      <c r="F329" s="345"/>
      <c r="G329" s="59"/>
      <c r="H329" s="59">
        <v>15.149219815179519</v>
      </c>
      <c r="I329" s="59">
        <v>24.036585365853657</v>
      </c>
      <c r="J329" s="59"/>
      <c r="K329" s="59"/>
      <c r="L329" s="59"/>
      <c r="M329" s="41">
        <f t="shared" si="36"/>
        <v>39.185805181033174</v>
      </c>
    </row>
    <row r="330" spans="1:13" hidden="1" outlineLevel="2">
      <c r="A330" s="146">
        <v>46143</v>
      </c>
      <c r="B330" s="602" t="s">
        <v>648</v>
      </c>
      <c r="C330" s="346">
        <v>871556588025</v>
      </c>
      <c r="D330" s="341" t="str">
        <f>VLOOKUP(C330,[1]Material!F:J,5,0)</f>
        <v>Fedex</v>
      </c>
      <c r="E330" s="367">
        <f>_xlfn.XLOOKUP(C330,[1]Material!$F:$F,[1]Material!$D:$D)</f>
        <v>19.5</v>
      </c>
      <c r="F330" s="345"/>
      <c r="G330" s="59"/>
      <c r="H330" s="59">
        <v>15.149219815179519</v>
      </c>
      <c r="I330" s="59">
        <v>92.688494167550374</v>
      </c>
      <c r="J330" s="59"/>
      <c r="K330" s="59"/>
      <c r="L330" s="59"/>
      <c r="M330" s="41">
        <f t="shared" si="36"/>
        <v>107.83771398272989</v>
      </c>
    </row>
    <row r="331" spans="1:13" hidden="1" outlineLevel="2">
      <c r="A331" s="146">
        <v>46143</v>
      </c>
      <c r="B331" s="602" t="s">
        <v>1477</v>
      </c>
      <c r="C331" s="346">
        <v>417969495244</v>
      </c>
      <c r="D331" s="341" t="str">
        <f>VLOOKUP(C331,[1]Material!F:J,5,0)</f>
        <v>Fedex</v>
      </c>
      <c r="E331" s="367">
        <f>_xlfn.XLOOKUP(C331,[1]Material!$F:$F,[1]Material!$D:$D)</f>
        <v>1.7</v>
      </c>
      <c r="F331" s="345"/>
      <c r="G331" s="59"/>
      <c r="H331" s="59">
        <v>15.149219815179519</v>
      </c>
      <c r="I331" s="59">
        <v>29.846689895470384</v>
      </c>
      <c r="J331" s="59"/>
      <c r="K331" s="59"/>
      <c r="L331" s="59"/>
      <c r="M331" s="41">
        <f t="shared" si="36"/>
        <v>44.995909710649904</v>
      </c>
    </row>
    <row r="332" spans="1:13" hidden="1" outlineLevel="2">
      <c r="A332" s="146">
        <v>46143</v>
      </c>
      <c r="B332" s="602" t="s">
        <v>819</v>
      </c>
      <c r="C332" s="346">
        <v>469369338728</v>
      </c>
      <c r="D332" s="341" t="str">
        <f>VLOOKUP(C332,[1]Material!F:J,5,0)</f>
        <v>Fedex</v>
      </c>
      <c r="E332" s="367">
        <f>_xlfn.XLOOKUP(C332,[1]Material!$F:$F,[1]Material!$D:$D)</f>
        <v>0.5</v>
      </c>
      <c r="F332" s="345"/>
      <c r="G332" s="59"/>
      <c r="H332" s="59">
        <v>15.149219815179519</v>
      </c>
      <c r="I332" s="59">
        <v>27.678457809422813</v>
      </c>
      <c r="J332" s="59"/>
      <c r="K332" s="59"/>
      <c r="L332" s="59"/>
      <c r="M332" s="41">
        <f t="shared" si="36"/>
        <v>42.82767762460233</v>
      </c>
    </row>
    <row r="333" spans="1:13" hidden="1" outlineLevel="2">
      <c r="A333" s="146">
        <v>46143</v>
      </c>
      <c r="B333" s="602" t="s">
        <v>974</v>
      </c>
      <c r="C333" s="346">
        <v>380929090270</v>
      </c>
      <c r="D333" s="341" t="str">
        <f>VLOOKUP(C333,[1]Material!F:J,5,0)</f>
        <v>Fedex</v>
      </c>
      <c r="E333" s="367">
        <f>_xlfn.XLOOKUP(C333,[1]Material!$F:$F,[1]Material!$D:$D)</f>
        <v>1.3</v>
      </c>
      <c r="F333" s="345"/>
      <c r="G333" s="59"/>
      <c r="H333" s="59">
        <v>15.149219815179519</v>
      </c>
      <c r="I333" s="59">
        <v>41.755832449628841</v>
      </c>
      <c r="J333" s="59"/>
      <c r="K333" s="59"/>
      <c r="L333" s="59"/>
      <c r="M333" s="41">
        <f t="shared" si="36"/>
        <v>56.905052264808361</v>
      </c>
    </row>
    <row r="334" spans="1:13" hidden="1" outlineLevel="2">
      <c r="A334" s="146">
        <v>46143</v>
      </c>
      <c r="B334" s="602" t="s">
        <v>1901</v>
      </c>
      <c r="C334" s="346">
        <v>496860955473</v>
      </c>
      <c r="D334" s="341" t="str">
        <f>VLOOKUP(C334,[1]Material!F:J,5,0)</f>
        <v>Fedex</v>
      </c>
      <c r="E334" s="367">
        <f>_xlfn.XLOOKUP(C334,[1]Material!$F:$F,[1]Material!$D:$D)</f>
        <v>0.3</v>
      </c>
      <c r="F334" s="345"/>
      <c r="G334" s="59"/>
      <c r="H334" s="59">
        <v>15.149219815179519</v>
      </c>
      <c r="I334" s="59">
        <v>41.390622632934402</v>
      </c>
      <c r="J334" s="59"/>
      <c r="K334" s="59"/>
      <c r="L334" s="59"/>
      <c r="M334" s="41">
        <f t="shared" si="36"/>
        <v>56.539842448113923</v>
      </c>
    </row>
    <row r="335" spans="1:13" hidden="1" outlineLevel="2">
      <c r="A335" s="146">
        <v>46143</v>
      </c>
      <c r="B335" s="602" t="s">
        <v>974</v>
      </c>
      <c r="C335" s="346">
        <v>381164370055</v>
      </c>
      <c r="D335" s="341" t="str">
        <f>VLOOKUP(C335,[1]Material!F:J,5,0)</f>
        <v>Fedex</v>
      </c>
      <c r="E335" s="367">
        <f>_xlfn.XLOOKUP(C335,[1]Material!$F:$F,[1]Material!$D:$D)</f>
        <v>0.5</v>
      </c>
      <c r="F335" s="345"/>
      <c r="G335" s="59"/>
      <c r="H335" s="59">
        <v>15.149219815179519</v>
      </c>
      <c r="I335" s="59">
        <v>31.506514164520528</v>
      </c>
      <c r="J335" s="59"/>
      <c r="K335" s="59"/>
      <c r="L335" s="59"/>
      <c r="M335" s="41">
        <f t="shared" si="36"/>
        <v>46.655733979700045</v>
      </c>
    </row>
    <row r="336" spans="1:13" hidden="1" outlineLevel="2">
      <c r="A336" s="146">
        <v>46143</v>
      </c>
      <c r="B336" s="602" t="s">
        <v>968</v>
      </c>
      <c r="C336" s="346">
        <v>522157975850</v>
      </c>
      <c r="D336" s="341" t="str">
        <f>VLOOKUP(C336,[1]Material!F:J,5,0)</f>
        <v>Fedex</v>
      </c>
      <c r="E336" s="367">
        <f>_xlfn.XLOOKUP(C336,[1]Material!$F:$F,[1]Material!$D:$D)</f>
        <v>4.0999999999999996</v>
      </c>
      <c r="F336" s="345"/>
      <c r="G336" s="59"/>
      <c r="H336" s="59">
        <v>15.149219815179519</v>
      </c>
      <c r="I336" s="59"/>
      <c r="J336" s="59"/>
      <c r="K336" s="59"/>
      <c r="L336" s="59"/>
      <c r="M336" s="41">
        <f t="shared" si="36"/>
        <v>15.149219815179519</v>
      </c>
    </row>
    <row r="337" spans="1:13" hidden="1" outlineLevel="2">
      <c r="A337" s="146">
        <v>46143</v>
      </c>
      <c r="B337" s="602" t="s">
        <v>1490</v>
      </c>
      <c r="C337" s="346">
        <v>871146130406</v>
      </c>
      <c r="D337" s="341" t="str">
        <f>VLOOKUP(C337,[1]Material!F:J,5,0)</f>
        <v>Fedex</v>
      </c>
      <c r="E337" s="367">
        <f>_xlfn.XLOOKUP(C337,[1]Material!$F:$F,[1]Material!$D:$D)</f>
        <v>1.7</v>
      </c>
      <c r="F337" s="345"/>
      <c r="G337" s="59"/>
      <c r="H337" s="59">
        <v>15.149219815179519</v>
      </c>
      <c r="I337" s="59"/>
      <c r="J337" s="59"/>
      <c r="K337" s="59"/>
      <c r="L337" s="59"/>
      <c r="M337" s="41">
        <f t="shared" si="36"/>
        <v>15.149219815179519</v>
      </c>
    </row>
    <row r="338" spans="1:13" hidden="1" outlineLevel="2">
      <c r="A338" s="146">
        <v>46143</v>
      </c>
      <c r="B338" s="602" t="s">
        <v>1520</v>
      </c>
      <c r="C338" s="346">
        <v>871105062361</v>
      </c>
      <c r="D338" s="341" t="str">
        <f>VLOOKUP(C338,[1]Material!F:J,5,0)</f>
        <v>Fedex</v>
      </c>
      <c r="E338" s="367">
        <f>_xlfn.XLOOKUP(C338,[1]Material!$F:$F,[1]Material!$D:$D)</f>
        <v>0.6</v>
      </c>
      <c r="F338" s="345"/>
      <c r="G338" s="59"/>
      <c r="H338" s="59">
        <v>15.149219815179519</v>
      </c>
      <c r="I338" s="59"/>
      <c r="J338" s="59"/>
      <c r="K338" s="59"/>
      <c r="L338" s="59"/>
      <c r="M338" s="41">
        <f t="shared" si="36"/>
        <v>15.149219815179519</v>
      </c>
    </row>
    <row r="339" spans="1:13" hidden="1" outlineLevel="2">
      <c r="A339" s="146">
        <v>46143</v>
      </c>
      <c r="B339" s="602" t="s">
        <v>968</v>
      </c>
      <c r="C339" s="346">
        <v>524130536814</v>
      </c>
      <c r="D339" s="341" t="str">
        <f>VLOOKUP(C339,[1]Material!F:J,5,0)</f>
        <v>Fedex</v>
      </c>
      <c r="E339" s="367">
        <f>_xlfn.XLOOKUP(C339,[1]Material!$F:$F,[1]Material!$D:$D)</f>
        <v>2.7</v>
      </c>
      <c r="F339" s="345"/>
      <c r="G339" s="59"/>
      <c r="H339" s="59">
        <v>15.149219815179519</v>
      </c>
      <c r="I339" s="59"/>
      <c r="J339" s="59"/>
      <c r="K339" s="59"/>
      <c r="L339" s="59"/>
      <c r="M339" s="41">
        <f t="shared" si="36"/>
        <v>15.149219815179519</v>
      </c>
    </row>
    <row r="340" spans="1:13" hidden="1" outlineLevel="2">
      <c r="A340" s="146">
        <v>46143</v>
      </c>
      <c r="B340" s="602" t="s">
        <v>972</v>
      </c>
      <c r="C340" s="346">
        <v>493602834236</v>
      </c>
      <c r="D340" s="341" t="str">
        <f>VLOOKUP(C340,[1]Material!F:J,5,0)</f>
        <v>Fedex</v>
      </c>
      <c r="E340" s="367">
        <f>_xlfn.XLOOKUP(C340,[1]Material!$F:$F,[1]Material!$D:$D)</f>
        <v>7.3</v>
      </c>
      <c r="F340" s="345"/>
      <c r="G340" s="59"/>
      <c r="H340" s="59">
        <v>15.149219815179519</v>
      </c>
      <c r="I340" s="59"/>
      <c r="J340" s="59"/>
      <c r="K340" s="59"/>
      <c r="L340" s="59"/>
      <c r="M340" s="41">
        <f t="shared" si="36"/>
        <v>15.149219815179519</v>
      </c>
    </row>
    <row r="341" spans="1:13" hidden="1" outlineLevel="2">
      <c r="A341" s="146">
        <v>46143</v>
      </c>
      <c r="B341" s="602" t="s">
        <v>1973</v>
      </c>
      <c r="C341" s="346">
        <v>524130580751</v>
      </c>
      <c r="D341" s="341" t="str">
        <f>VLOOKUP(C341,[1]Material!F:J,5,0)</f>
        <v>Fedex</v>
      </c>
      <c r="E341" s="367">
        <f>_xlfn.XLOOKUP(C341,[1]Material!$F:$F,[1]Material!$D:$D)</f>
        <v>8.6999999999999993</v>
      </c>
      <c r="F341" s="345"/>
      <c r="G341" s="59"/>
      <c r="H341" s="59">
        <v>15.149219815179519</v>
      </c>
      <c r="I341" s="59"/>
      <c r="J341" s="59"/>
      <c r="K341" s="59"/>
      <c r="L341" s="59"/>
      <c r="M341" s="41">
        <f t="shared" si="36"/>
        <v>15.149219815179519</v>
      </c>
    </row>
    <row r="342" spans="1:13" hidden="1" outlineLevel="2">
      <c r="A342" s="146">
        <v>46143</v>
      </c>
      <c r="B342" s="602" t="s">
        <v>1977</v>
      </c>
      <c r="C342" s="346">
        <v>615498854917</v>
      </c>
      <c r="D342" s="341" t="str">
        <f>VLOOKUP(C342,[1]Material!F:J,5,0)</f>
        <v>Fedex</v>
      </c>
      <c r="E342" s="367">
        <f>_xlfn.XLOOKUP(C342,[1]Material!$F:$F,[1]Material!$D:$D)</f>
        <v>10.3</v>
      </c>
      <c r="F342" s="345"/>
      <c r="G342" s="59"/>
      <c r="H342" s="59">
        <v>15.149219815179519</v>
      </c>
      <c r="I342" s="59"/>
      <c r="J342" s="59"/>
      <c r="K342" s="59"/>
      <c r="L342" s="59"/>
      <c r="M342" s="41">
        <f t="shared" si="36"/>
        <v>15.149219815179519</v>
      </c>
    </row>
    <row r="343" spans="1:13" hidden="1" outlineLevel="2">
      <c r="A343" s="146">
        <v>46143</v>
      </c>
      <c r="B343" s="602" t="s">
        <v>1980</v>
      </c>
      <c r="C343" s="346">
        <v>500394884559</v>
      </c>
      <c r="D343" s="341" t="str">
        <f>VLOOKUP(C343,[1]Material!F:J,5,0)</f>
        <v>Fedex</v>
      </c>
      <c r="E343" s="367">
        <f>_xlfn.XLOOKUP(C343,[1]Material!$F:$F,[1]Material!$D:$D)</f>
        <v>1.7</v>
      </c>
      <c r="F343" s="345"/>
      <c r="G343" s="59"/>
      <c r="H343" s="59">
        <v>15.149219815179519</v>
      </c>
      <c r="I343" s="59"/>
      <c r="J343" s="59"/>
      <c r="K343" s="59"/>
      <c r="L343" s="59"/>
      <c r="M343" s="41">
        <f t="shared" si="36"/>
        <v>15.149219815179519</v>
      </c>
    </row>
    <row r="344" spans="1:13" hidden="1" outlineLevel="2">
      <c r="A344" s="146">
        <v>46143</v>
      </c>
      <c r="B344" s="602" t="s">
        <v>973</v>
      </c>
      <c r="C344" s="346">
        <v>5774538070</v>
      </c>
      <c r="D344" s="341" t="str">
        <f>VLOOKUP(C344,[1]Material!F:J,5,0)</f>
        <v>DHL</v>
      </c>
      <c r="E344" s="367">
        <f>_xlfn.XLOOKUP(C344,[1]Material!$F:$F,[1]Material!$D:$D)</f>
        <v>23.6</v>
      </c>
      <c r="F344" s="345"/>
      <c r="G344" s="59"/>
      <c r="H344" s="59">
        <v>15.149219815179519</v>
      </c>
      <c r="I344" s="59"/>
      <c r="J344" s="59"/>
      <c r="K344" s="59"/>
      <c r="L344" s="59"/>
      <c r="M344" s="41">
        <f t="shared" si="36"/>
        <v>15.149219815179519</v>
      </c>
    </row>
    <row r="345" spans="1:13" hidden="1" outlineLevel="2">
      <c r="A345" s="146">
        <v>46143</v>
      </c>
      <c r="B345" s="602" t="s">
        <v>972</v>
      </c>
      <c r="C345" s="346">
        <v>493602836320</v>
      </c>
      <c r="D345" s="341" t="str">
        <f>VLOOKUP(C345,[1]Material!F:J,5,0)</f>
        <v>Fedex</v>
      </c>
      <c r="E345" s="367">
        <f>_xlfn.XLOOKUP(C345,[1]Material!$F:$F,[1]Material!$D:$D)</f>
        <v>6.7</v>
      </c>
      <c r="F345" s="345"/>
      <c r="G345" s="59"/>
      <c r="H345" s="59">
        <v>15.149219815179519</v>
      </c>
      <c r="I345" s="59"/>
      <c r="J345" s="59"/>
      <c r="K345" s="59"/>
      <c r="L345" s="59"/>
      <c r="M345" s="41">
        <f t="shared" si="36"/>
        <v>15.149219815179519</v>
      </c>
    </row>
    <row r="346" spans="1:13" hidden="1" outlineLevel="2">
      <c r="A346" s="146">
        <v>46143</v>
      </c>
      <c r="B346" s="602" t="s">
        <v>1974</v>
      </c>
      <c r="C346" s="346">
        <v>500394939397</v>
      </c>
      <c r="D346" s="341" t="str">
        <f>VLOOKUP(C346,[1]Material!F:J,5,0)</f>
        <v>Fedex</v>
      </c>
      <c r="E346" s="367">
        <f>_xlfn.XLOOKUP(C346,[1]Material!$F:$F,[1]Material!$D:$D)</f>
        <v>1.9</v>
      </c>
      <c r="F346" s="345"/>
      <c r="G346" s="59"/>
      <c r="H346" s="59">
        <v>15.149219815179519</v>
      </c>
      <c r="I346" s="59"/>
      <c r="J346" s="59"/>
      <c r="K346" s="59"/>
      <c r="L346" s="59"/>
      <c r="M346" s="41">
        <f t="shared" si="36"/>
        <v>15.149219815179519</v>
      </c>
    </row>
    <row r="347" spans="1:13" hidden="1" outlineLevel="2">
      <c r="A347" s="146">
        <v>46143</v>
      </c>
      <c r="B347" s="602" t="s">
        <v>1974</v>
      </c>
      <c r="C347" s="346">
        <v>871325076858</v>
      </c>
      <c r="D347" s="341" t="str">
        <f>VLOOKUP(C347,[1]Material!F:J,5,0)</f>
        <v>Fedex</v>
      </c>
      <c r="E347" s="367">
        <f>_xlfn.XLOOKUP(C347,[1]Material!$F:$F,[1]Material!$D:$D)</f>
        <v>2</v>
      </c>
      <c r="F347" s="345"/>
      <c r="G347" s="59"/>
      <c r="H347" s="59">
        <v>15.149219815179519</v>
      </c>
      <c r="I347" s="59"/>
      <c r="J347" s="59"/>
      <c r="K347" s="59"/>
      <c r="L347" s="59"/>
      <c r="M347" s="41">
        <f t="shared" si="36"/>
        <v>15.149219815179519</v>
      </c>
    </row>
    <row r="348" spans="1:13" hidden="1" outlineLevel="2">
      <c r="A348" s="146">
        <v>46143</v>
      </c>
      <c r="B348" s="602" t="s">
        <v>1322</v>
      </c>
      <c r="C348" s="346">
        <v>515511012869</v>
      </c>
      <c r="D348" s="341" t="str">
        <f>VLOOKUP(C348,[1]Material!F:J,5,0)</f>
        <v>Fedex</v>
      </c>
      <c r="E348" s="367">
        <f>_xlfn.XLOOKUP(C348,[1]Material!$F:$F,[1]Material!$D:$D)</f>
        <v>6.3</v>
      </c>
      <c r="F348" s="345"/>
      <c r="G348" s="59"/>
      <c r="H348" s="59">
        <v>15.149219815179519</v>
      </c>
      <c r="I348" s="59"/>
      <c r="J348" s="59"/>
      <c r="K348" s="59"/>
      <c r="L348" s="59"/>
      <c r="M348" s="41">
        <f t="shared" si="36"/>
        <v>15.149219815179519</v>
      </c>
    </row>
    <row r="349" spans="1:13" hidden="1" outlineLevel="2">
      <c r="A349" s="146">
        <v>46143</v>
      </c>
      <c r="B349" s="602" t="s">
        <v>1711</v>
      </c>
      <c r="C349" s="346">
        <v>489101270912</v>
      </c>
      <c r="D349" s="341" t="str">
        <f>VLOOKUP(C349,[1]Material!F:J,5,0)</f>
        <v>Fedex</v>
      </c>
      <c r="E349" s="367">
        <f>_xlfn.XLOOKUP(C349,[1]Material!$F:$F,[1]Material!$D:$D)</f>
        <v>1.1000000000000001</v>
      </c>
      <c r="F349" s="345"/>
      <c r="G349" s="59"/>
      <c r="H349" s="59">
        <v>15.149219815179519</v>
      </c>
      <c r="I349" s="59"/>
      <c r="J349" s="59"/>
      <c r="K349" s="59"/>
      <c r="L349" s="59"/>
      <c r="M349" s="41">
        <f t="shared" si="36"/>
        <v>15.149219815179519</v>
      </c>
    </row>
    <row r="350" spans="1:13" hidden="1" outlineLevel="2">
      <c r="A350" s="146">
        <v>46143</v>
      </c>
      <c r="B350" s="602" t="s">
        <v>1699</v>
      </c>
      <c r="C350" s="346">
        <v>500394945278</v>
      </c>
      <c r="D350" s="341" t="str">
        <f>VLOOKUP(C350,[1]Material!F:J,5,0)</f>
        <v>Fedex</v>
      </c>
      <c r="E350" s="367">
        <f>_xlfn.XLOOKUP(C350,[1]Material!$F:$F,[1]Material!$D:$D)</f>
        <v>1.8</v>
      </c>
      <c r="F350" s="345"/>
      <c r="G350" s="59"/>
      <c r="H350" s="59">
        <v>15.149219815179519</v>
      </c>
      <c r="I350" s="59"/>
      <c r="J350" s="59"/>
      <c r="K350" s="59"/>
      <c r="L350" s="59"/>
      <c r="M350" s="41">
        <f t="shared" si="36"/>
        <v>15.149219815179519</v>
      </c>
    </row>
    <row r="351" spans="1:13" hidden="1" outlineLevel="2">
      <c r="A351" s="146">
        <v>46143</v>
      </c>
      <c r="B351" s="602" t="s">
        <v>1498</v>
      </c>
      <c r="C351" s="346">
        <v>381241252993</v>
      </c>
      <c r="D351" s="341" t="str">
        <f>VLOOKUP(C351,[1]Material!F:J,5,0)</f>
        <v>Fedex</v>
      </c>
      <c r="E351" s="367">
        <f>_xlfn.XLOOKUP(C351,[1]Material!$F:$F,[1]Material!$D:$D)</f>
        <v>0.5</v>
      </c>
      <c r="F351" s="345"/>
      <c r="G351" s="59"/>
      <c r="H351" s="59">
        <v>15.149219815179519</v>
      </c>
      <c r="I351" s="59"/>
      <c r="J351" s="59"/>
      <c r="K351" s="59"/>
      <c r="L351" s="59"/>
      <c r="M351" s="41">
        <f t="shared" si="36"/>
        <v>15.149219815179519</v>
      </c>
    </row>
    <row r="352" spans="1:13" hidden="1" outlineLevel="2">
      <c r="A352" s="146">
        <v>46143</v>
      </c>
      <c r="B352" s="602" t="s">
        <v>945</v>
      </c>
      <c r="C352" s="346">
        <v>500292598930</v>
      </c>
      <c r="D352" s="341" t="str">
        <f>VLOOKUP(C352,[1]Material!F:J,5,0)</f>
        <v>Fedex</v>
      </c>
      <c r="E352" s="367">
        <f>_xlfn.XLOOKUP(C352,[1]Material!$F:$F,[1]Material!$D:$D)</f>
        <v>1.4</v>
      </c>
      <c r="F352" s="345"/>
      <c r="G352" s="59"/>
      <c r="H352" s="59">
        <v>15.149219815179519</v>
      </c>
      <c r="I352" s="59"/>
      <c r="J352" s="59"/>
      <c r="K352" s="59"/>
      <c r="L352" s="59"/>
      <c r="M352" s="41">
        <f t="shared" si="36"/>
        <v>15.149219815179519</v>
      </c>
    </row>
    <row r="353" spans="1:13" hidden="1" outlineLevel="2">
      <c r="A353" s="146">
        <v>46143</v>
      </c>
      <c r="B353" s="602" t="s">
        <v>1976</v>
      </c>
      <c r="C353" s="346">
        <v>493891687562</v>
      </c>
      <c r="D353" s="341" t="str">
        <f>VLOOKUP(C353,[1]Material!F:J,5,0)</f>
        <v>Fedex</v>
      </c>
      <c r="E353" s="367">
        <f>_xlfn.XLOOKUP(C353,[1]Material!$F:$F,[1]Material!$D:$D)</f>
        <v>31.3</v>
      </c>
      <c r="F353" s="345"/>
      <c r="G353" s="59"/>
      <c r="H353" s="59">
        <v>15.149219815179519</v>
      </c>
      <c r="I353" s="59"/>
      <c r="J353" s="59"/>
      <c r="K353" s="59"/>
      <c r="L353" s="59"/>
      <c r="M353" s="41">
        <f t="shared" si="36"/>
        <v>15.149219815179519</v>
      </c>
    </row>
    <row r="354" spans="1:13" hidden="1" outlineLevel="2">
      <c r="A354" s="146">
        <v>46143</v>
      </c>
      <c r="B354" s="602" t="s">
        <v>2023</v>
      </c>
      <c r="C354" s="346">
        <v>380679845654</v>
      </c>
      <c r="D354" s="341" t="str">
        <f>VLOOKUP(C354,[1]Material!F:J,5,0)</f>
        <v>Fedex</v>
      </c>
      <c r="E354" s="367">
        <f>_xlfn.XLOOKUP(C354,[1]Material!$F:$F,[1]Material!$D:$D)</f>
        <v>2.6</v>
      </c>
      <c r="F354" s="345"/>
      <c r="G354" s="59"/>
      <c r="H354" s="59">
        <v>15.149219815179519</v>
      </c>
      <c r="I354" s="59"/>
      <c r="J354" s="59"/>
      <c r="K354" s="59"/>
      <c r="L354" s="59"/>
      <c r="M354" s="41">
        <f t="shared" si="36"/>
        <v>15.149219815179519</v>
      </c>
    </row>
    <row r="355" spans="1:13" hidden="1" outlineLevel="2">
      <c r="A355" s="146">
        <v>46143</v>
      </c>
      <c r="B355" s="602" t="s">
        <v>945</v>
      </c>
      <c r="C355" s="346">
        <v>500292647141</v>
      </c>
      <c r="D355" s="341" t="str">
        <f>VLOOKUP(C355,[1]Material!F:J,5,0)</f>
        <v>Fedex</v>
      </c>
      <c r="E355" s="367">
        <f>_xlfn.XLOOKUP(C355,[1]Material!$F:$F,[1]Material!$D:$D)</f>
        <v>0.5</v>
      </c>
      <c r="F355" s="345"/>
      <c r="G355" s="59"/>
      <c r="H355" s="59">
        <v>15.149219815179519</v>
      </c>
      <c r="I355" s="59"/>
      <c r="J355" s="59"/>
      <c r="K355" s="59"/>
      <c r="L355" s="59"/>
      <c r="M355" s="41">
        <f t="shared" si="36"/>
        <v>15.149219815179519</v>
      </c>
    </row>
    <row r="356" spans="1:13" hidden="1" outlineLevel="2">
      <c r="A356" s="146">
        <v>46143</v>
      </c>
      <c r="B356" s="602" t="s">
        <v>1322</v>
      </c>
      <c r="C356" s="346">
        <v>524560536016</v>
      </c>
      <c r="D356" s="341" t="str">
        <f>VLOOKUP(C356,[1]Material!F:J,5,0)</f>
        <v>Fedex</v>
      </c>
      <c r="E356" s="367">
        <f>_xlfn.XLOOKUP(C356,[1]Material!$F:$F,[1]Material!$D:$D)</f>
        <v>0.4</v>
      </c>
      <c r="F356" s="345"/>
      <c r="G356" s="59"/>
      <c r="H356" s="59">
        <v>15.149219815179519</v>
      </c>
      <c r="I356" s="59"/>
      <c r="J356" s="59"/>
      <c r="K356" s="59"/>
      <c r="L356" s="59"/>
      <c r="M356" s="41">
        <f t="shared" si="36"/>
        <v>15.149219815179519</v>
      </c>
    </row>
    <row r="357" spans="1:13" hidden="1" outlineLevel="2">
      <c r="A357" s="146">
        <v>46143</v>
      </c>
      <c r="B357" s="602" t="s">
        <v>981</v>
      </c>
      <c r="C357" s="346">
        <v>381332073549</v>
      </c>
      <c r="D357" s="341" t="str">
        <f>VLOOKUP(C357,[1]Material!F:J,5,0)</f>
        <v>Fedex</v>
      </c>
      <c r="E357" s="367">
        <f>_xlfn.XLOOKUP(C357,[1]Material!$F:$F,[1]Material!$D:$D)</f>
        <v>1</v>
      </c>
      <c r="F357" s="345"/>
      <c r="G357" s="59"/>
      <c r="H357" s="59">
        <v>15.149219815179519</v>
      </c>
      <c r="I357" s="59"/>
      <c r="J357" s="59"/>
      <c r="K357" s="59"/>
      <c r="L357" s="59"/>
      <c r="M357" s="41">
        <f t="shared" si="36"/>
        <v>15.149219815179519</v>
      </c>
    </row>
    <row r="358" spans="1:13" hidden="1" outlineLevel="2">
      <c r="A358" s="146">
        <v>46143</v>
      </c>
      <c r="B358" s="602" t="s">
        <v>1481</v>
      </c>
      <c r="C358" s="346">
        <v>871835099990</v>
      </c>
      <c r="D358" s="341" t="str">
        <f>VLOOKUP(C358,[1]Material!F:J,5,0)</f>
        <v>Fedex</v>
      </c>
      <c r="E358" s="367">
        <f>_xlfn.XLOOKUP(C358,[1]Material!$F:$F,[1]Material!$D:$D)</f>
        <v>5.4</v>
      </c>
      <c r="F358" s="345"/>
      <c r="G358" s="59"/>
      <c r="H358" s="59">
        <v>15.149219815179519</v>
      </c>
      <c r="I358" s="59"/>
      <c r="J358" s="59"/>
      <c r="K358" s="59"/>
      <c r="L358" s="59"/>
      <c r="M358" s="41">
        <f t="shared" si="36"/>
        <v>15.149219815179519</v>
      </c>
    </row>
    <row r="359" spans="1:13" hidden="1" outlineLevel="2">
      <c r="A359" s="146">
        <v>46143</v>
      </c>
      <c r="B359" s="602" t="s">
        <v>981</v>
      </c>
      <c r="C359" s="346">
        <v>381339679629</v>
      </c>
      <c r="D359" s="341" t="str">
        <f>VLOOKUP(C359,[1]Material!F:J,5,0)</f>
        <v>Fedex</v>
      </c>
      <c r="E359" s="367">
        <f>_xlfn.XLOOKUP(C359,[1]Material!$F:$F,[1]Material!$D:$D)</f>
        <v>1</v>
      </c>
      <c r="F359" s="345"/>
      <c r="G359" s="59"/>
      <c r="H359" s="59">
        <v>15.149219815179519</v>
      </c>
      <c r="I359" s="59"/>
      <c r="J359" s="59"/>
      <c r="K359" s="59"/>
      <c r="L359" s="59"/>
      <c r="M359" s="41">
        <f t="shared" si="36"/>
        <v>15.149219815179519</v>
      </c>
    </row>
    <row r="360" spans="1:13" hidden="1" outlineLevel="2">
      <c r="A360" s="146">
        <v>46143</v>
      </c>
      <c r="B360" s="602" t="s">
        <v>1709</v>
      </c>
      <c r="C360" s="346">
        <v>2835604590</v>
      </c>
      <c r="D360" s="341" t="str">
        <f>VLOOKUP(C360,[1]Material!F:J,5,0)</f>
        <v>DHL</v>
      </c>
      <c r="E360" s="367">
        <f>_xlfn.XLOOKUP(C360,[1]Material!$F:$F,[1]Material!$D:$D)</f>
        <v>1.1000000000000001</v>
      </c>
      <c r="F360" s="345"/>
      <c r="G360" s="59"/>
      <c r="H360" s="59">
        <v>15.149219815179519</v>
      </c>
      <c r="I360" s="59"/>
      <c r="J360" s="59"/>
      <c r="K360" s="59"/>
      <c r="L360" s="59"/>
      <c r="M360" s="41">
        <f t="shared" si="36"/>
        <v>15.149219815179519</v>
      </c>
    </row>
    <row r="361" spans="1:13" hidden="1" outlineLevel="2">
      <c r="A361" s="146">
        <v>46143</v>
      </c>
      <c r="B361" s="602" t="s">
        <v>972</v>
      </c>
      <c r="C361" s="346">
        <v>493602840058</v>
      </c>
      <c r="D361" s="341" t="str">
        <f>VLOOKUP(C361,[1]Material!F:J,5,0)</f>
        <v>Fedex</v>
      </c>
      <c r="E361" s="367">
        <f>_xlfn.XLOOKUP(C361,[1]Material!$F:$F,[1]Material!$D:$D)</f>
        <v>0.3</v>
      </c>
      <c r="F361" s="345"/>
      <c r="G361" s="59"/>
      <c r="H361" s="59">
        <v>15.149219815179519</v>
      </c>
      <c r="I361" s="59"/>
      <c r="J361" s="59"/>
      <c r="K361" s="59"/>
      <c r="L361" s="59"/>
      <c r="M361" s="41">
        <f t="shared" si="36"/>
        <v>15.149219815179519</v>
      </c>
    </row>
    <row r="362" spans="1:13" hidden="1" outlineLevel="2">
      <c r="A362" s="146">
        <v>46143</v>
      </c>
      <c r="B362" s="602" t="s">
        <v>977</v>
      </c>
      <c r="C362" s="346">
        <v>493891688661</v>
      </c>
      <c r="D362" s="341" t="str">
        <f>VLOOKUP(C362,[1]Material!F:J,5,0)</f>
        <v>Fedex</v>
      </c>
      <c r="E362" s="367">
        <f>_xlfn.XLOOKUP(C362,[1]Material!$F:$F,[1]Material!$D:$D)</f>
        <v>11.3</v>
      </c>
      <c r="F362" s="345"/>
      <c r="G362" s="59"/>
      <c r="H362" s="59">
        <v>15.149219815179519</v>
      </c>
      <c r="I362" s="59"/>
      <c r="J362" s="59"/>
      <c r="K362" s="59"/>
      <c r="L362" s="59"/>
      <c r="M362" s="41">
        <f t="shared" si="36"/>
        <v>15.149219815179519</v>
      </c>
    </row>
    <row r="363" spans="1:13" hidden="1" outlineLevel="2">
      <c r="A363" s="146">
        <v>46143</v>
      </c>
      <c r="B363" s="602" t="s">
        <v>977</v>
      </c>
      <c r="C363" s="346">
        <v>493891688606</v>
      </c>
      <c r="D363" s="341" t="str">
        <f>VLOOKUP(C363,[1]Material!F:J,5,0)</f>
        <v>Fedex</v>
      </c>
      <c r="E363" s="367">
        <f>_xlfn.XLOOKUP(C363,[1]Material!$F:$F,[1]Material!$D:$D)</f>
        <v>6.4</v>
      </c>
      <c r="F363" s="345"/>
      <c r="G363" s="59"/>
      <c r="H363" s="59">
        <v>15.149219815179519</v>
      </c>
      <c r="I363" s="59"/>
      <c r="J363" s="59"/>
      <c r="K363" s="59"/>
      <c r="L363" s="59"/>
      <c r="M363" s="41">
        <f t="shared" si="36"/>
        <v>15.149219815179519</v>
      </c>
    </row>
    <row r="364" spans="1:13" hidden="1" outlineLevel="2">
      <c r="A364" s="146">
        <v>46143</v>
      </c>
      <c r="B364" s="602" t="s">
        <v>110</v>
      </c>
      <c r="C364" s="346">
        <v>5726634023</v>
      </c>
      <c r="D364" s="341" t="str">
        <f>VLOOKUP(C364,[1]Material!F:J,5,0)</f>
        <v>DHL</v>
      </c>
      <c r="E364" s="367">
        <f>_xlfn.XLOOKUP(C364,[1]Material!$F:$F,[1]Material!$D:$D)</f>
        <v>0.1</v>
      </c>
      <c r="F364" s="345"/>
      <c r="G364" s="59"/>
      <c r="H364" s="59">
        <v>15.149219815179519</v>
      </c>
      <c r="I364" s="59"/>
      <c r="J364" s="59"/>
      <c r="K364" s="59"/>
      <c r="L364" s="59"/>
      <c r="M364" s="41">
        <f t="shared" si="36"/>
        <v>15.149219815179519</v>
      </c>
    </row>
    <row r="365" spans="1:13" hidden="1" outlineLevel="2">
      <c r="A365" s="146">
        <v>46143</v>
      </c>
      <c r="B365" s="602" t="s">
        <v>2050</v>
      </c>
      <c r="C365" s="346" t="s">
        <v>2049</v>
      </c>
      <c r="D365" s="341" t="s">
        <v>1333</v>
      </c>
      <c r="E365" s="367"/>
      <c r="F365" s="345"/>
      <c r="G365" s="59"/>
      <c r="H365" s="59">
        <v>15.149219815179519</v>
      </c>
      <c r="I365" s="59"/>
      <c r="J365" s="59"/>
      <c r="K365" s="59"/>
      <c r="L365" s="59"/>
      <c r="M365" s="41">
        <f t="shared" si="36"/>
        <v>15.149219815179519</v>
      </c>
    </row>
    <row r="366" spans="1:13" outlineLevel="1" collapsed="1">
      <c r="A366" s="146" t="s">
        <v>2095</v>
      </c>
      <c r="B366" s="602"/>
      <c r="C366" s="346"/>
      <c r="D366" s="341"/>
      <c r="E366" s="367">
        <f t="shared" ref="E366:M366" si="37">SUBTOTAL(9,E321:E365)</f>
        <v>478.7000000000001</v>
      </c>
      <c r="F366" s="345">
        <f t="shared" si="37"/>
        <v>0</v>
      </c>
      <c r="G366" s="59">
        <f t="shared" si="37"/>
        <v>0</v>
      </c>
      <c r="H366" s="59">
        <f t="shared" si="37"/>
        <v>666.56567186789869</v>
      </c>
      <c r="I366" s="59">
        <f t="shared" si="37"/>
        <v>1238.724890168156</v>
      </c>
      <c r="J366" s="59">
        <f t="shared" si="37"/>
        <v>0</v>
      </c>
      <c r="K366" s="59">
        <f t="shared" si="37"/>
        <v>0</v>
      </c>
      <c r="L366" s="59">
        <f t="shared" si="37"/>
        <v>0</v>
      </c>
      <c r="M366" s="41">
        <f t="shared" si="37"/>
        <v>1905.2905620360557</v>
      </c>
    </row>
    <row r="367" spans="1:13" outlineLevel="2">
      <c r="A367" s="146">
        <v>46174</v>
      </c>
      <c r="B367" s="144" t="s">
        <v>1810</v>
      </c>
      <c r="C367" s="346">
        <v>2189144263</v>
      </c>
      <c r="D367" s="341" t="s">
        <v>897</v>
      </c>
      <c r="E367" s="367">
        <v>0.70000000000000007</v>
      </c>
      <c r="F367" s="345"/>
      <c r="G367" s="59">
        <v>0</v>
      </c>
      <c r="H367" s="59">
        <v>15.116015418335726</v>
      </c>
      <c r="I367" s="59">
        <v>0</v>
      </c>
      <c r="J367" s="59">
        <v>0</v>
      </c>
      <c r="K367" s="59">
        <v>0</v>
      </c>
      <c r="L367" s="59">
        <v>0</v>
      </c>
      <c r="M367" s="41">
        <f t="shared" si="36"/>
        <v>15.116015418335726</v>
      </c>
    </row>
    <row r="368" spans="1:13" outlineLevel="2">
      <c r="A368" s="146">
        <v>46174</v>
      </c>
      <c r="B368" s="144" t="s">
        <v>934</v>
      </c>
      <c r="C368" s="346">
        <v>3149633336</v>
      </c>
      <c r="D368" s="341" t="s">
        <v>897</v>
      </c>
      <c r="E368" s="367">
        <v>3.9</v>
      </c>
      <c r="F368" s="345"/>
      <c r="G368" s="59">
        <v>0</v>
      </c>
      <c r="H368" s="59">
        <v>15.116015418335726</v>
      </c>
      <c r="I368" s="59">
        <v>0</v>
      </c>
      <c r="J368" s="59">
        <v>0</v>
      </c>
      <c r="K368" s="59">
        <v>0</v>
      </c>
      <c r="L368" s="59">
        <v>0</v>
      </c>
      <c r="M368" s="41">
        <f t="shared" si="36"/>
        <v>15.116015418335726</v>
      </c>
    </row>
    <row r="369" spans="1:13" outlineLevel="2">
      <c r="A369" s="146">
        <v>46174</v>
      </c>
      <c r="B369" s="144" t="s">
        <v>1697</v>
      </c>
      <c r="C369" s="346">
        <v>4445559311</v>
      </c>
      <c r="D369" s="341" t="s">
        <v>897</v>
      </c>
      <c r="E369" s="367">
        <v>0.2</v>
      </c>
      <c r="F369" s="345"/>
      <c r="G369" s="59">
        <v>0</v>
      </c>
      <c r="H369" s="59">
        <v>15.116015418335726</v>
      </c>
      <c r="I369" s="59">
        <v>0</v>
      </c>
      <c r="J369" s="59">
        <v>0</v>
      </c>
      <c r="K369" s="59">
        <v>0</v>
      </c>
      <c r="L369" s="59">
        <v>0</v>
      </c>
      <c r="M369" s="41">
        <f t="shared" si="36"/>
        <v>15.116015418335726</v>
      </c>
    </row>
    <row r="370" spans="1:13" outlineLevel="2">
      <c r="A370" s="146">
        <v>46174</v>
      </c>
      <c r="B370" s="144" t="s">
        <v>974</v>
      </c>
      <c r="C370" s="346">
        <v>381335227154</v>
      </c>
      <c r="D370" s="341" t="s">
        <v>655</v>
      </c>
      <c r="E370" s="367">
        <v>0.8</v>
      </c>
      <c r="F370" s="345"/>
      <c r="G370" s="59">
        <v>0</v>
      </c>
      <c r="H370" s="59">
        <v>15.116015418335726</v>
      </c>
      <c r="I370" s="59">
        <v>31.805645831758749</v>
      </c>
      <c r="J370" s="59">
        <v>0</v>
      </c>
      <c r="K370" s="59">
        <v>0</v>
      </c>
      <c r="L370" s="59">
        <v>0</v>
      </c>
      <c r="M370" s="41">
        <f t="shared" si="36"/>
        <v>46.921661250094473</v>
      </c>
    </row>
    <row r="371" spans="1:13" outlineLevel="2">
      <c r="A371" s="146">
        <v>46174</v>
      </c>
      <c r="B371" s="144" t="s">
        <v>974</v>
      </c>
      <c r="C371" s="346">
        <v>381600540944</v>
      </c>
      <c r="D371" s="341" t="s">
        <v>655</v>
      </c>
      <c r="E371" s="367">
        <v>5.4</v>
      </c>
      <c r="F371" s="345"/>
      <c r="G371" s="59">
        <v>0</v>
      </c>
      <c r="H371" s="59">
        <v>15.116015418335726</v>
      </c>
      <c r="I371" s="59">
        <v>55.490930390749</v>
      </c>
      <c r="J371" s="59">
        <v>0</v>
      </c>
      <c r="K371" s="59">
        <v>0</v>
      </c>
      <c r="L371" s="59">
        <v>0</v>
      </c>
      <c r="M371" s="41">
        <f t="shared" si="36"/>
        <v>70.606945809084721</v>
      </c>
    </row>
    <row r="372" spans="1:13" outlineLevel="2">
      <c r="A372" s="146">
        <v>46174</v>
      </c>
      <c r="B372" s="144" t="s">
        <v>981</v>
      </c>
      <c r="C372" s="346">
        <v>381644804060</v>
      </c>
      <c r="D372" s="341" t="s">
        <v>45</v>
      </c>
      <c r="E372" s="367">
        <v>6.3</v>
      </c>
      <c r="F372" s="345"/>
      <c r="G372" s="59">
        <v>0</v>
      </c>
      <c r="H372" s="59">
        <v>15.116015418335726</v>
      </c>
      <c r="I372" s="59">
        <v>0</v>
      </c>
      <c r="J372" s="59">
        <v>0</v>
      </c>
      <c r="K372" s="59">
        <v>0</v>
      </c>
      <c r="L372" s="59">
        <v>0</v>
      </c>
      <c r="M372" s="41">
        <f t="shared" si="36"/>
        <v>15.116015418335726</v>
      </c>
    </row>
    <row r="373" spans="1:13" outlineLevel="2">
      <c r="A373" s="146">
        <v>46174</v>
      </c>
      <c r="B373" s="144" t="s">
        <v>1498</v>
      </c>
      <c r="C373" s="346">
        <v>381666781690</v>
      </c>
      <c r="D373" s="341" t="s">
        <v>45</v>
      </c>
      <c r="E373" s="367">
        <v>0.5</v>
      </c>
      <c r="F373" s="345"/>
      <c r="G373" s="59">
        <v>0</v>
      </c>
      <c r="H373" s="59">
        <v>15.116015418335726</v>
      </c>
      <c r="I373" s="59">
        <v>0</v>
      </c>
      <c r="J373" s="59">
        <v>0</v>
      </c>
      <c r="K373" s="59">
        <v>0</v>
      </c>
      <c r="L373" s="59">
        <v>0</v>
      </c>
      <c r="M373" s="41">
        <f t="shared" si="36"/>
        <v>15.116015418335726</v>
      </c>
    </row>
    <row r="374" spans="1:13" outlineLevel="2">
      <c r="A374" s="146">
        <v>46174</v>
      </c>
      <c r="B374" s="144" t="s">
        <v>802</v>
      </c>
      <c r="C374" s="346">
        <v>381714354771</v>
      </c>
      <c r="D374" s="341" t="s">
        <v>655</v>
      </c>
      <c r="E374" s="367">
        <v>1.1000000000000001</v>
      </c>
      <c r="F374" s="345"/>
      <c r="G374" s="59">
        <v>0</v>
      </c>
      <c r="H374" s="59">
        <v>15.116015418335726</v>
      </c>
      <c r="I374" s="59">
        <v>21.367394754742651</v>
      </c>
      <c r="J374" s="59">
        <v>0</v>
      </c>
      <c r="K374" s="59">
        <v>0</v>
      </c>
      <c r="L374" s="59">
        <v>0</v>
      </c>
      <c r="M374" s="41">
        <f t="shared" si="36"/>
        <v>36.483410173078376</v>
      </c>
    </row>
    <row r="375" spans="1:13" outlineLevel="2">
      <c r="A375" s="146">
        <v>46174</v>
      </c>
      <c r="B375" s="144" t="s">
        <v>1498</v>
      </c>
      <c r="C375" s="346">
        <v>381824860454</v>
      </c>
      <c r="D375" s="341" t="s">
        <v>45</v>
      </c>
      <c r="E375" s="367">
        <v>0.5</v>
      </c>
      <c r="F375" s="345"/>
      <c r="G375" s="59">
        <v>0</v>
      </c>
      <c r="H375" s="59">
        <v>15.116015418335726</v>
      </c>
      <c r="I375" s="59">
        <v>0</v>
      </c>
      <c r="J375" s="59">
        <v>0</v>
      </c>
      <c r="K375" s="59">
        <v>0</v>
      </c>
      <c r="L375" s="59">
        <v>0</v>
      </c>
      <c r="M375" s="41">
        <f t="shared" si="36"/>
        <v>15.116015418335726</v>
      </c>
    </row>
    <row r="376" spans="1:13" outlineLevel="2">
      <c r="A376" s="146">
        <v>46174</v>
      </c>
      <c r="B376" s="144" t="s">
        <v>802</v>
      </c>
      <c r="C376" s="346">
        <v>381847534714</v>
      </c>
      <c r="D376" s="341" t="s">
        <v>655</v>
      </c>
      <c r="E376" s="367">
        <v>1.1000000000000001</v>
      </c>
      <c r="F376" s="345"/>
      <c r="G376" s="59">
        <v>0</v>
      </c>
      <c r="H376" s="59">
        <v>15.116015418335726</v>
      </c>
      <c r="I376" s="59">
        <v>20.401027889048446</v>
      </c>
      <c r="J376" s="59">
        <v>0</v>
      </c>
      <c r="K376" s="59">
        <v>0</v>
      </c>
      <c r="L376" s="59">
        <v>0</v>
      </c>
      <c r="M376" s="41">
        <f t="shared" si="36"/>
        <v>35.517043307384171</v>
      </c>
    </row>
    <row r="377" spans="1:13" outlineLevel="2">
      <c r="A377" s="146">
        <v>46174</v>
      </c>
      <c r="B377" s="144" t="s">
        <v>804</v>
      </c>
      <c r="C377" s="346">
        <v>381860195105</v>
      </c>
      <c r="D377" s="341" t="s">
        <v>655</v>
      </c>
      <c r="E377" s="367">
        <v>1.1000000000000001</v>
      </c>
      <c r="F377" s="345"/>
      <c r="G377" s="59">
        <v>0</v>
      </c>
      <c r="H377" s="59">
        <v>15.116015418335726</v>
      </c>
      <c r="I377" s="59">
        <v>16.951742120776963</v>
      </c>
      <c r="J377" s="59">
        <v>0</v>
      </c>
      <c r="K377" s="59">
        <v>0</v>
      </c>
      <c r="L377" s="59">
        <v>0</v>
      </c>
      <c r="M377" s="41">
        <f t="shared" si="36"/>
        <v>32.067757539112691</v>
      </c>
    </row>
    <row r="378" spans="1:13" outlineLevel="2">
      <c r="A378" s="146">
        <v>46174</v>
      </c>
      <c r="B378" s="144" t="s">
        <v>804</v>
      </c>
      <c r="C378" s="346">
        <v>381939344552</v>
      </c>
      <c r="D378" s="341" t="s">
        <v>655</v>
      </c>
      <c r="E378" s="367">
        <v>1.4</v>
      </c>
      <c r="F378" s="345"/>
      <c r="G378" s="59">
        <v>0</v>
      </c>
      <c r="H378" s="59">
        <v>15.116015418335726</v>
      </c>
      <c r="I378" s="59">
        <v>16.951742120776963</v>
      </c>
      <c r="J378" s="59">
        <v>0</v>
      </c>
      <c r="K378" s="59">
        <v>0</v>
      </c>
      <c r="L378" s="59">
        <v>0</v>
      </c>
      <c r="M378" s="41">
        <f t="shared" si="36"/>
        <v>32.067757539112691</v>
      </c>
    </row>
    <row r="379" spans="1:13" outlineLevel="2">
      <c r="A379" s="146">
        <v>46174</v>
      </c>
      <c r="B379" s="144" t="s">
        <v>378</v>
      </c>
      <c r="C379" s="346">
        <v>409298924303</v>
      </c>
      <c r="D379" s="341" t="s">
        <v>655</v>
      </c>
      <c r="E379" s="367">
        <v>9.1999999999999993</v>
      </c>
      <c r="F379" s="345"/>
      <c r="G379" s="59">
        <v>0</v>
      </c>
      <c r="H379" s="59">
        <v>15.116015418335726</v>
      </c>
      <c r="I379" s="59">
        <v>45.005479555589147</v>
      </c>
      <c r="J379" s="59">
        <v>0</v>
      </c>
      <c r="K379" s="59">
        <v>0</v>
      </c>
      <c r="L379" s="59">
        <v>0</v>
      </c>
      <c r="M379" s="41">
        <f t="shared" si="36"/>
        <v>60.121494973924875</v>
      </c>
    </row>
    <row r="380" spans="1:13" outlineLevel="2">
      <c r="A380" s="146">
        <v>46174</v>
      </c>
      <c r="B380" s="144" t="s">
        <v>819</v>
      </c>
      <c r="C380" s="346">
        <v>469369346976</v>
      </c>
      <c r="D380" s="341" t="s">
        <v>655</v>
      </c>
      <c r="E380" s="367">
        <v>2.2999999999999998</v>
      </c>
      <c r="F380" s="345"/>
      <c r="G380" s="59">
        <v>0</v>
      </c>
      <c r="H380" s="59">
        <v>15.116015418335726</v>
      </c>
      <c r="I380" s="59">
        <v>26.081815433451741</v>
      </c>
      <c r="J380" s="59">
        <v>0</v>
      </c>
      <c r="K380" s="59">
        <v>0</v>
      </c>
      <c r="L380" s="59">
        <v>0</v>
      </c>
      <c r="M380" s="41">
        <f t="shared" si="36"/>
        <v>41.197830851787465</v>
      </c>
    </row>
    <row r="381" spans="1:13" outlineLevel="2">
      <c r="A381" s="146">
        <v>46174</v>
      </c>
      <c r="B381" s="144" t="s">
        <v>372</v>
      </c>
      <c r="C381" s="346">
        <v>472187362457</v>
      </c>
      <c r="D381" s="341" t="s">
        <v>655</v>
      </c>
      <c r="E381" s="367">
        <v>11.7</v>
      </c>
      <c r="F381" s="345"/>
      <c r="G381" s="59">
        <v>0</v>
      </c>
      <c r="H381" s="59">
        <v>15.116015418335726</v>
      </c>
      <c r="I381" s="59">
        <v>46.57429521578112</v>
      </c>
      <c r="J381" s="59">
        <v>0</v>
      </c>
      <c r="K381" s="59">
        <v>0</v>
      </c>
      <c r="L381" s="59">
        <v>0</v>
      </c>
      <c r="M381" s="41">
        <f t="shared" si="36"/>
        <v>61.690310634116848</v>
      </c>
    </row>
    <row r="382" spans="1:13" outlineLevel="2">
      <c r="A382" s="146">
        <v>46174</v>
      </c>
      <c r="B382" s="144" t="s">
        <v>524</v>
      </c>
      <c r="C382" s="346">
        <v>472187612303</v>
      </c>
      <c r="D382" s="341" t="s">
        <v>655</v>
      </c>
      <c r="E382" s="367">
        <v>26.5</v>
      </c>
      <c r="F382" s="345"/>
      <c r="G382" s="59">
        <v>0</v>
      </c>
      <c r="H382" s="59">
        <v>15.116015418335726</v>
      </c>
      <c r="I382" s="59">
        <v>85.672284785730483</v>
      </c>
      <c r="J382" s="59">
        <v>0</v>
      </c>
      <c r="K382" s="59">
        <v>0</v>
      </c>
      <c r="L382" s="59">
        <v>0</v>
      </c>
      <c r="M382" s="41">
        <f t="shared" si="36"/>
        <v>100.7883002040662</v>
      </c>
    </row>
    <row r="383" spans="1:13" outlineLevel="2">
      <c r="A383" s="146">
        <v>46174</v>
      </c>
      <c r="B383" s="144" t="s">
        <v>110</v>
      </c>
      <c r="C383" s="346">
        <v>483570646749</v>
      </c>
      <c r="D383" s="341" t="s">
        <v>45</v>
      </c>
      <c r="E383" s="367">
        <v>4.0999999999999996</v>
      </c>
      <c r="F383" s="345"/>
      <c r="G383" s="59">
        <v>0</v>
      </c>
      <c r="H383" s="59">
        <v>15.116015418335726</v>
      </c>
      <c r="I383" s="59">
        <v>0</v>
      </c>
      <c r="J383" s="59">
        <v>0</v>
      </c>
      <c r="K383" s="59">
        <v>0</v>
      </c>
      <c r="L383" s="59">
        <v>0</v>
      </c>
      <c r="M383" s="41">
        <f t="shared" si="36"/>
        <v>15.116015418335726</v>
      </c>
    </row>
    <row r="384" spans="1:13" outlineLevel="2">
      <c r="A384" s="146">
        <v>46174</v>
      </c>
      <c r="B384" s="144" t="s">
        <v>376</v>
      </c>
      <c r="C384" s="346">
        <v>484361670371</v>
      </c>
      <c r="D384" s="341" t="s">
        <v>45</v>
      </c>
      <c r="E384" s="367">
        <v>21.2</v>
      </c>
      <c r="F384" s="345"/>
      <c r="G384" s="59">
        <v>0</v>
      </c>
      <c r="H384" s="59">
        <v>15.116015418335726</v>
      </c>
      <c r="I384" s="59">
        <v>0</v>
      </c>
      <c r="J384" s="59">
        <v>0</v>
      </c>
      <c r="K384" s="59">
        <v>0</v>
      </c>
      <c r="L384" s="59">
        <v>0</v>
      </c>
      <c r="M384" s="41">
        <f t="shared" si="36"/>
        <v>15.116015418335726</v>
      </c>
    </row>
    <row r="385" spans="1:13" outlineLevel="2">
      <c r="A385" s="146">
        <v>46174</v>
      </c>
      <c r="B385" s="144" t="s">
        <v>1711</v>
      </c>
      <c r="C385" s="346">
        <v>489101274940</v>
      </c>
      <c r="D385" s="341" t="s">
        <v>45</v>
      </c>
      <c r="E385" s="367">
        <v>1.1000000000000001</v>
      </c>
      <c r="F385" s="345"/>
      <c r="G385" s="59">
        <v>0</v>
      </c>
      <c r="H385" s="59">
        <v>15.116015418335726</v>
      </c>
      <c r="I385" s="59">
        <v>0</v>
      </c>
      <c r="J385" s="59">
        <v>0</v>
      </c>
      <c r="K385" s="59">
        <v>0</v>
      </c>
      <c r="L385" s="59">
        <v>0</v>
      </c>
      <c r="M385" s="41">
        <f t="shared" si="36"/>
        <v>15.116015418335726</v>
      </c>
    </row>
    <row r="386" spans="1:13" outlineLevel="2">
      <c r="A386" s="146">
        <v>46174</v>
      </c>
      <c r="B386" s="144" t="s">
        <v>1711</v>
      </c>
      <c r="C386" s="346">
        <v>489101278063</v>
      </c>
      <c r="D386" s="341" t="s">
        <v>45</v>
      </c>
      <c r="E386" s="367">
        <v>0.5</v>
      </c>
      <c r="F386" s="345"/>
      <c r="G386" s="59">
        <v>0</v>
      </c>
      <c r="H386" s="59">
        <v>15.116015418335726</v>
      </c>
      <c r="I386" s="59">
        <v>0</v>
      </c>
      <c r="J386" s="59">
        <v>0</v>
      </c>
      <c r="K386" s="59">
        <v>0</v>
      </c>
      <c r="L386" s="59">
        <v>0</v>
      </c>
      <c r="M386" s="41">
        <f t="shared" si="36"/>
        <v>15.116015418335726</v>
      </c>
    </row>
    <row r="387" spans="1:13" outlineLevel="2">
      <c r="A387" s="146">
        <v>46174</v>
      </c>
      <c r="B387" s="144" t="s">
        <v>1711</v>
      </c>
      <c r="C387" s="346">
        <v>489101288650</v>
      </c>
      <c r="D387" s="341" t="s">
        <v>45</v>
      </c>
      <c r="E387" s="367">
        <v>0.4</v>
      </c>
      <c r="F387" s="345"/>
      <c r="G387" s="59">
        <v>0</v>
      </c>
      <c r="H387" s="59">
        <v>15.116015418335726</v>
      </c>
      <c r="I387" s="59">
        <v>0</v>
      </c>
      <c r="J387" s="59">
        <v>0</v>
      </c>
      <c r="K387" s="59">
        <v>0</v>
      </c>
      <c r="L387" s="59">
        <v>0</v>
      </c>
      <c r="M387" s="41">
        <f t="shared" si="36"/>
        <v>15.116015418335726</v>
      </c>
    </row>
    <row r="388" spans="1:13" outlineLevel="2">
      <c r="A388" s="146">
        <v>46174</v>
      </c>
      <c r="B388" s="144" t="s">
        <v>968</v>
      </c>
      <c r="C388" s="346">
        <v>492830077795</v>
      </c>
      <c r="D388" s="341" t="s">
        <v>45</v>
      </c>
      <c r="E388" s="367">
        <v>4.0999999999999996</v>
      </c>
      <c r="F388" s="345"/>
      <c r="G388" s="59">
        <v>0</v>
      </c>
      <c r="H388" s="59">
        <v>15.116015418335726</v>
      </c>
      <c r="I388" s="59">
        <v>0</v>
      </c>
      <c r="J388" s="59">
        <v>0</v>
      </c>
      <c r="K388" s="59">
        <v>0</v>
      </c>
      <c r="L388" s="59">
        <v>0</v>
      </c>
      <c r="M388" s="41">
        <f t="shared" si="36"/>
        <v>15.116015418335726</v>
      </c>
    </row>
    <row r="389" spans="1:13" outlineLevel="2">
      <c r="A389" s="146">
        <v>46174</v>
      </c>
      <c r="B389" s="144" t="s">
        <v>972</v>
      </c>
      <c r="C389" s="346">
        <v>493602838183</v>
      </c>
      <c r="D389" s="341" t="s">
        <v>45</v>
      </c>
      <c r="E389" s="367">
        <v>7.9</v>
      </c>
      <c r="F389" s="345"/>
      <c r="G389" s="59">
        <v>0</v>
      </c>
      <c r="H389" s="59">
        <v>15.116015418335726</v>
      </c>
      <c r="I389" s="59">
        <v>0</v>
      </c>
      <c r="J389" s="59">
        <v>0</v>
      </c>
      <c r="K389" s="59">
        <v>0</v>
      </c>
      <c r="L389" s="59">
        <v>0</v>
      </c>
      <c r="M389" s="41">
        <f t="shared" si="36"/>
        <v>15.116015418335726</v>
      </c>
    </row>
    <row r="390" spans="1:13" outlineLevel="2">
      <c r="A390" s="146">
        <v>46174</v>
      </c>
      <c r="B390" s="144" t="s">
        <v>972</v>
      </c>
      <c r="C390" s="346">
        <v>493602841709</v>
      </c>
      <c r="D390" s="341" t="s">
        <v>45</v>
      </c>
      <c r="E390" s="367">
        <v>0.60000000000000009</v>
      </c>
      <c r="F390" s="345"/>
      <c r="G390" s="59">
        <v>0</v>
      </c>
      <c r="H390" s="59">
        <v>15.116015418335726</v>
      </c>
      <c r="I390" s="59">
        <v>0</v>
      </c>
      <c r="J390" s="59">
        <v>0</v>
      </c>
      <c r="K390" s="59">
        <v>0</v>
      </c>
      <c r="L390" s="59">
        <v>0</v>
      </c>
      <c r="M390" s="41">
        <f t="shared" si="36"/>
        <v>15.116015418335726</v>
      </c>
    </row>
    <row r="391" spans="1:13" outlineLevel="2">
      <c r="A391" s="146">
        <v>46174</v>
      </c>
      <c r="B391" s="144" t="s">
        <v>972</v>
      </c>
      <c r="C391" s="346">
        <v>493602842370</v>
      </c>
      <c r="D391" s="341" t="s">
        <v>45</v>
      </c>
      <c r="E391" s="367">
        <v>14.1</v>
      </c>
      <c r="F391" s="345"/>
      <c r="G391" s="59">
        <v>0</v>
      </c>
      <c r="H391" s="59">
        <v>15.116015418335726</v>
      </c>
      <c r="I391" s="59">
        <v>0</v>
      </c>
      <c r="J391" s="59">
        <v>0</v>
      </c>
      <c r="K391" s="59">
        <v>0</v>
      </c>
      <c r="L391" s="59">
        <v>0</v>
      </c>
      <c r="M391" s="41">
        <f t="shared" si="36"/>
        <v>15.116015418335726</v>
      </c>
    </row>
    <row r="392" spans="1:13" outlineLevel="2">
      <c r="A392" s="146">
        <v>46174</v>
      </c>
      <c r="B392" s="144" t="s">
        <v>972</v>
      </c>
      <c r="C392" s="346">
        <v>493602843701</v>
      </c>
      <c r="D392" s="341" t="s">
        <v>45</v>
      </c>
      <c r="E392" s="367">
        <v>2</v>
      </c>
      <c r="F392" s="345"/>
      <c r="G392" s="59">
        <v>0</v>
      </c>
      <c r="H392" s="59">
        <v>15.116015418335726</v>
      </c>
      <c r="I392" s="59">
        <v>0</v>
      </c>
      <c r="J392" s="59">
        <v>0</v>
      </c>
      <c r="K392" s="59">
        <v>0</v>
      </c>
      <c r="L392" s="59">
        <v>0</v>
      </c>
      <c r="M392" s="41">
        <f t="shared" ref="M392:M437" si="38">SUM(G392:L392)</f>
        <v>15.116015418335726</v>
      </c>
    </row>
    <row r="393" spans="1:13" outlineLevel="2">
      <c r="A393" s="146">
        <v>46174</v>
      </c>
      <c r="B393" s="144" t="s">
        <v>972</v>
      </c>
      <c r="C393" s="346">
        <v>493602845461</v>
      </c>
      <c r="D393" s="341" t="s">
        <v>45</v>
      </c>
      <c r="E393" s="367">
        <v>0.5</v>
      </c>
      <c r="F393" s="345"/>
      <c r="G393" s="59">
        <v>0</v>
      </c>
      <c r="H393" s="59">
        <v>15.116015418335726</v>
      </c>
      <c r="I393" s="59">
        <v>0</v>
      </c>
      <c r="J393" s="59">
        <v>0</v>
      </c>
      <c r="K393" s="59">
        <v>0</v>
      </c>
      <c r="L393" s="59">
        <v>0</v>
      </c>
      <c r="M393" s="41">
        <f t="shared" si="38"/>
        <v>15.116015418335726</v>
      </c>
    </row>
    <row r="394" spans="1:13" outlineLevel="2">
      <c r="A394" s="146">
        <v>46174</v>
      </c>
      <c r="B394" s="144" t="s">
        <v>2768</v>
      </c>
      <c r="C394" s="346">
        <v>493602848368</v>
      </c>
      <c r="D394" s="341" t="s">
        <v>45</v>
      </c>
      <c r="E394" s="367">
        <v>0.70000000000000007</v>
      </c>
      <c r="F394" s="345"/>
      <c r="G394" s="59">
        <v>0</v>
      </c>
      <c r="H394" s="59">
        <v>15.116015418335726</v>
      </c>
      <c r="I394" s="59">
        <v>0</v>
      </c>
      <c r="J394" s="59">
        <v>0</v>
      </c>
      <c r="K394" s="59">
        <v>0</v>
      </c>
      <c r="L394" s="59">
        <v>0</v>
      </c>
      <c r="M394" s="41">
        <f t="shared" si="38"/>
        <v>15.116015418335726</v>
      </c>
    </row>
    <row r="395" spans="1:13" outlineLevel="2">
      <c r="A395" s="146">
        <v>46174</v>
      </c>
      <c r="B395" s="144" t="s">
        <v>977</v>
      </c>
      <c r="C395" s="346">
        <v>493891689006</v>
      </c>
      <c r="D395" s="341" t="s">
        <v>45</v>
      </c>
      <c r="E395" s="367">
        <v>39.5</v>
      </c>
      <c r="F395" s="345"/>
      <c r="G395" s="59">
        <v>0</v>
      </c>
      <c r="H395" s="59">
        <v>15.116015418335726</v>
      </c>
      <c r="I395" s="59">
        <v>0</v>
      </c>
      <c r="J395" s="59">
        <v>0</v>
      </c>
      <c r="K395" s="59">
        <v>0</v>
      </c>
      <c r="L395" s="59">
        <v>0</v>
      </c>
      <c r="M395" s="41">
        <f t="shared" si="38"/>
        <v>15.116015418335726</v>
      </c>
    </row>
    <row r="396" spans="1:13" outlineLevel="2">
      <c r="A396" s="146">
        <v>46174</v>
      </c>
      <c r="B396" s="144" t="s">
        <v>977</v>
      </c>
      <c r="C396" s="346">
        <v>493891689782</v>
      </c>
      <c r="D396" s="341" t="s">
        <v>45</v>
      </c>
      <c r="E396" s="367">
        <v>16.8</v>
      </c>
      <c r="F396" s="345"/>
      <c r="G396" s="59">
        <v>0</v>
      </c>
      <c r="H396" s="59">
        <v>15.116015418335726</v>
      </c>
      <c r="I396" s="59">
        <v>0</v>
      </c>
      <c r="J396" s="59">
        <v>0</v>
      </c>
      <c r="K396" s="59">
        <v>0</v>
      </c>
      <c r="L396" s="59">
        <v>0</v>
      </c>
      <c r="M396" s="41">
        <f t="shared" si="38"/>
        <v>15.116015418335726</v>
      </c>
    </row>
    <row r="397" spans="1:13" outlineLevel="2">
      <c r="A397" s="146">
        <v>46174</v>
      </c>
      <c r="B397" s="144" t="s">
        <v>523</v>
      </c>
      <c r="C397" s="346">
        <v>494686583305</v>
      </c>
      <c r="D397" s="341" t="s">
        <v>655</v>
      </c>
      <c r="E397" s="367">
        <v>15.6</v>
      </c>
      <c r="F397" s="345"/>
      <c r="G397" s="59">
        <v>0</v>
      </c>
      <c r="H397" s="59">
        <v>15.116015418335726</v>
      </c>
      <c r="I397" s="59">
        <v>62.426800695336709</v>
      </c>
      <c r="J397" s="59">
        <v>0</v>
      </c>
      <c r="K397" s="59">
        <v>0</v>
      </c>
      <c r="L397" s="59">
        <v>0</v>
      </c>
      <c r="M397" s="41">
        <f t="shared" si="38"/>
        <v>77.54281611367243</v>
      </c>
    </row>
    <row r="398" spans="1:13" outlineLevel="2">
      <c r="A398" s="146">
        <v>46174</v>
      </c>
      <c r="B398" s="144" t="s">
        <v>523</v>
      </c>
      <c r="C398" s="346">
        <v>494686585801</v>
      </c>
      <c r="D398" s="341" t="s">
        <v>655</v>
      </c>
      <c r="E398" s="367">
        <v>19.2</v>
      </c>
      <c r="F398" s="345"/>
      <c r="G398" s="59">
        <v>0</v>
      </c>
      <c r="H398" s="59">
        <v>15.116015418335726</v>
      </c>
      <c r="I398" s="59">
        <v>65.898495956465879</v>
      </c>
      <c r="J398" s="59">
        <v>0</v>
      </c>
      <c r="K398" s="59">
        <v>0</v>
      </c>
      <c r="L398" s="59">
        <v>0</v>
      </c>
      <c r="M398" s="41">
        <f t="shared" si="38"/>
        <v>81.0145113748016</v>
      </c>
    </row>
    <row r="399" spans="1:13" outlineLevel="2">
      <c r="A399" s="146">
        <v>46174</v>
      </c>
      <c r="B399" s="144" t="s">
        <v>83</v>
      </c>
      <c r="C399" s="346">
        <v>497354649867</v>
      </c>
      <c r="D399" s="341" t="s">
        <v>45</v>
      </c>
      <c r="E399" s="367">
        <v>143.6</v>
      </c>
      <c r="F399" s="345"/>
      <c r="G399" s="59">
        <v>0</v>
      </c>
      <c r="H399" s="59">
        <v>15.116015418335726</v>
      </c>
      <c r="I399" s="59">
        <v>0</v>
      </c>
      <c r="J399" s="59">
        <v>0</v>
      </c>
      <c r="K399" s="59">
        <v>0</v>
      </c>
      <c r="L399" s="59">
        <v>0</v>
      </c>
      <c r="M399" s="41">
        <f t="shared" si="38"/>
        <v>15.116015418335726</v>
      </c>
    </row>
    <row r="400" spans="1:13" outlineLevel="2">
      <c r="A400" s="146">
        <v>46174</v>
      </c>
      <c r="B400" s="144" t="s">
        <v>945</v>
      </c>
      <c r="C400" s="346">
        <v>500292607983</v>
      </c>
      <c r="D400" s="341" t="s">
        <v>45</v>
      </c>
      <c r="E400" s="367">
        <v>2.7</v>
      </c>
      <c r="F400" s="345"/>
      <c r="G400" s="59">
        <v>0</v>
      </c>
      <c r="H400" s="59">
        <v>15.116015418335726</v>
      </c>
      <c r="I400" s="59">
        <v>0</v>
      </c>
      <c r="J400" s="59">
        <v>0</v>
      </c>
      <c r="K400" s="59">
        <v>0</v>
      </c>
      <c r="L400" s="59">
        <v>0</v>
      </c>
      <c r="M400" s="41">
        <f t="shared" si="38"/>
        <v>15.116015418335726</v>
      </c>
    </row>
    <row r="401" spans="1:13" outlineLevel="2">
      <c r="A401" s="146">
        <v>46174</v>
      </c>
      <c r="B401" s="144" t="s">
        <v>945</v>
      </c>
      <c r="C401" s="346">
        <v>500292632609</v>
      </c>
      <c r="D401" s="341" t="s">
        <v>45</v>
      </c>
      <c r="E401" s="367">
        <v>0.9</v>
      </c>
      <c r="F401" s="345"/>
      <c r="G401" s="59">
        <v>0</v>
      </c>
      <c r="H401" s="59">
        <v>15.116015418335726</v>
      </c>
      <c r="I401" s="59">
        <v>0</v>
      </c>
      <c r="J401" s="59">
        <v>0</v>
      </c>
      <c r="K401" s="59">
        <v>0</v>
      </c>
      <c r="L401" s="59">
        <v>0</v>
      </c>
      <c r="M401" s="41">
        <f t="shared" si="38"/>
        <v>15.116015418335726</v>
      </c>
    </row>
    <row r="402" spans="1:13" outlineLevel="2">
      <c r="A402" s="146">
        <v>46174</v>
      </c>
      <c r="B402" s="144" t="s">
        <v>945</v>
      </c>
      <c r="C402" s="346">
        <v>500292656878</v>
      </c>
      <c r="D402" s="341" t="s">
        <v>45</v>
      </c>
      <c r="E402" s="367">
        <v>0.5</v>
      </c>
      <c r="F402" s="345"/>
      <c r="G402" s="59">
        <v>0</v>
      </c>
      <c r="H402" s="59">
        <v>15.116015418335726</v>
      </c>
      <c r="I402" s="59">
        <v>0</v>
      </c>
      <c r="J402" s="59">
        <v>0</v>
      </c>
      <c r="K402" s="59">
        <v>0</v>
      </c>
      <c r="L402" s="59">
        <v>0</v>
      </c>
      <c r="M402" s="41">
        <f t="shared" si="38"/>
        <v>15.116015418335726</v>
      </c>
    </row>
    <row r="403" spans="1:13" outlineLevel="2">
      <c r="A403" s="146">
        <v>46174</v>
      </c>
      <c r="B403" s="144" t="s">
        <v>945</v>
      </c>
      <c r="C403" s="346">
        <v>500292657094</v>
      </c>
      <c r="D403" s="341" t="s">
        <v>45</v>
      </c>
      <c r="E403" s="367">
        <v>1.8</v>
      </c>
      <c r="F403" s="345"/>
      <c r="G403" s="59">
        <v>0</v>
      </c>
      <c r="H403" s="59">
        <v>15.116015418335726</v>
      </c>
      <c r="I403" s="59">
        <v>0</v>
      </c>
      <c r="J403" s="59">
        <v>0</v>
      </c>
      <c r="K403" s="59">
        <v>0</v>
      </c>
      <c r="L403" s="59">
        <v>0</v>
      </c>
      <c r="M403" s="41">
        <f t="shared" si="38"/>
        <v>15.116015418335726</v>
      </c>
    </row>
    <row r="404" spans="1:13" outlineLevel="2">
      <c r="A404" s="146">
        <v>46174</v>
      </c>
      <c r="B404" s="144" t="s">
        <v>945</v>
      </c>
      <c r="C404" s="346">
        <v>500292670780</v>
      </c>
      <c r="D404" s="341" t="s">
        <v>45</v>
      </c>
      <c r="E404" s="367">
        <v>0.5</v>
      </c>
      <c r="F404" s="345"/>
      <c r="G404" s="59">
        <v>0</v>
      </c>
      <c r="H404" s="59">
        <v>15.116015418335726</v>
      </c>
      <c r="I404" s="59">
        <v>0</v>
      </c>
      <c r="J404" s="59">
        <v>0</v>
      </c>
      <c r="K404" s="59">
        <v>0</v>
      </c>
      <c r="L404" s="59">
        <v>0</v>
      </c>
      <c r="M404" s="41">
        <f t="shared" si="38"/>
        <v>15.116015418335726</v>
      </c>
    </row>
    <row r="405" spans="1:13" outlineLevel="2">
      <c r="A405" s="146">
        <v>46174</v>
      </c>
      <c r="B405" s="144" t="s">
        <v>945</v>
      </c>
      <c r="C405" s="346">
        <v>500292680405</v>
      </c>
      <c r="D405" s="341" t="s">
        <v>45</v>
      </c>
      <c r="E405" s="367">
        <v>0.5</v>
      </c>
      <c r="F405" s="345"/>
      <c r="G405" s="59">
        <v>0</v>
      </c>
      <c r="H405" s="59">
        <v>15.116015418335726</v>
      </c>
      <c r="I405" s="59">
        <v>0</v>
      </c>
      <c r="J405" s="59">
        <v>0</v>
      </c>
      <c r="K405" s="59">
        <v>0</v>
      </c>
      <c r="L405" s="59">
        <v>0</v>
      </c>
      <c r="M405" s="41">
        <f t="shared" si="38"/>
        <v>15.116015418335726</v>
      </c>
    </row>
    <row r="406" spans="1:13" outlineLevel="2">
      <c r="A406" s="146">
        <v>46174</v>
      </c>
      <c r="B406" s="144" t="s">
        <v>801</v>
      </c>
      <c r="C406" s="346">
        <v>515199060732</v>
      </c>
      <c r="D406" s="341" t="s">
        <v>655</v>
      </c>
      <c r="E406" s="367">
        <v>95.1</v>
      </c>
      <c r="F406" s="345"/>
      <c r="G406" s="59">
        <v>0</v>
      </c>
      <c r="H406" s="59">
        <v>15.116015418335726</v>
      </c>
      <c r="I406" s="59">
        <v>235.19873781271258</v>
      </c>
      <c r="J406" s="59">
        <v>0</v>
      </c>
      <c r="K406" s="59">
        <v>0</v>
      </c>
      <c r="L406" s="59">
        <v>0</v>
      </c>
      <c r="M406" s="41">
        <f t="shared" si="38"/>
        <v>250.31475323104831</v>
      </c>
    </row>
    <row r="407" spans="1:13" outlineLevel="2">
      <c r="A407" s="146">
        <v>46174</v>
      </c>
      <c r="B407" s="144" t="s">
        <v>1690</v>
      </c>
      <c r="C407" s="346">
        <v>520711083752</v>
      </c>
      <c r="D407" s="341" t="s">
        <v>45</v>
      </c>
      <c r="E407" s="367">
        <v>3.1</v>
      </c>
      <c r="F407" s="345"/>
      <c r="G407" s="59">
        <v>0</v>
      </c>
      <c r="H407" s="59">
        <v>15.116015418335726</v>
      </c>
      <c r="I407" s="59">
        <v>0</v>
      </c>
      <c r="J407" s="59">
        <v>0</v>
      </c>
      <c r="K407" s="59">
        <v>0</v>
      </c>
      <c r="L407" s="59">
        <v>0</v>
      </c>
      <c r="M407" s="41">
        <f t="shared" si="38"/>
        <v>15.116015418335726</v>
      </c>
    </row>
    <row r="408" spans="1:13" outlineLevel="2">
      <c r="A408" s="146">
        <v>46174</v>
      </c>
      <c r="B408" s="144" t="s">
        <v>1322</v>
      </c>
      <c r="C408" s="346">
        <v>524560592163</v>
      </c>
      <c r="D408" s="341" t="s">
        <v>45</v>
      </c>
      <c r="E408" s="367">
        <v>5.3</v>
      </c>
      <c r="F408" s="345"/>
      <c r="G408" s="59">
        <v>0</v>
      </c>
      <c r="H408" s="59">
        <v>15.116015418335726</v>
      </c>
      <c r="I408" s="59">
        <v>0</v>
      </c>
      <c r="J408" s="59">
        <v>0</v>
      </c>
      <c r="K408" s="59">
        <v>0</v>
      </c>
      <c r="L408" s="59">
        <v>0</v>
      </c>
      <c r="M408" s="41">
        <f t="shared" si="38"/>
        <v>15.116015418335726</v>
      </c>
    </row>
    <row r="409" spans="1:13" outlineLevel="2">
      <c r="A409" s="146">
        <v>46174</v>
      </c>
      <c r="B409" s="144" t="s">
        <v>945</v>
      </c>
      <c r="C409" s="346">
        <v>525688574718</v>
      </c>
      <c r="D409" s="341" t="s">
        <v>45</v>
      </c>
      <c r="E409" s="367">
        <v>1.6</v>
      </c>
      <c r="F409" s="345"/>
      <c r="G409" s="59">
        <v>0</v>
      </c>
      <c r="H409" s="59">
        <v>15.116015418335726</v>
      </c>
      <c r="I409" s="59">
        <v>0</v>
      </c>
      <c r="J409" s="59">
        <v>0</v>
      </c>
      <c r="K409" s="59">
        <v>0</v>
      </c>
      <c r="L409" s="59">
        <v>0</v>
      </c>
      <c r="M409" s="41">
        <f t="shared" si="38"/>
        <v>15.116015418335726</v>
      </c>
    </row>
    <row r="410" spans="1:13" outlineLevel="2">
      <c r="A410" s="146">
        <v>46174</v>
      </c>
      <c r="B410" s="144" t="s">
        <v>2711</v>
      </c>
      <c r="C410" s="346">
        <v>525688600476</v>
      </c>
      <c r="D410" s="341" t="s">
        <v>45</v>
      </c>
      <c r="E410" s="367">
        <v>0.5</v>
      </c>
      <c r="F410" s="345"/>
      <c r="G410" s="59">
        <v>0</v>
      </c>
      <c r="H410" s="59">
        <v>15.116015418335726</v>
      </c>
      <c r="I410" s="59">
        <v>0</v>
      </c>
      <c r="J410" s="59">
        <v>0</v>
      </c>
      <c r="K410" s="59">
        <v>0</v>
      </c>
      <c r="L410" s="59">
        <v>0</v>
      </c>
      <c r="M410" s="41">
        <f t="shared" si="38"/>
        <v>15.116015418335726</v>
      </c>
    </row>
    <row r="411" spans="1:13" outlineLevel="2">
      <c r="A411" s="146">
        <v>46174</v>
      </c>
      <c r="B411" s="144" t="s">
        <v>2711</v>
      </c>
      <c r="C411" s="346">
        <v>525688609153</v>
      </c>
      <c r="D411" s="341" t="s">
        <v>45</v>
      </c>
      <c r="E411" s="367">
        <v>0.5</v>
      </c>
      <c r="F411" s="345"/>
      <c r="G411" s="59">
        <v>0</v>
      </c>
      <c r="H411" s="59">
        <v>15.116015418335726</v>
      </c>
      <c r="I411" s="59">
        <v>0</v>
      </c>
      <c r="J411" s="59">
        <v>0</v>
      </c>
      <c r="K411" s="59">
        <v>0</v>
      </c>
      <c r="L411" s="59">
        <v>0</v>
      </c>
      <c r="M411" s="41">
        <f t="shared" si="38"/>
        <v>15.116015418335726</v>
      </c>
    </row>
    <row r="412" spans="1:13" outlineLevel="2">
      <c r="A412" s="146">
        <v>46174</v>
      </c>
      <c r="B412" s="144" t="s">
        <v>957</v>
      </c>
      <c r="C412" s="346">
        <v>526750324069</v>
      </c>
      <c r="D412" s="341" t="s">
        <v>45</v>
      </c>
      <c r="E412" s="367">
        <v>0.2</v>
      </c>
      <c r="F412" s="345"/>
      <c r="G412" s="59">
        <v>0</v>
      </c>
      <c r="H412" s="59">
        <v>15.116015418335726</v>
      </c>
      <c r="I412" s="59">
        <v>0</v>
      </c>
      <c r="J412" s="59">
        <v>0</v>
      </c>
      <c r="K412" s="59">
        <v>0</v>
      </c>
      <c r="L412" s="59">
        <v>0</v>
      </c>
      <c r="M412" s="41">
        <f t="shared" si="38"/>
        <v>15.116015418335726</v>
      </c>
    </row>
    <row r="413" spans="1:13" outlineLevel="2">
      <c r="A413" s="146">
        <v>46174</v>
      </c>
      <c r="B413" s="144" t="s">
        <v>968</v>
      </c>
      <c r="C413" s="346">
        <v>527159112240</v>
      </c>
      <c r="D413" s="341" t="s">
        <v>45</v>
      </c>
      <c r="E413" s="367">
        <v>6.2</v>
      </c>
      <c r="F413" s="345"/>
      <c r="G413" s="59">
        <v>0</v>
      </c>
      <c r="H413" s="59">
        <v>15.116015418335726</v>
      </c>
      <c r="I413" s="59">
        <v>0</v>
      </c>
      <c r="J413" s="59">
        <v>0</v>
      </c>
      <c r="K413" s="59">
        <v>0</v>
      </c>
      <c r="L413" s="59">
        <v>0</v>
      </c>
      <c r="M413" s="41">
        <f t="shared" si="38"/>
        <v>15.116015418335726</v>
      </c>
    </row>
    <row r="414" spans="1:13" outlineLevel="2">
      <c r="A414" s="146">
        <v>46174</v>
      </c>
      <c r="B414" s="144" t="s">
        <v>957</v>
      </c>
      <c r="C414" s="346">
        <v>527557160332</v>
      </c>
      <c r="D414" s="341" t="s">
        <v>45</v>
      </c>
      <c r="E414" s="367">
        <v>8.1999999999999993</v>
      </c>
      <c r="F414" s="345"/>
      <c r="G414" s="59">
        <v>0</v>
      </c>
      <c r="H414" s="59">
        <v>15.116015418335726</v>
      </c>
      <c r="I414" s="59">
        <v>0</v>
      </c>
      <c r="J414" s="59">
        <v>0</v>
      </c>
      <c r="K414" s="59">
        <v>0</v>
      </c>
      <c r="L414" s="59">
        <v>0</v>
      </c>
      <c r="M414" s="41">
        <f t="shared" si="38"/>
        <v>15.116015418335726</v>
      </c>
    </row>
    <row r="415" spans="1:13" outlineLevel="2">
      <c r="A415" s="146">
        <v>46174</v>
      </c>
      <c r="B415" s="144" t="s">
        <v>2455</v>
      </c>
      <c r="C415" s="346">
        <v>528358965860</v>
      </c>
      <c r="D415" s="341" t="s">
        <v>45</v>
      </c>
      <c r="E415" s="367">
        <v>1.3</v>
      </c>
      <c r="F415" s="345"/>
      <c r="G415" s="59">
        <v>0</v>
      </c>
      <c r="H415" s="59">
        <v>15.116015418335726</v>
      </c>
      <c r="I415" s="59">
        <v>0</v>
      </c>
      <c r="J415" s="59">
        <v>0</v>
      </c>
      <c r="K415" s="59">
        <v>0</v>
      </c>
      <c r="L415" s="59">
        <v>0</v>
      </c>
      <c r="M415" s="41">
        <f t="shared" si="38"/>
        <v>15.116015418335726</v>
      </c>
    </row>
    <row r="416" spans="1:13" outlineLevel="2">
      <c r="A416" s="146">
        <v>46174</v>
      </c>
      <c r="B416" s="144" t="s">
        <v>2860</v>
      </c>
      <c r="C416" s="346">
        <v>528979425010</v>
      </c>
      <c r="D416" s="341" t="s">
        <v>45</v>
      </c>
      <c r="E416" s="367">
        <v>1</v>
      </c>
      <c r="F416" s="345"/>
      <c r="G416" s="59">
        <v>0</v>
      </c>
      <c r="H416" s="59">
        <v>15.116015418335726</v>
      </c>
      <c r="I416" s="59">
        <v>0</v>
      </c>
      <c r="J416" s="59">
        <v>0</v>
      </c>
      <c r="K416" s="59">
        <v>0</v>
      </c>
      <c r="L416" s="59">
        <v>0</v>
      </c>
      <c r="M416" s="41">
        <f t="shared" si="38"/>
        <v>15.116015418335726</v>
      </c>
    </row>
    <row r="417" spans="1:13" outlineLevel="2">
      <c r="A417" s="146">
        <v>46174</v>
      </c>
      <c r="B417" s="144" t="s">
        <v>968</v>
      </c>
      <c r="C417" s="346">
        <v>530217606220</v>
      </c>
      <c r="D417" s="341" t="s">
        <v>45</v>
      </c>
      <c r="E417" s="367">
        <v>2.5</v>
      </c>
      <c r="F417" s="345"/>
      <c r="G417" s="59">
        <v>0</v>
      </c>
      <c r="H417" s="59">
        <v>15.116015418335726</v>
      </c>
      <c r="I417" s="59">
        <v>0</v>
      </c>
      <c r="J417" s="59">
        <v>0</v>
      </c>
      <c r="K417" s="59">
        <v>0</v>
      </c>
      <c r="L417" s="59">
        <v>0</v>
      </c>
      <c r="M417" s="41">
        <f t="shared" si="38"/>
        <v>15.116015418335726</v>
      </c>
    </row>
    <row r="418" spans="1:13" outlineLevel="2">
      <c r="A418" s="146">
        <v>46174</v>
      </c>
      <c r="B418" s="144" t="s">
        <v>2165</v>
      </c>
      <c r="C418" s="346">
        <v>815918865353</v>
      </c>
      <c r="D418" s="341" t="s">
        <v>655</v>
      </c>
      <c r="E418" s="367">
        <v>12.5</v>
      </c>
      <c r="F418" s="345"/>
      <c r="G418" s="59">
        <v>0</v>
      </c>
      <c r="H418" s="59">
        <v>15.116015418335726</v>
      </c>
      <c r="I418" s="59">
        <v>52.536845287582196</v>
      </c>
      <c r="J418" s="59">
        <v>0</v>
      </c>
      <c r="K418" s="59">
        <v>0</v>
      </c>
      <c r="L418" s="59">
        <v>0</v>
      </c>
      <c r="M418" s="41">
        <f t="shared" si="38"/>
        <v>67.652860705917917</v>
      </c>
    </row>
    <row r="419" spans="1:13" outlineLevel="2">
      <c r="A419" s="146">
        <v>46174</v>
      </c>
      <c r="B419" s="144" t="s">
        <v>2159</v>
      </c>
      <c r="C419" s="346">
        <v>871735931826</v>
      </c>
      <c r="D419" s="341" t="s">
        <v>655</v>
      </c>
      <c r="E419" s="367">
        <v>7.9</v>
      </c>
      <c r="F419" s="345"/>
      <c r="G419" s="59">
        <v>0</v>
      </c>
      <c r="H419" s="59">
        <v>15.116015418335726</v>
      </c>
      <c r="I419" s="59">
        <v>44.001662761696018</v>
      </c>
      <c r="J419" s="59">
        <v>0</v>
      </c>
      <c r="K419" s="59">
        <v>0</v>
      </c>
      <c r="L419" s="59">
        <v>0</v>
      </c>
      <c r="M419" s="41">
        <f t="shared" si="38"/>
        <v>59.117678180031746</v>
      </c>
    </row>
    <row r="420" spans="1:13" outlineLevel="2">
      <c r="A420" s="146">
        <v>46174</v>
      </c>
      <c r="B420" s="144" t="s">
        <v>844</v>
      </c>
      <c r="C420" s="346">
        <v>871789217180</v>
      </c>
      <c r="D420" s="341" t="s">
        <v>655</v>
      </c>
      <c r="E420" s="367">
        <v>2.5</v>
      </c>
      <c r="F420" s="345"/>
      <c r="G420" s="59">
        <v>0</v>
      </c>
      <c r="H420" s="59">
        <v>15.116015418335726</v>
      </c>
      <c r="I420" s="59">
        <v>20.316378202705767</v>
      </c>
      <c r="J420" s="59">
        <v>0</v>
      </c>
      <c r="K420" s="59">
        <v>0</v>
      </c>
      <c r="L420" s="59">
        <v>0</v>
      </c>
      <c r="M420" s="41">
        <f t="shared" si="38"/>
        <v>35.432393621041491</v>
      </c>
    </row>
    <row r="421" spans="1:13" outlineLevel="2">
      <c r="A421" s="146">
        <v>46174</v>
      </c>
      <c r="B421" s="144" t="s">
        <v>1481</v>
      </c>
      <c r="C421" s="346">
        <v>871835099990</v>
      </c>
      <c r="D421" s="341" t="s">
        <v>655</v>
      </c>
      <c r="E421" s="367">
        <v>15.5</v>
      </c>
      <c r="F421" s="345"/>
      <c r="G421" s="59">
        <v>0</v>
      </c>
      <c r="H421" s="59">
        <v>0</v>
      </c>
      <c r="I421" s="59">
        <v>49.924117602599956</v>
      </c>
      <c r="J421" s="59">
        <v>0</v>
      </c>
      <c r="K421" s="59">
        <v>0</v>
      </c>
      <c r="L421" s="59">
        <v>0</v>
      </c>
      <c r="M421" s="41">
        <f t="shared" si="38"/>
        <v>49.924117602599956</v>
      </c>
    </row>
    <row r="422" spans="1:13" outlineLevel="2">
      <c r="A422" s="146">
        <v>46174</v>
      </c>
      <c r="B422" s="144" t="s">
        <v>981</v>
      </c>
      <c r="C422" s="346">
        <v>872127304390</v>
      </c>
      <c r="D422" s="341" t="s">
        <v>45</v>
      </c>
      <c r="E422" s="367">
        <v>53.5</v>
      </c>
      <c r="F422" s="345"/>
      <c r="G422" s="59">
        <v>0</v>
      </c>
      <c r="H422" s="59">
        <v>15.116015418335726</v>
      </c>
      <c r="I422" s="59">
        <v>0</v>
      </c>
      <c r="J422" s="59">
        <v>0</v>
      </c>
      <c r="K422" s="59">
        <v>0</v>
      </c>
      <c r="L422" s="59">
        <v>0</v>
      </c>
      <c r="M422" s="41">
        <f t="shared" si="38"/>
        <v>15.116015418335726</v>
      </c>
    </row>
    <row r="423" spans="1:13" outlineLevel="2">
      <c r="A423" s="146">
        <v>46174</v>
      </c>
      <c r="B423" s="144" t="s">
        <v>985</v>
      </c>
      <c r="C423" s="346">
        <v>872167182452</v>
      </c>
      <c r="D423" s="341" t="s">
        <v>45</v>
      </c>
      <c r="E423" s="367">
        <v>0.30000000000000004</v>
      </c>
      <c r="F423" s="345"/>
      <c r="G423" s="59">
        <v>0</v>
      </c>
      <c r="H423" s="59">
        <v>15.116015418335726</v>
      </c>
      <c r="I423" s="59">
        <v>0</v>
      </c>
      <c r="J423" s="59">
        <v>0</v>
      </c>
      <c r="K423" s="59">
        <v>0</v>
      </c>
      <c r="L423" s="59">
        <v>0</v>
      </c>
      <c r="M423" s="41">
        <f t="shared" si="38"/>
        <v>15.116015418335726</v>
      </c>
    </row>
    <row r="424" spans="1:13" outlineLevel="2">
      <c r="A424" s="146">
        <v>46174</v>
      </c>
      <c r="B424" s="144" t="s">
        <v>1618</v>
      </c>
      <c r="C424" s="346">
        <v>872180293048</v>
      </c>
      <c r="D424" s="341" t="s">
        <v>655</v>
      </c>
      <c r="E424" s="367">
        <v>6</v>
      </c>
      <c r="F424" s="345"/>
      <c r="G424" s="59">
        <v>0</v>
      </c>
      <c r="H424" s="59">
        <v>15.116015418335726</v>
      </c>
      <c r="I424" s="59">
        <v>56.761015796236116</v>
      </c>
      <c r="J424" s="59">
        <v>0</v>
      </c>
      <c r="K424" s="59">
        <v>0</v>
      </c>
      <c r="L424" s="59">
        <v>0</v>
      </c>
      <c r="M424" s="41">
        <f t="shared" si="38"/>
        <v>71.877031214571844</v>
      </c>
    </row>
    <row r="425" spans="1:13" outlineLevel="2">
      <c r="A425" s="146">
        <v>46174</v>
      </c>
      <c r="B425" s="144" t="s">
        <v>1808</v>
      </c>
      <c r="C425" s="346">
        <v>872205227423</v>
      </c>
      <c r="D425" s="341" t="s">
        <v>655</v>
      </c>
      <c r="E425" s="367">
        <v>13.2</v>
      </c>
      <c r="F425" s="345"/>
      <c r="G425" s="59">
        <v>0</v>
      </c>
      <c r="H425" s="59">
        <v>15.116015418335726</v>
      </c>
      <c r="I425" s="59">
        <v>51.955634494747187</v>
      </c>
      <c r="J425" s="59">
        <v>0</v>
      </c>
      <c r="K425" s="59">
        <v>0</v>
      </c>
      <c r="L425" s="59">
        <v>0</v>
      </c>
      <c r="M425" s="41">
        <f t="shared" si="38"/>
        <v>67.071649913082908</v>
      </c>
    </row>
    <row r="426" spans="1:13" outlineLevel="2">
      <c r="A426" s="146">
        <v>46174</v>
      </c>
      <c r="B426" s="144" t="s">
        <v>985</v>
      </c>
      <c r="C426" s="346">
        <v>872206220171</v>
      </c>
      <c r="D426" s="341" t="s">
        <v>45</v>
      </c>
      <c r="E426" s="367">
        <v>0.30000000000000004</v>
      </c>
      <c r="F426" s="345"/>
      <c r="G426" s="59">
        <v>0</v>
      </c>
      <c r="H426" s="59">
        <v>15.116015418335726</v>
      </c>
      <c r="I426" s="59">
        <v>0</v>
      </c>
      <c r="J426" s="59">
        <v>0</v>
      </c>
      <c r="K426" s="59">
        <v>0</v>
      </c>
      <c r="L426" s="59">
        <v>0</v>
      </c>
      <c r="M426" s="41">
        <f t="shared" si="38"/>
        <v>15.116015418335726</v>
      </c>
    </row>
    <row r="427" spans="1:13" outlineLevel="2">
      <c r="A427" s="146">
        <v>46174</v>
      </c>
      <c r="B427" s="144" t="s">
        <v>1330</v>
      </c>
      <c r="C427" s="346">
        <v>872219166799</v>
      </c>
      <c r="D427" s="341" t="s">
        <v>45</v>
      </c>
      <c r="E427" s="367">
        <v>54.3</v>
      </c>
      <c r="F427" s="345"/>
      <c r="G427" s="59">
        <v>0</v>
      </c>
      <c r="H427" s="59">
        <v>15.116015418335726</v>
      </c>
      <c r="I427" s="59">
        <v>0</v>
      </c>
      <c r="J427" s="59">
        <v>0</v>
      </c>
      <c r="K427" s="59">
        <v>0</v>
      </c>
      <c r="L427" s="59">
        <v>0</v>
      </c>
      <c r="M427" s="41">
        <f t="shared" si="38"/>
        <v>15.116015418335726</v>
      </c>
    </row>
    <row r="428" spans="1:13" outlineLevel="2">
      <c r="A428" s="146">
        <v>46174</v>
      </c>
      <c r="B428" s="144" t="s">
        <v>2413</v>
      </c>
      <c r="C428" s="346">
        <v>872319401976</v>
      </c>
      <c r="D428" s="341" t="s">
        <v>45</v>
      </c>
      <c r="E428" s="367">
        <v>5</v>
      </c>
      <c r="F428" s="345"/>
      <c r="G428" s="59">
        <v>0</v>
      </c>
      <c r="H428" s="59">
        <v>15.116015418335726</v>
      </c>
      <c r="I428" s="59">
        <v>0</v>
      </c>
      <c r="J428" s="59">
        <v>0</v>
      </c>
      <c r="K428" s="59">
        <v>0</v>
      </c>
      <c r="L428" s="59">
        <v>0</v>
      </c>
      <c r="M428" s="41">
        <f t="shared" si="38"/>
        <v>15.116015418335726</v>
      </c>
    </row>
    <row r="429" spans="1:13" outlineLevel="2">
      <c r="A429" s="146">
        <v>46174</v>
      </c>
      <c r="B429" s="144" t="s">
        <v>1481</v>
      </c>
      <c r="C429" s="346">
        <v>872525360230</v>
      </c>
      <c r="D429" s="341" t="s">
        <v>655</v>
      </c>
      <c r="E429" s="367">
        <v>7.2</v>
      </c>
      <c r="F429" s="345"/>
      <c r="G429" s="59">
        <v>0</v>
      </c>
      <c r="H429" s="59">
        <v>15.116015418335726</v>
      </c>
      <c r="I429" s="59">
        <v>39.560048371249337</v>
      </c>
      <c r="J429" s="59">
        <v>0</v>
      </c>
      <c r="K429" s="59">
        <v>0</v>
      </c>
      <c r="L429" s="59">
        <v>0</v>
      </c>
      <c r="M429" s="41">
        <f t="shared" si="38"/>
        <v>54.676063789585065</v>
      </c>
    </row>
    <row r="430" spans="1:13" outlineLevel="2">
      <c r="A430" s="146">
        <v>46174</v>
      </c>
      <c r="B430" s="144" t="s">
        <v>844</v>
      </c>
      <c r="C430" s="346">
        <v>872536997117</v>
      </c>
      <c r="D430" s="341" t="s">
        <v>655</v>
      </c>
      <c r="E430" s="367">
        <v>2.5</v>
      </c>
      <c r="F430" s="345"/>
      <c r="G430" s="59">
        <v>0</v>
      </c>
      <c r="H430" s="59">
        <v>15.116015418335726</v>
      </c>
      <c r="I430" s="59">
        <v>20.557403068551128</v>
      </c>
      <c r="J430" s="59">
        <v>0</v>
      </c>
      <c r="K430" s="59">
        <v>0</v>
      </c>
      <c r="L430" s="59">
        <v>0</v>
      </c>
      <c r="M430" s="41">
        <f t="shared" si="38"/>
        <v>35.673418486886852</v>
      </c>
    </row>
    <row r="431" spans="1:13" outlineLevel="2">
      <c r="A431" s="146">
        <v>46174</v>
      </c>
      <c r="B431" s="144" t="s">
        <v>108</v>
      </c>
      <c r="C431" s="346">
        <v>872929576323</v>
      </c>
      <c r="D431" s="341" t="s">
        <v>45</v>
      </c>
      <c r="E431" s="367">
        <v>16</v>
      </c>
      <c r="F431" s="345"/>
      <c r="G431" s="59">
        <v>0</v>
      </c>
      <c r="H431" s="59">
        <v>15.116015418335726</v>
      </c>
      <c r="I431" s="59">
        <v>0</v>
      </c>
      <c r="J431" s="59">
        <v>0</v>
      </c>
      <c r="K431" s="59">
        <v>0</v>
      </c>
      <c r="L431" s="59">
        <v>0</v>
      </c>
      <c r="M431" s="41">
        <f t="shared" si="38"/>
        <v>15.116015418335726</v>
      </c>
    </row>
    <row r="432" spans="1:13" outlineLevel="2">
      <c r="A432" s="146">
        <v>46174</v>
      </c>
      <c r="B432" s="144" t="s">
        <v>1620</v>
      </c>
      <c r="C432" s="346">
        <v>872930667108</v>
      </c>
      <c r="D432" s="341" t="s">
        <v>655</v>
      </c>
      <c r="E432" s="367">
        <v>10.199999999999999</v>
      </c>
      <c r="F432" s="345"/>
      <c r="G432" s="59">
        <v>0</v>
      </c>
      <c r="H432" s="59">
        <v>15.116015418335726</v>
      </c>
      <c r="I432" s="59">
        <v>48.785390371098181</v>
      </c>
      <c r="J432" s="59">
        <v>0</v>
      </c>
      <c r="K432" s="59">
        <v>0</v>
      </c>
      <c r="L432" s="59">
        <v>0</v>
      </c>
      <c r="M432" s="41">
        <f t="shared" si="38"/>
        <v>63.901405789433909</v>
      </c>
    </row>
    <row r="433" spans="1:13" outlineLevel="2">
      <c r="A433" s="146">
        <v>46174</v>
      </c>
      <c r="B433" s="144" t="s">
        <v>2794</v>
      </c>
      <c r="C433" s="346">
        <v>873292496961</v>
      </c>
      <c r="D433" s="341" t="s">
        <v>45</v>
      </c>
      <c r="E433" s="367">
        <v>0.8</v>
      </c>
      <c r="F433" s="345"/>
      <c r="G433" s="59">
        <v>0</v>
      </c>
      <c r="H433" s="59">
        <v>15.116015418335726</v>
      </c>
      <c r="I433" s="59">
        <v>0</v>
      </c>
      <c r="J433" s="59">
        <v>0</v>
      </c>
      <c r="K433" s="59">
        <v>0</v>
      </c>
      <c r="L433" s="59">
        <v>0</v>
      </c>
      <c r="M433" s="41">
        <f t="shared" si="38"/>
        <v>15.116015418335726</v>
      </c>
    </row>
    <row r="434" spans="1:13" outlineLevel="2">
      <c r="A434" s="146">
        <v>46174</v>
      </c>
      <c r="B434" s="144" t="s">
        <v>1484</v>
      </c>
      <c r="C434" s="346" t="s">
        <v>2842</v>
      </c>
      <c r="D434" s="341" t="s">
        <v>1785</v>
      </c>
      <c r="E434" s="367">
        <v>0.70000000000000007</v>
      </c>
      <c r="F434" s="345"/>
      <c r="G434" s="59">
        <v>0</v>
      </c>
      <c r="H434" s="59">
        <v>15.116015418335726</v>
      </c>
      <c r="I434" s="59">
        <v>0</v>
      </c>
      <c r="J434" s="59">
        <v>0</v>
      </c>
      <c r="K434" s="59">
        <v>0</v>
      </c>
      <c r="L434" s="59">
        <v>0</v>
      </c>
      <c r="M434" s="41">
        <f t="shared" si="38"/>
        <v>15.116015418335726</v>
      </c>
    </row>
    <row r="435" spans="1:13" outlineLevel="2">
      <c r="A435" s="146">
        <v>46174</v>
      </c>
      <c r="B435" s="144" t="s">
        <v>83</v>
      </c>
      <c r="C435" s="346" t="s">
        <v>2527</v>
      </c>
      <c r="D435" s="341" t="s">
        <v>933</v>
      </c>
      <c r="E435" s="367">
        <v>471</v>
      </c>
      <c r="F435" s="345">
        <v>0.75000000000000011</v>
      </c>
      <c r="G435" s="59">
        <v>0</v>
      </c>
      <c r="H435" s="59">
        <v>15.116015418335726</v>
      </c>
      <c r="I435" s="59">
        <v>463.82265134910438</v>
      </c>
      <c r="J435" s="59">
        <v>0</v>
      </c>
      <c r="K435" s="59">
        <v>27.508124858287356</v>
      </c>
      <c r="L435" s="59">
        <v>0</v>
      </c>
      <c r="M435" s="41">
        <f t="shared" si="38"/>
        <v>506.44679162572749</v>
      </c>
    </row>
    <row r="436" spans="1:13" outlineLevel="2">
      <c r="A436" s="146">
        <v>46174</v>
      </c>
      <c r="B436" s="144" t="s">
        <v>973</v>
      </c>
      <c r="C436" s="346" t="s">
        <v>2504</v>
      </c>
      <c r="D436" s="341" t="s">
        <v>65</v>
      </c>
      <c r="E436" s="367">
        <v>93</v>
      </c>
      <c r="F436" s="345"/>
      <c r="G436" s="59">
        <v>0</v>
      </c>
      <c r="H436" s="59">
        <v>15.116015418335726</v>
      </c>
      <c r="I436" s="59">
        <v>0</v>
      </c>
      <c r="J436" s="59">
        <v>0</v>
      </c>
      <c r="K436" s="59">
        <v>0</v>
      </c>
      <c r="L436" s="59">
        <v>0</v>
      </c>
      <c r="M436" s="41">
        <f t="shared" si="38"/>
        <v>15.116015418335726</v>
      </c>
    </row>
    <row r="437" spans="1:13" outlineLevel="2">
      <c r="A437" s="146">
        <v>46174</v>
      </c>
      <c r="B437" s="144" t="s">
        <v>973</v>
      </c>
      <c r="C437" s="346" t="s">
        <v>2886</v>
      </c>
      <c r="D437" s="341" t="s">
        <v>65</v>
      </c>
      <c r="E437" s="367">
        <v>146</v>
      </c>
      <c r="F437" s="345"/>
      <c r="G437" s="59">
        <v>0</v>
      </c>
      <c r="H437" s="59">
        <v>15.116015418335726</v>
      </c>
      <c r="I437" s="59">
        <v>0</v>
      </c>
      <c r="J437" s="59">
        <v>0</v>
      </c>
      <c r="K437" s="59">
        <v>0</v>
      </c>
      <c r="L437" s="59">
        <v>0</v>
      </c>
      <c r="M437" s="41">
        <f t="shared" si="38"/>
        <v>15.116015418335726</v>
      </c>
    </row>
    <row r="438" spans="1:13" outlineLevel="1">
      <c r="A438" s="724" t="s">
        <v>3046</v>
      </c>
      <c r="B438" s="732"/>
      <c r="C438" s="148"/>
      <c r="D438" s="728"/>
      <c r="E438" s="729">
        <f t="shared" ref="E438:M438" si="39">SUBTOTAL(9,E367:E437)</f>
        <v>1415.4</v>
      </c>
      <c r="F438" s="730">
        <f t="shared" si="39"/>
        <v>0.75000000000000011</v>
      </c>
      <c r="G438" s="82">
        <f t="shared" si="39"/>
        <v>0</v>
      </c>
      <c r="H438" s="82">
        <f t="shared" si="39"/>
        <v>1058.1210792834995</v>
      </c>
      <c r="I438" s="82">
        <f t="shared" si="39"/>
        <v>1578.0475398684907</v>
      </c>
      <c r="J438" s="82">
        <f t="shared" si="39"/>
        <v>0</v>
      </c>
      <c r="K438" s="82">
        <f t="shared" si="39"/>
        <v>27.508124858287356</v>
      </c>
      <c r="L438" s="82">
        <f t="shared" si="39"/>
        <v>0</v>
      </c>
      <c r="M438" s="731">
        <f t="shared" si="39"/>
        <v>2663.6767440102799</v>
      </c>
    </row>
    <row r="439" spans="1:13">
      <c r="A439" s="724" t="s">
        <v>893</v>
      </c>
      <c r="B439" s="732"/>
      <c r="C439" s="148"/>
      <c r="D439" s="728"/>
      <c r="E439" s="729">
        <f t="shared" ref="E439:M439" si="40">SUBTOTAL(9,E97:E437)</f>
        <v>25626.119999999977</v>
      </c>
      <c r="F439" s="730">
        <f t="shared" si="40"/>
        <v>51.3</v>
      </c>
      <c r="G439" s="82">
        <f t="shared" si="40"/>
        <v>1232.502848316396</v>
      </c>
      <c r="H439" s="82">
        <f t="shared" si="40"/>
        <v>4933.8414512082391</v>
      </c>
      <c r="I439" s="82">
        <f t="shared" si="40"/>
        <v>20634.28246153365</v>
      </c>
      <c r="J439" s="82">
        <f t="shared" si="40"/>
        <v>6</v>
      </c>
      <c r="K439" s="82">
        <f t="shared" si="40"/>
        <v>1201.9178462358109</v>
      </c>
      <c r="L439" s="82">
        <f t="shared" si="40"/>
        <v>0</v>
      </c>
      <c r="M439" s="731">
        <f t="shared" si="40"/>
        <v>28008.544607294127</v>
      </c>
    </row>
  </sheetData>
  <mergeCells count="2">
    <mergeCell ref="A95:M95"/>
    <mergeCell ref="A1:I1"/>
  </mergeCells>
  <conditionalFormatting sqref="A1 J1:XFD1 A2:XFD94 A95 N95:XFD95 A96:XFD157 A158:I175 J158:XFD439 A176:A439 C176:I439 A440:XFD1048576">
    <cfRule type="expression" dxfId="93" priority="3">
      <formula>ISNUMBER(SEARCH("Total",$A1))</formula>
    </cfRule>
  </conditionalFormatting>
  <conditionalFormatting sqref="B176:B439">
    <cfRule type="expression" dxfId="92" priority="63">
      <formula>ISNUMBER(SEARCH("Total",#REF!))</formula>
    </cfRule>
  </conditionalFormatting>
  <conditionalFormatting sqref="C158:C439">
    <cfRule type="duplicateValues" dxfId="91" priority="1459"/>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M1364"/>
  <sheetViews>
    <sheetView topLeftCell="A245" zoomScaleNormal="100" workbookViewId="0">
      <selection activeCell="J396" sqref="J396"/>
    </sheetView>
  </sheetViews>
  <sheetFormatPr defaultRowHeight="15" outlineLevelRow="2"/>
  <cols>
    <col min="1" max="1" width="12.7109375" style="21" customWidth="1"/>
    <col min="2" max="2" width="28.28515625" customWidth="1"/>
    <col min="3" max="3" width="15.42578125" style="148" customWidth="1"/>
    <col min="4" max="4" width="8.7109375" customWidth="1"/>
    <col min="5" max="5" width="11.42578125" customWidth="1"/>
    <col min="6" max="6" width="14" customWidth="1"/>
    <col min="7" max="8" width="14.140625" customWidth="1"/>
    <col min="9" max="9" width="15.85546875" customWidth="1"/>
    <col min="10" max="10" width="16.42578125" customWidth="1"/>
    <col min="11" max="11" width="16.5703125" style="5" customWidth="1"/>
    <col min="12" max="12" width="14.140625" customWidth="1"/>
    <col min="13" max="13" width="15.5703125" customWidth="1"/>
    <col min="14" max="14" width="15.28515625" bestFit="1" customWidth="1"/>
  </cols>
  <sheetData>
    <row r="1" spans="1:11" ht="23.25">
      <c r="A1" s="883" t="s">
        <v>881</v>
      </c>
      <c r="B1" s="884"/>
      <c r="C1" s="884"/>
      <c r="D1" s="884"/>
      <c r="E1" s="884"/>
      <c r="F1" s="884"/>
      <c r="G1" s="884"/>
      <c r="H1" s="884"/>
      <c r="I1" s="885"/>
      <c r="K1"/>
    </row>
    <row r="2" spans="1:11" ht="28.5" customHeight="1">
      <c r="A2" s="269" t="s">
        <v>44</v>
      </c>
      <c r="B2" s="270" t="s">
        <v>38</v>
      </c>
      <c r="C2" s="374" t="s">
        <v>67</v>
      </c>
      <c r="D2" s="271" t="s">
        <v>27</v>
      </c>
      <c r="E2" s="271" t="s">
        <v>896</v>
      </c>
      <c r="F2" s="272" t="s">
        <v>36</v>
      </c>
      <c r="G2" s="272" t="s">
        <v>37</v>
      </c>
      <c r="H2" s="272" t="s">
        <v>3</v>
      </c>
      <c r="I2" s="273" t="s">
        <v>35</v>
      </c>
      <c r="K2"/>
    </row>
    <row r="3" spans="1:11" hidden="1" outlineLevel="2">
      <c r="A3" s="372">
        <v>45839</v>
      </c>
      <c r="B3" s="153" t="s">
        <v>190</v>
      </c>
      <c r="C3" s="360" t="s">
        <v>188</v>
      </c>
      <c r="D3" s="153" t="s">
        <v>655</v>
      </c>
      <c r="E3" s="153">
        <v>0.1</v>
      </c>
      <c r="F3" s="339"/>
      <c r="G3" s="339"/>
      <c r="H3" s="339">
        <v>29.75291618371212</v>
      </c>
      <c r="I3" s="340">
        <f t="shared" ref="I3:I14" si="0">SUM(F3:H3)</f>
        <v>29.75291618371212</v>
      </c>
      <c r="K3"/>
    </row>
    <row r="4" spans="1:11" hidden="1" outlineLevel="2">
      <c r="A4" s="372">
        <f t="shared" ref="A4:A14" si="1">A3</f>
        <v>45839</v>
      </c>
      <c r="B4" s="153" t="s">
        <v>191</v>
      </c>
      <c r="C4" s="360" t="s">
        <v>189</v>
      </c>
      <c r="D4" s="153" t="s">
        <v>655</v>
      </c>
      <c r="E4" s="153">
        <v>0.4</v>
      </c>
      <c r="F4" s="339">
        <f>480000/26400</f>
        <v>18.181818181818183</v>
      </c>
      <c r="G4" s="339">
        <v>24.621212121212121</v>
      </c>
      <c r="H4" s="339">
        <v>20.981753999999999</v>
      </c>
      <c r="I4" s="340">
        <f t="shared" si="0"/>
        <v>63.784784303030307</v>
      </c>
      <c r="K4"/>
    </row>
    <row r="5" spans="1:11" hidden="1" outlineLevel="2">
      <c r="A5" s="372">
        <f t="shared" si="1"/>
        <v>45839</v>
      </c>
      <c r="B5" s="153" t="s">
        <v>202</v>
      </c>
      <c r="C5" s="360" t="s">
        <v>192</v>
      </c>
      <c r="D5" s="153" t="s">
        <v>899</v>
      </c>
      <c r="E5" s="153">
        <v>2155.1999999999998</v>
      </c>
      <c r="F5" s="339"/>
      <c r="G5" s="339">
        <v>15.151515151515152</v>
      </c>
      <c r="H5" s="339"/>
      <c r="I5" s="340">
        <f t="shared" si="0"/>
        <v>15.151515151515152</v>
      </c>
      <c r="K5"/>
    </row>
    <row r="6" spans="1:11" hidden="1" outlineLevel="2">
      <c r="A6" s="372">
        <f t="shared" si="1"/>
        <v>45839</v>
      </c>
      <c r="B6" s="153" t="s">
        <v>202</v>
      </c>
      <c r="C6" s="360" t="s">
        <v>193</v>
      </c>
      <c r="D6" s="153" t="s">
        <v>899</v>
      </c>
      <c r="E6" s="153">
        <v>376.29999999999995</v>
      </c>
      <c r="F6" s="339"/>
      <c r="G6" s="339">
        <v>15.151515151515152</v>
      </c>
      <c r="H6" s="339"/>
      <c r="I6" s="340">
        <f t="shared" si="0"/>
        <v>15.151515151515152</v>
      </c>
      <c r="K6"/>
    </row>
    <row r="7" spans="1:11" hidden="1" outlineLevel="2">
      <c r="A7" s="372">
        <f t="shared" si="1"/>
        <v>45839</v>
      </c>
      <c r="B7" s="153" t="s">
        <v>203</v>
      </c>
      <c r="C7" s="360" t="s">
        <v>194</v>
      </c>
      <c r="D7" s="153" t="s">
        <v>899</v>
      </c>
      <c r="E7" s="153">
        <v>633.59999999999991</v>
      </c>
      <c r="F7" s="339"/>
      <c r="G7" s="339">
        <v>24.62</v>
      </c>
      <c r="H7" s="339"/>
      <c r="I7" s="340">
        <f t="shared" si="0"/>
        <v>24.62</v>
      </c>
      <c r="K7"/>
    </row>
    <row r="8" spans="1:11" hidden="1" outlineLevel="2">
      <c r="A8" s="372">
        <f t="shared" si="1"/>
        <v>45839</v>
      </c>
      <c r="B8" s="153" t="s">
        <v>204</v>
      </c>
      <c r="C8" s="360" t="s">
        <v>195</v>
      </c>
      <c r="D8" s="153" t="s">
        <v>899</v>
      </c>
      <c r="E8" s="153">
        <v>685.2</v>
      </c>
      <c r="F8" s="339"/>
      <c r="G8" s="339">
        <v>15.151515151515152</v>
      </c>
      <c r="H8" s="339"/>
      <c r="I8" s="340">
        <f t="shared" si="0"/>
        <v>15.151515151515152</v>
      </c>
      <c r="K8"/>
    </row>
    <row r="9" spans="1:11" hidden="1" outlineLevel="2">
      <c r="A9" s="372">
        <f t="shared" si="1"/>
        <v>45839</v>
      </c>
      <c r="B9" s="153" t="s">
        <v>205</v>
      </c>
      <c r="C9" s="360" t="s">
        <v>196</v>
      </c>
      <c r="D9" s="153" t="s">
        <v>45</v>
      </c>
      <c r="E9" s="153">
        <v>13.5</v>
      </c>
      <c r="F9" s="339"/>
      <c r="G9" s="339">
        <v>15.151515151515152</v>
      </c>
      <c r="H9" s="339"/>
      <c r="I9" s="340">
        <f t="shared" si="0"/>
        <v>15.151515151515152</v>
      </c>
      <c r="K9"/>
    </row>
    <row r="10" spans="1:11" hidden="1" outlineLevel="2">
      <c r="A10" s="372">
        <f t="shared" si="1"/>
        <v>45839</v>
      </c>
      <c r="B10" s="153" t="s">
        <v>204</v>
      </c>
      <c r="C10" s="360" t="s">
        <v>197</v>
      </c>
      <c r="D10" s="153" t="s">
        <v>899</v>
      </c>
      <c r="E10" s="153">
        <v>2955.1000000000004</v>
      </c>
      <c r="F10" s="339"/>
      <c r="G10" s="339">
        <v>15.151515151515152</v>
      </c>
      <c r="H10" s="339"/>
      <c r="I10" s="340">
        <f t="shared" si="0"/>
        <v>15.151515151515152</v>
      </c>
      <c r="K10"/>
    </row>
    <row r="11" spans="1:11" hidden="1" outlineLevel="2">
      <c r="A11" s="372">
        <f t="shared" si="1"/>
        <v>45839</v>
      </c>
      <c r="B11" s="153" t="s">
        <v>203</v>
      </c>
      <c r="C11" s="360" t="s">
        <v>198</v>
      </c>
      <c r="D11" s="153" t="s">
        <v>899</v>
      </c>
      <c r="E11" s="153">
        <v>1234.1999999999998</v>
      </c>
      <c r="F11" s="339"/>
      <c r="G11" s="339">
        <v>15.151515151515152</v>
      </c>
      <c r="H11" s="339"/>
      <c r="I11" s="340">
        <f t="shared" si="0"/>
        <v>15.151515151515152</v>
      </c>
      <c r="K11"/>
    </row>
    <row r="12" spans="1:11" hidden="1" outlineLevel="2">
      <c r="A12" s="372">
        <f t="shared" si="1"/>
        <v>45839</v>
      </c>
      <c r="B12" s="153" t="s">
        <v>206</v>
      </c>
      <c r="C12" s="360" t="s">
        <v>199</v>
      </c>
      <c r="D12" s="153" t="s">
        <v>899</v>
      </c>
      <c r="E12" s="153">
        <v>512.70000000000005</v>
      </c>
      <c r="F12" s="339"/>
      <c r="G12" s="339">
        <v>15.151515151515152</v>
      </c>
      <c r="H12" s="339"/>
      <c r="I12" s="340">
        <f t="shared" si="0"/>
        <v>15.151515151515152</v>
      </c>
      <c r="K12"/>
    </row>
    <row r="13" spans="1:11" hidden="1" outlineLevel="2">
      <c r="A13" s="372">
        <f t="shared" si="1"/>
        <v>45839</v>
      </c>
      <c r="B13" s="153" t="s">
        <v>204</v>
      </c>
      <c r="C13" s="360" t="s">
        <v>200</v>
      </c>
      <c r="D13" s="153" t="s">
        <v>899</v>
      </c>
      <c r="E13" s="153">
        <v>3254.2000000000003</v>
      </c>
      <c r="F13" s="339"/>
      <c r="G13" s="339">
        <v>15.151515151515152</v>
      </c>
      <c r="H13" s="339"/>
      <c r="I13" s="340">
        <f t="shared" si="0"/>
        <v>15.151515151515152</v>
      </c>
      <c r="K13"/>
    </row>
    <row r="14" spans="1:11" hidden="1" outlineLevel="2">
      <c r="A14" s="372">
        <f t="shared" si="1"/>
        <v>45839</v>
      </c>
      <c r="B14" s="153" t="s">
        <v>205</v>
      </c>
      <c r="C14" s="360" t="s">
        <v>201</v>
      </c>
      <c r="D14" s="153" t="s">
        <v>899</v>
      </c>
      <c r="E14" s="153">
        <v>71.7</v>
      </c>
      <c r="F14" s="339"/>
      <c r="G14" s="339">
        <v>15.151515151515152</v>
      </c>
      <c r="H14" s="339"/>
      <c r="I14" s="340">
        <f t="shared" si="0"/>
        <v>15.151515151515152</v>
      </c>
      <c r="K14"/>
    </row>
    <row r="15" spans="1:11" outlineLevel="1" collapsed="1">
      <c r="A15" s="373" t="s">
        <v>888</v>
      </c>
      <c r="B15" s="153"/>
      <c r="C15" s="360"/>
      <c r="D15" s="153"/>
      <c r="E15" s="153">
        <f>SUBTOTAL(9,E3:E14)</f>
        <v>11892.200000000003</v>
      </c>
      <c r="F15" s="339">
        <f>SUBTOTAL(9,F3:F14)</f>
        <v>18.181818181818183</v>
      </c>
      <c r="G15" s="339">
        <f>SUBTOTAL(9,G3:G14)</f>
        <v>185.6048484848485</v>
      </c>
      <c r="H15" s="339">
        <f>SUBTOTAL(9,H3:H14)</f>
        <v>50.734670183712119</v>
      </c>
      <c r="I15" s="340">
        <f>SUBTOTAL(9,I3:I14)</f>
        <v>254.52133685037882</v>
      </c>
      <c r="K15"/>
    </row>
    <row r="16" spans="1:11" hidden="1" outlineLevel="2">
      <c r="A16" s="372">
        <v>45870</v>
      </c>
      <c r="B16" s="153" t="s">
        <v>202</v>
      </c>
      <c r="C16" s="360" t="s">
        <v>303</v>
      </c>
      <c r="D16" s="153" t="s">
        <v>899</v>
      </c>
      <c r="E16" s="153">
        <v>2446.4</v>
      </c>
      <c r="F16" s="339"/>
      <c r="G16" s="339">
        <v>15.067615926470035</v>
      </c>
      <c r="H16" s="339"/>
      <c r="I16" s="340">
        <f t="shared" ref="I16:I29" si="2">SUM(F16:H16)</f>
        <v>15.067615926470035</v>
      </c>
      <c r="K16"/>
    </row>
    <row r="17" spans="1:11" hidden="1" outlineLevel="2">
      <c r="A17" s="372">
        <f t="shared" ref="A17:A29" si="3">A16</f>
        <v>45870</v>
      </c>
      <c r="B17" s="153" t="s">
        <v>205</v>
      </c>
      <c r="C17" s="360" t="s">
        <v>304</v>
      </c>
      <c r="D17" s="153" t="s">
        <v>899</v>
      </c>
      <c r="E17" s="153">
        <v>336.3</v>
      </c>
      <c r="F17" s="339"/>
      <c r="G17" s="339">
        <v>15.067615926470035</v>
      </c>
      <c r="H17" s="339"/>
      <c r="I17" s="340">
        <f t="shared" si="2"/>
        <v>15.067615926470035</v>
      </c>
      <c r="K17"/>
    </row>
    <row r="18" spans="1:11" hidden="1" outlineLevel="2">
      <c r="A18" s="372">
        <f t="shared" si="3"/>
        <v>45870</v>
      </c>
      <c r="B18" s="153" t="s">
        <v>202</v>
      </c>
      <c r="C18" s="360" t="s">
        <v>305</v>
      </c>
      <c r="D18" s="153" t="s">
        <v>899</v>
      </c>
      <c r="E18" s="153">
        <v>2066.6</v>
      </c>
      <c r="F18" s="339"/>
      <c r="G18" s="339">
        <v>15.067615926470035</v>
      </c>
      <c r="H18" s="339"/>
      <c r="I18" s="340">
        <f t="shared" si="2"/>
        <v>15.067615926470035</v>
      </c>
      <c r="K18"/>
    </row>
    <row r="19" spans="1:11" hidden="1" outlineLevel="2">
      <c r="A19" s="372">
        <f t="shared" si="3"/>
        <v>45870</v>
      </c>
      <c r="B19" s="153" t="s">
        <v>202</v>
      </c>
      <c r="C19" s="360" t="s">
        <v>306</v>
      </c>
      <c r="D19" s="153" t="s">
        <v>899</v>
      </c>
      <c r="E19" s="153">
        <v>2268</v>
      </c>
      <c r="F19" s="339"/>
      <c r="G19" s="339">
        <v>15.067615926470035</v>
      </c>
      <c r="H19" s="339"/>
      <c r="I19" s="340">
        <f t="shared" si="2"/>
        <v>15.067615926470035</v>
      </c>
      <c r="K19"/>
    </row>
    <row r="20" spans="1:11" hidden="1" outlineLevel="2">
      <c r="A20" s="372">
        <f t="shared" si="3"/>
        <v>45870</v>
      </c>
      <c r="B20" s="153" t="s">
        <v>202</v>
      </c>
      <c r="C20" s="360" t="s">
        <v>307</v>
      </c>
      <c r="D20" s="153" t="s">
        <v>899</v>
      </c>
      <c r="E20" s="153">
        <v>2189.29</v>
      </c>
      <c r="F20" s="339"/>
      <c r="G20" s="339">
        <v>15.067615926470035</v>
      </c>
      <c r="H20" s="339"/>
      <c r="I20" s="340">
        <f t="shared" si="2"/>
        <v>15.067615926470035</v>
      </c>
      <c r="K20"/>
    </row>
    <row r="21" spans="1:11" hidden="1" outlineLevel="2">
      <c r="A21" s="372">
        <f t="shared" si="3"/>
        <v>45870</v>
      </c>
      <c r="B21" s="153" t="s">
        <v>206</v>
      </c>
      <c r="C21" s="360" t="s">
        <v>308</v>
      </c>
      <c r="D21" s="153" t="s">
        <v>899</v>
      </c>
      <c r="E21" s="153">
        <v>439</v>
      </c>
      <c r="F21" s="339"/>
      <c r="G21" s="339">
        <v>15.067615926470035</v>
      </c>
      <c r="H21" s="339"/>
      <c r="I21" s="340">
        <f t="shared" si="2"/>
        <v>15.067615926470035</v>
      </c>
      <c r="K21"/>
    </row>
    <row r="22" spans="1:11" hidden="1" outlineLevel="2">
      <c r="A22" s="372">
        <f t="shared" si="3"/>
        <v>45870</v>
      </c>
      <c r="B22" s="153" t="s">
        <v>206</v>
      </c>
      <c r="C22" s="360" t="s">
        <v>309</v>
      </c>
      <c r="D22" s="153" t="s">
        <v>899</v>
      </c>
      <c r="E22" s="153">
        <v>435.2</v>
      </c>
      <c r="F22" s="339"/>
      <c r="G22" s="339">
        <v>15.067615926470035</v>
      </c>
      <c r="H22" s="339"/>
      <c r="I22" s="340">
        <f t="shared" si="2"/>
        <v>15.067615926470035</v>
      </c>
      <c r="K22"/>
    </row>
    <row r="23" spans="1:11" hidden="1" outlineLevel="2">
      <c r="A23" s="372">
        <f t="shared" si="3"/>
        <v>45870</v>
      </c>
      <c r="B23" s="153" t="s">
        <v>204</v>
      </c>
      <c r="C23" s="360" t="s">
        <v>310</v>
      </c>
      <c r="D23" s="153" t="s">
        <v>899</v>
      </c>
      <c r="E23" s="153">
        <v>3407.3</v>
      </c>
      <c r="F23" s="339"/>
      <c r="G23" s="339">
        <v>15.067615926470035</v>
      </c>
      <c r="H23" s="339"/>
      <c r="I23" s="340">
        <f t="shared" si="2"/>
        <v>15.067615926470035</v>
      </c>
      <c r="K23"/>
    </row>
    <row r="24" spans="1:11" hidden="1" outlineLevel="2">
      <c r="A24" s="372">
        <f t="shared" si="3"/>
        <v>45870</v>
      </c>
      <c r="B24" s="153" t="s">
        <v>203</v>
      </c>
      <c r="C24" s="360" t="s">
        <v>311</v>
      </c>
      <c r="D24" s="153" t="s">
        <v>899</v>
      </c>
      <c r="E24" s="153">
        <v>860.19999999999993</v>
      </c>
      <c r="F24" s="339"/>
      <c r="G24" s="339">
        <v>15.067615926470035</v>
      </c>
      <c r="H24" s="339"/>
      <c r="I24" s="340">
        <f t="shared" si="2"/>
        <v>15.067615926470035</v>
      </c>
      <c r="K24"/>
    </row>
    <row r="25" spans="1:11" hidden="1" outlineLevel="2">
      <c r="A25" s="372">
        <f t="shared" si="3"/>
        <v>45870</v>
      </c>
      <c r="B25" s="153" t="s">
        <v>204</v>
      </c>
      <c r="C25" s="360" t="s">
        <v>312</v>
      </c>
      <c r="D25" s="153" t="s">
        <v>899</v>
      </c>
      <c r="E25" s="153">
        <v>256</v>
      </c>
      <c r="F25" s="339"/>
      <c r="G25" s="339">
        <v>15.067615926470035</v>
      </c>
      <c r="H25" s="339"/>
      <c r="I25" s="340">
        <f t="shared" si="2"/>
        <v>15.067615926470035</v>
      </c>
      <c r="K25"/>
    </row>
    <row r="26" spans="1:11" hidden="1" outlineLevel="2">
      <c r="A26" s="372">
        <f t="shared" si="3"/>
        <v>45870</v>
      </c>
      <c r="B26" s="153" t="s">
        <v>204</v>
      </c>
      <c r="C26" s="360" t="s">
        <v>313</v>
      </c>
      <c r="D26" s="153" t="s">
        <v>899</v>
      </c>
      <c r="E26" s="153">
        <v>920</v>
      </c>
      <c r="F26" s="339"/>
      <c r="G26" s="339">
        <v>15.067615926470035</v>
      </c>
      <c r="H26" s="339"/>
      <c r="I26" s="340">
        <f t="shared" si="2"/>
        <v>15.067615926470035</v>
      </c>
      <c r="K26"/>
    </row>
    <row r="27" spans="1:11" hidden="1" outlineLevel="2">
      <c r="A27" s="372">
        <f t="shared" si="3"/>
        <v>45870</v>
      </c>
      <c r="B27" s="153" t="s">
        <v>203</v>
      </c>
      <c r="C27" s="360" t="s">
        <v>314</v>
      </c>
      <c r="D27" s="153" t="s">
        <v>899</v>
      </c>
      <c r="E27" s="153">
        <v>1124.7999999999997</v>
      </c>
      <c r="F27" s="339"/>
      <c r="G27" s="339">
        <v>15.067615926470035</v>
      </c>
      <c r="H27" s="339"/>
      <c r="I27" s="340">
        <f t="shared" si="2"/>
        <v>15.067615926470035</v>
      </c>
      <c r="K27"/>
    </row>
    <row r="28" spans="1:11" hidden="1" outlineLevel="2">
      <c r="A28" s="372">
        <f t="shared" si="3"/>
        <v>45870</v>
      </c>
      <c r="B28" s="153" t="s">
        <v>204</v>
      </c>
      <c r="C28" s="360" t="s">
        <v>315</v>
      </c>
      <c r="D28" s="153" t="s">
        <v>899</v>
      </c>
      <c r="E28" s="153">
        <v>931.2</v>
      </c>
      <c r="F28" s="339"/>
      <c r="G28" s="339">
        <v>15.067615926470035</v>
      </c>
      <c r="H28" s="339"/>
      <c r="I28" s="340">
        <f t="shared" si="2"/>
        <v>15.067615926470035</v>
      </c>
      <c r="K28"/>
    </row>
    <row r="29" spans="1:11" hidden="1" outlineLevel="2">
      <c r="A29" s="372">
        <f t="shared" si="3"/>
        <v>45870</v>
      </c>
      <c r="B29" s="153" t="s">
        <v>206</v>
      </c>
      <c r="C29" s="360" t="s">
        <v>316</v>
      </c>
      <c r="D29" s="153" t="s">
        <v>899</v>
      </c>
      <c r="E29" s="153">
        <v>419.2</v>
      </c>
      <c r="F29" s="339"/>
      <c r="G29" s="339">
        <v>15.067615926470035</v>
      </c>
      <c r="H29" s="339"/>
      <c r="I29" s="340">
        <f t="shared" si="2"/>
        <v>15.067615926470035</v>
      </c>
      <c r="K29"/>
    </row>
    <row r="30" spans="1:11" outlineLevel="1" collapsed="1">
      <c r="A30" s="373" t="s">
        <v>889</v>
      </c>
      <c r="B30" s="153"/>
      <c r="C30" s="360"/>
      <c r="D30" s="153"/>
      <c r="E30" s="153">
        <f>SUBTOTAL(9,E16:E29)</f>
        <v>18099.490000000002</v>
      </c>
      <c r="F30" s="339">
        <f>SUBTOTAL(9,F16:F29)</f>
        <v>0</v>
      </c>
      <c r="G30" s="339">
        <f>SUBTOTAL(9,G16:G29)</f>
        <v>210.94662297058053</v>
      </c>
      <c r="H30" s="339">
        <f>SUBTOTAL(9,H16:H29)</f>
        <v>0</v>
      </c>
      <c r="I30" s="340">
        <f>SUBTOTAL(9,I16:I29)</f>
        <v>210.94662297058053</v>
      </c>
      <c r="K30"/>
    </row>
    <row r="31" spans="1:11" hidden="1" outlineLevel="2">
      <c r="A31" s="137">
        <v>45901</v>
      </c>
      <c r="B31" s="1" t="s">
        <v>204</v>
      </c>
      <c r="C31" s="346" t="s">
        <v>385</v>
      </c>
      <c r="D31" s="1" t="s">
        <v>900</v>
      </c>
      <c r="E31" s="1">
        <v>83.3</v>
      </c>
      <c r="F31" s="59"/>
      <c r="G31" s="59">
        <v>15.169327619553263</v>
      </c>
      <c r="H31" s="59"/>
      <c r="I31" s="59">
        <f t="shared" ref="I31:I78" si="4">SUM(F31:H31)</f>
        <v>15.169327619553263</v>
      </c>
      <c r="K31"/>
    </row>
    <row r="32" spans="1:11" hidden="1" outlineLevel="2">
      <c r="A32" s="137">
        <f t="shared" ref="A32:A78" si="5">A31</f>
        <v>45901</v>
      </c>
      <c r="B32" s="1" t="s">
        <v>204</v>
      </c>
      <c r="C32" s="346" t="s">
        <v>386</v>
      </c>
      <c r="D32" s="1" t="s">
        <v>900</v>
      </c>
      <c r="E32" s="1">
        <v>31.8</v>
      </c>
      <c r="F32" s="59"/>
      <c r="G32" s="59">
        <v>15.169327619553263</v>
      </c>
      <c r="H32" s="59"/>
      <c r="I32" s="59">
        <f t="shared" si="4"/>
        <v>15.169327619553263</v>
      </c>
      <c r="K32"/>
    </row>
    <row r="33" spans="1:11" hidden="1" outlineLevel="2">
      <c r="A33" s="137">
        <f t="shared" si="5"/>
        <v>45901</v>
      </c>
      <c r="B33" s="1" t="s">
        <v>204</v>
      </c>
      <c r="C33" s="346" t="s">
        <v>387</v>
      </c>
      <c r="D33" s="1" t="s">
        <v>900</v>
      </c>
      <c r="E33" s="1">
        <v>124.19999999999999</v>
      </c>
      <c r="F33" s="59"/>
      <c r="G33" s="59">
        <v>15.169327619553263</v>
      </c>
      <c r="H33" s="59"/>
      <c r="I33" s="59">
        <f t="shared" si="4"/>
        <v>15.169327619553263</v>
      </c>
      <c r="K33"/>
    </row>
    <row r="34" spans="1:11" hidden="1" outlineLevel="2">
      <c r="A34" s="137">
        <f t="shared" si="5"/>
        <v>45901</v>
      </c>
      <c r="B34" s="1" t="s">
        <v>204</v>
      </c>
      <c r="C34" s="346" t="s">
        <v>388</v>
      </c>
      <c r="D34" s="1" t="s">
        <v>900</v>
      </c>
      <c r="E34" s="1">
        <v>124.19999999999999</v>
      </c>
      <c r="F34" s="59"/>
      <c r="G34" s="59">
        <v>15.169327619553263</v>
      </c>
      <c r="H34" s="59"/>
      <c r="I34" s="59">
        <f t="shared" si="4"/>
        <v>15.169327619553263</v>
      </c>
      <c r="K34"/>
    </row>
    <row r="35" spans="1:11" hidden="1" outlineLevel="2">
      <c r="A35" s="137">
        <f t="shared" si="5"/>
        <v>45901</v>
      </c>
      <c r="B35" s="1" t="s">
        <v>205</v>
      </c>
      <c r="C35" s="346" t="s">
        <v>389</v>
      </c>
      <c r="D35" s="1" t="s">
        <v>655</v>
      </c>
      <c r="E35" s="1">
        <v>10.9</v>
      </c>
      <c r="F35" s="59"/>
      <c r="G35" s="59">
        <v>15.169327619553263</v>
      </c>
      <c r="H35" s="59"/>
      <c r="I35" s="59">
        <f t="shared" si="4"/>
        <v>15.169327619553263</v>
      </c>
      <c r="K35"/>
    </row>
    <row r="36" spans="1:11" hidden="1" outlineLevel="2">
      <c r="A36" s="137">
        <f t="shared" si="5"/>
        <v>45901</v>
      </c>
      <c r="B36" s="1" t="s">
        <v>204</v>
      </c>
      <c r="C36" s="346" t="s">
        <v>390</v>
      </c>
      <c r="D36" s="1" t="s">
        <v>900</v>
      </c>
      <c r="E36" s="1">
        <v>124.19999999999999</v>
      </c>
      <c r="F36" s="59"/>
      <c r="G36" s="59">
        <v>15.169327619553263</v>
      </c>
      <c r="H36" s="59"/>
      <c r="I36" s="59">
        <f t="shared" si="4"/>
        <v>15.169327619553263</v>
      </c>
      <c r="K36"/>
    </row>
    <row r="37" spans="1:11" hidden="1" outlineLevel="2">
      <c r="A37" s="137">
        <f t="shared" si="5"/>
        <v>45901</v>
      </c>
      <c r="B37" s="1" t="s">
        <v>204</v>
      </c>
      <c r="C37" s="346" t="s">
        <v>391</v>
      </c>
      <c r="D37" s="1" t="s">
        <v>900</v>
      </c>
      <c r="E37" s="1">
        <v>124.19999999999999</v>
      </c>
      <c r="F37" s="59"/>
      <c r="G37" s="59">
        <v>15.169327619553263</v>
      </c>
      <c r="H37" s="59"/>
      <c r="I37" s="59">
        <f t="shared" si="4"/>
        <v>15.169327619553263</v>
      </c>
      <c r="K37"/>
    </row>
    <row r="38" spans="1:11" hidden="1" outlineLevel="2">
      <c r="A38" s="137">
        <f t="shared" si="5"/>
        <v>45901</v>
      </c>
      <c r="B38" s="1" t="s">
        <v>203</v>
      </c>
      <c r="C38" s="346" t="s">
        <v>392</v>
      </c>
      <c r="D38" s="1" t="s">
        <v>899</v>
      </c>
      <c r="E38" s="1">
        <v>618.99999999999989</v>
      </c>
      <c r="F38" s="59"/>
      <c r="G38" s="59">
        <v>15.169327619553263</v>
      </c>
      <c r="H38" s="59"/>
      <c r="I38" s="59">
        <f t="shared" si="4"/>
        <v>15.169327619553263</v>
      </c>
      <c r="K38"/>
    </row>
    <row r="39" spans="1:11" hidden="1" outlineLevel="2">
      <c r="A39" s="137">
        <f t="shared" si="5"/>
        <v>45901</v>
      </c>
      <c r="B39" s="1" t="s">
        <v>204</v>
      </c>
      <c r="C39" s="346" t="s">
        <v>393</v>
      </c>
      <c r="D39" s="1" t="s">
        <v>899</v>
      </c>
      <c r="E39" s="1">
        <v>938.40000000000009</v>
      </c>
      <c r="F39" s="59"/>
      <c r="G39" s="59">
        <v>15.169327619553263</v>
      </c>
      <c r="H39" s="59"/>
      <c r="I39" s="59">
        <f t="shared" si="4"/>
        <v>15.169327619553263</v>
      </c>
      <c r="K39"/>
    </row>
    <row r="40" spans="1:11" hidden="1" outlineLevel="2">
      <c r="A40" s="137">
        <f t="shared" si="5"/>
        <v>45901</v>
      </c>
      <c r="B40" s="1" t="s">
        <v>204</v>
      </c>
      <c r="C40" s="346" t="s">
        <v>394</v>
      </c>
      <c r="D40" s="1" t="s">
        <v>900</v>
      </c>
      <c r="E40" s="1">
        <v>124.19999999999999</v>
      </c>
      <c r="F40" s="59"/>
      <c r="G40" s="59">
        <v>15.169327619553263</v>
      </c>
      <c r="H40" s="59"/>
      <c r="I40" s="59">
        <f t="shared" si="4"/>
        <v>15.169327619553263</v>
      </c>
      <c r="K40"/>
    </row>
    <row r="41" spans="1:11" hidden="1" outlineLevel="2">
      <c r="A41" s="137">
        <f t="shared" si="5"/>
        <v>45901</v>
      </c>
      <c r="B41" s="1" t="s">
        <v>204</v>
      </c>
      <c r="C41" s="346" t="s">
        <v>395</v>
      </c>
      <c r="D41" s="1" t="s">
        <v>900</v>
      </c>
      <c r="E41" s="1">
        <v>124.19999999999999</v>
      </c>
      <c r="F41" s="59"/>
      <c r="G41" s="59">
        <v>15.169327619553263</v>
      </c>
      <c r="H41" s="59"/>
      <c r="I41" s="59">
        <f t="shared" si="4"/>
        <v>15.169327619553263</v>
      </c>
      <c r="K41"/>
    </row>
    <row r="42" spans="1:11" hidden="1" outlineLevel="2">
      <c r="A42" s="137">
        <f t="shared" si="5"/>
        <v>45901</v>
      </c>
      <c r="B42" s="1" t="s">
        <v>204</v>
      </c>
      <c r="C42" s="346" t="s">
        <v>396</v>
      </c>
      <c r="D42" s="1" t="s">
        <v>899</v>
      </c>
      <c r="E42" s="1">
        <v>902</v>
      </c>
      <c r="F42" s="59"/>
      <c r="G42" s="59">
        <v>15.169327619553263</v>
      </c>
      <c r="H42" s="59"/>
      <c r="I42" s="59">
        <f t="shared" si="4"/>
        <v>15.169327619553263</v>
      </c>
      <c r="K42"/>
    </row>
    <row r="43" spans="1:11" hidden="1" outlineLevel="2">
      <c r="A43" s="137">
        <f t="shared" si="5"/>
        <v>45901</v>
      </c>
      <c r="B43" s="1" t="s">
        <v>204</v>
      </c>
      <c r="C43" s="346" t="s">
        <v>397</v>
      </c>
      <c r="D43" s="1" t="s">
        <v>899</v>
      </c>
      <c r="E43" s="1">
        <v>782.8</v>
      </c>
      <c r="F43" s="59"/>
      <c r="G43" s="59">
        <v>15.169327619553263</v>
      </c>
      <c r="H43" s="59"/>
      <c r="I43" s="59">
        <f t="shared" si="4"/>
        <v>15.169327619553263</v>
      </c>
      <c r="K43"/>
    </row>
    <row r="44" spans="1:11" hidden="1" outlineLevel="2">
      <c r="A44" s="137">
        <f t="shared" si="5"/>
        <v>45901</v>
      </c>
      <c r="B44" s="1" t="s">
        <v>204</v>
      </c>
      <c r="C44" s="346" t="s">
        <v>398</v>
      </c>
      <c r="D44" s="1" t="s">
        <v>899</v>
      </c>
      <c r="E44" s="1">
        <v>902</v>
      </c>
      <c r="F44" s="59"/>
      <c r="G44" s="59">
        <v>15.169327619553263</v>
      </c>
      <c r="H44" s="59"/>
      <c r="I44" s="59">
        <f t="shared" si="4"/>
        <v>15.169327619553263</v>
      </c>
      <c r="K44"/>
    </row>
    <row r="45" spans="1:11" hidden="1" outlineLevel="2">
      <c r="A45" s="137">
        <f t="shared" si="5"/>
        <v>45901</v>
      </c>
      <c r="B45" s="1" t="s">
        <v>204</v>
      </c>
      <c r="C45" s="346" t="s">
        <v>399</v>
      </c>
      <c r="D45" s="1" t="s">
        <v>899</v>
      </c>
      <c r="E45" s="1">
        <v>709.5</v>
      </c>
      <c r="F45" s="59"/>
      <c r="G45" s="59">
        <v>15.169327619553263</v>
      </c>
      <c r="H45" s="59"/>
      <c r="I45" s="59">
        <f t="shared" si="4"/>
        <v>15.169327619553263</v>
      </c>
      <c r="K45"/>
    </row>
    <row r="46" spans="1:11" hidden="1" outlineLevel="2">
      <c r="A46" s="137">
        <f t="shared" si="5"/>
        <v>45901</v>
      </c>
      <c r="B46" s="1" t="s">
        <v>204</v>
      </c>
      <c r="C46" s="346" t="s">
        <v>400</v>
      </c>
      <c r="D46" s="1" t="s">
        <v>899</v>
      </c>
      <c r="E46" s="1">
        <v>620</v>
      </c>
      <c r="F46" s="59"/>
      <c r="G46" s="59">
        <v>15.169327619553263</v>
      </c>
      <c r="H46" s="59"/>
      <c r="I46" s="59">
        <f t="shared" si="4"/>
        <v>15.169327619553263</v>
      </c>
      <c r="K46"/>
    </row>
    <row r="47" spans="1:11" hidden="1" outlineLevel="2">
      <c r="A47" s="137">
        <f t="shared" si="5"/>
        <v>45901</v>
      </c>
      <c r="B47" s="1" t="s">
        <v>204</v>
      </c>
      <c r="C47" s="346" t="s">
        <v>400</v>
      </c>
      <c r="D47" s="1" t="s">
        <v>899</v>
      </c>
      <c r="E47" s="1">
        <v>620</v>
      </c>
      <c r="F47" s="59"/>
      <c r="G47" s="59">
        <v>11.376995714664947</v>
      </c>
      <c r="H47" s="59"/>
      <c r="I47" s="59">
        <f t="shared" si="4"/>
        <v>11.376995714664947</v>
      </c>
      <c r="K47"/>
    </row>
    <row r="48" spans="1:11" hidden="1" outlineLevel="2">
      <c r="A48" s="137">
        <f t="shared" si="5"/>
        <v>45901</v>
      </c>
      <c r="B48" s="1" t="s">
        <v>204</v>
      </c>
      <c r="C48" s="346" t="s">
        <v>401</v>
      </c>
      <c r="D48" s="1" t="s">
        <v>900</v>
      </c>
      <c r="E48" s="1">
        <v>82.8</v>
      </c>
      <c r="F48" s="59"/>
      <c r="G48" s="59">
        <v>15.169327619553263</v>
      </c>
      <c r="H48" s="59"/>
      <c r="I48" s="59">
        <f t="shared" si="4"/>
        <v>15.169327619553263</v>
      </c>
      <c r="K48"/>
    </row>
    <row r="49" spans="1:11" hidden="1" outlineLevel="2">
      <c r="A49" s="137">
        <f t="shared" si="5"/>
        <v>45901</v>
      </c>
      <c r="B49" s="1" t="s">
        <v>204</v>
      </c>
      <c r="C49" s="346" t="s">
        <v>402</v>
      </c>
      <c r="D49" s="1" t="s">
        <v>900</v>
      </c>
      <c r="E49" s="1">
        <v>124.19999999999999</v>
      </c>
      <c r="F49" s="59"/>
      <c r="G49" s="59">
        <v>15.169327619553263</v>
      </c>
      <c r="H49" s="59"/>
      <c r="I49" s="59">
        <f t="shared" si="4"/>
        <v>15.169327619553263</v>
      </c>
      <c r="K49"/>
    </row>
    <row r="50" spans="1:11" hidden="1" outlineLevel="2">
      <c r="A50" s="137">
        <f t="shared" si="5"/>
        <v>45901</v>
      </c>
      <c r="B50" s="1" t="s">
        <v>204</v>
      </c>
      <c r="C50" s="346" t="s">
        <v>403</v>
      </c>
      <c r="D50" s="1" t="s">
        <v>900</v>
      </c>
      <c r="E50" s="1">
        <v>124.19999999999999</v>
      </c>
      <c r="F50" s="59"/>
      <c r="G50" s="59">
        <v>15.169327619553263</v>
      </c>
      <c r="H50" s="59"/>
      <c r="I50" s="59">
        <f t="shared" si="4"/>
        <v>15.169327619553263</v>
      </c>
      <c r="K50"/>
    </row>
    <row r="51" spans="1:11" hidden="1" outlineLevel="2">
      <c r="A51" s="137">
        <f t="shared" si="5"/>
        <v>45901</v>
      </c>
      <c r="B51" s="1" t="s">
        <v>204</v>
      </c>
      <c r="C51" s="346" t="s">
        <v>404</v>
      </c>
      <c r="D51" s="1" t="s">
        <v>900</v>
      </c>
      <c r="E51" s="1">
        <v>124.19999999999999</v>
      </c>
      <c r="F51" s="59"/>
      <c r="G51" s="59">
        <v>15.169327619553263</v>
      </c>
      <c r="H51" s="59"/>
      <c r="I51" s="59">
        <f t="shared" si="4"/>
        <v>15.169327619553263</v>
      </c>
      <c r="K51"/>
    </row>
    <row r="52" spans="1:11" hidden="1" outlineLevel="2">
      <c r="A52" s="137">
        <f t="shared" si="5"/>
        <v>45901</v>
      </c>
      <c r="B52" s="1" t="s">
        <v>204</v>
      </c>
      <c r="C52" s="346" t="s">
        <v>405</v>
      </c>
      <c r="D52" s="1" t="s">
        <v>899</v>
      </c>
      <c r="E52" s="1">
        <v>1217.6400000000001</v>
      </c>
      <c r="F52" s="59"/>
      <c r="G52" s="59">
        <v>15.169327619553263</v>
      </c>
      <c r="H52" s="59"/>
      <c r="I52" s="59">
        <f t="shared" si="4"/>
        <v>15.169327619553263</v>
      </c>
      <c r="K52"/>
    </row>
    <row r="53" spans="1:11" hidden="1" outlineLevel="2">
      <c r="A53" s="137">
        <f t="shared" si="5"/>
        <v>45901</v>
      </c>
      <c r="B53" s="1" t="s">
        <v>204</v>
      </c>
      <c r="C53" s="346" t="s">
        <v>406</v>
      </c>
      <c r="D53" s="1" t="s">
        <v>899</v>
      </c>
      <c r="E53" s="1">
        <v>1550.5</v>
      </c>
      <c r="F53" s="59"/>
      <c r="G53" s="59">
        <v>15.169327619553263</v>
      </c>
      <c r="H53" s="59"/>
      <c r="I53" s="59">
        <f t="shared" si="4"/>
        <v>15.169327619553263</v>
      </c>
      <c r="K53"/>
    </row>
    <row r="54" spans="1:11" hidden="1" outlineLevel="2">
      <c r="A54" s="137">
        <f t="shared" si="5"/>
        <v>45901</v>
      </c>
      <c r="B54" s="1" t="s">
        <v>205</v>
      </c>
      <c r="C54" s="346" t="s">
        <v>407</v>
      </c>
      <c r="D54" s="1" t="s">
        <v>899</v>
      </c>
      <c r="E54" s="1">
        <v>126</v>
      </c>
      <c r="F54" s="59"/>
      <c r="G54" s="59">
        <v>15.169327619553263</v>
      </c>
      <c r="H54" s="59"/>
      <c r="I54" s="59">
        <f t="shared" si="4"/>
        <v>15.169327619553263</v>
      </c>
      <c r="K54"/>
    </row>
    <row r="55" spans="1:11" hidden="1" outlineLevel="2">
      <c r="A55" s="137">
        <f t="shared" si="5"/>
        <v>45901</v>
      </c>
      <c r="B55" s="1" t="s">
        <v>204</v>
      </c>
      <c r="C55" s="346" t="s">
        <v>408</v>
      </c>
      <c r="D55" s="1" t="s">
        <v>899</v>
      </c>
      <c r="E55" s="1">
        <v>717.1</v>
      </c>
      <c r="F55" s="59"/>
      <c r="G55" s="59">
        <v>15.169327619553263</v>
      </c>
      <c r="H55" s="59"/>
      <c r="I55" s="59">
        <f t="shared" si="4"/>
        <v>15.169327619553263</v>
      </c>
      <c r="K55"/>
    </row>
    <row r="56" spans="1:11" hidden="1" outlineLevel="2">
      <c r="A56" s="137">
        <f t="shared" si="5"/>
        <v>45901</v>
      </c>
      <c r="B56" s="1" t="s">
        <v>204</v>
      </c>
      <c r="C56" s="346" t="s">
        <v>409</v>
      </c>
      <c r="D56" s="1" t="s">
        <v>899</v>
      </c>
      <c r="E56" s="1">
        <v>768.7</v>
      </c>
      <c r="F56" s="59"/>
      <c r="G56" s="59">
        <v>15.169327619553263</v>
      </c>
      <c r="H56" s="59"/>
      <c r="I56" s="59">
        <f t="shared" si="4"/>
        <v>15.169327619553263</v>
      </c>
      <c r="K56"/>
    </row>
    <row r="57" spans="1:11" hidden="1" outlineLevel="2">
      <c r="A57" s="137">
        <f t="shared" si="5"/>
        <v>45901</v>
      </c>
      <c r="B57" s="1" t="s">
        <v>204</v>
      </c>
      <c r="C57" s="346" t="s">
        <v>410</v>
      </c>
      <c r="D57" s="1" t="s">
        <v>899</v>
      </c>
      <c r="E57" s="1">
        <v>343.4</v>
      </c>
      <c r="F57" s="59"/>
      <c r="G57" s="59">
        <v>15.169327619553263</v>
      </c>
      <c r="H57" s="59"/>
      <c r="I57" s="59">
        <f t="shared" si="4"/>
        <v>15.169327619553263</v>
      </c>
      <c r="K57"/>
    </row>
    <row r="58" spans="1:11" hidden="1" outlineLevel="2">
      <c r="A58" s="137">
        <f t="shared" si="5"/>
        <v>45901</v>
      </c>
      <c r="B58" s="1" t="s">
        <v>204</v>
      </c>
      <c r="C58" s="346" t="s">
        <v>411</v>
      </c>
      <c r="D58" s="1" t="s">
        <v>899</v>
      </c>
      <c r="E58" s="1">
        <v>757</v>
      </c>
      <c r="F58" s="59"/>
      <c r="G58" s="59">
        <v>15.169327619553263</v>
      </c>
      <c r="H58" s="59"/>
      <c r="I58" s="59">
        <f t="shared" si="4"/>
        <v>15.169327619553263</v>
      </c>
      <c r="K58"/>
    </row>
    <row r="59" spans="1:11" hidden="1" outlineLevel="2">
      <c r="A59" s="137">
        <f t="shared" si="5"/>
        <v>45901</v>
      </c>
      <c r="B59" s="1" t="s">
        <v>203</v>
      </c>
      <c r="C59" s="346" t="s">
        <v>412</v>
      </c>
      <c r="D59" s="1" t="s">
        <v>899</v>
      </c>
      <c r="E59" s="1">
        <v>718.8</v>
      </c>
      <c r="F59" s="59"/>
      <c r="G59" s="59">
        <v>15.169327619553263</v>
      </c>
      <c r="H59" s="59"/>
      <c r="I59" s="59">
        <f t="shared" si="4"/>
        <v>15.169327619553263</v>
      </c>
      <c r="K59"/>
    </row>
    <row r="60" spans="1:11" hidden="1" outlineLevel="2">
      <c r="A60" s="137">
        <f t="shared" si="5"/>
        <v>45901</v>
      </c>
      <c r="B60" s="1" t="s">
        <v>432</v>
      </c>
      <c r="C60" s="346" t="s">
        <v>413</v>
      </c>
      <c r="D60" s="1" t="s">
        <v>655</v>
      </c>
      <c r="E60" s="1">
        <v>20</v>
      </c>
      <c r="F60" s="59"/>
      <c r="G60" s="59">
        <v>42.853350525237971</v>
      </c>
      <c r="H60" s="59"/>
      <c r="I60" s="59">
        <f t="shared" si="4"/>
        <v>42.853350525237971</v>
      </c>
      <c r="K60"/>
    </row>
    <row r="61" spans="1:11" hidden="1" outlineLevel="2">
      <c r="A61" s="137">
        <f t="shared" si="5"/>
        <v>45901</v>
      </c>
      <c r="B61" s="1" t="s">
        <v>202</v>
      </c>
      <c r="C61" s="346" t="s">
        <v>414</v>
      </c>
      <c r="D61" s="1" t="s">
        <v>899</v>
      </c>
      <c r="E61" s="1">
        <v>1657.3</v>
      </c>
      <c r="F61" s="59"/>
      <c r="G61" s="59">
        <v>15.169327619553263</v>
      </c>
      <c r="H61" s="59"/>
      <c r="I61" s="59">
        <f t="shared" si="4"/>
        <v>15.169327619553263</v>
      </c>
      <c r="K61"/>
    </row>
    <row r="62" spans="1:11" hidden="1" outlineLevel="2">
      <c r="A62" s="137">
        <f t="shared" si="5"/>
        <v>45901</v>
      </c>
      <c r="B62" s="1" t="s">
        <v>202</v>
      </c>
      <c r="C62" s="346" t="s">
        <v>415</v>
      </c>
      <c r="D62" s="1" t="s">
        <v>899</v>
      </c>
      <c r="E62" s="1">
        <v>2364.5</v>
      </c>
      <c r="F62" s="59"/>
      <c r="G62" s="59">
        <v>15.169327619553263</v>
      </c>
      <c r="H62" s="59"/>
      <c r="I62" s="59">
        <f t="shared" si="4"/>
        <v>15.169327619553263</v>
      </c>
      <c r="K62"/>
    </row>
    <row r="63" spans="1:11" hidden="1" outlineLevel="2">
      <c r="A63" s="137">
        <f t="shared" si="5"/>
        <v>45901</v>
      </c>
      <c r="B63" s="1" t="s">
        <v>202</v>
      </c>
      <c r="C63" s="346" t="s">
        <v>416</v>
      </c>
      <c r="D63" s="1" t="s">
        <v>899</v>
      </c>
      <c r="E63" s="1">
        <v>1606.8</v>
      </c>
      <c r="F63" s="59"/>
      <c r="G63" s="59">
        <v>15.169327619553263</v>
      </c>
      <c r="H63" s="59"/>
      <c r="I63" s="59">
        <f t="shared" si="4"/>
        <v>15.169327619553263</v>
      </c>
      <c r="K63"/>
    </row>
    <row r="64" spans="1:11" hidden="1" outlineLevel="2">
      <c r="A64" s="137">
        <f t="shared" si="5"/>
        <v>45901</v>
      </c>
      <c r="B64" s="1" t="s">
        <v>202</v>
      </c>
      <c r="C64" s="346" t="s">
        <v>417</v>
      </c>
      <c r="D64" s="1" t="s">
        <v>899</v>
      </c>
      <c r="E64" s="1">
        <v>476.4</v>
      </c>
      <c r="F64" s="59"/>
      <c r="G64" s="59">
        <v>15.169327619553263</v>
      </c>
      <c r="H64" s="59"/>
      <c r="I64" s="59">
        <f t="shared" si="4"/>
        <v>15.169327619553263</v>
      </c>
      <c r="K64"/>
    </row>
    <row r="65" spans="1:11" hidden="1" outlineLevel="2">
      <c r="A65" s="137">
        <f t="shared" si="5"/>
        <v>45901</v>
      </c>
      <c r="B65" s="1" t="s">
        <v>204</v>
      </c>
      <c r="C65" s="346" t="s">
        <v>418</v>
      </c>
      <c r="D65" s="1" t="s">
        <v>900</v>
      </c>
      <c r="E65" s="1">
        <v>133</v>
      </c>
      <c r="F65" s="59"/>
      <c r="G65" s="59">
        <v>15.169327619553263</v>
      </c>
      <c r="H65" s="59"/>
      <c r="I65" s="59">
        <f t="shared" si="4"/>
        <v>15.169327619553263</v>
      </c>
      <c r="K65"/>
    </row>
    <row r="66" spans="1:11" hidden="1" outlineLevel="2">
      <c r="A66" s="137">
        <f t="shared" si="5"/>
        <v>45901</v>
      </c>
      <c r="B66" s="1" t="s">
        <v>205</v>
      </c>
      <c r="C66" s="346" t="s">
        <v>419</v>
      </c>
      <c r="D66" s="1" t="s">
        <v>899</v>
      </c>
      <c r="E66" s="1">
        <v>224.5</v>
      </c>
      <c r="F66" s="59"/>
      <c r="G66" s="59">
        <v>15.169327619553263</v>
      </c>
      <c r="H66" s="59"/>
      <c r="I66" s="59">
        <f t="shared" si="4"/>
        <v>15.169327619553263</v>
      </c>
      <c r="K66"/>
    </row>
    <row r="67" spans="1:11" hidden="1" outlineLevel="2">
      <c r="A67" s="137">
        <f t="shared" si="5"/>
        <v>45901</v>
      </c>
      <c r="B67" s="1" t="s">
        <v>433</v>
      </c>
      <c r="C67" s="346" t="s">
        <v>420</v>
      </c>
      <c r="D67" s="1" t="s">
        <v>899</v>
      </c>
      <c r="E67" s="1">
        <v>263.10000000000002</v>
      </c>
      <c r="F67" s="59"/>
      <c r="G67" s="59">
        <v>15.169327619553263</v>
      </c>
      <c r="H67" s="59"/>
      <c r="I67" s="59">
        <f t="shared" si="4"/>
        <v>15.169327619553263</v>
      </c>
      <c r="K67"/>
    </row>
    <row r="68" spans="1:11" hidden="1" outlineLevel="2">
      <c r="A68" s="137">
        <f t="shared" si="5"/>
        <v>45901</v>
      </c>
      <c r="B68" s="1" t="s">
        <v>204</v>
      </c>
      <c r="C68" s="346" t="s">
        <v>421</v>
      </c>
      <c r="D68" s="1" t="s">
        <v>900</v>
      </c>
      <c r="E68" s="1">
        <v>48.5</v>
      </c>
      <c r="F68" s="59"/>
      <c r="G68" s="59">
        <v>15.169327619553263</v>
      </c>
      <c r="H68" s="59"/>
      <c r="I68" s="59">
        <f t="shared" si="4"/>
        <v>15.169327619553263</v>
      </c>
      <c r="K68"/>
    </row>
    <row r="69" spans="1:11" hidden="1" outlineLevel="2">
      <c r="A69" s="137">
        <f t="shared" si="5"/>
        <v>45901</v>
      </c>
      <c r="B69" s="1" t="s">
        <v>203</v>
      </c>
      <c r="C69" s="346" t="s">
        <v>422</v>
      </c>
      <c r="D69" s="1" t="s">
        <v>899</v>
      </c>
      <c r="E69" s="1">
        <v>716.8</v>
      </c>
      <c r="F69" s="59"/>
      <c r="G69" s="59">
        <v>15.169327619553263</v>
      </c>
      <c r="H69" s="59"/>
      <c r="I69" s="59">
        <f t="shared" si="4"/>
        <v>15.169327619553263</v>
      </c>
      <c r="K69"/>
    </row>
    <row r="70" spans="1:11" hidden="1" outlineLevel="2">
      <c r="A70" s="137">
        <f t="shared" si="5"/>
        <v>45901</v>
      </c>
      <c r="B70" s="1" t="s">
        <v>204</v>
      </c>
      <c r="C70" s="346" t="s">
        <v>423</v>
      </c>
      <c r="D70" s="1" t="s">
        <v>899</v>
      </c>
      <c r="E70" s="1">
        <v>1536</v>
      </c>
      <c r="F70" s="59"/>
      <c r="G70" s="59">
        <v>15.169327619553263</v>
      </c>
      <c r="H70" s="59"/>
      <c r="I70" s="59">
        <f t="shared" si="4"/>
        <v>15.169327619553263</v>
      </c>
      <c r="K70"/>
    </row>
    <row r="71" spans="1:11" hidden="1" outlineLevel="2">
      <c r="A71" s="137">
        <f t="shared" si="5"/>
        <v>45901</v>
      </c>
      <c r="B71" s="1" t="s">
        <v>204</v>
      </c>
      <c r="C71" s="346" t="s">
        <v>424</v>
      </c>
      <c r="D71" s="1" t="s">
        <v>899</v>
      </c>
      <c r="E71" s="1">
        <v>1628.4</v>
      </c>
      <c r="F71" s="59"/>
      <c r="G71" s="59">
        <v>15.169327619553263</v>
      </c>
      <c r="H71" s="59"/>
      <c r="I71" s="59">
        <f t="shared" si="4"/>
        <v>15.169327619553263</v>
      </c>
      <c r="K71"/>
    </row>
    <row r="72" spans="1:11" hidden="1" outlineLevel="2">
      <c r="A72" s="137">
        <f t="shared" si="5"/>
        <v>45901</v>
      </c>
      <c r="B72" s="1" t="s">
        <v>204</v>
      </c>
      <c r="C72" s="346" t="s">
        <v>425</v>
      </c>
      <c r="D72" s="1" t="s">
        <v>900</v>
      </c>
      <c r="E72" s="1">
        <v>97</v>
      </c>
      <c r="F72" s="59"/>
      <c r="G72" s="59">
        <v>15.169327619553263</v>
      </c>
      <c r="H72" s="59"/>
      <c r="I72" s="59">
        <f t="shared" si="4"/>
        <v>15.169327619553263</v>
      </c>
      <c r="K72"/>
    </row>
    <row r="73" spans="1:11" hidden="1" outlineLevel="2">
      <c r="A73" s="137">
        <f t="shared" si="5"/>
        <v>45901</v>
      </c>
      <c r="B73" s="1" t="s">
        <v>204</v>
      </c>
      <c r="C73" s="346" t="s">
        <v>426</v>
      </c>
      <c r="D73" s="1" t="s">
        <v>900</v>
      </c>
      <c r="E73" s="1">
        <v>97</v>
      </c>
      <c r="F73" s="59"/>
      <c r="G73" s="59">
        <v>15.169327619553263</v>
      </c>
      <c r="H73" s="59"/>
      <c r="I73" s="59">
        <f t="shared" si="4"/>
        <v>15.169327619553263</v>
      </c>
      <c r="K73"/>
    </row>
    <row r="74" spans="1:11" hidden="1" outlineLevel="2">
      <c r="A74" s="137">
        <f t="shared" si="5"/>
        <v>45901</v>
      </c>
      <c r="B74" s="1" t="s">
        <v>204</v>
      </c>
      <c r="C74" s="346" t="s">
        <v>427</v>
      </c>
      <c r="D74" s="1" t="s">
        <v>900</v>
      </c>
      <c r="E74" s="1">
        <v>116.4</v>
      </c>
      <c r="F74" s="59"/>
      <c r="G74" s="59">
        <v>15.169327619553263</v>
      </c>
      <c r="H74" s="59"/>
      <c r="I74" s="59">
        <f t="shared" si="4"/>
        <v>15.169327619553263</v>
      </c>
      <c r="K74"/>
    </row>
    <row r="75" spans="1:11" hidden="1" outlineLevel="2">
      <c r="A75" s="137">
        <f t="shared" si="5"/>
        <v>45901</v>
      </c>
      <c r="B75" s="1" t="s">
        <v>204</v>
      </c>
      <c r="C75" s="346" t="s">
        <v>428</v>
      </c>
      <c r="D75" s="1" t="s">
        <v>899</v>
      </c>
      <c r="E75" s="1">
        <v>1712.3999999999999</v>
      </c>
      <c r="F75" s="59"/>
      <c r="G75" s="59">
        <v>15.169327619553263</v>
      </c>
      <c r="H75" s="59"/>
      <c r="I75" s="59">
        <f t="shared" si="4"/>
        <v>15.169327619553263</v>
      </c>
      <c r="K75"/>
    </row>
    <row r="76" spans="1:11" hidden="1" outlineLevel="2">
      <c r="A76" s="137">
        <f t="shared" si="5"/>
        <v>45901</v>
      </c>
      <c r="B76" s="1" t="s">
        <v>204</v>
      </c>
      <c r="C76" s="346" t="s">
        <v>429</v>
      </c>
      <c r="D76" s="1" t="s">
        <v>899</v>
      </c>
      <c r="E76" s="1">
        <v>1468.8</v>
      </c>
      <c r="F76" s="59"/>
      <c r="G76" s="59">
        <v>15.169327619553263</v>
      </c>
      <c r="H76" s="59"/>
      <c r="I76" s="59">
        <f t="shared" si="4"/>
        <v>15.169327619553263</v>
      </c>
      <c r="K76"/>
    </row>
    <row r="77" spans="1:11" hidden="1" outlineLevel="2">
      <c r="A77" s="137">
        <f t="shared" si="5"/>
        <v>45901</v>
      </c>
      <c r="B77" s="1" t="s">
        <v>204</v>
      </c>
      <c r="C77" s="346" t="s">
        <v>430</v>
      </c>
      <c r="D77" s="1" t="s">
        <v>899</v>
      </c>
      <c r="E77" s="1">
        <v>1554.0000000000002</v>
      </c>
      <c r="F77" s="59"/>
      <c r="G77" s="59">
        <v>15.169327619553263</v>
      </c>
      <c r="H77" s="59"/>
      <c r="I77" s="59">
        <f t="shared" si="4"/>
        <v>15.169327619553263</v>
      </c>
      <c r="K77"/>
    </row>
    <row r="78" spans="1:11" hidden="1" outlineLevel="2">
      <c r="A78" s="137">
        <f t="shared" si="5"/>
        <v>45901</v>
      </c>
      <c r="B78" s="1" t="s">
        <v>204</v>
      </c>
      <c r="C78" s="346" t="s">
        <v>431</v>
      </c>
      <c r="D78" s="1" t="s">
        <v>900</v>
      </c>
      <c r="E78" s="1">
        <v>116.39999999999999</v>
      </c>
      <c r="F78" s="59"/>
      <c r="G78" s="59">
        <v>15.169327619553263</v>
      </c>
      <c r="H78" s="59"/>
      <c r="I78" s="59">
        <f t="shared" si="4"/>
        <v>15.169327619553263</v>
      </c>
      <c r="K78"/>
    </row>
    <row r="79" spans="1:11" outlineLevel="1" collapsed="1">
      <c r="A79" s="138" t="s">
        <v>890</v>
      </c>
      <c r="B79" s="1"/>
      <c r="C79" s="346"/>
      <c r="D79" s="1"/>
      <c r="E79" s="1">
        <f>SUBTOTAL(9,E31:E78)</f>
        <v>29456.74</v>
      </c>
      <c r="F79" s="59">
        <f>SUBTOTAL(9,F31:F78)</f>
        <v>0</v>
      </c>
      <c r="G79" s="59">
        <f>SUBTOTAL(9,G31:G78)</f>
        <v>752.01941673935369</v>
      </c>
      <c r="H79" s="59">
        <f>SUBTOTAL(9,H31:H78)</f>
        <v>0</v>
      </c>
      <c r="I79" s="59">
        <f>SUBTOTAL(9,I31:I78)</f>
        <v>752.01941673935369</v>
      </c>
      <c r="K79"/>
    </row>
    <row r="80" spans="1:11" hidden="1" outlineLevel="2">
      <c r="A80" s="137">
        <v>45931</v>
      </c>
      <c r="B80" s="1" t="s">
        <v>204</v>
      </c>
      <c r="C80" s="346" t="s">
        <v>555</v>
      </c>
      <c r="D80" s="1" t="s">
        <v>899</v>
      </c>
      <c r="E80" s="1">
        <v>252</v>
      </c>
      <c r="F80" s="59"/>
      <c r="G80" s="59">
        <v>15.158405335758678</v>
      </c>
      <c r="H80" s="59"/>
      <c r="I80" s="59">
        <f t="shared" ref="I80:I119" si="6">SUM(F80:H80)</f>
        <v>15.158405335758678</v>
      </c>
      <c r="K80"/>
    </row>
    <row r="81" spans="1:11" hidden="1" outlineLevel="2">
      <c r="A81" s="137">
        <f t="shared" ref="A81:A119" si="7">A80</f>
        <v>45931</v>
      </c>
      <c r="B81" s="1" t="s">
        <v>204</v>
      </c>
      <c r="C81" s="346" t="s">
        <v>556</v>
      </c>
      <c r="D81" s="1" t="s">
        <v>899</v>
      </c>
      <c r="E81" s="1">
        <v>745.6</v>
      </c>
      <c r="F81" s="59"/>
      <c r="G81" s="59">
        <v>15.158405335758678</v>
      </c>
      <c r="H81" s="59"/>
      <c r="I81" s="59">
        <f t="shared" si="6"/>
        <v>15.158405335758678</v>
      </c>
      <c r="K81"/>
    </row>
    <row r="82" spans="1:11" hidden="1" outlineLevel="2">
      <c r="A82" s="137">
        <f t="shared" si="7"/>
        <v>45931</v>
      </c>
      <c r="B82" s="1" t="s">
        <v>204</v>
      </c>
      <c r="C82" s="346" t="s">
        <v>557</v>
      </c>
      <c r="D82" s="1" t="s">
        <v>899</v>
      </c>
      <c r="E82" s="1">
        <v>677.69999999999993</v>
      </c>
      <c r="F82" s="59"/>
      <c r="G82" s="59">
        <v>15.158405335758678</v>
      </c>
      <c r="H82" s="59"/>
      <c r="I82" s="59">
        <f t="shared" si="6"/>
        <v>15.158405335758678</v>
      </c>
      <c r="K82"/>
    </row>
    <row r="83" spans="1:11" hidden="1" outlineLevel="2">
      <c r="A83" s="137">
        <f t="shared" si="7"/>
        <v>45931</v>
      </c>
      <c r="B83" s="1" t="s">
        <v>204</v>
      </c>
      <c r="C83" s="346" t="s">
        <v>558</v>
      </c>
      <c r="D83" s="1" t="s">
        <v>899</v>
      </c>
      <c r="E83" s="1">
        <v>936.1</v>
      </c>
      <c r="F83" s="59"/>
      <c r="G83" s="59">
        <v>15.158405335758678</v>
      </c>
      <c r="H83" s="59"/>
      <c r="I83" s="59">
        <f t="shared" si="6"/>
        <v>15.158405335758678</v>
      </c>
      <c r="K83"/>
    </row>
    <row r="84" spans="1:11" hidden="1" outlineLevel="2">
      <c r="A84" s="137">
        <f t="shared" si="7"/>
        <v>45931</v>
      </c>
      <c r="B84" s="1" t="s">
        <v>204</v>
      </c>
      <c r="C84" s="346" t="s">
        <v>559</v>
      </c>
      <c r="D84" s="1" t="s">
        <v>899</v>
      </c>
      <c r="E84" s="1">
        <v>745.6</v>
      </c>
      <c r="F84" s="59"/>
      <c r="G84" s="59">
        <v>15.158405335758678</v>
      </c>
      <c r="H84" s="59"/>
      <c r="I84" s="59">
        <f t="shared" si="6"/>
        <v>15.158405335758678</v>
      </c>
      <c r="K84"/>
    </row>
    <row r="85" spans="1:11" hidden="1" outlineLevel="2">
      <c r="A85" s="137">
        <f t="shared" si="7"/>
        <v>45931</v>
      </c>
      <c r="B85" s="1" t="s">
        <v>205</v>
      </c>
      <c r="C85" s="346" t="s">
        <v>560</v>
      </c>
      <c r="D85" s="1" t="s">
        <v>655</v>
      </c>
      <c r="E85" s="1">
        <v>6.2</v>
      </c>
      <c r="F85" s="59"/>
      <c r="G85" s="59">
        <v>15.158405335758678</v>
      </c>
      <c r="H85" s="59"/>
      <c r="I85" s="59">
        <f t="shared" si="6"/>
        <v>15.158405335758678</v>
      </c>
      <c r="K85"/>
    </row>
    <row r="86" spans="1:11" hidden="1" outlineLevel="2">
      <c r="A86" s="137">
        <f t="shared" si="7"/>
        <v>45931</v>
      </c>
      <c r="B86" s="1" t="s">
        <v>204</v>
      </c>
      <c r="C86" s="346" t="s">
        <v>561</v>
      </c>
      <c r="D86" s="1" t="s">
        <v>899</v>
      </c>
      <c r="E86" s="1">
        <v>777</v>
      </c>
      <c r="F86" s="59"/>
      <c r="G86" s="59">
        <v>15.158405335758678</v>
      </c>
      <c r="H86" s="59"/>
      <c r="I86" s="59">
        <f t="shared" si="6"/>
        <v>15.158405335758678</v>
      </c>
      <c r="K86"/>
    </row>
    <row r="87" spans="1:11" hidden="1" outlineLevel="2">
      <c r="A87" s="137">
        <f t="shared" si="7"/>
        <v>45931</v>
      </c>
      <c r="B87" s="1" t="s">
        <v>204</v>
      </c>
      <c r="C87" s="346" t="s">
        <v>562</v>
      </c>
      <c r="D87" s="1" t="s">
        <v>899</v>
      </c>
      <c r="E87" s="1">
        <v>893.39999999999986</v>
      </c>
      <c r="F87" s="59"/>
      <c r="G87" s="59">
        <v>15.158405335758678</v>
      </c>
      <c r="H87" s="59"/>
      <c r="I87" s="59">
        <f t="shared" si="6"/>
        <v>15.158405335758678</v>
      </c>
      <c r="K87"/>
    </row>
    <row r="88" spans="1:11" hidden="1" outlineLevel="2">
      <c r="A88" s="137">
        <f t="shared" si="7"/>
        <v>45931</v>
      </c>
      <c r="B88" s="1" t="s">
        <v>204</v>
      </c>
      <c r="C88" s="346" t="s">
        <v>563</v>
      </c>
      <c r="D88" s="1" t="s">
        <v>899</v>
      </c>
      <c r="E88" s="1">
        <v>717.90000000000009</v>
      </c>
      <c r="F88" s="59"/>
      <c r="G88" s="59">
        <v>24.632408670607852</v>
      </c>
      <c r="H88" s="59"/>
      <c r="I88" s="59">
        <f t="shared" si="6"/>
        <v>24.632408670607852</v>
      </c>
      <c r="K88"/>
    </row>
    <row r="89" spans="1:11" hidden="1" outlineLevel="2">
      <c r="A89" s="137">
        <f t="shared" si="7"/>
        <v>45931</v>
      </c>
      <c r="B89" s="1" t="s">
        <v>204</v>
      </c>
      <c r="C89" s="346" t="s">
        <v>564</v>
      </c>
      <c r="D89" s="1" t="s">
        <v>899</v>
      </c>
      <c r="E89" s="1">
        <v>761.09999999999991</v>
      </c>
      <c r="F89" s="59"/>
      <c r="G89" s="59">
        <v>15.158405335758678</v>
      </c>
      <c r="H89" s="59"/>
      <c r="I89" s="59">
        <f t="shared" si="6"/>
        <v>15.158405335758678</v>
      </c>
      <c r="K89"/>
    </row>
    <row r="90" spans="1:11" hidden="1" outlineLevel="2">
      <c r="A90" s="137">
        <f t="shared" si="7"/>
        <v>45931</v>
      </c>
      <c r="B90" s="1" t="s">
        <v>204</v>
      </c>
      <c r="C90" s="346" t="s">
        <v>565</v>
      </c>
      <c r="D90" s="1" t="s">
        <v>899</v>
      </c>
      <c r="E90" s="1">
        <v>893.6</v>
      </c>
      <c r="F90" s="59"/>
      <c r="G90" s="59">
        <v>15.158405335758678</v>
      </c>
      <c r="H90" s="59"/>
      <c r="I90" s="59">
        <f t="shared" si="6"/>
        <v>15.158405335758678</v>
      </c>
      <c r="K90"/>
    </row>
    <row r="91" spans="1:11" hidden="1" outlineLevel="2">
      <c r="A91" s="137">
        <f t="shared" si="7"/>
        <v>45931</v>
      </c>
      <c r="B91" s="1" t="s">
        <v>204</v>
      </c>
      <c r="C91" s="346" t="s">
        <v>566</v>
      </c>
      <c r="D91" s="1" t="s">
        <v>899</v>
      </c>
      <c r="E91" s="1">
        <v>290.8</v>
      </c>
      <c r="F91" s="59"/>
      <c r="G91" s="59">
        <v>15.158405335758678</v>
      </c>
      <c r="H91" s="59"/>
      <c r="I91" s="59">
        <f t="shared" si="6"/>
        <v>15.158405335758678</v>
      </c>
      <c r="K91"/>
    </row>
    <row r="92" spans="1:11" hidden="1" outlineLevel="2">
      <c r="A92" s="137">
        <f t="shared" si="7"/>
        <v>45931</v>
      </c>
      <c r="B92" s="1" t="s">
        <v>203</v>
      </c>
      <c r="C92" s="346" t="s">
        <v>567</v>
      </c>
      <c r="D92" s="1" t="s">
        <v>899</v>
      </c>
      <c r="E92" s="1">
        <v>896</v>
      </c>
      <c r="F92" s="59"/>
      <c r="G92" s="59">
        <v>15.158405335758678</v>
      </c>
      <c r="H92" s="59"/>
      <c r="I92" s="59">
        <f t="shared" si="6"/>
        <v>15.158405335758678</v>
      </c>
      <c r="K92"/>
    </row>
    <row r="93" spans="1:11" hidden="1" outlineLevel="2">
      <c r="A93" s="137">
        <f t="shared" si="7"/>
        <v>45931</v>
      </c>
      <c r="B93" s="1" t="s">
        <v>593</v>
      </c>
      <c r="C93" s="346" t="s">
        <v>548</v>
      </c>
      <c r="D93" s="1" t="s">
        <v>655</v>
      </c>
      <c r="E93" s="1">
        <v>9.3000000000000007</v>
      </c>
      <c r="F93" s="59"/>
      <c r="G93" s="59">
        <v>42.822495073518269</v>
      </c>
      <c r="H93" s="59"/>
      <c r="I93" s="59">
        <f t="shared" si="6"/>
        <v>42.822495073518269</v>
      </c>
      <c r="K93"/>
    </row>
    <row r="94" spans="1:11" hidden="1" outlineLevel="2">
      <c r="A94" s="137">
        <f t="shared" si="7"/>
        <v>45931</v>
      </c>
      <c r="B94" s="1" t="s">
        <v>204</v>
      </c>
      <c r="C94" s="346" t="s">
        <v>568</v>
      </c>
      <c r="D94" s="1" t="s">
        <v>899</v>
      </c>
      <c r="E94" s="1">
        <v>1688.2000000000003</v>
      </c>
      <c r="F94" s="59"/>
      <c r="G94" s="59">
        <v>15.158405335758678</v>
      </c>
      <c r="H94" s="59"/>
      <c r="I94" s="59">
        <f t="shared" si="6"/>
        <v>15.158405335758678</v>
      </c>
      <c r="K94"/>
    </row>
    <row r="95" spans="1:11" hidden="1" outlineLevel="2">
      <c r="A95" s="137">
        <f t="shared" si="7"/>
        <v>45931</v>
      </c>
      <c r="B95" s="1" t="s">
        <v>204</v>
      </c>
      <c r="C95" s="346" t="s">
        <v>569</v>
      </c>
      <c r="D95" s="1" t="s">
        <v>899</v>
      </c>
      <c r="E95" s="1">
        <v>274.8</v>
      </c>
      <c r="F95" s="59"/>
      <c r="G95" s="59">
        <v>15.158405335758678</v>
      </c>
      <c r="H95" s="59"/>
      <c r="I95" s="59">
        <f t="shared" si="6"/>
        <v>15.158405335758678</v>
      </c>
      <c r="K95"/>
    </row>
    <row r="96" spans="1:11" hidden="1" outlineLevel="2">
      <c r="A96" s="137">
        <f t="shared" si="7"/>
        <v>45931</v>
      </c>
      <c r="B96" s="1" t="s">
        <v>204</v>
      </c>
      <c r="C96" s="346" t="s">
        <v>570</v>
      </c>
      <c r="D96" s="1" t="s">
        <v>899</v>
      </c>
      <c r="E96" s="1">
        <v>1437.6</v>
      </c>
      <c r="F96" s="59"/>
      <c r="G96" s="59">
        <v>15.158405335758678</v>
      </c>
      <c r="H96" s="59"/>
      <c r="I96" s="59">
        <f t="shared" si="6"/>
        <v>15.158405335758678</v>
      </c>
      <c r="K96"/>
    </row>
    <row r="97" spans="1:11" hidden="1" outlineLevel="2">
      <c r="A97" s="137">
        <f t="shared" si="7"/>
        <v>45931</v>
      </c>
      <c r="B97" s="1" t="s">
        <v>204</v>
      </c>
      <c r="C97" s="346" t="s">
        <v>571</v>
      </c>
      <c r="D97" s="1" t="s">
        <v>899</v>
      </c>
      <c r="E97" s="1">
        <v>1544</v>
      </c>
      <c r="F97" s="59"/>
      <c r="G97" s="59">
        <v>15.158405335758678</v>
      </c>
      <c r="H97" s="59"/>
      <c r="I97" s="59">
        <f t="shared" si="6"/>
        <v>15.158405335758678</v>
      </c>
      <c r="K97"/>
    </row>
    <row r="98" spans="1:11" hidden="1" outlineLevel="2">
      <c r="A98" s="137">
        <f t="shared" si="7"/>
        <v>45931</v>
      </c>
      <c r="B98" s="1" t="s">
        <v>204</v>
      </c>
      <c r="C98" s="346" t="s">
        <v>572</v>
      </c>
      <c r="D98" s="1" t="s">
        <v>899</v>
      </c>
      <c r="E98" s="1">
        <v>1816.9</v>
      </c>
      <c r="F98" s="59"/>
      <c r="G98" s="59">
        <v>15.158405335758678</v>
      </c>
      <c r="H98" s="59"/>
      <c r="I98" s="59">
        <f t="shared" si="6"/>
        <v>15.158405335758678</v>
      </c>
      <c r="K98"/>
    </row>
    <row r="99" spans="1:11" hidden="1" outlineLevel="2">
      <c r="A99" s="137">
        <f t="shared" si="7"/>
        <v>45931</v>
      </c>
      <c r="B99" s="1" t="s">
        <v>204</v>
      </c>
      <c r="C99" s="346" t="s">
        <v>573</v>
      </c>
      <c r="D99" s="1" t="s">
        <v>899</v>
      </c>
      <c r="E99" s="1">
        <v>1711.9999999999998</v>
      </c>
      <c r="F99" s="59"/>
      <c r="G99" s="59">
        <v>15.158405335758678</v>
      </c>
      <c r="H99" s="59"/>
      <c r="I99" s="59">
        <f t="shared" si="6"/>
        <v>15.158405335758678</v>
      </c>
      <c r="K99"/>
    </row>
    <row r="100" spans="1:11" hidden="1" outlineLevel="2">
      <c r="A100" s="137">
        <f t="shared" si="7"/>
        <v>45931</v>
      </c>
      <c r="B100" s="1" t="s">
        <v>204</v>
      </c>
      <c r="C100" s="346" t="s">
        <v>574</v>
      </c>
      <c r="D100" s="1" t="s">
        <v>899</v>
      </c>
      <c r="E100" s="1">
        <v>1439.1000000000001</v>
      </c>
      <c r="F100" s="59"/>
      <c r="G100" s="59">
        <v>15.158405335758678</v>
      </c>
      <c r="H100" s="59"/>
      <c r="I100" s="59">
        <f t="shared" si="6"/>
        <v>15.158405335758678</v>
      </c>
      <c r="K100"/>
    </row>
    <row r="101" spans="1:11" hidden="1" outlineLevel="2">
      <c r="A101" s="137">
        <f t="shared" si="7"/>
        <v>45931</v>
      </c>
      <c r="B101" s="1" t="s">
        <v>204</v>
      </c>
      <c r="C101" s="346" t="s">
        <v>575</v>
      </c>
      <c r="D101" s="1" t="s">
        <v>899</v>
      </c>
      <c r="E101" s="1">
        <v>2166.9</v>
      </c>
      <c r="F101" s="59"/>
      <c r="G101" s="59">
        <v>15.158405335758678</v>
      </c>
      <c r="H101" s="59"/>
      <c r="I101" s="59">
        <f t="shared" si="6"/>
        <v>15.158405335758678</v>
      </c>
      <c r="K101"/>
    </row>
    <row r="102" spans="1:11" hidden="1" outlineLevel="2">
      <c r="A102" s="137">
        <f t="shared" si="7"/>
        <v>45931</v>
      </c>
      <c r="B102" s="1" t="s">
        <v>204</v>
      </c>
      <c r="C102" s="346" t="s">
        <v>576</v>
      </c>
      <c r="D102" s="1" t="s">
        <v>899</v>
      </c>
      <c r="E102" s="1">
        <v>1548.9</v>
      </c>
      <c r="F102" s="59"/>
      <c r="G102" s="59">
        <v>15.158405335758678</v>
      </c>
      <c r="H102" s="59"/>
      <c r="I102" s="59">
        <f t="shared" si="6"/>
        <v>15.158405335758678</v>
      </c>
      <c r="K102"/>
    </row>
    <row r="103" spans="1:11" hidden="1" outlineLevel="2">
      <c r="A103" s="137">
        <f t="shared" si="7"/>
        <v>45931</v>
      </c>
      <c r="B103" s="1" t="s">
        <v>204</v>
      </c>
      <c r="C103" s="346" t="s">
        <v>577</v>
      </c>
      <c r="D103" s="1" t="s">
        <v>899</v>
      </c>
      <c r="E103" s="1">
        <v>1402.2</v>
      </c>
      <c r="F103" s="59"/>
      <c r="G103" s="59">
        <v>15.158405335758678</v>
      </c>
      <c r="H103" s="59"/>
      <c r="I103" s="59">
        <f t="shared" si="6"/>
        <v>15.158405335758678</v>
      </c>
      <c r="K103"/>
    </row>
    <row r="104" spans="1:11" hidden="1" outlineLevel="2">
      <c r="A104" s="137">
        <f t="shared" si="7"/>
        <v>45931</v>
      </c>
      <c r="B104" s="1" t="s">
        <v>204</v>
      </c>
      <c r="C104" s="346" t="s">
        <v>578</v>
      </c>
      <c r="D104" s="1" t="s">
        <v>899</v>
      </c>
      <c r="E104" s="1">
        <v>1347.1</v>
      </c>
      <c r="F104" s="59"/>
      <c r="G104" s="59">
        <v>15.158405335758678</v>
      </c>
      <c r="H104" s="59"/>
      <c r="I104" s="59">
        <f t="shared" si="6"/>
        <v>15.158405335758678</v>
      </c>
      <c r="K104"/>
    </row>
    <row r="105" spans="1:11" hidden="1" outlineLevel="2">
      <c r="A105" s="137">
        <f t="shared" si="7"/>
        <v>45931</v>
      </c>
      <c r="B105" s="1" t="s">
        <v>203</v>
      </c>
      <c r="C105" s="346" t="s">
        <v>579</v>
      </c>
      <c r="D105" s="1" t="s">
        <v>899</v>
      </c>
      <c r="E105" s="1">
        <v>1081.2</v>
      </c>
      <c r="F105" s="59"/>
      <c r="G105" s="59">
        <v>24.632408670607852</v>
      </c>
      <c r="H105" s="59"/>
      <c r="I105" s="59">
        <f t="shared" si="6"/>
        <v>24.632408670607852</v>
      </c>
      <c r="K105"/>
    </row>
    <row r="106" spans="1:11" hidden="1" outlineLevel="2">
      <c r="A106" s="137">
        <f t="shared" si="7"/>
        <v>45931</v>
      </c>
      <c r="B106" s="1" t="s">
        <v>204</v>
      </c>
      <c r="C106" s="346" t="s">
        <v>580</v>
      </c>
      <c r="D106" s="1" t="s">
        <v>899</v>
      </c>
      <c r="E106" s="1">
        <v>1920</v>
      </c>
      <c r="F106" s="59"/>
      <c r="G106" s="59">
        <v>15.158405335758678</v>
      </c>
      <c r="H106" s="59"/>
      <c r="I106" s="59">
        <f t="shared" si="6"/>
        <v>15.158405335758678</v>
      </c>
      <c r="K106"/>
    </row>
    <row r="107" spans="1:11" hidden="1" outlineLevel="2">
      <c r="A107" s="137">
        <f t="shared" si="7"/>
        <v>45931</v>
      </c>
      <c r="B107" s="1" t="s">
        <v>204</v>
      </c>
      <c r="C107" s="346" t="s">
        <v>581</v>
      </c>
      <c r="D107" s="1" t="s">
        <v>899</v>
      </c>
      <c r="E107" s="1">
        <v>1200.7</v>
      </c>
      <c r="F107" s="59"/>
      <c r="G107" s="59">
        <v>15.158405335758678</v>
      </c>
      <c r="H107" s="59"/>
      <c r="I107" s="59">
        <f t="shared" si="6"/>
        <v>15.158405335758678</v>
      </c>
      <c r="K107"/>
    </row>
    <row r="108" spans="1:11" hidden="1" outlineLevel="2">
      <c r="A108" s="137">
        <f t="shared" si="7"/>
        <v>45931</v>
      </c>
      <c r="B108" s="1" t="s">
        <v>204</v>
      </c>
      <c r="C108" s="346" t="s">
        <v>582</v>
      </c>
      <c r="D108" s="1" t="s">
        <v>899</v>
      </c>
      <c r="E108" s="1">
        <v>1469.3999999999999</v>
      </c>
      <c r="F108" s="59"/>
      <c r="G108" s="59">
        <v>29.483098378050631</v>
      </c>
      <c r="H108" s="59"/>
      <c r="I108" s="59">
        <f t="shared" si="6"/>
        <v>29.483098378050631</v>
      </c>
      <c r="K108"/>
    </row>
    <row r="109" spans="1:11" hidden="1" outlineLevel="2">
      <c r="A109" s="137">
        <f t="shared" si="7"/>
        <v>45931</v>
      </c>
      <c r="B109" s="1" t="s">
        <v>204</v>
      </c>
      <c r="C109" s="346" t="s">
        <v>583</v>
      </c>
      <c r="D109" s="1" t="s">
        <v>899</v>
      </c>
      <c r="E109" s="1">
        <v>1434.8</v>
      </c>
      <c r="F109" s="59"/>
      <c r="G109" s="59">
        <v>15.158405335758678</v>
      </c>
      <c r="H109" s="59"/>
      <c r="I109" s="59">
        <f t="shared" si="6"/>
        <v>15.158405335758678</v>
      </c>
      <c r="K109"/>
    </row>
    <row r="110" spans="1:11" hidden="1" outlineLevel="2">
      <c r="A110" s="137">
        <f t="shared" si="7"/>
        <v>45931</v>
      </c>
      <c r="B110" s="1" t="s">
        <v>205</v>
      </c>
      <c r="C110" s="346" t="s">
        <v>584</v>
      </c>
      <c r="D110" s="1" t="s">
        <v>899</v>
      </c>
      <c r="E110" s="1">
        <v>317.89999999999998</v>
      </c>
      <c r="F110" s="59"/>
      <c r="G110" s="59">
        <v>15.158405335758678</v>
      </c>
      <c r="H110" s="59"/>
      <c r="I110" s="59">
        <f t="shared" si="6"/>
        <v>15.158405335758678</v>
      </c>
      <c r="K110"/>
    </row>
    <row r="111" spans="1:11" hidden="1" outlineLevel="2">
      <c r="A111" s="137">
        <f t="shared" si="7"/>
        <v>45931</v>
      </c>
      <c r="B111" s="1" t="s">
        <v>204</v>
      </c>
      <c r="C111" s="346" t="s">
        <v>585</v>
      </c>
      <c r="D111" s="1" t="s">
        <v>899</v>
      </c>
      <c r="E111" s="1">
        <v>1708.8000000000004</v>
      </c>
      <c r="F111" s="59"/>
      <c r="G111" s="59">
        <v>15.158405335758678</v>
      </c>
      <c r="H111" s="59"/>
      <c r="I111" s="59">
        <f t="shared" si="6"/>
        <v>15.158405335758678</v>
      </c>
      <c r="K111"/>
    </row>
    <row r="112" spans="1:11" hidden="1" outlineLevel="2">
      <c r="A112" s="137">
        <f t="shared" si="7"/>
        <v>45931</v>
      </c>
      <c r="B112" s="1" t="s">
        <v>204</v>
      </c>
      <c r="C112" s="346" t="s">
        <v>586</v>
      </c>
      <c r="D112" s="1" t="s">
        <v>899</v>
      </c>
      <c r="E112" s="1">
        <v>1490.4000000000003</v>
      </c>
      <c r="F112" s="59"/>
      <c r="G112" s="59">
        <v>15.158405335758678</v>
      </c>
      <c r="H112" s="59"/>
      <c r="I112" s="59">
        <f t="shared" si="6"/>
        <v>15.158405335758678</v>
      </c>
      <c r="K112"/>
    </row>
    <row r="113" spans="1:11" hidden="1" outlineLevel="2">
      <c r="A113" s="137">
        <f t="shared" si="7"/>
        <v>45931</v>
      </c>
      <c r="B113" s="1" t="s">
        <v>203</v>
      </c>
      <c r="C113" s="346" t="s">
        <v>587</v>
      </c>
      <c r="D113" s="1" t="s">
        <v>899</v>
      </c>
      <c r="E113" s="1">
        <v>724.8</v>
      </c>
      <c r="F113" s="59"/>
      <c r="G113" s="59">
        <v>15.158405335758678</v>
      </c>
      <c r="H113" s="59"/>
      <c r="I113" s="59">
        <f t="shared" si="6"/>
        <v>15.158405335758678</v>
      </c>
      <c r="K113"/>
    </row>
    <row r="114" spans="1:11" hidden="1" outlineLevel="2">
      <c r="A114" s="137">
        <f t="shared" si="7"/>
        <v>45931</v>
      </c>
      <c r="B114" s="1" t="s">
        <v>204</v>
      </c>
      <c r="C114" s="346" t="s">
        <v>588</v>
      </c>
      <c r="D114" s="1" t="s">
        <v>899</v>
      </c>
      <c r="E114" s="1">
        <v>985.2</v>
      </c>
      <c r="F114" s="59"/>
      <c r="G114" s="59">
        <v>15.158405335758678</v>
      </c>
      <c r="H114" s="59"/>
      <c r="I114" s="59">
        <f t="shared" si="6"/>
        <v>15.158405335758678</v>
      </c>
      <c r="K114"/>
    </row>
    <row r="115" spans="1:11" hidden="1" outlineLevel="2">
      <c r="A115" s="137">
        <f t="shared" si="7"/>
        <v>45931</v>
      </c>
      <c r="B115" s="1" t="s">
        <v>594</v>
      </c>
      <c r="C115" s="346" t="s">
        <v>549</v>
      </c>
      <c r="D115" s="1" t="s">
        <v>498</v>
      </c>
      <c r="E115" s="1">
        <v>0.7</v>
      </c>
      <c r="F115" s="59"/>
      <c r="G115" s="59">
        <v>24.632408670607852</v>
      </c>
      <c r="H115" s="59"/>
      <c r="I115" s="59">
        <f t="shared" si="6"/>
        <v>24.632408670607852</v>
      </c>
      <c r="K115"/>
    </row>
    <row r="116" spans="1:11" hidden="1" outlineLevel="2">
      <c r="A116" s="137">
        <f t="shared" si="7"/>
        <v>45931</v>
      </c>
      <c r="B116" s="1" t="s">
        <v>204</v>
      </c>
      <c r="C116" s="346" t="s">
        <v>589</v>
      </c>
      <c r="D116" s="1" t="s">
        <v>899</v>
      </c>
      <c r="E116" s="1">
        <v>1800</v>
      </c>
      <c r="F116" s="59"/>
      <c r="G116" s="59">
        <v>15.158405335758678</v>
      </c>
      <c r="H116" s="59"/>
      <c r="I116" s="59">
        <f t="shared" si="6"/>
        <v>15.158405335758678</v>
      </c>
      <c r="K116"/>
    </row>
    <row r="117" spans="1:11" hidden="1" outlineLevel="2">
      <c r="A117" s="137">
        <f t="shared" si="7"/>
        <v>45931</v>
      </c>
      <c r="B117" s="1" t="s">
        <v>204</v>
      </c>
      <c r="C117" s="346" t="s">
        <v>590</v>
      </c>
      <c r="D117" s="1" t="s">
        <v>899</v>
      </c>
      <c r="E117" s="1">
        <v>1948.8</v>
      </c>
      <c r="F117" s="59"/>
      <c r="G117" s="59">
        <v>15.158405335758678</v>
      </c>
      <c r="H117" s="59"/>
      <c r="I117" s="59">
        <f t="shared" si="6"/>
        <v>15.158405335758678</v>
      </c>
      <c r="K117"/>
    </row>
    <row r="118" spans="1:11" hidden="1" outlineLevel="2">
      <c r="A118" s="137">
        <f t="shared" si="7"/>
        <v>45931</v>
      </c>
      <c r="B118" s="1" t="s">
        <v>204</v>
      </c>
      <c r="C118" s="346" t="s">
        <v>591</v>
      </c>
      <c r="D118" s="1" t="s">
        <v>899</v>
      </c>
      <c r="E118" s="1">
        <v>678</v>
      </c>
      <c r="F118" s="59"/>
      <c r="G118" s="59">
        <v>15.158405335758678</v>
      </c>
      <c r="H118" s="59"/>
      <c r="I118" s="59">
        <f t="shared" si="6"/>
        <v>15.158405335758678</v>
      </c>
      <c r="K118"/>
    </row>
    <row r="119" spans="1:11" hidden="1" outlineLevel="2">
      <c r="A119" s="137">
        <f t="shared" si="7"/>
        <v>45931</v>
      </c>
      <c r="B119" s="1" t="s">
        <v>204</v>
      </c>
      <c r="C119" s="346" t="s">
        <v>592</v>
      </c>
      <c r="D119" s="1" t="s">
        <v>899</v>
      </c>
      <c r="E119" s="1">
        <v>878.4</v>
      </c>
      <c r="F119" s="59"/>
      <c r="G119" s="59">
        <v>24.632408670607852</v>
      </c>
      <c r="H119" s="59"/>
      <c r="I119" s="59">
        <f t="shared" si="6"/>
        <v>24.632408670607852</v>
      </c>
      <c r="K119"/>
    </row>
    <row r="120" spans="1:11" outlineLevel="1" collapsed="1">
      <c r="A120" s="138" t="s">
        <v>891</v>
      </c>
      <c r="B120" s="1"/>
      <c r="C120" s="346"/>
      <c r="D120" s="1"/>
      <c r="E120" s="1">
        <f>SUBTOTAL(9,E80:E119)</f>
        <v>42619.100000000006</v>
      </c>
      <c r="F120" s="59">
        <f>SUBTOTAL(9,F80:F119)</f>
        <v>0</v>
      </c>
      <c r="G120" s="59">
        <f>SUBTOTAL(9,G80:G119)</f>
        <v>686.2210095497951</v>
      </c>
      <c r="H120" s="59">
        <f>SUBTOTAL(9,H80:H119)</f>
        <v>0</v>
      </c>
      <c r="I120" s="59">
        <f>SUBTOTAL(9,I80:I119)</f>
        <v>686.2210095497951</v>
      </c>
      <c r="K120"/>
    </row>
    <row r="121" spans="1:11" hidden="1" outlineLevel="2">
      <c r="A121" s="137">
        <v>45962</v>
      </c>
      <c r="B121" s="1" t="s">
        <v>204</v>
      </c>
      <c r="C121" s="346" t="s">
        <v>661</v>
      </c>
      <c r="D121" s="1" t="s">
        <v>899</v>
      </c>
      <c r="E121" s="1">
        <v>1034.4000000000001</v>
      </c>
      <c r="F121" s="59"/>
      <c r="G121" s="59">
        <v>15.146351622552917</v>
      </c>
      <c r="H121" s="59"/>
      <c r="I121" s="59">
        <f t="shared" ref="I121:I152" si="8">SUM(F121:H121)</f>
        <v>15.146351622552917</v>
      </c>
      <c r="K121"/>
    </row>
    <row r="122" spans="1:11" hidden="1" outlineLevel="2">
      <c r="A122" s="137">
        <f t="shared" ref="A122:A153" si="9">A121</f>
        <v>45962</v>
      </c>
      <c r="B122" s="1" t="s">
        <v>204</v>
      </c>
      <c r="C122" s="346" t="s">
        <v>662</v>
      </c>
      <c r="D122" s="1" t="s">
        <v>899</v>
      </c>
      <c r="E122" s="1">
        <v>493.20000000000005</v>
      </c>
      <c r="F122" s="59"/>
      <c r="G122" s="59">
        <v>37.865879056382298</v>
      </c>
      <c r="H122" s="59"/>
      <c r="I122" s="59">
        <f t="shared" si="8"/>
        <v>37.865879056382298</v>
      </c>
      <c r="K122"/>
    </row>
    <row r="123" spans="1:11" hidden="1" outlineLevel="2">
      <c r="A123" s="137">
        <f t="shared" si="9"/>
        <v>45962</v>
      </c>
      <c r="B123" s="1" t="s">
        <v>204</v>
      </c>
      <c r="C123" s="346" t="s">
        <v>663</v>
      </c>
      <c r="D123" s="1" t="s">
        <v>899</v>
      </c>
      <c r="E123" s="1">
        <v>866.40000000000009</v>
      </c>
      <c r="F123" s="59"/>
      <c r="G123" s="59">
        <v>37.865879056382298</v>
      </c>
      <c r="H123" s="59"/>
      <c r="I123" s="59">
        <f t="shared" si="8"/>
        <v>37.865879056382298</v>
      </c>
      <c r="K123"/>
    </row>
    <row r="124" spans="1:11" hidden="1" outlineLevel="2">
      <c r="A124" s="137">
        <f t="shared" si="9"/>
        <v>45962</v>
      </c>
      <c r="B124" s="1" t="s">
        <v>733</v>
      </c>
      <c r="C124" s="346" t="s">
        <v>664</v>
      </c>
      <c r="D124" s="1" t="s">
        <v>901</v>
      </c>
      <c r="E124" s="1">
        <v>351.2</v>
      </c>
      <c r="F124" s="59"/>
      <c r="G124" s="59">
        <v>24.612821386648491</v>
      </c>
      <c r="H124" s="59"/>
      <c r="I124" s="59">
        <f t="shared" si="8"/>
        <v>24.612821386648491</v>
      </c>
      <c r="K124"/>
    </row>
    <row r="125" spans="1:11" hidden="1" outlineLevel="2">
      <c r="A125" s="137">
        <f t="shared" si="9"/>
        <v>45962</v>
      </c>
      <c r="B125" s="1" t="s">
        <v>204</v>
      </c>
      <c r="C125" s="346" t="s">
        <v>665</v>
      </c>
      <c r="D125" s="1" t="s">
        <v>899</v>
      </c>
      <c r="E125" s="1">
        <v>844.5</v>
      </c>
      <c r="F125" s="59"/>
      <c r="G125" s="59">
        <v>37.865879056382298</v>
      </c>
      <c r="H125" s="59"/>
      <c r="I125" s="59">
        <f t="shared" si="8"/>
        <v>37.865879056382298</v>
      </c>
      <c r="K125"/>
    </row>
    <row r="126" spans="1:11" hidden="1" outlineLevel="2">
      <c r="A126" s="137">
        <f t="shared" si="9"/>
        <v>45962</v>
      </c>
      <c r="B126" s="1" t="s">
        <v>204</v>
      </c>
      <c r="C126" s="346" t="s">
        <v>666</v>
      </c>
      <c r="D126" s="1" t="s">
        <v>900</v>
      </c>
      <c r="E126" s="1">
        <v>106</v>
      </c>
      <c r="F126" s="59"/>
      <c r="G126" s="59">
        <v>37.865879056382298</v>
      </c>
      <c r="H126" s="59"/>
      <c r="I126" s="59">
        <f t="shared" si="8"/>
        <v>37.865879056382298</v>
      </c>
      <c r="K126"/>
    </row>
    <row r="127" spans="1:11" hidden="1" outlineLevel="2">
      <c r="A127" s="137">
        <f t="shared" si="9"/>
        <v>45962</v>
      </c>
      <c r="B127" s="1" t="s">
        <v>204</v>
      </c>
      <c r="C127" s="346" t="s">
        <v>667</v>
      </c>
      <c r="D127" s="1" t="s">
        <v>900</v>
      </c>
      <c r="E127" s="1">
        <v>106</v>
      </c>
      <c r="F127" s="59"/>
      <c r="G127" s="59">
        <v>37.865879056382298</v>
      </c>
      <c r="H127" s="59"/>
      <c r="I127" s="59">
        <f t="shared" si="8"/>
        <v>37.865879056382298</v>
      </c>
      <c r="K127"/>
    </row>
    <row r="128" spans="1:11" hidden="1" outlineLevel="2">
      <c r="A128" s="137">
        <f t="shared" si="9"/>
        <v>45962</v>
      </c>
      <c r="B128" s="1" t="s">
        <v>204</v>
      </c>
      <c r="C128" s="346" t="s">
        <v>668</v>
      </c>
      <c r="D128" s="1" t="s">
        <v>899</v>
      </c>
      <c r="E128" s="1">
        <v>376.8</v>
      </c>
      <c r="F128" s="59"/>
      <c r="G128" s="59">
        <v>15.146351622552917</v>
      </c>
      <c r="H128" s="59"/>
      <c r="I128" s="59">
        <f t="shared" si="8"/>
        <v>15.146351622552917</v>
      </c>
      <c r="K128"/>
    </row>
    <row r="129" spans="1:11" hidden="1" outlineLevel="2">
      <c r="A129" s="137">
        <f t="shared" si="9"/>
        <v>45962</v>
      </c>
      <c r="B129" s="1" t="s">
        <v>204</v>
      </c>
      <c r="C129" s="346" t="s">
        <v>669</v>
      </c>
      <c r="D129" s="1" t="s">
        <v>899</v>
      </c>
      <c r="E129" s="1">
        <v>657.6</v>
      </c>
      <c r="F129" s="59"/>
      <c r="G129" s="59">
        <v>15.146351622552917</v>
      </c>
      <c r="H129" s="59"/>
      <c r="I129" s="59">
        <f t="shared" si="8"/>
        <v>15.146351622552917</v>
      </c>
      <c r="K129"/>
    </row>
    <row r="130" spans="1:11" hidden="1" outlineLevel="2">
      <c r="A130" s="137">
        <f t="shared" si="9"/>
        <v>45962</v>
      </c>
      <c r="B130" s="1" t="s">
        <v>203</v>
      </c>
      <c r="C130" s="346" t="s">
        <v>670</v>
      </c>
      <c r="D130" s="1" t="s">
        <v>899</v>
      </c>
      <c r="E130" s="1">
        <v>724.8</v>
      </c>
      <c r="F130" s="59"/>
      <c r="G130" s="59">
        <v>15.146351622552917</v>
      </c>
      <c r="H130" s="59"/>
      <c r="I130" s="59">
        <f t="shared" si="8"/>
        <v>15.146351622552917</v>
      </c>
      <c r="K130"/>
    </row>
    <row r="131" spans="1:11" hidden="1" outlineLevel="2">
      <c r="A131" s="137">
        <f t="shared" si="9"/>
        <v>45962</v>
      </c>
      <c r="B131" s="1" t="s">
        <v>204</v>
      </c>
      <c r="C131" s="346" t="s">
        <v>671</v>
      </c>
      <c r="D131" s="1" t="s">
        <v>899</v>
      </c>
      <c r="E131" s="1">
        <v>879.59999999999991</v>
      </c>
      <c r="F131" s="59"/>
      <c r="G131" s="59">
        <v>15.146351622552917</v>
      </c>
      <c r="H131" s="59"/>
      <c r="I131" s="59">
        <f t="shared" si="8"/>
        <v>15.146351622552917</v>
      </c>
      <c r="K131"/>
    </row>
    <row r="132" spans="1:11" hidden="1" outlineLevel="2">
      <c r="A132" s="137">
        <f t="shared" si="9"/>
        <v>45962</v>
      </c>
      <c r="B132" s="1" t="s">
        <v>204</v>
      </c>
      <c r="C132" s="346" t="s">
        <v>672</v>
      </c>
      <c r="D132" s="1" t="s">
        <v>899</v>
      </c>
      <c r="E132" s="1">
        <v>997.8</v>
      </c>
      <c r="F132" s="59"/>
      <c r="G132" s="59">
        <v>15.146351622552917</v>
      </c>
      <c r="H132" s="59"/>
      <c r="I132" s="59">
        <f t="shared" si="8"/>
        <v>15.146351622552917</v>
      </c>
      <c r="K132"/>
    </row>
    <row r="133" spans="1:11" hidden="1" outlineLevel="2">
      <c r="A133" s="137">
        <f t="shared" si="9"/>
        <v>45962</v>
      </c>
      <c r="B133" s="1" t="s">
        <v>204</v>
      </c>
      <c r="C133" s="346" t="s">
        <v>673</v>
      </c>
      <c r="D133" s="1" t="s">
        <v>899</v>
      </c>
      <c r="E133" s="1">
        <v>974.4</v>
      </c>
      <c r="F133" s="59"/>
      <c r="G133" s="59">
        <v>15.146351622552917</v>
      </c>
      <c r="H133" s="59"/>
      <c r="I133" s="59">
        <f t="shared" si="8"/>
        <v>15.146351622552917</v>
      </c>
      <c r="K133"/>
    </row>
    <row r="134" spans="1:11" hidden="1" outlineLevel="2">
      <c r="A134" s="137">
        <f t="shared" si="9"/>
        <v>45962</v>
      </c>
      <c r="B134" s="1" t="s">
        <v>204</v>
      </c>
      <c r="C134" s="346" t="s">
        <v>674</v>
      </c>
      <c r="D134" s="1" t="s">
        <v>899</v>
      </c>
      <c r="E134" s="1">
        <v>1078</v>
      </c>
      <c r="F134" s="59"/>
      <c r="G134" s="59">
        <v>15.146351622552917</v>
      </c>
      <c r="H134" s="59"/>
      <c r="I134" s="59">
        <f t="shared" si="8"/>
        <v>15.146351622552917</v>
      </c>
      <c r="K134"/>
    </row>
    <row r="135" spans="1:11" hidden="1" outlineLevel="2">
      <c r="A135" s="137">
        <f t="shared" si="9"/>
        <v>45962</v>
      </c>
      <c r="B135" s="1" t="s">
        <v>204</v>
      </c>
      <c r="C135" s="346" t="s">
        <v>675</v>
      </c>
      <c r="D135" s="1" t="s">
        <v>899</v>
      </c>
      <c r="E135" s="1">
        <v>1527.6000000000001</v>
      </c>
      <c r="F135" s="59"/>
      <c r="G135" s="59">
        <v>15.146351622552917</v>
      </c>
      <c r="H135" s="59"/>
      <c r="I135" s="59">
        <f t="shared" si="8"/>
        <v>15.146351622552917</v>
      </c>
      <c r="K135"/>
    </row>
    <row r="136" spans="1:11" hidden="1" outlineLevel="2">
      <c r="A136" s="137">
        <f t="shared" si="9"/>
        <v>45962</v>
      </c>
      <c r="B136" s="1" t="s">
        <v>204</v>
      </c>
      <c r="C136" s="346" t="s">
        <v>676</v>
      </c>
      <c r="D136" s="1" t="s">
        <v>899</v>
      </c>
      <c r="E136" s="1">
        <v>1369.2</v>
      </c>
      <c r="F136" s="59"/>
      <c r="G136" s="59">
        <v>15.975879435041085</v>
      </c>
      <c r="H136" s="59"/>
      <c r="I136" s="59">
        <f t="shared" si="8"/>
        <v>15.975879435041085</v>
      </c>
      <c r="K136"/>
    </row>
    <row r="137" spans="1:11" hidden="1" outlineLevel="2">
      <c r="A137" s="137">
        <f t="shared" si="9"/>
        <v>45962</v>
      </c>
      <c r="B137" s="1" t="s">
        <v>203</v>
      </c>
      <c r="C137" s="346" t="s">
        <v>677</v>
      </c>
      <c r="D137" s="1" t="s">
        <v>899</v>
      </c>
      <c r="E137" s="1">
        <v>1268.4000000000001</v>
      </c>
      <c r="F137" s="59"/>
      <c r="G137" s="59">
        <v>15.146351622552917</v>
      </c>
      <c r="H137" s="59"/>
      <c r="I137" s="59">
        <f t="shared" si="8"/>
        <v>15.146351622552917</v>
      </c>
      <c r="K137"/>
    </row>
    <row r="138" spans="1:11" hidden="1" outlineLevel="2">
      <c r="A138" s="137">
        <f t="shared" si="9"/>
        <v>45962</v>
      </c>
      <c r="B138" s="1" t="s">
        <v>204</v>
      </c>
      <c r="C138" s="346" t="s">
        <v>678</v>
      </c>
      <c r="D138" s="1" t="s">
        <v>899</v>
      </c>
      <c r="E138" s="1">
        <v>805.8</v>
      </c>
      <c r="F138" s="59"/>
      <c r="G138" s="59">
        <v>15.146351622552917</v>
      </c>
      <c r="H138" s="59"/>
      <c r="I138" s="59">
        <f t="shared" si="8"/>
        <v>15.146351622552917</v>
      </c>
      <c r="K138"/>
    </row>
    <row r="139" spans="1:11" hidden="1" outlineLevel="2">
      <c r="A139" s="137">
        <f t="shared" si="9"/>
        <v>45962</v>
      </c>
      <c r="B139" s="1" t="s">
        <v>204</v>
      </c>
      <c r="C139" s="346" t="s">
        <v>679</v>
      </c>
      <c r="D139" s="1" t="s">
        <v>900</v>
      </c>
      <c r="E139" s="1">
        <v>53</v>
      </c>
      <c r="F139" s="59"/>
      <c r="G139" s="59">
        <v>37.865879056382298</v>
      </c>
      <c r="H139" s="59"/>
      <c r="I139" s="59">
        <f t="shared" si="8"/>
        <v>37.865879056382298</v>
      </c>
      <c r="K139"/>
    </row>
    <row r="140" spans="1:11" hidden="1" outlineLevel="2">
      <c r="A140" s="137">
        <f t="shared" si="9"/>
        <v>45962</v>
      </c>
      <c r="B140" s="1" t="s">
        <v>204</v>
      </c>
      <c r="C140" s="346" t="s">
        <v>680</v>
      </c>
      <c r="D140" s="1" t="s">
        <v>899</v>
      </c>
      <c r="E140" s="1">
        <v>1075.2</v>
      </c>
      <c r="F140" s="59"/>
      <c r="G140" s="59">
        <v>15.146351622552917</v>
      </c>
      <c r="H140" s="59"/>
      <c r="I140" s="59">
        <f t="shared" si="8"/>
        <v>15.146351622552917</v>
      </c>
      <c r="K140"/>
    </row>
    <row r="141" spans="1:11" hidden="1" outlineLevel="2">
      <c r="A141" s="137">
        <f t="shared" si="9"/>
        <v>45962</v>
      </c>
      <c r="B141" s="1" t="s">
        <v>204</v>
      </c>
      <c r="C141" s="346" t="s">
        <v>681</v>
      </c>
      <c r="D141" s="1" t="s">
        <v>900</v>
      </c>
      <c r="E141" s="1">
        <v>159</v>
      </c>
      <c r="F141" s="59"/>
      <c r="G141" s="59">
        <v>15.146351622552917</v>
      </c>
      <c r="H141" s="59"/>
      <c r="I141" s="59">
        <f t="shared" si="8"/>
        <v>15.146351622552917</v>
      </c>
      <c r="K141"/>
    </row>
    <row r="142" spans="1:11" hidden="1" outlineLevel="2">
      <c r="A142" s="137">
        <f t="shared" si="9"/>
        <v>45962</v>
      </c>
      <c r="B142" s="1" t="s">
        <v>204</v>
      </c>
      <c r="C142" s="346" t="s">
        <v>682</v>
      </c>
      <c r="D142" s="1" t="s">
        <v>900</v>
      </c>
      <c r="E142" s="1">
        <v>127.2</v>
      </c>
      <c r="F142" s="59"/>
      <c r="G142" s="59">
        <v>15.146351622552917</v>
      </c>
      <c r="H142" s="59"/>
      <c r="I142" s="59">
        <f t="shared" si="8"/>
        <v>15.146351622552917</v>
      </c>
      <c r="K142"/>
    </row>
    <row r="143" spans="1:11" hidden="1" outlineLevel="2">
      <c r="A143" s="137">
        <f t="shared" si="9"/>
        <v>45962</v>
      </c>
      <c r="B143" s="1" t="s">
        <v>204</v>
      </c>
      <c r="C143" s="346" t="s">
        <v>683</v>
      </c>
      <c r="D143" s="1" t="s">
        <v>900</v>
      </c>
      <c r="E143" s="1">
        <v>124.8</v>
      </c>
      <c r="F143" s="59"/>
      <c r="G143" s="59">
        <v>15.146351622552917</v>
      </c>
      <c r="H143" s="59"/>
      <c r="I143" s="59">
        <f t="shared" si="8"/>
        <v>15.146351622552917</v>
      </c>
      <c r="K143"/>
    </row>
    <row r="144" spans="1:11" hidden="1" outlineLevel="2">
      <c r="A144" s="137">
        <f t="shared" si="9"/>
        <v>45962</v>
      </c>
      <c r="B144" s="1" t="s">
        <v>204</v>
      </c>
      <c r="C144" s="346" t="s">
        <v>684</v>
      </c>
      <c r="D144" s="1" t="s">
        <v>899</v>
      </c>
      <c r="E144" s="1">
        <v>1363.2000000000003</v>
      </c>
      <c r="F144" s="59"/>
      <c r="G144" s="59">
        <v>15.146351622552917</v>
      </c>
      <c r="H144" s="59"/>
      <c r="I144" s="59">
        <f t="shared" si="8"/>
        <v>15.146351622552917</v>
      </c>
      <c r="K144"/>
    </row>
    <row r="145" spans="1:11" hidden="1" outlineLevel="2">
      <c r="A145" s="137">
        <f t="shared" si="9"/>
        <v>45962</v>
      </c>
      <c r="B145" s="1" t="s">
        <v>204</v>
      </c>
      <c r="C145" s="346" t="s">
        <v>685</v>
      </c>
      <c r="D145" s="1" t="s">
        <v>899</v>
      </c>
      <c r="E145" s="1">
        <v>1248.1000000000001</v>
      </c>
      <c r="F145" s="59"/>
      <c r="G145" s="59">
        <v>15.146351622552917</v>
      </c>
      <c r="H145" s="59"/>
      <c r="I145" s="59">
        <f t="shared" si="8"/>
        <v>15.146351622552917</v>
      </c>
      <c r="K145"/>
    </row>
    <row r="146" spans="1:11" hidden="1" outlineLevel="2">
      <c r="A146" s="137">
        <f t="shared" si="9"/>
        <v>45962</v>
      </c>
      <c r="B146" s="1" t="s">
        <v>204</v>
      </c>
      <c r="C146" s="346" t="s">
        <v>686</v>
      </c>
      <c r="D146" s="1" t="s">
        <v>900</v>
      </c>
      <c r="E146" s="1">
        <v>127.19999999999999</v>
      </c>
      <c r="F146" s="59"/>
      <c r="G146" s="59">
        <v>15.146351622552917</v>
      </c>
      <c r="H146" s="59"/>
      <c r="I146" s="59">
        <f t="shared" si="8"/>
        <v>15.146351622552917</v>
      </c>
      <c r="K146"/>
    </row>
    <row r="147" spans="1:11" hidden="1" outlineLevel="2">
      <c r="A147" s="137">
        <f t="shared" si="9"/>
        <v>45962</v>
      </c>
      <c r="B147" s="1" t="s">
        <v>204</v>
      </c>
      <c r="C147" s="346" t="s">
        <v>687</v>
      </c>
      <c r="D147" s="1" t="s">
        <v>900</v>
      </c>
      <c r="E147" s="1">
        <v>135.6</v>
      </c>
      <c r="F147" s="59"/>
      <c r="G147" s="59">
        <v>15.146351622552917</v>
      </c>
      <c r="H147" s="59"/>
      <c r="I147" s="59">
        <f t="shared" si="8"/>
        <v>15.146351622552917</v>
      </c>
      <c r="K147"/>
    </row>
    <row r="148" spans="1:11" hidden="1" outlineLevel="2">
      <c r="A148" s="137">
        <f t="shared" si="9"/>
        <v>45962</v>
      </c>
      <c r="B148" s="1" t="s">
        <v>204</v>
      </c>
      <c r="C148" s="346" t="s">
        <v>688</v>
      </c>
      <c r="D148" s="1" t="s">
        <v>900</v>
      </c>
      <c r="E148" s="1">
        <v>124.80000000000001</v>
      </c>
      <c r="F148" s="59"/>
      <c r="G148" s="59">
        <v>15.146351622552917</v>
      </c>
      <c r="H148" s="59"/>
      <c r="I148" s="59">
        <f t="shared" si="8"/>
        <v>15.146351622552917</v>
      </c>
      <c r="K148"/>
    </row>
    <row r="149" spans="1:11" hidden="1" outlineLevel="2">
      <c r="A149" s="137">
        <f t="shared" si="9"/>
        <v>45962</v>
      </c>
      <c r="B149" s="1" t="s">
        <v>204</v>
      </c>
      <c r="C149" s="346" t="s">
        <v>689</v>
      </c>
      <c r="D149" s="1" t="s">
        <v>899</v>
      </c>
      <c r="E149" s="1">
        <v>450.6</v>
      </c>
      <c r="F149" s="59"/>
      <c r="G149" s="59">
        <v>15.146351622552917</v>
      </c>
      <c r="H149" s="59"/>
      <c r="I149" s="59">
        <f t="shared" si="8"/>
        <v>15.146351622552917</v>
      </c>
      <c r="K149"/>
    </row>
    <row r="150" spans="1:11" hidden="1" outlineLevel="2">
      <c r="A150" s="137">
        <f t="shared" si="9"/>
        <v>45962</v>
      </c>
      <c r="B150" s="1" t="s">
        <v>204</v>
      </c>
      <c r="C150" s="346" t="s">
        <v>690</v>
      </c>
      <c r="D150" s="1" t="s">
        <v>899</v>
      </c>
      <c r="E150" s="1">
        <v>851.4</v>
      </c>
      <c r="F150" s="59"/>
      <c r="G150" s="59">
        <v>15.146351622552917</v>
      </c>
      <c r="H150" s="59"/>
      <c r="I150" s="59">
        <f t="shared" si="8"/>
        <v>15.146351622552917</v>
      </c>
      <c r="K150"/>
    </row>
    <row r="151" spans="1:11" hidden="1" outlineLevel="2">
      <c r="A151" s="137">
        <f t="shared" si="9"/>
        <v>45962</v>
      </c>
      <c r="B151" s="1" t="s">
        <v>204</v>
      </c>
      <c r="C151" s="346" t="s">
        <v>691</v>
      </c>
      <c r="D151" s="1" t="s">
        <v>900</v>
      </c>
      <c r="E151" s="1">
        <v>97</v>
      </c>
      <c r="F151" s="59"/>
      <c r="G151" s="59">
        <v>15.146351622552917</v>
      </c>
      <c r="H151" s="59"/>
      <c r="I151" s="59">
        <f t="shared" si="8"/>
        <v>15.146351622552917</v>
      </c>
      <c r="K151"/>
    </row>
    <row r="152" spans="1:11" hidden="1" outlineLevel="2">
      <c r="A152" s="137">
        <f t="shared" si="9"/>
        <v>45962</v>
      </c>
      <c r="B152" s="1" t="s">
        <v>204</v>
      </c>
      <c r="C152" s="346" t="s">
        <v>692</v>
      </c>
      <c r="D152" s="1" t="s">
        <v>900</v>
      </c>
      <c r="E152" s="1">
        <v>168.79999999999998</v>
      </c>
      <c r="F152" s="59"/>
      <c r="G152" s="59">
        <v>15.146351622552917</v>
      </c>
      <c r="H152" s="59"/>
      <c r="I152" s="59">
        <f t="shared" si="8"/>
        <v>15.146351622552917</v>
      </c>
      <c r="K152"/>
    </row>
    <row r="153" spans="1:11" hidden="1" outlineLevel="2">
      <c r="A153" s="137">
        <f t="shared" si="9"/>
        <v>45962</v>
      </c>
      <c r="B153" s="1" t="s">
        <v>204</v>
      </c>
      <c r="C153" s="346" t="s">
        <v>693</v>
      </c>
      <c r="D153" s="1" t="s">
        <v>900</v>
      </c>
      <c r="E153" s="1">
        <v>165.6</v>
      </c>
      <c r="F153" s="59"/>
      <c r="G153" s="59">
        <v>15.146351622552917</v>
      </c>
      <c r="H153" s="59"/>
      <c r="I153" s="59">
        <f t="shared" ref="I153:I184" si="10">SUM(F153:H153)</f>
        <v>15.146351622552917</v>
      </c>
      <c r="K153"/>
    </row>
    <row r="154" spans="1:11" hidden="1" outlineLevel="2">
      <c r="A154" s="137">
        <f t="shared" ref="A154:A185" si="11">A153</f>
        <v>45962</v>
      </c>
      <c r="B154" s="1" t="s">
        <v>204</v>
      </c>
      <c r="C154" s="346" t="s">
        <v>694</v>
      </c>
      <c r="D154" s="1" t="s">
        <v>899</v>
      </c>
      <c r="E154" s="1">
        <v>472.2</v>
      </c>
      <c r="F154" s="59"/>
      <c r="G154" s="59">
        <v>15.146351622552917</v>
      </c>
      <c r="H154" s="59"/>
      <c r="I154" s="59">
        <f t="shared" si="10"/>
        <v>15.146351622552917</v>
      </c>
      <c r="K154"/>
    </row>
    <row r="155" spans="1:11" hidden="1" outlineLevel="2">
      <c r="A155" s="137">
        <f t="shared" si="11"/>
        <v>45962</v>
      </c>
      <c r="B155" s="1" t="s">
        <v>204</v>
      </c>
      <c r="C155" s="346" t="s">
        <v>695</v>
      </c>
      <c r="D155" s="1" t="s">
        <v>899</v>
      </c>
      <c r="E155" s="1">
        <v>472.2</v>
      </c>
      <c r="F155" s="59"/>
      <c r="G155" s="59">
        <v>15.146351622552917</v>
      </c>
      <c r="H155" s="59"/>
      <c r="I155" s="59">
        <f t="shared" si="10"/>
        <v>15.146351622552917</v>
      </c>
      <c r="K155"/>
    </row>
    <row r="156" spans="1:11" hidden="1" outlineLevel="2">
      <c r="A156" s="137">
        <f t="shared" si="11"/>
        <v>45962</v>
      </c>
      <c r="B156" s="1" t="s">
        <v>204</v>
      </c>
      <c r="C156" s="346" t="s">
        <v>696</v>
      </c>
      <c r="D156" s="1" t="s">
        <v>899</v>
      </c>
      <c r="E156" s="1">
        <v>1276.7999999999997</v>
      </c>
      <c r="F156" s="59"/>
      <c r="G156" s="59">
        <v>37.865879056382298</v>
      </c>
      <c r="H156" s="59"/>
      <c r="I156" s="59">
        <f t="shared" si="10"/>
        <v>37.865879056382298</v>
      </c>
      <c r="K156"/>
    </row>
    <row r="157" spans="1:11" hidden="1" outlineLevel="2">
      <c r="A157" s="137">
        <f t="shared" si="11"/>
        <v>45962</v>
      </c>
      <c r="B157" s="1" t="s">
        <v>204</v>
      </c>
      <c r="C157" s="346" t="s">
        <v>697</v>
      </c>
      <c r="D157" s="1" t="s">
        <v>902</v>
      </c>
      <c r="E157" s="1">
        <v>212</v>
      </c>
      <c r="F157" s="59"/>
      <c r="G157" s="59">
        <v>15.146351622552917</v>
      </c>
      <c r="H157" s="59"/>
      <c r="I157" s="59">
        <f t="shared" si="10"/>
        <v>15.146351622552917</v>
      </c>
      <c r="K157"/>
    </row>
    <row r="158" spans="1:11" hidden="1" outlineLevel="2">
      <c r="A158" s="137">
        <f t="shared" si="11"/>
        <v>45962</v>
      </c>
      <c r="B158" s="1" t="s">
        <v>204</v>
      </c>
      <c r="C158" s="346" t="s">
        <v>698</v>
      </c>
      <c r="D158" s="1" t="s">
        <v>902</v>
      </c>
      <c r="E158" s="1">
        <v>208</v>
      </c>
      <c r="F158" s="59"/>
      <c r="G158" s="59">
        <v>15.146351622552917</v>
      </c>
      <c r="H158" s="59"/>
      <c r="I158" s="59">
        <f t="shared" si="10"/>
        <v>15.146351622552917</v>
      </c>
      <c r="K158"/>
    </row>
    <row r="159" spans="1:11" hidden="1" outlineLevel="2">
      <c r="A159" s="137">
        <f t="shared" si="11"/>
        <v>45962</v>
      </c>
      <c r="B159" s="1" t="s">
        <v>204</v>
      </c>
      <c r="C159" s="346" t="s">
        <v>699</v>
      </c>
      <c r="D159" s="1" t="s">
        <v>902</v>
      </c>
      <c r="E159" s="1">
        <v>226</v>
      </c>
      <c r="F159" s="59"/>
      <c r="G159" s="59">
        <v>15.146351622552917</v>
      </c>
      <c r="H159" s="59"/>
      <c r="I159" s="59">
        <f t="shared" si="10"/>
        <v>15.146351622552917</v>
      </c>
      <c r="K159"/>
    </row>
    <row r="160" spans="1:11" hidden="1" outlineLevel="2">
      <c r="A160" s="137">
        <f t="shared" si="11"/>
        <v>45962</v>
      </c>
      <c r="B160" s="1" t="s">
        <v>204</v>
      </c>
      <c r="C160" s="346" t="s">
        <v>700</v>
      </c>
      <c r="D160" s="1" t="s">
        <v>899</v>
      </c>
      <c r="E160" s="1">
        <v>1722.6</v>
      </c>
      <c r="F160" s="59"/>
      <c r="G160" s="59">
        <v>16.190010981104926</v>
      </c>
      <c r="H160" s="59"/>
      <c r="I160" s="59">
        <f t="shared" si="10"/>
        <v>16.190010981104926</v>
      </c>
      <c r="K160"/>
    </row>
    <row r="161" spans="1:11" hidden="1" outlineLevel="2">
      <c r="A161" s="137">
        <f t="shared" si="11"/>
        <v>45962</v>
      </c>
      <c r="B161" s="1" t="s">
        <v>204</v>
      </c>
      <c r="C161" s="346" t="s">
        <v>701</v>
      </c>
      <c r="D161" s="1" t="s">
        <v>899</v>
      </c>
      <c r="E161" s="1">
        <v>1191.5999999999999</v>
      </c>
      <c r="F161" s="59"/>
      <c r="G161" s="59">
        <v>15.146351622552917</v>
      </c>
      <c r="H161" s="59"/>
      <c r="I161" s="59">
        <f t="shared" si="10"/>
        <v>15.146351622552917</v>
      </c>
      <c r="K161"/>
    </row>
    <row r="162" spans="1:11" hidden="1" outlineLevel="2">
      <c r="A162" s="137">
        <f t="shared" si="11"/>
        <v>45962</v>
      </c>
      <c r="B162" s="1" t="s">
        <v>204</v>
      </c>
      <c r="C162" s="346" t="s">
        <v>702</v>
      </c>
      <c r="D162" s="1" t="s">
        <v>902</v>
      </c>
      <c r="E162" s="1">
        <v>147.6</v>
      </c>
      <c r="F162" s="59"/>
      <c r="G162" s="59">
        <v>15.146351622552917</v>
      </c>
      <c r="H162" s="59"/>
      <c r="I162" s="59">
        <f t="shared" si="10"/>
        <v>15.146351622552917</v>
      </c>
      <c r="K162"/>
    </row>
    <row r="163" spans="1:11" hidden="1" outlineLevel="2">
      <c r="A163" s="137">
        <f t="shared" si="11"/>
        <v>45962</v>
      </c>
      <c r="B163" s="1" t="s">
        <v>204</v>
      </c>
      <c r="C163" s="346" t="s">
        <v>703</v>
      </c>
      <c r="D163" s="1" t="s">
        <v>902</v>
      </c>
      <c r="E163" s="1">
        <v>167.4</v>
      </c>
      <c r="F163" s="59"/>
      <c r="G163" s="59">
        <v>15.146351622552917</v>
      </c>
      <c r="H163" s="59"/>
      <c r="I163" s="59">
        <f t="shared" si="10"/>
        <v>15.146351622552917</v>
      </c>
      <c r="K163"/>
    </row>
    <row r="164" spans="1:11" hidden="1" outlineLevel="2">
      <c r="A164" s="137">
        <f t="shared" si="11"/>
        <v>45962</v>
      </c>
      <c r="B164" s="1" t="s">
        <v>204</v>
      </c>
      <c r="C164" s="346" t="s">
        <v>704</v>
      </c>
      <c r="D164" s="1" t="s">
        <v>902</v>
      </c>
      <c r="E164" s="1">
        <v>189</v>
      </c>
      <c r="F164" s="59"/>
      <c r="G164" s="59">
        <v>15.146351622552917</v>
      </c>
      <c r="H164" s="59"/>
      <c r="I164" s="59">
        <f t="shared" si="10"/>
        <v>15.146351622552917</v>
      </c>
      <c r="K164"/>
    </row>
    <row r="165" spans="1:11" hidden="1" outlineLevel="2">
      <c r="A165" s="137">
        <f t="shared" si="11"/>
        <v>45962</v>
      </c>
      <c r="B165" s="1" t="s">
        <v>204</v>
      </c>
      <c r="C165" s="346" t="s">
        <v>705</v>
      </c>
      <c r="D165" s="1" t="s">
        <v>902</v>
      </c>
      <c r="E165" s="1">
        <v>190.79999999999998</v>
      </c>
      <c r="F165" s="59"/>
      <c r="G165" s="59">
        <v>15.146351622552917</v>
      </c>
      <c r="H165" s="59"/>
      <c r="I165" s="59">
        <f t="shared" si="10"/>
        <v>15.146351622552917</v>
      </c>
      <c r="K165"/>
    </row>
    <row r="166" spans="1:11" hidden="1" outlineLevel="2">
      <c r="A166" s="137">
        <f t="shared" si="11"/>
        <v>45962</v>
      </c>
      <c r="B166" s="1" t="s">
        <v>204</v>
      </c>
      <c r="C166" s="346" t="s">
        <v>706</v>
      </c>
      <c r="D166" s="1" t="s">
        <v>902</v>
      </c>
      <c r="E166" s="1">
        <v>187.20000000000002</v>
      </c>
      <c r="F166" s="59"/>
      <c r="G166" s="59">
        <v>15.146351622552917</v>
      </c>
      <c r="H166" s="59"/>
      <c r="I166" s="59">
        <f t="shared" si="10"/>
        <v>15.146351622552917</v>
      </c>
      <c r="K166"/>
    </row>
    <row r="167" spans="1:11" hidden="1" outlineLevel="2">
      <c r="A167" s="137">
        <f t="shared" si="11"/>
        <v>45962</v>
      </c>
      <c r="B167" s="1" t="s">
        <v>204</v>
      </c>
      <c r="C167" s="346" t="s">
        <v>707</v>
      </c>
      <c r="D167" s="1" t="s">
        <v>902</v>
      </c>
      <c r="E167" s="1">
        <v>189</v>
      </c>
      <c r="F167" s="59"/>
      <c r="G167" s="59">
        <v>15.146351622552917</v>
      </c>
      <c r="H167" s="59"/>
      <c r="I167" s="59">
        <f t="shared" si="10"/>
        <v>15.146351622552917</v>
      </c>
      <c r="K167"/>
    </row>
    <row r="168" spans="1:11" hidden="1" outlineLevel="2">
      <c r="A168" s="137">
        <f t="shared" si="11"/>
        <v>45962</v>
      </c>
      <c r="B168" s="1" t="s">
        <v>203</v>
      </c>
      <c r="C168" s="346" t="s">
        <v>708</v>
      </c>
      <c r="D168" s="1" t="s">
        <v>899</v>
      </c>
      <c r="E168" s="1">
        <v>846</v>
      </c>
      <c r="F168" s="59"/>
      <c r="G168" s="59">
        <v>15.146351622552917</v>
      </c>
      <c r="H168" s="59"/>
      <c r="I168" s="59">
        <f t="shared" si="10"/>
        <v>15.146351622552917</v>
      </c>
      <c r="K168"/>
    </row>
    <row r="169" spans="1:11" hidden="1" outlineLevel="2">
      <c r="A169" s="137">
        <f t="shared" si="11"/>
        <v>45962</v>
      </c>
      <c r="B169" s="1" t="s">
        <v>204</v>
      </c>
      <c r="C169" s="346" t="s">
        <v>709</v>
      </c>
      <c r="D169" s="1" t="s">
        <v>902</v>
      </c>
      <c r="E169" s="1">
        <v>189</v>
      </c>
      <c r="F169" s="59"/>
      <c r="G169" s="59">
        <v>15.146351622552917</v>
      </c>
      <c r="H169" s="59"/>
      <c r="I169" s="59">
        <f t="shared" si="10"/>
        <v>15.146351622552917</v>
      </c>
      <c r="K169"/>
    </row>
    <row r="170" spans="1:11" hidden="1" outlineLevel="2">
      <c r="A170" s="137">
        <f t="shared" si="11"/>
        <v>45962</v>
      </c>
      <c r="B170" s="1" t="s">
        <v>204</v>
      </c>
      <c r="C170" s="346" t="s">
        <v>710</v>
      </c>
      <c r="D170" s="1" t="s">
        <v>902</v>
      </c>
      <c r="E170" s="1">
        <v>189</v>
      </c>
      <c r="F170" s="59"/>
      <c r="G170" s="59">
        <v>15.146351622552917</v>
      </c>
      <c r="H170" s="59"/>
      <c r="I170" s="59">
        <f t="shared" si="10"/>
        <v>15.146351622552917</v>
      </c>
      <c r="K170"/>
    </row>
    <row r="171" spans="1:11" hidden="1" outlineLevel="2">
      <c r="A171" s="137">
        <f t="shared" si="11"/>
        <v>45962</v>
      </c>
      <c r="B171" s="1" t="s">
        <v>204</v>
      </c>
      <c r="C171" s="346" t="s">
        <v>711</v>
      </c>
      <c r="D171" s="1" t="s">
        <v>899</v>
      </c>
      <c r="E171" s="1">
        <v>1219.2</v>
      </c>
      <c r="F171" s="59"/>
      <c r="G171" s="59">
        <v>15.146351622552917</v>
      </c>
      <c r="H171" s="59"/>
      <c r="I171" s="59">
        <f t="shared" si="10"/>
        <v>15.146351622552917</v>
      </c>
      <c r="K171"/>
    </row>
    <row r="172" spans="1:11" hidden="1" outlineLevel="2">
      <c r="A172" s="137">
        <f t="shared" si="11"/>
        <v>45962</v>
      </c>
      <c r="B172" s="1" t="s">
        <v>204</v>
      </c>
      <c r="C172" s="346" t="s">
        <v>712</v>
      </c>
      <c r="D172" s="1" t="s">
        <v>899</v>
      </c>
      <c r="E172" s="1">
        <v>1219.2</v>
      </c>
      <c r="F172" s="59"/>
      <c r="G172" s="59">
        <v>15.146351622552917</v>
      </c>
      <c r="H172" s="59"/>
      <c r="I172" s="59">
        <f t="shared" si="10"/>
        <v>15.146351622552917</v>
      </c>
      <c r="K172"/>
    </row>
    <row r="173" spans="1:11" hidden="1" outlineLevel="2">
      <c r="A173" s="137">
        <f t="shared" si="11"/>
        <v>45962</v>
      </c>
      <c r="B173" s="1" t="s">
        <v>204</v>
      </c>
      <c r="C173" s="346" t="s">
        <v>713</v>
      </c>
      <c r="D173" s="1" t="s">
        <v>899</v>
      </c>
      <c r="E173" s="1">
        <v>1350.7999999999997</v>
      </c>
      <c r="F173" s="59"/>
      <c r="G173" s="59">
        <v>15.146351622552917</v>
      </c>
      <c r="H173" s="59"/>
      <c r="I173" s="59">
        <f t="shared" si="10"/>
        <v>15.146351622552917</v>
      </c>
      <c r="K173"/>
    </row>
    <row r="174" spans="1:11" hidden="1" outlineLevel="2">
      <c r="A174" s="137">
        <f t="shared" si="11"/>
        <v>45962</v>
      </c>
      <c r="B174" s="1" t="s">
        <v>204</v>
      </c>
      <c r="C174" s="346" t="s">
        <v>714</v>
      </c>
      <c r="D174" s="1" t="s">
        <v>902</v>
      </c>
      <c r="E174" s="1">
        <v>189</v>
      </c>
      <c r="F174" s="59"/>
      <c r="G174" s="59">
        <v>37.865879056382298</v>
      </c>
      <c r="H174" s="59"/>
      <c r="I174" s="59">
        <f t="shared" si="10"/>
        <v>37.865879056382298</v>
      </c>
      <c r="K174"/>
    </row>
    <row r="175" spans="1:11" hidden="1" outlineLevel="2">
      <c r="A175" s="137">
        <f t="shared" si="11"/>
        <v>45962</v>
      </c>
      <c r="B175" s="1" t="s">
        <v>204</v>
      </c>
      <c r="C175" s="346" t="s">
        <v>715</v>
      </c>
      <c r="D175" s="1" t="s">
        <v>902</v>
      </c>
      <c r="E175" s="1">
        <v>189</v>
      </c>
      <c r="F175" s="59"/>
      <c r="G175" s="59">
        <v>37.865879056382298</v>
      </c>
      <c r="H175" s="59"/>
      <c r="I175" s="59">
        <f t="shared" si="10"/>
        <v>37.865879056382298</v>
      </c>
      <c r="K175"/>
    </row>
    <row r="176" spans="1:11" hidden="1" outlineLevel="2">
      <c r="A176" s="137">
        <f t="shared" si="11"/>
        <v>45962</v>
      </c>
      <c r="B176" s="1" t="s">
        <v>204</v>
      </c>
      <c r="C176" s="346" t="s">
        <v>716</v>
      </c>
      <c r="D176" s="1" t="s">
        <v>902</v>
      </c>
      <c r="E176" s="1">
        <v>189</v>
      </c>
      <c r="F176" s="59"/>
      <c r="G176" s="59">
        <v>37.865879056382298</v>
      </c>
      <c r="H176" s="59"/>
      <c r="I176" s="59">
        <f t="shared" si="10"/>
        <v>37.865879056382298</v>
      </c>
      <c r="K176"/>
    </row>
    <row r="177" spans="1:11" hidden="1" outlineLevel="2">
      <c r="A177" s="137">
        <f t="shared" si="11"/>
        <v>45962</v>
      </c>
      <c r="B177" s="1" t="s">
        <v>204</v>
      </c>
      <c r="C177" s="346" t="s">
        <v>717</v>
      </c>
      <c r="D177" s="1" t="s">
        <v>902</v>
      </c>
      <c r="E177" s="1">
        <v>189</v>
      </c>
      <c r="F177" s="59"/>
      <c r="G177" s="59">
        <v>37.865879056382298</v>
      </c>
      <c r="H177" s="59"/>
      <c r="I177" s="59">
        <f t="shared" si="10"/>
        <v>37.865879056382298</v>
      </c>
      <c r="K177"/>
    </row>
    <row r="178" spans="1:11" hidden="1" outlineLevel="2">
      <c r="A178" s="137">
        <f t="shared" si="11"/>
        <v>45962</v>
      </c>
      <c r="B178" s="1" t="s">
        <v>204</v>
      </c>
      <c r="C178" s="346" t="s">
        <v>718</v>
      </c>
      <c r="D178" s="1" t="s">
        <v>899</v>
      </c>
      <c r="E178" s="1">
        <v>1131.2</v>
      </c>
      <c r="F178" s="59"/>
      <c r="G178" s="59">
        <v>37.865879056382298</v>
      </c>
      <c r="H178" s="59"/>
      <c r="I178" s="59">
        <f t="shared" si="10"/>
        <v>37.865879056382298</v>
      </c>
      <c r="K178"/>
    </row>
    <row r="179" spans="1:11" hidden="1" outlineLevel="2">
      <c r="A179" s="137">
        <f t="shared" si="11"/>
        <v>45962</v>
      </c>
      <c r="B179" s="1" t="s">
        <v>204</v>
      </c>
      <c r="C179" s="346" t="s">
        <v>719</v>
      </c>
      <c r="D179" s="1" t="s">
        <v>902</v>
      </c>
      <c r="E179" s="1">
        <v>189</v>
      </c>
      <c r="F179" s="59"/>
      <c r="G179" s="59">
        <v>37.865879056382298</v>
      </c>
      <c r="H179" s="59"/>
      <c r="I179" s="59">
        <f t="shared" si="10"/>
        <v>37.865879056382298</v>
      </c>
      <c r="K179"/>
    </row>
    <row r="180" spans="1:11" hidden="1" outlineLevel="2">
      <c r="A180" s="137">
        <f t="shared" si="11"/>
        <v>45962</v>
      </c>
      <c r="B180" s="1" t="s">
        <v>204</v>
      </c>
      <c r="C180" s="346" t="s">
        <v>720</v>
      </c>
      <c r="D180" s="1" t="s">
        <v>902</v>
      </c>
      <c r="E180" s="1">
        <v>189</v>
      </c>
      <c r="F180" s="59"/>
      <c r="G180" s="59">
        <v>37.865879056382298</v>
      </c>
      <c r="H180" s="59"/>
      <c r="I180" s="59">
        <f t="shared" si="10"/>
        <v>37.865879056382298</v>
      </c>
      <c r="K180"/>
    </row>
    <row r="181" spans="1:11" hidden="1" outlineLevel="2">
      <c r="A181" s="137">
        <f t="shared" si="11"/>
        <v>45962</v>
      </c>
      <c r="B181" s="1" t="s">
        <v>204</v>
      </c>
      <c r="C181" s="346" t="s">
        <v>721</v>
      </c>
      <c r="D181" s="1" t="s">
        <v>899</v>
      </c>
      <c r="E181" s="1">
        <v>410.4</v>
      </c>
      <c r="F181" s="59"/>
      <c r="G181" s="59">
        <v>15.146351622552917</v>
      </c>
      <c r="H181" s="59"/>
      <c r="I181" s="59">
        <f t="shared" si="10"/>
        <v>15.146351622552917</v>
      </c>
      <c r="K181"/>
    </row>
    <row r="182" spans="1:11" hidden="1" outlineLevel="2">
      <c r="A182" s="137">
        <f t="shared" si="11"/>
        <v>45962</v>
      </c>
      <c r="B182" s="1" t="s">
        <v>204</v>
      </c>
      <c r="C182" s="346" t="s">
        <v>722</v>
      </c>
      <c r="D182" s="1" t="s">
        <v>902</v>
      </c>
      <c r="E182" s="1">
        <v>189</v>
      </c>
      <c r="F182" s="59"/>
      <c r="G182" s="59">
        <v>15.146351622552917</v>
      </c>
      <c r="H182" s="59"/>
      <c r="I182" s="59">
        <f t="shared" si="10"/>
        <v>15.146351622552917</v>
      </c>
      <c r="K182"/>
    </row>
    <row r="183" spans="1:11" hidden="1" outlineLevel="2">
      <c r="A183" s="137">
        <f t="shared" si="11"/>
        <v>45962</v>
      </c>
      <c r="B183" s="1" t="s">
        <v>204</v>
      </c>
      <c r="C183" s="346" t="s">
        <v>723</v>
      </c>
      <c r="D183" s="1" t="s">
        <v>902</v>
      </c>
      <c r="E183" s="1">
        <v>189</v>
      </c>
      <c r="F183" s="59"/>
      <c r="G183" s="59">
        <v>15.146351622552917</v>
      </c>
      <c r="H183" s="59"/>
      <c r="I183" s="59">
        <f t="shared" si="10"/>
        <v>15.146351622552917</v>
      </c>
      <c r="K183"/>
    </row>
    <row r="184" spans="1:11" hidden="1" outlineLevel="2">
      <c r="A184" s="137">
        <f t="shared" si="11"/>
        <v>45962</v>
      </c>
      <c r="B184" s="1" t="s">
        <v>204</v>
      </c>
      <c r="C184" s="346" t="s">
        <v>724</v>
      </c>
      <c r="D184" s="1" t="s">
        <v>902</v>
      </c>
      <c r="E184" s="1">
        <v>189</v>
      </c>
      <c r="F184" s="59"/>
      <c r="G184" s="59">
        <v>15.146351622552917</v>
      </c>
      <c r="H184" s="59"/>
      <c r="I184" s="59">
        <f t="shared" si="10"/>
        <v>15.146351622552917</v>
      </c>
      <c r="K184"/>
    </row>
    <row r="185" spans="1:11" hidden="1" outlineLevel="2">
      <c r="A185" s="137">
        <f t="shared" si="11"/>
        <v>45962</v>
      </c>
      <c r="B185" s="1" t="s">
        <v>204</v>
      </c>
      <c r="C185" s="346" t="s">
        <v>725</v>
      </c>
      <c r="D185" s="1" t="s">
        <v>902</v>
      </c>
      <c r="E185" s="1">
        <v>189</v>
      </c>
      <c r="F185" s="59"/>
      <c r="G185" s="59">
        <v>15.146351622552917</v>
      </c>
      <c r="H185" s="59"/>
      <c r="I185" s="59">
        <f t="shared" ref="I185:I194" si="12">SUM(F185:H185)</f>
        <v>15.146351622552917</v>
      </c>
      <c r="K185"/>
    </row>
    <row r="186" spans="1:11" hidden="1" outlineLevel="2">
      <c r="A186" s="137">
        <f t="shared" ref="A186:A194" si="13">A185</f>
        <v>45962</v>
      </c>
      <c r="B186" s="1" t="s">
        <v>204</v>
      </c>
      <c r="C186" s="346" t="s">
        <v>726</v>
      </c>
      <c r="D186" s="1" t="s">
        <v>899</v>
      </c>
      <c r="E186" s="1">
        <v>402.6</v>
      </c>
      <c r="F186" s="59"/>
      <c r="G186" s="59">
        <v>15.146351622552917</v>
      </c>
      <c r="H186" s="59"/>
      <c r="I186" s="59">
        <f t="shared" si="12"/>
        <v>15.146351622552917</v>
      </c>
      <c r="K186"/>
    </row>
    <row r="187" spans="1:11" hidden="1" outlineLevel="2">
      <c r="A187" s="137">
        <f t="shared" si="13"/>
        <v>45962</v>
      </c>
      <c r="B187" s="1" t="s">
        <v>204</v>
      </c>
      <c r="C187" s="346" t="s">
        <v>727</v>
      </c>
      <c r="D187" s="1" t="s">
        <v>902</v>
      </c>
      <c r="E187" s="1">
        <v>83.2</v>
      </c>
      <c r="F187" s="59"/>
      <c r="G187" s="59">
        <v>15.146351622552917</v>
      </c>
      <c r="H187" s="59"/>
      <c r="I187" s="59">
        <f t="shared" si="12"/>
        <v>15.146351622552917</v>
      </c>
      <c r="K187"/>
    </row>
    <row r="188" spans="1:11" hidden="1" outlineLevel="2">
      <c r="A188" s="137">
        <f t="shared" si="13"/>
        <v>45962</v>
      </c>
      <c r="B188" s="1" t="s">
        <v>204</v>
      </c>
      <c r="C188" s="346" t="s">
        <v>728</v>
      </c>
      <c r="D188" s="1" t="s">
        <v>899</v>
      </c>
      <c r="E188" s="1">
        <v>723.2</v>
      </c>
      <c r="F188" s="59"/>
      <c r="G188" s="59">
        <v>24.612821386648491</v>
      </c>
      <c r="H188" s="59"/>
      <c r="I188" s="59">
        <f t="shared" si="12"/>
        <v>24.612821386648491</v>
      </c>
      <c r="K188"/>
    </row>
    <row r="189" spans="1:11" hidden="1" outlineLevel="2">
      <c r="A189" s="137">
        <f t="shared" si="13"/>
        <v>45962</v>
      </c>
      <c r="B189" s="1" t="s">
        <v>204</v>
      </c>
      <c r="C189" s="346" t="s">
        <v>729</v>
      </c>
      <c r="D189" s="1" t="s">
        <v>899</v>
      </c>
      <c r="E189" s="1">
        <v>900</v>
      </c>
      <c r="F189" s="59"/>
      <c r="G189" s="59">
        <v>15.146351622552917</v>
      </c>
      <c r="H189" s="59"/>
      <c r="I189" s="59">
        <f t="shared" si="12"/>
        <v>15.146351622552917</v>
      </c>
      <c r="K189"/>
    </row>
    <row r="190" spans="1:11" hidden="1" outlineLevel="2">
      <c r="A190" s="137">
        <f t="shared" si="13"/>
        <v>45962</v>
      </c>
      <c r="B190" s="1" t="s">
        <v>733</v>
      </c>
      <c r="C190" s="346" t="s">
        <v>730</v>
      </c>
      <c r="D190" s="1" t="s">
        <v>901</v>
      </c>
      <c r="E190" s="1">
        <v>188.2</v>
      </c>
      <c r="F190" s="59"/>
      <c r="G190" s="59">
        <v>15.146351622552917</v>
      </c>
      <c r="H190" s="59"/>
      <c r="I190" s="59">
        <f t="shared" si="12"/>
        <v>15.146351622552917</v>
      </c>
      <c r="K190"/>
    </row>
    <row r="191" spans="1:11" hidden="1" outlineLevel="2">
      <c r="A191" s="137">
        <f t="shared" si="13"/>
        <v>45962</v>
      </c>
      <c r="B191" s="1" t="s">
        <v>204</v>
      </c>
      <c r="C191" s="346" t="s">
        <v>731</v>
      </c>
      <c r="D191" s="1" t="s">
        <v>899</v>
      </c>
      <c r="E191" s="1">
        <v>864</v>
      </c>
      <c r="F191" s="59"/>
      <c r="G191" s="59">
        <v>15.146351622552917</v>
      </c>
      <c r="H191" s="59"/>
      <c r="I191" s="59">
        <f t="shared" si="12"/>
        <v>15.146351622552917</v>
      </c>
      <c r="K191"/>
    </row>
    <row r="192" spans="1:11" hidden="1" outlineLevel="2">
      <c r="A192" s="137">
        <f t="shared" si="13"/>
        <v>45962</v>
      </c>
      <c r="B192" s="1" t="s">
        <v>204</v>
      </c>
      <c r="C192" s="346" t="s">
        <v>732</v>
      </c>
      <c r="D192" s="1" t="s">
        <v>899</v>
      </c>
      <c r="E192" s="1">
        <v>1011.5999999999999</v>
      </c>
      <c r="F192" s="59"/>
      <c r="G192" s="59">
        <v>37.865879056382298</v>
      </c>
      <c r="H192" s="59"/>
      <c r="I192" s="59">
        <f t="shared" si="12"/>
        <v>37.865879056382298</v>
      </c>
      <c r="K192"/>
    </row>
    <row r="193" spans="1:11" ht="14.25" hidden="1" customHeight="1" outlineLevel="2">
      <c r="A193" s="137">
        <f t="shared" si="13"/>
        <v>45962</v>
      </c>
      <c r="B193" s="1" t="s">
        <v>734</v>
      </c>
      <c r="C193" s="346" t="s">
        <v>736</v>
      </c>
      <c r="D193" s="1" t="s">
        <v>655</v>
      </c>
      <c r="E193" s="1">
        <v>0.5</v>
      </c>
      <c r="F193" s="59"/>
      <c r="G193" s="59"/>
      <c r="H193" s="59">
        <v>44.349017925707145</v>
      </c>
      <c r="I193" s="59">
        <f t="shared" si="12"/>
        <v>44.349017925707145</v>
      </c>
      <c r="K193"/>
    </row>
    <row r="194" spans="1:11" hidden="1" outlineLevel="2">
      <c r="A194" s="137">
        <f t="shared" si="13"/>
        <v>45962</v>
      </c>
      <c r="B194" s="1" t="s">
        <v>735</v>
      </c>
      <c r="C194" s="346" t="s">
        <v>737</v>
      </c>
      <c r="D194" s="1" t="s">
        <v>655</v>
      </c>
      <c r="E194" s="1">
        <v>0.2</v>
      </c>
      <c r="F194" s="59"/>
      <c r="G194" s="59"/>
      <c r="H194" s="59">
        <v>22.755707349767125</v>
      </c>
      <c r="I194" s="59">
        <f t="shared" si="12"/>
        <v>22.755707349767125</v>
      </c>
      <c r="K194"/>
    </row>
    <row r="195" spans="1:11" outlineLevel="1" collapsed="1">
      <c r="A195" s="138" t="s">
        <v>892</v>
      </c>
      <c r="B195" s="1"/>
      <c r="C195" s="346"/>
      <c r="D195" s="1"/>
      <c r="E195" s="1">
        <f>SUBTOTAL(9,E121:E194)</f>
        <v>40203.89999999998</v>
      </c>
      <c r="F195" s="59">
        <f>SUBTOTAL(9,F121:F194)</f>
        <v>0</v>
      </c>
      <c r="G195" s="59">
        <f>SUBTOTAL(9,G121:G194)</f>
        <v>1452.1363550304825</v>
      </c>
      <c r="H195" s="59">
        <f>SUBTOTAL(9,H121:H194)</f>
        <v>67.104725275474266</v>
      </c>
      <c r="I195" s="59">
        <f>SUBTOTAL(9,I121:I194)</f>
        <v>1519.2410803059568</v>
      </c>
      <c r="K195"/>
    </row>
    <row r="196" spans="1:11" hidden="1" outlineLevel="2">
      <c r="A196" s="138">
        <v>45992</v>
      </c>
      <c r="B196" s="1" t="s">
        <v>997</v>
      </c>
      <c r="C196" s="346" t="s">
        <v>996</v>
      </c>
      <c r="D196" s="1" t="str">
        <f>VLOOKUP(RIGHT(C196,8),'[6]Export shipment'!B$8:J$1256,9,0)</f>
        <v>DSV</v>
      </c>
      <c r="E196" s="1">
        <f>VLOOKUP(RIGHT(C196,8),'[6]Export shipment'!B$8:E$1256,4,0)</f>
        <v>1050</v>
      </c>
      <c r="F196" s="59">
        <v>0</v>
      </c>
      <c r="G196" s="59">
        <v>15.16300227445034</v>
      </c>
      <c r="H196" s="59">
        <v>0</v>
      </c>
      <c r="I196" s="139">
        <f t="shared" ref="I196:I227" si="14">SUM(F196:H196)</f>
        <v>15.16300227445034</v>
      </c>
      <c r="K196"/>
    </row>
    <row r="197" spans="1:11" hidden="1" outlineLevel="2">
      <c r="A197" s="138">
        <v>45992</v>
      </c>
      <c r="B197" s="1" t="s">
        <v>997</v>
      </c>
      <c r="C197" s="346" t="s">
        <v>1007</v>
      </c>
      <c r="D197" s="1" t="str">
        <f>VLOOKUP(RIGHT(C197,8),'[6]Export shipment'!B$8:J$1256,9,0)</f>
        <v>DSV</v>
      </c>
      <c r="E197" s="1">
        <f>VLOOKUP(RIGHT(C197,8),'[6]Export shipment'!B$8:E$1256,4,0)</f>
        <v>816</v>
      </c>
      <c r="F197" s="59">
        <v>0</v>
      </c>
      <c r="G197" s="59">
        <v>15.16300227445034</v>
      </c>
      <c r="H197" s="59">
        <v>0</v>
      </c>
      <c r="I197" s="139">
        <f t="shared" si="14"/>
        <v>15.16300227445034</v>
      </c>
      <c r="K197"/>
    </row>
    <row r="198" spans="1:11" hidden="1" outlineLevel="2">
      <c r="A198" s="138">
        <v>45992</v>
      </c>
      <c r="B198" s="1" t="s">
        <v>997</v>
      </c>
      <c r="C198" s="346" t="s">
        <v>1008</v>
      </c>
      <c r="D198" s="1" t="str">
        <f>VLOOKUP(RIGHT(C198,8),'[6]Export shipment'!B$8:J$1256,9,0)</f>
        <v>DSV</v>
      </c>
      <c r="E198" s="1">
        <f>VLOOKUP(RIGHT(C198,8),'[6]Export shipment'!B$8:E$1256,4,0)</f>
        <v>1094.4000000000001</v>
      </c>
      <c r="F198" s="59">
        <v>0</v>
      </c>
      <c r="G198" s="59">
        <v>15.16300227445034</v>
      </c>
      <c r="H198" s="59">
        <v>0</v>
      </c>
      <c r="I198" s="139">
        <f t="shared" si="14"/>
        <v>15.16300227445034</v>
      </c>
      <c r="K198"/>
    </row>
    <row r="199" spans="1:11" hidden="1" outlineLevel="2">
      <c r="A199" s="138">
        <v>45992</v>
      </c>
      <c r="B199" s="1" t="s">
        <v>997</v>
      </c>
      <c r="C199" s="346" t="s">
        <v>1009</v>
      </c>
      <c r="D199" s="1" t="str">
        <f>VLOOKUP(RIGHT(C199,8),'[6]Export shipment'!B$8:J$1256,9,0)</f>
        <v>DSV</v>
      </c>
      <c r="E199" s="1">
        <f>VLOOKUP(RIGHT(C199,8),'[6]Export shipment'!B$8:E$1256,4,0)</f>
        <v>1117.2</v>
      </c>
      <c r="F199" s="59">
        <v>0</v>
      </c>
      <c r="G199" s="59">
        <v>15.16300227445034</v>
      </c>
      <c r="H199" s="59">
        <v>0</v>
      </c>
      <c r="I199" s="139">
        <f t="shared" si="14"/>
        <v>15.16300227445034</v>
      </c>
      <c r="K199"/>
    </row>
    <row r="200" spans="1:11" hidden="1" outlineLevel="2">
      <c r="A200" s="138">
        <v>45992</v>
      </c>
      <c r="B200" s="1" t="s">
        <v>997</v>
      </c>
      <c r="C200" s="346" t="s">
        <v>1011</v>
      </c>
      <c r="D200" s="1" t="str">
        <f>VLOOKUP(RIGHT(C200,8),'[6]Export shipment'!B$8:J$1256,9,0)</f>
        <v>DSV</v>
      </c>
      <c r="E200" s="1">
        <f>VLOOKUP(RIGHT(C200,8),'[6]Export shipment'!B$8:E$1256,4,0)</f>
        <v>1417.1999999999998</v>
      </c>
      <c r="F200" s="59">
        <v>0</v>
      </c>
      <c r="G200" s="59">
        <v>15.16300227445034</v>
      </c>
      <c r="H200" s="59">
        <v>0</v>
      </c>
      <c r="I200" s="139">
        <f t="shared" si="14"/>
        <v>15.16300227445034</v>
      </c>
      <c r="K200"/>
    </row>
    <row r="201" spans="1:11" hidden="1" outlineLevel="2">
      <c r="A201" s="138">
        <v>45992</v>
      </c>
      <c r="B201" s="1" t="s">
        <v>997</v>
      </c>
      <c r="C201" s="346" t="s">
        <v>1012</v>
      </c>
      <c r="D201" s="1" t="str">
        <f>VLOOKUP(RIGHT(C201,8),'[6]Export shipment'!B$8:J$1256,9,0)</f>
        <v>DSV</v>
      </c>
      <c r="E201" s="1">
        <f>VLOOKUP(RIGHT(C201,8),'[6]Export shipment'!B$8:E$1256,4,0)</f>
        <v>834</v>
      </c>
      <c r="F201" s="59">
        <v>0</v>
      </c>
      <c r="G201" s="59">
        <v>15.16300227445034</v>
      </c>
      <c r="H201" s="59">
        <v>0</v>
      </c>
      <c r="I201" s="139">
        <f t="shared" si="14"/>
        <v>15.16300227445034</v>
      </c>
      <c r="K201"/>
    </row>
    <row r="202" spans="1:11" hidden="1" outlineLevel="2">
      <c r="A202" s="138">
        <v>45992</v>
      </c>
      <c r="B202" s="1" t="s">
        <v>997</v>
      </c>
      <c r="C202" s="346" t="s">
        <v>1017</v>
      </c>
      <c r="D202" s="1" t="str">
        <f>VLOOKUP(RIGHT(C202,8),'[6]Export shipment'!B$8:J$1256,9,0)</f>
        <v>DSV</v>
      </c>
      <c r="E202" s="1">
        <f>VLOOKUP(RIGHT(C202,8),'[6]Export shipment'!B$8:E$1256,4,0)</f>
        <v>900</v>
      </c>
      <c r="F202" s="59">
        <v>0</v>
      </c>
      <c r="G202" s="59">
        <v>15.16300227445034</v>
      </c>
      <c r="H202" s="59">
        <v>0</v>
      </c>
      <c r="I202" s="139">
        <f t="shared" si="14"/>
        <v>15.16300227445034</v>
      </c>
      <c r="K202"/>
    </row>
    <row r="203" spans="1:11" hidden="1" outlineLevel="2">
      <c r="A203" s="138">
        <v>45992</v>
      </c>
      <c r="B203" s="1" t="s">
        <v>997</v>
      </c>
      <c r="C203" s="346" t="s">
        <v>1018</v>
      </c>
      <c r="D203" s="1" t="str">
        <f>VLOOKUP(RIGHT(C203,8),'[6]Export shipment'!B$8:J$1256,9,0)</f>
        <v>DSV</v>
      </c>
      <c r="E203" s="1">
        <f>VLOOKUP(RIGHT(C203,8),'[6]Export shipment'!B$8:E$1256,4,0)</f>
        <v>1234.8</v>
      </c>
      <c r="F203" s="59">
        <v>0</v>
      </c>
      <c r="G203" s="59">
        <v>15.16300227445034</v>
      </c>
      <c r="H203" s="59">
        <v>0</v>
      </c>
      <c r="I203" s="139">
        <f t="shared" si="14"/>
        <v>15.16300227445034</v>
      </c>
      <c r="K203"/>
    </row>
    <row r="204" spans="1:11" hidden="1" outlineLevel="2">
      <c r="A204" s="138">
        <v>45992</v>
      </c>
      <c r="B204" s="1" t="s">
        <v>997</v>
      </c>
      <c r="C204" s="346" t="s">
        <v>1019</v>
      </c>
      <c r="D204" s="1" t="str">
        <f>VLOOKUP(RIGHT(C204,8),'[6]Export shipment'!B$8:J$1256,9,0)</f>
        <v>DSV</v>
      </c>
      <c r="E204" s="1">
        <f>VLOOKUP(RIGHT(C204,8),'[6]Export shipment'!B$8:E$1256,4,0)</f>
        <v>1231.1999999999998</v>
      </c>
      <c r="F204" s="59">
        <v>0</v>
      </c>
      <c r="G204" s="59">
        <v>15.909742228961333</v>
      </c>
      <c r="H204" s="59">
        <v>0</v>
      </c>
      <c r="I204" s="139">
        <f t="shared" si="14"/>
        <v>15.909742228961333</v>
      </c>
      <c r="K204"/>
    </row>
    <row r="205" spans="1:11" hidden="1" outlineLevel="2">
      <c r="A205" s="138">
        <v>45992</v>
      </c>
      <c r="B205" s="1" t="s">
        <v>1023</v>
      </c>
      <c r="C205" s="346" t="s">
        <v>1022</v>
      </c>
      <c r="D205" s="1" t="str">
        <f>VLOOKUP(RIGHT(C205,8),'[6]Export shipment'!B$8:J$1256,9,0)</f>
        <v>DSV</v>
      </c>
      <c r="E205" s="1">
        <f>VLOOKUP(RIGHT(C205,8),'[6]Export shipment'!B$8:E$1256,4,0)</f>
        <v>846</v>
      </c>
      <c r="F205" s="59">
        <v>0</v>
      </c>
      <c r="G205" s="59">
        <v>15.16300227445034</v>
      </c>
      <c r="H205" s="59">
        <v>0</v>
      </c>
      <c r="I205" s="139">
        <f t="shared" si="14"/>
        <v>15.16300227445034</v>
      </c>
      <c r="K205"/>
    </row>
    <row r="206" spans="1:11" hidden="1" outlineLevel="2">
      <c r="A206" s="138">
        <v>45992</v>
      </c>
      <c r="B206" s="1" t="s">
        <v>997</v>
      </c>
      <c r="C206" s="346" t="s">
        <v>1024</v>
      </c>
      <c r="D206" s="1" t="str">
        <f>VLOOKUP(RIGHT(C206,8),'[6]Export shipment'!B$8:J$1256,9,0)</f>
        <v>DSV</v>
      </c>
      <c r="E206" s="1">
        <f>VLOOKUP(RIGHT(C206,8),'[6]Export shipment'!B$8:E$1256,4,0)</f>
        <v>3020.4000000000005</v>
      </c>
      <c r="F206" s="59">
        <v>0</v>
      </c>
      <c r="G206" s="59">
        <v>16.994920394238058</v>
      </c>
      <c r="H206" s="59">
        <v>0</v>
      </c>
      <c r="I206" s="139">
        <f t="shared" si="14"/>
        <v>16.994920394238058</v>
      </c>
      <c r="K206"/>
    </row>
    <row r="207" spans="1:11" hidden="1" outlineLevel="2">
      <c r="A207" s="138">
        <v>45992</v>
      </c>
      <c r="B207" s="1" t="s">
        <v>997</v>
      </c>
      <c r="C207" s="346" t="s">
        <v>1025</v>
      </c>
      <c r="D207" s="1" t="str">
        <f>VLOOKUP(RIGHT(C207,8),'[6]Export shipment'!B$8:J$1256,9,0)</f>
        <v>DSV</v>
      </c>
      <c r="E207" s="1">
        <f>VLOOKUP(RIGHT(C207,8),'[6]Export shipment'!B$8:E$1256,4,0)</f>
        <v>1180.8000000000002</v>
      </c>
      <c r="F207" s="59">
        <v>0</v>
      </c>
      <c r="G207" s="59">
        <v>15.16300227445034</v>
      </c>
      <c r="H207" s="59">
        <v>0</v>
      </c>
      <c r="I207" s="139">
        <f t="shared" si="14"/>
        <v>15.16300227445034</v>
      </c>
      <c r="K207"/>
    </row>
    <row r="208" spans="1:11" hidden="1" outlineLevel="2">
      <c r="A208" s="138">
        <v>45992</v>
      </c>
      <c r="B208" s="1" t="s">
        <v>997</v>
      </c>
      <c r="C208" s="346" t="s">
        <v>1026</v>
      </c>
      <c r="D208" s="1" t="str">
        <f>VLOOKUP(RIGHT(C208,8),'[6]Export shipment'!B$8:J$1256,9,0)</f>
        <v>DSV</v>
      </c>
      <c r="E208" s="1">
        <f>VLOOKUP(RIGHT(C208,8),'[6]Export shipment'!B$8:E$1256,4,0)</f>
        <v>1334.4</v>
      </c>
      <c r="F208" s="59">
        <v>0</v>
      </c>
      <c r="G208" s="59">
        <v>15.972327520849127</v>
      </c>
      <c r="H208" s="59">
        <v>0</v>
      </c>
      <c r="I208" s="139">
        <f t="shared" si="14"/>
        <v>15.972327520849127</v>
      </c>
      <c r="K208"/>
    </row>
    <row r="209" spans="1:11" hidden="1" outlineLevel="2">
      <c r="A209" s="138">
        <v>45992</v>
      </c>
      <c r="B209" s="1" t="s">
        <v>1023</v>
      </c>
      <c r="C209" s="346" t="s">
        <v>1027</v>
      </c>
      <c r="D209" s="1" t="str">
        <f>VLOOKUP(RIGHT(C209,8),'[6]Export shipment'!B$8:J$1256,9,0)</f>
        <v>DSV</v>
      </c>
      <c r="E209" s="1">
        <f>VLOOKUP(RIGHT(C209,8),'[6]Export shipment'!B$8:E$1256,4,0)</f>
        <v>876</v>
      </c>
      <c r="F209" s="59">
        <v>0</v>
      </c>
      <c r="G209" s="59">
        <v>15.16300227445034</v>
      </c>
      <c r="H209" s="59">
        <v>0</v>
      </c>
      <c r="I209" s="139">
        <f t="shared" si="14"/>
        <v>15.16300227445034</v>
      </c>
      <c r="K209"/>
    </row>
    <row r="210" spans="1:11" hidden="1" outlineLevel="2">
      <c r="A210" s="138">
        <v>45992</v>
      </c>
      <c r="B210" s="1" t="s">
        <v>997</v>
      </c>
      <c r="C210" s="346" t="s">
        <v>1028</v>
      </c>
      <c r="D210" s="1" t="str">
        <f>VLOOKUP(RIGHT(C210,8),'[6]Export shipment'!B$8:J$1256,9,0)</f>
        <v>DSV</v>
      </c>
      <c r="E210" s="1">
        <f>VLOOKUP(RIGHT(C210,8),'[6]Export shipment'!B$8:E$1256,4,0)</f>
        <v>900</v>
      </c>
      <c r="F210" s="59">
        <v>0</v>
      </c>
      <c r="G210" s="59">
        <v>15.16300227445034</v>
      </c>
      <c r="H210" s="59">
        <v>0</v>
      </c>
      <c r="I210" s="139">
        <f t="shared" si="14"/>
        <v>15.16300227445034</v>
      </c>
      <c r="K210"/>
    </row>
    <row r="211" spans="1:11" hidden="1" outlineLevel="2">
      <c r="A211" s="138">
        <v>45992</v>
      </c>
      <c r="B211" s="1" t="s">
        <v>997</v>
      </c>
      <c r="C211" s="346" t="s">
        <v>1042</v>
      </c>
      <c r="D211" s="1" t="str">
        <f>VLOOKUP(RIGHT(C211,8),'[6]Export shipment'!B$8:J$1256,9,0)</f>
        <v>DSV</v>
      </c>
      <c r="E211" s="1">
        <f>VLOOKUP(RIGHT(C211,8),'[6]Export shipment'!B$8:E$1256,4,0)</f>
        <v>889.19999999999993</v>
      </c>
      <c r="F211" s="59">
        <v>0</v>
      </c>
      <c r="G211" s="59">
        <v>15.16300227445034</v>
      </c>
      <c r="H211" s="59">
        <v>0</v>
      </c>
      <c r="I211" s="139">
        <f t="shared" si="14"/>
        <v>15.16300227445034</v>
      </c>
      <c r="K211"/>
    </row>
    <row r="212" spans="1:11" hidden="1" outlineLevel="2">
      <c r="A212" s="138">
        <v>45992</v>
      </c>
      <c r="B212" s="1" t="s">
        <v>997</v>
      </c>
      <c r="C212" s="346" t="s">
        <v>1044</v>
      </c>
      <c r="D212" s="1" t="str">
        <f>VLOOKUP(RIGHT(C212,8),'[6]Export shipment'!B$8:J$1256,9,0)</f>
        <v>DSV</v>
      </c>
      <c r="E212" s="1">
        <f>VLOOKUP(RIGHT(C212,8),'[6]Export shipment'!B$8:E$1256,4,0)</f>
        <v>1305.6000000000001</v>
      </c>
      <c r="F212" s="59">
        <v>0</v>
      </c>
      <c r="G212" s="59">
        <v>15.16300227445034</v>
      </c>
      <c r="H212" s="59">
        <v>0</v>
      </c>
      <c r="I212" s="139">
        <f t="shared" si="14"/>
        <v>15.16300227445034</v>
      </c>
      <c r="K212"/>
    </row>
    <row r="213" spans="1:11" hidden="1" outlineLevel="2">
      <c r="A213" s="138">
        <v>45992</v>
      </c>
      <c r="B213" s="1" t="s">
        <v>997</v>
      </c>
      <c r="C213" s="346" t="s">
        <v>1045</v>
      </c>
      <c r="D213" s="1" t="str">
        <f>VLOOKUP(RIGHT(C213,8),'[6]Export shipment'!B$8:J$1256,9,0)</f>
        <v>DSV</v>
      </c>
      <c r="E213" s="1">
        <f>VLOOKUP(RIGHT(C213,8),'[6]Export shipment'!B$8:E$1256,4,0)</f>
        <v>1545.6</v>
      </c>
      <c r="F213" s="59">
        <v>0</v>
      </c>
      <c r="G213" s="59">
        <v>16.100454890068232</v>
      </c>
      <c r="H213" s="59">
        <v>0</v>
      </c>
      <c r="I213" s="139">
        <f t="shared" si="14"/>
        <v>16.100454890068232</v>
      </c>
      <c r="K213"/>
    </row>
    <row r="214" spans="1:11" hidden="1" outlineLevel="2">
      <c r="A214" s="138">
        <v>45992</v>
      </c>
      <c r="B214" s="1" t="s">
        <v>997</v>
      </c>
      <c r="C214" s="346" t="s">
        <v>1046</v>
      </c>
      <c r="D214" s="1" t="str">
        <f>VLOOKUP(RIGHT(C214,8),'[6]Export shipment'!B$8:J$1256,9,0)</f>
        <v>DSV</v>
      </c>
      <c r="E214" s="1">
        <f>VLOOKUP(RIGHT(C214,8),'[6]Export shipment'!B$8:E$1256,4,0)</f>
        <v>1108.8</v>
      </c>
      <c r="F214" s="59">
        <v>0</v>
      </c>
      <c r="G214" s="59">
        <v>15.835519332827898</v>
      </c>
      <c r="H214" s="59">
        <v>0</v>
      </c>
      <c r="I214" s="139">
        <f t="shared" si="14"/>
        <v>15.835519332827898</v>
      </c>
      <c r="K214"/>
    </row>
    <row r="215" spans="1:11" hidden="1" outlineLevel="2">
      <c r="A215" s="138">
        <v>45992</v>
      </c>
      <c r="B215" s="1" t="s">
        <v>1054</v>
      </c>
      <c r="C215" s="346" t="s">
        <v>1053</v>
      </c>
      <c r="D215" s="1" t="str">
        <f>VLOOKUP(RIGHT(C215,8),'[6]Export shipment'!B$8:J$1256,9,0)</f>
        <v>FedEx Log</v>
      </c>
      <c r="E215" s="1">
        <f>VLOOKUP(RIGHT(C215,8),'[6]Export shipment'!B$8:E$1256,4,0)</f>
        <v>342.5</v>
      </c>
      <c r="F215" s="59">
        <v>0</v>
      </c>
      <c r="G215" s="59">
        <v>15.16300227445034</v>
      </c>
      <c r="H215" s="59">
        <v>0</v>
      </c>
      <c r="I215" s="139">
        <f t="shared" si="14"/>
        <v>15.16300227445034</v>
      </c>
      <c r="K215"/>
    </row>
    <row r="216" spans="1:11" hidden="1" outlineLevel="2">
      <c r="A216" s="138">
        <v>45992</v>
      </c>
      <c r="B216" s="1" t="s">
        <v>997</v>
      </c>
      <c r="C216" s="346" t="s">
        <v>1055</v>
      </c>
      <c r="D216" s="1" t="str">
        <f>VLOOKUP(RIGHT(C216,8),'[6]Export shipment'!B$8:J$1256,9,0)</f>
        <v>DSV</v>
      </c>
      <c r="E216" s="1">
        <f>VLOOKUP(RIGHT(C216,8),'[6]Export shipment'!B$8:E$1256,4,0)</f>
        <v>1264.8</v>
      </c>
      <c r="F216" s="59">
        <v>0</v>
      </c>
      <c r="G216" s="59">
        <v>15.16300227445034</v>
      </c>
      <c r="H216" s="59">
        <v>0</v>
      </c>
      <c r="I216" s="139">
        <f t="shared" si="14"/>
        <v>15.16300227445034</v>
      </c>
      <c r="K216"/>
    </row>
    <row r="217" spans="1:11" hidden="1" outlineLevel="2">
      <c r="A217" s="138">
        <v>45992</v>
      </c>
      <c r="B217" s="1" t="s">
        <v>997</v>
      </c>
      <c r="C217" s="346" t="s">
        <v>1056</v>
      </c>
      <c r="D217" s="1" t="str">
        <f>VLOOKUP(RIGHT(C217,8),'[6]Export shipment'!B$8:J$1256,9,0)</f>
        <v>DSV</v>
      </c>
      <c r="E217" s="1">
        <f>VLOOKUP(RIGHT(C217,8),'[6]Export shipment'!B$8:E$1256,4,0)</f>
        <v>1140</v>
      </c>
      <c r="F217" s="59">
        <v>0</v>
      </c>
      <c r="G217" s="59">
        <v>15.854435178165275</v>
      </c>
      <c r="H217" s="59">
        <v>0</v>
      </c>
      <c r="I217" s="139">
        <f t="shared" si="14"/>
        <v>15.854435178165275</v>
      </c>
      <c r="K217"/>
    </row>
    <row r="218" spans="1:11" hidden="1" outlineLevel="2">
      <c r="A218" s="138">
        <v>45992</v>
      </c>
      <c r="B218" s="1" t="s">
        <v>997</v>
      </c>
      <c r="C218" s="346" t="s">
        <v>1057</v>
      </c>
      <c r="D218" s="1" t="str">
        <f>VLOOKUP(RIGHT(C218,8),'[6]Export shipment'!B$8:J$1256,9,0)</f>
        <v>DSV</v>
      </c>
      <c r="E218" s="1">
        <f>VLOOKUP(RIGHT(C218,8),'[6]Export shipment'!B$8:E$1256,4,0)</f>
        <v>1125.5999999999999</v>
      </c>
      <c r="F218" s="59">
        <v>0</v>
      </c>
      <c r="G218" s="59">
        <v>15.16300227445034</v>
      </c>
      <c r="H218" s="59">
        <v>0</v>
      </c>
      <c r="I218" s="139">
        <f t="shared" si="14"/>
        <v>15.16300227445034</v>
      </c>
      <c r="K218"/>
    </row>
    <row r="219" spans="1:11" hidden="1" outlineLevel="2">
      <c r="A219" s="138">
        <v>45992</v>
      </c>
      <c r="B219" s="1" t="s">
        <v>997</v>
      </c>
      <c r="C219" s="346" t="s">
        <v>1058</v>
      </c>
      <c r="D219" s="1" t="str">
        <f>VLOOKUP(RIGHT(C219,8),'[6]Export shipment'!B$8:J$1256,9,0)</f>
        <v>DSV</v>
      </c>
      <c r="E219" s="1">
        <f>VLOOKUP(RIGHT(C219,8),'[6]Export shipment'!B$8:E$1256,4,0)</f>
        <v>1149.5999999999999</v>
      </c>
      <c r="F219" s="59">
        <v>0</v>
      </c>
      <c r="G219" s="59">
        <v>15.16300227445034</v>
      </c>
      <c r="H219" s="59">
        <v>0</v>
      </c>
      <c r="I219" s="139">
        <f t="shared" si="14"/>
        <v>15.16300227445034</v>
      </c>
      <c r="K219"/>
    </row>
    <row r="220" spans="1:11" hidden="1" outlineLevel="2">
      <c r="A220" s="138">
        <v>45992</v>
      </c>
      <c r="B220" s="1" t="s">
        <v>997</v>
      </c>
      <c r="C220" s="346" t="s">
        <v>1060</v>
      </c>
      <c r="D220" s="1" t="str">
        <f>VLOOKUP(RIGHT(C220,8),'[6]Export shipment'!B$8:J$1256,9,0)</f>
        <v>DSV</v>
      </c>
      <c r="E220" s="1">
        <f>VLOOKUP(RIGHT(C220,8),'[6]Export shipment'!B$8:E$1256,4,0)</f>
        <v>900</v>
      </c>
      <c r="F220" s="59">
        <v>0</v>
      </c>
      <c r="G220" s="59">
        <v>15.16300227445034</v>
      </c>
      <c r="H220" s="59">
        <v>0</v>
      </c>
      <c r="I220" s="139">
        <f t="shared" si="14"/>
        <v>15.16300227445034</v>
      </c>
      <c r="K220"/>
    </row>
    <row r="221" spans="1:11" hidden="1" outlineLevel="2">
      <c r="A221" s="138">
        <v>45992</v>
      </c>
      <c r="B221" s="1" t="s">
        <v>997</v>
      </c>
      <c r="C221" s="346" t="s">
        <v>1061</v>
      </c>
      <c r="D221" s="1" t="str">
        <f>VLOOKUP(RIGHT(C221,8),'[6]Export shipment'!B$8:J$1256,9,0)</f>
        <v>DSV</v>
      </c>
      <c r="E221" s="1">
        <f>VLOOKUP(RIGHT(C221,8),'[6]Export shipment'!B$8:E$1256,4,0)</f>
        <v>1150.8</v>
      </c>
      <c r="F221" s="59">
        <v>0</v>
      </c>
      <c r="G221" s="59">
        <v>15.16300227445034</v>
      </c>
      <c r="H221" s="59">
        <v>0</v>
      </c>
      <c r="I221" s="139">
        <f t="shared" si="14"/>
        <v>15.16300227445034</v>
      </c>
      <c r="K221"/>
    </row>
    <row r="222" spans="1:11" hidden="1" outlineLevel="2">
      <c r="A222" s="138">
        <v>45992</v>
      </c>
      <c r="B222" s="1" t="s">
        <v>1064</v>
      </c>
      <c r="C222" s="346" t="s">
        <v>1063</v>
      </c>
      <c r="D222" s="1" t="str">
        <f>VLOOKUP(RIGHT(C222,8),'[6]Export shipment'!B$8:J$1256,9,0)</f>
        <v>DSV</v>
      </c>
      <c r="E222" s="1">
        <f>VLOOKUP(RIGHT(C222,8),'[6]Export shipment'!B$8:E$1256,4,0)</f>
        <v>337.21</v>
      </c>
      <c r="F222" s="59">
        <v>0</v>
      </c>
      <c r="G222" s="59">
        <v>15.16300227445034</v>
      </c>
      <c r="H222" s="59">
        <v>0</v>
      </c>
      <c r="I222" s="139">
        <f t="shared" si="14"/>
        <v>15.16300227445034</v>
      </c>
      <c r="K222"/>
    </row>
    <row r="223" spans="1:11" hidden="1" outlineLevel="2">
      <c r="A223" s="138">
        <v>45992</v>
      </c>
      <c r="B223" s="1" t="s">
        <v>1023</v>
      </c>
      <c r="C223" s="346" t="s">
        <v>1067</v>
      </c>
      <c r="D223" s="1" t="str">
        <f>VLOOKUP(RIGHT(C223,8),'[6]Export shipment'!B$8:J$1256,9,0)</f>
        <v>DSV</v>
      </c>
      <c r="E223" s="1">
        <f>VLOOKUP(RIGHT(C223,8),'[6]Export shipment'!B$8:E$1256,4,0)</f>
        <v>876</v>
      </c>
      <c r="F223" s="59">
        <v>0</v>
      </c>
      <c r="G223" s="59">
        <v>15.16300227445034</v>
      </c>
      <c r="H223" s="59">
        <v>0</v>
      </c>
      <c r="I223" s="139">
        <f t="shared" si="14"/>
        <v>15.16300227445034</v>
      </c>
      <c r="K223"/>
    </row>
    <row r="224" spans="1:11" hidden="1" outlineLevel="2">
      <c r="A224" s="138">
        <v>45992</v>
      </c>
      <c r="B224" s="1" t="s">
        <v>997</v>
      </c>
      <c r="C224" s="346" t="s">
        <v>1068</v>
      </c>
      <c r="D224" s="1" t="str">
        <f>VLOOKUP(RIGHT(C224,8),'[6]Export shipment'!B$8:J$1256,9,0)</f>
        <v>DSV</v>
      </c>
      <c r="E224" s="1">
        <f>VLOOKUP(RIGHT(C224,8),'[6]Export shipment'!B$8:E$1256,4,0)</f>
        <v>681.2</v>
      </c>
      <c r="F224" s="59">
        <v>0</v>
      </c>
      <c r="G224" s="59">
        <v>15.16300227445034</v>
      </c>
      <c r="H224" s="59">
        <v>0</v>
      </c>
      <c r="I224" s="139">
        <f t="shared" si="14"/>
        <v>15.16300227445034</v>
      </c>
      <c r="K224"/>
    </row>
    <row r="225" spans="1:11" hidden="1" outlineLevel="2">
      <c r="A225" s="138">
        <v>45992</v>
      </c>
      <c r="B225" s="1" t="s">
        <v>997</v>
      </c>
      <c r="C225" s="346" t="s">
        <v>1070</v>
      </c>
      <c r="D225" s="1" t="str">
        <f>VLOOKUP(RIGHT(C225,8),'[6]Export shipment'!B$8:J$1256,9,0)</f>
        <v>DSV</v>
      </c>
      <c r="E225" s="1">
        <f>VLOOKUP(RIGHT(C225,8),'[6]Export shipment'!B$8:E$1256,4,0)</f>
        <v>1150.8</v>
      </c>
      <c r="F225" s="59">
        <v>0</v>
      </c>
      <c r="G225" s="59">
        <v>15.16300227445034</v>
      </c>
      <c r="H225" s="59">
        <v>0</v>
      </c>
      <c r="I225" s="139">
        <f t="shared" si="14"/>
        <v>15.16300227445034</v>
      </c>
      <c r="K225"/>
    </row>
    <row r="226" spans="1:11" hidden="1" outlineLevel="2">
      <c r="A226" s="138">
        <v>45992</v>
      </c>
      <c r="B226" s="1" t="s">
        <v>997</v>
      </c>
      <c r="C226" s="346" t="s">
        <v>1071</v>
      </c>
      <c r="D226" s="1" t="str">
        <f>VLOOKUP(RIGHT(C226,8),'[6]Export shipment'!B$8:J$1256,9,0)</f>
        <v>DSV</v>
      </c>
      <c r="E226" s="1">
        <f>VLOOKUP(RIGHT(C226,8),'[6]Export shipment'!B$8:E$1256,4,0)</f>
        <v>2318.4</v>
      </c>
      <c r="F226" s="59">
        <v>0</v>
      </c>
      <c r="G226" s="59">
        <v>17.975284306292608</v>
      </c>
      <c r="H226" s="59">
        <v>0</v>
      </c>
      <c r="I226" s="139">
        <f t="shared" si="14"/>
        <v>17.975284306292608</v>
      </c>
      <c r="K226"/>
    </row>
    <row r="227" spans="1:11" hidden="1" outlineLevel="2">
      <c r="A227" s="138">
        <v>45992</v>
      </c>
      <c r="B227" s="1" t="s">
        <v>997</v>
      </c>
      <c r="C227" s="346" t="s">
        <v>1072</v>
      </c>
      <c r="D227" s="1" t="str">
        <f>VLOOKUP(RIGHT(C227,8),'[6]Export shipment'!B$8:J$1256,9,0)</f>
        <v>DSV</v>
      </c>
      <c r="E227" s="1">
        <f>VLOOKUP(RIGHT(C227,8),'[6]Export shipment'!B$8:E$1256,4,0)</f>
        <v>619.20000000000005</v>
      </c>
      <c r="F227" s="59">
        <v>0</v>
      </c>
      <c r="G227" s="59">
        <v>15.16300227445034</v>
      </c>
      <c r="H227" s="59">
        <v>0</v>
      </c>
      <c r="I227" s="139">
        <f t="shared" si="14"/>
        <v>15.16300227445034</v>
      </c>
      <c r="K227"/>
    </row>
    <row r="228" spans="1:11" hidden="1" outlineLevel="2">
      <c r="A228" s="138">
        <v>45992</v>
      </c>
      <c r="B228" s="1" t="s">
        <v>1075</v>
      </c>
      <c r="C228" s="346" t="s">
        <v>1074</v>
      </c>
      <c r="D228" s="1" t="str">
        <f>VLOOKUP(RIGHT(C228,8),'[6]Export shipment'!B$8:J$1256,9,0)</f>
        <v>DSV</v>
      </c>
      <c r="E228" s="1">
        <f>VLOOKUP(RIGHT(C228,8),'[6]Export shipment'!B$8:E$1256,4,0)</f>
        <v>700.8</v>
      </c>
      <c r="F228" s="59">
        <v>0</v>
      </c>
      <c r="G228" s="59">
        <v>15.16300227445034</v>
      </c>
      <c r="H228" s="59">
        <v>0</v>
      </c>
      <c r="I228" s="139">
        <f t="shared" ref="I228:I244" si="15">SUM(F228:H228)</f>
        <v>15.16300227445034</v>
      </c>
      <c r="K228"/>
    </row>
    <row r="229" spans="1:11" hidden="1" outlineLevel="2">
      <c r="A229" s="138">
        <v>45992</v>
      </c>
      <c r="B229" s="1" t="s">
        <v>1064</v>
      </c>
      <c r="C229" s="346" t="s">
        <v>1077</v>
      </c>
      <c r="D229" s="1" t="str">
        <f>VLOOKUP(RIGHT(C229,8),'[6]Export shipment'!B$8:J$1256,9,0)</f>
        <v>DSV</v>
      </c>
      <c r="E229" s="1">
        <f>VLOOKUP(RIGHT(C229,8),'[6]Export shipment'!B$8:E$1256,4,0)</f>
        <v>76</v>
      </c>
      <c r="F229" s="59">
        <v>0</v>
      </c>
      <c r="G229" s="59">
        <v>15.16300227445034</v>
      </c>
      <c r="H229" s="59">
        <v>0</v>
      </c>
      <c r="I229" s="139">
        <f t="shared" si="15"/>
        <v>15.16300227445034</v>
      </c>
      <c r="K229"/>
    </row>
    <row r="230" spans="1:11" hidden="1" outlineLevel="2">
      <c r="A230" s="138">
        <v>45992</v>
      </c>
      <c r="B230" s="1" t="s">
        <v>997</v>
      </c>
      <c r="C230" s="346" t="s">
        <v>1079</v>
      </c>
      <c r="D230" s="1" t="str">
        <f>VLOOKUP(RIGHT(C230,8),'[6]Export shipment'!B$8:J$1256,9,0)</f>
        <v>DSV</v>
      </c>
      <c r="E230" s="1">
        <f>VLOOKUP(RIGHT(C230,8),'[6]Export shipment'!B$8:E$1256,4,0)</f>
        <v>1839.6</v>
      </c>
      <c r="F230" s="59">
        <v>0</v>
      </c>
      <c r="G230" s="59">
        <v>17.394541319181158</v>
      </c>
      <c r="H230" s="59">
        <v>0</v>
      </c>
      <c r="I230" s="139">
        <f t="shared" si="15"/>
        <v>17.394541319181158</v>
      </c>
      <c r="K230"/>
    </row>
    <row r="231" spans="1:11" hidden="1" outlineLevel="2">
      <c r="A231" s="138">
        <v>45992</v>
      </c>
      <c r="B231" s="1" t="s">
        <v>997</v>
      </c>
      <c r="C231" s="346" t="s">
        <v>1080</v>
      </c>
      <c r="D231" s="1" t="str">
        <f>VLOOKUP(RIGHT(C231,8),'[6]Export shipment'!B$8:J$1256,9,0)</f>
        <v>DSV</v>
      </c>
      <c r="E231" s="1">
        <f>VLOOKUP(RIGHT(C231,8),'[6]Export shipment'!B$8:E$1256,4,0)</f>
        <v>402</v>
      </c>
      <c r="F231" s="59">
        <v>0</v>
      </c>
      <c r="G231" s="59">
        <v>15.16300227445034</v>
      </c>
      <c r="H231" s="59">
        <v>0</v>
      </c>
      <c r="I231" s="139">
        <f t="shared" si="15"/>
        <v>15.16300227445034</v>
      </c>
      <c r="K231"/>
    </row>
    <row r="232" spans="1:11" hidden="1" outlineLevel="2">
      <c r="A232" s="138">
        <v>45992</v>
      </c>
      <c r="B232" s="1" t="s">
        <v>997</v>
      </c>
      <c r="C232" s="346" t="s">
        <v>1086</v>
      </c>
      <c r="D232" s="1" t="str">
        <f>VLOOKUP(RIGHT(C232,8),'[6]Export shipment'!B$8:J$1256,9,0)</f>
        <v>DSV</v>
      </c>
      <c r="E232" s="1">
        <f>VLOOKUP(RIGHT(C232,8),'[6]Export shipment'!B$8:E$1256,4,0)</f>
        <v>1346.5</v>
      </c>
      <c r="F232" s="59">
        <v>0</v>
      </c>
      <c r="G232" s="59">
        <v>15.16300227445034</v>
      </c>
      <c r="H232" s="59">
        <v>0</v>
      </c>
      <c r="I232" s="139">
        <f t="shared" si="15"/>
        <v>15.16300227445034</v>
      </c>
      <c r="K232"/>
    </row>
    <row r="233" spans="1:11" hidden="1" outlineLevel="2">
      <c r="A233" s="138">
        <v>45992</v>
      </c>
      <c r="B233" s="1" t="s">
        <v>1054</v>
      </c>
      <c r="C233" s="346" t="s">
        <v>1087</v>
      </c>
      <c r="D233" s="1" t="str">
        <f>VLOOKUP(RIGHT(C233,8),'[6]Export shipment'!B$8:J$1256,9,0)</f>
        <v>FedEx Log</v>
      </c>
      <c r="E233" s="1">
        <f>VLOOKUP(RIGHT(C233,8),'[6]Export shipment'!B$8:E$1256,4,0)</f>
        <v>208.2</v>
      </c>
      <c r="F233" s="59">
        <v>0</v>
      </c>
      <c r="G233" s="59">
        <v>15.16300227445034</v>
      </c>
      <c r="H233" s="59">
        <v>0</v>
      </c>
      <c r="I233" s="139">
        <f t="shared" si="15"/>
        <v>15.16300227445034</v>
      </c>
      <c r="K233"/>
    </row>
    <row r="234" spans="1:11" hidden="1" outlineLevel="2">
      <c r="A234" s="138">
        <v>45992</v>
      </c>
      <c r="B234" s="1" t="s">
        <v>997</v>
      </c>
      <c r="C234" s="346" t="s">
        <v>1089</v>
      </c>
      <c r="D234" s="1" t="str">
        <f>VLOOKUP(RIGHT(C234,8),'[6]Export shipment'!B$8:J$1256,9,0)</f>
        <v>DSV</v>
      </c>
      <c r="E234" s="1">
        <f>VLOOKUP(RIGHT(C234,8),'[6]Export shipment'!B$8:E$1256,4,0)</f>
        <v>380</v>
      </c>
      <c r="F234" s="59">
        <v>0</v>
      </c>
      <c r="G234" s="59">
        <v>15.16300227445034</v>
      </c>
      <c r="H234" s="59">
        <v>0</v>
      </c>
      <c r="I234" s="139">
        <f t="shared" si="15"/>
        <v>15.16300227445034</v>
      </c>
      <c r="K234"/>
    </row>
    <row r="235" spans="1:11" hidden="1" outlineLevel="2">
      <c r="A235" s="138">
        <v>45992</v>
      </c>
      <c r="B235" s="1" t="s">
        <v>997</v>
      </c>
      <c r="C235" s="346" t="s">
        <v>1090</v>
      </c>
      <c r="D235" s="1" t="str">
        <f>VLOOKUP(RIGHT(C235,8),'[6]Export shipment'!B$8:J$1256,9,0)</f>
        <v>DSV</v>
      </c>
      <c r="E235" s="1">
        <f>VLOOKUP(RIGHT(C235,8),'[6]Export shipment'!B$8:E$1256,4,0)</f>
        <v>732</v>
      </c>
      <c r="F235" s="59">
        <v>0</v>
      </c>
      <c r="G235" s="59">
        <v>15.16300227445034</v>
      </c>
      <c r="H235" s="59">
        <v>0</v>
      </c>
      <c r="I235" s="139">
        <f t="shared" si="15"/>
        <v>15.16300227445034</v>
      </c>
      <c r="K235"/>
    </row>
    <row r="236" spans="1:11" hidden="1" outlineLevel="2">
      <c r="A236" s="138">
        <v>45992</v>
      </c>
      <c r="B236" s="1" t="s">
        <v>997</v>
      </c>
      <c r="C236" s="346" t="s">
        <v>1091</v>
      </c>
      <c r="D236" s="1" t="str">
        <f>VLOOKUP(RIGHT(C236,8),'[6]Export shipment'!B$8:J$1256,9,0)</f>
        <v>DSV</v>
      </c>
      <c r="E236" s="1">
        <f>VLOOKUP(RIGHT(C236,8),'[6]Export shipment'!B$8:E$1256,4,0)</f>
        <v>378</v>
      </c>
      <c r="F236" s="59">
        <v>0</v>
      </c>
      <c r="G236" s="59">
        <v>15.16300227445034</v>
      </c>
      <c r="H236" s="59">
        <v>0</v>
      </c>
      <c r="I236" s="139">
        <f t="shared" si="15"/>
        <v>15.16300227445034</v>
      </c>
      <c r="K236"/>
    </row>
    <row r="237" spans="1:11" hidden="1" outlineLevel="2">
      <c r="A237" s="138">
        <v>45992</v>
      </c>
      <c r="B237" s="1" t="s">
        <v>1093</v>
      </c>
      <c r="C237" s="346" t="s">
        <v>1092</v>
      </c>
      <c r="D237" s="1" t="str">
        <f>VLOOKUP(RIGHT(C237,8),'[6]Export shipment'!B$8:J$1256,9,0)</f>
        <v>UPS</v>
      </c>
      <c r="E237" s="1">
        <f>VLOOKUP(RIGHT(C237,8),'[6]Export shipment'!B$8:E$1256,4,0)</f>
        <v>5.5</v>
      </c>
      <c r="F237" s="59">
        <v>18.195602729340408</v>
      </c>
      <c r="G237" s="59">
        <v>24.639878695981803</v>
      </c>
      <c r="H237" s="59">
        <v>0</v>
      </c>
      <c r="I237" s="139">
        <f t="shared" si="15"/>
        <v>42.835481425322214</v>
      </c>
      <c r="K237"/>
    </row>
    <row r="238" spans="1:11" hidden="1" outlineLevel="2">
      <c r="A238" s="138">
        <v>45992</v>
      </c>
      <c r="B238" s="1" t="s">
        <v>997</v>
      </c>
      <c r="C238" s="346" t="s">
        <v>1095</v>
      </c>
      <c r="D238" s="1" t="str">
        <f>VLOOKUP(RIGHT(C238,8),'[6]Export shipment'!B$8:J$1256,9,0)</f>
        <v>DSV</v>
      </c>
      <c r="E238" s="1">
        <f>VLOOKUP(RIGHT(C238,8),'[6]Export shipment'!B$8:E$1256,4,0)</f>
        <v>1559.4</v>
      </c>
      <c r="F238" s="59">
        <v>0</v>
      </c>
      <c r="G238" s="59">
        <v>15.16300227445034</v>
      </c>
      <c r="H238" s="59">
        <v>0</v>
      </c>
      <c r="I238" s="139">
        <f t="shared" si="15"/>
        <v>15.16300227445034</v>
      </c>
      <c r="K238"/>
    </row>
    <row r="239" spans="1:11" hidden="1" outlineLevel="2">
      <c r="A239" s="138">
        <v>45992</v>
      </c>
      <c r="B239" s="1" t="s">
        <v>1023</v>
      </c>
      <c r="C239" s="346" t="s">
        <v>1097</v>
      </c>
      <c r="D239" s="1" t="str">
        <f>VLOOKUP(RIGHT(C239,8),'[6]Export shipment'!B$8:J$1256,9,0)</f>
        <v>DSV</v>
      </c>
      <c r="E239" s="1">
        <f>VLOOKUP(RIGHT(C239,8),'[6]Export shipment'!B$8:E$1256,4,0)</f>
        <v>856</v>
      </c>
      <c r="F239" s="59">
        <v>0</v>
      </c>
      <c r="G239" s="59">
        <v>15.16300227445034</v>
      </c>
      <c r="H239" s="59">
        <v>0</v>
      </c>
      <c r="I239" s="139">
        <f t="shared" si="15"/>
        <v>15.16300227445034</v>
      </c>
      <c r="K239"/>
    </row>
    <row r="240" spans="1:11" hidden="1" outlineLevel="2">
      <c r="A240" s="138">
        <v>45992</v>
      </c>
      <c r="B240" s="1" t="s">
        <v>1102</v>
      </c>
      <c r="C240" s="346" t="s">
        <v>1101</v>
      </c>
      <c r="D240" s="1" t="str">
        <f>VLOOKUP(RIGHT(C240,8),'[6]Export shipment'!B$8:J$1256,9,0)</f>
        <v>DHL</v>
      </c>
      <c r="E240" s="1">
        <f>VLOOKUP(RIGHT(C240,8),'[6]Export shipment'!B$8:E$1256,4,0)</f>
        <v>1.4</v>
      </c>
      <c r="F240" s="59">
        <v>18.195602729340408</v>
      </c>
      <c r="G240" s="59">
        <v>24.639878695981803</v>
      </c>
      <c r="H240" s="59">
        <v>0</v>
      </c>
      <c r="I240" s="139">
        <f t="shared" si="15"/>
        <v>42.835481425322214</v>
      </c>
      <c r="K240"/>
    </row>
    <row r="241" spans="1:11" hidden="1" outlineLevel="2">
      <c r="A241" s="138">
        <v>45992</v>
      </c>
      <c r="B241" s="1" t="s">
        <v>997</v>
      </c>
      <c r="C241" s="346" t="s">
        <v>1103</v>
      </c>
      <c r="D241" s="1" t="str">
        <f>VLOOKUP(RIGHT(C241,8),'[6]Export shipment'!B$8:J$1256,9,0)</f>
        <v>DSV</v>
      </c>
      <c r="E241" s="1">
        <f>VLOOKUP(RIGHT(C241,8),'[6]Export shipment'!B$8:E$1256,4,0)</f>
        <v>2505</v>
      </c>
      <c r="F241" s="59">
        <v>0</v>
      </c>
      <c r="G241" s="59">
        <v>16.682335102350265</v>
      </c>
      <c r="H241" s="59">
        <v>0</v>
      </c>
      <c r="I241" s="139">
        <f t="shared" si="15"/>
        <v>16.682335102350265</v>
      </c>
      <c r="K241"/>
    </row>
    <row r="242" spans="1:11" hidden="1" outlineLevel="2">
      <c r="A242" s="138">
        <v>45992</v>
      </c>
      <c r="B242" s="1" t="s">
        <v>997</v>
      </c>
      <c r="C242" s="346" t="s">
        <v>1104</v>
      </c>
      <c r="D242" s="1" t="str">
        <f>VLOOKUP(RIGHT(C242,8),'[6]Export shipment'!B$8:J$1256,9,0)</f>
        <v>DSV</v>
      </c>
      <c r="E242" s="1">
        <f>VLOOKUP(RIGHT(C242,8),'[6]Export shipment'!B$8:E$1256,4,0)</f>
        <v>2144.8000000000002</v>
      </c>
      <c r="F242" s="59">
        <v>0</v>
      </c>
      <c r="G242" s="59">
        <v>16.463874147081121</v>
      </c>
      <c r="H242" s="59">
        <v>0</v>
      </c>
      <c r="I242" s="139">
        <f t="shared" si="15"/>
        <v>16.463874147081121</v>
      </c>
      <c r="K242"/>
    </row>
    <row r="243" spans="1:11" hidden="1" outlineLevel="2">
      <c r="A243" s="138">
        <v>45992</v>
      </c>
      <c r="B243" s="1" t="s">
        <v>997</v>
      </c>
      <c r="C243" s="346" t="s">
        <v>1105</v>
      </c>
      <c r="D243" s="1" t="str">
        <f>VLOOKUP(RIGHT(C243,8),'[6]Export shipment'!B$8:J$1256,9,0)</f>
        <v>DSV</v>
      </c>
      <c r="E243" s="1">
        <f>VLOOKUP(RIGHT(C243,8),'[6]Export shipment'!B$8:E$1256,4,0)</f>
        <v>1226.2</v>
      </c>
      <c r="F243" s="59">
        <v>0</v>
      </c>
      <c r="G243" s="59">
        <v>15.906709628506443</v>
      </c>
      <c r="H243" s="59">
        <v>0</v>
      </c>
      <c r="I243" s="139">
        <f t="shared" si="15"/>
        <v>15.906709628506443</v>
      </c>
      <c r="K243"/>
    </row>
    <row r="244" spans="1:11" hidden="1" outlineLevel="2">
      <c r="A244" s="138">
        <v>45992</v>
      </c>
      <c r="B244" s="1" t="s">
        <v>1138</v>
      </c>
      <c r="C244" s="346" t="s">
        <v>1266</v>
      </c>
      <c r="D244" s="1" t="str">
        <f>VLOOKUP(C244,'[6]Export shipment'!B$8:J$1256,9,0)</f>
        <v>Handcarry</v>
      </c>
      <c r="E244" s="1">
        <f>VLOOKUP(C244,'[6]Export shipment'!B$8:E$1256,4,0)</f>
        <v>0.3</v>
      </c>
      <c r="F244" s="59">
        <v>0</v>
      </c>
      <c r="G244" s="59">
        <v>0</v>
      </c>
      <c r="H244" s="59">
        <v>25.086190871872631</v>
      </c>
      <c r="I244" s="139">
        <f t="shared" si="15"/>
        <v>25.086190871872631</v>
      </c>
      <c r="K244"/>
    </row>
    <row r="245" spans="1:11" outlineLevel="1" collapsed="1">
      <c r="A245" s="138" t="s">
        <v>1265</v>
      </c>
      <c r="B245" s="1"/>
      <c r="C245" s="346"/>
      <c r="D245" s="677"/>
      <c r="E245" s="760">
        <f>SUBTOTAL(9,E196:E244)</f>
        <v>50119.409999999996</v>
      </c>
      <c r="F245" s="59">
        <f>SUBTOTAL(9,F196:F244)</f>
        <v>36.391205458680815</v>
      </c>
      <c r="G245" s="59">
        <f>SUBTOTAL(9,G196:G244)</f>
        <v>761.0749810462471</v>
      </c>
      <c r="H245" s="59">
        <f>SUBTOTAL(9,H196:H244)</f>
        <v>25.086190871872631</v>
      </c>
      <c r="I245" s="59">
        <f>SUBTOTAL(9,I196:I244)</f>
        <v>822.55237737680056</v>
      </c>
      <c r="K245"/>
    </row>
    <row r="246" spans="1:11" hidden="1" outlineLevel="2">
      <c r="A246" s="138">
        <v>46023</v>
      </c>
      <c r="B246" s="1" t="s">
        <v>997</v>
      </c>
      <c r="C246" s="346" t="s">
        <v>1336</v>
      </c>
      <c r="D246" s="677" t="str">
        <f>VLOOKUP(RIGHT(C246,8),'[6]Export shipment'!B$8:J$1256,9,0)</f>
        <v>DSV</v>
      </c>
      <c r="E246" s="760">
        <f>VLOOKUP(RIGHT(C246,8),'[6]Export shipment'!B$8:E$1256,4,0)</f>
        <v>3733.6</v>
      </c>
      <c r="F246" s="59">
        <v>0</v>
      </c>
      <c r="G246" s="59">
        <v>24.866105585309871</v>
      </c>
      <c r="H246" s="59">
        <v>0</v>
      </c>
      <c r="I246" s="139">
        <f t="shared" ref="I246:I280" si="16">SUM(F246:H246)</f>
        <v>24.866105585309871</v>
      </c>
      <c r="K246"/>
    </row>
    <row r="247" spans="1:11" hidden="1" outlineLevel="2">
      <c r="A247" s="138">
        <v>46023</v>
      </c>
      <c r="B247" s="1" t="s">
        <v>997</v>
      </c>
      <c r="C247" s="346" t="s">
        <v>1339</v>
      </c>
      <c r="D247" s="677" t="str">
        <f>VLOOKUP(RIGHT(C247,8),'[6]Export shipment'!B$8:J$1256,9,0)</f>
        <v>DSV</v>
      </c>
      <c r="E247" s="760">
        <f>VLOOKUP(RIGHT(C247,8),'[6]Export shipment'!B$8:E$1256,4,0)</f>
        <v>298.39999999999998</v>
      </c>
      <c r="F247" s="59">
        <v>0</v>
      </c>
      <c r="G247" s="59">
        <v>15.30221882172915</v>
      </c>
      <c r="H247" s="59">
        <v>0</v>
      </c>
      <c r="I247" s="139">
        <f t="shared" si="16"/>
        <v>15.30221882172915</v>
      </c>
      <c r="K247"/>
    </row>
    <row r="248" spans="1:11" hidden="1" outlineLevel="2">
      <c r="A248" s="138">
        <v>46023</v>
      </c>
      <c r="B248" s="1" t="s">
        <v>997</v>
      </c>
      <c r="C248" s="346" t="s">
        <v>1340</v>
      </c>
      <c r="D248" s="677" t="str">
        <f>VLOOKUP(RIGHT(C248,8),'[6]Export shipment'!B$8:J$1256,9,0)</f>
        <v>DSV</v>
      </c>
      <c r="E248" s="760">
        <f>VLOOKUP(RIGHT(C248,8),'[6]Export shipment'!B$8:E$1256,4,0)</f>
        <v>432.8</v>
      </c>
      <c r="F248" s="59">
        <v>0</v>
      </c>
      <c r="G248" s="59">
        <v>15.30221882172915</v>
      </c>
      <c r="H248" s="59">
        <v>0</v>
      </c>
      <c r="I248" s="139">
        <f t="shared" si="16"/>
        <v>15.30221882172915</v>
      </c>
      <c r="K248"/>
    </row>
    <row r="249" spans="1:11" hidden="1" outlineLevel="2">
      <c r="A249" s="138">
        <v>46023</v>
      </c>
      <c r="B249" s="1" t="s">
        <v>997</v>
      </c>
      <c r="C249" s="346" t="s">
        <v>1341</v>
      </c>
      <c r="D249" s="677" t="str">
        <f>VLOOKUP(RIGHT(C249,8),'[6]Export shipment'!B$8:J$1256,9,0)</f>
        <v>DSV</v>
      </c>
      <c r="E249" s="760">
        <f>VLOOKUP(RIGHT(C249,8),'[6]Export shipment'!B$8:E$1256,4,0)</f>
        <v>570</v>
      </c>
      <c r="F249" s="59">
        <v>0</v>
      </c>
      <c r="G249" s="59">
        <v>15.30221882172915</v>
      </c>
      <c r="H249" s="59">
        <v>0</v>
      </c>
      <c r="I249" s="139">
        <f t="shared" si="16"/>
        <v>15.30221882172915</v>
      </c>
      <c r="K249"/>
    </row>
    <row r="250" spans="1:11" hidden="1" outlineLevel="2">
      <c r="A250" s="138">
        <v>46023</v>
      </c>
      <c r="B250" s="1" t="s">
        <v>1023</v>
      </c>
      <c r="C250" s="346" t="s">
        <v>1348</v>
      </c>
      <c r="D250" s="677" t="str">
        <f>VLOOKUP(RIGHT(C250,8),'[6]Export shipment'!B$8:J$1256,9,0)</f>
        <v>DSV</v>
      </c>
      <c r="E250" s="760">
        <f>VLOOKUP(RIGHT(C250,8),'[6]Export shipment'!B$8:E$1256,4,0)</f>
        <v>1212.4000000000001</v>
      </c>
      <c r="F250" s="59">
        <v>0</v>
      </c>
      <c r="G250" s="59">
        <v>15.30221882172915</v>
      </c>
      <c r="H250" s="59">
        <v>0</v>
      </c>
      <c r="I250" s="139">
        <f t="shared" si="16"/>
        <v>15.30221882172915</v>
      </c>
      <c r="K250"/>
    </row>
    <row r="251" spans="1:11" hidden="1" outlineLevel="2">
      <c r="A251" s="138">
        <v>46023</v>
      </c>
      <c r="B251" s="1" t="s">
        <v>1075</v>
      </c>
      <c r="C251" s="346" t="s">
        <v>1351</v>
      </c>
      <c r="D251" s="677" t="str">
        <f>VLOOKUP(RIGHT(C251,8),'[6]Export shipment'!B$8:J$1256,9,0)</f>
        <v>DSV</v>
      </c>
      <c r="E251" s="760">
        <f>VLOOKUP(RIGHT(C251,8),'[6]Export shipment'!B$8:E$1256,4,0)</f>
        <v>866</v>
      </c>
      <c r="F251" s="59">
        <v>0</v>
      </c>
      <c r="G251" s="59">
        <v>15.30221882172915</v>
      </c>
      <c r="H251" s="59">
        <v>0</v>
      </c>
      <c r="I251" s="139">
        <f t="shared" si="16"/>
        <v>15.30221882172915</v>
      </c>
      <c r="K251"/>
    </row>
    <row r="252" spans="1:11" hidden="1" outlineLevel="2">
      <c r="A252" s="138">
        <v>46023</v>
      </c>
      <c r="B252" s="1" t="s">
        <v>997</v>
      </c>
      <c r="C252" s="346" t="s">
        <v>1352</v>
      </c>
      <c r="D252" s="677" t="str">
        <f>VLOOKUP(RIGHT(C252,8),'[6]Export shipment'!B$8:J$1256,9,0)</f>
        <v>DSV</v>
      </c>
      <c r="E252" s="760">
        <f>VLOOKUP(RIGHT(C252,8),'[6]Export shipment'!B$8:E$1256,4,0)</f>
        <v>740</v>
      </c>
      <c r="F252" s="59">
        <v>0</v>
      </c>
      <c r="G252" s="59">
        <v>15.30221882172915</v>
      </c>
      <c r="H252" s="59">
        <v>0</v>
      </c>
      <c r="I252" s="139">
        <f t="shared" si="16"/>
        <v>15.30221882172915</v>
      </c>
      <c r="K252"/>
    </row>
    <row r="253" spans="1:11" hidden="1" outlineLevel="2">
      <c r="A253" s="138">
        <v>46023</v>
      </c>
      <c r="B253" s="1" t="s">
        <v>997</v>
      </c>
      <c r="C253" s="346" t="s">
        <v>1353</v>
      </c>
      <c r="D253" s="677" t="str">
        <f>VLOOKUP(RIGHT(C253,8),'[6]Export shipment'!B$8:J$1256,9,0)</f>
        <v>DSV</v>
      </c>
      <c r="E253" s="760">
        <f>VLOOKUP(RIGHT(C253,8),'[6]Export shipment'!B$8:E$1256,4,0)</f>
        <v>773.6</v>
      </c>
      <c r="F253" s="59">
        <v>0</v>
      </c>
      <c r="G253" s="59">
        <v>15.30221882172915</v>
      </c>
      <c r="H253" s="59">
        <v>0</v>
      </c>
      <c r="I253" s="139">
        <f t="shared" si="16"/>
        <v>15.30221882172915</v>
      </c>
      <c r="K253"/>
    </row>
    <row r="254" spans="1:11" hidden="1" outlineLevel="2">
      <c r="A254" s="138">
        <v>46023</v>
      </c>
      <c r="B254" s="1" t="s">
        <v>1064</v>
      </c>
      <c r="C254" s="346" t="s">
        <v>1357</v>
      </c>
      <c r="D254" s="677" t="str">
        <f>VLOOKUP(RIGHT(C254,8),'[6]Export shipment'!B$8:J$1256,9,0)</f>
        <v>DSV</v>
      </c>
      <c r="E254" s="760">
        <f>VLOOKUP(RIGHT(C254,8),'[6]Export shipment'!B$8:E$1256,4,0)</f>
        <v>58.1</v>
      </c>
      <c r="F254" s="59">
        <v>0</v>
      </c>
      <c r="G254" s="59">
        <v>15.30221882172915</v>
      </c>
      <c r="H254" s="59">
        <v>0</v>
      </c>
      <c r="I254" s="139">
        <f t="shared" si="16"/>
        <v>15.30221882172915</v>
      </c>
      <c r="K254"/>
    </row>
    <row r="255" spans="1:11" hidden="1" outlineLevel="2">
      <c r="A255" s="138">
        <v>46023</v>
      </c>
      <c r="B255" s="1" t="s">
        <v>997</v>
      </c>
      <c r="C255" s="346" t="s">
        <v>1358</v>
      </c>
      <c r="D255" s="677" t="str">
        <f>VLOOKUP(RIGHT(C255,8),'[6]Export shipment'!B$8:J$1256,9,0)</f>
        <v>DSV</v>
      </c>
      <c r="E255" s="760">
        <f>VLOOKUP(RIGHT(C255,8),'[6]Export shipment'!B$8:E$1256,4,0)</f>
        <v>1097.5999999999999</v>
      </c>
      <c r="F255" s="59">
        <v>0</v>
      </c>
      <c r="G255" s="59">
        <v>15.30221882172915</v>
      </c>
      <c r="H255" s="59">
        <v>0</v>
      </c>
      <c r="I255" s="139">
        <f t="shared" si="16"/>
        <v>15.30221882172915</v>
      </c>
      <c r="K255"/>
    </row>
    <row r="256" spans="1:11" hidden="1" outlineLevel="2">
      <c r="A256" s="138">
        <v>46023</v>
      </c>
      <c r="B256" s="1" t="s">
        <v>997</v>
      </c>
      <c r="C256" s="346" t="s">
        <v>1360</v>
      </c>
      <c r="D256" s="677" t="str">
        <f>VLOOKUP(RIGHT(C256,8),'[2]Export shipment'!B$8:J$1256,9,0)</f>
        <v>DSV</v>
      </c>
      <c r="E256" s="760">
        <f>VLOOKUP(RIGHT(C256,8),'[2]Export shipment'!B$8:E$1256,4,0)</f>
        <v>2893.5</v>
      </c>
      <c r="F256" s="59">
        <v>0</v>
      </c>
      <c r="G256" s="59">
        <v>24.866105585309871</v>
      </c>
      <c r="H256" s="59">
        <v>0</v>
      </c>
      <c r="I256" s="139">
        <f t="shared" si="16"/>
        <v>24.866105585309871</v>
      </c>
      <c r="K256"/>
    </row>
    <row r="257" spans="1:11" hidden="1" outlineLevel="2">
      <c r="A257" s="138">
        <v>46023</v>
      </c>
      <c r="B257" s="1" t="s">
        <v>997</v>
      </c>
      <c r="C257" s="346" t="s">
        <v>1362</v>
      </c>
      <c r="D257" s="677" t="str">
        <f>VLOOKUP(RIGHT(C257,8),'[2]Export shipment'!B$8:J$1256,9,0)</f>
        <v>DSV</v>
      </c>
      <c r="E257" s="760">
        <f>VLOOKUP(RIGHT(C257,8),'[2]Export shipment'!B$8:E$1256,4,0)</f>
        <v>293.60000000000002</v>
      </c>
      <c r="F257" s="59">
        <v>0</v>
      </c>
      <c r="G257" s="59">
        <v>15.30221882172915</v>
      </c>
      <c r="H257" s="59">
        <v>0</v>
      </c>
      <c r="I257" s="139">
        <f t="shared" si="16"/>
        <v>15.30221882172915</v>
      </c>
      <c r="K257"/>
    </row>
    <row r="258" spans="1:11" hidden="1" outlineLevel="2">
      <c r="A258" s="138">
        <v>46023</v>
      </c>
      <c r="B258" s="1" t="s">
        <v>1364</v>
      </c>
      <c r="C258" s="346" t="s">
        <v>1363</v>
      </c>
      <c r="D258" s="677" t="str">
        <f>VLOOKUP(RIGHT(C258,8),'[2]Export shipment'!B$8:J$1256,9,0)</f>
        <v>FedEx</v>
      </c>
      <c r="E258" s="760">
        <f>VLOOKUP(RIGHT(C258,8),'[2]Export shipment'!B$8:E$1256,4,0)</f>
        <v>16</v>
      </c>
      <c r="F258" s="59">
        <v>18.362662586074983</v>
      </c>
      <c r="G258" s="59">
        <v>24.866105585309871</v>
      </c>
      <c r="H258" s="59">
        <v>0</v>
      </c>
      <c r="I258" s="139">
        <f t="shared" si="16"/>
        <v>43.228768171384857</v>
      </c>
      <c r="K258"/>
    </row>
    <row r="259" spans="1:11" hidden="1" outlineLevel="2">
      <c r="A259" s="138">
        <v>46023</v>
      </c>
      <c r="B259" s="1" t="s">
        <v>997</v>
      </c>
      <c r="C259" s="346" t="s">
        <v>1368</v>
      </c>
      <c r="D259" s="677" t="str">
        <f>VLOOKUP(RIGHT(C259,8),'[2]Export shipment'!B$8:J$1256,9,0)</f>
        <v>DSV</v>
      </c>
      <c r="E259" s="760">
        <f>VLOOKUP(RIGHT(C259,8),'[2]Export shipment'!B$8:E$1256,4,0)</f>
        <v>256.10000000000002</v>
      </c>
      <c r="F259" s="59">
        <v>0</v>
      </c>
      <c r="G259" s="59">
        <v>15.30221882172915</v>
      </c>
      <c r="H259" s="59">
        <v>0</v>
      </c>
      <c r="I259" s="139">
        <f t="shared" si="16"/>
        <v>15.30221882172915</v>
      </c>
      <c r="K259"/>
    </row>
    <row r="260" spans="1:11" hidden="1" outlineLevel="2">
      <c r="A260" s="138">
        <v>46023</v>
      </c>
      <c r="B260" s="1" t="s">
        <v>997</v>
      </c>
      <c r="C260" s="346" t="s">
        <v>1369</v>
      </c>
      <c r="D260" s="677" t="str">
        <f>VLOOKUP(RIGHT(C260,8),'[2]Export shipment'!B$8:J$1256,9,0)</f>
        <v>DSV</v>
      </c>
      <c r="E260" s="760">
        <f>VLOOKUP(RIGHT(C260,8),'[2]Export shipment'!B$8:E$1256,4,0)</f>
        <v>1853.2</v>
      </c>
      <c r="F260" s="59">
        <v>0</v>
      </c>
      <c r="G260" s="59">
        <v>15.30221882172915</v>
      </c>
      <c r="H260" s="59">
        <v>0</v>
      </c>
      <c r="I260" s="139">
        <f t="shared" si="16"/>
        <v>15.30221882172915</v>
      </c>
      <c r="K260"/>
    </row>
    <row r="261" spans="1:11" hidden="1" outlineLevel="2">
      <c r="A261" s="138">
        <v>46023</v>
      </c>
      <c r="B261" s="1" t="s">
        <v>997</v>
      </c>
      <c r="C261" s="346" t="s">
        <v>1370</v>
      </c>
      <c r="D261" s="677" t="str">
        <f>VLOOKUP(RIGHT(C261,8),'[2]Export shipment'!B$8:J$1256,9,0)</f>
        <v>DSV</v>
      </c>
      <c r="E261" s="760">
        <f>VLOOKUP(RIGHT(C261,8),'[2]Export shipment'!B$8:E$1256,4,0)</f>
        <v>3037.2</v>
      </c>
      <c r="F261" s="59">
        <v>0</v>
      </c>
      <c r="G261" s="59">
        <v>15.30221882172915</v>
      </c>
      <c r="H261" s="59">
        <v>0</v>
      </c>
      <c r="I261" s="139">
        <f t="shared" si="16"/>
        <v>15.30221882172915</v>
      </c>
      <c r="K261"/>
    </row>
    <row r="262" spans="1:11" hidden="1" outlineLevel="2">
      <c r="A262" s="138">
        <v>46023</v>
      </c>
      <c r="B262" s="1" t="s">
        <v>997</v>
      </c>
      <c r="C262" s="346" t="s">
        <v>1372</v>
      </c>
      <c r="D262" s="677" t="str">
        <f>VLOOKUP(RIGHT(C262,8),'[2]Export shipment'!B$8:J$1256,9,0)</f>
        <v>DSV</v>
      </c>
      <c r="E262" s="760">
        <f>VLOOKUP(RIGHT(C262,8),'[2]Export shipment'!B$8:E$1256,4,0)</f>
        <v>1258.4000000000001</v>
      </c>
      <c r="F262" s="59">
        <v>0</v>
      </c>
      <c r="G262" s="59">
        <v>15.30221882172915</v>
      </c>
      <c r="H262" s="59">
        <v>0</v>
      </c>
      <c r="I262" s="139">
        <f t="shared" si="16"/>
        <v>15.30221882172915</v>
      </c>
      <c r="K262"/>
    </row>
    <row r="263" spans="1:11" hidden="1" outlineLevel="2">
      <c r="A263" s="138">
        <v>46023</v>
      </c>
      <c r="B263" s="1" t="s">
        <v>997</v>
      </c>
      <c r="C263" s="346" t="s">
        <v>1373</v>
      </c>
      <c r="D263" s="677" t="str">
        <f>VLOOKUP(RIGHT(C263,8),'[2]Export shipment'!B$8:J$1256,9,0)</f>
        <v>DSV</v>
      </c>
      <c r="E263" s="760">
        <f>VLOOKUP(RIGHT(C263,8),'[2]Export shipment'!B$8:E$1256,4,0)</f>
        <v>299.60000000000002</v>
      </c>
      <c r="F263" s="59">
        <v>0</v>
      </c>
      <c r="G263" s="59">
        <v>15.30221882172915</v>
      </c>
      <c r="H263" s="59">
        <v>0</v>
      </c>
      <c r="I263" s="139">
        <f t="shared" si="16"/>
        <v>15.30221882172915</v>
      </c>
      <c r="K263"/>
    </row>
    <row r="264" spans="1:11" hidden="1" outlineLevel="2">
      <c r="A264" s="138">
        <v>46023</v>
      </c>
      <c r="B264" s="1" t="s">
        <v>997</v>
      </c>
      <c r="C264" s="346" t="s">
        <v>1374</v>
      </c>
      <c r="D264" s="677" t="str">
        <f>VLOOKUP(RIGHT(C264,8),'[2]Export shipment'!B$8:J$1256,9,0)</f>
        <v>DSV</v>
      </c>
      <c r="E264" s="760">
        <f>VLOOKUP(RIGHT(C264,8),'[2]Export shipment'!B$8:E$1256,4,0)</f>
        <v>489.2</v>
      </c>
      <c r="F264" s="59">
        <v>0</v>
      </c>
      <c r="G264" s="59">
        <v>15.30221882172915</v>
      </c>
      <c r="H264" s="59">
        <v>0</v>
      </c>
      <c r="I264" s="139">
        <f t="shared" si="16"/>
        <v>15.30221882172915</v>
      </c>
      <c r="K264"/>
    </row>
    <row r="265" spans="1:11" hidden="1" outlineLevel="2">
      <c r="A265" s="138">
        <v>46023</v>
      </c>
      <c r="B265" s="1" t="s">
        <v>1377</v>
      </c>
      <c r="C265" s="346" t="s">
        <v>1376</v>
      </c>
      <c r="D265" s="677" t="str">
        <f>VLOOKUP(RIGHT(C265,8),'[2]Export shipment'!B$8:J$1256,9,0)</f>
        <v>FedEx</v>
      </c>
      <c r="E265" s="760">
        <f>VLOOKUP(RIGHT(C265,8),'[2]Export shipment'!B$8:E$1256,4,0)</f>
        <v>0.5</v>
      </c>
      <c r="F265" s="59">
        <v>18.362662586074983</v>
      </c>
      <c r="G265" s="59">
        <v>24.866105585309871</v>
      </c>
      <c r="H265" s="59">
        <v>28.417521040550881</v>
      </c>
      <c r="I265" s="139">
        <f t="shared" si="16"/>
        <v>71.646289211935738</v>
      </c>
      <c r="K265"/>
    </row>
    <row r="266" spans="1:11" hidden="1" outlineLevel="2">
      <c r="A266" s="138">
        <v>46023</v>
      </c>
      <c r="B266" s="1" t="s">
        <v>997</v>
      </c>
      <c r="C266" s="346" t="s">
        <v>1378</v>
      </c>
      <c r="D266" s="677" t="str">
        <f>VLOOKUP(RIGHT(C266,8),'[2]Export shipment'!B$8:J$1256,9,0)</f>
        <v>DSV</v>
      </c>
      <c r="E266" s="760">
        <f>VLOOKUP(RIGHT(C266,8),'[2]Export shipment'!B$8:E$1256,4,0)</f>
        <v>1159.8</v>
      </c>
      <c r="F266" s="59">
        <v>0</v>
      </c>
      <c r="G266" s="59">
        <v>15.30221882172915</v>
      </c>
      <c r="H266" s="59">
        <v>0</v>
      </c>
      <c r="I266" s="139">
        <f t="shared" si="16"/>
        <v>15.30221882172915</v>
      </c>
      <c r="K266"/>
    </row>
    <row r="267" spans="1:11" hidden="1" outlineLevel="2">
      <c r="A267" s="138">
        <v>46023</v>
      </c>
      <c r="B267" s="1" t="s">
        <v>997</v>
      </c>
      <c r="C267" s="346" t="s">
        <v>1379</v>
      </c>
      <c r="D267" s="677" t="str">
        <f>VLOOKUP(RIGHT(C267,8),'[2]Export shipment'!B$8:J$1256,9,0)</f>
        <v>DSV</v>
      </c>
      <c r="E267" s="760">
        <f>VLOOKUP(RIGHT(C267,8),'[2]Export shipment'!B$8:E$1256,4,0)</f>
        <v>219.6</v>
      </c>
      <c r="F267" s="59">
        <v>0</v>
      </c>
      <c r="G267" s="59">
        <v>15.30221882172915</v>
      </c>
      <c r="H267" s="59">
        <v>0</v>
      </c>
      <c r="I267" s="139">
        <f t="shared" si="16"/>
        <v>15.30221882172915</v>
      </c>
      <c r="K267"/>
    </row>
    <row r="268" spans="1:11" hidden="1" outlineLevel="2">
      <c r="A268" s="138">
        <v>46023</v>
      </c>
      <c r="B268" s="1" t="s">
        <v>997</v>
      </c>
      <c r="C268" s="346" t="s">
        <v>1380</v>
      </c>
      <c r="D268" s="677" t="str">
        <f>VLOOKUP(RIGHT(C268,8),'[2]Export shipment'!B$8:J$1256,9,0)</f>
        <v>DSV</v>
      </c>
      <c r="E268" s="760">
        <f>VLOOKUP(RIGHT(C268,8),'[2]Export shipment'!B$8:E$1256,4,0)</f>
        <v>2583.5</v>
      </c>
      <c r="F268" s="59">
        <v>0</v>
      </c>
      <c r="G268" s="59">
        <v>15.30221882172915</v>
      </c>
      <c r="H268" s="59">
        <v>0</v>
      </c>
      <c r="I268" s="139">
        <f t="shared" si="16"/>
        <v>15.30221882172915</v>
      </c>
      <c r="K268"/>
    </row>
    <row r="269" spans="1:11" hidden="1" outlineLevel="2">
      <c r="A269" s="138">
        <v>46023</v>
      </c>
      <c r="B269" s="1" t="s">
        <v>1023</v>
      </c>
      <c r="C269" s="346" t="s">
        <v>1381</v>
      </c>
      <c r="D269" s="677" t="str">
        <f>VLOOKUP(RIGHT(C269,8),'[2]Export shipment'!B$8:J$1256,9,0)</f>
        <v>DSV</v>
      </c>
      <c r="E269" s="760">
        <f>VLOOKUP(RIGHT(C269,8),'[2]Export shipment'!B$8:E$1256,4,0)</f>
        <v>881</v>
      </c>
      <c r="F269" s="59">
        <v>0</v>
      </c>
      <c r="G269" s="59">
        <v>15.30221882172915</v>
      </c>
      <c r="H269" s="59">
        <v>0</v>
      </c>
      <c r="I269" s="139">
        <f t="shared" si="16"/>
        <v>15.30221882172915</v>
      </c>
      <c r="K269"/>
    </row>
    <row r="270" spans="1:11" hidden="1" outlineLevel="2">
      <c r="A270" s="138">
        <v>46023</v>
      </c>
      <c r="B270" s="1" t="s">
        <v>997</v>
      </c>
      <c r="C270" s="346" t="s">
        <v>1384</v>
      </c>
      <c r="D270" s="677" t="str">
        <f>VLOOKUP(RIGHT(C270,8),'[2]Export shipment'!B$8:J$1256,9,0)</f>
        <v>DSV</v>
      </c>
      <c r="E270" s="760">
        <f>VLOOKUP(RIGHT(C270,8),'[2]Export shipment'!B$8:E$1256,4,0)</f>
        <v>304.39999999999998</v>
      </c>
      <c r="F270" s="59">
        <v>0</v>
      </c>
      <c r="G270" s="59">
        <v>15.30221882172915</v>
      </c>
      <c r="H270" s="59">
        <v>0</v>
      </c>
      <c r="I270" s="139">
        <f t="shared" si="16"/>
        <v>15.30221882172915</v>
      </c>
      <c r="K270"/>
    </row>
    <row r="271" spans="1:11" hidden="1" outlineLevel="2">
      <c r="A271" s="138">
        <v>46023</v>
      </c>
      <c r="B271" s="1" t="s">
        <v>997</v>
      </c>
      <c r="C271" s="346" t="s">
        <v>1385</v>
      </c>
      <c r="D271" s="677" t="str">
        <f>VLOOKUP(RIGHT(C271,8),'[2]Export shipment'!B$8:J$1256,9,0)</f>
        <v>DSV</v>
      </c>
      <c r="E271" s="760">
        <f>VLOOKUP(RIGHT(C271,8),'[2]Export shipment'!B$8:E$1256,4,0)</f>
        <v>2002.8</v>
      </c>
      <c r="F271" s="59">
        <v>0</v>
      </c>
      <c r="G271" s="59">
        <v>15.30221882172915</v>
      </c>
      <c r="H271" s="59">
        <v>0</v>
      </c>
      <c r="I271" s="139">
        <f t="shared" si="16"/>
        <v>15.30221882172915</v>
      </c>
      <c r="K271"/>
    </row>
    <row r="272" spans="1:11" hidden="1" outlineLevel="2">
      <c r="A272" s="138">
        <v>46023</v>
      </c>
      <c r="B272" s="1" t="s">
        <v>997</v>
      </c>
      <c r="C272" s="346" t="s">
        <v>1386</v>
      </c>
      <c r="D272" s="677" t="str">
        <f>VLOOKUP(RIGHT(C272,8),'[2]Export shipment'!B$8:J$1256,9,0)</f>
        <v>DSV</v>
      </c>
      <c r="E272" s="760">
        <f>VLOOKUP(RIGHT(C272,8),'[2]Export shipment'!B$8:E$1256,4,0)</f>
        <v>2995.8</v>
      </c>
      <c r="F272" s="59">
        <v>0</v>
      </c>
      <c r="G272" s="59">
        <v>15.30221882172915</v>
      </c>
      <c r="H272" s="59">
        <v>0</v>
      </c>
      <c r="I272" s="139">
        <f t="shared" si="16"/>
        <v>15.30221882172915</v>
      </c>
      <c r="K272"/>
    </row>
    <row r="273" spans="1:11" hidden="1" outlineLevel="2">
      <c r="A273" s="138">
        <v>46023</v>
      </c>
      <c r="B273" s="1" t="s">
        <v>997</v>
      </c>
      <c r="C273" s="346" t="s">
        <v>1389</v>
      </c>
      <c r="D273" s="677" t="str">
        <f>VLOOKUP(RIGHT(C273,8),'[2]Export shipment'!B$8:J$1256,9,0)</f>
        <v>DSV</v>
      </c>
      <c r="E273" s="760">
        <f>VLOOKUP(RIGHT(C273,8),'[2]Export shipment'!B$8:E$1256,4,0)</f>
        <v>898.8</v>
      </c>
      <c r="F273" s="59">
        <v>0</v>
      </c>
      <c r="G273" s="59">
        <v>15.30221882172915</v>
      </c>
      <c r="H273" s="59">
        <v>0</v>
      </c>
      <c r="I273" s="139">
        <f t="shared" si="16"/>
        <v>15.30221882172915</v>
      </c>
      <c r="K273"/>
    </row>
    <row r="274" spans="1:11" hidden="1" outlineLevel="2">
      <c r="A274" s="138">
        <v>46023</v>
      </c>
      <c r="B274" s="1" t="s">
        <v>997</v>
      </c>
      <c r="C274" s="346" t="s">
        <v>1390</v>
      </c>
      <c r="D274" s="677" t="str">
        <f>VLOOKUP(RIGHT(C274,8),'[2]Export shipment'!B$8:J$1256,9,0)</f>
        <v>DSV</v>
      </c>
      <c r="E274" s="760">
        <f>VLOOKUP(RIGHT(C274,8),'[2]Export shipment'!B$8:E$1256,4,0)</f>
        <v>1323.2</v>
      </c>
      <c r="F274" s="59">
        <v>0</v>
      </c>
      <c r="G274" s="59">
        <v>15.30221882172915</v>
      </c>
      <c r="H274" s="59">
        <v>0</v>
      </c>
      <c r="I274" s="139">
        <f t="shared" si="16"/>
        <v>15.30221882172915</v>
      </c>
      <c r="K274"/>
    </row>
    <row r="275" spans="1:11" hidden="1" outlineLevel="2">
      <c r="A275" s="138">
        <v>46023</v>
      </c>
      <c r="B275" s="1" t="s">
        <v>997</v>
      </c>
      <c r="C275" s="346" t="s">
        <v>1392</v>
      </c>
      <c r="D275" s="677" t="str">
        <f>VLOOKUP(RIGHT(C275,8),'[2]Export shipment'!B$8:J$1256,9,0)</f>
        <v>DSV</v>
      </c>
      <c r="E275" s="760">
        <f>VLOOKUP(RIGHT(C275,8),'[2]Export shipment'!B$8:E$1256,4,0)</f>
        <v>661.6</v>
      </c>
      <c r="F275" s="59">
        <v>0</v>
      </c>
      <c r="G275" s="59">
        <v>15.30221882172915</v>
      </c>
      <c r="H275" s="59">
        <v>0</v>
      </c>
      <c r="I275" s="139">
        <f t="shared" si="16"/>
        <v>15.30221882172915</v>
      </c>
      <c r="K275"/>
    </row>
    <row r="276" spans="1:11" hidden="1" outlineLevel="2">
      <c r="A276" s="138">
        <v>46023</v>
      </c>
      <c r="B276" s="1" t="s">
        <v>997</v>
      </c>
      <c r="C276" s="346" t="s">
        <v>1394</v>
      </c>
      <c r="D276" s="677" t="str">
        <f>VLOOKUP(RIGHT(C276,8),'[2]Export shipment'!B$8:J$1256,9,0)</f>
        <v>DSV</v>
      </c>
      <c r="E276" s="760">
        <f>VLOOKUP(RIGHT(C276,8),'[2]Export shipment'!B$8:E$1256,4,0)</f>
        <v>445.8</v>
      </c>
      <c r="F276" s="59">
        <v>0</v>
      </c>
      <c r="G276" s="59">
        <v>15.30221882172915</v>
      </c>
      <c r="H276" s="59">
        <v>0</v>
      </c>
      <c r="I276" s="139">
        <f t="shared" si="16"/>
        <v>15.30221882172915</v>
      </c>
      <c r="K276"/>
    </row>
    <row r="277" spans="1:11" hidden="1" outlineLevel="2">
      <c r="A277" s="138">
        <v>46023</v>
      </c>
      <c r="B277" s="1" t="s">
        <v>997</v>
      </c>
      <c r="C277" s="346" t="s">
        <v>1397</v>
      </c>
      <c r="D277" s="677" t="str">
        <f>VLOOKUP(RIGHT(C277,8),'[2]Export shipment'!B$8:J$1256,9,0)</f>
        <v>DSV</v>
      </c>
      <c r="E277" s="760">
        <f>VLOOKUP(RIGHT(C277,8),'[2]Export shipment'!B$8:E$1256,4,0)</f>
        <v>1566.4</v>
      </c>
      <c r="F277" s="59">
        <v>0</v>
      </c>
      <c r="G277" s="59">
        <v>15.30221882172915</v>
      </c>
      <c r="H277" s="59">
        <v>0</v>
      </c>
      <c r="I277" s="139">
        <f t="shared" si="16"/>
        <v>15.30221882172915</v>
      </c>
      <c r="K277"/>
    </row>
    <row r="278" spans="1:11" hidden="1" outlineLevel="2">
      <c r="A278" s="138">
        <v>46023</v>
      </c>
      <c r="B278" s="1" t="s">
        <v>997</v>
      </c>
      <c r="C278" s="346" t="s">
        <v>1398</v>
      </c>
      <c r="D278" s="677" t="str">
        <f>VLOOKUP(RIGHT(C278,8),'[2]Export shipment'!B$8:J$1256,9,0)</f>
        <v>DSV</v>
      </c>
      <c r="E278" s="760">
        <f>VLOOKUP(RIGHT(C278,8),'[2]Export shipment'!B$8:E$1256,4,0)</f>
        <v>183.4</v>
      </c>
      <c r="F278" s="59">
        <v>0</v>
      </c>
      <c r="G278" s="59">
        <v>15.30221882172915</v>
      </c>
      <c r="H278" s="59">
        <v>0</v>
      </c>
      <c r="I278" s="139">
        <f t="shared" si="16"/>
        <v>15.30221882172915</v>
      </c>
      <c r="K278"/>
    </row>
    <row r="279" spans="1:11" hidden="1" outlineLevel="2">
      <c r="A279" s="138">
        <v>46023</v>
      </c>
      <c r="B279" s="1" t="s">
        <v>1064</v>
      </c>
      <c r="C279" s="346" t="s">
        <v>1399</v>
      </c>
      <c r="D279" s="677" t="str">
        <f>VLOOKUP(RIGHT(C279,8),'[2]Export shipment'!B$8:J$1256,9,0)</f>
        <v>DSV</v>
      </c>
      <c r="E279" s="760">
        <f>VLOOKUP(RIGHT(C279,8),'[2]Export shipment'!B$8:E$1256,4,0)</f>
        <v>156.4</v>
      </c>
      <c r="F279" s="59">
        <v>0</v>
      </c>
      <c r="G279" s="59">
        <v>15.30221882172915</v>
      </c>
      <c r="H279" s="59">
        <v>0</v>
      </c>
      <c r="I279" s="139">
        <f t="shared" si="16"/>
        <v>15.30221882172915</v>
      </c>
      <c r="K279"/>
    </row>
    <row r="280" spans="1:11" hidden="1" outlineLevel="2">
      <c r="A280" s="138">
        <v>46023</v>
      </c>
      <c r="B280" s="1" t="s">
        <v>997</v>
      </c>
      <c r="C280" s="346" t="s">
        <v>1400</v>
      </c>
      <c r="D280" s="677" t="str">
        <f>VLOOKUP(RIGHT(C280,8),'[2]Export shipment'!B$8:J$1256,9,0)</f>
        <v>DSV</v>
      </c>
      <c r="E280" s="760">
        <f>VLOOKUP(RIGHT(C280,8),'[2]Export shipment'!B$8:E$1256,4,0)</f>
        <v>445.8</v>
      </c>
      <c r="F280" s="59">
        <v>0</v>
      </c>
      <c r="G280" s="59">
        <v>15.30221882172915</v>
      </c>
      <c r="H280" s="59">
        <v>0</v>
      </c>
      <c r="I280" s="139">
        <f t="shared" si="16"/>
        <v>15.30221882172915</v>
      </c>
      <c r="K280"/>
    </row>
    <row r="281" spans="1:11" outlineLevel="1" collapsed="1">
      <c r="A281" s="138" t="s">
        <v>1407</v>
      </c>
      <c r="B281" s="1"/>
      <c r="C281" s="346"/>
      <c r="D281" s="677"/>
      <c r="E281" s="760">
        <f>SUBTOTAL(9,E246:E280)</f>
        <v>36008.100000000013</v>
      </c>
      <c r="F281" s="59">
        <f>SUBTOTAL(9,F246:F280)</f>
        <v>36.725325172149965</v>
      </c>
      <c r="G281" s="59">
        <f>SUBTOTAL(9,G246:G280)</f>
        <v>573.83320581484293</v>
      </c>
      <c r="H281" s="59">
        <f>SUBTOTAL(9,H246:H280)</f>
        <v>28.417521040550881</v>
      </c>
      <c r="I281" s="139">
        <f>SUBTOTAL(9,I246:I280)</f>
        <v>638.97605202754403</v>
      </c>
      <c r="K281"/>
    </row>
    <row r="282" spans="1:11" hidden="1" outlineLevel="2">
      <c r="A282" s="138">
        <v>46054</v>
      </c>
      <c r="B282" s="1" t="s">
        <v>997</v>
      </c>
      <c r="C282" s="346" t="s">
        <v>1517</v>
      </c>
      <c r="D282" s="677" t="str">
        <f>VLOOKUP(RIGHT(C282,8),'[2]Export shipment'!B$8:J$1256,9,0)</f>
        <v>DSV</v>
      </c>
      <c r="E282" s="760">
        <f>VLOOKUP(RIGHT(C282,8),'[2]Export shipment'!B$8:E$1256,4,0)</f>
        <v>1219</v>
      </c>
      <c r="F282" s="59">
        <v>0</v>
      </c>
      <c r="G282" s="59">
        <v>15.205078496217737</v>
      </c>
      <c r="H282" s="59">
        <v>0</v>
      </c>
      <c r="I282" s="139">
        <f t="shared" ref="I282:I344" si="17">SUM(F282:H282)</f>
        <v>15.205078496217737</v>
      </c>
      <c r="K282"/>
    </row>
    <row r="283" spans="1:11" hidden="1" outlineLevel="2">
      <c r="A283" s="138">
        <v>46054</v>
      </c>
      <c r="B283" s="1" t="s">
        <v>997</v>
      </c>
      <c r="C283" s="346" t="s">
        <v>1518</v>
      </c>
      <c r="D283" s="677" t="str">
        <f>VLOOKUP(RIGHT(C283,8),'[2]Export shipment'!B$8:J$1256,9,0)</f>
        <v>DSV</v>
      </c>
      <c r="E283" s="760">
        <f>VLOOKUP(RIGHT(C283,8),'[2]Export shipment'!B$8:E$1256,4,0)</f>
        <v>1057</v>
      </c>
      <c r="F283" s="59">
        <v>0</v>
      </c>
      <c r="G283" s="59">
        <v>15.205078496217737</v>
      </c>
      <c r="H283" s="59">
        <v>0</v>
      </c>
      <c r="I283" s="139">
        <f t="shared" si="17"/>
        <v>15.205078496217737</v>
      </c>
      <c r="K283"/>
    </row>
    <row r="284" spans="1:11" hidden="1" outlineLevel="2">
      <c r="A284" s="138">
        <v>46054</v>
      </c>
      <c r="B284" s="1" t="s">
        <v>1075</v>
      </c>
      <c r="C284" s="346" t="s">
        <v>1521</v>
      </c>
      <c r="D284" s="677" t="str">
        <f>VLOOKUP(RIGHT(C284,8),'[2]Export shipment'!B$8:J$1256,9,0)</f>
        <v>DSV</v>
      </c>
      <c r="E284" s="760">
        <f>VLOOKUP(RIGHT(C284,8),'[2]Export shipment'!B$8:E$1256,4,0)</f>
        <v>704.8</v>
      </c>
      <c r="F284" s="59">
        <v>0</v>
      </c>
      <c r="G284" s="59">
        <v>15.205078496217737</v>
      </c>
      <c r="H284" s="59">
        <v>0</v>
      </c>
      <c r="I284" s="139">
        <f t="shared" si="17"/>
        <v>15.205078496217737</v>
      </c>
      <c r="K284"/>
    </row>
    <row r="285" spans="1:11" hidden="1" outlineLevel="2">
      <c r="A285" s="138">
        <v>46054</v>
      </c>
      <c r="B285" s="1" t="s">
        <v>1525</v>
      </c>
      <c r="C285" s="346" t="s">
        <v>1524</v>
      </c>
      <c r="D285" s="677" t="str">
        <f>VLOOKUP(RIGHT(C285,8),'[2]Export shipment'!B$8:J$1256,9,0)</f>
        <v>DHL</v>
      </c>
      <c r="E285" s="760">
        <f>VLOOKUP(RIGHT(C285,8),'[2]Export shipment'!B$8:E$1256,4,0)</f>
        <v>1.5</v>
      </c>
      <c r="F285" s="59">
        <v>18.246094195461286</v>
      </c>
      <c r="G285" s="59">
        <v>24.708252556353823</v>
      </c>
      <c r="H285" s="59">
        <v>0</v>
      </c>
      <c r="I285" s="139">
        <f t="shared" si="17"/>
        <v>42.954346751815109</v>
      </c>
      <c r="K285"/>
    </row>
    <row r="286" spans="1:11" hidden="1" outlineLevel="2">
      <c r="A286" s="138">
        <v>46054</v>
      </c>
      <c r="B286" s="1" t="s">
        <v>997</v>
      </c>
      <c r="C286" s="346" t="s">
        <v>1528</v>
      </c>
      <c r="D286" s="677" t="str">
        <f>VLOOKUP(RIGHT(C286,8),'[2]Export shipment'!B$8:J$1256,9,0)</f>
        <v>DSV</v>
      </c>
      <c r="E286" s="760">
        <f>VLOOKUP(RIGHT(C286,8),'[2]Export shipment'!B$8:E$1256,4,0)</f>
        <v>1965</v>
      </c>
      <c r="F286" s="59">
        <v>0</v>
      </c>
      <c r="G286" s="59">
        <v>15.205078496217737</v>
      </c>
      <c r="H286" s="59">
        <v>0</v>
      </c>
      <c r="I286" s="139">
        <f t="shared" si="17"/>
        <v>15.205078496217737</v>
      </c>
      <c r="K286"/>
    </row>
    <row r="287" spans="1:11" hidden="1" outlineLevel="2">
      <c r="A287" s="138">
        <v>46054</v>
      </c>
      <c r="B287" s="1" t="s">
        <v>1075</v>
      </c>
      <c r="C287" s="346" t="s">
        <v>1530</v>
      </c>
      <c r="D287" s="677" t="str">
        <f>VLOOKUP(RIGHT(C287,8),'[2]Export shipment'!B$8:J$1256,9,0)</f>
        <v>DSV</v>
      </c>
      <c r="E287" s="760">
        <f>VLOOKUP(RIGHT(C287,8),'[2]Export shipment'!B$8:E$1256,4,0)</f>
        <v>1057.2</v>
      </c>
      <c r="F287" s="59">
        <v>0</v>
      </c>
      <c r="G287" s="59">
        <v>15.205078496217737</v>
      </c>
      <c r="H287" s="59">
        <v>0</v>
      </c>
      <c r="I287" s="139">
        <f t="shared" si="17"/>
        <v>15.205078496217737</v>
      </c>
      <c r="K287"/>
    </row>
    <row r="288" spans="1:11" hidden="1" outlineLevel="2">
      <c r="A288" s="138">
        <v>46054</v>
      </c>
      <c r="B288" s="1" t="s">
        <v>997</v>
      </c>
      <c r="C288" s="346" t="s">
        <v>1532</v>
      </c>
      <c r="D288" s="677" t="str">
        <f>VLOOKUP(RIGHT(C288,8),'[2]Export shipment'!B$8:J$1256,9,0)</f>
        <v>DSV</v>
      </c>
      <c r="E288" s="760">
        <f>VLOOKUP(RIGHT(C288,8),'[2]Export shipment'!B$8:E$1256,4,0)</f>
        <v>1808.2</v>
      </c>
      <c r="F288" s="59">
        <v>0</v>
      </c>
      <c r="G288" s="59">
        <v>15.205078496217737</v>
      </c>
      <c r="H288" s="59">
        <v>0</v>
      </c>
      <c r="I288" s="139">
        <f t="shared" si="17"/>
        <v>15.205078496217737</v>
      </c>
      <c r="K288"/>
    </row>
    <row r="289" spans="1:11" hidden="1" outlineLevel="2">
      <c r="A289" s="138">
        <v>46054</v>
      </c>
      <c r="B289" s="1" t="s">
        <v>997</v>
      </c>
      <c r="C289" s="346" t="s">
        <v>1534</v>
      </c>
      <c r="D289" s="677" t="str">
        <f>VLOOKUP(RIGHT(C289,8),'[2]Export shipment'!B$8:J$1256,9,0)</f>
        <v>DSV</v>
      </c>
      <c r="E289" s="760">
        <f>VLOOKUP(RIGHT(C289,8),'[2]Export shipment'!B$8:E$1256,4,0)</f>
        <v>1739</v>
      </c>
      <c r="F289" s="59">
        <v>0</v>
      </c>
      <c r="G289" s="59">
        <v>15.205078496217737</v>
      </c>
      <c r="H289" s="59">
        <v>0</v>
      </c>
      <c r="I289" s="139">
        <f t="shared" si="17"/>
        <v>15.205078496217737</v>
      </c>
      <c r="K289"/>
    </row>
    <row r="290" spans="1:11" hidden="1" outlineLevel="2">
      <c r="A290" s="138">
        <v>46054</v>
      </c>
      <c r="B290" s="1" t="s">
        <v>997</v>
      </c>
      <c r="C290" s="346" t="s">
        <v>1536</v>
      </c>
      <c r="D290" s="677" t="str">
        <f>VLOOKUP(RIGHT(C290,8),'[2]Export shipment'!B$8:J$1256,9,0)</f>
        <v>DSV</v>
      </c>
      <c r="E290" s="760">
        <f>VLOOKUP(RIGHT(C290,8),'[2]Export shipment'!B$8:E$1256,4,0)</f>
        <v>1864.4</v>
      </c>
      <c r="F290" s="59">
        <v>0</v>
      </c>
      <c r="G290" s="59">
        <v>15.205078496217737</v>
      </c>
      <c r="H290" s="59">
        <v>0</v>
      </c>
      <c r="I290" s="139">
        <f t="shared" si="17"/>
        <v>15.205078496217737</v>
      </c>
      <c r="K290"/>
    </row>
    <row r="291" spans="1:11" hidden="1" outlineLevel="2">
      <c r="A291" s="138">
        <v>46054</v>
      </c>
      <c r="B291" s="1" t="s">
        <v>1064</v>
      </c>
      <c r="C291" s="346" t="s">
        <v>1537</v>
      </c>
      <c r="D291" s="677" t="str">
        <f>VLOOKUP(RIGHT(C291,8),'[2]Export shipment'!B$8:J$1256,9,0)</f>
        <v>DSV</v>
      </c>
      <c r="E291" s="760">
        <f>VLOOKUP(RIGHT(C291,8),'[2]Export shipment'!B$8:E$1256,4,0)</f>
        <v>13.7</v>
      </c>
      <c r="F291" s="59">
        <v>0</v>
      </c>
      <c r="G291" s="59">
        <v>15.205078496217737</v>
      </c>
      <c r="H291" s="59">
        <v>0</v>
      </c>
      <c r="I291" s="139">
        <f t="shared" si="17"/>
        <v>15.205078496217737</v>
      </c>
      <c r="K291"/>
    </row>
    <row r="292" spans="1:11" hidden="1" outlineLevel="2">
      <c r="A292" s="138">
        <v>46054</v>
      </c>
      <c r="B292" s="1" t="s">
        <v>997</v>
      </c>
      <c r="C292" s="346" t="s">
        <v>1538</v>
      </c>
      <c r="D292" s="677" t="str">
        <f>VLOOKUP(RIGHT(C292,8),'[2]Export shipment'!B$8:J$1256,9,0)</f>
        <v>DSV</v>
      </c>
      <c r="E292" s="760">
        <f>VLOOKUP(RIGHT(C292,8),'[2]Export shipment'!B$8:E$1256,4,0)</f>
        <v>2077.1999999999998</v>
      </c>
      <c r="F292" s="59">
        <v>0</v>
      </c>
      <c r="G292" s="59">
        <v>15.205078496217737</v>
      </c>
      <c r="H292" s="59">
        <v>0</v>
      </c>
      <c r="I292" s="139">
        <f t="shared" si="17"/>
        <v>15.205078496217737</v>
      </c>
      <c r="K292"/>
    </row>
    <row r="293" spans="1:11" hidden="1" outlineLevel="2">
      <c r="A293" s="138">
        <v>46054</v>
      </c>
      <c r="B293" s="1" t="s">
        <v>997</v>
      </c>
      <c r="C293" s="346" t="s">
        <v>1539</v>
      </c>
      <c r="D293" s="677" t="str">
        <f>VLOOKUP(RIGHT(C293,8),'[2]Export shipment'!B$8:J$1256,9,0)</f>
        <v>DSV</v>
      </c>
      <c r="E293" s="760">
        <f>VLOOKUP(RIGHT(C293,8),'[2]Export shipment'!B$8:E$1256,4,0)</f>
        <v>1377.2</v>
      </c>
      <c r="F293" s="59">
        <v>0</v>
      </c>
      <c r="G293" s="59">
        <v>15.205078496217737</v>
      </c>
      <c r="H293" s="59">
        <v>0</v>
      </c>
      <c r="I293" s="139">
        <f t="shared" si="17"/>
        <v>15.205078496217737</v>
      </c>
      <c r="K293"/>
    </row>
    <row r="294" spans="1:11" hidden="1" outlineLevel="2">
      <c r="A294" s="138">
        <v>46054</v>
      </c>
      <c r="B294" s="1" t="s">
        <v>997</v>
      </c>
      <c r="C294" s="346" t="s">
        <v>1540</v>
      </c>
      <c r="D294" s="677" t="str">
        <f>VLOOKUP(RIGHT(C294,8),'[2]Export shipment'!B$8:J$1256,9,0)</f>
        <v>DSV</v>
      </c>
      <c r="E294" s="760">
        <f>VLOOKUP(RIGHT(C294,8),'[2]Export shipment'!B$8:E$1256,4,0)</f>
        <v>476.4</v>
      </c>
      <c r="F294" s="59">
        <v>0</v>
      </c>
      <c r="G294" s="59">
        <v>15.205078496217737</v>
      </c>
      <c r="H294" s="59">
        <v>0</v>
      </c>
      <c r="I294" s="139">
        <f t="shared" si="17"/>
        <v>15.205078496217737</v>
      </c>
      <c r="K294"/>
    </row>
    <row r="295" spans="1:11" hidden="1" outlineLevel="2">
      <c r="A295" s="138">
        <v>46054</v>
      </c>
      <c r="B295" s="1" t="s">
        <v>997</v>
      </c>
      <c r="C295" s="346" t="s">
        <v>1541</v>
      </c>
      <c r="D295" s="677" t="str">
        <f>VLOOKUP(RIGHT(C295,8),'[2]Export shipment'!B$8:J$1256,9,0)</f>
        <v>DSV</v>
      </c>
      <c r="E295" s="760">
        <f>VLOOKUP(RIGHT(C295,8),'[2]Export shipment'!B$8:E$1256,4,0)</f>
        <v>1762</v>
      </c>
      <c r="F295" s="59">
        <v>0</v>
      </c>
      <c r="G295" s="59">
        <v>24.708252556353823</v>
      </c>
      <c r="H295" s="59">
        <v>0</v>
      </c>
      <c r="I295" s="139">
        <f t="shared" si="17"/>
        <v>24.708252556353823</v>
      </c>
      <c r="K295"/>
    </row>
    <row r="296" spans="1:11" hidden="1" outlineLevel="2">
      <c r="A296" s="138">
        <v>46054</v>
      </c>
      <c r="B296" s="1" t="s">
        <v>997</v>
      </c>
      <c r="C296" s="346" t="s">
        <v>1546</v>
      </c>
      <c r="D296" s="677" t="str">
        <f>VLOOKUP(RIGHT(C296,8),'[2]Export shipment'!B$8:J$1256,9,0)</f>
        <v>DSV</v>
      </c>
      <c r="E296" s="760">
        <f>VLOOKUP(RIGHT(C296,8),'[2]Export shipment'!B$8:E$1256,4,0)</f>
        <v>929</v>
      </c>
      <c r="F296" s="59">
        <v>0</v>
      </c>
      <c r="G296" s="59">
        <v>15.205078496217737</v>
      </c>
      <c r="H296" s="59">
        <v>0</v>
      </c>
      <c r="I296" s="139">
        <f t="shared" si="17"/>
        <v>15.205078496217737</v>
      </c>
      <c r="K296"/>
    </row>
    <row r="297" spans="1:11" hidden="1" outlineLevel="2">
      <c r="A297" s="138">
        <v>46054</v>
      </c>
      <c r="B297" s="1" t="s">
        <v>997</v>
      </c>
      <c r="C297" s="346" t="s">
        <v>1547</v>
      </c>
      <c r="D297" s="677" t="str">
        <f>VLOOKUP(RIGHT(C297,8),'[2]Export shipment'!B$8:J$1256,9,0)</f>
        <v>DSV</v>
      </c>
      <c r="E297" s="760">
        <f>VLOOKUP(RIGHT(C297,8),'[2]Export shipment'!B$8:E$1256,4,0)</f>
        <v>791.2</v>
      </c>
      <c r="F297" s="59">
        <v>0</v>
      </c>
      <c r="G297" s="59">
        <v>15.205078496217737</v>
      </c>
      <c r="H297" s="59">
        <v>0</v>
      </c>
      <c r="I297" s="139">
        <f t="shared" si="17"/>
        <v>15.205078496217737</v>
      </c>
      <c r="K297"/>
    </row>
    <row r="298" spans="1:11" hidden="1" outlineLevel="2">
      <c r="A298" s="138">
        <v>46054</v>
      </c>
      <c r="B298" s="1" t="s">
        <v>997</v>
      </c>
      <c r="C298" s="346" t="s">
        <v>1548</v>
      </c>
      <c r="D298" s="677" t="str">
        <f>VLOOKUP(RIGHT(C298,8),'[2]Export shipment'!B$8:J$1256,9,0)</f>
        <v>DSV</v>
      </c>
      <c r="E298" s="760">
        <f>VLOOKUP(RIGHT(C298,8),'[2]Export shipment'!B$8:E$1256,4,0)</f>
        <v>1593.6</v>
      </c>
      <c r="F298" s="59">
        <v>0</v>
      </c>
      <c r="G298" s="59">
        <v>15.205078496217737</v>
      </c>
      <c r="H298" s="59">
        <v>0</v>
      </c>
      <c r="I298" s="139">
        <f t="shared" si="17"/>
        <v>15.205078496217737</v>
      </c>
      <c r="K298"/>
    </row>
    <row r="299" spans="1:11" hidden="1" outlineLevel="2">
      <c r="A299" s="138">
        <v>46054</v>
      </c>
      <c r="B299" s="1" t="s">
        <v>997</v>
      </c>
      <c r="C299" s="346" t="s">
        <v>1550</v>
      </c>
      <c r="D299" s="677" t="str">
        <f>VLOOKUP(RIGHT(C299,8),'[2]Export shipment'!B$8:J$1256,9,0)</f>
        <v>DSV</v>
      </c>
      <c r="E299" s="760">
        <f>VLOOKUP(RIGHT(C299,8),'[2]Export shipment'!B$8:E$1256,4,0)</f>
        <v>1419.6</v>
      </c>
      <c r="F299" s="59">
        <v>0</v>
      </c>
      <c r="G299" s="59">
        <v>15.205078496217737</v>
      </c>
      <c r="H299" s="59">
        <v>0</v>
      </c>
      <c r="I299" s="139">
        <f t="shared" si="17"/>
        <v>15.205078496217737</v>
      </c>
      <c r="K299"/>
    </row>
    <row r="300" spans="1:11" hidden="1" outlineLevel="2">
      <c r="A300" s="138">
        <v>46054</v>
      </c>
      <c r="B300" s="1" t="s">
        <v>997</v>
      </c>
      <c r="C300" s="346" t="s">
        <v>1551</v>
      </c>
      <c r="D300" s="677" t="str">
        <f>VLOOKUP(RIGHT(C300,8),'[2]Export shipment'!B$8:J$1256,9,0)</f>
        <v>DSV</v>
      </c>
      <c r="E300" s="760">
        <f>VLOOKUP(RIGHT(C300,8),'[2]Export shipment'!B$8:E$1256,4,0)</f>
        <v>908.3</v>
      </c>
      <c r="F300" s="59">
        <v>0</v>
      </c>
      <c r="G300" s="59">
        <v>15.205078496217737</v>
      </c>
      <c r="H300" s="59">
        <v>0</v>
      </c>
      <c r="I300" s="139">
        <f t="shared" si="17"/>
        <v>15.205078496217737</v>
      </c>
      <c r="K300"/>
    </row>
    <row r="301" spans="1:11" hidden="1" outlineLevel="2">
      <c r="A301" s="138">
        <v>46054</v>
      </c>
      <c r="B301" s="1" t="s">
        <v>997</v>
      </c>
      <c r="C301" s="346" t="s">
        <v>1552</v>
      </c>
      <c r="D301" s="677" t="str">
        <f>VLOOKUP(RIGHT(C301,8),'[2]Export shipment'!B$8:J$1256,9,0)</f>
        <v>DSV</v>
      </c>
      <c r="E301" s="760">
        <f>VLOOKUP(RIGHT(C301,8),'[2]Export shipment'!B$8:E$1256,4,0)</f>
        <v>1077.5999999999999</v>
      </c>
      <c r="F301" s="59">
        <v>0</v>
      </c>
      <c r="G301" s="59">
        <v>15.205078496217737</v>
      </c>
      <c r="H301" s="59">
        <v>0</v>
      </c>
      <c r="I301" s="139">
        <f t="shared" si="17"/>
        <v>15.205078496217737</v>
      </c>
      <c r="K301"/>
    </row>
    <row r="302" spans="1:11" hidden="1" outlineLevel="2">
      <c r="A302" s="138">
        <v>46054</v>
      </c>
      <c r="B302" s="1" t="s">
        <v>1054</v>
      </c>
      <c r="C302" s="346" t="s">
        <v>1553</v>
      </c>
      <c r="D302" s="677" t="str">
        <f>VLOOKUP(RIGHT(C302,8),'[2]Export shipment'!B$8:J$1256,9,0)</f>
        <v>FedEx LOG</v>
      </c>
      <c r="E302" s="760">
        <f>VLOOKUP(RIGHT(C302,8),'[2]Export shipment'!B$8:E$1256,4,0)</f>
        <v>424.4</v>
      </c>
      <c r="F302" s="59">
        <v>0</v>
      </c>
      <c r="G302" s="59">
        <v>15.205078496217737</v>
      </c>
      <c r="H302" s="59">
        <v>0</v>
      </c>
      <c r="I302" s="139">
        <f t="shared" si="17"/>
        <v>15.205078496217737</v>
      </c>
      <c r="K302"/>
    </row>
    <row r="303" spans="1:11" hidden="1" outlineLevel="2">
      <c r="A303" s="138">
        <v>46054</v>
      </c>
      <c r="B303" s="1" t="s">
        <v>997</v>
      </c>
      <c r="C303" s="346" t="s">
        <v>1555</v>
      </c>
      <c r="D303" s="677" t="str">
        <f>VLOOKUP(RIGHT(C303,8),'[2]Export shipment'!B$8:J$1256,9,0)</f>
        <v>DSV</v>
      </c>
      <c r="E303" s="760">
        <f>VLOOKUP(RIGHT(C303,8),'[2]Export shipment'!B$8:E$1256,4,0)</f>
        <v>1422</v>
      </c>
      <c r="F303" s="59">
        <v>0</v>
      </c>
      <c r="G303" s="59">
        <v>15.205078496217737</v>
      </c>
      <c r="H303" s="59">
        <v>0</v>
      </c>
      <c r="I303" s="139">
        <f t="shared" si="17"/>
        <v>15.205078496217737</v>
      </c>
      <c r="K303"/>
    </row>
    <row r="304" spans="1:11" hidden="1" outlineLevel="2">
      <c r="A304" s="138">
        <v>46054</v>
      </c>
      <c r="B304" s="1" t="s">
        <v>997</v>
      </c>
      <c r="C304" s="346" t="s">
        <v>1556</v>
      </c>
      <c r="D304" s="677" t="str">
        <f>VLOOKUP(RIGHT(C304,8),'[2]Export shipment'!B$8:J$1256,9,0)</f>
        <v>DSV</v>
      </c>
      <c r="E304" s="760">
        <f>VLOOKUP(RIGHT(C304,8),'[2]Export shipment'!B$8:E$1256,4,0)</f>
        <v>981.2</v>
      </c>
      <c r="F304" s="59">
        <v>0</v>
      </c>
      <c r="G304" s="59">
        <v>15.205078496217737</v>
      </c>
      <c r="H304" s="59">
        <v>0</v>
      </c>
      <c r="I304" s="139">
        <f t="shared" si="17"/>
        <v>15.205078496217737</v>
      </c>
      <c r="K304"/>
    </row>
    <row r="305" spans="1:11" hidden="1" outlineLevel="2">
      <c r="A305" s="138">
        <v>46054</v>
      </c>
      <c r="B305" s="1" t="s">
        <v>1023</v>
      </c>
      <c r="C305" s="346" t="s">
        <v>1560</v>
      </c>
      <c r="D305" s="677" t="str">
        <f>VLOOKUP(RIGHT(C305,8),'[2]Export shipment'!B$8:J$1256,9,0)</f>
        <v>DSV</v>
      </c>
      <c r="E305" s="760">
        <f>VLOOKUP(RIGHT(C305,8),'[2]Export shipment'!B$8:E$1256,4,0)</f>
        <v>916</v>
      </c>
      <c r="F305" s="59">
        <v>0</v>
      </c>
      <c r="G305" s="59">
        <v>15.205078496217737</v>
      </c>
      <c r="H305" s="59">
        <v>0</v>
      </c>
      <c r="I305" s="139">
        <f t="shared" si="17"/>
        <v>15.205078496217737</v>
      </c>
      <c r="K305"/>
    </row>
    <row r="306" spans="1:11" hidden="1" outlineLevel="2">
      <c r="A306" s="138">
        <v>46054</v>
      </c>
      <c r="B306" s="1" t="s">
        <v>1064</v>
      </c>
      <c r="C306" s="346" t="s">
        <v>1561</v>
      </c>
      <c r="D306" s="677" t="str">
        <f>VLOOKUP(RIGHT(C306,8),'[2]Export shipment'!B$8:J$1256,9,0)</f>
        <v>FedEx</v>
      </c>
      <c r="E306" s="760">
        <f>VLOOKUP(RIGHT(C306,8),'[2]Export shipment'!B$8:E$1256,4,0)</f>
        <v>157.30000000000001</v>
      </c>
      <c r="F306" s="59">
        <v>0</v>
      </c>
      <c r="G306" s="59">
        <v>15.205078496217737</v>
      </c>
      <c r="H306" s="59">
        <v>0</v>
      </c>
      <c r="I306" s="139">
        <f t="shared" si="17"/>
        <v>15.205078496217737</v>
      </c>
      <c r="K306"/>
    </row>
    <row r="307" spans="1:11" hidden="1" outlineLevel="2">
      <c r="A307" s="138">
        <v>46054</v>
      </c>
      <c r="B307" s="1" t="s">
        <v>997</v>
      </c>
      <c r="C307" s="346" t="s">
        <v>1562</v>
      </c>
      <c r="D307" s="677" t="str">
        <f>VLOOKUP(RIGHT(C307,8),'[2]Export shipment'!B$8:J$1256,9,0)</f>
        <v>DSV</v>
      </c>
      <c r="E307" s="760">
        <f>VLOOKUP(RIGHT(C307,8),'[2]Export shipment'!B$8:E$1256,4,0)</f>
        <v>1420.8</v>
      </c>
      <c r="F307" s="59">
        <v>0</v>
      </c>
      <c r="G307" s="59">
        <v>15.205078496217737</v>
      </c>
      <c r="H307" s="59">
        <v>0</v>
      </c>
      <c r="I307" s="139">
        <f t="shared" si="17"/>
        <v>15.205078496217737</v>
      </c>
      <c r="K307"/>
    </row>
    <row r="308" spans="1:11" hidden="1" outlineLevel="2">
      <c r="A308" s="138">
        <v>46054</v>
      </c>
      <c r="B308" s="1" t="s">
        <v>997</v>
      </c>
      <c r="C308" s="346" t="s">
        <v>1563</v>
      </c>
      <c r="D308" s="677" t="str">
        <f>VLOOKUP(RIGHT(C308,8),'[2]Export shipment'!B$8:J$1256,9,0)</f>
        <v>DSV</v>
      </c>
      <c r="E308" s="760">
        <f>VLOOKUP(RIGHT(C308,8),'[2]Export shipment'!B$8:E$1256,4,0)</f>
        <v>788.8</v>
      </c>
      <c r="F308" s="59">
        <v>0</v>
      </c>
      <c r="G308" s="59">
        <v>15.205078496217737</v>
      </c>
      <c r="H308" s="59">
        <v>0</v>
      </c>
      <c r="I308" s="139">
        <f t="shared" si="17"/>
        <v>15.205078496217737</v>
      </c>
      <c r="K308"/>
    </row>
    <row r="309" spans="1:11" hidden="1" outlineLevel="2">
      <c r="A309" s="138">
        <v>46054</v>
      </c>
      <c r="B309" s="1" t="s">
        <v>997</v>
      </c>
      <c r="C309" s="346" t="s">
        <v>1564</v>
      </c>
      <c r="D309" s="677" t="str">
        <f>VLOOKUP(RIGHT(C309,8),'[2]Export shipment'!B$8:J$1256,9,0)</f>
        <v>DSV</v>
      </c>
      <c r="E309" s="760">
        <f>VLOOKUP(RIGHT(C309,8),'[2]Export shipment'!B$8:E$1256,4,0)</f>
        <v>856</v>
      </c>
      <c r="F309" s="59">
        <v>0</v>
      </c>
      <c r="G309" s="59">
        <v>15.205078496217737</v>
      </c>
      <c r="H309" s="59">
        <v>0</v>
      </c>
      <c r="I309" s="139">
        <f t="shared" si="17"/>
        <v>15.205078496217737</v>
      </c>
      <c r="K309"/>
    </row>
    <row r="310" spans="1:11" hidden="1" outlineLevel="2">
      <c r="A310" s="138">
        <v>46054</v>
      </c>
      <c r="B310" s="1" t="s">
        <v>1064</v>
      </c>
      <c r="C310" s="346" t="s">
        <v>1565</v>
      </c>
      <c r="D310" s="677" t="str">
        <f>VLOOKUP(RIGHT(C310,8),'[2]Export shipment'!B$8:J$1256,9,0)</f>
        <v>FedEx</v>
      </c>
      <c r="E310" s="760">
        <f>VLOOKUP(RIGHT(C310,8),'[2]Export shipment'!B$8:E$1256,4,0)</f>
        <v>1</v>
      </c>
      <c r="F310" s="59">
        <v>0</v>
      </c>
      <c r="G310" s="59">
        <v>15.205078496217737</v>
      </c>
      <c r="H310" s="59">
        <v>0</v>
      </c>
      <c r="I310" s="139">
        <f t="shared" si="17"/>
        <v>15.205078496217737</v>
      </c>
      <c r="K310"/>
    </row>
    <row r="311" spans="1:11" hidden="1" outlineLevel="2">
      <c r="A311" s="138">
        <v>46054</v>
      </c>
      <c r="B311" s="1" t="s">
        <v>997</v>
      </c>
      <c r="C311" s="346" t="s">
        <v>1566</v>
      </c>
      <c r="D311" s="677" t="str">
        <f>VLOOKUP(RIGHT(C311,8),'[2]Export shipment'!B$8:J$1256,9,0)</f>
        <v>DSV</v>
      </c>
      <c r="E311" s="760">
        <f>VLOOKUP(RIGHT(C311,8),'[2]Export shipment'!B$8:E$1256,4,0)</f>
        <v>729</v>
      </c>
      <c r="F311" s="59">
        <v>0</v>
      </c>
      <c r="G311" s="59">
        <v>15.205078496217737</v>
      </c>
      <c r="H311" s="59">
        <v>0</v>
      </c>
      <c r="I311" s="139">
        <f t="shared" si="17"/>
        <v>15.205078496217737</v>
      </c>
      <c r="K311"/>
    </row>
    <row r="312" spans="1:11" hidden="1" outlineLevel="2">
      <c r="A312" s="138">
        <v>46054</v>
      </c>
      <c r="B312" s="1" t="s">
        <v>997</v>
      </c>
      <c r="C312" s="346" t="s">
        <v>1567</v>
      </c>
      <c r="D312" s="677" t="str">
        <f>VLOOKUP(RIGHT(C312,8),'[2]Export shipment'!B$8:J$1256,9,0)</f>
        <v>DSV</v>
      </c>
      <c r="E312" s="760">
        <f>VLOOKUP(RIGHT(C312,8),'[2]Export shipment'!B$8:E$1256,4,0)</f>
        <v>408</v>
      </c>
      <c r="F312" s="59">
        <v>0</v>
      </c>
      <c r="G312" s="59">
        <v>15.205078496217737</v>
      </c>
      <c r="H312" s="59">
        <v>0</v>
      </c>
      <c r="I312" s="139">
        <f t="shared" si="17"/>
        <v>15.205078496217737</v>
      </c>
      <c r="K312"/>
    </row>
    <row r="313" spans="1:11" hidden="1" outlineLevel="2">
      <c r="A313" s="138">
        <v>46054</v>
      </c>
      <c r="B313" s="1" t="s">
        <v>984</v>
      </c>
      <c r="C313" s="346" t="s">
        <v>1610</v>
      </c>
      <c r="D313" s="677" t="s">
        <v>655</v>
      </c>
      <c r="E313" s="760">
        <v>0.8</v>
      </c>
      <c r="F313" s="59"/>
      <c r="G313" s="59"/>
      <c r="H313" s="59">
        <v>28.724407952256055</v>
      </c>
      <c r="I313" s="139">
        <f t="shared" si="17"/>
        <v>28.724407952256055</v>
      </c>
      <c r="K313"/>
    </row>
    <row r="314" spans="1:11" outlineLevel="1" collapsed="1">
      <c r="A314" s="138" t="s">
        <v>1609</v>
      </c>
      <c r="B314" s="1"/>
      <c r="C314" s="346"/>
      <c r="D314" s="677"/>
      <c r="E314" s="760">
        <f>SUBTOTAL(9,E282:E313)</f>
        <v>31947.199999999993</v>
      </c>
      <c r="F314" s="59">
        <f>SUBTOTAL(9,F282:F313)</f>
        <v>18.246094195461286</v>
      </c>
      <c r="G314" s="59">
        <f>SUBTOTAL(9,G282:G313)</f>
        <v>490.36378150302244</v>
      </c>
      <c r="H314" s="59">
        <f>SUBTOTAL(9,H282:H313)</f>
        <v>28.724407952256055</v>
      </c>
      <c r="I314" s="139">
        <f>SUBTOTAL(9,I282:I313)</f>
        <v>537.33428365073974</v>
      </c>
      <c r="K314"/>
    </row>
    <row r="315" spans="1:11" hidden="1" outlineLevel="2">
      <c r="A315" s="138">
        <v>46082</v>
      </c>
      <c r="B315" s="1" t="s">
        <v>1611</v>
      </c>
      <c r="C315" s="346" t="s">
        <v>1745</v>
      </c>
      <c r="D315" s="677" t="s">
        <v>655</v>
      </c>
      <c r="E315" s="760">
        <v>223</v>
      </c>
      <c r="F315" s="59">
        <v>0</v>
      </c>
      <c r="G315" s="59">
        <v>0</v>
      </c>
      <c r="H315" s="59">
        <v>1672.3403633880819</v>
      </c>
      <c r="I315" s="139">
        <f t="shared" si="17"/>
        <v>1672.3403633880819</v>
      </c>
      <c r="K315"/>
    </row>
    <row r="316" spans="1:11" hidden="1" outlineLevel="2">
      <c r="A316" s="138">
        <v>46082</v>
      </c>
      <c r="B316" s="1" t="s">
        <v>1611</v>
      </c>
      <c r="C316" s="346" t="s">
        <v>1746</v>
      </c>
      <c r="D316" s="677" t="s">
        <v>655</v>
      </c>
      <c r="E316" s="760">
        <v>1.7</v>
      </c>
      <c r="F316" s="59">
        <v>0</v>
      </c>
      <c r="G316" s="59">
        <v>0</v>
      </c>
      <c r="H316" s="59">
        <v>50.475325266471948</v>
      </c>
      <c r="I316" s="139">
        <f t="shared" si="17"/>
        <v>50.475325266471948</v>
      </c>
      <c r="K316"/>
    </row>
    <row r="317" spans="1:11" hidden="1" outlineLevel="2">
      <c r="A317" s="138">
        <v>46082</v>
      </c>
      <c r="B317" s="1" t="s">
        <v>1611</v>
      </c>
      <c r="C317" s="346" t="s">
        <v>1747</v>
      </c>
      <c r="D317" s="677" t="s">
        <v>655</v>
      </c>
      <c r="E317" s="760">
        <v>24.9</v>
      </c>
      <c r="F317" s="59">
        <v>0</v>
      </c>
      <c r="G317" s="59">
        <v>15.172780032621477</v>
      </c>
      <c r="H317" s="59">
        <v>251.28619656336531</v>
      </c>
      <c r="I317" s="139">
        <f t="shared" si="17"/>
        <v>266.45897659598677</v>
      </c>
      <c r="K317"/>
    </row>
    <row r="318" spans="1:11" hidden="1" outlineLevel="2">
      <c r="A318" s="138">
        <v>46082</v>
      </c>
      <c r="B318" s="1" t="s">
        <v>997</v>
      </c>
      <c r="C318" s="346" t="s">
        <v>1751</v>
      </c>
      <c r="D318" s="677" t="str">
        <f>VLOOKUP(RIGHT(C318,8),'[2]Export shipment'!B$8:J$1256,9,0)</f>
        <v>DSV</v>
      </c>
      <c r="E318" s="760">
        <f>VLOOKUP(RIGHT(C318,8),'[2]Export shipment'!B$8:E$1256,4,0)</f>
        <v>1029.5999999999999</v>
      </c>
      <c r="F318" s="59">
        <v>0</v>
      </c>
      <c r="G318" s="59">
        <v>15.172780032621477</v>
      </c>
      <c r="H318" s="59"/>
      <c r="I318" s="139">
        <f t="shared" si="17"/>
        <v>15.172780032621477</v>
      </c>
      <c r="K318"/>
    </row>
    <row r="319" spans="1:11" hidden="1" outlineLevel="2">
      <c r="A319" s="138">
        <v>46082</v>
      </c>
      <c r="B319" s="1" t="s">
        <v>997</v>
      </c>
      <c r="C319" s="346" t="s">
        <v>1752</v>
      </c>
      <c r="D319" s="677" t="str">
        <f>VLOOKUP(RIGHT(C319,8),'[2]Export shipment'!B$8:J$1256,9,0)</f>
        <v>DSV</v>
      </c>
      <c r="E319" s="760">
        <f>VLOOKUP(RIGHT(C319,8),'[2]Export shipment'!B$8:E$1256,4,0)</f>
        <v>364.8</v>
      </c>
      <c r="F319" s="59">
        <v>0</v>
      </c>
      <c r="G319" s="59">
        <v>15.172780032621477</v>
      </c>
      <c r="H319" s="59"/>
      <c r="I319" s="139">
        <f t="shared" si="17"/>
        <v>15.172780032621477</v>
      </c>
      <c r="K319"/>
    </row>
    <row r="320" spans="1:11" hidden="1" outlineLevel="2">
      <c r="A320" s="138">
        <v>46082</v>
      </c>
      <c r="B320" s="1" t="s">
        <v>997</v>
      </c>
      <c r="C320" s="346" t="s">
        <v>1753</v>
      </c>
      <c r="D320" s="677" t="str">
        <f>VLOOKUP(RIGHT(C320,8),'[2]Export shipment'!B$8:J$1256,9,0)</f>
        <v>DSV</v>
      </c>
      <c r="E320" s="760">
        <f>VLOOKUP(RIGHT(C320,8),'[2]Export shipment'!B$8:E$1256,4,0)</f>
        <v>1303.2</v>
      </c>
      <c r="F320" s="59">
        <v>0</v>
      </c>
      <c r="G320" s="59">
        <v>15.172780032621477</v>
      </c>
      <c r="H320" s="59"/>
      <c r="I320" s="139">
        <f t="shared" si="17"/>
        <v>15.172780032621477</v>
      </c>
      <c r="K320"/>
    </row>
    <row r="321" spans="1:11" hidden="1" outlineLevel="2">
      <c r="A321" s="138">
        <v>46082</v>
      </c>
      <c r="B321" s="1" t="s">
        <v>997</v>
      </c>
      <c r="C321" s="346" t="s">
        <v>1754</v>
      </c>
      <c r="D321" s="677" t="str">
        <f>VLOOKUP(RIGHT(C321,8),'[2]Export shipment'!B$8:J$1256,9,0)</f>
        <v>DSV</v>
      </c>
      <c r="E321" s="760">
        <f>VLOOKUP(RIGHT(C321,8),'[2]Export shipment'!B$8:E$1256,4,0)</f>
        <v>1066.8</v>
      </c>
      <c r="F321" s="59">
        <v>0</v>
      </c>
      <c r="G321" s="59">
        <v>15.172780032621477</v>
      </c>
      <c r="H321" s="59"/>
      <c r="I321" s="139">
        <f t="shared" si="17"/>
        <v>15.172780032621477</v>
      </c>
      <c r="K321"/>
    </row>
    <row r="322" spans="1:11" hidden="1" outlineLevel="2">
      <c r="A322" s="138">
        <v>46082</v>
      </c>
      <c r="B322" s="1" t="s">
        <v>997</v>
      </c>
      <c r="C322" s="346" t="s">
        <v>1755</v>
      </c>
      <c r="D322" s="677" t="str">
        <f>VLOOKUP(RIGHT(C322,8),'[2]Export shipment'!B$8:J$1256,9,0)</f>
        <v>DSV</v>
      </c>
      <c r="E322" s="760">
        <f>VLOOKUP(RIGHT(C322,8),'[2]Export shipment'!B$8:E$1256,4,0)</f>
        <v>698.4</v>
      </c>
      <c r="F322" s="59">
        <v>0</v>
      </c>
      <c r="G322" s="59">
        <v>15.172780032621477</v>
      </c>
      <c r="H322" s="59"/>
      <c r="I322" s="139">
        <f t="shared" si="17"/>
        <v>15.172780032621477</v>
      </c>
      <c r="K322"/>
    </row>
    <row r="323" spans="1:11" hidden="1" outlineLevel="2">
      <c r="A323" s="138">
        <v>46082</v>
      </c>
      <c r="B323" s="1" t="s">
        <v>997</v>
      </c>
      <c r="C323" s="346" t="s">
        <v>1756</v>
      </c>
      <c r="D323" s="677" t="str">
        <f>VLOOKUP(RIGHT(C323,8),'[2]Export shipment'!B$8:J$1256,9,0)</f>
        <v>DSV</v>
      </c>
      <c r="E323" s="760">
        <f>VLOOKUP(RIGHT(C323,8),'[2]Export shipment'!B$8:E$1256,4,0)</f>
        <v>1483.2</v>
      </c>
      <c r="F323" s="59">
        <v>0</v>
      </c>
      <c r="G323" s="59">
        <v>15.172780032621477</v>
      </c>
      <c r="H323" s="59"/>
      <c r="I323" s="139">
        <f t="shared" si="17"/>
        <v>15.172780032621477</v>
      </c>
      <c r="K323"/>
    </row>
    <row r="324" spans="1:11" hidden="1" outlineLevel="2">
      <c r="A324" s="138">
        <v>46082</v>
      </c>
      <c r="B324" s="1" t="s">
        <v>997</v>
      </c>
      <c r="C324" s="346" t="s">
        <v>1757</v>
      </c>
      <c r="D324" s="677" t="str">
        <f>VLOOKUP(RIGHT(C324,8),'[2]Export shipment'!B$8:J$1256,9,0)</f>
        <v>DSV</v>
      </c>
      <c r="E324" s="760">
        <f>VLOOKUP(RIGHT(C324,8),'[2]Export shipment'!B$8:E$1256,4,0)</f>
        <v>950.4</v>
      </c>
      <c r="F324" s="59">
        <v>0</v>
      </c>
      <c r="G324" s="59">
        <v>15.172780032621477</v>
      </c>
      <c r="H324" s="59"/>
      <c r="I324" s="139">
        <f t="shared" si="17"/>
        <v>15.172780032621477</v>
      </c>
      <c r="K324"/>
    </row>
    <row r="325" spans="1:11" hidden="1" outlineLevel="2">
      <c r="A325" s="138">
        <v>46082</v>
      </c>
      <c r="B325" s="1" t="s">
        <v>997</v>
      </c>
      <c r="C325" s="346" t="s">
        <v>1758</v>
      </c>
      <c r="D325" s="677" t="str">
        <f>VLOOKUP(RIGHT(C325,8),'[2]Export shipment'!B$8:J$1256,9,0)</f>
        <v>DSV</v>
      </c>
      <c r="E325" s="760">
        <f>VLOOKUP(RIGHT(C325,8),'[2]Export shipment'!B$8:E$1256,4,0)</f>
        <v>950.4</v>
      </c>
      <c r="F325" s="59">
        <v>0</v>
      </c>
      <c r="G325" s="59">
        <v>15.172780032621477</v>
      </c>
      <c r="H325" s="59"/>
      <c r="I325" s="139">
        <f t="shared" si="17"/>
        <v>15.172780032621477</v>
      </c>
      <c r="K325"/>
    </row>
    <row r="326" spans="1:11" hidden="1" outlineLevel="2">
      <c r="A326" s="138">
        <v>46082</v>
      </c>
      <c r="B326" s="1" t="s">
        <v>997</v>
      </c>
      <c r="C326" s="346" t="s">
        <v>1759</v>
      </c>
      <c r="D326" s="677" t="str">
        <f>VLOOKUP(RIGHT(C326,8),'[2]Export shipment'!B$8:J$1256,9,0)</f>
        <v>DSV</v>
      </c>
      <c r="E326" s="760">
        <f>VLOOKUP(RIGHT(C326,8),'[2]Export shipment'!B$8:E$1256,4,0)</f>
        <v>1224</v>
      </c>
      <c r="F326" s="59">
        <v>0</v>
      </c>
      <c r="G326" s="59">
        <v>15.172780032621477</v>
      </c>
      <c r="H326" s="59"/>
      <c r="I326" s="139">
        <f t="shared" si="17"/>
        <v>15.172780032621477</v>
      </c>
      <c r="K326"/>
    </row>
    <row r="327" spans="1:11" hidden="1" outlineLevel="2">
      <c r="A327" s="138">
        <v>46082</v>
      </c>
      <c r="B327" s="1" t="s">
        <v>1728</v>
      </c>
      <c r="C327" s="346" t="s">
        <v>1760</v>
      </c>
      <c r="D327" s="677" t="str">
        <f>VLOOKUP(RIGHT(C327,8),'[2]Export shipment'!B$8:J$1256,9,0)</f>
        <v>DSV</v>
      </c>
      <c r="E327" s="760">
        <f>VLOOKUP(RIGHT(C327,8),'[2]Export shipment'!B$8:E$1256,4,0)</f>
        <v>1.6</v>
      </c>
      <c r="F327" s="59">
        <v>0</v>
      </c>
      <c r="G327" s="59">
        <v>24.655767553009902</v>
      </c>
      <c r="H327" s="59"/>
      <c r="I327" s="139">
        <f t="shared" si="17"/>
        <v>24.655767553009902</v>
      </c>
      <c r="K327"/>
    </row>
    <row r="328" spans="1:11" hidden="1" outlineLevel="2">
      <c r="A328" s="138">
        <v>46082</v>
      </c>
      <c r="B328" s="1" t="s">
        <v>997</v>
      </c>
      <c r="C328" s="346" t="s">
        <v>1761</v>
      </c>
      <c r="D328" s="677" t="str">
        <f>VLOOKUP(RIGHT(C328,8),'[2]Export shipment'!B$8:J$1256,9,0)</f>
        <v>DSV</v>
      </c>
      <c r="E328" s="760">
        <f>VLOOKUP(RIGHT(C328,8),'[2]Export shipment'!B$8:E$1256,4,0)</f>
        <v>547.20000000000005</v>
      </c>
      <c r="F328" s="59">
        <v>0</v>
      </c>
      <c r="G328" s="59">
        <v>15.172780032621477</v>
      </c>
      <c r="H328" s="59"/>
      <c r="I328" s="139">
        <f t="shared" si="17"/>
        <v>15.172780032621477</v>
      </c>
      <c r="K328"/>
    </row>
    <row r="329" spans="1:11" hidden="1" outlineLevel="2">
      <c r="A329" s="138">
        <v>46082</v>
      </c>
      <c r="B329" s="1" t="s">
        <v>997</v>
      </c>
      <c r="C329" s="346" t="s">
        <v>1762</v>
      </c>
      <c r="D329" s="677" t="str">
        <f>VLOOKUP(RIGHT(C329,8),'[2]Export shipment'!B$8:J$1256,9,0)</f>
        <v>DSV</v>
      </c>
      <c r="E329" s="760">
        <f>VLOOKUP(RIGHT(C329,8),'[2]Export shipment'!B$8:E$1256,4,0)</f>
        <v>872.4</v>
      </c>
      <c r="F329" s="59">
        <v>0</v>
      </c>
      <c r="G329" s="59">
        <v>15.172780032621477</v>
      </c>
      <c r="H329" s="59"/>
      <c r="I329" s="139">
        <f t="shared" si="17"/>
        <v>15.172780032621477</v>
      </c>
      <c r="K329"/>
    </row>
    <row r="330" spans="1:11" hidden="1" outlineLevel="2">
      <c r="A330" s="138">
        <v>46082</v>
      </c>
      <c r="B330" s="1" t="s">
        <v>1075</v>
      </c>
      <c r="C330" s="346" t="s">
        <v>1763</v>
      </c>
      <c r="D330" s="677" t="str">
        <f>VLOOKUP(RIGHT(C330,8),'[2]Export shipment'!B$8:J$1256,9,0)</f>
        <v>DSV</v>
      </c>
      <c r="E330" s="760">
        <f>VLOOKUP(RIGHT(C330,8),'[2]Export shipment'!B$8:E$1256,4,0)</f>
        <v>876</v>
      </c>
      <c r="F330" s="59">
        <v>0</v>
      </c>
      <c r="G330" s="59">
        <v>15.172780032621477</v>
      </c>
      <c r="H330" s="59"/>
      <c r="I330" s="139">
        <f t="shared" si="17"/>
        <v>15.172780032621477</v>
      </c>
      <c r="K330"/>
    </row>
    <row r="331" spans="1:11" hidden="1" outlineLevel="2">
      <c r="A331" s="138">
        <v>46082</v>
      </c>
      <c r="B331" s="1" t="s">
        <v>997</v>
      </c>
      <c r="C331" s="346" t="s">
        <v>1764</v>
      </c>
      <c r="D331" s="677" t="str">
        <f>VLOOKUP(RIGHT(C331,8),'[2]Export shipment'!B$8:J$1256,9,0)</f>
        <v>DSV</v>
      </c>
      <c r="E331" s="760">
        <f>VLOOKUP(RIGHT(C331,8),'[2]Export shipment'!B$8:E$1256,4,0)</f>
        <v>1705.2</v>
      </c>
      <c r="F331" s="59">
        <v>0</v>
      </c>
      <c r="G331" s="59">
        <v>15.172780032621477</v>
      </c>
      <c r="H331" s="59"/>
      <c r="I331" s="139">
        <f t="shared" si="17"/>
        <v>15.172780032621477</v>
      </c>
      <c r="K331"/>
    </row>
    <row r="332" spans="1:11" hidden="1" outlineLevel="2">
      <c r="A332" s="138">
        <v>46082</v>
      </c>
      <c r="B332" s="1" t="s">
        <v>997</v>
      </c>
      <c r="C332" s="346" t="s">
        <v>1765</v>
      </c>
      <c r="D332" s="677" t="str">
        <f>VLOOKUP(RIGHT(C332,8),'[2]Export shipment'!B$8:J$1256,9,0)</f>
        <v>DSV</v>
      </c>
      <c r="E332" s="760">
        <f>VLOOKUP(RIGHT(C332,8),'[2]Export shipment'!B$8:E$1256,4,0)</f>
        <v>684</v>
      </c>
      <c r="F332" s="59">
        <v>0</v>
      </c>
      <c r="G332" s="59">
        <v>15.172780032621477</v>
      </c>
      <c r="H332" s="59"/>
      <c r="I332" s="139">
        <f t="shared" si="17"/>
        <v>15.172780032621477</v>
      </c>
      <c r="K332"/>
    </row>
    <row r="333" spans="1:11" hidden="1" outlineLevel="2">
      <c r="A333" s="138">
        <v>46082</v>
      </c>
      <c r="B333" s="1" t="s">
        <v>997</v>
      </c>
      <c r="C333" s="346" t="s">
        <v>1766</v>
      </c>
      <c r="D333" s="677" t="str">
        <f>VLOOKUP(RIGHT(C333,8),'[2]Export shipment'!B$8:J$1256,9,0)</f>
        <v>DSV</v>
      </c>
      <c r="E333" s="760">
        <f>VLOOKUP(RIGHT(C333,8),'[2]Export shipment'!B$8:E$1256,4,0)</f>
        <v>646.20000000000005</v>
      </c>
      <c r="F333" s="59">
        <v>0</v>
      </c>
      <c r="G333" s="59">
        <v>15.172780032621477</v>
      </c>
      <c r="H333" s="59"/>
      <c r="I333" s="139">
        <f t="shared" si="17"/>
        <v>15.172780032621477</v>
      </c>
      <c r="K333"/>
    </row>
    <row r="334" spans="1:11" hidden="1" outlineLevel="2">
      <c r="A334" s="138">
        <v>46082</v>
      </c>
      <c r="B334" s="1" t="s">
        <v>997</v>
      </c>
      <c r="C334" s="346" t="s">
        <v>1767</v>
      </c>
      <c r="D334" s="677" t="str">
        <f>VLOOKUP(RIGHT(C334,8),'[2]Export shipment'!B$8:J$1256,9,0)</f>
        <v>DSV</v>
      </c>
      <c r="E334" s="760">
        <f>VLOOKUP(RIGHT(C334,8),'[2]Export shipment'!B$8:E$1256,4,0)</f>
        <v>1593.6</v>
      </c>
      <c r="F334" s="59">
        <v>0</v>
      </c>
      <c r="G334" s="59">
        <v>15.172780032621477</v>
      </c>
      <c r="H334" s="59"/>
      <c r="I334" s="139">
        <f t="shared" si="17"/>
        <v>15.172780032621477</v>
      </c>
      <c r="K334"/>
    </row>
    <row r="335" spans="1:11" hidden="1" outlineLevel="2">
      <c r="A335" s="138">
        <v>46082</v>
      </c>
      <c r="B335" s="1" t="s">
        <v>997</v>
      </c>
      <c r="C335" s="346" t="s">
        <v>1768</v>
      </c>
      <c r="D335" s="677" t="str">
        <f>VLOOKUP(RIGHT(C335,8),'[2]Export shipment'!B$8:J$1256,9,0)</f>
        <v>DSV</v>
      </c>
      <c r="E335" s="760">
        <f>VLOOKUP(RIGHT(C335,8),'[2]Export shipment'!B$8:E$1256,4,0)</f>
        <v>1297.2</v>
      </c>
      <c r="F335" s="59">
        <v>0</v>
      </c>
      <c r="G335" s="59">
        <v>15.172780032621477</v>
      </c>
      <c r="H335" s="59"/>
      <c r="I335" s="139">
        <f t="shared" si="17"/>
        <v>15.172780032621477</v>
      </c>
      <c r="K335"/>
    </row>
    <row r="336" spans="1:11" hidden="1" outlineLevel="2">
      <c r="A336" s="138">
        <v>46082</v>
      </c>
      <c r="B336" s="1" t="s">
        <v>997</v>
      </c>
      <c r="C336" s="346" t="s">
        <v>1769</v>
      </c>
      <c r="D336" s="677" t="str">
        <f>VLOOKUP(RIGHT(C336,8),'[2]Export shipment'!B$8:J$1256,9,0)</f>
        <v>DSV</v>
      </c>
      <c r="E336" s="760">
        <f>VLOOKUP(RIGHT(C336,8),'[2]Export shipment'!B$8:E$1256,4,0)</f>
        <v>927.7</v>
      </c>
      <c r="F336" s="59">
        <v>0</v>
      </c>
      <c r="G336" s="59">
        <v>15.172780032621477</v>
      </c>
      <c r="H336" s="59"/>
      <c r="I336" s="139">
        <f t="shared" si="17"/>
        <v>15.172780032621477</v>
      </c>
      <c r="K336"/>
    </row>
    <row r="337" spans="1:11" hidden="1" outlineLevel="2">
      <c r="A337" s="138">
        <v>46082</v>
      </c>
      <c r="B337" s="1" t="s">
        <v>1023</v>
      </c>
      <c r="C337" s="346" t="s">
        <v>1770</v>
      </c>
      <c r="D337" s="677" t="str">
        <f>VLOOKUP(RIGHT(C337,8),'[2]Export shipment'!B$8:J$1256,9,0)</f>
        <v>DSV</v>
      </c>
      <c r="E337" s="760">
        <f>VLOOKUP(RIGHT(C337,8),'[2]Export shipment'!B$8:E$1256,4,0)</f>
        <v>876</v>
      </c>
      <c r="F337" s="59">
        <v>0</v>
      </c>
      <c r="G337" s="59">
        <v>15.172780032621477</v>
      </c>
      <c r="H337" s="59"/>
      <c r="I337" s="139">
        <f t="shared" si="17"/>
        <v>15.172780032621477</v>
      </c>
      <c r="K337"/>
    </row>
    <row r="338" spans="1:11" hidden="1" outlineLevel="2">
      <c r="A338" s="138">
        <v>46082</v>
      </c>
      <c r="B338" s="1" t="s">
        <v>997</v>
      </c>
      <c r="C338" s="346" t="s">
        <v>1771</v>
      </c>
      <c r="D338" s="677" t="str">
        <f>VLOOKUP(RIGHT(C338,8),'[2]Export shipment'!B$8:J$1256,9,0)</f>
        <v>DSV</v>
      </c>
      <c r="E338" s="760">
        <f>VLOOKUP(RIGHT(C338,8),'[2]Export shipment'!B$8:E$1256,4,0)</f>
        <v>2833.2</v>
      </c>
      <c r="F338" s="59">
        <v>0</v>
      </c>
      <c r="G338" s="59">
        <v>24.655767553009902</v>
      </c>
      <c r="H338" s="59"/>
      <c r="I338" s="139">
        <f t="shared" si="17"/>
        <v>24.655767553009902</v>
      </c>
      <c r="K338"/>
    </row>
    <row r="339" spans="1:11" hidden="1" outlineLevel="2">
      <c r="A339" s="138">
        <v>46082</v>
      </c>
      <c r="B339" s="1" t="s">
        <v>997</v>
      </c>
      <c r="C339" s="346" t="s">
        <v>1772</v>
      </c>
      <c r="D339" s="677" t="str">
        <f>VLOOKUP(RIGHT(C339,8),'[2]Export shipment'!B$8:J$1256,9,0)</f>
        <v>DSV</v>
      </c>
      <c r="E339" s="760">
        <f>VLOOKUP(RIGHT(C339,8),'[2]Export shipment'!B$8:E$1256,4,0)</f>
        <v>3069.6</v>
      </c>
      <c r="F339" s="59">
        <v>0</v>
      </c>
      <c r="G339" s="59">
        <v>24.655767553009902</v>
      </c>
      <c r="H339" s="59"/>
      <c r="I339" s="139">
        <f t="shared" si="17"/>
        <v>24.655767553009902</v>
      </c>
      <c r="K339"/>
    </row>
    <row r="340" spans="1:11" hidden="1" outlineLevel="2">
      <c r="A340" s="138">
        <v>46082</v>
      </c>
      <c r="B340" s="1" t="s">
        <v>997</v>
      </c>
      <c r="C340" s="346" t="s">
        <v>1773</v>
      </c>
      <c r="D340" s="677" t="str">
        <f>VLOOKUP(RIGHT(C340,8),'[2]Export shipment'!B$8:J$1256,9,0)</f>
        <v>DSV</v>
      </c>
      <c r="E340" s="760">
        <f>VLOOKUP(RIGHT(C340,8),'[2]Export shipment'!B$8:E$1256,4,0)</f>
        <v>1680</v>
      </c>
      <c r="F340" s="59">
        <v>0</v>
      </c>
      <c r="G340" s="59">
        <v>15.172780032621477</v>
      </c>
      <c r="H340" s="59"/>
      <c r="I340" s="139">
        <f t="shared" si="17"/>
        <v>15.172780032621477</v>
      </c>
      <c r="K340"/>
    </row>
    <row r="341" spans="1:11" hidden="1" outlineLevel="2">
      <c r="A341" s="138">
        <v>46082</v>
      </c>
      <c r="B341" s="1" t="s">
        <v>1064</v>
      </c>
      <c r="C341" s="346" t="s">
        <v>1774</v>
      </c>
      <c r="D341" s="677" t="str">
        <f>VLOOKUP(RIGHT(C341,8),'[2]Export shipment'!B$8:J$1256,9,0)</f>
        <v>DSV</v>
      </c>
      <c r="E341" s="760">
        <f>VLOOKUP(RIGHT(C341,8),'[2]Export shipment'!B$8:E$1256,4,0)</f>
        <v>169.4</v>
      </c>
      <c r="F341" s="59">
        <v>0</v>
      </c>
      <c r="G341" s="59">
        <v>15.172780032621477</v>
      </c>
      <c r="H341" s="59"/>
      <c r="I341" s="139">
        <f t="shared" si="17"/>
        <v>15.172780032621477</v>
      </c>
      <c r="K341"/>
    </row>
    <row r="342" spans="1:11" hidden="1" outlineLevel="2">
      <c r="A342" s="138">
        <v>46082</v>
      </c>
      <c r="B342" s="1" t="s">
        <v>997</v>
      </c>
      <c r="C342" s="346" t="s">
        <v>1775</v>
      </c>
      <c r="D342" s="677" t="str">
        <f>VLOOKUP(RIGHT(C342,8),'[2]Export shipment'!B$8:J$1256,9,0)</f>
        <v>DSV</v>
      </c>
      <c r="E342" s="760">
        <f>VLOOKUP(RIGHT(C342,8),'[2]Export shipment'!B$8:E$1256,4,0)</f>
        <v>1420.8</v>
      </c>
      <c r="F342" s="59">
        <v>0</v>
      </c>
      <c r="G342" s="59">
        <v>15.172780032621477</v>
      </c>
      <c r="H342" s="59"/>
      <c r="I342" s="139">
        <f t="shared" si="17"/>
        <v>15.172780032621477</v>
      </c>
      <c r="K342"/>
    </row>
    <row r="343" spans="1:11" hidden="1" outlineLevel="2">
      <c r="A343" s="138">
        <v>46082</v>
      </c>
      <c r="B343" s="1" t="s">
        <v>1731</v>
      </c>
      <c r="C343" s="346" t="s">
        <v>1776</v>
      </c>
      <c r="D343" s="677" t="str">
        <f>VLOOKUP(RIGHT(C343,8),'[2]Export shipment'!B$8:J$1256,9,0)</f>
        <v>DSV</v>
      </c>
      <c r="E343" s="760">
        <f>VLOOKUP(RIGHT(C343,8),'[2]Export shipment'!B$8:E$1256,4,0)</f>
        <v>178</v>
      </c>
      <c r="F343" s="59">
        <v>0</v>
      </c>
      <c r="G343" s="59">
        <v>15.172780032621477</v>
      </c>
      <c r="H343" s="59"/>
      <c r="I343" s="139">
        <f t="shared" si="17"/>
        <v>15.172780032621477</v>
      </c>
      <c r="K343"/>
    </row>
    <row r="344" spans="1:11" hidden="1" outlineLevel="2">
      <c r="A344" s="138">
        <v>46082</v>
      </c>
      <c r="B344" s="1" t="s">
        <v>997</v>
      </c>
      <c r="C344" s="346" t="s">
        <v>1777</v>
      </c>
      <c r="D344" s="677" t="str">
        <f>VLOOKUP(RIGHT(C344,8),'[2]Export shipment'!B$8:J$1256,9,0)</f>
        <v>DSV</v>
      </c>
      <c r="E344" s="760">
        <f>VLOOKUP(RIGHT(C344,8),'[2]Export shipment'!B$8:E$1256,4,0)</f>
        <v>1228.8</v>
      </c>
      <c r="F344" s="59">
        <v>0</v>
      </c>
      <c r="G344" s="59">
        <v>15.172780032621477</v>
      </c>
      <c r="H344" s="59"/>
      <c r="I344" s="139">
        <f t="shared" si="17"/>
        <v>15.172780032621477</v>
      </c>
      <c r="K344"/>
    </row>
    <row r="345" spans="1:11" hidden="1" outlineLevel="2">
      <c r="A345" s="138">
        <v>46082</v>
      </c>
      <c r="B345" s="1" t="s">
        <v>997</v>
      </c>
      <c r="C345" s="346" t="s">
        <v>1778</v>
      </c>
      <c r="D345" s="677" t="str">
        <f>VLOOKUP(RIGHT(C345,8),'[2]Export shipment'!B$8:J$1256,9,0)</f>
        <v>DSV</v>
      </c>
      <c r="E345" s="760">
        <f>VLOOKUP(RIGHT(C345,8),'[2]Export shipment'!B$8:E$1256,4,0)</f>
        <v>1680</v>
      </c>
      <c r="F345" s="59">
        <v>0</v>
      </c>
      <c r="G345" s="59">
        <v>15.172780032621477</v>
      </c>
      <c r="H345" s="59"/>
      <c r="I345" s="139">
        <f t="shared" ref="I345:I405" si="18">SUM(F345:H345)</f>
        <v>15.172780032621477</v>
      </c>
      <c r="K345"/>
    </row>
    <row r="346" spans="1:11" hidden="1" outlineLevel="2">
      <c r="A346" s="138">
        <v>46082</v>
      </c>
      <c r="B346" s="1" t="s">
        <v>997</v>
      </c>
      <c r="C346" s="346" t="s">
        <v>1779</v>
      </c>
      <c r="D346" s="677" t="str">
        <f>VLOOKUP(RIGHT(C346,8),'[2]Export shipment'!B$8:J$1256,9,0)</f>
        <v>DSV</v>
      </c>
      <c r="E346" s="760">
        <f>VLOOKUP(RIGHT(C346,8),'[2]Export shipment'!B$8:E$1256,4,0)</f>
        <v>1804.8</v>
      </c>
      <c r="F346" s="59">
        <v>0</v>
      </c>
      <c r="G346" s="59">
        <v>15.172780032621477</v>
      </c>
      <c r="H346" s="59"/>
      <c r="I346" s="139">
        <f t="shared" si="18"/>
        <v>15.172780032621477</v>
      </c>
      <c r="K346"/>
    </row>
    <row r="347" spans="1:11" hidden="1" outlineLevel="2">
      <c r="A347" s="138">
        <v>46082</v>
      </c>
      <c r="B347" s="1" t="s">
        <v>997</v>
      </c>
      <c r="C347" s="346" t="s">
        <v>1780</v>
      </c>
      <c r="D347" s="677" t="str">
        <f>VLOOKUP(RIGHT(C347,8),'[2]Export shipment'!B$8:J$1256,9,0)</f>
        <v>DSV</v>
      </c>
      <c r="E347" s="760">
        <f>VLOOKUP(RIGHT(C347,8),'[2]Export shipment'!B$8:E$1256,4,0)</f>
        <v>1680</v>
      </c>
      <c r="F347" s="59">
        <v>0</v>
      </c>
      <c r="G347" s="59">
        <v>15.172780032621477</v>
      </c>
      <c r="H347" s="59"/>
      <c r="I347" s="139">
        <f t="shared" si="18"/>
        <v>15.172780032621477</v>
      </c>
      <c r="K347"/>
    </row>
    <row r="348" spans="1:11" hidden="1" outlineLevel="2">
      <c r="A348" s="138">
        <v>46082</v>
      </c>
      <c r="B348" s="1" t="s">
        <v>997</v>
      </c>
      <c r="C348" s="346" t="s">
        <v>1781</v>
      </c>
      <c r="D348" s="677" t="str">
        <f>VLOOKUP(RIGHT(C348,8),'[2]Export shipment'!B$8:J$1256,9,0)</f>
        <v>DSV</v>
      </c>
      <c r="E348" s="760">
        <f>VLOOKUP(RIGHT(C348,8),'[2]Export shipment'!B$8:E$1256,4,0)</f>
        <v>754.8</v>
      </c>
      <c r="F348" s="59">
        <v>0</v>
      </c>
      <c r="G348" s="59">
        <v>15.172780032621477</v>
      </c>
      <c r="H348" s="59"/>
      <c r="I348" s="139">
        <f t="shared" si="18"/>
        <v>15.172780032621477</v>
      </c>
      <c r="K348"/>
    </row>
    <row r="349" spans="1:11" hidden="1" outlineLevel="2">
      <c r="A349" s="138">
        <v>46082</v>
      </c>
      <c r="B349" s="1" t="s">
        <v>1075</v>
      </c>
      <c r="C349" s="346" t="s">
        <v>1782</v>
      </c>
      <c r="D349" s="677" t="str">
        <f>VLOOKUP(RIGHT(C349,8),'[2]Export shipment'!B$8:J$1256,9,0)</f>
        <v>DSV</v>
      </c>
      <c r="E349" s="760">
        <f>VLOOKUP(RIGHT(C349,8),'[2]Export shipment'!B$8:E$1256,4,0)</f>
        <v>876</v>
      </c>
      <c r="F349" s="59">
        <v>0</v>
      </c>
      <c r="G349" s="59">
        <v>15.172780032621477</v>
      </c>
      <c r="H349" s="59"/>
      <c r="I349" s="139">
        <f t="shared" si="18"/>
        <v>15.172780032621477</v>
      </c>
      <c r="K349"/>
    </row>
    <row r="350" spans="1:11" outlineLevel="1" collapsed="1">
      <c r="A350" s="535" t="s">
        <v>1750</v>
      </c>
      <c r="B350" s="1"/>
      <c r="C350" s="346"/>
      <c r="D350" s="677"/>
      <c r="E350" s="760">
        <f>SUBTOTAL(9,E315:E349)</f>
        <v>36722.9</v>
      </c>
      <c r="F350" s="59">
        <f>SUBTOTAL(9,F315:F349)</f>
        <v>0</v>
      </c>
      <c r="G350" s="59">
        <f>SUBTOTAL(9,G315:G349)</f>
        <v>529.15070363767393</v>
      </c>
      <c r="H350" s="59">
        <f>SUBTOTAL(9,H315:H349)</f>
        <v>1974.1018852179193</v>
      </c>
      <c r="I350" s="139">
        <f>SUBTOTAL(9,I315:I349)</f>
        <v>2503.2525888555965</v>
      </c>
      <c r="K350"/>
    </row>
    <row r="351" spans="1:11" hidden="1" outlineLevel="2">
      <c r="A351" s="535">
        <v>46113</v>
      </c>
      <c r="B351" s="1" t="s">
        <v>1870</v>
      </c>
      <c r="C351" s="346" t="s">
        <v>1887</v>
      </c>
      <c r="D351" s="677" t="s">
        <v>655</v>
      </c>
      <c r="E351" s="760">
        <f>VLOOKUP(C351,'[2]Export shipment'!B$8:E$1256,4,0)</f>
        <v>0.1</v>
      </c>
      <c r="F351" s="59"/>
      <c r="G351" s="59">
        <v>0</v>
      </c>
      <c r="H351" s="59">
        <v>22.441991883794138</v>
      </c>
      <c r="I351" s="139">
        <f t="shared" si="18"/>
        <v>22.441991883794138</v>
      </c>
      <c r="K351"/>
    </row>
    <row r="352" spans="1:11" hidden="1" outlineLevel="2">
      <c r="A352" s="535">
        <v>46113</v>
      </c>
      <c r="B352" s="1" t="s">
        <v>1826</v>
      </c>
      <c r="C352" s="346" t="s">
        <v>1825</v>
      </c>
      <c r="D352" s="677" t="str">
        <f>VLOOKUP(RIGHT(C352,8),'[2]Export shipment'!B$8:J$1256,9,0)</f>
        <v>DHL</v>
      </c>
      <c r="E352" s="760">
        <f>VLOOKUP(RIGHT(C352,8),'[2]Export shipment'!B$8:E$1256,4,0)</f>
        <v>3.9</v>
      </c>
      <c r="F352" s="59">
        <v>18.204573899192173</v>
      </c>
      <c r="G352" s="59">
        <v>24.652027155156066</v>
      </c>
      <c r="H352" s="59">
        <v>0</v>
      </c>
      <c r="I352" s="139">
        <f t="shared" si="18"/>
        <v>42.856601054348239</v>
      </c>
      <c r="K352"/>
    </row>
    <row r="353" spans="1:11" hidden="1" outlineLevel="2">
      <c r="A353" s="535">
        <v>46113</v>
      </c>
      <c r="B353" s="1" t="s">
        <v>997</v>
      </c>
      <c r="C353" s="346" t="s">
        <v>1827</v>
      </c>
      <c r="D353" s="677" t="str">
        <f>VLOOKUP(RIGHT(C353,8),'[2]Export shipment'!B$8:J$1256,9,0)</f>
        <v>DSV</v>
      </c>
      <c r="E353" s="760">
        <f>VLOOKUP(RIGHT(C353,8),'[2]Export shipment'!B$8:E$1256,4,0)</f>
        <v>3170.4</v>
      </c>
      <c r="F353" s="59">
        <v>0</v>
      </c>
      <c r="G353" s="59">
        <v>15.170478249326811</v>
      </c>
      <c r="H353" s="59">
        <v>0</v>
      </c>
      <c r="I353" s="139">
        <f t="shared" si="18"/>
        <v>15.170478249326811</v>
      </c>
      <c r="K353"/>
    </row>
    <row r="354" spans="1:11" hidden="1" outlineLevel="2">
      <c r="A354" s="535">
        <v>46113</v>
      </c>
      <c r="B354" s="1" t="s">
        <v>997</v>
      </c>
      <c r="C354" s="346" t="s">
        <v>1832</v>
      </c>
      <c r="D354" s="677" t="str">
        <f>VLOOKUP(RIGHT(C354,8),'[2]Export shipment'!B$8:J$1256,9,0)</f>
        <v>DSV</v>
      </c>
      <c r="E354" s="760">
        <f>VLOOKUP(RIGHT(C354,8),'[2]Export shipment'!B$8:E$1256,4,0)</f>
        <v>3157.2</v>
      </c>
      <c r="F354" s="59">
        <v>0</v>
      </c>
      <c r="G354" s="59">
        <v>15.170478249326811</v>
      </c>
      <c r="H354" s="59">
        <v>0</v>
      </c>
      <c r="I354" s="139">
        <f t="shared" si="18"/>
        <v>15.170478249326811</v>
      </c>
      <c r="K354"/>
    </row>
    <row r="355" spans="1:11" hidden="1" outlineLevel="2">
      <c r="A355" s="535">
        <v>46113</v>
      </c>
      <c r="B355" s="1" t="s">
        <v>997</v>
      </c>
      <c r="C355" s="346" t="s">
        <v>1833</v>
      </c>
      <c r="D355" s="677" t="str">
        <f>VLOOKUP(RIGHT(C355,8),'[2]Export shipment'!B$8:J$1256,9,0)</f>
        <v>DSV</v>
      </c>
      <c r="E355" s="760">
        <f>VLOOKUP(RIGHT(C355,8),'[2]Export shipment'!B$8:E$1256,4,0)</f>
        <v>3739</v>
      </c>
      <c r="F355" s="59">
        <v>0</v>
      </c>
      <c r="G355" s="59">
        <v>15.170478249326811</v>
      </c>
      <c r="H355" s="59">
        <v>0</v>
      </c>
      <c r="I355" s="139">
        <f t="shared" si="18"/>
        <v>15.170478249326811</v>
      </c>
      <c r="K355"/>
    </row>
    <row r="356" spans="1:11" hidden="1" outlineLevel="2">
      <c r="A356" s="535">
        <v>46113</v>
      </c>
      <c r="B356" s="1" t="s">
        <v>1837</v>
      </c>
      <c r="C356" s="346" t="s">
        <v>1836</v>
      </c>
      <c r="D356" s="677" t="str">
        <f>VLOOKUP(RIGHT(C356,8),'[2]Export shipment'!B$8:J$1256,9,0)</f>
        <v>x</v>
      </c>
      <c r="E356" s="760">
        <f>VLOOKUP(RIGHT(C356,8),'[2]Export shipment'!B$8:E$1256,4,0)</f>
        <v>0.5</v>
      </c>
      <c r="F356" s="59">
        <v>18.204573899192173</v>
      </c>
      <c r="G356" s="59">
        <v>24.652027155156066</v>
      </c>
      <c r="H356" s="59">
        <v>0</v>
      </c>
      <c r="I356" s="139">
        <f t="shared" si="18"/>
        <v>42.856601054348239</v>
      </c>
      <c r="K356"/>
    </row>
    <row r="357" spans="1:11" hidden="1" outlineLevel="2">
      <c r="A357" s="535">
        <v>46113</v>
      </c>
      <c r="B357" s="1" t="s">
        <v>997</v>
      </c>
      <c r="C357" s="346" t="s">
        <v>1838</v>
      </c>
      <c r="D357" s="677" t="str">
        <f>VLOOKUP(RIGHT(C357,8),'[2]Export shipment'!B$8:J$1256,9,0)</f>
        <v>DSV</v>
      </c>
      <c r="E357" s="760">
        <f>VLOOKUP(RIGHT(C357,8),'[2]Export shipment'!B$8:E$1256,4,0)</f>
        <v>3172.8</v>
      </c>
      <c r="F357" s="59">
        <v>0</v>
      </c>
      <c r="G357" s="59">
        <v>15.170478249326811</v>
      </c>
      <c r="H357" s="59">
        <v>0</v>
      </c>
      <c r="I357" s="139">
        <f t="shared" si="18"/>
        <v>15.170478249326811</v>
      </c>
      <c r="K357"/>
    </row>
    <row r="358" spans="1:11" hidden="1" outlineLevel="2">
      <c r="A358" s="535">
        <v>46113</v>
      </c>
      <c r="B358" s="1" t="s">
        <v>1075</v>
      </c>
      <c r="C358" s="346" t="s">
        <v>1839</v>
      </c>
      <c r="D358" s="677" t="str">
        <f>VLOOKUP(RIGHT(C358,8),'[2]Export shipment'!B$8:J$1256,9,0)</f>
        <v>DSV</v>
      </c>
      <c r="E358" s="760">
        <f>VLOOKUP(RIGHT(C358,8),'[2]Export shipment'!B$8:E$1256,4,0)</f>
        <v>876</v>
      </c>
      <c r="F358" s="59">
        <v>0</v>
      </c>
      <c r="G358" s="59">
        <v>15.170478249326811</v>
      </c>
      <c r="H358" s="59">
        <v>0</v>
      </c>
      <c r="I358" s="139">
        <f t="shared" si="18"/>
        <v>15.170478249326811</v>
      </c>
      <c r="K358"/>
    </row>
    <row r="359" spans="1:11" hidden="1" outlineLevel="2">
      <c r="A359" s="535">
        <v>46113</v>
      </c>
      <c r="B359" s="1" t="s">
        <v>997</v>
      </c>
      <c r="C359" s="346" t="s">
        <v>1840</v>
      </c>
      <c r="D359" s="677" t="str">
        <f>VLOOKUP(RIGHT(C359,8),'[2]Export shipment'!B$8:J$1256,9,0)</f>
        <v>DSV</v>
      </c>
      <c r="E359" s="760">
        <f>VLOOKUP(RIGHT(C359,8),'[2]Export shipment'!B$8:E$1256,4,0)</f>
        <v>2884.8</v>
      </c>
      <c r="F359" s="59">
        <v>0</v>
      </c>
      <c r="G359" s="59">
        <v>15.170478249326811</v>
      </c>
      <c r="H359" s="59">
        <v>0</v>
      </c>
      <c r="I359" s="139">
        <f t="shared" si="18"/>
        <v>15.170478249326811</v>
      </c>
      <c r="K359"/>
    </row>
    <row r="360" spans="1:11" hidden="1" outlineLevel="2">
      <c r="A360" s="535">
        <v>46113</v>
      </c>
      <c r="B360" s="1" t="s">
        <v>1843</v>
      </c>
      <c r="C360" s="346" t="s">
        <v>1842</v>
      </c>
      <c r="D360" s="677" t="str">
        <f>VLOOKUP(RIGHT(C360,8),'[2]Export shipment'!B$8:J$1256,9,0)</f>
        <v>DSV</v>
      </c>
      <c r="E360" s="760">
        <f>VLOOKUP(RIGHT(C360,8),'[2]Export shipment'!B$8:E$1256,4,0)</f>
        <v>3795.6</v>
      </c>
      <c r="F360" s="59">
        <v>0</v>
      </c>
      <c r="G360" s="59">
        <v>15.170478249326811</v>
      </c>
      <c r="H360" s="59">
        <v>0</v>
      </c>
      <c r="I360" s="139">
        <f t="shared" si="18"/>
        <v>15.170478249326811</v>
      </c>
      <c r="K360"/>
    </row>
    <row r="361" spans="1:11" hidden="1" outlineLevel="2">
      <c r="A361" s="535">
        <v>46113</v>
      </c>
      <c r="B361" s="1" t="s">
        <v>1075</v>
      </c>
      <c r="C361" s="346" t="s">
        <v>1844</v>
      </c>
      <c r="D361" s="677" t="str">
        <f>VLOOKUP(RIGHT(C361,8),'[2]Export shipment'!B$8:J$1256,9,0)</f>
        <v>DSV</v>
      </c>
      <c r="E361" s="760">
        <f>VLOOKUP(RIGHT(C361,8),'[2]Export shipment'!B$8:E$1256,4,0)</f>
        <v>350.4</v>
      </c>
      <c r="F361" s="59">
        <v>0</v>
      </c>
      <c r="G361" s="59">
        <v>15.170478249326811</v>
      </c>
      <c r="H361" s="59">
        <v>0</v>
      </c>
      <c r="I361" s="139">
        <f t="shared" si="18"/>
        <v>15.170478249326811</v>
      </c>
      <c r="K361"/>
    </row>
    <row r="362" spans="1:11" hidden="1" outlineLevel="2">
      <c r="A362" s="535">
        <v>46113</v>
      </c>
      <c r="B362" s="1" t="s">
        <v>997</v>
      </c>
      <c r="C362" s="346" t="s">
        <v>1846</v>
      </c>
      <c r="D362" s="677" t="str">
        <f>VLOOKUP(RIGHT(C362,8),'[2]Export shipment'!B$8:J$1256,9,0)</f>
        <v>DSV</v>
      </c>
      <c r="E362" s="760">
        <f>VLOOKUP(RIGHT(C362,8),'[2]Export shipment'!B$8:E$1256,4,0)</f>
        <v>3249.6</v>
      </c>
      <c r="F362" s="59">
        <v>0</v>
      </c>
      <c r="G362" s="59">
        <v>15.170478249326811</v>
      </c>
      <c r="H362" s="59">
        <v>0</v>
      </c>
      <c r="I362" s="139">
        <f t="shared" si="18"/>
        <v>15.170478249326811</v>
      </c>
      <c r="K362"/>
    </row>
    <row r="363" spans="1:11" hidden="1" outlineLevel="2">
      <c r="A363" s="535">
        <v>46113</v>
      </c>
      <c r="B363" s="1" t="s">
        <v>1064</v>
      </c>
      <c r="C363" s="346" t="s">
        <v>1847</v>
      </c>
      <c r="D363" s="677" t="str">
        <f>VLOOKUP(RIGHT(C363,8),'[2]Export shipment'!B$8:J$1256,9,0)</f>
        <v>DSV</v>
      </c>
      <c r="E363" s="760">
        <f>VLOOKUP(RIGHT(C363,8),'[2]Export shipment'!B$8:E$1256,4,0)</f>
        <v>122.6</v>
      </c>
      <c r="F363" s="59">
        <v>0</v>
      </c>
      <c r="G363" s="59">
        <v>15.170478249326811</v>
      </c>
      <c r="H363" s="59">
        <v>0</v>
      </c>
      <c r="I363" s="139">
        <f t="shared" si="18"/>
        <v>15.170478249326811</v>
      </c>
      <c r="K363"/>
    </row>
    <row r="364" spans="1:11" hidden="1" outlineLevel="2">
      <c r="A364" s="535">
        <v>46113</v>
      </c>
      <c r="B364" s="1" t="s">
        <v>997</v>
      </c>
      <c r="C364" s="346" t="s">
        <v>1852</v>
      </c>
      <c r="D364" s="677" t="str">
        <f>VLOOKUP(RIGHT(C364,8),'[2]Export shipment'!B$8:J$1256,9,0)</f>
        <v>DSV</v>
      </c>
      <c r="E364" s="760">
        <f>VLOOKUP(RIGHT(C364,8),'[2]Export shipment'!B$8:E$1256,4,0)</f>
        <v>3009.4</v>
      </c>
      <c r="F364" s="59">
        <v>0</v>
      </c>
      <c r="G364" s="59">
        <v>15.170478249326811</v>
      </c>
      <c r="H364" s="59">
        <v>0</v>
      </c>
      <c r="I364" s="139">
        <f t="shared" si="18"/>
        <v>15.170478249326811</v>
      </c>
      <c r="K364"/>
    </row>
    <row r="365" spans="1:11" hidden="1" outlineLevel="2">
      <c r="A365" s="535">
        <v>46113</v>
      </c>
      <c r="B365" s="1" t="s">
        <v>997</v>
      </c>
      <c r="C365" s="346" t="s">
        <v>1853</v>
      </c>
      <c r="D365" s="677" t="str">
        <f>VLOOKUP(RIGHT(C365,8),'[2]Export shipment'!B$8:J$1256,9,0)</f>
        <v>DSV</v>
      </c>
      <c r="E365" s="760">
        <f>VLOOKUP(RIGHT(C365,8),'[2]Export shipment'!B$8:E$1256,4,0)</f>
        <v>1678.8</v>
      </c>
      <c r="F365" s="59">
        <v>0</v>
      </c>
      <c r="G365" s="59">
        <v>15.170478249326811</v>
      </c>
      <c r="H365" s="59">
        <v>0</v>
      </c>
      <c r="I365" s="139">
        <f t="shared" si="18"/>
        <v>15.170478249326811</v>
      </c>
      <c r="K365"/>
    </row>
    <row r="366" spans="1:11" hidden="1" outlineLevel="2">
      <c r="A366" s="535">
        <v>46113</v>
      </c>
      <c r="B366" s="1" t="s">
        <v>997</v>
      </c>
      <c r="C366" s="346" t="s">
        <v>1854</v>
      </c>
      <c r="D366" s="677" t="str">
        <f>VLOOKUP(RIGHT(C366,8),'[2]Export shipment'!B$8:J$1256,9,0)</f>
        <v>DSV</v>
      </c>
      <c r="E366" s="760">
        <f>VLOOKUP(RIGHT(C366,8),'[2]Export shipment'!B$8:E$1256,4,0)</f>
        <v>3826.4</v>
      </c>
      <c r="F366" s="59">
        <v>0</v>
      </c>
      <c r="G366" s="59">
        <v>15.170478249326811</v>
      </c>
      <c r="H366" s="59">
        <v>0</v>
      </c>
      <c r="I366" s="139">
        <f t="shared" si="18"/>
        <v>15.170478249326811</v>
      </c>
      <c r="K366"/>
    </row>
    <row r="367" spans="1:11" hidden="1" outlineLevel="2">
      <c r="A367" s="535">
        <v>46113</v>
      </c>
      <c r="B367" s="1" t="s">
        <v>997</v>
      </c>
      <c r="C367" s="346" t="s">
        <v>1855</v>
      </c>
      <c r="D367" s="677" t="str">
        <f>VLOOKUP(RIGHT(C367,8),'[2]Export shipment'!B$8:J$1256,9,0)</f>
        <v>DSV</v>
      </c>
      <c r="E367" s="760">
        <f>VLOOKUP(RIGHT(C367,8),'[2]Export shipment'!B$8:E$1256,4,0)</f>
        <v>3528</v>
      </c>
      <c r="F367" s="59">
        <v>0</v>
      </c>
      <c r="G367" s="59">
        <v>15.170478249326811</v>
      </c>
      <c r="H367" s="59">
        <v>0</v>
      </c>
      <c r="I367" s="139">
        <f t="shared" si="18"/>
        <v>15.170478249326811</v>
      </c>
      <c r="K367"/>
    </row>
    <row r="368" spans="1:11" hidden="1" outlineLevel="2">
      <c r="A368" s="535">
        <v>46113</v>
      </c>
      <c r="B368" s="1" t="s">
        <v>997</v>
      </c>
      <c r="C368" s="346" t="s">
        <v>1857</v>
      </c>
      <c r="D368" s="677" t="str">
        <f>VLOOKUP(RIGHT(C368,8),'[2]Export shipment'!B$8:J$1256,9,0)</f>
        <v>DSV</v>
      </c>
      <c r="E368" s="760">
        <f>VLOOKUP(RIGHT(C368,8),'[2]Export shipment'!B$8:E$1256,4,0)</f>
        <v>3668.8</v>
      </c>
      <c r="F368" s="59">
        <v>0</v>
      </c>
      <c r="G368" s="59">
        <v>15.170478249326811</v>
      </c>
      <c r="H368" s="59">
        <v>0</v>
      </c>
      <c r="I368" s="139">
        <f t="shared" si="18"/>
        <v>15.170478249326811</v>
      </c>
      <c r="K368"/>
    </row>
    <row r="369" spans="1:11" hidden="1" outlineLevel="2">
      <c r="A369" s="535">
        <v>46113</v>
      </c>
      <c r="B369" s="1" t="s">
        <v>997</v>
      </c>
      <c r="C369" s="346" t="s">
        <v>1860</v>
      </c>
      <c r="D369" s="677" t="str">
        <f>VLOOKUP(RIGHT(C369,8),'[2]Export shipment'!B$8:J$1256,9,0)</f>
        <v>DSV</v>
      </c>
      <c r="E369" s="760">
        <f>VLOOKUP(RIGHT(C369,8),'[2]Export shipment'!B$8:E$1256,4,0)</f>
        <v>3480</v>
      </c>
      <c r="F369" s="59">
        <v>0</v>
      </c>
      <c r="G369" s="59">
        <v>15.170478249326811</v>
      </c>
      <c r="H369" s="59">
        <v>0</v>
      </c>
      <c r="I369" s="139">
        <f t="shared" si="18"/>
        <v>15.170478249326811</v>
      </c>
      <c r="K369"/>
    </row>
    <row r="370" spans="1:11" hidden="1" outlineLevel="2">
      <c r="A370" s="535">
        <v>46113</v>
      </c>
      <c r="B370" s="1" t="s">
        <v>997</v>
      </c>
      <c r="C370" s="346" t="s">
        <v>1861</v>
      </c>
      <c r="D370" s="677" t="str">
        <f>VLOOKUP(RIGHT(C370,8),'[2]Export shipment'!B$8:J$1256,9,0)</f>
        <v>DSV</v>
      </c>
      <c r="E370" s="760">
        <f>VLOOKUP(RIGHT(C370,8),'[2]Export shipment'!B$8:E$1256,4,0)</f>
        <v>3873.8</v>
      </c>
      <c r="F370" s="59">
        <v>0</v>
      </c>
      <c r="G370" s="59">
        <v>15.170478249326811</v>
      </c>
      <c r="H370" s="59">
        <v>0</v>
      </c>
      <c r="I370" s="139">
        <f t="shared" si="18"/>
        <v>15.170478249326811</v>
      </c>
      <c r="K370"/>
    </row>
    <row r="371" spans="1:11" hidden="1" outlineLevel="2">
      <c r="A371" s="535">
        <v>46113</v>
      </c>
      <c r="B371" s="1" t="s">
        <v>1388</v>
      </c>
      <c r="C371" s="346" t="s">
        <v>1862</v>
      </c>
      <c r="D371" s="677" t="str">
        <f>VLOOKUP(RIGHT(C371,8),'[2]Export shipment'!B$8:J$1256,9,0)</f>
        <v>DHL</v>
      </c>
      <c r="E371" s="760">
        <f>VLOOKUP(RIGHT(C371,8),'[2]Export shipment'!B$8:E$1256,4,0)</f>
        <v>1.2</v>
      </c>
      <c r="F371" s="59">
        <v>0</v>
      </c>
      <c r="G371" s="59">
        <v>24.652027155156066</v>
      </c>
      <c r="H371" s="59">
        <v>0</v>
      </c>
      <c r="I371" s="139">
        <f t="shared" si="18"/>
        <v>24.652027155156066</v>
      </c>
      <c r="K371"/>
    </row>
    <row r="372" spans="1:11" hidden="1" outlineLevel="2">
      <c r="A372" s="535">
        <v>46113</v>
      </c>
      <c r="B372" s="1" t="s">
        <v>1075</v>
      </c>
      <c r="C372" s="346" t="s">
        <v>1865</v>
      </c>
      <c r="D372" s="677" t="str">
        <f>VLOOKUP(RIGHT(C372,8),'[2]Export shipment'!B$8:J$1256,9,0)</f>
        <v>DSV</v>
      </c>
      <c r="E372" s="760">
        <f>VLOOKUP(RIGHT(C372,8),'[2]Export shipment'!B$8:E$1256,4,0)</f>
        <v>358.4</v>
      </c>
      <c r="F372" s="59">
        <v>0</v>
      </c>
      <c r="G372" s="59">
        <v>15.170478249326811</v>
      </c>
      <c r="H372" s="59">
        <v>0</v>
      </c>
      <c r="I372" s="139">
        <f t="shared" si="18"/>
        <v>15.170478249326811</v>
      </c>
      <c r="K372"/>
    </row>
    <row r="373" spans="1:11" outlineLevel="1" collapsed="1">
      <c r="A373" s="535" t="s">
        <v>1885</v>
      </c>
      <c r="B373" s="1"/>
      <c r="C373" s="346"/>
      <c r="D373" s="677"/>
      <c r="E373" s="760">
        <f>SUBTOTAL(9,E351:E372)</f>
        <v>47947.700000000004</v>
      </c>
      <c r="F373" s="59">
        <f>SUBTOTAL(9,F351:F372)</f>
        <v>36.409147798384346</v>
      </c>
      <c r="G373" s="59">
        <f>SUBTOTAL(9,G351:G372)</f>
        <v>347.02468995335084</v>
      </c>
      <c r="H373" s="59">
        <f>SUBTOTAL(9,H351:H372)</f>
        <v>22.441991883794138</v>
      </c>
      <c r="I373" s="139">
        <f>SUBTOTAL(9,I351:I372)</f>
        <v>405.87582963552944</v>
      </c>
      <c r="K373"/>
    </row>
    <row r="374" spans="1:11" hidden="1" outlineLevel="2">
      <c r="A374" s="138">
        <v>46143</v>
      </c>
      <c r="B374" s="1" t="s">
        <v>2059</v>
      </c>
      <c r="C374" s="346" t="s">
        <v>2058</v>
      </c>
      <c r="D374" s="677" t="str">
        <f>VLOOKUP(RIGHT(C374,8),'[2]Export shipment'!B$8:J$1256,9,0)</f>
        <v>DHL</v>
      </c>
      <c r="E374" s="760">
        <f>VLOOKUP(RIGHT(C374,8),'[2]Export shipment'!B$8:E$1256,4,0)</f>
        <v>2</v>
      </c>
      <c r="F374" s="59">
        <v>18.179063778215422</v>
      </c>
      <c r="G374" s="59">
        <v>24.617482199666718</v>
      </c>
      <c r="H374" s="59"/>
      <c r="I374" s="139">
        <f t="shared" si="18"/>
        <v>42.79654597788214</v>
      </c>
      <c r="K374"/>
    </row>
    <row r="375" spans="1:11" hidden="1" outlineLevel="2">
      <c r="A375" s="138">
        <v>46143</v>
      </c>
      <c r="B375" s="1" t="s">
        <v>997</v>
      </c>
      <c r="C375" s="346" t="s">
        <v>2060</v>
      </c>
      <c r="D375" s="677" t="str">
        <f>VLOOKUP(RIGHT(C375,8),'[2]Export shipment'!B$8:J$1256,9,0)</f>
        <v>DSV</v>
      </c>
      <c r="E375" s="760">
        <f>VLOOKUP(RIGHT(C375,8),'[2]Export shipment'!B$8:E$1256,4,0)</f>
        <v>2755.1</v>
      </c>
      <c r="F375" s="59">
        <v>0</v>
      </c>
      <c r="G375" s="59">
        <v>15.149219815179519</v>
      </c>
      <c r="H375" s="59"/>
      <c r="I375" s="139">
        <f t="shared" si="18"/>
        <v>15.149219815179519</v>
      </c>
      <c r="K375"/>
    </row>
    <row r="376" spans="1:11" hidden="1" outlineLevel="2">
      <c r="A376" s="138">
        <v>46143</v>
      </c>
      <c r="B376" s="1" t="s">
        <v>1023</v>
      </c>
      <c r="C376" s="346" t="s">
        <v>2062</v>
      </c>
      <c r="D376" s="677" t="str">
        <f>VLOOKUP(RIGHT(C376,8),'[2]Export shipment'!B$8:J$1256,9,0)</f>
        <v>DSV</v>
      </c>
      <c r="E376" s="760">
        <f>VLOOKUP(RIGHT(C376,8),'[2]Export shipment'!B$8:E$1256,4,0)</f>
        <v>896</v>
      </c>
      <c r="F376" s="59">
        <v>0</v>
      </c>
      <c r="G376" s="59">
        <v>15.149219815179519</v>
      </c>
      <c r="H376" s="59"/>
      <c r="I376" s="139">
        <f t="shared" si="18"/>
        <v>15.149219815179519</v>
      </c>
      <c r="K376"/>
    </row>
    <row r="377" spans="1:11" hidden="1" outlineLevel="2">
      <c r="A377" s="138">
        <v>46143</v>
      </c>
      <c r="B377" s="1" t="s">
        <v>1064</v>
      </c>
      <c r="C377" s="346" t="s">
        <v>2063</v>
      </c>
      <c r="D377" s="677" t="str">
        <f>VLOOKUP(RIGHT(C377,8),'[2]Export shipment'!B$8:J$1256,9,0)</f>
        <v>DSV</v>
      </c>
      <c r="E377" s="760">
        <f>VLOOKUP(RIGHT(C377,8),'[2]Export shipment'!B$8:E$1256,4,0)</f>
        <v>57</v>
      </c>
      <c r="F377" s="59">
        <v>0</v>
      </c>
      <c r="G377" s="59">
        <v>15.149219815179519</v>
      </c>
      <c r="H377" s="59"/>
      <c r="I377" s="139">
        <f t="shared" si="18"/>
        <v>15.149219815179519</v>
      </c>
      <c r="K377"/>
    </row>
    <row r="378" spans="1:11" hidden="1" outlineLevel="2">
      <c r="A378" s="138">
        <v>46143</v>
      </c>
      <c r="B378" s="1" t="s">
        <v>997</v>
      </c>
      <c r="C378" s="346" t="s">
        <v>2064</v>
      </c>
      <c r="D378" s="677" t="str">
        <f>VLOOKUP(RIGHT(C378,8),'[2]Export shipment'!B$8:J$1256,9,0)</f>
        <v>DSV</v>
      </c>
      <c r="E378" s="760">
        <f>VLOOKUP(RIGHT(C378,8),'[2]Export shipment'!B$8:E$1256,4,0)</f>
        <v>3460.2</v>
      </c>
      <c r="F378" s="59">
        <v>0</v>
      </c>
      <c r="G378" s="59">
        <v>15.149219815179519</v>
      </c>
      <c r="H378" s="59"/>
      <c r="I378" s="139">
        <f t="shared" si="18"/>
        <v>15.149219815179519</v>
      </c>
      <c r="K378"/>
    </row>
    <row r="379" spans="1:11" hidden="1" outlineLevel="2">
      <c r="A379" s="138">
        <v>46143</v>
      </c>
      <c r="B379" s="1" t="s">
        <v>997</v>
      </c>
      <c r="C379" s="346" t="s">
        <v>2065</v>
      </c>
      <c r="D379" s="677" t="str">
        <f>VLOOKUP(RIGHT(C379,8),'[2]Export shipment'!B$8:J$1256,9,0)</f>
        <v>DSV</v>
      </c>
      <c r="E379" s="760">
        <f>VLOOKUP(RIGHT(C379,8),'[2]Export shipment'!B$8:E$1256,4,0)</f>
        <v>3550.6</v>
      </c>
      <c r="F379" s="59">
        <v>0</v>
      </c>
      <c r="G379" s="59">
        <v>15.149219815179519</v>
      </c>
      <c r="H379" s="59"/>
      <c r="I379" s="139">
        <f t="shared" si="18"/>
        <v>15.149219815179519</v>
      </c>
      <c r="K379"/>
    </row>
    <row r="380" spans="1:11" hidden="1" outlineLevel="2">
      <c r="A380" s="138">
        <v>46143</v>
      </c>
      <c r="B380" s="1" t="s">
        <v>997</v>
      </c>
      <c r="C380" s="346" t="s">
        <v>2066</v>
      </c>
      <c r="D380" s="677" t="str">
        <f>VLOOKUP(RIGHT(C380,8),'[2]Export shipment'!B$8:J$1256,9,0)</f>
        <v>DSV</v>
      </c>
      <c r="E380" s="760">
        <f>VLOOKUP(RIGHT(C380,8),'[2]Export shipment'!B$8:E$1256,4,0)</f>
        <v>1648</v>
      </c>
      <c r="F380" s="59">
        <v>0</v>
      </c>
      <c r="G380" s="59">
        <v>15.149219815179519</v>
      </c>
      <c r="H380" s="59"/>
      <c r="I380" s="139">
        <f t="shared" si="18"/>
        <v>15.149219815179519</v>
      </c>
      <c r="K380"/>
    </row>
    <row r="381" spans="1:11" hidden="1" outlineLevel="2">
      <c r="A381" s="138">
        <v>46143</v>
      </c>
      <c r="B381" s="1" t="s">
        <v>997</v>
      </c>
      <c r="C381" s="346" t="s">
        <v>2067</v>
      </c>
      <c r="D381" s="677" t="str">
        <f>VLOOKUP(RIGHT(C381,8),'[2]Export shipment'!B$8:J$1256,9,0)</f>
        <v>DSV</v>
      </c>
      <c r="E381" s="760">
        <f>VLOOKUP(RIGHT(C381,8),'[2]Export shipment'!B$8:E$1256,4,0)</f>
        <v>2989.2</v>
      </c>
      <c r="F381" s="59">
        <v>0</v>
      </c>
      <c r="G381" s="59">
        <v>15.149219815179519</v>
      </c>
      <c r="H381" s="59"/>
      <c r="I381" s="139">
        <f t="shared" si="18"/>
        <v>15.149219815179519</v>
      </c>
      <c r="K381"/>
    </row>
    <row r="382" spans="1:11" hidden="1" outlineLevel="2">
      <c r="A382" s="138">
        <v>46143</v>
      </c>
      <c r="B382" s="1" t="s">
        <v>1023</v>
      </c>
      <c r="C382" s="346" t="s">
        <v>2068</v>
      </c>
      <c r="D382" s="677" t="str">
        <f>VLOOKUP(RIGHT(C382,8),'[2]Export shipment'!B$8:J$1256,9,0)</f>
        <v>DSV</v>
      </c>
      <c r="E382" s="760">
        <f>VLOOKUP(RIGHT(C382,8),'[2]Export shipment'!B$8:E$1256,4,0)</f>
        <v>896</v>
      </c>
      <c r="F382" s="59">
        <v>0</v>
      </c>
      <c r="G382" s="59">
        <v>15.149219815179519</v>
      </c>
      <c r="H382" s="59"/>
      <c r="I382" s="139">
        <f t="shared" si="18"/>
        <v>15.149219815179519</v>
      </c>
      <c r="K382"/>
    </row>
    <row r="383" spans="1:11" hidden="1" outlineLevel="2">
      <c r="A383" s="138">
        <v>46143</v>
      </c>
      <c r="B383" s="1" t="s">
        <v>997</v>
      </c>
      <c r="C383" s="346" t="s">
        <v>2069</v>
      </c>
      <c r="D383" s="677" t="str">
        <f>VLOOKUP(RIGHT(C383,8),'[2]Export shipment'!B$8:J$1256,9,0)</f>
        <v>DSV</v>
      </c>
      <c r="E383" s="760">
        <f>VLOOKUP(RIGHT(C383,8),'[2]Export shipment'!B$8:E$1256,4,0)</f>
        <v>2988</v>
      </c>
      <c r="F383" s="59">
        <v>0</v>
      </c>
      <c r="G383" s="59">
        <v>15.149219815179519</v>
      </c>
      <c r="H383" s="59"/>
      <c r="I383" s="139">
        <f t="shared" si="18"/>
        <v>15.149219815179519</v>
      </c>
      <c r="K383"/>
    </row>
    <row r="384" spans="1:11" hidden="1" outlineLevel="2">
      <c r="A384" s="138">
        <v>46143</v>
      </c>
      <c r="B384" s="1" t="s">
        <v>1064</v>
      </c>
      <c r="C384" s="346" t="s">
        <v>2070</v>
      </c>
      <c r="D384" s="677" t="str">
        <f>VLOOKUP(RIGHT(C384,8),'[2]Export shipment'!B$8:J$1256,9,0)</f>
        <v>DSV</v>
      </c>
      <c r="E384" s="760">
        <f>VLOOKUP(RIGHT(C384,8),'[2]Export shipment'!B$8:E$1256,4,0)</f>
        <v>15</v>
      </c>
      <c r="F384" s="59">
        <v>0</v>
      </c>
      <c r="G384" s="59">
        <v>15.149219815179519</v>
      </c>
      <c r="H384" s="59"/>
      <c r="I384" s="139">
        <f t="shared" si="18"/>
        <v>15.149219815179519</v>
      </c>
      <c r="K384"/>
    </row>
    <row r="385" spans="1:11" hidden="1" outlineLevel="2">
      <c r="A385" s="138">
        <v>46143</v>
      </c>
      <c r="B385" s="1" t="s">
        <v>997</v>
      </c>
      <c r="C385" s="346" t="s">
        <v>2071</v>
      </c>
      <c r="D385" s="677" t="str">
        <f>VLOOKUP(RIGHT(C385,8),'[2]Export shipment'!B$8:J$1256,9,0)</f>
        <v>DSV</v>
      </c>
      <c r="E385" s="760">
        <f>VLOOKUP(RIGHT(C385,8),'[2]Export shipment'!B$8:E$1256,4,0)</f>
        <v>3400.2</v>
      </c>
      <c r="F385" s="59">
        <v>0</v>
      </c>
      <c r="G385" s="59">
        <v>15.149219815179519</v>
      </c>
      <c r="H385" s="59"/>
      <c r="I385" s="139">
        <f t="shared" si="18"/>
        <v>15.149219815179519</v>
      </c>
      <c r="K385"/>
    </row>
    <row r="386" spans="1:11" hidden="1" outlineLevel="2">
      <c r="A386" s="138">
        <v>46143</v>
      </c>
      <c r="B386" s="1" t="s">
        <v>997</v>
      </c>
      <c r="C386" s="346" t="s">
        <v>2075</v>
      </c>
      <c r="D386" s="677" t="str">
        <f>VLOOKUP(RIGHT(C386,8),'[2]Export shipment'!B$8:J$1256,9,0)</f>
        <v>DSV</v>
      </c>
      <c r="E386" s="760">
        <f>VLOOKUP(RIGHT(C386,8),'[2]Export shipment'!B$8:E$1256,4,0)</f>
        <v>2755.4</v>
      </c>
      <c r="F386" s="59">
        <v>0</v>
      </c>
      <c r="G386" s="59">
        <v>15.149219815179519</v>
      </c>
      <c r="H386" s="59"/>
      <c r="I386" s="139">
        <f t="shared" si="18"/>
        <v>15.149219815179519</v>
      </c>
      <c r="K386"/>
    </row>
    <row r="387" spans="1:11" hidden="1" outlineLevel="2">
      <c r="A387" s="138">
        <v>46143</v>
      </c>
      <c r="B387" s="1" t="s">
        <v>1023</v>
      </c>
      <c r="C387" s="346" t="s">
        <v>2076</v>
      </c>
      <c r="D387" s="677" t="str">
        <f>VLOOKUP(RIGHT(C387,8),'[2]Export shipment'!B$8:J$1256,9,0)</f>
        <v>DSV</v>
      </c>
      <c r="E387" s="760">
        <f>VLOOKUP(RIGHT(C387,8),'[2]Export shipment'!B$8:E$1256,4,0)</f>
        <v>881</v>
      </c>
      <c r="F387" s="59">
        <v>0</v>
      </c>
      <c r="G387" s="59">
        <v>15.149219815179519</v>
      </c>
      <c r="H387" s="59"/>
      <c r="I387" s="139">
        <f t="shared" si="18"/>
        <v>15.149219815179519</v>
      </c>
      <c r="K387"/>
    </row>
    <row r="388" spans="1:11" hidden="1" outlineLevel="2">
      <c r="A388" s="138">
        <v>46143</v>
      </c>
      <c r="B388" s="1" t="s">
        <v>997</v>
      </c>
      <c r="C388" s="346" t="s">
        <v>2077</v>
      </c>
      <c r="D388" s="677" t="str">
        <f>VLOOKUP(RIGHT(C388,8),'[2]Export shipment'!B$8:J$1256,9,0)</f>
        <v>DSV</v>
      </c>
      <c r="E388" s="760">
        <f>VLOOKUP(RIGHT(C388,8),'[2]Export shipment'!B$8:E$1256,4,0)</f>
        <v>2500.4</v>
      </c>
      <c r="F388" s="59">
        <v>0</v>
      </c>
      <c r="G388" s="59">
        <v>15.149219815179519</v>
      </c>
      <c r="H388" s="59"/>
      <c r="I388" s="139">
        <f t="shared" si="18"/>
        <v>15.149219815179519</v>
      </c>
      <c r="K388"/>
    </row>
    <row r="389" spans="1:11" hidden="1" outlineLevel="2">
      <c r="A389" s="138">
        <v>46143</v>
      </c>
      <c r="B389" s="1" t="s">
        <v>997</v>
      </c>
      <c r="C389" s="346" t="s">
        <v>2079</v>
      </c>
      <c r="D389" s="677" t="str">
        <f>VLOOKUP(RIGHT(C389,8),'[2]Export shipment'!B$8:J$1256,9,0)</f>
        <v>DSV</v>
      </c>
      <c r="E389" s="760">
        <f>VLOOKUP(RIGHT(C389,8),'[2]Export shipment'!B$8:E$1256,4,0)</f>
        <v>2672.6</v>
      </c>
      <c r="F389" s="59">
        <v>0</v>
      </c>
      <c r="G389" s="59">
        <v>15.149219815179519</v>
      </c>
      <c r="H389" s="59"/>
      <c r="I389" s="139">
        <f t="shared" si="18"/>
        <v>15.149219815179519</v>
      </c>
      <c r="K389"/>
    </row>
    <row r="390" spans="1:11" hidden="1" outlineLevel="2">
      <c r="A390" s="138">
        <v>46143</v>
      </c>
      <c r="B390" s="1" t="s">
        <v>1075</v>
      </c>
      <c r="C390" s="346" t="s">
        <v>2080</v>
      </c>
      <c r="D390" s="677" t="str">
        <f>VLOOKUP(RIGHT(C390,8),'[2]Export shipment'!B$8:J$1256,9,0)</f>
        <v>DSV</v>
      </c>
      <c r="E390" s="760">
        <f>VLOOKUP(RIGHT(C390,8),'[2]Export shipment'!B$8:E$1256,4,0)</f>
        <v>704.8</v>
      </c>
      <c r="F390" s="59">
        <v>0</v>
      </c>
      <c r="G390" s="59">
        <v>15.149219815179519</v>
      </c>
      <c r="H390" s="59"/>
      <c r="I390" s="139">
        <f t="shared" si="18"/>
        <v>15.149219815179519</v>
      </c>
      <c r="K390"/>
    </row>
    <row r="391" spans="1:11" outlineLevel="1" collapsed="1">
      <c r="A391" s="138" t="s">
        <v>2095</v>
      </c>
      <c r="B391" s="1"/>
      <c r="C391" s="346"/>
      <c r="D391" s="677"/>
      <c r="E391" s="760">
        <f>SUBTOTAL(9,E374:E390)</f>
        <v>32171.5</v>
      </c>
      <c r="F391" s="59">
        <f>SUBTOTAL(9,F374:F390)</f>
        <v>18.179063778215422</v>
      </c>
      <c r="G391" s="59">
        <f>SUBTOTAL(9,G374:G390)</f>
        <v>267.00499924253904</v>
      </c>
      <c r="H391" s="59">
        <f>SUBTOTAL(9,H374:H390)</f>
        <v>0</v>
      </c>
      <c r="I391" s="139">
        <f>SUBTOTAL(9,I374:I390)</f>
        <v>285.18406302075442</v>
      </c>
      <c r="K391"/>
    </row>
    <row r="392" spans="1:11" outlineLevel="2">
      <c r="A392" s="138">
        <v>46174</v>
      </c>
      <c r="B392" s="1" t="s">
        <v>1064</v>
      </c>
      <c r="C392" s="346" t="s">
        <v>3047</v>
      </c>
      <c r="D392" s="1" t="s">
        <v>655</v>
      </c>
      <c r="E392" s="1">
        <v>8.5</v>
      </c>
      <c r="F392" s="59">
        <v>0</v>
      </c>
      <c r="G392" s="59">
        <v>15.116015418335726</v>
      </c>
      <c r="H392" s="59">
        <v>0</v>
      </c>
      <c r="I392" s="139">
        <f t="shared" si="18"/>
        <v>15.116015418335726</v>
      </c>
      <c r="K392"/>
    </row>
    <row r="393" spans="1:11" outlineLevel="2">
      <c r="A393" s="138">
        <v>46174</v>
      </c>
      <c r="B393" s="1" t="s">
        <v>1023</v>
      </c>
      <c r="C393" s="346" t="s">
        <v>3048</v>
      </c>
      <c r="D393" s="1" t="s">
        <v>65</v>
      </c>
      <c r="E393" s="1">
        <v>344.4</v>
      </c>
      <c r="F393" s="59">
        <v>0</v>
      </c>
      <c r="G393" s="59">
        <v>15.116015418335726</v>
      </c>
      <c r="H393" s="59">
        <v>0</v>
      </c>
      <c r="I393" s="139">
        <f t="shared" si="18"/>
        <v>15.116015418335726</v>
      </c>
      <c r="K393"/>
    </row>
    <row r="394" spans="1:11" outlineLevel="2">
      <c r="A394" s="138">
        <v>46174</v>
      </c>
      <c r="B394" s="1" t="s">
        <v>997</v>
      </c>
      <c r="C394" s="346" t="s">
        <v>3049</v>
      </c>
      <c r="D394" s="1" t="s">
        <v>32</v>
      </c>
      <c r="E394" s="1">
        <v>1581.6</v>
      </c>
      <c r="F394" s="59">
        <v>0</v>
      </c>
      <c r="G394" s="59">
        <v>15.116015418335726</v>
      </c>
      <c r="H394" s="59">
        <v>0</v>
      </c>
      <c r="I394" s="139">
        <f t="shared" si="18"/>
        <v>15.116015418335726</v>
      </c>
      <c r="K394"/>
    </row>
    <row r="395" spans="1:11" outlineLevel="2">
      <c r="A395" s="138">
        <v>46174</v>
      </c>
      <c r="B395" s="1" t="s">
        <v>997</v>
      </c>
      <c r="C395" s="346" t="s">
        <v>3050</v>
      </c>
      <c r="D395" s="1" t="s">
        <v>32</v>
      </c>
      <c r="E395" s="1">
        <v>1537.2</v>
      </c>
      <c r="F395" s="59">
        <v>0</v>
      </c>
      <c r="G395" s="59">
        <v>15.116015418335726</v>
      </c>
      <c r="H395" s="59">
        <v>0</v>
      </c>
      <c r="I395" s="139">
        <f t="shared" si="18"/>
        <v>15.116015418335726</v>
      </c>
      <c r="K395"/>
    </row>
    <row r="396" spans="1:11" outlineLevel="2">
      <c r="A396" s="138">
        <v>46174</v>
      </c>
      <c r="B396" s="1" t="s">
        <v>997</v>
      </c>
      <c r="C396" s="346" t="s">
        <v>3051</v>
      </c>
      <c r="D396" s="1" t="s">
        <v>32</v>
      </c>
      <c r="E396" s="1">
        <v>3420</v>
      </c>
      <c r="F396" s="59">
        <v>0</v>
      </c>
      <c r="G396" s="59">
        <v>15.116015418335726</v>
      </c>
      <c r="H396" s="59">
        <v>0</v>
      </c>
      <c r="I396" s="139">
        <f t="shared" si="18"/>
        <v>15.116015418335726</v>
      </c>
      <c r="K396"/>
    </row>
    <row r="397" spans="1:11" outlineLevel="2">
      <c r="A397" s="138">
        <v>46174</v>
      </c>
      <c r="B397" s="1" t="s">
        <v>1023</v>
      </c>
      <c r="C397" s="346" t="s">
        <v>3052</v>
      </c>
      <c r="D397" s="1" t="s">
        <v>65</v>
      </c>
      <c r="E397" s="1">
        <v>688.8</v>
      </c>
      <c r="F397" s="59">
        <v>0</v>
      </c>
      <c r="G397" s="59">
        <v>15.116015418335726</v>
      </c>
      <c r="H397" s="59">
        <v>0</v>
      </c>
      <c r="I397" s="139">
        <f t="shared" si="18"/>
        <v>15.116015418335726</v>
      </c>
      <c r="K397"/>
    </row>
    <row r="398" spans="1:11" outlineLevel="2">
      <c r="A398" s="138">
        <v>46174</v>
      </c>
      <c r="B398" s="1" t="s">
        <v>997</v>
      </c>
      <c r="C398" s="346" t="s">
        <v>3053</v>
      </c>
      <c r="D398" s="1" t="s">
        <v>65</v>
      </c>
      <c r="E398" s="1">
        <v>1590</v>
      </c>
      <c r="F398" s="59">
        <v>0</v>
      </c>
      <c r="G398" s="59">
        <v>15.116015418335726</v>
      </c>
      <c r="H398" s="59">
        <v>0</v>
      </c>
      <c r="I398" s="139">
        <f t="shared" si="18"/>
        <v>15.116015418335726</v>
      </c>
      <c r="K398"/>
    </row>
    <row r="399" spans="1:11" outlineLevel="2">
      <c r="A399" s="138">
        <v>46174</v>
      </c>
      <c r="B399" s="1" t="s">
        <v>997</v>
      </c>
      <c r="C399" s="346" t="s">
        <v>3054</v>
      </c>
      <c r="D399" s="1" t="s">
        <v>32</v>
      </c>
      <c r="E399" s="1">
        <v>1952.4</v>
      </c>
      <c r="F399" s="59">
        <v>0</v>
      </c>
      <c r="G399" s="59">
        <v>15.116015418335726</v>
      </c>
      <c r="H399" s="59">
        <v>0</v>
      </c>
      <c r="I399" s="139">
        <f t="shared" si="18"/>
        <v>15.116015418335726</v>
      </c>
      <c r="K399"/>
    </row>
    <row r="400" spans="1:11" outlineLevel="2">
      <c r="A400" s="138">
        <v>46174</v>
      </c>
      <c r="B400" s="1" t="s">
        <v>1064</v>
      </c>
      <c r="C400" s="346" t="s">
        <v>3055</v>
      </c>
      <c r="D400" s="1" t="s">
        <v>655</v>
      </c>
      <c r="E400" s="1">
        <v>30.7</v>
      </c>
      <c r="F400" s="59">
        <v>0</v>
      </c>
      <c r="G400" s="59">
        <v>15.116015418335726</v>
      </c>
      <c r="H400" s="59">
        <v>0</v>
      </c>
      <c r="I400" s="139">
        <f t="shared" si="18"/>
        <v>15.116015418335726</v>
      </c>
      <c r="K400"/>
    </row>
    <row r="401" spans="1:13" outlineLevel="2">
      <c r="A401" s="138">
        <v>46174</v>
      </c>
      <c r="B401" s="1" t="s">
        <v>1023</v>
      </c>
      <c r="C401" s="346" t="s">
        <v>3056</v>
      </c>
      <c r="D401" s="1" t="s">
        <v>65</v>
      </c>
      <c r="E401" s="1">
        <v>861</v>
      </c>
      <c r="F401" s="59">
        <v>0</v>
      </c>
      <c r="G401" s="59">
        <v>15.116015418335726</v>
      </c>
      <c r="H401" s="59">
        <v>0</v>
      </c>
      <c r="I401" s="139">
        <f t="shared" si="18"/>
        <v>15.116015418335726</v>
      </c>
      <c r="K401"/>
    </row>
    <row r="402" spans="1:13" outlineLevel="2">
      <c r="A402" s="138">
        <v>46174</v>
      </c>
      <c r="B402" s="1" t="s">
        <v>1728</v>
      </c>
      <c r="C402" s="346" t="s">
        <v>3057</v>
      </c>
      <c r="D402" s="1" t="s">
        <v>32</v>
      </c>
      <c r="E402" s="1">
        <v>1715.4</v>
      </c>
      <c r="F402" s="59">
        <v>0</v>
      </c>
      <c r="G402" s="59">
        <v>15.116015418335726</v>
      </c>
      <c r="H402" s="59">
        <v>0</v>
      </c>
      <c r="I402" s="139">
        <f t="shared" si="18"/>
        <v>15.116015418335726</v>
      </c>
      <c r="K402"/>
    </row>
    <row r="403" spans="1:13" outlineLevel="2">
      <c r="A403" s="138">
        <v>46174</v>
      </c>
      <c r="B403" s="1" t="s">
        <v>1501</v>
      </c>
      <c r="C403" s="346" t="s">
        <v>3058</v>
      </c>
      <c r="D403" s="1" t="s">
        <v>65</v>
      </c>
      <c r="E403" s="1">
        <v>142.19999999999999</v>
      </c>
      <c r="F403" s="59">
        <v>0</v>
      </c>
      <c r="G403" s="59">
        <v>15.116015418335726</v>
      </c>
      <c r="H403" s="59">
        <v>0</v>
      </c>
      <c r="I403" s="139">
        <f t="shared" si="18"/>
        <v>15.116015418335726</v>
      </c>
      <c r="K403"/>
    </row>
    <row r="404" spans="1:13" outlineLevel="2">
      <c r="A404" s="138">
        <v>46174</v>
      </c>
      <c r="B404" s="1" t="s">
        <v>1728</v>
      </c>
      <c r="C404" s="346" t="s">
        <v>3059</v>
      </c>
      <c r="D404" s="1" t="s">
        <v>32</v>
      </c>
      <c r="E404" s="1">
        <v>2162.4</v>
      </c>
      <c r="F404" s="59">
        <v>0</v>
      </c>
      <c r="G404" s="59">
        <v>15.116015418335726</v>
      </c>
      <c r="H404" s="59">
        <v>0</v>
      </c>
      <c r="I404" s="139">
        <f t="shared" si="18"/>
        <v>15.116015418335726</v>
      </c>
      <c r="K404"/>
    </row>
    <row r="405" spans="1:13" outlineLevel="2">
      <c r="A405" s="138">
        <v>46174</v>
      </c>
      <c r="B405" s="1" t="s">
        <v>1501</v>
      </c>
      <c r="C405" s="346" t="s">
        <v>3060</v>
      </c>
      <c r="D405" s="1" t="s">
        <v>32</v>
      </c>
      <c r="E405" s="1">
        <v>2618.6</v>
      </c>
      <c r="F405" s="59">
        <v>0</v>
      </c>
      <c r="G405" s="59">
        <v>15.116015418335726</v>
      </c>
      <c r="H405" s="59">
        <v>0</v>
      </c>
      <c r="I405" s="139">
        <f t="shared" si="18"/>
        <v>15.116015418335726</v>
      </c>
      <c r="K405"/>
    </row>
    <row r="406" spans="1:13" outlineLevel="1">
      <c r="A406" s="138" t="s">
        <v>3046</v>
      </c>
      <c r="B406" s="1"/>
      <c r="C406" s="346"/>
      <c r="D406" s="677"/>
      <c r="E406" s="760">
        <f>SUBTOTAL(9,E392:E405)</f>
        <v>18653.2</v>
      </c>
      <c r="F406" s="59">
        <f>SUBTOTAL(9,F392:F405)</f>
        <v>0</v>
      </c>
      <c r="G406" s="59">
        <f>SUBTOTAL(9,G392:G405)</f>
        <v>211.6242158567002</v>
      </c>
      <c r="H406" s="59">
        <f>SUBTOTAL(9,H392:H405)</f>
        <v>0</v>
      </c>
      <c r="I406" s="139">
        <f>SUBTOTAL(9,I392:I405)</f>
        <v>211.6242158567002</v>
      </c>
      <c r="K406"/>
    </row>
    <row r="407" spans="1:13">
      <c r="A407" s="138" t="s">
        <v>893</v>
      </c>
      <c r="B407" s="1"/>
      <c r="C407" s="346"/>
      <c r="D407" s="677"/>
      <c r="E407" s="760">
        <f>SUBTOTAL(9,E3:E405)</f>
        <v>395841.44000000018</v>
      </c>
      <c r="F407" s="59">
        <f>SUBTOTAL(9,F3:F405)</f>
        <v>164.13265458471</v>
      </c>
      <c r="G407" s="59">
        <f>SUBTOTAL(9,G3:G405)</f>
        <v>6467.0048298294387</v>
      </c>
      <c r="H407" s="59">
        <f>SUBTOTAL(9,H3:H405)</f>
        <v>2196.6113924255797</v>
      </c>
      <c r="I407" s="139">
        <f>SUBTOTAL(9,I3:I405)</f>
        <v>8827.7488768397416</v>
      </c>
      <c r="K407"/>
    </row>
    <row r="410" spans="1:13" ht="24" customHeight="1">
      <c r="A410" s="883" t="s">
        <v>882</v>
      </c>
      <c r="B410" s="884"/>
      <c r="C410" s="884"/>
      <c r="D410" s="884"/>
      <c r="E410" s="884"/>
      <c r="F410" s="884"/>
      <c r="G410" s="884"/>
      <c r="H410" s="884"/>
      <c r="I410" s="884"/>
      <c r="J410" s="884"/>
      <c r="K410" s="884"/>
      <c r="L410" s="884"/>
      <c r="M410" s="885"/>
    </row>
    <row r="411" spans="1:13" ht="38.25" customHeight="1">
      <c r="A411" s="272" t="s">
        <v>33</v>
      </c>
      <c r="B411" s="270" t="s">
        <v>175</v>
      </c>
      <c r="C411" s="375" t="s">
        <v>40</v>
      </c>
      <c r="D411" s="376" t="s">
        <v>27</v>
      </c>
      <c r="E411" s="376" t="s">
        <v>176</v>
      </c>
      <c r="F411" s="272" t="s">
        <v>29</v>
      </c>
      <c r="G411" s="272" t="s">
        <v>177</v>
      </c>
      <c r="H411" s="272" t="s">
        <v>37</v>
      </c>
      <c r="I411" s="272" t="s">
        <v>43</v>
      </c>
      <c r="J411" s="272" t="s">
        <v>42</v>
      </c>
      <c r="K411" s="270" t="s">
        <v>30</v>
      </c>
      <c r="L411" s="377" t="s">
        <v>903</v>
      </c>
      <c r="M411" s="378" t="s">
        <v>35</v>
      </c>
    </row>
    <row r="412" spans="1:13" hidden="1" outlineLevel="2">
      <c r="A412" s="372">
        <v>45863</v>
      </c>
      <c r="B412" s="153" t="s">
        <v>184</v>
      </c>
      <c r="C412" s="360">
        <v>882694181579</v>
      </c>
      <c r="D412" s="153" t="s">
        <v>45</v>
      </c>
      <c r="E412" s="153">
        <v>23.8</v>
      </c>
      <c r="F412" s="153"/>
      <c r="G412" s="339"/>
      <c r="H412" s="339">
        <v>15.151515151515152</v>
      </c>
      <c r="I412" s="339">
        <v>74.451439393939395</v>
      </c>
      <c r="J412" s="339"/>
      <c r="K412" s="339"/>
      <c r="L412" s="339"/>
      <c r="M412" s="340">
        <v>89.602954545454551</v>
      </c>
    </row>
    <row r="413" spans="1:13" hidden="1" outlineLevel="2">
      <c r="A413" s="372">
        <v>45863</v>
      </c>
      <c r="B413" s="153" t="s">
        <v>178</v>
      </c>
      <c r="C413" s="360">
        <v>619345515726</v>
      </c>
      <c r="D413" s="153" t="s">
        <v>45</v>
      </c>
      <c r="E413" s="153">
        <v>16.2</v>
      </c>
      <c r="F413" s="153"/>
      <c r="G413" s="339"/>
      <c r="H413" s="339">
        <v>15.151515151515152</v>
      </c>
      <c r="I413" s="339">
        <v>73.756060606060601</v>
      </c>
      <c r="J413" s="339"/>
      <c r="K413" s="339"/>
      <c r="L413" s="339"/>
      <c r="M413" s="340">
        <v>88.907575757575756</v>
      </c>
    </row>
    <row r="414" spans="1:13" hidden="1" outlineLevel="2">
      <c r="A414" s="372">
        <v>45863</v>
      </c>
      <c r="B414" s="153" t="s">
        <v>184</v>
      </c>
      <c r="C414" s="360">
        <v>882176526128</v>
      </c>
      <c r="D414" s="153" t="s">
        <v>45</v>
      </c>
      <c r="E414" s="153">
        <v>146</v>
      </c>
      <c r="F414" s="153"/>
      <c r="G414" s="339"/>
      <c r="H414" s="339">
        <v>15.151515151515152</v>
      </c>
      <c r="I414" s="339">
        <v>265.7610984848485</v>
      </c>
      <c r="J414" s="339"/>
      <c r="K414" s="339"/>
      <c r="L414" s="339"/>
      <c r="M414" s="340">
        <v>280.91261363636363</v>
      </c>
    </row>
    <row r="415" spans="1:13" hidden="1" outlineLevel="2">
      <c r="A415" s="372">
        <v>45863</v>
      </c>
      <c r="B415" s="153" t="s">
        <v>184</v>
      </c>
      <c r="C415" s="360">
        <v>882311621881</v>
      </c>
      <c r="D415" s="153" t="s">
        <v>45</v>
      </c>
      <c r="E415" s="153">
        <v>16</v>
      </c>
      <c r="F415" s="153"/>
      <c r="G415" s="339"/>
      <c r="H415" s="339">
        <v>15.151515151515152</v>
      </c>
      <c r="I415" s="339">
        <v>48.587537878787877</v>
      </c>
      <c r="J415" s="339"/>
      <c r="K415" s="339"/>
      <c r="L415" s="339"/>
      <c r="M415" s="340">
        <v>63.739053030303026</v>
      </c>
    </row>
    <row r="416" spans="1:13" hidden="1" outlineLevel="2">
      <c r="A416" s="372">
        <v>45863</v>
      </c>
      <c r="B416" s="153" t="s">
        <v>184</v>
      </c>
      <c r="C416" s="360">
        <v>882492862184</v>
      </c>
      <c r="D416" s="153" t="s">
        <v>45</v>
      </c>
      <c r="E416" s="153">
        <v>24.7</v>
      </c>
      <c r="F416" s="153"/>
      <c r="G416" s="339"/>
      <c r="H416" s="339">
        <v>15.151515151515152</v>
      </c>
      <c r="I416" s="339">
        <v>78.444999999999993</v>
      </c>
      <c r="J416" s="339"/>
      <c r="K416" s="339"/>
      <c r="L416" s="339"/>
      <c r="M416" s="340">
        <v>93.596515151515149</v>
      </c>
    </row>
    <row r="417" spans="1:13" hidden="1" outlineLevel="2">
      <c r="A417" s="372">
        <v>45863</v>
      </c>
      <c r="B417" s="153" t="s">
        <v>179</v>
      </c>
      <c r="C417" s="360" t="s">
        <v>214</v>
      </c>
      <c r="D417" s="153" t="s">
        <v>103</v>
      </c>
      <c r="E417" s="153">
        <v>601.72</v>
      </c>
      <c r="F417" s="153">
        <v>5.21</v>
      </c>
      <c r="G417" s="339">
        <v>54.924242424242422</v>
      </c>
      <c r="H417" s="339">
        <v>20.454545454545453</v>
      </c>
      <c r="I417" s="339">
        <v>781.7107196969697</v>
      </c>
      <c r="J417" s="339"/>
      <c r="K417" s="339">
        <v>68.687121212121212</v>
      </c>
      <c r="L417" s="339"/>
      <c r="M417" s="340">
        <v>925.77662878787874</v>
      </c>
    </row>
    <row r="418" spans="1:13" hidden="1" outlineLevel="2">
      <c r="A418" s="372">
        <v>45863</v>
      </c>
      <c r="B418" s="153" t="s">
        <v>180</v>
      </c>
      <c r="C418" s="360" t="s">
        <v>215</v>
      </c>
      <c r="D418" s="153" t="s">
        <v>103</v>
      </c>
      <c r="E418" s="153">
        <v>350</v>
      </c>
      <c r="F418" s="153">
        <v>2.0099999999999998</v>
      </c>
      <c r="G418" s="339">
        <v>43.560606060606062</v>
      </c>
      <c r="H418" s="339">
        <v>20.454545454545453</v>
      </c>
      <c r="I418" s="339">
        <v>548.46920454545455</v>
      </c>
      <c r="J418" s="339"/>
      <c r="K418" s="339">
        <v>48.580303030303028</v>
      </c>
      <c r="L418" s="339"/>
      <c r="M418" s="340">
        <v>661.06465909090912</v>
      </c>
    </row>
    <row r="419" spans="1:13" hidden="1" outlineLevel="2">
      <c r="A419" s="372">
        <v>45863</v>
      </c>
      <c r="B419" s="153" t="s">
        <v>181</v>
      </c>
      <c r="C419" s="360" t="s">
        <v>226</v>
      </c>
      <c r="D419" s="153" t="s">
        <v>103</v>
      </c>
      <c r="E419" s="153">
        <v>2050</v>
      </c>
      <c r="F419" s="153">
        <v>11.5</v>
      </c>
      <c r="G419" s="339">
        <v>77.651515151515156</v>
      </c>
      <c r="H419" s="339">
        <v>20.454545454545453</v>
      </c>
      <c r="I419" s="339">
        <v>430.69791666666669</v>
      </c>
      <c r="J419" s="339"/>
      <c r="K419" s="339">
        <v>225.05681818181819</v>
      </c>
      <c r="L419" s="339"/>
      <c r="M419" s="340">
        <v>753.8607954545455</v>
      </c>
    </row>
    <row r="420" spans="1:13" hidden="1" outlineLevel="2">
      <c r="A420" s="372">
        <v>45863</v>
      </c>
      <c r="B420" s="153" t="s">
        <v>225</v>
      </c>
      <c r="C420" s="360" t="s">
        <v>227</v>
      </c>
      <c r="D420" s="153" t="s">
        <v>103</v>
      </c>
      <c r="E420" s="153">
        <v>1705.53</v>
      </c>
      <c r="F420" s="153">
        <v>17.48</v>
      </c>
      <c r="G420" s="339">
        <v>143.93939393939394</v>
      </c>
      <c r="H420" s="339">
        <v>20.454545454545453</v>
      </c>
      <c r="I420" s="339">
        <v>1190.0208333333333</v>
      </c>
      <c r="J420" s="339"/>
      <c r="K420" s="339">
        <v>91.61363636363636</v>
      </c>
      <c r="L420" s="339"/>
      <c r="M420" s="340">
        <v>1446.0284090909088</v>
      </c>
    </row>
    <row r="421" spans="1:13" hidden="1" outlineLevel="2">
      <c r="A421" s="372">
        <v>45863</v>
      </c>
      <c r="B421" s="153" t="s">
        <v>221</v>
      </c>
      <c r="C421" s="360" t="s">
        <v>216</v>
      </c>
      <c r="D421" s="153" t="s">
        <v>103</v>
      </c>
      <c r="E421" s="153">
        <v>857</v>
      </c>
      <c r="F421" s="153">
        <v>5.14</v>
      </c>
      <c r="G421" s="339">
        <v>37.878787878787875</v>
      </c>
      <c r="H421" s="339">
        <v>20.454545454545453</v>
      </c>
      <c r="I421" s="339">
        <v>1012.4725757575758</v>
      </c>
      <c r="J421" s="339"/>
      <c r="K421" s="339">
        <v>65.005303030303025</v>
      </c>
      <c r="L421" s="339"/>
      <c r="M421" s="340">
        <v>1135.8112121212121</v>
      </c>
    </row>
    <row r="422" spans="1:13" hidden="1" outlineLevel="2">
      <c r="A422" s="372">
        <v>45863</v>
      </c>
      <c r="B422" s="153" t="s">
        <v>182</v>
      </c>
      <c r="C422" s="360" t="s">
        <v>253</v>
      </c>
      <c r="D422" s="153" t="s">
        <v>103</v>
      </c>
      <c r="E422" s="153">
        <v>930</v>
      </c>
      <c r="F422" s="153">
        <v>5.58</v>
      </c>
      <c r="G422" s="339">
        <v>37.878787878787875</v>
      </c>
      <c r="H422" s="339">
        <v>20.454545454545453</v>
      </c>
      <c r="I422" s="339">
        <v>1467.439696969697</v>
      </c>
      <c r="J422" s="339"/>
      <c r="K422" s="339">
        <v>69.484848484848484</v>
      </c>
      <c r="L422" s="339"/>
      <c r="M422" s="340">
        <v>1595.2578787878788</v>
      </c>
    </row>
    <row r="423" spans="1:13" hidden="1" outlineLevel="2">
      <c r="A423" s="372">
        <v>45863</v>
      </c>
      <c r="B423" s="153" t="s">
        <v>228</v>
      </c>
      <c r="C423" s="360" t="s">
        <v>252</v>
      </c>
      <c r="D423" s="153" t="s">
        <v>103</v>
      </c>
      <c r="E423" s="153">
        <v>466.3</v>
      </c>
      <c r="F423" s="153">
        <v>4.75</v>
      </c>
      <c r="G423" s="339">
        <v>77.651515151515156</v>
      </c>
      <c r="H423" s="339">
        <v>20.454545454545453</v>
      </c>
      <c r="I423" s="339">
        <v>781.96875</v>
      </c>
      <c r="J423" s="339"/>
      <c r="K423" s="339">
        <v>108.14393939393939</v>
      </c>
      <c r="L423" s="339"/>
      <c r="M423" s="340">
        <v>988.21875</v>
      </c>
    </row>
    <row r="424" spans="1:13" hidden="1" outlineLevel="2">
      <c r="A424" s="372">
        <v>45863</v>
      </c>
      <c r="B424" s="153" t="s">
        <v>182</v>
      </c>
      <c r="C424" s="360" t="s">
        <v>217</v>
      </c>
      <c r="D424" s="153" t="s">
        <v>103</v>
      </c>
      <c r="E424" s="153">
        <v>335</v>
      </c>
      <c r="F424" s="153">
        <v>0.76</v>
      </c>
      <c r="G424" s="339">
        <v>43.560606060606062</v>
      </c>
      <c r="H424" s="339">
        <v>20.454545454545453</v>
      </c>
      <c r="I424" s="339">
        <v>503.85227272727275</v>
      </c>
      <c r="J424" s="339"/>
      <c r="K424" s="339">
        <v>36.962121212121211</v>
      </c>
      <c r="L424" s="339"/>
      <c r="M424" s="340">
        <v>604.8295454545455</v>
      </c>
    </row>
    <row r="425" spans="1:13" hidden="1" outlineLevel="2">
      <c r="A425" s="372">
        <v>45863</v>
      </c>
      <c r="B425" s="153" t="s">
        <v>222</v>
      </c>
      <c r="C425" s="360" t="s">
        <v>218</v>
      </c>
      <c r="D425" s="153" t="s">
        <v>103</v>
      </c>
      <c r="E425" s="153">
        <v>241.5</v>
      </c>
      <c r="F425" s="153">
        <v>1.48</v>
      </c>
      <c r="G425" s="339">
        <v>54.924242424242422</v>
      </c>
      <c r="H425" s="339">
        <v>20.454545454545453</v>
      </c>
      <c r="I425" s="339">
        <v>557.10666666666668</v>
      </c>
      <c r="J425" s="339"/>
      <c r="K425" s="339">
        <v>25.691666666666666</v>
      </c>
      <c r="L425" s="339"/>
      <c r="M425" s="340">
        <v>658.17712121212128</v>
      </c>
    </row>
    <row r="426" spans="1:13" hidden="1" outlineLevel="2">
      <c r="A426" s="372">
        <v>45863</v>
      </c>
      <c r="B426" s="153" t="s">
        <v>222</v>
      </c>
      <c r="C426" s="360" t="s">
        <v>219</v>
      </c>
      <c r="D426" s="153" t="s">
        <v>103</v>
      </c>
      <c r="E426" s="153">
        <v>176.3</v>
      </c>
      <c r="F426" s="153">
        <v>3.43</v>
      </c>
      <c r="G426" s="339">
        <v>77.651515151515156</v>
      </c>
      <c r="H426" s="339">
        <v>20.454545454545453</v>
      </c>
      <c r="I426" s="339">
        <v>623.90363636363634</v>
      </c>
      <c r="J426" s="339"/>
      <c r="K426" s="339">
        <v>49.664393939393939</v>
      </c>
      <c r="L426" s="339"/>
      <c r="M426" s="340">
        <v>771.67409090909086</v>
      </c>
    </row>
    <row r="427" spans="1:13" hidden="1" outlineLevel="2">
      <c r="A427" s="372">
        <v>45863</v>
      </c>
      <c r="B427" s="153" t="s">
        <v>223</v>
      </c>
      <c r="C427" s="360" t="s">
        <v>220</v>
      </c>
      <c r="D427" s="153" t="s">
        <v>103</v>
      </c>
      <c r="E427" s="153"/>
      <c r="F427" s="153" t="s">
        <v>224</v>
      </c>
      <c r="G427" s="339">
        <v>18.939393939393938</v>
      </c>
      <c r="H427" s="339">
        <v>20.454545454545453</v>
      </c>
      <c r="I427" s="339">
        <v>704.54992424242425</v>
      </c>
      <c r="J427" s="339"/>
      <c r="K427" s="339">
        <v>35.066212121212118</v>
      </c>
      <c r="L427" s="339"/>
      <c r="M427" s="340">
        <v>779.01007575757581</v>
      </c>
    </row>
    <row r="428" spans="1:13" hidden="1" outlineLevel="2">
      <c r="A428" s="372">
        <v>45863</v>
      </c>
      <c r="B428" s="153" t="s">
        <v>178</v>
      </c>
      <c r="C428" s="360" t="s">
        <v>235</v>
      </c>
      <c r="D428" s="153" t="s">
        <v>248</v>
      </c>
      <c r="E428" s="153">
        <v>4.5</v>
      </c>
      <c r="F428" s="153"/>
      <c r="G428" s="339"/>
      <c r="H428" s="339">
        <v>15.151515151515152</v>
      </c>
      <c r="I428" s="339"/>
      <c r="J428" s="339"/>
      <c r="K428" s="339"/>
      <c r="L428" s="339"/>
      <c r="M428" s="340">
        <v>15.151515151515152</v>
      </c>
    </row>
    <row r="429" spans="1:13" hidden="1" outlineLevel="2">
      <c r="A429" s="372">
        <v>45863</v>
      </c>
      <c r="B429" s="153" t="s">
        <v>229</v>
      </c>
      <c r="C429" s="360" t="s">
        <v>236</v>
      </c>
      <c r="D429" s="153" t="s">
        <v>248</v>
      </c>
      <c r="E429" s="153">
        <v>0.5</v>
      </c>
      <c r="F429" s="153"/>
      <c r="G429" s="339"/>
      <c r="H429" s="339">
        <v>15.151515151515152</v>
      </c>
      <c r="I429" s="339"/>
      <c r="J429" s="339"/>
      <c r="K429" s="339"/>
      <c r="L429" s="339"/>
      <c r="M429" s="340">
        <v>15.151515151515152</v>
      </c>
    </row>
    <row r="430" spans="1:13" hidden="1" outlineLevel="2">
      <c r="A430" s="372">
        <v>45863</v>
      </c>
      <c r="B430" s="153" t="s">
        <v>230</v>
      </c>
      <c r="C430" s="360" t="s">
        <v>237</v>
      </c>
      <c r="D430" s="153" t="s">
        <v>248</v>
      </c>
      <c r="E430" s="153">
        <v>3.5</v>
      </c>
      <c r="F430" s="153"/>
      <c r="G430" s="339"/>
      <c r="H430" s="339">
        <v>15.151515151515152</v>
      </c>
      <c r="I430" s="339"/>
      <c r="J430" s="339"/>
      <c r="K430" s="339"/>
      <c r="L430" s="339"/>
      <c r="M430" s="340">
        <v>15.151515151515152</v>
      </c>
    </row>
    <row r="431" spans="1:13" hidden="1" outlineLevel="2">
      <c r="A431" s="372">
        <v>45863</v>
      </c>
      <c r="B431" s="153" t="s">
        <v>231</v>
      </c>
      <c r="C431" s="360" t="s">
        <v>238</v>
      </c>
      <c r="D431" s="153" t="s">
        <v>248</v>
      </c>
      <c r="E431" s="153">
        <v>19.5</v>
      </c>
      <c r="F431" s="153"/>
      <c r="G431" s="339"/>
      <c r="H431" s="339">
        <v>15.151515151515152</v>
      </c>
      <c r="I431" s="339"/>
      <c r="J431" s="339"/>
      <c r="K431" s="339"/>
      <c r="L431" s="339"/>
      <c r="M431" s="340">
        <v>15.151515151515152</v>
      </c>
    </row>
    <row r="432" spans="1:13" hidden="1" outlineLevel="2">
      <c r="A432" s="372">
        <v>45863</v>
      </c>
      <c r="B432" s="153" t="s">
        <v>232</v>
      </c>
      <c r="C432" s="360" t="s">
        <v>239</v>
      </c>
      <c r="D432" s="153" t="s">
        <v>250</v>
      </c>
      <c r="E432" s="153">
        <v>482</v>
      </c>
      <c r="F432" s="153"/>
      <c r="G432" s="339"/>
      <c r="H432" s="339">
        <v>15.151515151515152</v>
      </c>
      <c r="I432" s="339"/>
      <c r="J432" s="339"/>
      <c r="K432" s="339"/>
      <c r="L432" s="339"/>
      <c r="M432" s="340">
        <v>15.151515151515152</v>
      </c>
    </row>
    <row r="433" spans="1:13" hidden="1" outlineLevel="2">
      <c r="A433" s="372">
        <v>45863</v>
      </c>
      <c r="B433" s="153" t="s">
        <v>183</v>
      </c>
      <c r="C433" s="360" t="s">
        <v>240</v>
      </c>
      <c r="D433" s="153" t="s">
        <v>251</v>
      </c>
      <c r="E433" s="153">
        <v>604.85</v>
      </c>
      <c r="F433" s="153"/>
      <c r="G433" s="339"/>
      <c r="H433" s="339">
        <v>15.151515151515152</v>
      </c>
      <c r="I433" s="339"/>
      <c r="J433" s="339"/>
      <c r="K433" s="339"/>
      <c r="L433" s="339"/>
      <c r="M433" s="340">
        <v>15.151515151515152</v>
      </c>
    </row>
    <row r="434" spans="1:13" hidden="1" outlineLevel="2">
      <c r="A434" s="372">
        <v>45863</v>
      </c>
      <c r="B434" s="153" t="s">
        <v>232</v>
      </c>
      <c r="C434" s="360" t="s">
        <v>241</v>
      </c>
      <c r="D434" s="153" t="s">
        <v>250</v>
      </c>
      <c r="E434" s="153">
        <v>248</v>
      </c>
      <c r="F434" s="153"/>
      <c r="G434" s="339"/>
      <c r="H434" s="339">
        <v>15.151515151515152</v>
      </c>
      <c r="I434" s="339"/>
      <c r="J434" s="339"/>
      <c r="K434" s="339"/>
      <c r="L434" s="339"/>
      <c r="M434" s="340">
        <v>15.151515151515152</v>
      </c>
    </row>
    <row r="435" spans="1:13" hidden="1" outlineLevel="2">
      <c r="A435" s="372">
        <v>45863</v>
      </c>
      <c r="B435" s="153" t="s">
        <v>232</v>
      </c>
      <c r="C435" s="360" t="s">
        <v>242</v>
      </c>
      <c r="D435" s="153" t="s">
        <v>250</v>
      </c>
      <c r="E435" s="153">
        <v>824</v>
      </c>
      <c r="F435" s="153"/>
      <c r="G435" s="339"/>
      <c r="H435" s="339">
        <v>15.151515151515152</v>
      </c>
      <c r="I435" s="339"/>
      <c r="J435" s="339"/>
      <c r="K435" s="339"/>
      <c r="L435" s="339"/>
      <c r="M435" s="340">
        <v>15.151515151515152</v>
      </c>
    </row>
    <row r="436" spans="1:13" hidden="1" outlineLevel="2">
      <c r="A436" s="372">
        <v>45863</v>
      </c>
      <c r="B436" s="153" t="s">
        <v>183</v>
      </c>
      <c r="C436" s="360" t="s">
        <v>243</v>
      </c>
      <c r="D436" s="153" t="s">
        <v>61</v>
      </c>
      <c r="E436" s="153">
        <v>639.29999999999995</v>
      </c>
      <c r="F436" s="153">
        <v>7.8500000000000005</v>
      </c>
      <c r="G436" s="339">
        <v>90.909090909090907</v>
      </c>
      <c r="H436" s="339">
        <v>15.151515151515152</v>
      </c>
      <c r="I436" s="339">
        <v>752.25250000000005</v>
      </c>
      <c r="J436" s="339"/>
      <c r="K436" s="339">
        <v>160.77272727272728</v>
      </c>
      <c r="L436" s="339"/>
      <c r="M436" s="340">
        <v>1019.0858333333333</v>
      </c>
    </row>
    <row r="437" spans="1:13" hidden="1" outlineLevel="2">
      <c r="A437" s="372">
        <v>45863</v>
      </c>
      <c r="B437" s="153" t="s">
        <v>256</v>
      </c>
      <c r="C437" s="360" t="s">
        <v>257</v>
      </c>
      <c r="D437" s="153" t="s">
        <v>61</v>
      </c>
      <c r="E437" s="153">
        <v>367.4</v>
      </c>
      <c r="F437" s="153">
        <v>3.2</v>
      </c>
      <c r="G437" s="339"/>
      <c r="H437" s="339">
        <v>15.151515151515152</v>
      </c>
      <c r="I437" s="339">
        <v>1290.4067424242423</v>
      </c>
      <c r="J437" s="339"/>
      <c r="K437" s="339">
        <v>56.7</v>
      </c>
      <c r="L437" s="339"/>
      <c r="M437" s="340">
        <v>1362.2582575757576</v>
      </c>
    </row>
    <row r="438" spans="1:13" hidden="1" outlineLevel="2">
      <c r="A438" s="372">
        <v>45863</v>
      </c>
      <c r="B438" s="153" t="s">
        <v>233</v>
      </c>
      <c r="C438" s="360" t="s">
        <v>244</v>
      </c>
      <c r="D438" s="153" t="s">
        <v>250</v>
      </c>
      <c r="E438" s="153">
        <v>249</v>
      </c>
      <c r="F438" s="153"/>
      <c r="G438" s="339"/>
      <c r="H438" s="339">
        <v>15.151515151515152</v>
      </c>
      <c r="I438" s="339"/>
      <c r="J438" s="339"/>
      <c r="K438" s="339"/>
      <c r="L438" s="339"/>
      <c r="M438" s="340">
        <v>15.151515151515152</v>
      </c>
    </row>
    <row r="439" spans="1:13" hidden="1" outlineLevel="2">
      <c r="A439" s="372">
        <v>45863</v>
      </c>
      <c r="B439" s="153" t="s">
        <v>233</v>
      </c>
      <c r="C439" s="360" t="s">
        <v>245</v>
      </c>
      <c r="D439" s="153" t="s">
        <v>249</v>
      </c>
      <c r="E439" s="153">
        <v>38</v>
      </c>
      <c r="F439" s="153"/>
      <c r="G439" s="339"/>
      <c r="H439" s="339">
        <v>15.151515151515152</v>
      </c>
      <c r="I439" s="339"/>
      <c r="J439" s="339"/>
      <c r="K439" s="339"/>
      <c r="L439" s="339"/>
      <c r="M439" s="340">
        <v>15.151515151515152</v>
      </c>
    </row>
    <row r="440" spans="1:13" hidden="1" outlineLevel="2">
      <c r="A440" s="372">
        <v>45863</v>
      </c>
      <c r="B440" s="153" t="s">
        <v>234</v>
      </c>
      <c r="C440" s="360" t="s">
        <v>246</v>
      </c>
      <c r="D440" s="153" t="s">
        <v>250</v>
      </c>
      <c r="E440" s="153">
        <v>216</v>
      </c>
      <c r="F440" s="153"/>
      <c r="G440" s="339"/>
      <c r="H440" s="339">
        <v>15.151515151515152</v>
      </c>
      <c r="I440" s="339"/>
      <c r="J440" s="339"/>
      <c r="K440" s="339"/>
      <c r="L440" s="339"/>
      <c r="M440" s="340">
        <v>15.151515151515152</v>
      </c>
    </row>
    <row r="441" spans="1:13" hidden="1" outlineLevel="2">
      <c r="A441" s="372">
        <v>45863</v>
      </c>
      <c r="B441" s="153" t="s">
        <v>184</v>
      </c>
      <c r="C441" s="360" t="s">
        <v>247</v>
      </c>
      <c r="D441" s="153" t="s">
        <v>248</v>
      </c>
      <c r="E441" s="153">
        <v>197</v>
      </c>
      <c r="F441" s="153"/>
      <c r="G441" s="339"/>
      <c r="H441" s="339">
        <v>15.151515151515152</v>
      </c>
      <c r="I441" s="339"/>
      <c r="J441" s="339"/>
      <c r="K441" s="339"/>
      <c r="L441" s="339"/>
      <c r="M441" s="340">
        <v>15.151515151515152</v>
      </c>
    </row>
    <row r="442" spans="1:13" hidden="1" outlineLevel="2">
      <c r="A442" s="372">
        <v>45863</v>
      </c>
      <c r="B442" s="153" t="s">
        <v>254</v>
      </c>
      <c r="C442" s="360">
        <v>4914928080</v>
      </c>
      <c r="D442" s="153" t="s">
        <v>85</v>
      </c>
      <c r="E442" s="153">
        <v>706</v>
      </c>
      <c r="F442" s="153"/>
      <c r="G442" s="339"/>
      <c r="H442" s="339">
        <v>15.151515151515152</v>
      </c>
      <c r="I442" s="339">
        <v>1277.8599999999999</v>
      </c>
      <c r="J442" s="339"/>
      <c r="K442" s="339">
        <v>33.434650455927049</v>
      </c>
      <c r="L442" s="339"/>
      <c r="M442" s="340">
        <v>1326.4461656074423</v>
      </c>
    </row>
    <row r="443" spans="1:13" outlineLevel="1" collapsed="1">
      <c r="A443" s="733" t="s">
        <v>888</v>
      </c>
      <c r="B443" s="153"/>
      <c r="C443" s="360"/>
      <c r="D443" s="153"/>
      <c r="E443" s="153">
        <f t="shared" ref="E443:M443" si="19">SUBTOTAL(9,E412:E442)</f>
        <v>12539.599999999999</v>
      </c>
      <c r="F443" s="153">
        <f t="shared" si="19"/>
        <v>68.39</v>
      </c>
      <c r="G443" s="339">
        <f t="shared" si="19"/>
        <v>759.46969696969688</v>
      </c>
      <c r="H443" s="339">
        <f t="shared" si="19"/>
        <v>528.03030303030255</v>
      </c>
      <c r="I443" s="339">
        <f t="shared" si="19"/>
        <v>12463.712575757578</v>
      </c>
      <c r="J443" s="339">
        <f t="shared" si="19"/>
        <v>0</v>
      </c>
      <c r="K443" s="339">
        <f t="shared" si="19"/>
        <v>1074.8637413650181</v>
      </c>
      <c r="L443" s="339">
        <f t="shared" si="19"/>
        <v>0</v>
      </c>
      <c r="M443" s="340">
        <f t="shared" si="19"/>
        <v>14826.076317122604</v>
      </c>
    </row>
    <row r="444" spans="1:13" hidden="1" outlineLevel="2">
      <c r="A444" s="372">
        <v>45870</v>
      </c>
      <c r="B444" s="153" t="s">
        <v>184</v>
      </c>
      <c r="C444" s="360">
        <v>882923220667</v>
      </c>
      <c r="D444" s="153" t="s">
        <v>45</v>
      </c>
      <c r="E444" s="153">
        <v>196</v>
      </c>
      <c r="F444" s="153"/>
      <c r="G444" s="339"/>
      <c r="H444" s="339">
        <v>15.151515151515152</v>
      </c>
      <c r="I444" s="339">
        <v>361.98680878406469</v>
      </c>
      <c r="J444" s="339"/>
      <c r="K444" s="339"/>
      <c r="L444" s="339"/>
      <c r="M444" s="340">
        <v>377.13832393557982</v>
      </c>
    </row>
    <row r="445" spans="1:13" hidden="1" outlineLevel="2">
      <c r="A445" s="372">
        <v>45870</v>
      </c>
      <c r="B445" s="153" t="s">
        <v>184</v>
      </c>
      <c r="C445" s="360">
        <v>883053570105</v>
      </c>
      <c r="D445" s="153" t="s">
        <v>45</v>
      </c>
      <c r="E445" s="153">
        <v>23</v>
      </c>
      <c r="F445" s="153"/>
      <c r="G445" s="339"/>
      <c r="H445" s="339">
        <v>15.151515151515152</v>
      </c>
      <c r="I445" s="339">
        <v>50.467021960161773</v>
      </c>
      <c r="J445" s="339"/>
      <c r="K445" s="339"/>
      <c r="L445" s="339"/>
      <c r="M445" s="340">
        <v>65.618537111676929</v>
      </c>
    </row>
    <row r="446" spans="1:13" hidden="1" outlineLevel="2">
      <c r="A446" s="372">
        <v>45870</v>
      </c>
      <c r="B446" s="153" t="s">
        <v>258</v>
      </c>
      <c r="C446" s="360">
        <v>618106368379</v>
      </c>
      <c r="D446" s="153" t="s">
        <v>45</v>
      </c>
      <c r="E446" s="153">
        <v>1.1000000000000001</v>
      </c>
      <c r="F446" s="153"/>
      <c r="G446" s="339"/>
      <c r="H446" s="339">
        <v>15.151515151515152</v>
      </c>
      <c r="I446" s="339">
        <v>22.847374985826058</v>
      </c>
      <c r="J446" s="339"/>
      <c r="K446" s="339"/>
      <c r="L446" s="339"/>
      <c r="M446" s="340">
        <v>37.998890137341206</v>
      </c>
    </row>
    <row r="447" spans="1:13" hidden="1" outlineLevel="2">
      <c r="A447" s="372">
        <v>45870</v>
      </c>
      <c r="B447" s="153" t="s">
        <v>184</v>
      </c>
      <c r="C447" s="360">
        <v>883347499490</v>
      </c>
      <c r="D447" s="153" t="s">
        <v>45</v>
      </c>
      <c r="E447" s="153">
        <v>127</v>
      </c>
      <c r="F447" s="153"/>
      <c r="G447" s="339"/>
      <c r="H447" s="339">
        <v>15.151515151515152</v>
      </c>
      <c r="I447" s="339">
        <v>236.54341006160939</v>
      </c>
      <c r="J447" s="339"/>
      <c r="K447" s="339"/>
      <c r="L447" s="339"/>
      <c r="M447" s="340">
        <v>251.69492521312455</v>
      </c>
    </row>
    <row r="448" spans="1:13" hidden="1" outlineLevel="2">
      <c r="A448" s="372">
        <v>45870</v>
      </c>
      <c r="B448" s="153" t="s">
        <v>258</v>
      </c>
      <c r="C448" s="360">
        <v>618106368519</v>
      </c>
      <c r="D448" s="153" t="s">
        <v>45</v>
      </c>
      <c r="E448" s="153">
        <v>10.6</v>
      </c>
      <c r="F448" s="153"/>
      <c r="G448" s="339"/>
      <c r="H448" s="339">
        <v>15.151515151515152</v>
      </c>
      <c r="I448" s="339">
        <v>58.825566012775447</v>
      </c>
      <c r="J448" s="339"/>
      <c r="K448" s="339"/>
      <c r="L448" s="339"/>
      <c r="M448" s="340">
        <v>73.977081164290595</v>
      </c>
    </row>
    <row r="449" spans="1:13" hidden="1" outlineLevel="2">
      <c r="A449" s="372">
        <v>45870</v>
      </c>
      <c r="B449" s="153" t="s">
        <v>258</v>
      </c>
      <c r="C449" s="360">
        <v>618106368508</v>
      </c>
      <c r="D449" s="153" t="s">
        <v>45</v>
      </c>
      <c r="E449" s="153">
        <v>18.2</v>
      </c>
      <c r="F449" s="153"/>
      <c r="G449" s="339"/>
      <c r="H449" s="339">
        <v>15.151515151515152</v>
      </c>
      <c r="I449" s="339">
        <v>70.699021053029441</v>
      </c>
      <c r="J449" s="339"/>
      <c r="K449" s="339"/>
      <c r="L449" s="339"/>
      <c r="M449" s="340">
        <v>85.850536204544596</v>
      </c>
    </row>
    <row r="450" spans="1:13" hidden="1" outlineLevel="2">
      <c r="A450" s="372">
        <v>45870</v>
      </c>
      <c r="B450" s="153" t="s">
        <v>259</v>
      </c>
      <c r="C450" s="360">
        <v>883460588290</v>
      </c>
      <c r="D450" s="153" t="s">
        <v>45</v>
      </c>
      <c r="E450" s="153">
        <v>85</v>
      </c>
      <c r="F450" s="153"/>
      <c r="G450" s="339"/>
      <c r="H450" s="339">
        <v>15.151515151515152</v>
      </c>
      <c r="I450" s="339">
        <v>171.27879200211663</v>
      </c>
      <c r="J450" s="339"/>
      <c r="K450" s="339"/>
      <c r="L450" s="339"/>
      <c r="M450" s="340">
        <v>186.43030715363179</v>
      </c>
    </row>
    <row r="451" spans="1:13" hidden="1" outlineLevel="2">
      <c r="A451" s="372">
        <v>45870</v>
      </c>
      <c r="B451" s="153" t="s">
        <v>178</v>
      </c>
      <c r="C451" s="360">
        <v>619345527421</v>
      </c>
      <c r="D451" s="153" t="s">
        <v>45</v>
      </c>
      <c r="E451" s="153">
        <v>66</v>
      </c>
      <c r="F451" s="153"/>
      <c r="G451" s="339"/>
      <c r="H451" s="339">
        <v>15.151515151515152</v>
      </c>
      <c r="I451" s="339">
        <v>219.35518010356427</v>
      </c>
      <c r="J451" s="339"/>
      <c r="K451" s="339"/>
      <c r="L451" s="339"/>
      <c r="M451" s="340">
        <v>234.50669525507942</v>
      </c>
    </row>
    <row r="452" spans="1:13" hidden="1" outlineLevel="2">
      <c r="A452" s="372">
        <v>45870</v>
      </c>
      <c r="B452" s="153" t="s">
        <v>178</v>
      </c>
      <c r="C452" s="360">
        <v>619345528336</v>
      </c>
      <c r="D452" s="153" t="s">
        <v>45</v>
      </c>
      <c r="E452" s="153">
        <v>52.2</v>
      </c>
      <c r="F452" s="153"/>
      <c r="G452" s="339"/>
      <c r="H452" s="339">
        <v>15.151515151515152</v>
      </c>
      <c r="I452" s="339">
        <v>161.79880560910155</v>
      </c>
      <c r="J452" s="339"/>
      <c r="K452" s="339"/>
      <c r="L452" s="339"/>
      <c r="M452" s="340">
        <v>176.95032076061671</v>
      </c>
    </row>
    <row r="453" spans="1:13" hidden="1" outlineLevel="2">
      <c r="A453" s="372">
        <v>45870</v>
      </c>
      <c r="B453" s="153" t="s">
        <v>260</v>
      </c>
      <c r="C453" s="360">
        <v>4812833224</v>
      </c>
      <c r="D453" s="153" t="s">
        <v>85</v>
      </c>
      <c r="E453" s="153">
        <v>575</v>
      </c>
      <c r="F453" s="153"/>
      <c r="G453" s="339"/>
      <c r="H453" s="339">
        <v>15.151515151515152</v>
      </c>
      <c r="I453" s="339">
        <v>918.55799999999999</v>
      </c>
      <c r="J453" s="339"/>
      <c r="K453" s="339"/>
      <c r="L453" s="339"/>
      <c r="M453" s="340">
        <v>933.70951515151512</v>
      </c>
    </row>
    <row r="454" spans="1:13" hidden="1" outlineLevel="2">
      <c r="A454" s="372">
        <v>45870</v>
      </c>
      <c r="B454" s="153" t="s">
        <v>184</v>
      </c>
      <c r="C454" s="360">
        <v>4720742605</v>
      </c>
      <c r="D454" s="153" t="s">
        <v>85</v>
      </c>
      <c r="E454" s="153">
        <v>289</v>
      </c>
      <c r="F454" s="153"/>
      <c r="G454" s="339"/>
      <c r="H454" s="339">
        <v>15.151515151515152</v>
      </c>
      <c r="I454" s="339">
        <v>639.9</v>
      </c>
      <c r="J454" s="339"/>
      <c r="K454" s="339"/>
      <c r="L454" s="339"/>
      <c r="M454" s="340">
        <v>655.0515151515151</v>
      </c>
    </row>
    <row r="455" spans="1:13" hidden="1" outlineLevel="2">
      <c r="A455" s="372">
        <v>45870</v>
      </c>
      <c r="B455" s="153" t="s">
        <v>269</v>
      </c>
      <c r="C455" s="360" t="s">
        <v>262</v>
      </c>
      <c r="D455" s="153" t="s">
        <v>103</v>
      </c>
      <c r="E455" s="153" t="s">
        <v>271</v>
      </c>
      <c r="F455" s="153"/>
      <c r="G455" s="339"/>
      <c r="H455" s="339">
        <v>20.45</v>
      </c>
      <c r="I455" s="339">
        <v>500.68180962067277</v>
      </c>
      <c r="J455" s="339"/>
      <c r="K455" s="339">
        <v>36.757449052623649</v>
      </c>
      <c r="L455" s="339"/>
      <c r="M455" s="340">
        <v>557.88925867329647</v>
      </c>
    </row>
    <row r="456" spans="1:13" hidden="1" outlineLevel="2">
      <c r="A456" s="372">
        <v>45870</v>
      </c>
      <c r="B456" s="153" t="s">
        <v>270</v>
      </c>
      <c r="C456" s="360" t="s">
        <v>263</v>
      </c>
      <c r="D456" s="153" t="s">
        <v>103</v>
      </c>
      <c r="E456" s="153">
        <v>250.89</v>
      </c>
      <c r="F456" s="153"/>
      <c r="G456" s="339"/>
      <c r="H456" s="339">
        <v>20.45</v>
      </c>
      <c r="I456" s="339">
        <v>94.227521000489702</v>
      </c>
      <c r="J456" s="339"/>
      <c r="K456" s="339">
        <v>27.746261347798246</v>
      </c>
      <c r="L456" s="339"/>
      <c r="M456" s="340">
        <v>142.42378234828794</v>
      </c>
    </row>
    <row r="457" spans="1:13" hidden="1" outlineLevel="2">
      <c r="A457" s="372">
        <v>45870</v>
      </c>
      <c r="B457" s="153" t="s">
        <v>180</v>
      </c>
      <c r="C457" s="360" t="s">
        <v>264</v>
      </c>
      <c r="D457" s="153" t="s">
        <v>103</v>
      </c>
      <c r="E457" s="153">
        <v>2869</v>
      </c>
      <c r="F457" s="153"/>
      <c r="G457" s="339"/>
      <c r="H457" s="339">
        <v>20.45</v>
      </c>
      <c r="I457" s="339">
        <v>1137.3658040456548</v>
      </c>
      <c r="J457" s="339"/>
      <c r="K457" s="339">
        <v>90.14954608807021</v>
      </c>
      <c r="L457" s="339"/>
      <c r="M457" s="340">
        <v>1247.965350133725</v>
      </c>
    </row>
    <row r="458" spans="1:13" hidden="1" outlineLevel="2">
      <c r="A458" s="372">
        <v>45870</v>
      </c>
      <c r="B458" s="153" t="s">
        <v>182</v>
      </c>
      <c r="C458" s="360" t="s">
        <v>265</v>
      </c>
      <c r="D458" s="153" t="s">
        <v>103</v>
      </c>
      <c r="E458" s="153">
        <v>442.1</v>
      </c>
      <c r="F458" s="153"/>
      <c r="G458" s="339"/>
      <c r="H458" s="339">
        <v>20.45</v>
      </c>
      <c r="I458" s="339">
        <v>803.57554525935132</v>
      </c>
      <c r="J458" s="339"/>
      <c r="K458" s="339">
        <v>99.083135570874305</v>
      </c>
      <c r="L458" s="339"/>
      <c r="M458" s="340">
        <v>923.10868083022569</v>
      </c>
    </row>
    <row r="459" spans="1:13" hidden="1" outlineLevel="2">
      <c r="A459" s="372">
        <v>45870</v>
      </c>
      <c r="B459" s="153" t="s">
        <v>269</v>
      </c>
      <c r="C459" s="360" t="s">
        <v>266</v>
      </c>
      <c r="D459" s="153" t="s">
        <v>103</v>
      </c>
      <c r="E459" s="153">
        <v>986.6</v>
      </c>
      <c r="F459" s="153"/>
      <c r="G459" s="339"/>
      <c r="H459" s="339">
        <v>20.45</v>
      </c>
      <c r="I459" s="339">
        <v>503.34501073567634</v>
      </c>
      <c r="J459" s="339"/>
      <c r="K459" s="339">
        <v>31.875541492447358</v>
      </c>
      <c r="L459" s="339"/>
      <c r="M459" s="340">
        <v>555.67055222812371</v>
      </c>
    </row>
    <row r="460" spans="1:13" hidden="1" outlineLevel="2">
      <c r="A460" s="372">
        <v>45870</v>
      </c>
      <c r="B460" s="153" t="s">
        <v>228</v>
      </c>
      <c r="C460" s="360" t="s">
        <v>267</v>
      </c>
      <c r="D460" s="153" t="s">
        <v>103</v>
      </c>
      <c r="E460" s="153">
        <v>367.3</v>
      </c>
      <c r="F460" s="153"/>
      <c r="G460" s="339"/>
      <c r="H460" s="339">
        <v>20.45</v>
      </c>
      <c r="I460" s="339">
        <v>721.65080800090402</v>
      </c>
      <c r="J460" s="339"/>
      <c r="K460" s="339">
        <v>110.59630090029005</v>
      </c>
      <c r="L460" s="339"/>
      <c r="M460" s="340">
        <v>852.69710890119416</v>
      </c>
    </row>
    <row r="461" spans="1:13" hidden="1" outlineLevel="2">
      <c r="A461" s="372">
        <v>45870</v>
      </c>
      <c r="B461" s="153" t="s">
        <v>225</v>
      </c>
      <c r="C461" s="360" t="s">
        <v>268</v>
      </c>
      <c r="D461" s="153" t="s">
        <v>103</v>
      </c>
      <c r="E461" s="153">
        <v>2367</v>
      </c>
      <c r="F461" s="153"/>
      <c r="G461" s="339"/>
      <c r="H461" s="339">
        <v>20.45</v>
      </c>
      <c r="I461" s="339">
        <v>1598.3726974799413</v>
      </c>
      <c r="J461" s="339"/>
      <c r="K461" s="339">
        <v>132.56488492108335</v>
      </c>
      <c r="L461" s="339"/>
      <c r="M461" s="340">
        <v>1751.3875824010247</v>
      </c>
    </row>
    <row r="462" spans="1:13" hidden="1" outlineLevel="2">
      <c r="A462" s="372">
        <v>45870</v>
      </c>
      <c r="B462" s="153" t="s">
        <v>288</v>
      </c>
      <c r="C462" s="360" t="s">
        <v>275</v>
      </c>
      <c r="D462" s="153" t="s">
        <v>61</v>
      </c>
      <c r="E462" s="153">
        <v>461.6</v>
      </c>
      <c r="F462" s="153">
        <v>6.29</v>
      </c>
      <c r="G462" s="339">
        <v>0</v>
      </c>
      <c r="H462" s="339">
        <v>15.067615926470035</v>
      </c>
      <c r="I462" s="339">
        <v>261.86185256337814</v>
      </c>
      <c r="J462" s="339"/>
      <c r="K462" s="339">
        <v>70.177421177534185</v>
      </c>
      <c r="L462" s="339"/>
      <c r="M462" s="340">
        <v>347.10688966738235</v>
      </c>
    </row>
    <row r="463" spans="1:13" hidden="1" outlineLevel="2">
      <c r="A463" s="372">
        <v>45870</v>
      </c>
      <c r="B463" s="153" t="s">
        <v>289</v>
      </c>
      <c r="C463" s="360" t="s">
        <v>276</v>
      </c>
      <c r="D463" s="153" t="s">
        <v>61</v>
      </c>
      <c r="E463" s="153">
        <v>691.6</v>
      </c>
      <c r="F463" s="153">
        <v>6.3</v>
      </c>
      <c r="G463" s="339">
        <v>0</v>
      </c>
      <c r="H463" s="339">
        <v>15.067615926470035</v>
      </c>
      <c r="I463" s="339">
        <v>438.75194937281049</v>
      </c>
      <c r="J463" s="339"/>
      <c r="K463" s="339">
        <v>143.10091535766753</v>
      </c>
      <c r="L463" s="339"/>
      <c r="M463" s="340">
        <v>596.92048065694803</v>
      </c>
    </row>
    <row r="464" spans="1:13" hidden="1" outlineLevel="2">
      <c r="A464" s="372">
        <v>45870</v>
      </c>
      <c r="B464" s="153" t="s">
        <v>290</v>
      </c>
      <c r="C464" s="360" t="s">
        <v>277</v>
      </c>
      <c r="D464" s="153" t="s">
        <v>61</v>
      </c>
      <c r="E464" s="153">
        <v>165</v>
      </c>
      <c r="F464" s="153">
        <v>0.42000000000000004</v>
      </c>
      <c r="G464" s="339">
        <v>0</v>
      </c>
      <c r="H464" s="339">
        <v>15.067615926470035</v>
      </c>
      <c r="I464" s="339">
        <v>390.92778845067238</v>
      </c>
      <c r="J464" s="339"/>
      <c r="K464" s="339">
        <v>38.526387162391231</v>
      </c>
      <c r="L464" s="339"/>
      <c r="M464" s="340">
        <v>444.52179153953364</v>
      </c>
    </row>
    <row r="465" spans="1:13" hidden="1" outlineLevel="2">
      <c r="A465" s="372">
        <v>45870</v>
      </c>
      <c r="B465" s="153" t="s">
        <v>291</v>
      </c>
      <c r="C465" s="360" t="s">
        <v>278</v>
      </c>
      <c r="D465" s="153" t="s">
        <v>61</v>
      </c>
      <c r="E465" s="153">
        <v>274.7</v>
      </c>
      <c r="F465" s="153">
        <v>2.42</v>
      </c>
      <c r="G465" s="339">
        <v>0</v>
      </c>
      <c r="H465" s="339">
        <v>15.067615926470035</v>
      </c>
      <c r="I465" s="339">
        <v>94.330274607300254</v>
      </c>
      <c r="J465" s="339"/>
      <c r="K465" s="339">
        <v>62.54944061475873</v>
      </c>
      <c r="L465" s="339"/>
      <c r="M465" s="340">
        <v>171.94733114852903</v>
      </c>
    </row>
    <row r="466" spans="1:13" hidden="1" outlineLevel="2">
      <c r="A466" s="372">
        <v>45870</v>
      </c>
      <c r="B466" s="153" t="s">
        <v>292</v>
      </c>
      <c r="C466" s="360" t="s">
        <v>279</v>
      </c>
      <c r="D466" s="153" t="s">
        <v>61</v>
      </c>
      <c r="E466" s="153">
        <v>1719.5</v>
      </c>
      <c r="F466" s="153">
        <v>10.23</v>
      </c>
      <c r="G466" s="339">
        <v>116.77402343014276</v>
      </c>
      <c r="H466" s="339">
        <v>15.067615926470035</v>
      </c>
      <c r="I466" s="339">
        <v>901.99484687535323</v>
      </c>
      <c r="J466" s="339"/>
      <c r="K466" s="339">
        <v>205.16111048329378</v>
      </c>
      <c r="L466" s="339"/>
      <c r="M466" s="340">
        <v>1238.99759671526</v>
      </c>
    </row>
    <row r="467" spans="1:13" hidden="1" outlineLevel="2">
      <c r="A467" s="372">
        <v>45870</v>
      </c>
      <c r="B467" s="153" t="s">
        <v>293</v>
      </c>
      <c r="C467" s="360" t="s">
        <v>280</v>
      </c>
      <c r="D467" s="153" t="s">
        <v>61</v>
      </c>
      <c r="E467" s="153">
        <v>931</v>
      </c>
      <c r="F467" s="153">
        <v>13.81</v>
      </c>
      <c r="G467" s="339">
        <v>37.669039816175086</v>
      </c>
      <c r="H467" s="339">
        <v>15.067615926470035</v>
      </c>
      <c r="I467" s="339">
        <v>421.69141145892195</v>
      </c>
      <c r="J467" s="339"/>
      <c r="K467" s="339">
        <v>322.64282216446304</v>
      </c>
      <c r="L467" s="339"/>
      <c r="M467" s="340">
        <v>797.07088936603009</v>
      </c>
    </row>
    <row r="468" spans="1:13" hidden="1" outlineLevel="2">
      <c r="A468" s="372">
        <v>45870</v>
      </c>
      <c r="B468" s="153" t="s">
        <v>288</v>
      </c>
      <c r="C468" s="360" t="s">
        <v>281</v>
      </c>
      <c r="D468" s="153" t="s">
        <v>61</v>
      </c>
      <c r="E468" s="153">
        <v>931.7</v>
      </c>
      <c r="F468" s="153">
        <v>12.13</v>
      </c>
      <c r="G468" s="339">
        <v>131.8416393566128</v>
      </c>
      <c r="H468" s="339">
        <v>15.067615926470035</v>
      </c>
      <c r="I468" s="339">
        <v>483.24918069838401</v>
      </c>
      <c r="J468" s="339"/>
      <c r="K468" s="339">
        <v>150.01695106791729</v>
      </c>
      <c r="L468" s="339"/>
      <c r="M468" s="340">
        <v>780.17538704938409</v>
      </c>
    </row>
    <row r="469" spans="1:13" hidden="1" outlineLevel="2">
      <c r="A469" s="372">
        <v>45870</v>
      </c>
      <c r="B469" s="153" t="s">
        <v>294</v>
      </c>
      <c r="C469" s="360" t="s">
        <v>282</v>
      </c>
      <c r="D469" s="153" t="s">
        <v>61</v>
      </c>
      <c r="E469" s="153">
        <v>794.17</v>
      </c>
      <c r="F469" s="153">
        <v>3.66</v>
      </c>
      <c r="G469" s="339">
        <v>37.669039816175086</v>
      </c>
      <c r="H469" s="339">
        <v>15.067615926470035</v>
      </c>
      <c r="I469" s="339">
        <v>394.10554864956492</v>
      </c>
      <c r="J469" s="339"/>
      <c r="K469" s="339">
        <v>57.362413832071418</v>
      </c>
      <c r="L469" s="339"/>
      <c r="M469" s="340">
        <v>504.20461822428143</v>
      </c>
    </row>
    <row r="470" spans="1:13" hidden="1" outlineLevel="2">
      <c r="A470" s="372">
        <v>45870</v>
      </c>
      <c r="B470" s="153" t="s">
        <v>183</v>
      </c>
      <c r="C470" s="360" t="s">
        <v>283</v>
      </c>
      <c r="D470" s="153" t="s">
        <v>61</v>
      </c>
      <c r="E470" s="153">
        <v>171</v>
      </c>
      <c r="F470" s="153">
        <v>1.6400000000000001</v>
      </c>
      <c r="G470" s="339">
        <v>37.669039816175086</v>
      </c>
      <c r="H470" s="339">
        <v>15.067615926470035</v>
      </c>
      <c r="I470" s="339">
        <v>419.345281952763</v>
      </c>
      <c r="J470" s="339"/>
      <c r="K470" s="339">
        <v>56.14193694202735</v>
      </c>
      <c r="L470" s="339"/>
      <c r="M470" s="340">
        <v>528.22387463743542</v>
      </c>
    </row>
    <row r="471" spans="1:13" hidden="1" outlineLevel="2">
      <c r="A471" s="372">
        <v>45870</v>
      </c>
      <c r="B471" s="153" t="s">
        <v>295</v>
      </c>
      <c r="C471" s="360" t="s">
        <v>284</v>
      </c>
      <c r="D471" s="153" t="s">
        <v>61</v>
      </c>
      <c r="E471" s="153">
        <v>108.5</v>
      </c>
      <c r="F471" s="153">
        <v>0.96000000000000008</v>
      </c>
      <c r="G471" s="339">
        <v>37.669039816175086</v>
      </c>
      <c r="H471" s="339">
        <v>15.067615926470035</v>
      </c>
      <c r="I471" s="339">
        <v>208.00015067615925</v>
      </c>
      <c r="J471" s="339"/>
      <c r="K471" s="339">
        <v>33.685162165216411</v>
      </c>
      <c r="L471" s="339"/>
      <c r="M471" s="340">
        <v>294.42196858402076</v>
      </c>
    </row>
    <row r="472" spans="1:13" hidden="1" outlineLevel="2">
      <c r="A472" s="372">
        <v>45870</v>
      </c>
      <c r="B472" s="153" t="s">
        <v>296</v>
      </c>
      <c r="C472" s="360" t="s">
        <v>285</v>
      </c>
      <c r="D472" s="153" t="s">
        <v>61</v>
      </c>
      <c r="E472" s="153">
        <v>888</v>
      </c>
      <c r="F472" s="153">
        <v>6.62</v>
      </c>
      <c r="G472" s="339">
        <v>90.405695558820199</v>
      </c>
      <c r="H472" s="339">
        <v>15.067615926470035</v>
      </c>
      <c r="I472" s="339">
        <v>697.92509888122959</v>
      </c>
      <c r="J472" s="339"/>
      <c r="K472" s="339">
        <v>131.70979771725618</v>
      </c>
      <c r="L472" s="339"/>
      <c r="M472" s="340">
        <v>935.10820808377593</v>
      </c>
    </row>
    <row r="473" spans="1:13" hidden="1" outlineLevel="2">
      <c r="A473" s="372">
        <v>45870</v>
      </c>
      <c r="B473" s="153" t="s">
        <v>297</v>
      </c>
      <c r="C473" s="360" t="s">
        <v>286</v>
      </c>
      <c r="D473" s="153" t="s">
        <v>61</v>
      </c>
      <c r="E473" s="153">
        <v>1348.65</v>
      </c>
      <c r="F473" s="153">
        <v>6.7279999999999998</v>
      </c>
      <c r="G473" s="339">
        <v>58.387011715071381</v>
      </c>
      <c r="H473" s="339">
        <v>15.067615926470035</v>
      </c>
      <c r="I473" s="339">
        <v>562.97540211700004</v>
      </c>
      <c r="J473" s="339"/>
      <c r="K473" s="339">
        <v>101.50216596978943</v>
      </c>
      <c r="L473" s="339"/>
      <c r="M473" s="340">
        <v>737.93219572833084</v>
      </c>
    </row>
    <row r="474" spans="1:13" hidden="1" outlineLevel="2">
      <c r="A474" s="372">
        <v>45870</v>
      </c>
      <c r="B474" s="153" t="s">
        <v>298</v>
      </c>
      <c r="C474" s="360" t="s">
        <v>287</v>
      </c>
      <c r="D474" s="153" t="s">
        <v>61</v>
      </c>
      <c r="E474" s="153">
        <v>712</v>
      </c>
      <c r="F474" s="153">
        <v>9.31</v>
      </c>
      <c r="G474" s="339">
        <v>64.03736768749765</v>
      </c>
      <c r="H474" s="339">
        <v>15.067615926470035</v>
      </c>
      <c r="I474" s="339">
        <v>377.68134252457912</v>
      </c>
      <c r="J474" s="339"/>
      <c r="K474" s="339">
        <v>110.14803932647757</v>
      </c>
      <c r="L474" s="339"/>
      <c r="M474" s="340">
        <v>566.93436546502437</v>
      </c>
    </row>
    <row r="475" spans="1:13" hidden="1" outlineLevel="2">
      <c r="A475" s="372">
        <v>45870</v>
      </c>
      <c r="B475" s="153" t="s">
        <v>335</v>
      </c>
      <c r="C475" s="360">
        <v>453074969173</v>
      </c>
      <c r="D475" s="153" t="s">
        <v>339</v>
      </c>
      <c r="E475" s="153">
        <v>140.5</v>
      </c>
      <c r="F475" s="153"/>
      <c r="G475" s="339">
        <v>37.797180330347359</v>
      </c>
      <c r="H475" s="339">
        <v>15.067615926470035</v>
      </c>
      <c r="I475" s="339">
        <v>360.52065615905053</v>
      </c>
      <c r="J475" s="339"/>
      <c r="K475" s="339"/>
      <c r="L475" s="339"/>
      <c r="M475" s="340">
        <v>413.38545241586792</v>
      </c>
    </row>
    <row r="476" spans="1:13" hidden="1" outlineLevel="2">
      <c r="A476" s="372">
        <v>45870</v>
      </c>
      <c r="B476" s="153" t="s">
        <v>372</v>
      </c>
      <c r="C476" s="360">
        <v>472187324217</v>
      </c>
      <c r="D476" s="153" t="s">
        <v>339</v>
      </c>
      <c r="E476" s="153">
        <v>18.8</v>
      </c>
      <c r="F476" s="153"/>
      <c r="G476" s="339"/>
      <c r="H476" s="339">
        <v>15.067615926470035</v>
      </c>
      <c r="I476" s="339">
        <v>56.509392599312093</v>
      </c>
      <c r="J476" s="339"/>
      <c r="K476" s="339"/>
      <c r="L476" s="339"/>
      <c r="M476" s="340">
        <v>71.577008525782134</v>
      </c>
    </row>
    <row r="477" spans="1:13" hidden="1" outlineLevel="2">
      <c r="A477" s="372">
        <v>45870</v>
      </c>
      <c r="B477" s="153" t="s">
        <v>373</v>
      </c>
      <c r="C477" s="360">
        <v>883282503740</v>
      </c>
      <c r="D477" s="153" t="s">
        <v>339</v>
      </c>
      <c r="E477" s="153">
        <v>2</v>
      </c>
      <c r="F477" s="153"/>
      <c r="G477" s="339"/>
      <c r="H477" s="339">
        <v>15.067615926470035</v>
      </c>
      <c r="I477" s="339">
        <v>26.305968174774161</v>
      </c>
      <c r="J477" s="339"/>
      <c r="K477" s="339"/>
      <c r="L477" s="339"/>
      <c r="M477" s="340">
        <v>41.373584101244198</v>
      </c>
    </row>
    <row r="478" spans="1:13" hidden="1" outlineLevel="2">
      <c r="A478" s="372">
        <v>45870</v>
      </c>
      <c r="B478" s="153" t="s">
        <v>374</v>
      </c>
      <c r="C478" s="360">
        <v>883168871414</v>
      </c>
      <c r="D478" s="153" t="s">
        <v>339</v>
      </c>
      <c r="E478" s="153">
        <v>3.2</v>
      </c>
      <c r="F478" s="153"/>
      <c r="G478" s="339"/>
      <c r="H478" s="339">
        <v>15.067615926470035</v>
      </c>
      <c r="I478" s="339">
        <v>31.33420266848093</v>
      </c>
      <c r="J478" s="339"/>
      <c r="K478" s="339"/>
      <c r="L478" s="339"/>
      <c r="M478" s="340">
        <v>46.401818594950967</v>
      </c>
    </row>
    <row r="479" spans="1:13" hidden="1" outlineLevel="2">
      <c r="A479" s="372">
        <v>45870</v>
      </c>
      <c r="B479" s="153" t="s">
        <v>375</v>
      </c>
      <c r="C479" s="360">
        <v>882923355068</v>
      </c>
      <c r="D479" s="153" t="s">
        <v>339</v>
      </c>
      <c r="E479" s="153">
        <v>68.099999999999994</v>
      </c>
      <c r="F479" s="153"/>
      <c r="G479" s="339"/>
      <c r="H479" s="339">
        <v>15.067615926470035</v>
      </c>
      <c r="I479" s="339">
        <v>194.06028650262689</v>
      </c>
      <c r="J479" s="339"/>
      <c r="K479" s="339"/>
      <c r="L479" s="339"/>
      <c r="M479" s="340">
        <v>209.12790242909693</v>
      </c>
    </row>
    <row r="480" spans="1:13" hidden="1" outlineLevel="2">
      <c r="A480" s="372">
        <v>45870</v>
      </c>
      <c r="B480" s="153" t="s">
        <v>376</v>
      </c>
      <c r="C480" s="360">
        <v>458171552286</v>
      </c>
      <c r="D480" s="153" t="s">
        <v>339</v>
      </c>
      <c r="E480" s="153">
        <v>85.8</v>
      </c>
      <c r="F480" s="153"/>
      <c r="G480" s="339"/>
      <c r="H480" s="339">
        <v>15.067615926470035</v>
      </c>
      <c r="I480" s="339">
        <v>220.81294175454511</v>
      </c>
      <c r="J480" s="339"/>
      <c r="K480" s="339"/>
      <c r="L480" s="339"/>
      <c r="M480" s="340">
        <v>235.88055768101515</v>
      </c>
    </row>
    <row r="481" spans="1:13" hidden="1" outlineLevel="2">
      <c r="A481" s="372">
        <v>45870</v>
      </c>
      <c r="B481" s="153" t="s">
        <v>377</v>
      </c>
      <c r="C481" s="360">
        <v>883022411847</v>
      </c>
      <c r="D481" s="153" t="s">
        <v>339</v>
      </c>
      <c r="E481" s="153">
        <v>57.4</v>
      </c>
      <c r="F481" s="153"/>
      <c r="G481" s="339"/>
      <c r="H481" s="339">
        <v>15.067615926470035</v>
      </c>
      <c r="I481" s="339">
        <v>358.83240730241522</v>
      </c>
      <c r="J481" s="339"/>
      <c r="K481" s="339"/>
      <c r="L481" s="339"/>
      <c r="M481" s="340">
        <v>373.90002322888523</v>
      </c>
    </row>
    <row r="482" spans="1:13" hidden="1" outlineLevel="2">
      <c r="A482" s="372">
        <v>45870</v>
      </c>
      <c r="B482" s="153" t="s">
        <v>376</v>
      </c>
      <c r="C482" s="360">
        <v>451257544867</v>
      </c>
      <c r="D482" s="153" t="s">
        <v>339</v>
      </c>
      <c r="E482" s="153">
        <v>61.9</v>
      </c>
      <c r="F482" s="153"/>
      <c r="G482" s="339"/>
      <c r="H482" s="339">
        <v>15.067615926470035</v>
      </c>
      <c r="I482" s="339">
        <v>182.39645462448502</v>
      </c>
      <c r="J482" s="339"/>
      <c r="K482" s="339"/>
      <c r="L482" s="339"/>
      <c r="M482" s="340">
        <v>197.46407055095506</v>
      </c>
    </row>
    <row r="483" spans="1:13" hidden="1" outlineLevel="2">
      <c r="A483" s="372">
        <v>45870</v>
      </c>
      <c r="B483" s="153" t="s">
        <v>378</v>
      </c>
      <c r="C483" s="360">
        <v>409298794749</v>
      </c>
      <c r="D483" s="153" t="s">
        <v>339</v>
      </c>
      <c r="E483" s="153">
        <v>64</v>
      </c>
      <c r="F483" s="153"/>
      <c r="G483" s="339"/>
      <c r="H483" s="339">
        <v>15.067615926470035</v>
      </c>
      <c r="I483" s="339">
        <v>222.0635370601353</v>
      </c>
      <c r="J483" s="339"/>
      <c r="K483" s="339"/>
      <c r="L483" s="339"/>
      <c r="M483" s="340">
        <v>237.13115298660534</v>
      </c>
    </row>
    <row r="484" spans="1:13" hidden="1" outlineLevel="2">
      <c r="A484" s="372">
        <v>45870</v>
      </c>
      <c r="B484" s="153" t="s">
        <v>377</v>
      </c>
      <c r="C484" s="360">
        <v>883167687775</v>
      </c>
      <c r="D484" s="153" t="s">
        <v>339</v>
      </c>
      <c r="E484" s="153">
        <v>127.6</v>
      </c>
      <c r="F484" s="153"/>
      <c r="G484" s="339"/>
      <c r="H484" s="339">
        <v>15.067615926470035</v>
      </c>
      <c r="I484" s="339">
        <v>328.53029444003477</v>
      </c>
      <c r="J484" s="339"/>
      <c r="K484" s="339"/>
      <c r="L484" s="339"/>
      <c r="M484" s="340">
        <v>343.59791036650478</v>
      </c>
    </row>
    <row r="485" spans="1:13" hidden="1" outlineLevel="2">
      <c r="A485" s="372">
        <v>45870</v>
      </c>
      <c r="B485" s="153" t="s">
        <v>379</v>
      </c>
      <c r="C485" s="360">
        <v>883201317324</v>
      </c>
      <c r="D485" s="153" t="s">
        <v>339</v>
      </c>
      <c r="E485" s="153">
        <v>97.4</v>
      </c>
      <c r="F485" s="153"/>
      <c r="G485" s="339"/>
      <c r="H485" s="339">
        <v>15.067615926470035</v>
      </c>
      <c r="I485" s="339">
        <v>253.35555807536758</v>
      </c>
      <c r="J485" s="339"/>
      <c r="K485" s="339"/>
      <c r="L485" s="339"/>
      <c r="M485" s="340">
        <v>268.42317400183759</v>
      </c>
    </row>
    <row r="486" spans="1:13" hidden="1" outlineLevel="2">
      <c r="A486" s="372">
        <v>45870</v>
      </c>
      <c r="B486" s="153" t="s">
        <v>378</v>
      </c>
      <c r="C486" s="360">
        <v>409298795425</v>
      </c>
      <c r="D486" s="153" t="s">
        <v>339</v>
      </c>
      <c r="E486" s="153">
        <v>81.3</v>
      </c>
      <c r="F486" s="153"/>
      <c r="G486" s="339"/>
      <c r="H486" s="339">
        <v>15.067615926470035</v>
      </c>
      <c r="I486" s="339">
        <v>210.54261632082248</v>
      </c>
      <c r="J486" s="339"/>
      <c r="K486" s="339"/>
      <c r="L486" s="339"/>
      <c r="M486" s="340">
        <v>225.61023224729252</v>
      </c>
    </row>
    <row r="487" spans="1:13" hidden="1" outlineLevel="2">
      <c r="A487" s="372">
        <v>45870</v>
      </c>
      <c r="B487" s="153" t="s">
        <v>335</v>
      </c>
      <c r="C487" s="360">
        <v>453074978535</v>
      </c>
      <c r="D487" s="153" t="s">
        <v>339</v>
      </c>
      <c r="E487" s="153">
        <v>15.8</v>
      </c>
      <c r="F487" s="153"/>
      <c r="G487" s="339">
        <v>37.797180330347359</v>
      </c>
      <c r="H487" s="339">
        <v>0</v>
      </c>
      <c r="I487" s="339">
        <v>53.34852779982613</v>
      </c>
      <c r="J487" s="339"/>
      <c r="K487" s="339"/>
      <c r="L487" s="339"/>
      <c r="M487" s="340">
        <v>91.145708130173489</v>
      </c>
    </row>
    <row r="488" spans="1:13" outlineLevel="1" collapsed="1">
      <c r="A488" s="373" t="s">
        <v>889</v>
      </c>
      <c r="B488" s="153"/>
      <c r="C488" s="360"/>
      <c r="D488" s="153"/>
      <c r="E488" s="153">
        <f t="shared" ref="E488:M488" si="20">SUBTOTAL(9,E444:E487)</f>
        <v>18747.210000000003</v>
      </c>
      <c r="F488" s="153">
        <f t="shared" si="20"/>
        <v>80.518000000000001</v>
      </c>
      <c r="G488" s="339">
        <f t="shared" si="20"/>
        <v>687.71625767353987</v>
      </c>
      <c r="H488" s="339">
        <f t="shared" si="20"/>
        <v>686.5070648284169</v>
      </c>
      <c r="I488" s="339">
        <f t="shared" si="20"/>
        <v>16422.932149024931</v>
      </c>
      <c r="J488" s="339">
        <f t="shared" si="20"/>
        <v>0</v>
      </c>
      <c r="K488" s="339">
        <f t="shared" si="20"/>
        <v>2011.4976833540511</v>
      </c>
      <c r="L488" s="339">
        <f t="shared" si="20"/>
        <v>0</v>
      </c>
      <c r="M488" s="340">
        <f t="shared" si="20"/>
        <v>19808.653154880947</v>
      </c>
    </row>
    <row r="489" spans="1:13" hidden="1" outlineLevel="2">
      <c r="A489" s="137">
        <v>45901</v>
      </c>
      <c r="B489" s="1" t="s">
        <v>295</v>
      </c>
      <c r="C489" s="346" t="s">
        <v>473</v>
      </c>
      <c r="D489" s="1" t="s">
        <v>61</v>
      </c>
      <c r="E489" s="1">
        <v>257.39999999999998</v>
      </c>
      <c r="F489" s="1">
        <v>2.2000000000000002</v>
      </c>
      <c r="G489" s="59">
        <v>58.781144525768894</v>
      </c>
      <c r="H489" s="59">
        <v>15.169327619553263</v>
      </c>
      <c r="I489" s="59">
        <v>262.60419431908679</v>
      </c>
      <c r="J489" s="59"/>
      <c r="K489" s="59">
        <v>66.043460123630027</v>
      </c>
      <c r="L489" s="59"/>
      <c r="M489" s="59">
        <v>402.59812658803895</v>
      </c>
    </row>
    <row r="490" spans="1:13" hidden="1" outlineLevel="2">
      <c r="A490" s="137">
        <v>45901</v>
      </c>
      <c r="B490" s="1" t="s">
        <v>485</v>
      </c>
      <c r="C490" s="346" t="s">
        <v>474</v>
      </c>
      <c r="D490" s="1" t="s">
        <v>61</v>
      </c>
      <c r="E490" s="1">
        <v>1335</v>
      </c>
      <c r="F490" s="1" t="s">
        <v>51</v>
      </c>
      <c r="G490" s="59">
        <v>147.9009442906443</v>
      </c>
      <c r="H490" s="59">
        <v>24.650157381774054</v>
      </c>
      <c r="I490" s="59">
        <v>532.03003526868667</v>
      </c>
      <c r="J490" s="59"/>
      <c r="K490" s="59">
        <v>97.260267738632479</v>
      </c>
      <c r="L490" s="59"/>
      <c r="M490" s="59">
        <v>801.84140467973748</v>
      </c>
    </row>
    <row r="491" spans="1:13" hidden="1" outlineLevel="2">
      <c r="A491" s="137">
        <v>45901</v>
      </c>
      <c r="B491" s="1" t="s">
        <v>486</v>
      </c>
      <c r="C491" s="346" t="s">
        <v>475</v>
      </c>
      <c r="D491" s="1" t="s">
        <v>61</v>
      </c>
      <c r="E491" s="1">
        <v>238.5</v>
      </c>
      <c r="F491" s="1">
        <v>2.2999999999999998</v>
      </c>
      <c r="G491" s="59">
        <v>37.923319048883158</v>
      </c>
      <c r="H491" s="59">
        <v>15.169327619553263</v>
      </c>
      <c r="I491" s="59">
        <v>267.32056581592019</v>
      </c>
      <c r="J491" s="59"/>
      <c r="K491" s="59">
        <v>61.435776859190717</v>
      </c>
      <c r="L491" s="59"/>
      <c r="M491" s="59">
        <v>381.84898934354732</v>
      </c>
    </row>
    <row r="492" spans="1:13" hidden="1" outlineLevel="2">
      <c r="A492" s="137">
        <v>45901</v>
      </c>
      <c r="B492" s="1" t="s">
        <v>291</v>
      </c>
      <c r="C492" s="346" t="s">
        <v>476</v>
      </c>
      <c r="D492" s="1" t="s">
        <v>61</v>
      </c>
      <c r="E492" s="1">
        <v>530.79999999999995</v>
      </c>
      <c r="F492" s="1">
        <v>4.67</v>
      </c>
      <c r="G492" s="59">
        <v>58.781144525768894</v>
      </c>
      <c r="H492" s="59">
        <v>15.169327619553263</v>
      </c>
      <c r="I492" s="59">
        <v>161.04448784557624</v>
      </c>
      <c r="J492" s="59"/>
      <c r="K492" s="59">
        <v>104.58417080662899</v>
      </c>
      <c r="L492" s="59"/>
      <c r="M492" s="59">
        <v>339.5791307975274</v>
      </c>
    </row>
    <row r="493" spans="1:13" hidden="1" outlineLevel="2">
      <c r="A493" s="137">
        <v>45901</v>
      </c>
      <c r="B493" s="1" t="s">
        <v>487</v>
      </c>
      <c r="C493" s="346" t="s">
        <v>477</v>
      </c>
      <c r="D493" s="1" t="s">
        <v>61</v>
      </c>
      <c r="E493" s="1">
        <v>1719.5</v>
      </c>
      <c r="F493" s="1">
        <v>10.23</v>
      </c>
      <c r="G493" s="59">
        <v>132.73161667109105</v>
      </c>
      <c r="H493" s="59">
        <v>15.169327619553263</v>
      </c>
      <c r="I493" s="59">
        <v>914.81400887405675</v>
      </c>
      <c r="J493" s="59"/>
      <c r="K493" s="59">
        <v>206.54601994766583</v>
      </c>
      <c r="L493" s="59"/>
      <c r="M493" s="59">
        <v>1269.2609731123669</v>
      </c>
    </row>
    <row r="494" spans="1:13" hidden="1" outlineLevel="2">
      <c r="A494" s="137">
        <v>45901</v>
      </c>
      <c r="B494" s="1" t="s">
        <v>486</v>
      </c>
      <c r="C494" s="346" t="s">
        <v>478</v>
      </c>
      <c r="D494" s="1" t="s">
        <v>61</v>
      </c>
      <c r="E494" s="1">
        <v>785.5</v>
      </c>
      <c r="F494" s="1">
        <v>7</v>
      </c>
      <c r="G494" s="59">
        <v>0</v>
      </c>
      <c r="H494" s="59">
        <v>15.169327619553263</v>
      </c>
      <c r="I494" s="59">
        <v>475.43953126777654</v>
      </c>
      <c r="J494" s="59"/>
      <c r="K494" s="59">
        <v>144.82460464939891</v>
      </c>
      <c r="L494" s="59"/>
      <c r="M494" s="59">
        <v>635.43346353672871</v>
      </c>
    </row>
    <row r="495" spans="1:13" hidden="1" outlineLevel="2">
      <c r="A495" s="137">
        <v>45901</v>
      </c>
      <c r="B495" s="1" t="s">
        <v>488</v>
      </c>
      <c r="C495" s="346" t="s">
        <v>479</v>
      </c>
      <c r="D495" s="1" t="s">
        <v>61</v>
      </c>
      <c r="E495" s="1">
        <v>513.95000000000005</v>
      </c>
      <c r="F495" s="1">
        <v>5.91</v>
      </c>
      <c r="G495" s="59">
        <v>58.781144525768894</v>
      </c>
      <c r="H495" s="59">
        <v>15.169327619553263</v>
      </c>
      <c r="I495" s="59">
        <v>628.38220637870222</v>
      </c>
      <c r="J495" s="59"/>
      <c r="K495" s="59">
        <v>125.32898479274907</v>
      </c>
      <c r="L495" s="59"/>
      <c r="M495" s="59">
        <v>827.66166331677346</v>
      </c>
    </row>
    <row r="496" spans="1:13" hidden="1" outlineLevel="2">
      <c r="A496" s="137">
        <v>45901</v>
      </c>
      <c r="B496" s="1" t="s">
        <v>489</v>
      </c>
      <c r="C496" s="346" t="s">
        <v>480</v>
      </c>
      <c r="D496" s="1" t="s">
        <v>61</v>
      </c>
      <c r="E496" s="1">
        <v>197.31</v>
      </c>
      <c r="F496" s="1">
        <v>1.26</v>
      </c>
      <c r="G496" s="59">
        <v>37.923319048883158</v>
      </c>
      <c r="H496" s="59">
        <v>15.169327619553263</v>
      </c>
      <c r="I496" s="59">
        <v>602.4380901816528</v>
      </c>
      <c r="J496" s="59"/>
      <c r="K496" s="59">
        <v>19.761841556373014</v>
      </c>
      <c r="L496" s="59"/>
      <c r="M496" s="59">
        <v>675.29257840646221</v>
      </c>
    </row>
    <row r="497" spans="1:13" hidden="1" outlineLevel="2">
      <c r="A497" s="137">
        <v>45901</v>
      </c>
      <c r="B497" s="1" t="s">
        <v>490</v>
      </c>
      <c r="C497" s="346" t="s">
        <v>481</v>
      </c>
      <c r="D497" s="1" t="s">
        <v>61</v>
      </c>
      <c r="E497" s="1">
        <v>271.58</v>
      </c>
      <c r="F497" s="1">
        <v>1.931</v>
      </c>
      <c r="G497" s="59">
        <v>37.923319048883158</v>
      </c>
      <c r="H497" s="59">
        <v>15.169327619553263</v>
      </c>
      <c r="I497" s="59">
        <v>518.37795896696878</v>
      </c>
      <c r="J497" s="59"/>
      <c r="K497" s="59">
        <v>35.632750578330615</v>
      </c>
      <c r="L497" s="59"/>
      <c r="M497" s="59">
        <v>607.10335621373576</v>
      </c>
    </row>
    <row r="498" spans="1:13" hidden="1" outlineLevel="2">
      <c r="A498" s="137">
        <v>45901</v>
      </c>
      <c r="B498" s="1" t="s">
        <v>298</v>
      </c>
      <c r="C498" s="346" t="s">
        <v>482</v>
      </c>
      <c r="D498" s="1" t="s">
        <v>61</v>
      </c>
      <c r="E498" s="1">
        <v>461.6</v>
      </c>
      <c r="F498" s="1">
        <v>6.14</v>
      </c>
      <c r="G498" s="59">
        <v>0</v>
      </c>
      <c r="H498" s="59">
        <v>15.169327619553263</v>
      </c>
      <c r="I498" s="59">
        <v>259.30943152944741</v>
      </c>
      <c r="J498" s="59"/>
      <c r="K498" s="59">
        <v>75.975577382532521</v>
      </c>
      <c r="L498" s="59"/>
      <c r="M498" s="59">
        <v>350.45433653153316</v>
      </c>
    </row>
    <row r="499" spans="1:13" hidden="1" outlineLevel="2">
      <c r="A499" s="137">
        <v>45901</v>
      </c>
      <c r="B499" s="1" t="s">
        <v>491</v>
      </c>
      <c r="C499" s="346" t="s">
        <v>483</v>
      </c>
      <c r="D499" s="1" t="s">
        <v>61</v>
      </c>
      <c r="E499" s="1">
        <v>220.5</v>
      </c>
      <c r="F499" s="1">
        <v>1.9500000000000002</v>
      </c>
      <c r="G499" s="59">
        <v>0</v>
      </c>
      <c r="H499" s="59">
        <v>15.169327619553263</v>
      </c>
      <c r="I499" s="59">
        <v>251.85573969433804</v>
      </c>
      <c r="J499" s="59"/>
      <c r="K499" s="59">
        <v>42.022071371686451</v>
      </c>
      <c r="L499" s="59"/>
      <c r="M499" s="59">
        <v>309.04713868557781</v>
      </c>
    </row>
    <row r="500" spans="1:13" hidden="1" outlineLevel="2">
      <c r="A500" s="137">
        <v>45901</v>
      </c>
      <c r="B500" s="1" t="s">
        <v>488</v>
      </c>
      <c r="C500" s="346" t="s">
        <v>484</v>
      </c>
      <c r="D500" s="1" t="s">
        <v>61</v>
      </c>
      <c r="E500" s="1">
        <v>636.95000000000005</v>
      </c>
      <c r="F500" s="1">
        <v>7.55</v>
      </c>
      <c r="G500" s="59">
        <v>0</v>
      </c>
      <c r="H500" s="59">
        <v>15.169327619553263</v>
      </c>
      <c r="I500" s="59">
        <v>745.32428230118705</v>
      </c>
      <c r="J500" s="59"/>
      <c r="K500" s="59">
        <v>155.95676741628426</v>
      </c>
      <c r="L500" s="59"/>
      <c r="M500" s="59">
        <v>916.45037733702463</v>
      </c>
    </row>
    <row r="501" spans="1:13" hidden="1" outlineLevel="2">
      <c r="A501" s="137">
        <v>45901</v>
      </c>
      <c r="B501" s="1" t="s">
        <v>178</v>
      </c>
      <c r="C501" s="346">
        <v>619345528391</v>
      </c>
      <c r="D501" s="1" t="s">
        <v>45</v>
      </c>
      <c r="E501" s="1">
        <v>57.8</v>
      </c>
      <c r="F501" s="1"/>
      <c r="G501" s="59"/>
      <c r="H501" s="59">
        <v>15.169327619553263</v>
      </c>
      <c r="I501" s="59">
        <v>186.99829345064279</v>
      </c>
      <c r="J501" s="59"/>
      <c r="K501" s="59"/>
      <c r="L501" s="59"/>
      <c r="M501" s="59">
        <v>202.16762107019605</v>
      </c>
    </row>
    <row r="502" spans="1:13" hidden="1" outlineLevel="2">
      <c r="A502" s="137">
        <v>45901</v>
      </c>
      <c r="B502" s="1" t="s">
        <v>335</v>
      </c>
      <c r="C502" s="346">
        <v>476225399557</v>
      </c>
      <c r="D502" s="1" t="s">
        <v>45</v>
      </c>
      <c r="E502" s="1">
        <v>251.5</v>
      </c>
      <c r="F502" s="1"/>
      <c r="G502" s="59"/>
      <c r="H502" s="59">
        <v>15.169327619553263</v>
      </c>
      <c r="I502" s="59">
        <v>672.6983958436042</v>
      </c>
      <c r="J502" s="59"/>
      <c r="K502" s="59"/>
      <c r="L502" s="59"/>
      <c r="M502" s="59">
        <v>687.86772346315752</v>
      </c>
    </row>
    <row r="503" spans="1:13" hidden="1" outlineLevel="2">
      <c r="A503" s="137">
        <v>45901</v>
      </c>
      <c r="B503" s="1" t="s">
        <v>499</v>
      </c>
      <c r="C503" s="346">
        <v>883770028511</v>
      </c>
      <c r="D503" s="1" t="s">
        <v>45</v>
      </c>
      <c r="E503" s="1">
        <v>5.8</v>
      </c>
      <c r="F503" s="1"/>
      <c r="G503" s="59"/>
      <c r="H503" s="59">
        <v>15.169327619553263</v>
      </c>
      <c r="I503" s="59">
        <v>33.690090636732528</v>
      </c>
      <c r="J503" s="59"/>
      <c r="K503" s="59"/>
      <c r="L503" s="59"/>
      <c r="M503" s="59">
        <v>48.859418256285792</v>
      </c>
    </row>
    <row r="504" spans="1:13" hidden="1" outlineLevel="2">
      <c r="A504" s="137">
        <v>45901</v>
      </c>
      <c r="B504" s="1" t="s">
        <v>500</v>
      </c>
      <c r="C504" s="346">
        <v>883887461612</v>
      </c>
      <c r="D504" s="1" t="s">
        <v>45</v>
      </c>
      <c r="E504" s="1">
        <v>7.3</v>
      </c>
      <c r="F504" s="1"/>
      <c r="G504" s="59"/>
      <c r="H504" s="59">
        <v>15.169327619553263</v>
      </c>
      <c r="I504" s="59">
        <v>49.498388258940423</v>
      </c>
      <c r="J504" s="59"/>
      <c r="K504" s="59"/>
      <c r="L504" s="59"/>
      <c r="M504" s="59">
        <v>64.667715878493681</v>
      </c>
    </row>
    <row r="505" spans="1:13" hidden="1" outlineLevel="2">
      <c r="A505" s="137">
        <v>45901</v>
      </c>
      <c r="B505" s="1" t="s">
        <v>501</v>
      </c>
      <c r="C505" s="346">
        <v>883858668822</v>
      </c>
      <c r="D505" s="1" t="s">
        <v>45</v>
      </c>
      <c r="E505" s="1">
        <v>294</v>
      </c>
      <c r="F505" s="1"/>
      <c r="G505" s="59"/>
      <c r="H505" s="59">
        <v>15.169327619553263</v>
      </c>
      <c r="I505" s="59">
        <v>1502.9213849596117</v>
      </c>
      <c r="J505" s="59"/>
      <c r="K505" s="59"/>
      <c r="L505" s="59"/>
      <c r="M505" s="59">
        <v>1518.090712579165</v>
      </c>
    </row>
    <row r="506" spans="1:13" hidden="1" outlineLevel="2">
      <c r="A506" s="137">
        <v>45901</v>
      </c>
      <c r="B506" s="1" t="s">
        <v>178</v>
      </c>
      <c r="C506" s="346">
        <v>619345529045</v>
      </c>
      <c r="D506" s="1" t="s">
        <v>45</v>
      </c>
      <c r="E506" s="1">
        <v>2.7</v>
      </c>
      <c r="F506" s="1"/>
      <c r="G506" s="59"/>
      <c r="H506" s="59">
        <v>15.169327619553263</v>
      </c>
      <c r="I506" s="59">
        <v>29.794834843945541</v>
      </c>
      <c r="J506" s="59"/>
      <c r="K506" s="59"/>
      <c r="L506" s="59"/>
      <c r="M506" s="59">
        <v>44.964162463498802</v>
      </c>
    </row>
    <row r="507" spans="1:13" hidden="1" outlineLevel="2">
      <c r="A507" s="137">
        <v>45901</v>
      </c>
      <c r="B507" s="1" t="s">
        <v>335</v>
      </c>
      <c r="C507" s="346">
        <v>477592530573</v>
      </c>
      <c r="D507" s="1" t="s">
        <v>45</v>
      </c>
      <c r="E507" s="1">
        <v>11.8</v>
      </c>
      <c r="F507" s="1"/>
      <c r="G507" s="59"/>
      <c r="H507" s="59">
        <v>15.169327619553263</v>
      </c>
      <c r="I507" s="59">
        <v>51.349539231673553</v>
      </c>
      <c r="J507" s="59"/>
      <c r="K507" s="59"/>
      <c r="L507" s="59"/>
      <c r="M507" s="59">
        <v>66.518866851226818</v>
      </c>
    </row>
    <row r="508" spans="1:13" hidden="1" outlineLevel="2">
      <c r="A508" s="137">
        <v>45901</v>
      </c>
      <c r="B508" s="1" t="s">
        <v>502</v>
      </c>
      <c r="C508" s="346">
        <v>884002522657</v>
      </c>
      <c r="D508" s="1" t="s">
        <v>45</v>
      </c>
      <c r="E508" s="1">
        <v>0.5</v>
      </c>
      <c r="F508" s="1"/>
      <c r="G508" s="59"/>
      <c r="H508" s="59">
        <v>15.169327619553263</v>
      </c>
      <c r="I508" s="59">
        <v>17.388714020251051</v>
      </c>
      <c r="J508" s="59"/>
      <c r="K508" s="59"/>
      <c r="L508" s="59"/>
      <c r="M508" s="59">
        <v>32.558041639804316</v>
      </c>
    </row>
    <row r="509" spans="1:13" hidden="1" outlineLevel="2">
      <c r="A509" s="137">
        <v>45901</v>
      </c>
      <c r="B509" s="1" t="s">
        <v>503</v>
      </c>
      <c r="C509" s="346">
        <v>884019816118</v>
      </c>
      <c r="D509" s="1" t="s">
        <v>45</v>
      </c>
      <c r="E509" s="1">
        <v>12.8</v>
      </c>
      <c r="F509" s="1"/>
      <c r="G509" s="59"/>
      <c r="H509" s="59">
        <v>15.169327619553263</v>
      </c>
      <c r="I509" s="59">
        <v>55.933861731578745</v>
      </c>
      <c r="J509" s="59"/>
      <c r="K509" s="59"/>
      <c r="L509" s="59"/>
      <c r="M509" s="59">
        <v>71.103189351132002</v>
      </c>
    </row>
    <row r="510" spans="1:13" hidden="1" outlineLevel="2">
      <c r="A510" s="137">
        <v>45901</v>
      </c>
      <c r="B510" s="1" t="s">
        <v>373</v>
      </c>
      <c r="C510" s="346">
        <v>884091733949</v>
      </c>
      <c r="D510" s="1" t="s">
        <v>45</v>
      </c>
      <c r="E510" s="1">
        <v>4.5999999999999996</v>
      </c>
      <c r="F510" s="1"/>
      <c r="G510" s="59"/>
      <c r="H510" s="59">
        <v>15.169327619553263</v>
      </c>
      <c r="I510" s="59">
        <v>41.715044180666695</v>
      </c>
      <c r="J510" s="59"/>
      <c r="K510" s="59"/>
      <c r="L510" s="59"/>
      <c r="M510" s="59">
        <v>56.884371800219959</v>
      </c>
    </row>
    <row r="511" spans="1:13" hidden="1" outlineLevel="2">
      <c r="A511" s="137">
        <v>45901</v>
      </c>
      <c r="B511" s="1" t="s">
        <v>504</v>
      </c>
      <c r="C511" s="346">
        <v>884123336924</v>
      </c>
      <c r="D511" s="1" t="s">
        <v>45</v>
      </c>
      <c r="E511" s="1">
        <v>1</v>
      </c>
      <c r="F511" s="1"/>
      <c r="G511" s="59"/>
      <c r="H511" s="59">
        <v>15.169327619553263</v>
      </c>
      <c r="I511" s="59">
        <v>20.760514240206302</v>
      </c>
      <c r="J511" s="59"/>
      <c r="K511" s="59"/>
      <c r="L511" s="59"/>
      <c r="M511" s="59">
        <v>35.929841859759563</v>
      </c>
    </row>
    <row r="512" spans="1:13" hidden="1" outlineLevel="2">
      <c r="A512" s="137">
        <v>45901</v>
      </c>
      <c r="B512" s="1" t="s">
        <v>335</v>
      </c>
      <c r="C512" s="346">
        <v>477592531710</v>
      </c>
      <c r="D512" s="1" t="s">
        <v>45</v>
      </c>
      <c r="E512" s="1">
        <v>56.8</v>
      </c>
      <c r="F512" s="1"/>
      <c r="G512" s="59"/>
      <c r="H512" s="59">
        <v>15.169327619553263</v>
      </c>
      <c r="I512" s="59">
        <v>174.73965641472941</v>
      </c>
      <c r="J512" s="59"/>
      <c r="K512" s="59"/>
      <c r="L512" s="59"/>
      <c r="M512" s="59">
        <v>189.90898403428267</v>
      </c>
    </row>
    <row r="513" spans="1:13" hidden="1" outlineLevel="2">
      <c r="A513" s="137">
        <v>45901</v>
      </c>
      <c r="B513" s="1" t="s">
        <v>178</v>
      </c>
      <c r="C513" s="346">
        <v>619345529424</v>
      </c>
      <c r="D513" s="1" t="s">
        <v>45</v>
      </c>
      <c r="E513" s="1">
        <v>32.9</v>
      </c>
      <c r="F513" s="1"/>
      <c r="G513" s="59"/>
      <c r="H513" s="59">
        <v>15.169327619553263</v>
      </c>
      <c r="I513" s="59">
        <v>114.11047062838939</v>
      </c>
      <c r="J513" s="59"/>
      <c r="K513" s="59"/>
      <c r="L513" s="59"/>
      <c r="M513" s="59">
        <v>129.27979824794267</v>
      </c>
    </row>
    <row r="514" spans="1:13" hidden="1" outlineLevel="2">
      <c r="A514" s="137">
        <v>45901</v>
      </c>
      <c r="B514" s="1" t="s">
        <v>184</v>
      </c>
      <c r="C514" s="346">
        <v>884315333613</v>
      </c>
      <c r="D514" s="1" t="s">
        <v>45</v>
      </c>
      <c r="E514" s="1">
        <v>11.8</v>
      </c>
      <c r="F514" s="1"/>
      <c r="G514" s="59"/>
      <c r="H514" s="59">
        <v>15.169327619553263</v>
      </c>
      <c r="I514" s="59">
        <v>47.295574348666996</v>
      </c>
      <c r="J514" s="59"/>
      <c r="K514" s="59"/>
      <c r="L514" s="59"/>
      <c r="M514" s="59">
        <v>62.464901968220261</v>
      </c>
    </row>
    <row r="515" spans="1:13" hidden="1" outlineLevel="2">
      <c r="A515" s="137">
        <v>45901</v>
      </c>
      <c r="B515" s="1" t="s">
        <v>178</v>
      </c>
      <c r="C515" s="346">
        <v>619345529950</v>
      </c>
      <c r="D515" s="1" t="s">
        <v>45</v>
      </c>
      <c r="E515" s="1">
        <v>1.6</v>
      </c>
      <c r="F515" s="1"/>
      <c r="G515" s="59"/>
      <c r="H515" s="59">
        <v>15.169327619553263</v>
      </c>
      <c r="I515" s="59">
        <v>26.907770488073115</v>
      </c>
      <c r="J515" s="59"/>
      <c r="K515" s="59"/>
      <c r="L515" s="59"/>
      <c r="M515" s="59">
        <v>42.077098107626377</v>
      </c>
    </row>
    <row r="516" spans="1:13" hidden="1" outlineLevel="2">
      <c r="A516" s="137">
        <v>45901</v>
      </c>
      <c r="B516" s="1" t="s">
        <v>335</v>
      </c>
      <c r="C516" s="346">
        <v>477592533296</v>
      </c>
      <c r="D516" s="1" t="s">
        <v>45</v>
      </c>
      <c r="E516" s="1">
        <v>41.1</v>
      </c>
      <c r="F516" s="1"/>
      <c r="G516" s="59"/>
      <c r="H516" s="59">
        <v>15.169327619553263</v>
      </c>
      <c r="I516" s="59">
        <v>117.27600591603778</v>
      </c>
      <c r="J516" s="59"/>
      <c r="K516" s="59"/>
      <c r="L516" s="59"/>
      <c r="M516" s="59">
        <v>132.44533353559103</v>
      </c>
    </row>
    <row r="517" spans="1:13" hidden="1" outlineLevel="2">
      <c r="A517" s="137">
        <v>45901</v>
      </c>
      <c r="B517" s="1" t="s">
        <v>505</v>
      </c>
      <c r="C517" s="346">
        <v>477592533285</v>
      </c>
      <c r="D517" s="1" t="s">
        <v>45</v>
      </c>
      <c r="E517" s="1">
        <v>27.6</v>
      </c>
      <c r="F517" s="1"/>
      <c r="G517" s="59"/>
      <c r="H517" s="59">
        <v>15.169327619553263</v>
      </c>
      <c r="I517" s="59">
        <v>88.041298494444234</v>
      </c>
      <c r="J517" s="59"/>
      <c r="K517" s="59"/>
      <c r="L517" s="59"/>
      <c r="M517" s="59">
        <v>103.21062611399749</v>
      </c>
    </row>
    <row r="518" spans="1:13" hidden="1" outlineLevel="2">
      <c r="A518" s="137">
        <v>45901</v>
      </c>
      <c r="B518" s="1" t="s">
        <v>178</v>
      </c>
      <c r="C518" s="346">
        <v>619345529940</v>
      </c>
      <c r="D518" s="1" t="s">
        <v>45</v>
      </c>
      <c r="E518" s="1">
        <v>4.5</v>
      </c>
      <c r="F518" s="1"/>
      <c r="G518" s="59"/>
      <c r="H518" s="59">
        <v>15.169327619553263</v>
      </c>
      <c r="I518" s="59">
        <v>38.20937464446888</v>
      </c>
      <c r="J518" s="59"/>
      <c r="K518" s="59"/>
      <c r="L518" s="59"/>
      <c r="M518" s="59">
        <v>53.378702264022145</v>
      </c>
    </row>
    <row r="519" spans="1:13" hidden="1" outlineLevel="2">
      <c r="A519" s="137">
        <v>45901</v>
      </c>
      <c r="B519" s="1" t="s">
        <v>376</v>
      </c>
      <c r="C519" s="346">
        <v>458171554679</v>
      </c>
      <c r="D519" s="1" t="s">
        <v>45</v>
      </c>
      <c r="E519" s="1">
        <v>85.2</v>
      </c>
      <c r="F519" s="1"/>
      <c r="G519" s="59"/>
      <c r="H519" s="59">
        <v>15.169327619553263</v>
      </c>
      <c r="I519" s="59">
        <v>229.65652849937428</v>
      </c>
      <c r="J519" s="59"/>
      <c r="K519" s="59"/>
      <c r="L519" s="59"/>
      <c r="M519" s="59">
        <v>244.82585611892753</v>
      </c>
    </row>
    <row r="520" spans="1:13" hidden="1" outlineLevel="2">
      <c r="A520" s="137">
        <v>45901</v>
      </c>
      <c r="B520" s="1" t="s">
        <v>377</v>
      </c>
      <c r="C520" s="346">
        <v>883857092228</v>
      </c>
      <c r="D520" s="1" t="s">
        <v>45</v>
      </c>
      <c r="E520" s="1">
        <v>0.9</v>
      </c>
      <c r="F520" s="1"/>
      <c r="G520" s="59"/>
      <c r="H520" s="59">
        <v>15.169327619553263</v>
      </c>
      <c r="I520" s="59">
        <v>17.811369411050855</v>
      </c>
      <c r="J520" s="59"/>
      <c r="K520" s="59"/>
      <c r="L520" s="59"/>
      <c r="M520" s="59">
        <v>32.980697030604119</v>
      </c>
    </row>
    <row r="521" spans="1:13" hidden="1" outlineLevel="2">
      <c r="A521" s="137">
        <v>45901</v>
      </c>
      <c r="B521" s="1" t="s">
        <v>376</v>
      </c>
      <c r="C521" s="346">
        <v>451257546300</v>
      </c>
      <c r="D521" s="1" t="s">
        <v>45</v>
      </c>
      <c r="E521" s="1">
        <v>16.3</v>
      </c>
      <c r="F521" s="1"/>
      <c r="G521" s="59"/>
      <c r="H521" s="59">
        <v>15.169327619553263</v>
      </c>
      <c r="I521" s="59">
        <v>55.906329401949257</v>
      </c>
      <c r="J521" s="59"/>
      <c r="K521" s="59"/>
      <c r="L521" s="59"/>
      <c r="M521" s="59">
        <v>71.075657021502522</v>
      </c>
    </row>
    <row r="522" spans="1:13" hidden="1" outlineLevel="2">
      <c r="A522" s="137">
        <v>45901</v>
      </c>
      <c r="B522" s="1" t="s">
        <v>377</v>
      </c>
      <c r="C522" s="346">
        <v>884056300109</v>
      </c>
      <c r="D522" s="1" t="s">
        <v>45</v>
      </c>
      <c r="E522" s="1">
        <v>31.7</v>
      </c>
      <c r="F522" s="1"/>
      <c r="G522" s="59"/>
      <c r="H522" s="59">
        <v>15.169327619553263</v>
      </c>
      <c r="I522" s="59">
        <v>112.45382835905798</v>
      </c>
      <c r="J522" s="59"/>
      <c r="K522" s="59"/>
      <c r="L522" s="59"/>
      <c r="M522" s="59">
        <v>127.62315597861124</v>
      </c>
    </row>
    <row r="523" spans="1:13" hidden="1" outlineLevel="2">
      <c r="A523" s="137">
        <v>45901</v>
      </c>
      <c r="B523" s="1" t="s">
        <v>376</v>
      </c>
      <c r="C523" s="346">
        <v>458171556627</v>
      </c>
      <c r="D523" s="1" t="s">
        <v>45</v>
      </c>
      <c r="E523" s="1">
        <v>39.1</v>
      </c>
      <c r="F523" s="1"/>
      <c r="G523" s="59"/>
      <c r="H523" s="59">
        <v>15.169327619553263</v>
      </c>
      <c r="I523" s="59">
        <v>117.05047593765407</v>
      </c>
      <c r="J523" s="59"/>
      <c r="K523" s="59"/>
      <c r="L523" s="59"/>
      <c r="M523" s="59">
        <v>132.21980355720734</v>
      </c>
    </row>
    <row r="524" spans="1:13" hidden="1" outlineLevel="2">
      <c r="A524" s="137">
        <v>45901</v>
      </c>
      <c r="B524" s="1" t="s">
        <v>377</v>
      </c>
      <c r="C524" s="346">
        <v>884362443690</v>
      </c>
      <c r="D524" s="1" t="s">
        <v>45</v>
      </c>
      <c r="E524" s="1">
        <v>1.9</v>
      </c>
      <c r="F524" s="1"/>
      <c r="G524" s="59"/>
      <c r="H524" s="59">
        <v>15.169327619553263</v>
      </c>
      <c r="I524" s="59">
        <v>21.655807956312337</v>
      </c>
      <c r="J524" s="59"/>
      <c r="K524" s="59"/>
      <c r="L524" s="59"/>
      <c r="M524" s="59">
        <v>36.825135575865602</v>
      </c>
    </row>
    <row r="525" spans="1:13" hidden="1" outlineLevel="2">
      <c r="A525" s="137">
        <v>45901</v>
      </c>
      <c r="B525" s="1" t="s">
        <v>179</v>
      </c>
      <c r="C525" s="346" t="s">
        <v>509</v>
      </c>
      <c r="D525" s="1" t="s">
        <v>103</v>
      </c>
      <c r="E525" s="1">
        <v>1953</v>
      </c>
      <c r="F525" s="1"/>
      <c r="G525" s="59">
        <v>45.507982858659787</v>
      </c>
      <c r="H525" s="59">
        <v>20.478592286396907</v>
      </c>
      <c r="I525" s="59">
        <v>3389.0385300921535</v>
      </c>
      <c r="J525" s="59"/>
      <c r="K525" s="59">
        <v>122.02294360802458</v>
      </c>
      <c r="L525" s="59"/>
      <c r="M525" s="59">
        <v>3577.0480488452345</v>
      </c>
    </row>
    <row r="526" spans="1:13" hidden="1" outlineLevel="2">
      <c r="A526" s="137">
        <v>45901</v>
      </c>
      <c r="B526" s="1" t="s">
        <v>182</v>
      </c>
      <c r="C526" s="346" t="s">
        <v>510</v>
      </c>
      <c r="D526" s="1" t="s">
        <v>103</v>
      </c>
      <c r="E526" s="1">
        <v>442.1</v>
      </c>
      <c r="F526" s="1">
        <v>1</v>
      </c>
      <c r="G526" s="59">
        <v>43.61181690621563</v>
      </c>
      <c r="H526" s="59">
        <v>20.478592286396907</v>
      </c>
      <c r="I526" s="59">
        <v>507.50881717167886</v>
      </c>
      <c r="J526" s="59"/>
      <c r="K526" s="59">
        <v>36.247108346922523</v>
      </c>
      <c r="L526" s="59"/>
      <c r="M526" s="59">
        <v>607.84633471121401</v>
      </c>
    </row>
    <row r="527" spans="1:13" hidden="1" outlineLevel="2">
      <c r="A527" s="137">
        <v>45901</v>
      </c>
      <c r="B527" s="1" t="s">
        <v>506</v>
      </c>
      <c r="C527" s="346" t="s">
        <v>511</v>
      </c>
      <c r="D527" s="1" t="s">
        <v>103</v>
      </c>
      <c r="E527" s="1">
        <v>2869</v>
      </c>
      <c r="F527" s="1">
        <v>14.23</v>
      </c>
      <c r="G527" s="59">
        <v>45.507982858659787</v>
      </c>
      <c r="H527" s="59">
        <v>20.478592286396907</v>
      </c>
      <c r="I527" s="59">
        <v>2645.8293829875993</v>
      </c>
      <c r="J527" s="59"/>
      <c r="K527" s="59">
        <v>3132.2915165535287</v>
      </c>
      <c r="L527" s="59"/>
      <c r="M527" s="59">
        <v>5844.107474686185</v>
      </c>
    </row>
    <row r="528" spans="1:13" hidden="1" outlineLevel="2">
      <c r="A528" s="137">
        <v>45901</v>
      </c>
      <c r="B528" s="1" t="s">
        <v>181</v>
      </c>
      <c r="C528" s="346" t="s">
        <v>512</v>
      </c>
      <c r="D528" s="1" t="s">
        <v>103</v>
      </c>
      <c r="E528" s="1">
        <v>1550</v>
      </c>
      <c r="F528" s="1">
        <v>8.7569999999999997</v>
      </c>
      <c r="G528" s="59">
        <v>54.98881262088058</v>
      </c>
      <c r="H528" s="59">
        <v>20.478592286396907</v>
      </c>
      <c r="I528" s="59">
        <v>235.9749326861087</v>
      </c>
      <c r="J528" s="59"/>
      <c r="K528" s="59">
        <v>199.80810800561264</v>
      </c>
      <c r="L528" s="59"/>
      <c r="M528" s="59">
        <v>511.25044559899879</v>
      </c>
    </row>
    <row r="529" spans="1:13" hidden="1" outlineLevel="2">
      <c r="A529" s="137">
        <v>45901</v>
      </c>
      <c r="B529" s="1" t="s">
        <v>180</v>
      </c>
      <c r="C529" s="346" t="s">
        <v>513</v>
      </c>
      <c r="D529" s="1" t="s">
        <v>103</v>
      </c>
      <c r="E529" s="1">
        <v>1550</v>
      </c>
      <c r="F529" s="1">
        <v>8.7569999999999997</v>
      </c>
      <c r="G529" s="59">
        <v>144.108612385756</v>
      </c>
      <c r="H529" s="59">
        <v>20.478592286396907</v>
      </c>
      <c r="I529" s="59">
        <v>1149.9067086351397</v>
      </c>
      <c r="J529" s="59"/>
      <c r="K529" s="59">
        <v>94.095339224088889</v>
      </c>
      <c r="L529" s="59"/>
      <c r="M529" s="59">
        <v>1408.5892525313816</v>
      </c>
    </row>
    <row r="530" spans="1:13" hidden="1" outlineLevel="2">
      <c r="A530" s="137">
        <v>45901</v>
      </c>
      <c r="B530" s="1" t="s">
        <v>507</v>
      </c>
      <c r="C530" s="346" t="s">
        <v>514</v>
      </c>
      <c r="D530" s="1" t="s">
        <v>103</v>
      </c>
      <c r="E530" s="1">
        <v>2769.7</v>
      </c>
      <c r="F530" s="1">
        <v>65</v>
      </c>
      <c r="G530" s="59">
        <v>163.07027191019759</v>
      </c>
      <c r="H530" s="59">
        <v>20.478592286396907</v>
      </c>
      <c r="I530" s="59">
        <v>1722.3493496150784</v>
      </c>
      <c r="J530" s="59"/>
      <c r="K530" s="59">
        <v>137.63130949220675</v>
      </c>
      <c r="L530" s="59"/>
      <c r="M530" s="59">
        <v>2043.5295233038796</v>
      </c>
    </row>
    <row r="531" spans="1:13" hidden="1" outlineLevel="2">
      <c r="A531" s="137">
        <v>45901</v>
      </c>
      <c r="B531" s="1" t="s">
        <v>182</v>
      </c>
      <c r="C531" s="346" t="s">
        <v>515</v>
      </c>
      <c r="D531" s="1" t="s">
        <v>103</v>
      </c>
      <c r="E531" s="1">
        <v>2874.6</v>
      </c>
      <c r="F531" s="1">
        <v>13.18</v>
      </c>
      <c r="G531" s="59">
        <v>144.108612385756</v>
      </c>
      <c r="H531" s="59">
        <v>20.478592286396907</v>
      </c>
      <c r="I531" s="59">
        <v>1145.1446774621716</v>
      </c>
      <c r="J531" s="59"/>
      <c r="K531" s="59">
        <v>94.095339224088889</v>
      </c>
      <c r="L531" s="59"/>
      <c r="M531" s="59">
        <v>1403.8272213584132</v>
      </c>
    </row>
    <row r="532" spans="1:13" hidden="1" outlineLevel="2">
      <c r="A532" s="137">
        <v>45901</v>
      </c>
      <c r="B532" s="1" t="s">
        <v>508</v>
      </c>
      <c r="C532" s="346" t="s">
        <v>516</v>
      </c>
      <c r="D532" s="1" t="s">
        <v>103</v>
      </c>
      <c r="E532" s="1">
        <v>163</v>
      </c>
      <c r="F532" s="1">
        <v>0.45</v>
      </c>
      <c r="G532" s="59">
        <v>18.961659524441579</v>
      </c>
      <c r="H532" s="59">
        <v>20.478592286396907</v>
      </c>
      <c r="I532" s="59">
        <v>568.0295233038795</v>
      </c>
      <c r="J532" s="59"/>
      <c r="K532" s="59">
        <v>25.156206151162351</v>
      </c>
      <c r="L532" s="59"/>
      <c r="M532" s="59">
        <v>632.62598126588034</v>
      </c>
    </row>
    <row r="533" spans="1:13" hidden="1" outlineLevel="2">
      <c r="A533" s="137">
        <v>45901</v>
      </c>
      <c r="B533" s="1" t="s">
        <v>184</v>
      </c>
      <c r="C533" s="346">
        <v>4720744112</v>
      </c>
      <c r="D533" s="1" t="s">
        <v>85</v>
      </c>
      <c r="E533" s="1">
        <v>349</v>
      </c>
      <c r="F533" s="1"/>
      <c r="G533" s="59"/>
      <c r="H533" s="59">
        <v>15.169327619553263</v>
      </c>
      <c r="I533" s="59">
        <v>736.9</v>
      </c>
      <c r="J533" s="59"/>
      <c r="K533" s="59"/>
      <c r="L533" s="59"/>
      <c r="M533" s="59">
        <v>752.06932761955329</v>
      </c>
    </row>
    <row r="534" spans="1:13" hidden="1" outlineLevel="2">
      <c r="A534" s="137">
        <v>45901</v>
      </c>
      <c r="B534" s="1" t="s">
        <v>376</v>
      </c>
      <c r="C534" s="346">
        <v>4711879554</v>
      </c>
      <c r="D534" s="1" t="s">
        <v>85</v>
      </c>
      <c r="E534" s="1">
        <v>216</v>
      </c>
      <c r="F534" s="1"/>
      <c r="G534" s="59"/>
      <c r="H534" s="59">
        <v>15.169327619553263</v>
      </c>
      <c r="I534" s="59">
        <v>545.51536008191442</v>
      </c>
      <c r="J534" s="59"/>
      <c r="K534" s="59"/>
      <c r="L534" s="59"/>
      <c r="M534" s="59">
        <v>560.68468770146774</v>
      </c>
    </row>
    <row r="535" spans="1:13" hidden="1" outlineLevel="2">
      <c r="A535" s="137">
        <v>45901</v>
      </c>
      <c r="B535" s="1" t="s">
        <v>184</v>
      </c>
      <c r="C535" s="346">
        <v>4720745727</v>
      </c>
      <c r="D535" s="1" t="s">
        <v>85</v>
      </c>
      <c r="E535" s="1">
        <v>250</v>
      </c>
      <c r="F535" s="1"/>
      <c r="G535" s="59"/>
      <c r="H535" s="59">
        <v>15.169327619553263</v>
      </c>
      <c r="I535" s="59">
        <v>581.08352724790473</v>
      </c>
      <c r="J535" s="59"/>
      <c r="K535" s="59"/>
      <c r="L535" s="59"/>
      <c r="M535" s="59">
        <v>596.25285486745804</v>
      </c>
    </row>
    <row r="536" spans="1:13" hidden="1" outlineLevel="2">
      <c r="A536" s="137">
        <v>45901</v>
      </c>
      <c r="B536" s="1" t="s">
        <v>372</v>
      </c>
      <c r="C536" s="346">
        <v>4711882033</v>
      </c>
      <c r="D536" s="1" t="s">
        <v>85</v>
      </c>
      <c r="E536" s="1">
        <v>855</v>
      </c>
      <c r="F536" s="1"/>
      <c r="G536" s="59"/>
      <c r="H536" s="59">
        <v>15.169327619553263</v>
      </c>
      <c r="I536" s="59">
        <v>1867.2477731427052</v>
      </c>
      <c r="J536" s="59"/>
      <c r="K536" s="59"/>
      <c r="L536" s="59"/>
      <c r="M536" s="59">
        <v>1882.4171007622585</v>
      </c>
    </row>
    <row r="537" spans="1:13" hidden="1" outlineLevel="2">
      <c r="A537" s="137">
        <v>45901</v>
      </c>
      <c r="B537" s="1" t="s">
        <v>184</v>
      </c>
      <c r="C537" s="346">
        <v>4720746976</v>
      </c>
      <c r="D537" s="1" t="s">
        <v>85</v>
      </c>
      <c r="E537" s="1">
        <v>258</v>
      </c>
      <c r="F537" s="1"/>
      <c r="G537" s="59"/>
      <c r="H537" s="59">
        <v>15.169327619553263</v>
      </c>
      <c r="I537" s="59">
        <v>593.03843642155562</v>
      </c>
      <c r="J537" s="59"/>
      <c r="K537" s="59"/>
      <c r="L537" s="59"/>
      <c r="M537" s="59">
        <v>608.20776404110893</v>
      </c>
    </row>
    <row r="538" spans="1:13" hidden="1" outlineLevel="2">
      <c r="A538" s="137">
        <v>45901</v>
      </c>
      <c r="B538" s="1" t="s">
        <v>376</v>
      </c>
      <c r="C538" s="346">
        <v>4711883897</v>
      </c>
      <c r="D538" s="1" t="s">
        <v>85</v>
      </c>
      <c r="E538" s="1">
        <v>161</v>
      </c>
      <c r="F538" s="1"/>
      <c r="G538" s="59"/>
      <c r="H538" s="59">
        <v>15.169327619553263</v>
      </c>
      <c r="I538" s="59">
        <v>432.04078766733664</v>
      </c>
      <c r="J538" s="59"/>
      <c r="K538" s="59"/>
      <c r="L538" s="59"/>
      <c r="M538" s="59">
        <v>447.2101152868899</v>
      </c>
    </row>
    <row r="539" spans="1:13" hidden="1" outlineLevel="2">
      <c r="A539" s="137">
        <v>45901</v>
      </c>
      <c r="B539" s="1" t="s">
        <v>372</v>
      </c>
      <c r="C539" s="346">
        <v>472187327021</v>
      </c>
      <c r="D539" s="1" t="s">
        <v>45</v>
      </c>
      <c r="E539" s="1">
        <v>2.4</v>
      </c>
      <c r="F539" s="1"/>
      <c r="G539" s="59"/>
      <c r="H539" s="59">
        <v>15.169327619553263</v>
      </c>
      <c r="I539" s="59">
        <v>23.390610186203496</v>
      </c>
      <c r="J539" s="59"/>
      <c r="K539" s="59"/>
      <c r="L539" s="59"/>
      <c r="M539" s="59">
        <v>38.559937805756761</v>
      </c>
    </row>
    <row r="540" spans="1:13" hidden="1" outlineLevel="2">
      <c r="A540" s="137">
        <v>45901</v>
      </c>
      <c r="B540" s="1" t="s">
        <v>372</v>
      </c>
      <c r="C540" s="346">
        <v>472187328061</v>
      </c>
      <c r="D540" s="1" t="s">
        <v>45</v>
      </c>
      <c r="E540" s="1">
        <v>38.799999999999997</v>
      </c>
      <c r="F540" s="1"/>
      <c r="G540" s="59"/>
      <c r="H540" s="59">
        <v>15.169327619553263</v>
      </c>
      <c r="I540" s="59">
        <v>117.05047593765407</v>
      </c>
      <c r="J540" s="59"/>
      <c r="K540" s="59"/>
      <c r="L540" s="59"/>
      <c r="M540" s="59">
        <v>132.21980355720734</v>
      </c>
    </row>
    <row r="541" spans="1:13" hidden="1" outlineLevel="2">
      <c r="A541" s="137">
        <v>45901</v>
      </c>
      <c r="B541" s="1" t="s">
        <v>372</v>
      </c>
      <c r="C541" s="346">
        <v>472187328760</v>
      </c>
      <c r="D541" s="1" t="s">
        <v>45</v>
      </c>
      <c r="E541" s="1">
        <v>40.5</v>
      </c>
      <c r="F541" s="1"/>
      <c r="G541" s="59"/>
      <c r="H541" s="59">
        <v>15.169327619553263</v>
      </c>
      <c r="I541" s="59">
        <v>117.05047593765407</v>
      </c>
      <c r="J541" s="59"/>
      <c r="K541" s="59"/>
      <c r="L541" s="59"/>
      <c r="M541" s="59">
        <v>132.21980355720734</v>
      </c>
    </row>
    <row r="542" spans="1:13" hidden="1" outlineLevel="2">
      <c r="A542" s="137">
        <v>45901</v>
      </c>
      <c r="B542" s="1" t="s">
        <v>372</v>
      </c>
      <c r="C542" s="346">
        <v>472187329447</v>
      </c>
      <c r="D542" s="1" t="s">
        <v>45</v>
      </c>
      <c r="E542" s="1">
        <v>89.8</v>
      </c>
      <c r="F542" s="1"/>
      <c r="G542" s="59"/>
      <c r="H542" s="59">
        <v>15.169327619553263</v>
      </c>
      <c r="I542" s="59">
        <v>240.80226781447914</v>
      </c>
      <c r="J542" s="59"/>
      <c r="K542" s="59"/>
      <c r="L542" s="59"/>
      <c r="M542" s="59">
        <v>255.97159543403239</v>
      </c>
    </row>
    <row r="543" spans="1:13" hidden="1" outlineLevel="2">
      <c r="A543" s="137">
        <v>45901</v>
      </c>
      <c r="B543" s="1" t="s">
        <v>372</v>
      </c>
      <c r="C543" s="346">
        <v>472187329826</v>
      </c>
      <c r="D543" s="1" t="s">
        <v>45</v>
      </c>
      <c r="E543" s="1">
        <v>63.2</v>
      </c>
      <c r="F543" s="1"/>
      <c r="G543" s="59"/>
      <c r="H543" s="59">
        <v>15.169327619553263</v>
      </c>
      <c r="I543" s="59">
        <v>196.57692745269065</v>
      </c>
      <c r="J543" s="59"/>
      <c r="K543" s="59"/>
      <c r="L543" s="59"/>
      <c r="M543" s="59">
        <v>211.74625507224391</v>
      </c>
    </row>
    <row r="544" spans="1:13" hidden="1" outlineLevel="2">
      <c r="A544" s="137">
        <v>45901</v>
      </c>
      <c r="B544" s="1" t="s">
        <v>372</v>
      </c>
      <c r="C544" s="346">
        <v>472187330175</v>
      </c>
      <c r="D544" s="1" t="s">
        <v>45</v>
      </c>
      <c r="E544" s="1">
        <v>63.2</v>
      </c>
      <c r="F544" s="1"/>
      <c r="G544" s="59"/>
      <c r="H544" s="59">
        <v>15.169327619553263</v>
      </c>
      <c r="I544" s="59">
        <v>196.57692745269065</v>
      </c>
      <c r="J544" s="59"/>
      <c r="K544" s="59"/>
      <c r="L544" s="59"/>
      <c r="M544" s="59">
        <v>211.74625507224391</v>
      </c>
    </row>
    <row r="545" spans="1:13" outlineLevel="1" collapsed="1">
      <c r="A545" s="138" t="s">
        <v>890</v>
      </c>
      <c r="B545" s="1"/>
      <c r="C545" s="346"/>
      <c r="D545" s="1"/>
      <c r="E545" s="1">
        <f t="shared" ref="E545:M545" si="21">SUBTOTAL(9,E489:E544)</f>
        <v>24728.09</v>
      </c>
      <c r="F545" s="1">
        <f t="shared" si="21"/>
        <v>162.51499999999999</v>
      </c>
      <c r="G545" s="59">
        <f t="shared" si="21"/>
        <v>1230.6117031362587</v>
      </c>
      <c r="H545" s="59">
        <f t="shared" si="21"/>
        <v>901.43729379195292</v>
      </c>
      <c r="I545" s="59">
        <f t="shared" si="21"/>
        <v>26453.85957563806</v>
      </c>
      <c r="J545" s="59">
        <f t="shared" si="21"/>
        <v>0</v>
      </c>
      <c r="K545" s="59">
        <f t="shared" si="21"/>
        <v>4976.7201638287388</v>
      </c>
      <c r="L545" s="59">
        <f t="shared" si="21"/>
        <v>0</v>
      </c>
      <c r="M545" s="59">
        <f t="shared" si="21"/>
        <v>33562.628736394996</v>
      </c>
    </row>
    <row r="546" spans="1:13" hidden="1" outlineLevel="2">
      <c r="A546" s="137">
        <v>45931</v>
      </c>
      <c r="B546" s="1" t="s">
        <v>178</v>
      </c>
      <c r="C546" s="346">
        <v>619345530196</v>
      </c>
      <c r="D546" s="1" t="s">
        <v>45</v>
      </c>
      <c r="E546" s="1"/>
      <c r="F546" s="1"/>
      <c r="G546" s="59"/>
      <c r="H546" s="59">
        <v>15.158405335758678</v>
      </c>
      <c r="I546" s="59">
        <v>110.78600121267243</v>
      </c>
      <c r="J546" s="59"/>
      <c r="K546" s="59"/>
      <c r="L546" s="59"/>
      <c r="M546" s="59">
        <v>125.9444065484311</v>
      </c>
    </row>
    <row r="547" spans="1:13" hidden="1" outlineLevel="2">
      <c r="A547" s="137">
        <v>45931</v>
      </c>
      <c r="B547" s="1" t="s">
        <v>178</v>
      </c>
      <c r="C547" s="346">
        <v>619345530141</v>
      </c>
      <c r="D547" s="1" t="s">
        <v>45</v>
      </c>
      <c r="E547" s="1"/>
      <c r="F547" s="1"/>
      <c r="G547" s="59"/>
      <c r="H547" s="59">
        <v>15.158405335758678</v>
      </c>
      <c r="I547" s="59">
        <v>181.11668182507199</v>
      </c>
      <c r="J547" s="59"/>
      <c r="K547" s="59"/>
      <c r="L547" s="59"/>
      <c r="M547" s="59">
        <v>196.27508716083068</v>
      </c>
    </row>
    <row r="548" spans="1:13" hidden="1" outlineLevel="2">
      <c r="A548" s="137">
        <v>45931</v>
      </c>
      <c r="B548" s="1" t="s">
        <v>376</v>
      </c>
      <c r="C548" s="346">
        <v>451257548818</v>
      </c>
      <c r="D548" s="1" t="s">
        <v>45</v>
      </c>
      <c r="E548" s="1"/>
      <c r="F548" s="1"/>
      <c r="G548" s="59"/>
      <c r="H548" s="59">
        <v>15.158405335758678</v>
      </c>
      <c r="I548" s="59">
        <v>165.74238290131879</v>
      </c>
      <c r="J548" s="59"/>
      <c r="K548" s="59"/>
      <c r="L548" s="59"/>
      <c r="M548" s="59">
        <v>180.90078823707748</v>
      </c>
    </row>
    <row r="549" spans="1:13" hidden="1" outlineLevel="2">
      <c r="A549" s="137">
        <v>45931</v>
      </c>
      <c r="B549" s="1" t="s">
        <v>258</v>
      </c>
      <c r="C549" s="346">
        <v>618108347064</v>
      </c>
      <c r="D549" s="1" t="s">
        <v>45</v>
      </c>
      <c r="E549" s="1"/>
      <c r="F549" s="1"/>
      <c r="G549" s="59"/>
      <c r="H549" s="59">
        <v>15.158405335758678</v>
      </c>
      <c r="I549" s="59">
        <v>41.572987721691675</v>
      </c>
      <c r="J549" s="59"/>
      <c r="K549" s="59"/>
      <c r="L549" s="59"/>
      <c r="M549" s="59">
        <v>56.731393057450354</v>
      </c>
    </row>
    <row r="550" spans="1:13" hidden="1" outlineLevel="2">
      <c r="A550" s="137">
        <v>45931</v>
      </c>
      <c r="B550" s="1" t="s">
        <v>184</v>
      </c>
      <c r="C550" s="346">
        <v>884686634961</v>
      </c>
      <c r="D550" s="1" t="s">
        <v>45</v>
      </c>
      <c r="E550" s="1"/>
      <c r="F550" s="1"/>
      <c r="G550" s="59"/>
      <c r="H550" s="59">
        <v>15.158405335758678</v>
      </c>
      <c r="I550" s="59">
        <v>425.73355313021068</v>
      </c>
      <c r="J550" s="59"/>
      <c r="K550" s="59"/>
      <c r="L550" s="59"/>
      <c r="M550" s="59">
        <v>440.89195846596937</v>
      </c>
    </row>
    <row r="551" spans="1:13" hidden="1" outlineLevel="2">
      <c r="A551" s="137">
        <v>45931</v>
      </c>
      <c r="B551" s="1" t="s">
        <v>258</v>
      </c>
      <c r="C551" s="346">
        <v>618108347075</v>
      </c>
      <c r="D551" s="1" t="s">
        <v>45</v>
      </c>
      <c r="E551" s="1"/>
      <c r="F551" s="1"/>
      <c r="G551" s="59"/>
      <c r="H551" s="59">
        <v>15.158405335758678</v>
      </c>
      <c r="I551" s="59">
        <v>78.381158102167646</v>
      </c>
      <c r="J551" s="59"/>
      <c r="K551" s="59"/>
      <c r="L551" s="59"/>
      <c r="M551" s="59">
        <v>93.539563437926319</v>
      </c>
    </row>
    <row r="552" spans="1:13" hidden="1" outlineLevel="2">
      <c r="A552" s="137">
        <v>45931</v>
      </c>
      <c r="B552" s="1" t="s">
        <v>178</v>
      </c>
      <c r="C552" s="346">
        <v>619345531685</v>
      </c>
      <c r="D552" s="1" t="s">
        <v>45</v>
      </c>
      <c r="E552" s="1"/>
      <c r="F552" s="1"/>
      <c r="G552" s="59"/>
      <c r="H552" s="59">
        <v>15.158405335758678</v>
      </c>
      <c r="I552" s="59">
        <v>202.37547370016674</v>
      </c>
      <c r="J552" s="59"/>
      <c r="K552" s="59"/>
      <c r="L552" s="59"/>
      <c r="M552" s="59">
        <v>217.53387903592542</v>
      </c>
    </row>
    <row r="553" spans="1:13" hidden="1" outlineLevel="2">
      <c r="A553" s="137">
        <v>45931</v>
      </c>
      <c r="B553" s="1" t="s">
        <v>178</v>
      </c>
      <c r="C553" s="346">
        <v>619345531755</v>
      </c>
      <c r="D553" s="1" t="s">
        <v>45</v>
      </c>
      <c r="E553" s="1"/>
      <c r="F553" s="1"/>
      <c r="G553" s="59"/>
      <c r="H553" s="59">
        <v>15.158405335758678</v>
      </c>
      <c r="I553" s="59">
        <v>182.13794148855541</v>
      </c>
      <c r="J553" s="59"/>
      <c r="K553" s="59"/>
      <c r="L553" s="59"/>
      <c r="M553" s="59">
        <v>197.2963468243141</v>
      </c>
    </row>
    <row r="554" spans="1:13" hidden="1" outlineLevel="2">
      <c r="A554" s="137">
        <v>45931</v>
      </c>
      <c r="B554" s="1" t="s">
        <v>376</v>
      </c>
      <c r="C554" s="346">
        <v>451257550895</v>
      </c>
      <c r="D554" s="1" t="s">
        <v>45</v>
      </c>
      <c r="E554" s="1"/>
      <c r="F554" s="1"/>
      <c r="G554" s="59"/>
      <c r="H554" s="59">
        <v>15.158405335758678</v>
      </c>
      <c r="I554" s="59">
        <v>438.40836743974535</v>
      </c>
      <c r="J554" s="59"/>
      <c r="K554" s="59"/>
      <c r="L554" s="59"/>
      <c r="M554" s="59">
        <v>453.56677277550403</v>
      </c>
    </row>
    <row r="555" spans="1:13" hidden="1" outlineLevel="2">
      <c r="A555" s="137">
        <v>45931</v>
      </c>
      <c r="B555" s="1" t="s">
        <v>184</v>
      </c>
      <c r="C555" s="346">
        <v>884874527763</v>
      </c>
      <c r="D555" s="1" t="s">
        <v>45</v>
      </c>
      <c r="E555" s="1"/>
      <c r="F555" s="1"/>
      <c r="G555" s="59"/>
      <c r="H555" s="59">
        <v>15.158405335758678</v>
      </c>
      <c r="I555" s="59">
        <v>176.08519023798695</v>
      </c>
      <c r="J555" s="59"/>
      <c r="K555" s="59"/>
      <c r="L555" s="59"/>
      <c r="M555" s="59">
        <v>191.24359557374564</v>
      </c>
    </row>
    <row r="556" spans="1:13" hidden="1" outlineLevel="2">
      <c r="A556" s="137">
        <v>45931</v>
      </c>
      <c r="B556" s="1" t="s">
        <v>376</v>
      </c>
      <c r="C556" s="346">
        <v>484361636961</v>
      </c>
      <c r="D556" s="1" t="s">
        <v>45</v>
      </c>
      <c r="E556" s="1"/>
      <c r="F556" s="1"/>
      <c r="G556" s="59"/>
      <c r="H556" s="59">
        <v>15.158405335758678</v>
      </c>
      <c r="I556" s="59">
        <v>323.06116416552976</v>
      </c>
      <c r="J556" s="59"/>
      <c r="K556" s="59"/>
      <c r="L556" s="59"/>
      <c r="M556" s="59">
        <v>338.21956950128845</v>
      </c>
    </row>
    <row r="557" spans="1:13" hidden="1" outlineLevel="2">
      <c r="A557" s="137">
        <v>45931</v>
      </c>
      <c r="B557" s="1" t="s">
        <v>184</v>
      </c>
      <c r="C557" s="346">
        <v>885252655393</v>
      </c>
      <c r="D557" s="1" t="s">
        <v>45</v>
      </c>
      <c r="E557" s="1"/>
      <c r="F557" s="1"/>
      <c r="G557" s="59"/>
      <c r="H557" s="59">
        <v>15.158405335758678</v>
      </c>
      <c r="I557" s="59">
        <v>225.45744277701985</v>
      </c>
      <c r="J557" s="59"/>
      <c r="K557" s="59"/>
      <c r="L557" s="59"/>
      <c r="M557" s="59">
        <v>240.61584811277854</v>
      </c>
    </row>
    <row r="558" spans="1:13" hidden="1" outlineLevel="2">
      <c r="A558" s="137">
        <v>45931</v>
      </c>
      <c r="B558" s="1" t="s">
        <v>523</v>
      </c>
      <c r="C558" s="346">
        <v>437723138314</v>
      </c>
      <c r="D558" s="1" t="s">
        <v>45</v>
      </c>
      <c r="E558" s="1"/>
      <c r="F558" s="1"/>
      <c r="G558" s="59"/>
      <c r="H558" s="59">
        <v>15.158405335758678</v>
      </c>
      <c r="I558" s="59">
        <v>72.797332120660911</v>
      </c>
      <c r="J558" s="59"/>
      <c r="K558" s="59"/>
      <c r="L558" s="59"/>
      <c r="M558" s="59">
        <v>87.955737456419584</v>
      </c>
    </row>
    <row r="559" spans="1:13" hidden="1" outlineLevel="2">
      <c r="A559" s="137">
        <v>45931</v>
      </c>
      <c r="B559" s="1" t="s">
        <v>373</v>
      </c>
      <c r="C559" s="346">
        <v>884589787530</v>
      </c>
      <c r="D559" s="1" t="s">
        <v>45</v>
      </c>
      <c r="E559" s="1"/>
      <c r="F559" s="1"/>
      <c r="G559" s="59"/>
      <c r="H559" s="59">
        <v>15.158405335758678</v>
      </c>
      <c r="I559" s="59">
        <v>27.167917235106867</v>
      </c>
      <c r="J559" s="59"/>
      <c r="K559" s="59"/>
      <c r="L559" s="59"/>
      <c r="M559" s="59">
        <v>42.326322570865543</v>
      </c>
    </row>
    <row r="560" spans="1:13" hidden="1" outlineLevel="2">
      <c r="A560" s="137">
        <v>45931</v>
      </c>
      <c r="B560" s="1" t="s">
        <v>372</v>
      </c>
      <c r="C560" s="346">
        <v>472187331414</v>
      </c>
      <c r="D560" s="1" t="s">
        <v>45</v>
      </c>
      <c r="E560" s="1"/>
      <c r="F560" s="1"/>
      <c r="G560" s="59"/>
      <c r="H560" s="59">
        <v>15.158405335758678</v>
      </c>
      <c r="I560" s="59">
        <v>212.07582992269212</v>
      </c>
      <c r="J560" s="59"/>
      <c r="K560" s="59"/>
      <c r="L560" s="59"/>
      <c r="M560" s="59">
        <v>227.23423525845081</v>
      </c>
    </row>
    <row r="561" spans="1:13" hidden="1" outlineLevel="2">
      <c r="A561" s="137">
        <v>45931</v>
      </c>
      <c r="B561" s="1" t="s">
        <v>524</v>
      </c>
      <c r="C561" s="346">
        <v>472187581517</v>
      </c>
      <c r="D561" s="1" t="s">
        <v>45</v>
      </c>
      <c r="E561" s="1"/>
      <c r="F561" s="1"/>
      <c r="G561" s="59"/>
      <c r="H561" s="59">
        <v>15.158405335758678</v>
      </c>
      <c r="I561" s="59">
        <v>34.733704714264057</v>
      </c>
      <c r="J561" s="59"/>
      <c r="K561" s="59"/>
      <c r="L561" s="59"/>
      <c r="M561" s="59">
        <v>49.892110050022737</v>
      </c>
    </row>
    <row r="562" spans="1:13" hidden="1" outlineLevel="2">
      <c r="A562" s="137">
        <v>45931</v>
      </c>
      <c r="B562" s="1" t="s">
        <v>373</v>
      </c>
      <c r="C562" s="346">
        <v>884785183013</v>
      </c>
      <c r="D562" s="1" t="s">
        <v>45</v>
      </c>
      <c r="E562" s="1"/>
      <c r="F562" s="1"/>
      <c r="G562" s="59"/>
      <c r="H562" s="59">
        <v>15.158405335758678</v>
      </c>
      <c r="I562" s="59">
        <v>46.377520084887067</v>
      </c>
      <c r="J562" s="59"/>
      <c r="K562" s="59"/>
      <c r="L562" s="59"/>
      <c r="M562" s="59">
        <v>61.535925420645746</v>
      </c>
    </row>
    <row r="563" spans="1:13" hidden="1" outlineLevel="2">
      <c r="A563" s="137">
        <v>45931</v>
      </c>
      <c r="B563" s="1" t="s">
        <v>523</v>
      </c>
      <c r="C563" s="346">
        <v>437723140288</v>
      </c>
      <c r="D563" s="1" t="s">
        <v>45</v>
      </c>
      <c r="E563" s="1"/>
      <c r="F563" s="1"/>
      <c r="G563" s="59"/>
      <c r="H563" s="59">
        <v>15.158405335758678</v>
      </c>
      <c r="I563" s="59">
        <v>321.31779596786419</v>
      </c>
      <c r="J563" s="59"/>
      <c r="K563" s="59"/>
      <c r="L563" s="59"/>
      <c r="M563" s="59">
        <v>336.47620130362287</v>
      </c>
    </row>
    <row r="564" spans="1:13" hidden="1" outlineLevel="2">
      <c r="A564" s="137">
        <v>45931</v>
      </c>
      <c r="B564" s="1" t="s">
        <v>525</v>
      </c>
      <c r="C564" s="346">
        <v>485149766728</v>
      </c>
      <c r="D564" s="1" t="s">
        <v>45</v>
      </c>
      <c r="E564" s="1"/>
      <c r="F564" s="1"/>
      <c r="G564" s="59"/>
      <c r="H564" s="59">
        <v>15.158405335758678</v>
      </c>
      <c r="I564" s="59">
        <v>68.482681521903899</v>
      </c>
      <c r="J564" s="59"/>
      <c r="K564" s="59"/>
      <c r="L564" s="59"/>
      <c r="M564" s="59">
        <v>83.641086857662572</v>
      </c>
    </row>
    <row r="565" spans="1:13" hidden="1" outlineLevel="2">
      <c r="A565" s="137">
        <v>45931</v>
      </c>
      <c r="B565" s="1" t="s">
        <v>373</v>
      </c>
      <c r="C565" s="346">
        <v>885184575877</v>
      </c>
      <c r="D565" s="1" t="s">
        <v>45</v>
      </c>
      <c r="E565" s="1"/>
      <c r="F565" s="1"/>
      <c r="G565" s="59"/>
      <c r="H565" s="59">
        <v>15.158405335758678</v>
      </c>
      <c r="I565" s="59">
        <v>35.948158253751707</v>
      </c>
      <c r="J565" s="59"/>
      <c r="K565" s="59"/>
      <c r="L565" s="59"/>
      <c r="M565" s="59">
        <v>51.106563589510387</v>
      </c>
    </row>
    <row r="566" spans="1:13" hidden="1" outlineLevel="2">
      <c r="A566" s="137">
        <v>45931</v>
      </c>
      <c r="B566" s="1" t="s">
        <v>335</v>
      </c>
      <c r="C566" s="346">
        <v>477592534616</v>
      </c>
      <c r="D566" s="1" t="s">
        <v>45</v>
      </c>
      <c r="E566" s="1"/>
      <c r="F566" s="1"/>
      <c r="G566" s="59"/>
      <c r="H566" s="59">
        <v>15.158405335758678</v>
      </c>
      <c r="I566" s="59">
        <v>211.39290586630287</v>
      </c>
      <c r="J566" s="59"/>
      <c r="K566" s="59"/>
      <c r="L566" s="59"/>
      <c r="M566" s="59">
        <v>226.55131120206156</v>
      </c>
    </row>
    <row r="567" spans="1:13" hidden="1" outlineLevel="2">
      <c r="A567" s="137">
        <v>45931</v>
      </c>
      <c r="B567" s="1" t="s">
        <v>335</v>
      </c>
      <c r="C567" s="346">
        <v>477592535910</v>
      </c>
      <c r="D567" s="1" t="s">
        <v>45</v>
      </c>
      <c r="E567" s="1"/>
      <c r="F567" s="1"/>
      <c r="G567" s="59"/>
      <c r="H567" s="59">
        <v>15.158405335758678</v>
      </c>
      <c r="I567" s="59">
        <v>427.09458844929514</v>
      </c>
      <c r="J567" s="59"/>
      <c r="K567" s="59"/>
      <c r="L567" s="59"/>
      <c r="M567" s="59">
        <v>442.25299378505383</v>
      </c>
    </row>
    <row r="568" spans="1:13" hidden="1" outlineLevel="2">
      <c r="A568" s="137">
        <v>45931</v>
      </c>
      <c r="B568" s="1" t="s">
        <v>335</v>
      </c>
      <c r="C568" s="346">
        <v>477592537692</v>
      </c>
      <c r="D568" s="1" t="s">
        <v>45</v>
      </c>
      <c r="E568" s="1"/>
      <c r="F568" s="1"/>
      <c r="G568" s="59"/>
      <c r="H568" s="59">
        <v>15.158405335758678</v>
      </c>
      <c r="I568" s="59">
        <v>53.051576474154921</v>
      </c>
      <c r="J568" s="59"/>
      <c r="K568" s="59"/>
      <c r="L568" s="59"/>
      <c r="M568" s="59">
        <v>68.2099818099136</v>
      </c>
    </row>
    <row r="569" spans="1:13" hidden="1" outlineLevel="2">
      <c r="A569" s="137">
        <v>45931</v>
      </c>
      <c r="B569" s="1" t="s">
        <v>335</v>
      </c>
      <c r="C569" s="346">
        <v>477592537707</v>
      </c>
      <c r="D569" s="1" t="s">
        <v>45</v>
      </c>
      <c r="E569" s="1"/>
      <c r="F569" s="1"/>
      <c r="G569" s="59"/>
      <c r="H569" s="59">
        <v>15.158405335758678</v>
      </c>
      <c r="I569" s="59">
        <v>54.858799454297404</v>
      </c>
      <c r="J569" s="59"/>
      <c r="K569" s="59"/>
      <c r="L569" s="59"/>
      <c r="M569" s="59">
        <v>70.017204790056084</v>
      </c>
    </row>
    <row r="570" spans="1:13" hidden="1" outlineLevel="2">
      <c r="A570" s="137">
        <v>45931</v>
      </c>
      <c r="B570" s="1" t="s">
        <v>528</v>
      </c>
      <c r="C570" s="346">
        <v>4812853344</v>
      </c>
      <c r="D570" s="1" t="s">
        <v>45</v>
      </c>
      <c r="E570" s="1"/>
      <c r="F570" s="1"/>
      <c r="G570" s="59"/>
      <c r="H570" s="59">
        <v>15.158405335758678</v>
      </c>
      <c r="I570" s="59">
        <v>326.58155222070639</v>
      </c>
      <c r="J570" s="59"/>
      <c r="K570" s="59"/>
      <c r="L570" s="59"/>
      <c r="M570" s="59">
        <v>341.73995755646507</v>
      </c>
    </row>
    <row r="571" spans="1:13" hidden="1" outlineLevel="2">
      <c r="A571" s="137">
        <v>45931</v>
      </c>
      <c r="B571" s="1" t="s">
        <v>260</v>
      </c>
      <c r="C571" s="346">
        <v>4812854298</v>
      </c>
      <c r="D571" s="1" t="s">
        <v>45</v>
      </c>
      <c r="E571" s="1"/>
      <c r="F571" s="1"/>
      <c r="G571" s="59"/>
      <c r="H571" s="59">
        <v>15.158405335758678</v>
      </c>
      <c r="I571" s="59">
        <v>471.95585114445959</v>
      </c>
      <c r="J571" s="59"/>
      <c r="K571" s="59"/>
      <c r="L571" s="59"/>
      <c r="M571" s="59">
        <v>487.11425648021827</v>
      </c>
    </row>
    <row r="572" spans="1:13" hidden="1" outlineLevel="2">
      <c r="A572" s="137">
        <v>45931</v>
      </c>
      <c r="B572" s="1" t="s">
        <v>181</v>
      </c>
      <c r="C572" s="346" t="s">
        <v>536</v>
      </c>
      <c r="D572" s="1" t="s">
        <v>103</v>
      </c>
      <c r="E572" s="1">
        <v>1580</v>
      </c>
      <c r="F572" s="1">
        <v>9.1669999999999998</v>
      </c>
      <c r="G572" s="59">
        <v>54.949219342125211</v>
      </c>
      <c r="H572" s="59">
        <v>20.463847203274216</v>
      </c>
      <c r="I572" s="59">
        <v>352.7329846900106</v>
      </c>
      <c r="J572" s="59"/>
      <c r="K572" s="59">
        <v>628.63354555100807</v>
      </c>
      <c r="L572" s="59"/>
      <c r="M572" s="59">
        <v>1056.7795967864181</v>
      </c>
    </row>
    <row r="573" spans="1:13" hidden="1" outlineLevel="2">
      <c r="A573" s="137">
        <v>45931</v>
      </c>
      <c r="B573" s="1" t="s">
        <v>531</v>
      </c>
      <c r="C573" s="346" t="s">
        <v>537</v>
      </c>
      <c r="D573" s="1" t="s">
        <v>103</v>
      </c>
      <c r="E573" s="1">
        <v>298.83999999999997</v>
      </c>
      <c r="F573" s="1">
        <v>0.34</v>
      </c>
      <c r="G573" s="59">
        <v>0</v>
      </c>
      <c r="H573" s="59">
        <v>20.463847203274216</v>
      </c>
      <c r="I573" s="59">
        <v>260.61088373503105</v>
      </c>
      <c r="J573" s="59"/>
      <c r="K573" s="59">
        <v>314.55358496286192</v>
      </c>
      <c r="L573" s="59"/>
      <c r="M573" s="59">
        <v>595.62831590116718</v>
      </c>
    </row>
    <row r="574" spans="1:13" hidden="1" outlineLevel="2">
      <c r="A574" s="137">
        <v>45931</v>
      </c>
      <c r="B574" s="1" t="s">
        <v>180</v>
      </c>
      <c r="C574" s="346" t="s">
        <v>538</v>
      </c>
      <c r="D574" s="1" t="s">
        <v>103</v>
      </c>
      <c r="E574" s="1">
        <v>1018</v>
      </c>
      <c r="F574" s="1">
        <v>6.04</v>
      </c>
      <c r="G574" s="59">
        <v>100.42443534940125</v>
      </c>
      <c r="H574" s="59">
        <v>20.463847203274216</v>
      </c>
      <c r="I574" s="59">
        <v>863.82484462634534</v>
      </c>
      <c r="J574" s="59"/>
      <c r="K574" s="59">
        <v>1109.2451114142791</v>
      </c>
      <c r="L574" s="59"/>
      <c r="M574" s="59">
        <v>2093.9582385932999</v>
      </c>
    </row>
    <row r="575" spans="1:13" hidden="1" outlineLevel="2">
      <c r="A575" s="137">
        <v>45931</v>
      </c>
      <c r="B575" s="1" t="s">
        <v>532</v>
      </c>
      <c r="C575" s="346" t="s">
        <v>539</v>
      </c>
      <c r="D575" s="1" t="s">
        <v>103</v>
      </c>
      <c r="E575" s="1">
        <v>709.8</v>
      </c>
      <c r="F575" s="1">
        <v>7.13</v>
      </c>
      <c r="G575" s="59">
        <v>100.42443534940125</v>
      </c>
      <c r="H575" s="59">
        <v>20.463847203274216</v>
      </c>
      <c r="I575" s="59">
        <v>913.02459830225871</v>
      </c>
      <c r="J575" s="59"/>
      <c r="K575" s="59">
        <v>1185.8569463392453</v>
      </c>
      <c r="L575" s="59"/>
      <c r="M575" s="59">
        <v>2219.7698271941795</v>
      </c>
    </row>
    <row r="576" spans="1:13" hidden="1" outlineLevel="2">
      <c r="A576" s="137">
        <v>45931</v>
      </c>
      <c r="B576" s="1" t="s">
        <v>533</v>
      </c>
      <c r="C576" s="346" t="s">
        <v>540</v>
      </c>
      <c r="D576" s="1" t="s">
        <v>103</v>
      </c>
      <c r="E576" s="1">
        <v>2210.34</v>
      </c>
      <c r="F576" s="1">
        <v>21.9</v>
      </c>
      <c r="G576" s="59">
        <v>162.95285735940578</v>
      </c>
      <c r="H576" s="59">
        <v>20.463847203274216</v>
      </c>
      <c r="I576" s="59">
        <v>1654.8772169167803</v>
      </c>
      <c r="J576" s="59"/>
      <c r="K576" s="59">
        <v>1970.8996513566772</v>
      </c>
      <c r="L576" s="59"/>
      <c r="M576" s="59">
        <v>3809.1935728361377</v>
      </c>
    </row>
    <row r="577" spans="1:13" hidden="1" outlineLevel="2">
      <c r="A577" s="137">
        <v>45931</v>
      </c>
      <c r="B577" s="1" t="s">
        <v>181</v>
      </c>
      <c r="C577" s="346" t="s">
        <v>541</v>
      </c>
      <c r="D577" s="1" t="s">
        <v>103</v>
      </c>
      <c r="E577" s="1">
        <v>2580</v>
      </c>
      <c r="F577" s="1">
        <v>14.5</v>
      </c>
      <c r="G577" s="59">
        <v>100.42443534940125</v>
      </c>
      <c r="H577" s="59">
        <v>20.463847203274216</v>
      </c>
      <c r="I577" s="59">
        <v>538.15181142943766</v>
      </c>
      <c r="J577" s="59"/>
      <c r="K577" s="59">
        <v>976.19789298165836</v>
      </c>
      <c r="L577" s="59"/>
      <c r="M577" s="59">
        <v>1635.2379869637716</v>
      </c>
    </row>
    <row r="578" spans="1:13" hidden="1" outlineLevel="2">
      <c r="A578" s="137">
        <v>45931</v>
      </c>
      <c r="B578" s="1" t="s">
        <v>534</v>
      </c>
      <c r="C578" s="346" t="s">
        <v>542</v>
      </c>
      <c r="D578" s="1" t="s">
        <v>103</v>
      </c>
      <c r="E578" s="1">
        <v>1240.9000000000001</v>
      </c>
      <c r="F578" s="1">
        <v>25</v>
      </c>
      <c r="G578" s="59">
        <v>144.00485068970744</v>
      </c>
      <c r="H578" s="59">
        <v>20.463847203274216</v>
      </c>
      <c r="I578" s="59">
        <v>625.75792026678789</v>
      </c>
      <c r="J578" s="59"/>
      <c r="K578" s="59">
        <v>884.25420645748068</v>
      </c>
      <c r="L578" s="59"/>
      <c r="M578" s="59">
        <v>1674.4808246172502</v>
      </c>
    </row>
    <row r="579" spans="1:13" hidden="1" outlineLevel="2">
      <c r="A579" s="137">
        <v>45931</v>
      </c>
      <c r="B579" s="1" t="s">
        <v>180</v>
      </c>
      <c r="C579" s="346" t="s">
        <v>543</v>
      </c>
      <c r="D579" s="1" t="s">
        <v>103</v>
      </c>
      <c r="E579" s="1">
        <v>1205</v>
      </c>
      <c r="F579" s="1">
        <v>5.86</v>
      </c>
      <c r="G579" s="59">
        <v>77.913369713506142</v>
      </c>
      <c r="H579" s="59">
        <v>20.463847203274216</v>
      </c>
      <c r="I579" s="59">
        <v>853.57060027285127</v>
      </c>
      <c r="J579" s="59"/>
      <c r="K579" s="59">
        <v>1077.0045096255874</v>
      </c>
      <c r="L579" s="59"/>
      <c r="M579" s="59">
        <v>2028.9523268152191</v>
      </c>
    </row>
    <row r="580" spans="1:13" hidden="1" outlineLevel="2">
      <c r="A580" s="137">
        <v>45931</v>
      </c>
      <c r="B580" s="1" t="s">
        <v>228</v>
      </c>
      <c r="C580" s="346" t="s">
        <v>544</v>
      </c>
      <c r="D580" s="1" t="s">
        <v>103</v>
      </c>
      <c r="E580" s="1">
        <v>360.4</v>
      </c>
      <c r="F580" s="1">
        <v>4.75</v>
      </c>
      <c r="G580" s="59">
        <v>54.949219342125211</v>
      </c>
      <c r="H580" s="59">
        <v>20.463847203274216</v>
      </c>
      <c r="I580" s="59">
        <v>753.63574351978173</v>
      </c>
      <c r="J580" s="59"/>
      <c r="K580" s="59">
        <v>932.98059724117024</v>
      </c>
      <c r="L580" s="59"/>
      <c r="M580" s="59">
        <v>1762.0294073063515</v>
      </c>
    </row>
    <row r="581" spans="1:13" hidden="1" outlineLevel="2">
      <c r="A581" s="137">
        <v>45931</v>
      </c>
      <c r="B581" s="1" t="s">
        <v>535</v>
      </c>
      <c r="C581" s="346" t="s">
        <v>545</v>
      </c>
      <c r="D581" s="1" t="s">
        <v>103</v>
      </c>
      <c r="E581" s="1">
        <v>659.58</v>
      </c>
      <c r="F581" s="1">
        <v>6.72</v>
      </c>
      <c r="G581" s="59">
        <v>100.42443534940125</v>
      </c>
      <c r="H581" s="59">
        <v>50.022737608003638</v>
      </c>
      <c r="I581" s="59">
        <v>902.37853569804463</v>
      </c>
      <c r="J581" s="59"/>
      <c r="K581" s="59">
        <v>1133.9853266636351</v>
      </c>
      <c r="L581" s="59"/>
      <c r="M581" s="59">
        <v>2186.8110353190846</v>
      </c>
    </row>
    <row r="582" spans="1:13" hidden="1" outlineLevel="2">
      <c r="A582" s="137">
        <v>45931</v>
      </c>
      <c r="B582" s="1" t="s">
        <v>225</v>
      </c>
      <c r="C582" s="346" t="s">
        <v>546</v>
      </c>
      <c r="D582" s="1" t="s">
        <v>103</v>
      </c>
      <c r="E582" s="1">
        <v>3444.08</v>
      </c>
      <c r="F582" s="1">
        <v>39.19</v>
      </c>
      <c r="G582" s="59">
        <v>162.95285735940578</v>
      </c>
      <c r="H582" s="59">
        <v>20.463847203274216</v>
      </c>
      <c r="I582" s="59">
        <v>1597.8778232529937</v>
      </c>
      <c r="J582" s="59"/>
      <c r="K582" s="59">
        <v>1918.0688191602244</v>
      </c>
      <c r="L582" s="59"/>
      <c r="M582" s="59">
        <v>3699.3633469758979</v>
      </c>
    </row>
    <row r="583" spans="1:13" hidden="1" outlineLevel="2">
      <c r="A583" s="137">
        <v>45931</v>
      </c>
      <c r="B583" s="1" t="s">
        <v>534</v>
      </c>
      <c r="C583" s="346" t="s">
        <v>547</v>
      </c>
      <c r="D583" s="1" t="s">
        <v>103</v>
      </c>
      <c r="E583" s="1">
        <v>2508.6</v>
      </c>
      <c r="F583" s="1">
        <v>65</v>
      </c>
      <c r="G583" s="59">
        <v>162.95285735940578</v>
      </c>
      <c r="H583" s="59">
        <v>20.463847203274216</v>
      </c>
      <c r="I583" s="59">
        <v>888.78581173260568</v>
      </c>
      <c r="J583" s="59"/>
      <c r="K583" s="59">
        <v>1152.1327876307412</v>
      </c>
      <c r="L583" s="59"/>
      <c r="M583" s="59">
        <v>2224.3353039260269</v>
      </c>
    </row>
    <row r="584" spans="1:13" hidden="1" outlineLevel="2">
      <c r="A584" s="137">
        <v>45931</v>
      </c>
      <c r="B584" s="1" t="s">
        <v>640</v>
      </c>
      <c r="C584" s="346" t="s">
        <v>626</v>
      </c>
      <c r="D584" s="1" t="s">
        <v>333</v>
      </c>
      <c r="E584" s="1">
        <v>1208</v>
      </c>
      <c r="F584" s="1">
        <v>16.25</v>
      </c>
      <c r="G584" s="59"/>
      <c r="H584" s="59"/>
      <c r="I584" s="59">
        <v>797.69971199029862</v>
      </c>
      <c r="J584" s="59"/>
      <c r="K584" s="59"/>
      <c r="L584" s="59"/>
      <c r="M584" s="59">
        <v>797.69971199029862</v>
      </c>
    </row>
    <row r="585" spans="1:13" hidden="1" outlineLevel="2">
      <c r="A585" s="137">
        <v>45931</v>
      </c>
      <c r="B585" s="1" t="s">
        <v>641</v>
      </c>
      <c r="C585" s="346" t="s">
        <v>627</v>
      </c>
      <c r="D585" s="1" t="s">
        <v>333</v>
      </c>
      <c r="E585" s="1">
        <v>928.33</v>
      </c>
      <c r="F585" s="1">
        <v>4.1500000000000004</v>
      </c>
      <c r="G585" s="59"/>
      <c r="H585" s="59"/>
      <c r="I585" s="59">
        <v>623.18335986054262</v>
      </c>
      <c r="J585" s="59"/>
      <c r="K585" s="59"/>
      <c r="L585" s="59"/>
      <c r="M585" s="59">
        <v>623.18335986054262</v>
      </c>
    </row>
    <row r="586" spans="1:13" hidden="1" outlineLevel="2">
      <c r="A586" s="137">
        <v>45931</v>
      </c>
      <c r="B586" s="1" t="s">
        <v>642</v>
      </c>
      <c r="C586" s="346" t="s">
        <v>628</v>
      </c>
      <c r="D586" s="1" t="s">
        <v>333</v>
      </c>
      <c r="E586" s="1">
        <v>828.6</v>
      </c>
      <c r="F586" s="1">
        <v>7.12</v>
      </c>
      <c r="G586" s="59"/>
      <c r="H586" s="59"/>
      <c r="I586" s="59">
        <v>643.08115052296489</v>
      </c>
      <c r="J586" s="59"/>
      <c r="K586" s="59"/>
      <c r="L586" s="59"/>
      <c r="M586" s="59">
        <v>643.08115052296489</v>
      </c>
    </row>
    <row r="587" spans="1:13" hidden="1" outlineLevel="2">
      <c r="A587" s="137">
        <v>45931</v>
      </c>
      <c r="B587" s="1" t="s">
        <v>643</v>
      </c>
      <c r="C587" s="346" t="s">
        <v>629</v>
      </c>
      <c r="D587" s="1" t="s">
        <v>333</v>
      </c>
      <c r="E587" s="1">
        <v>162.88999999999999</v>
      </c>
      <c r="F587" s="1">
        <v>1.6</v>
      </c>
      <c r="G587" s="59"/>
      <c r="H587" s="59"/>
      <c r="I587" s="59">
        <v>666.41731089889345</v>
      </c>
      <c r="J587" s="59"/>
      <c r="K587" s="59"/>
      <c r="L587" s="59"/>
      <c r="M587" s="59">
        <v>666.41731089889345</v>
      </c>
    </row>
    <row r="588" spans="1:13" hidden="1" outlineLevel="2">
      <c r="A588" s="137">
        <v>45931</v>
      </c>
      <c r="B588" s="1" t="s">
        <v>644</v>
      </c>
      <c r="C588" s="346" t="s">
        <v>630</v>
      </c>
      <c r="D588" s="1" t="s">
        <v>333</v>
      </c>
      <c r="E588" s="1">
        <v>1773.7</v>
      </c>
      <c r="F588" s="1">
        <v>14.08</v>
      </c>
      <c r="G588" s="59"/>
      <c r="H588" s="59"/>
      <c r="I588" s="59">
        <v>1499.3095573745643</v>
      </c>
      <c r="J588" s="59"/>
      <c r="K588" s="59"/>
      <c r="L588" s="59"/>
      <c r="M588" s="59">
        <v>1499.3095573745643</v>
      </c>
    </row>
    <row r="589" spans="1:13" hidden="1" outlineLevel="2">
      <c r="A589" s="137">
        <v>45931</v>
      </c>
      <c r="B589" s="1" t="s">
        <v>490</v>
      </c>
      <c r="C589" s="346" t="s">
        <v>631</v>
      </c>
      <c r="D589" s="1" t="s">
        <v>333</v>
      </c>
      <c r="E589" s="1">
        <v>368</v>
      </c>
      <c r="F589" s="1">
        <v>2.0299999999999998</v>
      </c>
      <c r="G589" s="59"/>
      <c r="H589" s="59"/>
      <c r="I589" s="59">
        <v>617.77515347885401</v>
      </c>
      <c r="J589" s="59"/>
      <c r="K589" s="59"/>
      <c r="L589" s="59"/>
      <c r="M589" s="59">
        <v>617.77515347885401</v>
      </c>
    </row>
    <row r="590" spans="1:13" hidden="1" outlineLevel="2">
      <c r="A590" s="137">
        <v>45931</v>
      </c>
      <c r="B590" s="1" t="s">
        <v>289</v>
      </c>
      <c r="C590" s="346" t="s">
        <v>632</v>
      </c>
      <c r="D590" s="1" t="s">
        <v>333</v>
      </c>
      <c r="E590" s="1">
        <v>839.2</v>
      </c>
      <c r="F590" s="1">
        <v>7.6</v>
      </c>
      <c r="G590" s="59"/>
      <c r="H590" s="59"/>
      <c r="I590" s="59">
        <v>767.4697589813552</v>
      </c>
      <c r="J590" s="59"/>
      <c r="K590" s="59"/>
      <c r="L590" s="59"/>
      <c r="M590" s="59">
        <v>767.4697589813552</v>
      </c>
    </row>
    <row r="591" spans="1:13" hidden="1" outlineLevel="2">
      <c r="A591" s="137">
        <v>45931</v>
      </c>
      <c r="B591" s="1" t="s">
        <v>488</v>
      </c>
      <c r="C591" s="346" t="s">
        <v>633</v>
      </c>
      <c r="D591" s="1" t="s">
        <v>333</v>
      </c>
      <c r="E591" s="1">
        <v>1009.8</v>
      </c>
      <c r="F591" s="1">
        <v>13.51</v>
      </c>
      <c r="G591" s="59"/>
      <c r="H591" s="59"/>
      <c r="I591" s="59">
        <v>1339.955684402001</v>
      </c>
      <c r="J591" s="59"/>
      <c r="K591" s="59"/>
      <c r="L591" s="59"/>
      <c r="M591" s="59">
        <v>1339.955684402001</v>
      </c>
    </row>
    <row r="592" spans="1:13" hidden="1" outlineLevel="2">
      <c r="A592" s="137">
        <v>45931</v>
      </c>
      <c r="B592" s="1" t="s">
        <v>487</v>
      </c>
      <c r="C592" s="346" t="s">
        <v>634</v>
      </c>
      <c r="D592" s="1" t="s">
        <v>333</v>
      </c>
      <c r="E592" s="1">
        <v>1719.5</v>
      </c>
      <c r="F592" s="1">
        <v>10.23</v>
      </c>
      <c r="G592" s="59"/>
      <c r="H592" s="59"/>
      <c r="I592" s="59">
        <v>1223.7298165832956</v>
      </c>
      <c r="J592" s="59"/>
      <c r="K592" s="59"/>
      <c r="L592" s="59"/>
      <c r="M592" s="59">
        <v>1223.7298165832956</v>
      </c>
    </row>
    <row r="593" spans="1:13" hidden="1" outlineLevel="2">
      <c r="A593" s="137">
        <v>45931</v>
      </c>
      <c r="B593" s="1" t="s">
        <v>296</v>
      </c>
      <c r="C593" s="346" t="s">
        <v>635</v>
      </c>
      <c r="D593" s="1" t="s">
        <v>333</v>
      </c>
      <c r="E593" s="1">
        <v>496</v>
      </c>
      <c r="F593" s="1">
        <v>1.23</v>
      </c>
      <c r="G593" s="59"/>
      <c r="H593" s="59"/>
      <c r="I593" s="59">
        <v>499.25825375170535</v>
      </c>
      <c r="J593" s="59"/>
      <c r="K593" s="59"/>
      <c r="L593" s="59"/>
      <c r="M593" s="59">
        <v>499.25825375170535</v>
      </c>
    </row>
    <row r="594" spans="1:13" hidden="1" outlineLevel="2">
      <c r="A594" s="137">
        <v>45931</v>
      </c>
      <c r="B594" s="1" t="s">
        <v>289</v>
      </c>
      <c r="C594" s="346" t="s">
        <v>636</v>
      </c>
      <c r="D594" s="1" t="s">
        <v>333</v>
      </c>
      <c r="E594" s="1">
        <v>511.6</v>
      </c>
      <c r="F594" s="1">
        <v>4.3499999999999996</v>
      </c>
      <c r="G594" s="59"/>
      <c r="H594" s="59"/>
      <c r="I594" s="59">
        <v>532.52432924056393</v>
      </c>
      <c r="J594" s="59"/>
      <c r="K594" s="59"/>
      <c r="L594" s="59"/>
      <c r="M594" s="59">
        <v>532.52432924056393</v>
      </c>
    </row>
    <row r="595" spans="1:13" hidden="1" outlineLevel="2">
      <c r="A595" s="137">
        <v>45931</v>
      </c>
      <c r="B595" s="1" t="s">
        <v>645</v>
      </c>
      <c r="C595" s="346" t="s">
        <v>637</v>
      </c>
      <c r="D595" s="1" t="s">
        <v>333</v>
      </c>
      <c r="E595" s="1">
        <v>165</v>
      </c>
      <c r="F595" s="1">
        <v>0.43000000000000005</v>
      </c>
      <c r="G595" s="59"/>
      <c r="H595" s="59"/>
      <c r="I595" s="59">
        <v>445.40927694406548</v>
      </c>
      <c r="J595" s="59"/>
      <c r="K595" s="59"/>
      <c r="L595" s="59"/>
      <c r="M595" s="59">
        <v>445.40927694406548</v>
      </c>
    </row>
    <row r="596" spans="1:13" hidden="1" outlineLevel="2">
      <c r="A596" s="137">
        <v>45931</v>
      </c>
      <c r="B596" s="1" t="s">
        <v>646</v>
      </c>
      <c r="C596" s="346" t="s">
        <v>638</v>
      </c>
      <c r="D596" s="1" t="s">
        <v>333</v>
      </c>
      <c r="E596" s="1">
        <v>821</v>
      </c>
      <c r="F596" s="1">
        <v>11.67</v>
      </c>
      <c r="G596" s="59"/>
      <c r="H596" s="59"/>
      <c r="I596" s="59">
        <v>708.64908102167647</v>
      </c>
      <c r="J596" s="59"/>
      <c r="K596" s="59"/>
      <c r="L596" s="59"/>
      <c r="M596" s="59">
        <v>708.64908102167647</v>
      </c>
    </row>
    <row r="597" spans="1:13" hidden="1" outlineLevel="2">
      <c r="A597" s="137">
        <v>45931</v>
      </c>
      <c r="B597" s="1" t="s">
        <v>647</v>
      </c>
      <c r="C597" s="346" t="s">
        <v>639</v>
      </c>
      <c r="D597" s="1" t="s">
        <v>333</v>
      </c>
      <c r="E597" s="1">
        <v>760.75</v>
      </c>
      <c r="F597" s="1">
        <v>3.37</v>
      </c>
      <c r="G597" s="59"/>
      <c r="H597" s="59"/>
      <c r="I597" s="59">
        <v>505.09332840685158</v>
      </c>
      <c r="J597" s="59"/>
      <c r="K597" s="59"/>
      <c r="L597" s="59"/>
      <c r="M597" s="59">
        <v>505.09332840685158</v>
      </c>
    </row>
    <row r="598" spans="1:13" hidden="1" outlineLevel="2">
      <c r="A598" s="137">
        <v>45931</v>
      </c>
      <c r="B598" s="1" t="s">
        <v>648</v>
      </c>
      <c r="C598" s="346">
        <v>884473168640</v>
      </c>
      <c r="D598" s="1" t="s">
        <v>45</v>
      </c>
      <c r="E598" s="1">
        <v>45.2</v>
      </c>
      <c r="F598" s="1"/>
      <c r="G598" s="59"/>
      <c r="H598" s="59"/>
      <c r="I598" s="59">
        <v>144.82465514627862</v>
      </c>
      <c r="J598" s="59"/>
      <c r="K598" s="59"/>
      <c r="L598" s="59"/>
      <c r="M598" s="59">
        <v>144.82465514627862</v>
      </c>
    </row>
    <row r="599" spans="1:13" hidden="1" outlineLevel="2">
      <c r="A599" s="137">
        <v>45931</v>
      </c>
      <c r="B599" s="1" t="s">
        <v>648</v>
      </c>
      <c r="C599" s="346">
        <v>884688907020</v>
      </c>
      <c r="D599" s="1" t="s">
        <v>45</v>
      </c>
      <c r="E599" s="1">
        <v>118</v>
      </c>
      <c r="F599" s="1"/>
      <c r="G599" s="59"/>
      <c r="H599" s="59"/>
      <c r="I599" s="59">
        <v>298.29524783992724</v>
      </c>
      <c r="J599" s="59"/>
      <c r="K599" s="59"/>
      <c r="L599" s="59"/>
      <c r="M599" s="59">
        <v>298.29524783992724</v>
      </c>
    </row>
    <row r="600" spans="1:13" hidden="1" outlineLevel="2">
      <c r="A600" s="137">
        <v>45931</v>
      </c>
      <c r="B600" s="1" t="s">
        <v>648</v>
      </c>
      <c r="C600" s="346">
        <v>884736805351</v>
      </c>
      <c r="D600" s="1" t="s">
        <v>45</v>
      </c>
      <c r="E600" s="1">
        <v>3.6</v>
      </c>
      <c r="F600" s="1"/>
      <c r="G600" s="59"/>
      <c r="H600" s="59"/>
      <c r="I600" s="59">
        <v>31.630741246020918</v>
      </c>
      <c r="J600" s="59"/>
      <c r="K600" s="59"/>
      <c r="L600" s="59"/>
      <c r="M600" s="59">
        <v>31.630741246020918</v>
      </c>
    </row>
    <row r="601" spans="1:13" hidden="1" outlineLevel="2">
      <c r="A601" s="137">
        <v>45931</v>
      </c>
      <c r="B601" s="1" t="s">
        <v>648</v>
      </c>
      <c r="C601" s="346">
        <v>884743596967</v>
      </c>
      <c r="D601" s="1" t="s">
        <v>45</v>
      </c>
      <c r="E601" s="1">
        <v>6.4</v>
      </c>
      <c r="F601" s="1"/>
      <c r="G601" s="59"/>
      <c r="H601" s="59"/>
      <c r="I601" s="59">
        <v>36.105919357283611</v>
      </c>
      <c r="J601" s="59"/>
      <c r="K601" s="59"/>
      <c r="L601" s="59"/>
      <c r="M601" s="59">
        <v>36.105919357283611</v>
      </c>
    </row>
    <row r="602" spans="1:13" hidden="1" outlineLevel="2">
      <c r="A602" s="137">
        <v>45931</v>
      </c>
      <c r="B602" s="1" t="s">
        <v>648</v>
      </c>
      <c r="C602" s="346">
        <v>885024809280</v>
      </c>
      <c r="D602" s="1" t="s">
        <v>45</v>
      </c>
      <c r="E602" s="1">
        <v>8</v>
      </c>
      <c r="F602" s="1"/>
      <c r="G602" s="59"/>
      <c r="H602" s="59"/>
      <c r="I602" s="59">
        <v>46.225860239502808</v>
      </c>
      <c r="J602" s="59"/>
      <c r="K602" s="59"/>
      <c r="L602" s="59"/>
      <c r="M602" s="59">
        <v>46.225860239502808</v>
      </c>
    </row>
    <row r="603" spans="1:13" hidden="1" outlineLevel="2">
      <c r="A603" s="137">
        <v>45931</v>
      </c>
      <c r="B603" s="1" t="s">
        <v>648</v>
      </c>
      <c r="C603" s="346">
        <v>885058651703</v>
      </c>
      <c r="D603" s="1" t="s">
        <v>45</v>
      </c>
      <c r="E603" s="1">
        <v>25.8</v>
      </c>
      <c r="F603" s="1"/>
      <c r="G603" s="59"/>
      <c r="H603" s="59"/>
      <c r="I603" s="59">
        <v>86.236963771411254</v>
      </c>
      <c r="J603" s="59"/>
      <c r="K603" s="59"/>
      <c r="L603" s="59"/>
      <c r="M603" s="59">
        <v>86.236963771411254</v>
      </c>
    </row>
    <row r="604" spans="1:13" hidden="1" outlineLevel="2">
      <c r="A604" s="137">
        <v>45931</v>
      </c>
      <c r="B604" s="1" t="s">
        <v>648</v>
      </c>
      <c r="C604" s="346">
        <v>885254010291</v>
      </c>
      <c r="D604" s="1" t="s">
        <v>45</v>
      </c>
      <c r="E604" s="1">
        <v>11.7</v>
      </c>
      <c r="F604" s="1"/>
      <c r="G604" s="59"/>
      <c r="H604" s="59"/>
      <c r="I604" s="59">
        <v>55.522927088070333</v>
      </c>
      <c r="J604" s="59"/>
      <c r="K604" s="59"/>
      <c r="L604" s="59"/>
      <c r="M604" s="59">
        <v>55.522927088070333</v>
      </c>
    </row>
    <row r="605" spans="1:13" hidden="1" outlineLevel="2">
      <c r="A605" s="137">
        <v>45931</v>
      </c>
      <c r="B605" s="1" t="s">
        <v>648</v>
      </c>
      <c r="C605" s="346">
        <v>885282008074</v>
      </c>
      <c r="D605" s="1" t="s">
        <v>45</v>
      </c>
      <c r="E605" s="1">
        <v>68</v>
      </c>
      <c r="F605" s="1"/>
      <c r="G605" s="59"/>
      <c r="H605" s="59"/>
      <c r="I605" s="59">
        <v>212.49063968470517</v>
      </c>
      <c r="J605" s="59"/>
      <c r="K605" s="59"/>
      <c r="L605" s="59"/>
      <c r="M605" s="59">
        <v>212.49063968470517</v>
      </c>
    </row>
    <row r="606" spans="1:13" outlineLevel="1" collapsed="1">
      <c r="A606" s="138" t="s">
        <v>891</v>
      </c>
      <c r="B606" s="1"/>
      <c r="C606" s="346"/>
      <c r="D606" s="1"/>
      <c r="E606" s="1">
        <f t="shared" ref="E606:M606" si="22">SUBTOTAL(9,E546:E605)</f>
        <v>29694.609999999997</v>
      </c>
      <c r="F606" s="1">
        <f t="shared" si="22"/>
        <v>303.2170000000001</v>
      </c>
      <c r="G606" s="59">
        <f t="shared" si="22"/>
        <v>1222.3729725632863</v>
      </c>
      <c r="H606" s="59">
        <f t="shared" si="22"/>
        <v>669.24359557374578</v>
      </c>
      <c r="I606" s="59">
        <f t="shared" si="22"/>
        <v>26900.812060406242</v>
      </c>
      <c r="J606" s="59">
        <f t="shared" si="22"/>
        <v>0</v>
      </c>
      <c r="K606" s="59">
        <f t="shared" si="22"/>
        <v>13283.812979384567</v>
      </c>
      <c r="L606" s="59">
        <f t="shared" si="22"/>
        <v>0</v>
      </c>
      <c r="M606" s="59">
        <f t="shared" si="22"/>
        <v>42076.24160792787</v>
      </c>
    </row>
    <row r="607" spans="1:13" hidden="1" outlineLevel="2">
      <c r="A607" s="137">
        <v>45986</v>
      </c>
      <c r="B607" s="1" t="s">
        <v>377</v>
      </c>
      <c r="C607" s="346">
        <v>885343287672</v>
      </c>
      <c r="D607" s="1" t="s">
        <v>45</v>
      </c>
      <c r="E607" s="1">
        <v>143.19999999999999</v>
      </c>
      <c r="F607" s="1"/>
      <c r="G607" s="59"/>
      <c r="H607" s="59">
        <v>15.158405335758678</v>
      </c>
      <c r="I607" s="59">
        <v>451.65568556174031</v>
      </c>
      <c r="J607" s="59"/>
      <c r="K607" s="59"/>
      <c r="L607" s="59"/>
      <c r="M607" s="59">
        <f>SUM(G607:L607)</f>
        <v>466.814090897499</v>
      </c>
    </row>
    <row r="608" spans="1:13" hidden="1" outlineLevel="2">
      <c r="A608" s="137">
        <v>45986</v>
      </c>
      <c r="B608" s="1" t="s">
        <v>335</v>
      </c>
      <c r="C608" s="346">
        <v>477592538840</v>
      </c>
      <c r="D608" s="1" t="s">
        <v>45</v>
      </c>
      <c r="E608" s="1">
        <v>59</v>
      </c>
      <c r="F608" s="1"/>
      <c r="G608" s="59"/>
      <c r="H608" s="59">
        <v>15.158405335758678</v>
      </c>
      <c r="I608" s="59">
        <v>190.23355674201977</v>
      </c>
      <c r="J608" s="59"/>
      <c r="K608" s="59"/>
      <c r="L608" s="59"/>
      <c r="M608" s="59">
        <f>SUM(G608:L608)</f>
        <v>205.39196207777846</v>
      </c>
    </row>
    <row r="609" spans="1:13" hidden="1" outlineLevel="2">
      <c r="A609" s="137">
        <v>45986</v>
      </c>
      <c r="B609" s="1" t="s">
        <v>798</v>
      </c>
      <c r="C609" s="346">
        <v>885411959988</v>
      </c>
      <c r="D609" s="1" t="s">
        <v>45</v>
      </c>
      <c r="E609" s="1">
        <v>15.7</v>
      </c>
      <c r="F609" s="1"/>
      <c r="G609" s="59"/>
      <c r="H609" s="59">
        <v>15.158405335758678</v>
      </c>
      <c r="I609" s="59">
        <v>72.441099625127791</v>
      </c>
      <c r="J609" s="59"/>
      <c r="K609" s="59"/>
      <c r="L609" s="59"/>
      <c r="M609" s="59">
        <f t="shared" ref="M609:M672" si="23">SUM(G609:L609)</f>
        <v>87.599504960886463</v>
      </c>
    </row>
    <row r="610" spans="1:13" hidden="1" outlineLevel="2">
      <c r="A610" s="137">
        <v>45986</v>
      </c>
      <c r="B610" s="1" t="s">
        <v>258</v>
      </c>
      <c r="C610" s="346">
        <v>618108348071</v>
      </c>
      <c r="D610" s="1" t="s">
        <v>45</v>
      </c>
      <c r="E610" s="1">
        <v>22.8</v>
      </c>
      <c r="F610" s="1"/>
      <c r="G610" s="59"/>
      <c r="H610" s="59">
        <v>15.158405335758678</v>
      </c>
      <c r="I610" s="59">
        <v>83.219811427922295</v>
      </c>
      <c r="J610" s="59"/>
      <c r="K610" s="59"/>
      <c r="L610" s="59"/>
      <c r="M610" s="59">
        <f t="shared" si="23"/>
        <v>98.378216763680967</v>
      </c>
    </row>
    <row r="611" spans="1:13" hidden="1" outlineLevel="2">
      <c r="A611" s="137">
        <v>45986</v>
      </c>
      <c r="B611" s="1" t="s">
        <v>258</v>
      </c>
      <c r="C611" s="346">
        <v>618108348005</v>
      </c>
      <c r="D611" s="1" t="s">
        <v>45</v>
      </c>
      <c r="E611" s="1">
        <v>13.8</v>
      </c>
      <c r="F611" s="1"/>
      <c r="G611" s="59"/>
      <c r="H611" s="59">
        <v>15.158405335758678</v>
      </c>
      <c r="I611" s="59">
        <v>68.823696467113479</v>
      </c>
      <c r="J611" s="59"/>
      <c r="K611" s="59"/>
      <c r="L611" s="59"/>
      <c r="M611" s="59">
        <f t="shared" si="23"/>
        <v>83.982101802872151</v>
      </c>
    </row>
    <row r="612" spans="1:13" hidden="1" outlineLevel="2">
      <c r="A612" s="137">
        <v>45986</v>
      </c>
      <c r="B612" s="1" t="s">
        <v>799</v>
      </c>
      <c r="C612" s="346">
        <v>885349397229</v>
      </c>
      <c r="D612" s="1" t="s">
        <v>45</v>
      </c>
      <c r="E612" s="1">
        <v>33.4</v>
      </c>
      <c r="F612" s="1"/>
      <c r="G612" s="59"/>
      <c r="H612" s="59">
        <v>15.158405335758678</v>
      </c>
      <c r="I612" s="59">
        <v>115.93468135862774</v>
      </c>
      <c r="J612" s="59"/>
      <c r="K612" s="59"/>
      <c r="L612" s="59"/>
      <c r="M612" s="59">
        <f t="shared" si="23"/>
        <v>131.09308669438641</v>
      </c>
    </row>
    <row r="613" spans="1:13" hidden="1" outlineLevel="2">
      <c r="A613" s="137">
        <v>45986</v>
      </c>
      <c r="B613" s="1" t="s">
        <v>372</v>
      </c>
      <c r="C613" s="346">
        <v>472187334560</v>
      </c>
      <c r="D613" s="1" t="s">
        <v>45</v>
      </c>
      <c r="E613" s="1">
        <v>108.3</v>
      </c>
      <c r="F613" s="1"/>
      <c r="G613" s="59"/>
      <c r="H613" s="59">
        <v>15.158405335758678</v>
      </c>
      <c r="I613" s="59">
        <v>308.64625695785526</v>
      </c>
      <c r="J613" s="59"/>
      <c r="K613" s="59"/>
      <c r="L613" s="59"/>
      <c r="M613" s="59">
        <f t="shared" si="23"/>
        <v>323.80466229361394</v>
      </c>
    </row>
    <row r="614" spans="1:13" hidden="1" outlineLevel="2">
      <c r="A614" s="137">
        <v>45986</v>
      </c>
      <c r="B614" s="1" t="s">
        <v>800</v>
      </c>
      <c r="C614" s="346">
        <v>643036779345</v>
      </c>
      <c r="D614" s="1" t="s">
        <v>45</v>
      </c>
      <c r="E614" s="1">
        <v>1.5</v>
      </c>
      <c r="F614" s="1"/>
      <c r="G614" s="59"/>
      <c r="H614" s="59">
        <v>15.158405335758678</v>
      </c>
      <c r="I614" s="59">
        <v>25.979779620583891</v>
      </c>
      <c r="J614" s="59"/>
      <c r="K614" s="59"/>
      <c r="L614" s="59"/>
      <c r="M614" s="59">
        <f t="shared" si="23"/>
        <v>41.13818495634257</v>
      </c>
    </row>
    <row r="615" spans="1:13" hidden="1" outlineLevel="2">
      <c r="A615" s="137">
        <v>45986</v>
      </c>
      <c r="B615" s="1" t="s">
        <v>801</v>
      </c>
      <c r="C615" s="346">
        <v>416886361339</v>
      </c>
      <c r="D615" s="1" t="s">
        <v>45</v>
      </c>
      <c r="E615" s="1">
        <v>4.7</v>
      </c>
      <c r="F615" s="1"/>
      <c r="G615" s="59"/>
      <c r="H615" s="59">
        <v>15.158405335758678</v>
      </c>
      <c r="I615" s="59">
        <v>35.446628043470028</v>
      </c>
      <c r="J615" s="59"/>
      <c r="K615" s="59"/>
      <c r="L615" s="59"/>
      <c r="M615" s="59">
        <f t="shared" si="23"/>
        <v>50.605033379228708</v>
      </c>
    </row>
    <row r="616" spans="1:13" hidden="1" outlineLevel="2">
      <c r="A616" s="137">
        <v>45986</v>
      </c>
      <c r="B616" s="1" t="s">
        <v>800</v>
      </c>
      <c r="C616" s="346">
        <v>643036779312</v>
      </c>
      <c r="D616" s="1" t="s">
        <v>45</v>
      </c>
      <c r="E616" s="1">
        <v>1.5</v>
      </c>
      <c r="F616" s="1"/>
      <c r="G616" s="59"/>
      <c r="H616" s="59">
        <v>15.158405335758678</v>
      </c>
      <c r="I616" s="59">
        <v>25.979779620583891</v>
      </c>
      <c r="J616" s="59"/>
      <c r="K616" s="59"/>
      <c r="L616" s="59"/>
      <c r="M616" s="59">
        <f t="shared" si="23"/>
        <v>41.13818495634257</v>
      </c>
    </row>
    <row r="617" spans="1:13" hidden="1" outlineLevel="2">
      <c r="A617" s="137">
        <v>45986</v>
      </c>
      <c r="B617" s="1" t="s">
        <v>335</v>
      </c>
      <c r="C617" s="346">
        <v>477592537773</v>
      </c>
      <c r="D617" s="1" t="s">
        <v>45</v>
      </c>
      <c r="E617" s="1">
        <v>90.5</v>
      </c>
      <c r="F617" s="1"/>
      <c r="G617" s="59"/>
      <c r="H617" s="59">
        <v>15.158405335758678</v>
      </c>
      <c r="I617" s="59">
        <v>257.7675035025938</v>
      </c>
      <c r="J617" s="59"/>
      <c r="K617" s="59"/>
      <c r="L617" s="59"/>
      <c r="M617" s="59">
        <f t="shared" si="23"/>
        <v>272.92590883835248</v>
      </c>
    </row>
    <row r="618" spans="1:13" hidden="1" outlineLevel="2">
      <c r="A618" s="137">
        <v>45986</v>
      </c>
      <c r="B618" s="1" t="s">
        <v>648</v>
      </c>
      <c r="C618" s="346">
        <v>885442701688</v>
      </c>
      <c r="D618" s="1" t="s">
        <v>45</v>
      </c>
      <c r="E618" s="1">
        <v>131.19999999999999</v>
      </c>
      <c r="F618" s="1"/>
      <c r="G618" s="59"/>
      <c r="H618" s="59">
        <v>15.158405335758678</v>
      </c>
      <c r="I618" s="59">
        <v>343.08497103260254</v>
      </c>
      <c r="J618" s="59"/>
      <c r="K618" s="59"/>
      <c r="L618" s="59"/>
      <c r="M618" s="59">
        <f t="shared" si="23"/>
        <v>358.24337636836123</v>
      </c>
    </row>
    <row r="619" spans="1:13" hidden="1" outlineLevel="2">
      <c r="A619" s="137">
        <v>45986</v>
      </c>
      <c r="B619" s="1" t="s">
        <v>178</v>
      </c>
      <c r="C619" s="346">
        <v>619345533460</v>
      </c>
      <c r="D619" s="1" t="s">
        <v>45</v>
      </c>
      <c r="E619" s="1">
        <v>21.5</v>
      </c>
      <c r="F619" s="1"/>
      <c r="G619" s="59"/>
      <c r="H619" s="59">
        <v>15.158405335758678</v>
      </c>
      <c r="I619" s="59">
        <v>79.601613086447799</v>
      </c>
      <c r="J619" s="59"/>
      <c r="K619" s="59"/>
      <c r="L619" s="59"/>
      <c r="M619" s="59">
        <f t="shared" si="23"/>
        <v>94.760018422206471</v>
      </c>
    </row>
    <row r="620" spans="1:13" hidden="1" outlineLevel="2">
      <c r="A620" s="137">
        <v>45986</v>
      </c>
      <c r="B620" s="1" t="s">
        <v>184</v>
      </c>
      <c r="C620" s="346">
        <v>885448646884</v>
      </c>
      <c r="D620" s="1" t="s">
        <v>45</v>
      </c>
      <c r="E620" s="1">
        <v>27</v>
      </c>
      <c r="F620" s="1"/>
      <c r="G620" s="59"/>
      <c r="H620" s="59">
        <v>15.158405335758678</v>
      </c>
      <c r="I620" s="59">
        <v>91.71301450263168</v>
      </c>
      <c r="J620" s="59"/>
      <c r="K620" s="59"/>
      <c r="L620" s="59"/>
      <c r="M620" s="59">
        <f t="shared" si="23"/>
        <v>106.87141983839035</v>
      </c>
    </row>
    <row r="621" spans="1:13" hidden="1" outlineLevel="2">
      <c r="A621" s="137">
        <v>45986</v>
      </c>
      <c r="B621" s="1" t="s">
        <v>335</v>
      </c>
      <c r="C621" s="346">
        <v>477592539700</v>
      </c>
      <c r="D621" s="1" t="s">
        <v>45</v>
      </c>
      <c r="E621" s="1">
        <v>15.7</v>
      </c>
      <c r="F621" s="1"/>
      <c r="G621" s="59"/>
      <c r="H621" s="59">
        <v>15.158405335758678</v>
      </c>
      <c r="I621" s="59">
        <v>57.936309591427168</v>
      </c>
      <c r="J621" s="59"/>
      <c r="K621" s="59"/>
      <c r="L621" s="59"/>
      <c r="M621" s="59">
        <f t="shared" si="23"/>
        <v>73.094714927185848</v>
      </c>
    </row>
    <row r="622" spans="1:13" hidden="1" outlineLevel="2">
      <c r="A622" s="137">
        <v>45986</v>
      </c>
      <c r="B622" s="1" t="s">
        <v>374</v>
      </c>
      <c r="C622" s="346">
        <v>885498651914</v>
      </c>
      <c r="D622" s="1" t="s">
        <v>45</v>
      </c>
      <c r="E622" s="1">
        <v>3.6</v>
      </c>
      <c r="F622" s="1"/>
      <c r="G622" s="59"/>
      <c r="H622" s="59">
        <v>15.158405335758678</v>
      </c>
      <c r="I622" s="59">
        <v>35.988753833920256</v>
      </c>
      <c r="J622" s="59"/>
      <c r="K622" s="59"/>
      <c r="L622" s="59"/>
      <c r="M622" s="59">
        <f t="shared" si="23"/>
        <v>51.147159169678936</v>
      </c>
    </row>
    <row r="623" spans="1:13" hidden="1" outlineLevel="2">
      <c r="A623" s="137">
        <v>45986</v>
      </c>
      <c r="B623" s="1" t="s">
        <v>800</v>
      </c>
      <c r="C623" s="346">
        <v>643036779974</v>
      </c>
      <c r="D623" s="1" t="s">
        <v>45</v>
      </c>
      <c r="E623" s="1">
        <v>1.5</v>
      </c>
      <c r="F623" s="1"/>
      <c r="G623" s="59"/>
      <c r="H623" s="59">
        <v>15.158405335758678</v>
      </c>
      <c r="I623" s="59">
        <v>25.880268090423719</v>
      </c>
      <c r="J623" s="59"/>
      <c r="K623" s="59"/>
      <c r="L623" s="59"/>
      <c r="M623" s="59">
        <f t="shared" si="23"/>
        <v>41.038673426182399</v>
      </c>
    </row>
    <row r="624" spans="1:13" hidden="1" outlineLevel="2">
      <c r="A624" s="137">
        <v>45986</v>
      </c>
      <c r="B624" s="1" t="s">
        <v>798</v>
      </c>
      <c r="C624" s="346">
        <v>885572927266</v>
      </c>
      <c r="D624" s="1" t="s">
        <v>45</v>
      </c>
      <c r="E624" s="1">
        <v>15.6</v>
      </c>
      <c r="F624" s="1"/>
      <c r="G624" s="59"/>
      <c r="H624" s="59">
        <v>15.158405335758678</v>
      </c>
      <c r="I624" s="59">
        <v>72.163542731644512</v>
      </c>
      <c r="J624" s="59"/>
      <c r="K624" s="59"/>
      <c r="L624" s="59"/>
      <c r="M624" s="59">
        <f t="shared" si="23"/>
        <v>87.321948067403184</v>
      </c>
    </row>
    <row r="625" spans="1:13" hidden="1" outlineLevel="2">
      <c r="A625" s="137">
        <v>45986</v>
      </c>
      <c r="B625" s="1" t="s">
        <v>844</v>
      </c>
      <c r="C625" s="346">
        <v>885576704758</v>
      </c>
      <c r="D625" s="1" t="s">
        <v>45</v>
      </c>
      <c r="E625" s="1">
        <v>6.2</v>
      </c>
      <c r="F625" s="1"/>
      <c r="G625" s="59"/>
      <c r="H625" s="59">
        <v>15.158405335758678</v>
      </c>
      <c r="I625" s="59">
        <v>41.318603506380398</v>
      </c>
      <c r="J625" s="59"/>
      <c r="K625" s="59"/>
      <c r="L625" s="59"/>
      <c r="M625" s="59">
        <f t="shared" si="23"/>
        <v>56.477008842139078</v>
      </c>
    </row>
    <row r="626" spans="1:13" hidden="1" outlineLevel="2">
      <c r="A626" s="137">
        <v>45986</v>
      </c>
      <c r="B626" s="1" t="s">
        <v>373</v>
      </c>
      <c r="C626" s="346">
        <v>885572513730</v>
      </c>
      <c r="D626" s="1" t="s">
        <v>45</v>
      </c>
      <c r="E626" s="1">
        <v>9.3000000000000007</v>
      </c>
      <c r="F626" s="1"/>
      <c r="G626" s="59"/>
      <c r="H626" s="59">
        <v>15.158405335758678</v>
      </c>
      <c r="I626" s="59">
        <v>59.891627854140637</v>
      </c>
      <c r="J626" s="59"/>
      <c r="K626" s="59"/>
      <c r="L626" s="59"/>
      <c r="M626" s="59">
        <f t="shared" si="23"/>
        <v>75.05003318989931</v>
      </c>
    </row>
    <row r="627" spans="1:13" hidden="1" outlineLevel="2">
      <c r="A627" s="137">
        <v>45986</v>
      </c>
      <c r="B627" s="1" t="s">
        <v>648</v>
      </c>
      <c r="C627" s="346">
        <v>885606315257</v>
      </c>
      <c r="D627" s="1" t="s">
        <v>45</v>
      </c>
      <c r="E627" s="1">
        <v>40.799999999999997</v>
      </c>
      <c r="F627" s="1"/>
      <c r="G627" s="59"/>
      <c r="H627" s="59">
        <v>15.158405335758678</v>
      </c>
      <c r="I627" s="59">
        <v>123.67405051308266</v>
      </c>
      <c r="J627" s="59"/>
      <c r="K627" s="59"/>
      <c r="L627" s="59"/>
      <c r="M627" s="59">
        <f t="shared" si="23"/>
        <v>138.83245584884133</v>
      </c>
    </row>
    <row r="628" spans="1:13" hidden="1" outlineLevel="2">
      <c r="A628" s="137">
        <v>45986</v>
      </c>
      <c r="B628" s="1" t="s">
        <v>800</v>
      </c>
      <c r="C628" s="346">
        <v>643036780794</v>
      </c>
      <c r="D628" s="1" t="s">
        <v>45</v>
      </c>
      <c r="E628" s="1">
        <v>6</v>
      </c>
      <c r="F628" s="1"/>
      <c r="G628" s="59"/>
      <c r="H628" s="59">
        <v>15.158405335758678</v>
      </c>
      <c r="I628" s="59">
        <v>47.096823052747169</v>
      </c>
      <c r="J628" s="59"/>
      <c r="K628" s="59"/>
      <c r="L628" s="59"/>
      <c r="M628" s="59">
        <f t="shared" si="23"/>
        <v>62.255228388505849</v>
      </c>
    </row>
    <row r="629" spans="1:13" hidden="1" outlineLevel="2">
      <c r="A629" s="137">
        <v>45986</v>
      </c>
      <c r="B629" s="1" t="s">
        <v>377</v>
      </c>
      <c r="C629" s="346">
        <v>885639950452</v>
      </c>
      <c r="D629" s="1" t="s">
        <v>45</v>
      </c>
      <c r="E629" s="1">
        <v>49.3</v>
      </c>
      <c r="F629" s="1"/>
      <c r="G629" s="59"/>
      <c r="H629" s="59">
        <v>15.158405335758678</v>
      </c>
      <c r="I629" s="59">
        <v>178.85887386875686</v>
      </c>
      <c r="J629" s="59"/>
      <c r="K629" s="59"/>
      <c r="L629" s="59"/>
      <c r="M629" s="59">
        <f t="shared" si="23"/>
        <v>194.01727920451555</v>
      </c>
    </row>
    <row r="630" spans="1:13" hidden="1" outlineLevel="2">
      <c r="A630" s="137">
        <v>45986</v>
      </c>
      <c r="B630" s="1" t="s">
        <v>800</v>
      </c>
      <c r="C630" s="346">
        <v>643036780989</v>
      </c>
      <c r="D630" s="1" t="s">
        <v>45</v>
      </c>
      <c r="E630" s="1">
        <v>5.6</v>
      </c>
      <c r="F630" s="1"/>
      <c r="G630" s="59"/>
      <c r="H630" s="59">
        <v>15.158405335758678</v>
      </c>
      <c r="I630" s="59">
        <v>47.368510734976709</v>
      </c>
      <c r="J630" s="59"/>
      <c r="K630" s="59"/>
      <c r="L630" s="59"/>
      <c r="M630" s="59">
        <f t="shared" si="23"/>
        <v>62.526916070735389</v>
      </c>
    </row>
    <row r="631" spans="1:13" hidden="1" outlineLevel="2">
      <c r="A631" s="137">
        <v>45986</v>
      </c>
      <c r="B631" s="1" t="s">
        <v>844</v>
      </c>
      <c r="C631" s="346">
        <v>885728982660</v>
      </c>
      <c r="D631" s="1" t="s">
        <v>45</v>
      </c>
      <c r="E631" s="1">
        <v>12.4</v>
      </c>
      <c r="F631" s="1"/>
      <c r="G631" s="59"/>
      <c r="H631" s="59">
        <v>15.158405335758678</v>
      </c>
      <c r="I631" s="59">
        <v>56.986292551781588</v>
      </c>
      <c r="J631" s="59"/>
      <c r="K631" s="59"/>
      <c r="L631" s="59"/>
      <c r="M631" s="59">
        <f t="shared" si="23"/>
        <v>72.144697887540261</v>
      </c>
    </row>
    <row r="632" spans="1:13" hidden="1" outlineLevel="2">
      <c r="A632" s="137">
        <v>45986</v>
      </c>
      <c r="B632" s="1" t="s">
        <v>335</v>
      </c>
      <c r="C632" s="346">
        <v>477592540699</v>
      </c>
      <c r="D632" s="1" t="s">
        <v>45</v>
      </c>
      <c r="E632" s="1">
        <v>202.2</v>
      </c>
      <c r="F632" s="1"/>
      <c r="G632" s="59"/>
      <c r="H632" s="59">
        <v>15.158405335758678</v>
      </c>
      <c r="I632" s="59">
        <v>575.91934567760995</v>
      </c>
      <c r="J632" s="59"/>
      <c r="K632" s="59"/>
      <c r="L632" s="59"/>
      <c r="M632" s="59">
        <f t="shared" si="23"/>
        <v>591.07775101336858</v>
      </c>
    </row>
    <row r="633" spans="1:13" hidden="1" outlineLevel="2">
      <c r="A633" s="137">
        <v>45986</v>
      </c>
      <c r="B633" s="1" t="s">
        <v>377</v>
      </c>
      <c r="C633" s="346">
        <v>885693805947</v>
      </c>
      <c r="D633" s="1" t="s">
        <v>45</v>
      </c>
      <c r="E633" s="1">
        <v>88.2</v>
      </c>
      <c r="F633" s="1"/>
      <c r="G633" s="59"/>
      <c r="H633" s="59">
        <v>15.158405335758678</v>
      </c>
      <c r="I633" s="59">
        <v>281.11159074557918</v>
      </c>
      <c r="J633" s="59"/>
      <c r="K633" s="59"/>
      <c r="L633" s="59"/>
      <c r="M633" s="59">
        <f t="shared" si="23"/>
        <v>296.26999608133787</v>
      </c>
    </row>
    <row r="634" spans="1:13" hidden="1" outlineLevel="2">
      <c r="A634" s="137">
        <v>45986</v>
      </c>
      <c r="B634" s="1" t="s">
        <v>335</v>
      </c>
      <c r="C634" s="346">
        <v>477592539938</v>
      </c>
      <c r="D634" s="1" t="s">
        <v>45</v>
      </c>
      <c r="E634" s="1">
        <v>59.1</v>
      </c>
      <c r="F634" s="1"/>
      <c r="G634" s="59"/>
      <c r="H634" s="59">
        <v>15.158405335758678</v>
      </c>
      <c r="I634" s="59">
        <v>193.82846756787458</v>
      </c>
      <c r="J634" s="59"/>
      <c r="K634" s="59"/>
      <c r="L634" s="59"/>
      <c r="M634" s="59">
        <f t="shared" si="23"/>
        <v>208.98687290363327</v>
      </c>
    </row>
    <row r="635" spans="1:13" hidden="1" outlineLevel="2">
      <c r="A635" s="137">
        <v>45986</v>
      </c>
      <c r="B635" s="1" t="s">
        <v>335</v>
      </c>
      <c r="C635" s="346">
        <v>477592540770</v>
      </c>
      <c r="D635" s="1" t="s">
        <v>45</v>
      </c>
      <c r="E635" s="1">
        <v>11.5</v>
      </c>
      <c r="F635" s="1"/>
      <c r="G635" s="59"/>
      <c r="H635" s="59">
        <v>15.158405335758678</v>
      </c>
      <c r="I635" s="59">
        <v>52.811352190541101</v>
      </c>
      <c r="J635" s="59"/>
      <c r="K635" s="59"/>
      <c r="L635" s="59"/>
      <c r="M635" s="59">
        <f t="shared" si="23"/>
        <v>67.969757526299773</v>
      </c>
    </row>
    <row r="636" spans="1:13" hidden="1" outlineLevel="2">
      <c r="A636" s="137">
        <v>45986</v>
      </c>
      <c r="B636" s="1" t="s">
        <v>799</v>
      </c>
      <c r="C636" s="346">
        <v>885766125880</v>
      </c>
      <c r="D636" s="1" t="s">
        <v>45</v>
      </c>
      <c r="E636" s="1">
        <v>19.5</v>
      </c>
      <c r="F636" s="1"/>
      <c r="G636" s="59"/>
      <c r="H636" s="59">
        <v>15.158405335758678</v>
      </c>
      <c r="I636" s="59">
        <v>57.805710174561703</v>
      </c>
      <c r="J636" s="59"/>
      <c r="K636" s="59"/>
      <c r="L636" s="59"/>
      <c r="M636" s="59">
        <f t="shared" si="23"/>
        <v>72.964115510320383</v>
      </c>
    </row>
    <row r="637" spans="1:13" hidden="1" outlineLevel="2">
      <c r="A637" s="137">
        <v>45986</v>
      </c>
      <c r="B637" s="1" t="s">
        <v>800</v>
      </c>
      <c r="C637" s="346">
        <v>643036781481</v>
      </c>
      <c r="D637" s="1" t="s">
        <v>45</v>
      </c>
      <c r="E637" s="1">
        <v>0.9</v>
      </c>
      <c r="F637" s="1"/>
      <c r="G637" s="59"/>
      <c r="H637" s="59">
        <v>15.158405335758678</v>
      </c>
      <c r="I637" s="59">
        <v>22.740164337915104</v>
      </c>
      <c r="J637" s="59"/>
      <c r="K637" s="59"/>
      <c r="L637" s="59"/>
      <c r="M637" s="59">
        <f t="shared" si="23"/>
        <v>37.898569673673784</v>
      </c>
    </row>
    <row r="638" spans="1:13" hidden="1" outlineLevel="2">
      <c r="A638" s="137">
        <v>45986</v>
      </c>
      <c r="B638" s="1" t="s">
        <v>335</v>
      </c>
      <c r="C638" s="346">
        <v>477592540839</v>
      </c>
      <c r="D638" s="1" t="s">
        <v>45</v>
      </c>
      <c r="E638" s="1">
        <v>212.8</v>
      </c>
      <c r="F638" s="1"/>
      <c r="G638" s="59"/>
      <c r="H638" s="59">
        <v>15.158405335758678</v>
      </c>
      <c r="I638" s="59">
        <v>604.2897875724185</v>
      </c>
      <c r="J638" s="59"/>
      <c r="K638" s="59"/>
      <c r="L638" s="59"/>
      <c r="M638" s="59">
        <f t="shared" si="23"/>
        <v>619.44819290817713</v>
      </c>
    </row>
    <row r="639" spans="1:13" hidden="1" outlineLevel="2">
      <c r="A639" s="137">
        <v>45986</v>
      </c>
      <c r="B639" s="1" t="s">
        <v>335</v>
      </c>
      <c r="C639" s="346">
        <v>477592541662</v>
      </c>
      <c r="D639" s="1" t="s">
        <v>45</v>
      </c>
      <c r="E639" s="1">
        <v>13.6</v>
      </c>
      <c r="F639" s="1"/>
      <c r="G639" s="59"/>
      <c r="H639" s="59">
        <v>15.158405335758678</v>
      </c>
      <c r="I639" s="59">
        <v>56.164565110379037</v>
      </c>
      <c r="J639" s="59"/>
      <c r="K639" s="59"/>
      <c r="L639" s="59"/>
      <c r="M639" s="59">
        <f t="shared" si="23"/>
        <v>71.322970446137717</v>
      </c>
    </row>
    <row r="640" spans="1:13" hidden="1" outlineLevel="2">
      <c r="A640" s="137">
        <v>45986</v>
      </c>
      <c r="B640" s="1" t="s">
        <v>844</v>
      </c>
      <c r="C640" s="346">
        <v>885887155335</v>
      </c>
      <c r="D640" s="1" t="s">
        <v>45</v>
      </c>
      <c r="E640" s="1">
        <v>37</v>
      </c>
      <c r="F640" s="1"/>
      <c r="G640" s="59"/>
      <c r="H640" s="59">
        <v>15.158405335758678</v>
      </c>
      <c r="I640" s="59">
        <v>137.00882274982013</v>
      </c>
      <c r="J640" s="59"/>
      <c r="K640" s="59"/>
      <c r="L640" s="59"/>
      <c r="M640" s="59">
        <f t="shared" si="23"/>
        <v>152.16722808557881</v>
      </c>
    </row>
    <row r="641" spans="1:13" hidden="1" outlineLevel="2">
      <c r="A641" s="137">
        <v>45986</v>
      </c>
      <c r="B641" s="1" t="s">
        <v>335</v>
      </c>
      <c r="C641" s="346">
        <v>477592540953</v>
      </c>
      <c r="D641" s="1" t="s">
        <v>45</v>
      </c>
      <c r="E641" s="1">
        <v>62.7</v>
      </c>
      <c r="F641" s="1"/>
      <c r="G641" s="59"/>
      <c r="H641" s="59">
        <v>15.158405335758678</v>
      </c>
      <c r="I641" s="59">
        <v>204.68730357075239</v>
      </c>
      <c r="J641" s="59"/>
      <c r="K641" s="59"/>
      <c r="L641" s="59"/>
      <c r="M641" s="59">
        <f t="shared" si="23"/>
        <v>219.84570890651108</v>
      </c>
    </row>
    <row r="642" spans="1:13" hidden="1" outlineLevel="2">
      <c r="A642" s="137">
        <v>45986</v>
      </c>
      <c r="B642" s="1" t="s">
        <v>377</v>
      </c>
      <c r="C642" s="346">
        <v>885838228690</v>
      </c>
      <c r="D642" s="1" t="s">
        <v>45</v>
      </c>
      <c r="E642" s="1">
        <v>5.4</v>
      </c>
      <c r="F642" s="1"/>
      <c r="G642" s="59"/>
      <c r="H642" s="59">
        <v>15.158405335758678</v>
      </c>
      <c r="I642" s="59">
        <v>38.630201825135373</v>
      </c>
      <c r="J642" s="59"/>
      <c r="K642" s="59"/>
      <c r="L642" s="59"/>
      <c r="M642" s="59">
        <f t="shared" si="23"/>
        <v>53.788607160894053</v>
      </c>
    </row>
    <row r="643" spans="1:13" hidden="1" outlineLevel="2">
      <c r="A643" s="137">
        <v>45986</v>
      </c>
      <c r="B643" s="1" t="s">
        <v>184</v>
      </c>
      <c r="C643" s="346">
        <v>885889469354</v>
      </c>
      <c r="D643" s="1" t="s">
        <v>45</v>
      </c>
      <c r="E643" s="1">
        <v>43</v>
      </c>
      <c r="F643" s="1"/>
      <c r="G643" s="59"/>
      <c r="H643" s="59">
        <v>15.158405335758678</v>
      </c>
      <c r="I643" s="59">
        <v>114.72853951304479</v>
      </c>
      <c r="J643" s="59"/>
      <c r="K643" s="59"/>
      <c r="L643" s="59"/>
      <c r="M643" s="59">
        <f t="shared" si="23"/>
        <v>129.88694484880347</v>
      </c>
    </row>
    <row r="644" spans="1:13" hidden="1" outlineLevel="2">
      <c r="A644" s="137">
        <v>45986</v>
      </c>
      <c r="B644" s="1" t="s">
        <v>258</v>
      </c>
      <c r="C644" s="346">
        <v>618108349126</v>
      </c>
      <c r="D644" s="1" t="s">
        <v>45</v>
      </c>
      <c r="E644" s="1">
        <v>2.9</v>
      </c>
      <c r="F644" s="1"/>
      <c r="G644" s="59"/>
      <c r="H644" s="59">
        <v>15.158405335758678</v>
      </c>
      <c r="I644" s="59">
        <v>30.707864743080009</v>
      </c>
      <c r="J644" s="59"/>
      <c r="K644" s="59"/>
      <c r="L644" s="59"/>
      <c r="M644" s="59">
        <f t="shared" si="23"/>
        <v>45.866270078838689</v>
      </c>
    </row>
    <row r="645" spans="1:13" hidden="1" outlineLevel="2">
      <c r="A645" s="137">
        <v>45986</v>
      </c>
      <c r="B645" s="1" t="s">
        <v>258</v>
      </c>
      <c r="C645" s="346">
        <v>618108349078</v>
      </c>
      <c r="D645" s="1" t="s">
        <v>45</v>
      </c>
      <c r="E645" s="1">
        <v>17.2</v>
      </c>
      <c r="F645" s="1"/>
      <c r="G645" s="59"/>
      <c r="H645" s="59">
        <v>15.158405335758678</v>
      </c>
      <c r="I645" s="59">
        <v>75.730016282327995</v>
      </c>
      <c r="J645" s="59"/>
      <c r="K645" s="59"/>
      <c r="L645" s="59"/>
      <c r="M645" s="59">
        <f t="shared" si="23"/>
        <v>90.888421618086667</v>
      </c>
    </row>
    <row r="646" spans="1:13" hidden="1" outlineLevel="2">
      <c r="A646" s="137">
        <v>45986</v>
      </c>
      <c r="B646" s="1" t="s">
        <v>374</v>
      </c>
      <c r="C646" s="346">
        <v>886000206972</v>
      </c>
      <c r="D646" s="1" t="s">
        <v>45</v>
      </c>
      <c r="E646" s="1">
        <v>3.2</v>
      </c>
      <c r="F646" s="1"/>
      <c r="G646" s="59"/>
      <c r="H646" s="59">
        <v>15.158405335758678</v>
      </c>
      <c r="I646" s="59">
        <v>33.555984702184858</v>
      </c>
      <c r="J646" s="59"/>
      <c r="K646" s="59"/>
      <c r="L646" s="59"/>
      <c r="M646" s="59">
        <f t="shared" si="23"/>
        <v>48.714390037943538</v>
      </c>
    </row>
    <row r="647" spans="1:13" hidden="1" outlineLevel="2">
      <c r="A647" s="137">
        <v>45986</v>
      </c>
      <c r="B647" s="1" t="s">
        <v>802</v>
      </c>
      <c r="C647" s="346">
        <v>395249591286</v>
      </c>
      <c r="D647" s="1" t="s">
        <v>45</v>
      </c>
      <c r="E647" s="1">
        <v>41.6</v>
      </c>
      <c r="F647" s="1"/>
      <c r="G647" s="59"/>
      <c r="H647" s="59">
        <v>15.158405335758678</v>
      </c>
      <c r="I647" s="59">
        <v>151.50039759173009</v>
      </c>
      <c r="J647" s="59"/>
      <c r="K647" s="59"/>
      <c r="L647" s="59"/>
      <c r="M647" s="59">
        <f t="shared" si="23"/>
        <v>166.65880292748878</v>
      </c>
    </row>
    <row r="648" spans="1:13" hidden="1" outlineLevel="2">
      <c r="A648" s="137">
        <v>45986</v>
      </c>
      <c r="B648" s="1" t="s">
        <v>799</v>
      </c>
      <c r="C648" s="346">
        <v>886038022922</v>
      </c>
      <c r="D648" s="1" t="s">
        <v>45</v>
      </c>
      <c r="E648" s="1">
        <v>20.2</v>
      </c>
      <c r="F648" s="1"/>
      <c r="G648" s="59"/>
      <c r="H648" s="59">
        <v>15.158405335758678</v>
      </c>
      <c r="I648" s="59">
        <v>59.272672195085008</v>
      </c>
      <c r="J648" s="59"/>
      <c r="K648" s="59"/>
      <c r="L648" s="59"/>
      <c r="M648" s="59">
        <f t="shared" si="23"/>
        <v>74.43107753084368</v>
      </c>
    </row>
    <row r="649" spans="1:13" hidden="1" outlineLevel="2">
      <c r="A649" s="137">
        <v>45986</v>
      </c>
      <c r="B649" s="1" t="s">
        <v>803</v>
      </c>
      <c r="C649" s="346">
        <v>482602717082</v>
      </c>
      <c r="D649" s="1" t="s">
        <v>45</v>
      </c>
      <c r="E649" s="1">
        <v>84</v>
      </c>
      <c r="F649" s="1"/>
      <c r="G649" s="59"/>
      <c r="H649" s="59">
        <v>15.158405335758678</v>
      </c>
      <c r="I649" s="59">
        <v>438.1320383202696</v>
      </c>
      <c r="J649" s="59"/>
      <c r="K649" s="59"/>
      <c r="L649" s="59"/>
      <c r="M649" s="59">
        <f t="shared" si="23"/>
        <v>453.29044365602829</v>
      </c>
    </row>
    <row r="650" spans="1:13" hidden="1" outlineLevel="2">
      <c r="A650" s="137">
        <v>45986</v>
      </c>
      <c r="B650" s="1" t="s">
        <v>804</v>
      </c>
      <c r="C650" s="346">
        <v>395340327027</v>
      </c>
      <c r="D650" s="1" t="s">
        <v>45</v>
      </c>
      <c r="E650" s="1">
        <v>5.4</v>
      </c>
      <c r="F650" s="1"/>
      <c r="G650" s="59"/>
      <c r="H650" s="59">
        <v>15.158405335758678</v>
      </c>
      <c r="I650" s="59">
        <v>37.85239880343822</v>
      </c>
      <c r="J650" s="59"/>
      <c r="K650" s="59"/>
      <c r="L650" s="59"/>
      <c r="M650" s="59">
        <f t="shared" si="23"/>
        <v>53.0108041391969</v>
      </c>
    </row>
    <row r="651" spans="1:13" hidden="1" outlineLevel="2">
      <c r="A651" s="137">
        <v>45986</v>
      </c>
      <c r="B651" s="1" t="s">
        <v>377</v>
      </c>
      <c r="C651" s="346">
        <v>886040031088</v>
      </c>
      <c r="D651" s="1" t="s">
        <v>45</v>
      </c>
      <c r="E651" s="1">
        <v>56.8</v>
      </c>
      <c r="F651" s="1"/>
      <c r="G651" s="59"/>
      <c r="H651" s="59">
        <v>15.158405335758678</v>
      </c>
      <c r="I651" s="59">
        <v>206.64387140747473</v>
      </c>
      <c r="J651" s="59"/>
      <c r="K651" s="59"/>
      <c r="L651" s="59"/>
      <c r="M651" s="59">
        <f t="shared" si="23"/>
        <v>221.80227674323342</v>
      </c>
    </row>
    <row r="652" spans="1:13" hidden="1" outlineLevel="2">
      <c r="A652" s="137">
        <v>45986</v>
      </c>
      <c r="B652" s="1" t="s">
        <v>258</v>
      </c>
      <c r="C652" s="346">
        <v>490726187404</v>
      </c>
      <c r="D652" s="1" t="s">
        <v>45</v>
      </c>
      <c r="E652" s="1">
        <v>4.4000000000000004</v>
      </c>
      <c r="F652" s="1"/>
      <c r="G652" s="59"/>
      <c r="H652" s="59">
        <v>15.158405335758678</v>
      </c>
      <c r="I652" s="59">
        <v>39.326744670377522</v>
      </c>
      <c r="J652" s="59"/>
      <c r="K652" s="59"/>
      <c r="L652" s="59"/>
      <c r="M652" s="59">
        <f t="shared" si="23"/>
        <v>54.485150006136202</v>
      </c>
    </row>
    <row r="653" spans="1:13" hidden="1" outlineLevel="2">
      <c r="A653" s="137">
        <v>45986</v>
      </c>
      <c r="B653" s="1" t="s">
        <v>258</v>
      </c>
      <c r="C653" s="346">
        <v>490726187389</v>
      </c>
      <c r="D653" s="1" t="s">
        <v>45</v>
      </c>
      <c r="E653" s="1">
        <v>4.7</v>
      </c>
      <c r="F653" s="1"/>
      <c r="G653" s="59"/>
      <c r="H653" s="59">
        <v>15.158405335758678</v>
      </c>
      <c r="I653" s="59">
        <v>42.180241584308376</v>
      </c>
      <c r="J653" s="59"/>
      <c r="K653" s="59"/>
      <c r="L653" s="59"/>
      <c r="M653" s="59">
        <f t="shared" si="23"/>
        <v>57.338646920067056</v>
      </c>
    </row>
    <row r="654" spans="1:13" hidden="1" outlineLevel="2">
      <c r="A654" s="137">
        <v>45986</v>
      </c>
      <c r="B654" s="1" t="s">
        <v>844</v>
      </c>
      <c r="C654" s="346">
        <v>886142181390</v>
      </c>
      <c r="D654" s="1" t="s">
        <v>45</v>
      </c>
      <c r="E654" s="1">
        <v>11.5</v>
      </c>
      <c r="F654" s="1"/>
      <c r="G654" s="59"/>
      <c r="H654" s="59">
        <v>15.158405335758678</v>
      </c>
      <c r="I654" s="59">
        <v>55.245863152713092</v>
      </c>
      <c r="J654" s="59"/>
      <c r="K654" s="59"/>
      <c r="L654" s="59"/>
      <c r="M654" s="59">
        <f t="shared" si="23"/>
        <v>70.404268488471772</v>
      </c>
    </row>
    <row r="655" spans="1:13" hidden="1" outlineLevel="2">
      <c r="A655" s="137">
        <v>45986</v>
      </c>
      <c r="B655" s="1" t="s">
        <v>802</v>
      </c>
      <c r="C655" s="346">
        <v>395375578635</v>
      </c>
      <c r="D655" s="1" t="s">
        <v>45</v>
      </c>
      <c r="E655" s="1">
        <v>9.6</v>
      </c>
      <c r="F655" s="1"/>
      <c r="G655" s="59"/>
      <c r="H655" s="59">
        <v>15.158405335758678</v>
      </c>
      <c r="I655" s="59">
        <v>44.279185126282705</v>
      </c>
      <c r="J655" s="59"/>
      <c r="K655" s="59"/>
      <c r="L655" s="59"/>
      <c r="M655" s="59">
        <f t="shared" si="23"/>
        <v>59.437590462041385</v>
      </c>
    </row>
    <row r="656" spans="1:13" hidden="1" outlineLevel="2">
      <c r="A656" s="137">
        <v>45986</v>
      </c>
      <c r="B656" s="1" t="s">
        <v>844</v>
      </c>
      <c r="C656" s="346">
        <v>4711886029</v>
      </c>
      <c r="D656" s="1" t="s">
        <v>85</v>
      </c>
      <c r="E656" s="1">
        <v>132</v>
      </c>
      <c r="F656" s="1"/>
      <c r="G656" s="59"/>
      <c r="H656" s="59">
        <v>15.158405335758678</v>
      </c>
      <c r="I656" s="59">
        <v>375.99785339077033</v>
      </c>
      <c r="J656" s="59"/>
      <c r="K656" s="59"/>
      <c r="L656" s="59"/>
      <c r="M656" s="59">
        <f t="shared" si="23"/>
        <v>391.15625872652902</v>
      </c>
    </row>
    <row r="657" spans="1:13" hidden="1" outlineLevel="2">
      <c r="A657" s="137">
        <v>45986</v>
      </c>
      <c r="B657" s="1" t="s">
        <v>801</v>
      </c>
      <c r="C657" s="346">
        <v>4711886497</v>
      </c>
      <c r="D657" s="1" t="s">
        <v>85</v>
      </c>
      <c r="E657" s="1">
        <v>289</v>
      </c>
      <c r="F657" s="1"/>
      <c r="G657" s="59"/>
      <c r="H657" s="59">
        <v>15.158405335758678</v>
      </c>
      <c r="I657" s="59">
        <v>650.38785090425279</v>
      </c>
      <c r="J657" s="59"/>
      <c r="K657" s="59"/>
      <c r="L657" s="59"/>
      <c r="M657" s="59">
        <f t="shared" si="23"/>
        <v>665.54625624001142</v>
      </c>
    </row>
    <row r="658" spans="1:13" hidden="1" outlineLevel="2">
      <c r="A658" s="137">
        <v>45986</v>
      </c>
      <c r="B658" s="1" t="s">
        <v>828</v>
      </c>
      <c r="C658" s="346">
        <v>4711887543</v>
      </c>
      <c r="D658" s="1" t="s">
        <v>85</v>
      </c>
      <c r="E658" s="1">
        <v>160.5</v>
      </c>
      <c r="F658" s="1"/>
      <c r="G658" s="59"/>
      <c r="H658" s="59">
        <v>15.158405335758678</v>
      </c>
      <c r="I658" s="59">
        <v>404.95785090425272</v>
      </c>
      <c r="J658" s="59"/>
      <c r="K658" s="59"/>
      <c r="L658" s="59"/>
      <c r="M658" s="59">
        <f t="shared" si="23"/>
        <v>420.11625624001141</v>
      </c>
    </row>
    <row r="659" spans="1:13" hidden="1" outlineLevel="2">
      <c r="A659" s="137">
        <v>45986</v>
      </c>
      <c r="B659" s="1" t="s">
        <v>376</v>
      </c>
      <c r="C659" s="346">
        <v>4711888076</v>
      </c>
      <c r="D659" s="1" t="s">
        <v>85</v>
      </c>
      <c r="E659" s="1">
        <v>257</v>
      </c>
      <c r="F659" s="1"/>
      <c r="G659" s="59"/>
      <c r="H659" s="59">
        <v>15.158405335758678</v>
      </c>
      <c r="I659" s="59">
        <v>627.81785178557311</v>
      </c>
      <c r="J659" s="59"/>
      <c r="K659" s="59"/>
      <c r="L659" s="59"/>
      <c r="M659" s="59">
        <f t="shared" si="23"/>
        <v>642.97625712133174</v>
      </c>
    </row>
    <row r="660" spans="1:13" hidden="1" outlineLevel="2">
      <c r="A660" s="137">
        <v>45986</v>
      </c>
      <c r="B660" s="1" t="s">
        <v>801</v>
      </c>
      <c r="C660" s="346">
        <v>4711888159</v>
      </c>
      <c r="D660" s="1" t="s">
        <v>85</v>
      </c>
      <c r="E660" s="1">
        <v>304</v>
      </c>
      <c r="F660" s="1"/>
      <c r="G660" s="59"/>
      <c r="H660" s="59">
        <v>15.158405335758678</v>
      </c>
      <c r="I660" s="59">
        <v>679.03785314765855</v>
      </c>
      <c r="J660" s="59"/>
      <c r="K660" s="59"/>
      <c r="L660" s="59"/>
      <c r="M660" s="59">
        <f t="shared" si="23"/>
        <v>694.19625848341718</v>
      </c>
    </row>
    <row r="661" spans="1:13" hidden="1" outlineLevel="2">
      <c r="A661" s="137">
        <v>45986</v>
      </c>
      <c r="B661" s="1" t="s">
        <v>378</v>
      </c>
      <c r="C661" s="346">
        <v>4711889167</v>
      </c>
      <c r="D661" s="1" t="s">
        <v>85</v>
      </c>
      <c r="E661" s="1">
        <v>240.5</v>
      </c>
      <c r="F661" s="1"/>
      <c r="G661" s="59"/>
      <c r="H661" s="59">
        <v>15.158405335758678</v>
      </c>
      <c r="I661" s="59">
        <v>593.83785091576283</v>
      </c>
      <c r="J661" s="59"/>
      <c r="K661" s="59"/>
      <c r="L661" s="59"/>
      <c r="M661" s="59">
        <f t="shared" si="23"/>
        <v>608.99625625152146</v>
      </c>
    </row>
    <row r="662" spans="1:13" hidden="1" outlineLevel="2">
      <c r="A662" s="137">
        <v>45986</v>
      </c>
      <c r="B662" s="1" t="s">
        <v>801</v>
      </c>
      <c r="C662" s="346">
        <v>4711889453</v>
      </c>
      <c r="D662" s="1" t="s">
        <v>85</v>
      </c>
      <c r="E662" s="1">
        <v>474</v>
      </c>
      <c r="F662" s="1"/>
      <c r="G662" s="59"/>
      <c r="H662" s="59">
        <v>15.158405335758678</v>
      </c>
      <c r="I662" s="59">
        <v>1003.7378509157628</v>
      </c>
      <c r="J662" s="59"/>
      <c r="K662" s="59"/>
      <c r="L662" s="59"/>
      <c r="M662" s="59">
        <f t="shared" si="23"/>
        <v>1018.8962562515214</v>
      </c>
    </row>
    <row r="663" spans="1:13" hidden="1" outlineLevel="2">
      <c r="A663" s="137">
        <v>45986</v>
      </c>
      <c r="B663" s="1" t="s">
        <v>376</v>
      </c>
      <c r="C663" s="346">
        <v>4711889729</v>
      </c>
      <c r="D663" s="1" t="s">
        <v>85</v>
      </c>
      <c r="E663" s="1">
        <v>220</v>
      </c>
      <c r="F663" s="1"/>
      <c r="G663" s="59"/>
      <c r="H663" s="59">
        <v>15.158405335758678</v>
      </c>
      <c r="I663" s="59">
        <v>551.59785091576282</v>
      </c>
      <c r="J663" s="59"/>
      <c r="K663" s="59"/>
      <c r="L663" s="59"/>
      <c r="M663" s="59">
        <f t="shared" si="23"/>
        <v>566.75625625152145</v>
      </c>
    </row>
    <row r="664" spans="1:13" hidden="1" outlineLevel="2">
      <c r="A664" s="137">
        <v>45986</v>
      </c>
      <c r="B664" s="1" t="s">
        <v>378</v>
      </c>
      <c r="C664" s="346">
        <v>4711890011</v>
      </c>
      <c r="D664" s="1" t="s">
        <v>85</v>
      </c>
      <c r="E664" s="1">
        <v>144.5</v>
      </c>
      <c r="F664" s="1"/>
      <c r="G664" s="59"/>
      <c r="H664" s="59">
        <v>15.158405335758678</v>
      </c>
      <c r="I664" s="59">
        <v>399.39785091576277</v>
      </c>
      <c r="J664" s="59"/>
      <c r="K664" s="59"/>
      <c r="L664" s="59"/>
      <c r="M664" s="59">
        <f t="shared" si="23"/>
        <v>414.55625625152146</v>
      </c>
    </row>
    <row r="665" spans="1:13" hidden="1" outlineLevel="2">
      <c r="A665" s="137">
        <v>45986</v>
      </c>
      <c r="B665" s="1" t="s">
        <v>801</v>
      </c>
      <c r="C665" s="346">
        <v>4711890771</v>
      </c>
      <c r="D665" s="1" t="s">
        <v>85</v>
      </c>
      <c r="E665" s="1">
        <v>403.5</v>
      </c>
      <c r="F665" s="1"/>
      <c r="G665" s="59"/>
      <c r="H665" s="59">
        <v>15.158405335758678</v>
      </c>
      <c r="I665" s="59">
        <v>869.09038779314528</v>
      </c>
      <c r="J665" s="59"/>
      <c r="K665" s="59"/>
      <c r="L665" s="59"/>
      <c r="M665" s="59">
        <f t="shared" si="23"/>
        <v>884.24879312890391</v>
      </c>
    </row>
    <row r="666" spans="1:13" hidden="1" outlineLevel="2">
      <c r="A666" s="137">
        <v>45986</v>
      </c>
      <c r="B666" s="1" t="s">
        <v>376</v>
      </c>
      <c r="C666" s="346">
        <v>4711890938</v>
      </c>
      <c r="D666" s="1" t="s">
        <v>85</v>
      </c>
      <c r="E666" s="1">
        <v>242.5</v>
      </c>
      <c r="F666" s="1"/>
      <c r="G666" s="59"/>
      <c r="H666" s="59">
        <v>15.158405335758678</v>
      </c>
      <c r="I666" s="59">
        <v>597.95531607805231</v>
      </c>
      <c r="J666" s="59"/>
      <c r="K666" s="59"/>
      <c r="L666" s="59"/>
      <c r="M666" s="59">
        <f t="shared" si="23"/>
        <v>613.11372141381094</v>
      </c>
    </row>
    <row r="667" spans="1:13" hidden="1" outlineLevel="2">
      <c r="A667" s="137">
        <v>45986</v>
      </c>
      <c r="B667" s="1" t="s">
        <v>376</v>
      </c>
      <c r="C667" s="346">
        <v>4711892110</v>
      </c>
      <c r="D667" s="1" t="s">
        <v>85</v>
      </c>
      <c r="E667" s="1">
        <v>410</v>
      </c>
      <c r="F667" s="1"/>
      <c r="G667" s="59"/>
      <c r="H667" s="59">
        <v>15.158405335758678</v>
      </c>
      <c r="I667" s="59">
        <v>942.98264805279985</v>
      </c>
      <c r="J667" s="59"/>
      <c r="K667" s="59"/>
      <c r="L667" s="59"/>
      <c r="M667" s="59">
        <f t="shared" si="23"/>
        <v>958.14105338855848</v>
      </c>
    </row>
    <row r="668" spans="1:13" hidden="1" outlineLevel="2">
      <c r="A668" s="137">
        <v>45986</v>
      </c>
      <c r="B668" s="1" t="s">
        <v>801</v>
      </c>
      <c r="C668" s="346">
        <v>4711892608</v>
      </c>
      <c r="D668" s="1" t="s">
        <v>85</v>
      </c>
      <c r="E668" s="1">
        <v>178.5</v>
      </c>
      <c r="F668" s="1"/>
      <c r="G668" s="59"/>
      <c r="H668" s="59">
        <v>15.158405335758678</v>
      </c>
      <c r="I668" s="59">
        <v>439.29228410254132</v>
      </c>
      <c r="J668" s="59"/>
      <c r="K668" s="59"/>
      <c r="L668" s="59"/>
      <c r="M668" s="59">
        <f t="shared" si="23"/>
        <v>454.4506894383</v>
      </c>
    </row>
    <row r="669" spans="1:13" hidden="1" outlineLevel="2">
      <c r="A669" s="137">
        <v>45986</v>
      </c>
      <c r="B669" s="1" t="s">
        <v>801</v>
      </c>
      <c r="C669" s="346">
        <v>4711894955</v>
      </c>
      <c r="D669" s="1" t="s">
        <v>85</v>
      </c>
      <c r="E669" s="1">
        <v>314.5</v>
      </c>
      <c r="F669" s="1"/>
      <c r="G669" s="59"/>
      <c r="H669" s="59">
        <v>15.158405335758678</v>
      </c>
      <c r="I669" s="59">
        <v>699.03207018593196</v>
      </c>
      <c r="J669" s="59"/>
      <c r="K669" s="59"/>
      <c r="L669" s="59"/>
      <c r="M669" s="59">
        <f t="shared" si="23"/>
        <v>714.19047552169059</v>
      </c>
    </row>
    <row r="670" spans="1:13" hidden="1" outlineLevel="2">
      <c r="A670" s="137">
        <v>45986</v>
      </c>
      <c r="B670" s="1" t="s">
        <v>376</v>
      </c>
      <c r="C670" s="346">
        <v>4711895782</v>
      </c>
      <c r="D670" s="1" t="s">
        <v>85</v>
      </c>
      <c r="E670" s="1">
        <v>251.5</v>
      </c>
      <c r="F670" s="1"/>
      <c r="G670" s="59"/>
      <c r="H670" s="59">
        <v>15.158405335758678</v>
      </c>
      <c r="I670" s="59">
        <v>616.42954653440029</v>
      </c>
      <c r="J670" s="59"/>
      <c r="K670" s="59"/>
      <c r="L670" s="59"/>
      <c r="M670" s="59">
        <f t="shared" si="23"/>
        <v>631.58795187015892</v>
      </c>
    </row>
    <row r="671" spans="1:13" hidden="1" outlineLevel="2">
      <c r="A671" s="137">
        <v>45986</v>
      </c>
      <c r="B671" s="1" t="s">
        <v>801</v>
      </c>
      <c r="C671" s="346">
        <v>4711896023</v>
      </c>
      <c r="D671" s="1" t="s">
        <v>85</v>
      </c>
      <c r="E671" s="1">
        <v>270</v>
      </c>
      <c r="F671" s="1"/>
      <c r="G671" s="59"/>
      <c r="H671" s="59">
        <v>15.158405335758678</v>
      </c>
      <c r="I671" s="59">
        <v>614.01818957104206</v>
      </c>
      <c r="J671" s="59"/>
      <c r="K671" s="59"/>
      <c r="L671" s="59"/>
      <c r="M671" s="59">
        <f t="shared" si="23"/>
        <v>629.17659490680069</v>
      </c>
    </row>
    <row r="672" spans="1:13" hidden="1" outlineLevel="2">
      <c r="A672" s="137">
        <v>45986</v>
      </c>
      <c r="B672" s="1" t="s">
        <v>184</v>
      </c>
      <c r="C672" s="346">
        <v>4720750178</v>
      </c>
      <c r="D672" s="1" t="s">
        <v>85</v>
      </c>
      <c r="E672" s="1">
        <v>611</v>
      </c>
      <c r="F672" s="1"/>
      <c r="G672" s="59"/>
      <c r="H672" s="59">
        <v>15.158405335758678</v>
      </c>
      <c r="I672" s="59">
        <v>1146.0078534118795</v>
      </c>
      <c r="J672" s="59"/>
      <c r="K672" s="59"/>
      <c r="L672" s="59"/>
      <c r="M672" s="59">
        <f t="shared" si="23"/>
        <v>1161.1662587476383</v>
      </c>
    </row>
    <row r="673" spans="1:13" hidden="1" outlineLevel="2">
      <c r="A673" s="137">
        <v>45986</v>
      </c>
      <c r="B673" s="1" t="s">
        <v>184</v>
      </c>
      <c r="C673" s="346">
        <v>4720752550</v>
      </c>
      <c r="D673" s="1" t="s">
        <v>85</v>
      </c>
      <c r="E673" s="1">
        <v>438</v>
      </c>
      <c r="F673" s="1"/>
      <c r="G673" s="59"/>
      <c r="H673" s="59">
        <v>15.158405335758678</v>
      </c>
      <c r="I673" s="59">
        <v>871.96264756224025</v>
      </c>
      <c r="J673" s="59"/>
      <c r="K673" s="59"/>
      <c r="L673" s="59"/>
      <c r="M673" s="59">
        <f t="shared" ref="M673:M736" si="24">SUM(G673:L673)</f>
        <v>887.12105289799888</v>
      </c>
    </row>
    <row r="674" spans="1:13" hidden="1" outlineLevel="2">
      <c r="A674" s="137">
        <v>45986</v>
      </c>
      <c r="B674" s="1" t="s">
        <v>260</v>
      </c>
      <c r="C674" s="346">
        <v>4812855657</v>
      </c>
      <c r="D674" s="1" t="s">
        <v>85</v>
      </c>
      <c r="E674" s="1">
        <v>189</v>
      </c>
      <c r="F674" s="1"/>
      <c r="G674" s="59"/>
      <c r="H674" s="59">
        <v>15.158405335758678</v>
      </c>
      <c r="I674" s="59">
        <v>388.93531542609088</v>
      </c>
      <c r="J674" s="59"/>
      <c r="K674" s="59"/>
      <c r="L674" s="59"/>
      <c r="M674" s="59">
        <f t="shared" si="24"/>
        <v>404.09372076184957</v>
      </c>
    </row>
    <row r="675" spans="1:13" hidden="1" outlineLevel="2">
      <c r="A675" s="137">
        <v>45986</v>
      </c>
      <c r="B675" s="1" t="s">
        <v>830</v>
      </c>
      <c r="C675" s="346">
        <v>4812856740</v>
      </c>
      <c r="D675" s="1" t="s">
        <v>85</v>
      </c>
      <c r="E675" s="1">
        <v>141</v>
      </c>
      <c r="F675" s="1"/>
      <c r="G675" s="59"/>
      <c r="H675" s="59">
        <v>15.158405335758678</v>
      </c>
      <c r="I675" s="59">
        <v>178.50785091576279</v>
      </c>
      <c r="J675" s="59"/>
      <c r="K675" s="59"/>
      <c r="L675" s="59"/>
      <c r="M675" s="59">
        <f t="shared" si="24"/>
        <v>193.66625625152147</v>
      </c>
    </row>
    <row r="676" spans="1:13" hidden="1" outlineLevel="2">
      <c r="A676" s="137">
        <v>45986</v>
      </c>
      <c r="B676" s="1" t="s">
        <v>830</v>
      </c>
      <c r="C676" s="346">
        <v>4812861263</v>
      </c>
      <c r="D676" s="1" t="s">
        <v>85</v>
      </c>
      <c r="E676" s="1">
        <v>83</v>
      </c>
      <c r="F676" s="1"/>
      <c r="G676" s="59"/>
      <c r="H676" s="59">
        <v>15.158405335758678</v>
      </c>
      <c r="I676" s="59">
        <v>137.2822841025413</v>
      </c>
      <c r="J676" s="59"/>
      <c r="K676" s="59"/>
      <c r="L676" s="59"/>
      <c r="M676" s="59">
        <f t="shared" si="24"/>
        <v>152.44068943829998</v>
      </c>
    </row>
    <row r="677" spans="1:13" hidden="1" outlineLevel="2">
      <c r="A677" s="137">
        <v>45986</v>
      </c>
      <c r="B677" s="1" t="s">
        <v>528</v>
      </c>
      <c r="C677" s="346">
        <v>4812863423</v>
      </c>
      <c r="D677" s="1" t="s">
        <v>85</v>
      </c>
      <c r="E677" s="1">
        <v>248</v>
      </c>
      <c r="F677" s="1"/>
      <c r="G677" s="59"/>
      <c r="H677" s="59">
        <v>15.158405335758678</v>
      </c>
      <c r="I677" s="59">
        <v>401.3834397395492</v>
      </c>
      <c r="J677" s="59"/>
      <c r="K677" s="59"/>
      <c r="L677" s="59"/>
      <c r="M677" s="59">
        <f t="shared" si="24"/>
        <v>416.54184507530789</v>
      </c>
    </row>
    <row r="678" spans="1:13" hidden="1" outlineLevel="2">
      <c r="A678" s="137">
        <v>45986</v>
      </c>
      <c r="B678" s="1" t="s">
        <v>830</v>
      </c>
      <c r="C678" s="346">
        <v>4812864666</v>
      </c>
      <c r="D678" s="1" t="s">
        <v>85</v>
      </c>
      <c r="E678" s="1">
        <v>104</v>
      </c>
      <c r="F678" s="1"/>
      <c r="G678" s="59"/>
      <c r="H678" s="59">
        <v>15.158405335758678</v>
      </c>
      <c r="I678" s="59">
        <v>152.16196889798329</v>
      </c>
      <c r="J678" s="59"/>
      <c r="K678" s="59"/>
      <c r="L678" s="59"/>
      <c r="M678" s="59">
        <f t="shared" si="24"/>
        <v>167.32037423374197</v>
      </c>
    </row>
    <row r="679" spans="1:13" hidden="1" outlineLevel="2">
      <c r="A679" s="137">
        <v>45986</v>
      </c>
      <c r="B679" s="1" t="s">
        <v>829</v>
      </c>
      <c r="C679" s="346">
        <v>4914988251</v>
      </c>
      <c r="D679" s="1" t="s">
        <v>85</v>
      </c>
      <c r="E679" s="1">
        <v>158.5</v>
      </c>
      <c r="F679" s="1"/>
      <c r="G679" s="59"/>
      <c r="H679" s="59">
        <v>15.158405335758678</v>
      </c>
      <c r="I679" s="59">
        <v>433.73785091576275</v>
      </c>
      <c r="J679" s="59"/>
      <c r="K679" s="59"/>
      <c r="L679" s="59"/>
      <c r="M679" s="59">
        <f t="shared" si="24"/>
        <v>448.89625625152144</v>
      </c>
    </row>
    <row r="680" spans="1:13" hidden="1" outlineLevel="2">
      <c r="A680" s="137">
        <v>45986</v>
      </c>
      <c r="B680" s="1" t="s">
        <v>180</v>
      </c>
      <c r="C680" s="346" t="s">
        <v>834</v>
      </c>
      <c r="D680" s="1" t="s">
        <v>103</v>
      </c>
      <c r="E680" s="1">
        <v>2255</v>
      </c>
      <c r="F680" s="1">
        <v>11.91</v>
      </c>
      <c r="G680" s="59">
        <v>143.89034041425271</v>
      </c>
      <c r="H680" s="59">
        <v>20.447574690446437</v>
      </c>
      <c r="I680" s="59">
        <v>1142.3119012457873</v>
      </c>
      <c r="J680" s="59"/>
      <c r="K680" s="59"/>
      <c r="L680" s="59">
        <v>93.952819114695743</v>
      </c>
      <c r="M680" s="59">
        <f t="shared" si="24"/>
        <v>1400.6026354651822</v>
      </c>
    </row>
    <row r="681" spans="1:13" hidden="1" outlineLevel="2">
      <c r="A681" s="137">
        <v>45986</v>
      </c>
      <c r="B681" s="1" t="s">
        <v>831</v>
      </c>
      <c r="C681" s="346" t="s">
        <v>835</v>
      </c>
      <c r="D681" s="1" t="s">
        <v>103</v>
      </c>
      <c r="E681" s="1">
        <v>2080</v>
      </c>
      <c r="F681" s="1">
        <v>11.5</v>
      </c>
      <c r="G681" s="59">
        <v>77.625052065583702</v>
      </c>
      <c r="H681" s="59">
        <v>20.447574690446437</v>
      </c>
      <c r="I681" s="59">
        <v>431.6156613275777</v>
      </c>
      <c r="J681" s="59"/>
      <c r="K681" s="59"/>
      <c r="L681" s="59">
        <v>235.18043091370367</v>
      </c>
      <c r="M681" s="59">
        <f t="shared" si="24"/>
        <v>764.86871899731159</v>
      </c>
    </row>
    <row r="682" spans="1:13" hidden="1" outlineLevel="2">
      <c r="A682" s="137">
        <v>45986</v>
      </c>
      <c r="B682" s="1" t="s">
        <v>179</v>
      </c>
      <c r="C682" s="346" t="s">
        <v>836</v>
      </c>
      <c r="D682" s="1" t="s">
        <v>103</v>
      </c>
      <c r="E682" s="1">
        <v>576.41999999999996</v>
      </c>
      <c r="F682" s="1">
        <v>4.82</v>
      </c>
      <c r="G682" s="59">
        <v>54.905524631754325</v>
      </c>
      <c r="H682" s="59">
        <v>52.635267522435534</v>
      </c>
      <c r="I682" s="59">
        <v>718.219622098527</v>
      </c>
      <c r="J682" s="59"/>
      <c r="K682" s="59"/>
      <c r="L682" s="59">
        <v>56.435306145632168</v>
      </c>
      <c r="M682" s="59">
        <f t="shared" si="24"/>
        <v>882.19572039834895</v>
      </c>
    </row>
    <row r="683" spans="1:13" hidden="1" outlineLevel="2">
      <c r="A683" s="137">
        <v>45986</v>
      </c>
      <c r="B683" s="1" t="s">
        <v>180</v>
      </c>
      <c r="C683" s="346" t="s">
        <v>837</v>
      </c>
      <c r="D683" s="1" t="s">
        <v>103</v>
      </c>
      <c r="E683" s="1">
        <v>2410</v>
      </c>
      <c r="F683" s="1">
        <v>11.74</v>
      </c>
      <c r="G683" s="59">
        <v>100.34457949941307</v>
      </c>
      <c r="H683" s="59">
        <v>20.447574690446437</v>
      </c>
      <c r="I683" s="59">
        <v>1116.7755689348328</v>
      </c>
      <c r="J683" s="59"/>
      <c r="K683" s="59"/>
      <c r="L683" s="59">
        <v>225.97447839751601</v>
      </c>
      <c r="M683" s="59">
        <f t="shared" si="24"/>
        <v>1463.5422015222084</v>
      </c>
    </row>
    <row r="684" spans="1:13" hidden="1" outlineLevel="2">
      <c r="A684" s="137">
        <v>45986</v>
      </c>
      <c r="B684" s="1" t="s">
        <v>832</v>
      </c>
      <c r="C684" s="346" t="s">
        <v>838</v>
      </c>
      <c r="D684" s="1" t="s">
        <v>103</v>
      </c>
      <c r="E684" s="1">
        <v>3491.12</v>
      </c>
      <c r="F684" s="1">
        <v>39.04</v>
      </c>
      <c r="G684" s="59">
        <v>162.82327994244386</v>
      </c>
      <c r="H684" s="59">
        <v>20.447574690446437</v>
      </c>
      <c r="I684" s="59">
        <v>1597.8189253663525</v>
      </c>
      <c r="J684" s="59"/>
      <c r="K684" s="59"/>
      <c r="L684" s="59">
        <v>132.50028399409291</v>
      </c>
      <c r="M684" s="59">
        <f t="shared" si="24"/>
        <v>1913.5900639933357</v>
      </c>
    </row>
    <row r="685" spans="1:13" hidden="1" outlineLevel="2">
      <c r="A685" s="137">
        <v>45986</v>
      </c>
      <c r="B685" s="1" t="s">
        <v>833</v>
      </c>
      <c r="C685" s="346" t="s">
        <v>839</v>
      </c>
      <c r="D685" s="1" t="s">
        <v>103</v>
      </c>
      <c r="E685" s="1">
        <v>1205</v>
      </c>
      <c r="F685" s="1">
        <v>5.86</v>
      </c>
      <c r="G685" s="59">
        <v>54.905524631754325</v>
      </c>
      <c r="H685" s="59">
        <v>20.447574690446437</v>
      </c>
      <c r="I685" s="59">
        <v>707.46859025332276</v>
      </c>
      <c r="J685" s="59"/>
      <c r="K685" s="59"/>
      <c r="L685" s="59">
        <v>85.323639668294902</v>
      </c>
      <c r="M685" s="59">
        <f t="shared" si="24"/>
        <v>868.14532924381842</v>
      </c>
    </row>
    <row r="686" spans="1:13" hidden="1" outlineLevel="2">
      <c r="A686" s="137">
        <v>45986</v>
      </c>
      <c r="B686" s="1" t="s">
        <v>269</v>
      </c>
      <c r="C686" s="346" t="s">
        <v>840</v>
      </c>
      <c r="D686" s="1" t="s">
        <v>103</v>
      </c>
      <c r="E686" s="1">
        <v>1530.2</v>
      </c>
      <c r="F686" s="1">
        <v>5.61</v>
      </c>
      <c r="G686" s="59">
        <v>77.625052065583702</v>
      </c>
      <c r="H686" s="59">
        <v>20.447574690446437</v>
      </c>
      <c r="I686" s="59">
        <v>821.48460752016354</v>
      </c>
      <c r="J686" s="59"/>
      <c r="K686" s="59"/>
      <c r="L686" s="59">
        <v>121.44916505736681</v>
      </c>
      <c r="M686" s="59">
        <f t="shared" si="24"/>
        <v>1041.0063993335605</v>
      </c>
    </row>
    <row r="687" spans="1:13" hidden="1" outlineLevel="2">
      <c r="A687" s="137">
        <v>45986</v>
      </c>
      <c r="B687" s="1" t="s">
        <v>269</v>
      </c>
      <c r="C687" s="346" t="s">
        <v>841</v>
      </c>
      <c r="D687" s="1" t="s">
        <v>103</v>
      </c>
      <c r="E687" s="1">
        <v>1082.7</v>
      </c>
      <c r="F687" s="1">
        <v>4.84</v>
      </c>
      <c r="G687" s="59">
        <v>54.905524631754325</v>
      </c>
      <c r="H687" s="59">
        <v>20.447574690446437</v>
      </c>
      <c r="I687" s="59">
        <v>756.85308038926121</v>
      </c>
      <c r="J687" s="59"/>
      <c r="K687" s="59"/>
      <c r="L687" s="59">
        <v>106.35824908175243</v>
      </c>
      <c r="M687" s="59">
        <f t="shared" si="24"/>
        <v>938.56442879321446</v>
      </c>
    </row>
    <row r="688" spans="1:13" hidden="1" outlineLevel="2">
      <c r="A688" s="137">
        <v>45986</v>
      </c>
      <c r="B688" s="1" t="s">
        <v>179</v>
      </c>
      <c r="C688" s="346" t="s">
        <v>842</v>
      </c>
      <c r="D688" s="1" t="s">
        <v>103</v>
      </c>
      <c r="E688" s="1">
        <v>186.22</v>
      </c>
      <c r="F688" s="1">
        <v>0.34</v>
      </c>
      <c r="G688" s="59">
        <v>43.54576091483964</v>
      </c>
      <c r="H688" s="59">
        <v>20.447574690446437</v>
      </c>
      <c r="I688" s="59">
        <v>419.87277064637055</v>
      </c>
      <c r="J688" s="59"/>
      <c r="K688" s="59"/>
      <c r="L688" s="59">
        <v>18.239236623878224</v>
      </c>
      <c r="M688" s="59">
        <f t="shared" si="24"/>
        <v>502.10534287553486</v>
      </c>
    </row>
    <row r="689" spans="1:13" hidden="1" outlineLevel="2">
      <c r="A689" s="137">
        <v>45986</v>
      </c>
      <c r="B689" s="1" t="s">
        <v>289</v>
      </c>
      <c r="C689" s="346" t="s">
        <v>848</v>
      </c>
      <c r="D689" s="1" t="s">
        <v>61</v>
      </c>
      <c r="E689" s="1">
        <v>751.43</v>
      </c>
      <c r="F689" s="1">
        <v>7.97</v>
      </c>
      <c r="G689" s="59">
        <v>90.878109735317508</v>
      </c>
      <c r="H689" s="59">
        <v>15.146351622552917</v>
      </c>
      <c r="I689" s="59">
        <v>514.62555946836312</v>
      </c>
      <c r="J689" s="59"/>
      <c r="K689" s="59"/>
      <c r="L689" s="59">
        <v>163.1307508803817</v>
      </c>
      <c r="M689" s="59">
        <f t="shared" si="24"/>
        <v>783.78077170661527</v>
      </c>
    </row>
    <row r="690" spans="1:13" hidden="1" outlineLevel="2">
      <c r="A690" s="137">
        <v>45986</v>
      </c>
      <c r="B690" s="1" t="s">
        <v>858</v>
      </c>
      <c r="C690" s="346" t="s">
        <v>849</v>
      </c>
      <c r="D690" s="1" t="s">
        <v>61</v>
      </c>
      <c r="E690" s="1">
        <v>1719.5</v>
      </c>
      <c r="F690" s="1">
        <v>10.56</v>
      </c>
      <c r="G690" s="59">
        <v>132.53057669733803</v>
      </c>
      <c r="H690" s="59">
        <v>15.146351622552917</v>
      </c>
      <c r="I690" s="59">
        <v>922.74933545382248</v>
      </c>
      <c r="J690" s="59"/>
      <c r="K690" s="59"/>
      <c r="L690" s="59">
        <v>215.1278730735734</v>
      </c>
      <c r="M690" s="59">
        <f t="shared" si="24"/>
        <v>1285.5541368472868</v>
      </c>
    </row>
    <row r="691" spans="1:13" hidden="1" outlineLevel="2">
      <c r="A691" s="137">
        <v>45986</v>
      </c>
      <c r="B691" s="1" t="s">
        <v>859</v>
      </c>
      <c r="C691" s="346" t="s">
        <v>850</v>
      </c>
      <c r="D691" s="1" t="s">
        <v>61</v>
      </c>
      <c r="E691" s="1">
        <v>530.79999999999995</v>
      </c>
      <c r="F691" s="1">
        <v>4.71</v>
      </c>
      <c r="G691" s="59">
        <v>0</v>
      </c>
      <c r="H691" s="59">
        <v>15.146351622552917</v>
      </c>
      <c r="I691" s="59">
        <v>161.25958764057708</v>
      </c>
      <c r="J691" s="59"/>
      <c r="K691" s="59"/>
      <c r="L691" s="59">
        <v>107.34976712484381</v>
      </c>
      <c r="M691" s="59">
        <f t="shared" si="24"/>
        <v>283.75570638797382</v>
      </c>
    </row>
    <row r="692" spans="1:13" hidden="1" outlineLevel="2">
      <c r="A692" s="137">
        <v>45986</v>
      </c>
      <c r="B692" s="1" t="s">
        <v>860</v>
      </c>
      <c r="C692" s="346" t="s">
        <v>851</v>
      </c>
      <c r="D692" s="1" t="s">
        <v>61</v>
      </c>
      <c r="E692" s="1">
        <v>1527.9</v>
      </c>
      <c r="F692" s="1">
        <v>12.2</v>
      </c>
      <c r="G692" s="59">
        <v>117.38422507478511</v>
      </c>
      <c r="H692" s="59">
        <v>15.146351622552917</v>
      </c>
      <c r="I692" s="59">
        <v>994.76178575485631</v>
      </c>
      <c r="J692" s="59"/>
      <c r="K692" s="59"/>
      <c r="L692" s="59">
        <v>226.46241811503654</v>
      </c>
      <c r="M692" s="59">
        <f t="shared" si="24"/>
        <v>1353.7547805672309</v>
      </c>
    </row>
    <row r="693" spans="1:13" hidden="1" outlineLevel="2">
      <c r="A693" s="137">
        <v>45986</v>
      </c>
      <c r="B693" s="1" t="s">
        <v>289</v>
      </c>
      <c r="C693" s="346" t="s">
        <v>852</v>
      </c>
      <c r="D693" s="1" t="s">
        <v>61</v>
      </c>
      <c r="E693" s="1">
        <v>599.04</v>
      </c>
      <c r="F693" s="1">
        <v>5.21</v>
      </c>
      <c r="G693" s="59">
        <v>64.371994395849896</v>
      </c>
      <c r="H693" s="59">
        <v>15.146351622552917</v>
      </c>
      <c r="I693" s="59">
        <v>393.43387481540378</v>
      </c>
      <c r="J693" s="59"/>
      <c r="K693" s="59"/>
      <c r="L693" s="59">
        <v>113.11189367261161</v>
      </c>
      <c r="M693" s="59">
        <f t="shared" si="24"/>
        <v>586.06411450641815</v>
      </c>
    </row>
    <row r="694" spans="1:13" hidden="1" outlineLevel="2">
      <c r="A694" s="137">
        <v>45986</v>
      </c>
      <c r="B694" s="1" t="s">
        <v>861</v>
      </c>
      <c r="C694" s="346" t="s">
        <v>853</v>
      </c>
      <c r="D694" s="1" t="s">
        <v>61</v>
      </c>
      <c r="E694" s="1">
        <v>1200</v>
      </c>
      <c r="F694" s="1"/>
      <c r="G694" s="59">
        <v>43.54576091483964</v>
      </c>
      <c r="H694" s="59">
        <v>15.146351622552917</v>
      </c>
      <c r="I694" s="59">
        <v>2143.17656859404</v>
      </c>
      <c r="J694" s="59"/>
      <c r="K694" s="59"/>
      <c r="L694" s="59">
        <v>78.600477110076113</v>
      </c>
      <c r="M694" s="59">
        <f t="shared" si="24"/>
        <v>2280.4691582415085</v>
      </c>
    </row>
    <row r="695" spans="1:13" hidden="1" outlineLevel="2">
      <c r="A695" s="137">
        <v>45986</v>
      </c>
      <c r="B695" s="1" t="s">
        <v>372</v>
      </c>
      <c r="C695" s="346" t="s">
        <v>854</v>
      </c>
      <c r="D695" s="1" t="s">
        <v>61</v>
      </c>
      <c r="E695" s="1">
        <v>1073.22</v>
      </c>
      <c r="F695" s="1">
        <v>8.1349999999999998</v>
      </c>
      <c r="G695" s="59">
        <v>0</v>
      </c>
      <c r="H695" s="59">
        <v>15.146351622552917</v>
      </c>
      <c r="I695" s="59">
        <v>940.63882577909044</v>
      </c>
      <c r="J695" s="59"/>
      <c r="K695" s="59"/>
      <c r="L695" s="59">
        <v>110.14695747661781</v>
      </c>
      <c r="M695" s="59">
        <f t="shared" si="24"/>
        <v>1065.9321348782612</v>
      </c>
    </row>
    <row r="696" spans="1:13" hidden="1" outlineLevel="2">
      <c r="A696" s="137">
        <v>45986</v>
      </c>
      <c r="B696" s="1" t="s">
        <v>297</v>
      </c>
      <c r="C696" s="346" t="s">
        <v>855</v>
      </c>
      <c r="D696" s="1" t="s">
        <v>61</v>
      </c>
      <c r="E696" s="1">
        <v>918.34</v>
      </c>
      <c r="F696" s="1">
        <v>4.28</v>
      </c>
      <c r="G696" s="59">
        <v>58.692112537392553</v>
      </c>
      <c r="H696" s="59">
        <v>15.146351622552917</v>
      </c>
      <c r="I696" s="59">
        <v>424.61070089742134</v>
      </c>
      <c r="J696" s="59"/>
      <c r="K696" s="59"/>
      <c r="L696" s="59">
        <v>66.250141997046455</v>
      </c>
      <c r="M696" s="59">
        <f t="shared" si="24"/>
        <v>564.69930705441334</v>
      </c>
    </row>
    <row r="697" spans="1:13" hidden="1" outlineLevel="2">
      <c r="A697" s="137">
        <v>45986</v>
      </c>
      <c r="B697" s="1" t="s">
        <v>289</v>
      </c>
      <c r="C697" s="346" t="s">
        <v>856</v>
      </c>
      <c r="D697" s="1" t="s">
        <v>61</v>
      </c>
      <c r="E697" s="1">
        <v>1353.83</v>
      </c>
      <c r="F697" s="1">
        <v>11.94</v>
      </c>
      <c r="G697" s="59">
        <v>132.53057669733803</v>
      </c>
      <c r="H697" s="59">
        <v>15.146351622552917</v>
      </c>
      <c r="I697" s="59">
        <v>689.73261388163132</v>
      </c>
      <c r="J697" s="59"/>
      <c r="K697" s="59"/>
      <c r="L697" s="59">
        <v>232.6957097959029</v>
      </c>
      <c r="M697" s="59">
        <f t="shared" si="24"/>
        <v>1070.1052519974253</v>
      </c>
    </row>
    <row r="698" spans="1:13" hidden="1" outlineLevel="2">
      <c r="A698" s="137">
        <v>45986</v>
      </c>
      <c r="B698" s="1" t="s">
        <v>291</v>
      </c>
      <c r="C698" s="346" t="s">
        <v>857</v>
      </c>
      <c r="D698" s="1" t="s">
        <v>61</v>
      </c>
      <c r="E698" s="1">
        <v>250.6</v>
      </c>
      <c r="F698" s="1">
        <v>2.13</v>
      </c>
      <c r="G698" s="59">
        <v>37.86587905638229</v>
      </c>
      <c r="H698" s="59">
        <v>15.146351622552917</v>
      </c>
      <c r="I698" s="59">
        <v>86.707573175811262</v>
      </c>
      <c r="J698" s="59"/>
      <c r="K698" s="59"/>
      <c r="L698" s="59">
        <v>62.876292173122799</v>
      </c>
      <c r="M698" s="59">
        <f t="shared" si="24"/>
        <v>202.59609602786929</v>
      </c>
    </row>
    <row r="699" spans="1:13" outlineLevel="1" collapsed="1">
      <c r="A699" s="138" t="s">
        <v>892</v>
      </c>
      <c r="B699" s="1"/>
      <c r="C699" s="346"/>
      <c r="D699" s="1"/>
      <c r="E699" s="1">
        <f t="shared" ref="E699:M699" si="25">SUBTOTAL(9,E607:E698)</f>
        <v>32863.320000000007</v>
      </c>
      <c r="F699" s="1">
        <f t="shared" si="25"/>
        <v>162.79499999999999</v>
      </c>
      <c r="G699" s="59">
        <f t="shared" si="25"/>
        <v>1448.3698739066228</v>
      </c>
      <c r="H699" s="59">
        <f t="shared" si="25"/>
        <v>1474.2429707819172</v>
      </c>
      <c r="I699" s="59">
        <f t="shared" si="25"/>
        <v>35211.512333821993</v>
      </c>
      <c r="J699" s="59">
        <f t="shared" si="25"/>
        <v>0</v>
      </c>
      <c r="K699" s="59">
        <f t="shared" si="25"/>
        <v>0</v>
      </c>
      <c r="L699" s="59">
        <f t="shared" si="25"/>
        <v>2451.1658904161459</v>
      </c>
      <c r="M699" s="59">
        <f t="shared" si="25"/>
        <v>40585.291068926672</v>
      </c>
    </row>
    <row r="700" spans="1:13" hidden="1" outlineLevel="2">
      <c r="A700" s="138">
        <v>46016</v>
      </c>
      <c r="B700" s="1"/>
      <c r="C700" s="346"/>
      <c r="D700" s="1" t="s">
        <v>655</v>
      </c>
      <c r="E700" s="1">
        <v>2794.9000000000019</v>
      </c>
      <c r="F700" s="1"/>
      <c r="G700" s="59"/>
      <c r="H700" s="59"/>
      <c r="I700" s="59">
        <v>10382.861182714174</v>
      </c>
      <c r="J700" s="59"/>
      <c r="K700" s="59"/>
      <c r="L700" s="59"/>
      <c r="M700" s="59">
        <f t="shared" si="24"/>
        <v>10382.861182714174</v>
      </c>
    </row>
    <row r="701" spans="1:13" hidden="1" outlineLevel="2">
      <c r="A701" s="138">
        <v>46016</v>
      </c>
      <c r="B701" s="1"/>
      <c r="C701" s="346"/>
      <c r="D701" s="1" t="s">
        <v>103</v>
      </c>
      <c r="E701" s="1">
        <v>29893.48</v>
      </c>
      <c r="F701" s="1">
        <v>328</v>
      </c>
      <c r="G701" s="563">
        <v>1773.22</v>
      </c>
      <c r="H701" s="563">
        <v>484.46</v>
      </c>
      <c r="I701" s="563">
        <v>16697.38</v>
      </c>
      <c r="J701" s="59"/>
      <c r="K701" s="59"/>
      <c r="L701" s="563">
        <v>2078.69</v>
      </c>
      <c r="M701" s="59">
        <f t="shared" si="24"/>
        <v>21033.75</v>
      </c>
    </row>
    <row r="702" spans="1:13" hidden="1" outlineLevel="2">
      <c r="A702" s="138">
        <v>46016</v>
      </c>
      <c r="B702" s="1"/>
      <c r="C702" s="346"/>
      <c r="D702" s="1" t="s">
        <v>61</v>
      </c>
      <c r="E702" s="1"/>
      <c r="F702" s="1"/>
      <c r="G702" s="563">
        <v>1132.68</v>
      </c>
      <c r="H702" s="563">
        <v>5716.45</v>
      </c>
      <c r="I702" s="59"/>
      <c r="J702" s="59"/>
      <c r="K702" s="59"/>
      <c r="L702" s="59"/>
      <c r="M702" s="59">
        <f t="shared" si="24"/>
        <v>6849.13</v>
      </c>
    </row>
    <row r="703" spans="1:13" hidden="1" outlineLevel="2">
      <c r="A703" s="138">
        <v>46016</v>
      </c>
      <c r="B703" s="1"/>
      <c r="C703" s="346"/>
      <c r="D703" s="1" t="s">
        <v>85</v>
      </c>
      <c r="E703" s="1"/>
      <c r="F703" s="1"/>
      <c r="G703" s="59"/>
      <c r="H703" s="59"/>
      <c r="I703" s="563">
        <v>4486.5600000000004</v>
      </c>
      <c r="J703" s="59"/>
      <c r="K703" s="59"/>
      <c r="L703" s="563">
        <v>233.3</v>
      </c>
      <c r="M703" s="59">
        <f t="shared" si="24"/>
        <v>4719.8600000000006</v>
      </c>
    </row>
    <row r="704" spans="1:13" outlineLevel="1" collapsed="1">
      <c r="A704" s="138" t="s">
        <v>1265</v>
      </c>
      <c r="B704" s="1"/>
      <c r="C704" s="346"/>
      <c r="D704" s="1"/>
      <c r="E704" s="1">
        <f t="shared" ref="E704:M704" si="26">SUBTOTAL(9,E700:E703)</f>
        <v>32688.38</v>
      </c>
      <c r="F704" s="1">
        <f t="shared" si="26"/>
        <v>328</v>
      </c>
      <c r="G704" s="59">
        <f t="shared" si="26"/>
        <v>2905.9</v>
      </c>
      <c r="H704" s="59">
        <f t="shared" si="26"/>
        <v>6200.91</v>
      </c>
      <c r="I704" s="563">
        <f t="shared" si="26"/>
        <v>31566.801182714178</v>
      </c>
      <c r="J704" s="59">
        <f t="shared" si="26"/>
        <v>0</v>
      </c>
      <c r="K704" s="59">
        <f t="shared" si="26"/>
        <v>0</v>
      </c>
      <c r="L704" s="563">
        <f t="shared" si="26"/>
        <v>2311.9900000000002</v>
      </c>
      <c r="M704" s="59">
        <f t="shared" si="26"/>
        <v>42985.60118271417</v>
      </c>
    </row>
    <row r="705" spans="1:13" hidden="1" outlineLevel="2">
      <c r="A705" s="138">
        <v>46023</v>
      </c>
      <c r="B705" s="1"/>
      <c r="C705" s="346"/>
      <c r="D705" s="1" t="s">
        <v>655</v>
      </c>
      <c r="E705" s="1">
        <v>2142.1999999999994</v>
      </c>
      <c r="F705" s="1"/>
      <c r="G705" s="59"/>
      <c r="H705" s="59"/>
      <c r="I705" s="59">
        <v>8028.1232593726099</v>
      </c>
      <c r="J705" s="59"/>
      <c r="K705" s="59"/>
      <c r="L705" s="59"/>
      <c r="M705" s="59">
        <f t="shared" si="24"/>
        <v>8028.1232593726099</v>
      </c>
    </row>
    <row r="706" spans="1:13" hidden="1" outlineLevel="2">
      <c r="A706" s="138">
        <v>46023</v>
      </c>
      <c r="B706" s="1"/>
      <c r="C706" s="346"/>
      <c r="D706" s="1" t="s">
        <v>103</v>
      </c>
      <c r="E706" s="566">
        <v>22275.650000000005</v>
      </c>
      <c r="F706" s="1">
        <v>170.55999999999997</v>
      </c>
      <c r="G706" s="59">
        <v>1281.5608263198164</v>
      </c>
      <c r="H706" s="59">
        <v>289.21193573068092</v>
      </c>
      <c r="I706" s="59">
        <v>13111.099387911247</v>
      </c>
      <c r="J706" s="59"/>
      <c r="K706" s="59"/>
      <c r="L706" s="59">
        <v>2252.2201606732974</v>
      </c>
      <c r="M706" s="59">
        <f t="shared" si="24"/>
        <v>16934.092310635042</v>
      </c>
    </row>
    <row r="707" spans="1:13" hidden="1" outlineLevel="2">
      <c r="A707" s="138">
        <v>46023</v>
      </c>
      <c r="B707" s="1"/>
      <c r="C707" s="346"/>
      <c r="D707" s="1" t="s">
        <v>61</v>
      </c>
      <c r="E707" s="565">
        <v>47210.277999999984</v>
      </c>
      <c r="F707" s="1">
        <v>82.192999999999998</v>
      </c>
      <c r="G707" s="59">
        <v>548.96710022953323</v>
      </c>
      <c r="H707" s="59">
        <v>3708.8752869166092</v>
      </c>
      <c r="I707" s="59">
        <v>4202.3957538255545</v>
      </c>
      <c r="J707" s="59"/>
      <c r="K707" s="59"/>
      <c r="L707" s="59">
        <v>992.43783473603673</v>
      </c>
      <c r="M707" s="59">
        <f t="shared" si="24"/>
        <v>9452.6759757077343</v>
      </c>
    </row>
    <row r="708" spans="1:13" hidden="1" outlineLevel="2">
      <c r="A708" s="138">
        <v>46023</v>
      </c>
      <c r="B708" s="1"/>
      <c r="C708" s="346"/>
      <c r="D708" s="1" t="s">
        <v>85</v>
      </c>
      <c r="E708" s="1">
        <v>1756</v>
      </c>
      <c r="F708" s="1"/>
      <c r="G708" s="59"/>
      <c r="H708" s="59"/>
      <c r="I708" s="59">
        <v>3765.44</v>
      </c>
      <c r="J708" s="59"/>
      <c r="K708" s="59"/>
      <c r="L708" s="59">
        <v>333.53</v>
      </c>
      <c r="M708" s="59">
        <f t="shared" si="24"/>
        <v>4098.97</v>
      </c>
    </row>
    <row r="709" spans="1:13" outlineLevel="1" collapsed="1">
      <c r="A709" s="138" t="s">
        <v>1407</v>
      </c>
      <c r="B709" s="1"/>
      <c r="C709" s="346"/>
      <c r="D709" s="1"/>
      <c r="E709" s="1">
        <f t="shared" ref="E709:M709" si="27">SUBTOTAL(9,E705:E708)</f>
        <v>73384.127999999997</v>
      </c>
      <c r="F709" s="1">
        <f t="shared" si="27"/>
        <v>252.75299999999999</v>
      </c>
      <c r="G709" s="59">
        <f t="shared" si="27"/>
        <v>1830.5279265493496</v>
      </c>
      <c r="H709" s="59">
        <f t="shared" si="27"/>
        <v>3998.0872226472902</v>
      </c>
      <c r="I709" s="59">
        <f t="shared" si="27"/>
        <v>29107.058401109407</v>
      </c>
      <c r="J709" s="59">
        <f t="shared" si="27"/>
        <v>0</v>
      </c>
      <c r="K709" s="59">
        <f t="shared" si="27"/>
        <v>0</v>
      </c>
      <c r="L709" s="59">
        <f t="shared" si="27"/>
        <v>3578.1879954093338</v>
      </c>
      <c r="M709" s="59">
        <f t="shared" si="27"/>
        <v>38513.861545715386</v>
      </c>
    </row>
    <row r="710" spans="1:13" hidden="1" outlineLevel="2">
      <c r="A710" s="138">
        <v>46054</v>
      </c>
      <c r="B710" s="1" t="s">
        <v>294</v>
      </c>
      <c r="C710" s="346" t="s">
        <v>1417</v>
      </c>
      <c r="D710" s="341" t="s">
        <v>1783</v>
      </c>
      <c r="E710" s="367">
        <f>_xlfn.XLOOKUP(C710,[1]Material!$F:$F,[1]Material!$D:$D)</f>
        <v>1113.95</v>
      </c>
      <c r="F710" s="1">
        <v>5.41</v>
      </c>
      <c r="G710" s="59">
        <v>64.621583608925377</v>
      </c>
      <c r="H710" s="59">
        <v>15.205078496217737</v>
      </c>
      <c r="I710" s="59">
        <v>494.02916714182538</v>
      </c>
      <c r="J710" s="59"/>
      <c r="K710" s="59">
        <v>76.565324818489373</v>
      </c>
      <c r="L710" s="59"/>
      <c r="M710" s="59">
        <f t="shared" si="24"/>
        <v>650.42115406545781</v>
      </c>
    </row>
    <row r="711" spans="1:13" hidden="1" outlineLevel="2">
      <c r="A711" s="138">
        <v>46054</v>
      </c>
      <c r="B711" s="1" t="s">
        <v>1460</v>
      </c>
      <c r="C711" s="346" t="s">
        <v>1418</v>
      </c>
      <c r="D711" s="341" t="s">
        <v>1783</v>
      </c>
      <c r="E711" s="367">
        <f>_xlfn.XLOOKUP(C711,[1]Material!$F:$F,[1]Material!$D:$D)</f>
        <v>1401.1</v>
      </c>
      <c r="F711" s="1">
        <v>12.12</v>
      </c>
      <c r="G711" s="59">
        <v>133.0444368419052</v>
      </c>
      <c r="H711" s="59">
        <v>15.205078496217737</v>
      </c>
      <c r="I711" s="59">
        <v>700.37697494963322</v>
      </c>
      <c r="J711" s="59"/>
      <c r="K711" s="59">
        <v>253.33249705401605</v>
      </c>
      <c r="L711" s="59"/>
      <c r="M711" s="59">
        <f t="shared" si="24"/>
        <v>1101.9589873417722</v>
      </c>
    </row>
    <row r="712" spans="1:13" hidden="1" outlineLevel="2">
      <c r="A712" s="138">
        <v>46054</v>
      </c>
      <c r="B712" s="1" t="s">
        <v>948</v>
      </c>
      <c r="C712" s="346">
        <v>4110333205</v>
      </c>
      <c r="D712" s="341" t="s">
        <v>85</v>
      </c>
      <c r="E712" s="367">
        <f>_xlfn.XLOOKUP(C712,[1]Material!$F:$F,[1]Material!$D:$D)</f>
        <v>2</v>
      </c>
      <c r="F712" s="1"/>
      <c r="G712" s="59">
        <v>0</v>
      </c>
      <c r="H712" s="59">
        <v>15.205078496217737</v>
      </c>
      <c r="I712" s="59">
        <v>0</v>
      </c>
      <c r="J712" s="59"/>
      <c r="K712" s="59">
        <v>0</v>
      </c>
      <c r="L712" s="59"/>
      <c r="M712" s="59">
        <f t="shared" si="24"/>
        <v>15.205078496217737</v>
      </c>
    </row>
    <row r="713" spans="1:13" hidden="1" outlineLevel="2">
      <c r="A713" s="138">
        <v>46054</v>
      </c>
      <c r="B713" s="1" t="s">
        <v>1325</v>
      </c>
      <c r="C713" s="346">
        <v>499549044515</v>
      </c>
      <c r="D713" s="341" t="s">
        <v>45</v>
      </c>
      <c r="E713" s="367">
        <f>_xlfn.XLOOKUP(C713,[1]Material!$F:$F,[1]Material!$D:$D)</f>
        <v>15</v>
      </c>
      <c r="F713" s="1"/>
      <c r="G713" s="59">
        <v>0</v>
      </c>
      <c r="H713" s="59">
        <v>15.205078496217737</v>
      </c>
      <c r="I713" s="59">
        <v>75.30440567149428</v>
      </c>
      <c r="J713" s="59"/>
      <c r="K713" s="59">
        <v>0</v>
      </c>
      <c r="L713" s="59"/>
      <c r="M713" s="59">
        <f t="shared" si="24"/>
        <v>90.509484167712017</v>
      </c>
    </row>
    <row r="714" spans="1:13" hidden="1" outlineLevel="2">
      <c r="A714" s="138">
        <v>46054</v>
      </c>
      <c r="B714" s="1" t="s">
        <v>948</v>
      </c>
      <c r="C714" s="346">
        <v>4110333207</v>
      </c>
      <c r="D714" s="341" t="s">
        <v>85</v>
      </c>
      <c r="E714" s="367">
        <f>_xlfn.XLOOKUP(C714,[1]Material!$F:$F,[1]Material!$D:$D)</f>
        <v>19</v>
      </c>
      <c r="F714" s="1"/>
      <c r="G714" s="59">
        <v>0</v>
      </c>
      <c r="H714" s="59">
        <v>15.205078496217737</v>
      </c>
      <c r="I714" s="59">
        <v>0</v>
      </c>
      <c r="J714" s="59"/>
      <c r="K714" s="59">
        <v>0</v>
      </c>
      <c r="L714" s="59"/>
      <c r="M714" s="59">
        <f t="shared" si="24"/>
        <v>15.205078496217737</v>
      </c>
    </row>
    <row r="715" spans="1:13" hidden="1" outlineLevel="2">
      <c r="A715" s="138">
        <v>46054</v>
      </c>
      <c r="B715" s="1" t="s">
        <v>1461</v>
      </c>
      <c r="C715" s="346">
        <v>715729489142</v>
      </c>
      <c r="D715" s="341" t="s">
        <v>45</v>
      </c>
      <c r="E715" s="367">
        <f>_xlfn.XLOOKUP(C715,[1]Material!$F:$F,[1]Material!$D:$D)</f>
        <v>4</v>
      </c>
      <c r="F715" s="1"/>
      <c r="G715" s="59">
        <v>0</v>
      </c>
      <c r="H715" s="59">
        <v>15.205078496217737</v>
      </c>
      <c r="I715" s="59">
        <v>0</v>
      </c>
      <c r="J715" s="59"/>
      <c r="K715" s="59">
        <v>0</v>
      </c>
      <c r="L715" s="59"/>
      <c r="M715" s="59">
        <f t="shared" si="24"/>
        <v>15.205078496217737</v>
      </c>
    </row>
    <row r="716" spans="1:13" hidden="1" outlineLevel="2">
      <c r="A716" s="138">
        <v>46054</v>
      </c>
      <c r="B716" s="1" t="s">
        <v>1461</v>
      </c>
      <c r="C716" s="346">
        <v>715729489153</v>
      </c>
      <c r="D716" s="341" t="s">
        <v>45</v>
      </c>
      <c r="E716" s="367">
        <f>_xlfn.XLOOKUP(C716,[1]Material!$F:$F,[1]Material!$D:$D)</f>
        <v>4</v>
      </c>
      <c r="F716" s="1"/>
      <c r="G716" s="59">
        <v>0</v>
      </c>
      <c r="H716" s="59">
        <v>15.205078496217737</v>
      </c>
      <c r="I716" s="59">
        <v>0</v>
      </c>
      <c r="J716" s="59"/>
      <c r="K716" s="59">
        <v>0</v>
      </c>
      <c r="L716" s="59"/>
      <c r="M716" s="59">
        <f t="shared" si="24"/>
        <v>15.205078496217737</v>
      </c>
    </row>
    <row r="717" spans="1:13" hidden="1" outlineLevel="2">
      <c r="A717" s="138">
        <v>46054</v>
      </c>
      <c r="B717" s="1" t="s">
        <v>980</v>
      </c>
      <c r="C717" s="346">
        <v>888117525212</v>
      </c>
      <c r="D717" s="341" t="s">
        <v>45</v>
      </c>
      <c r="E717" s="367">
        <f>_xlfn.XLOOKUP(C717,[1]Material!$F:$F,[1]Material!$D:$D)</f>
        <v>17.5</v>
      </c>
      <c r="F717" s="1"/>
      <c r="G717" s="59">
        <v>0</v>
      </c>
      <c r="H717" s="59">
        <v>15.205078496217737</v>
      </c>
      <c r="I717" s="59">
        <v>0</v>
      </c>
      <c r="J717" s="59"/>
      <c r="K717" s="59">
        <v>0</v>
      </c>
      <c r="L717" s="59"/>
      <c r="M717" s="59">
        <f t="shared" si="24"/>
        <v>15.205078496217737</v>
      </c>
    </row>
    <row r="718" spans="1:13" hidden="1" outlineLevel="2">
      <c r="A718" s="138">
        <v>46054</v>
      </c>
      <c r="B718" s="1" t="s">
        <v>973</v>
      </c>
      <c r="C718" s="346">
        <v>5973567401</v>
      </c>
      <c r="D718" s="341" t="s">
        <v>897</v>
      </c>
      <c r="E718" s="367">
        <f>_xlfn.XLOOKUP(C718,[1]Material!$F:$F,[1]Material!$D:$D)</f>
        <v>92</v>
      </c>
      <c r="F718" s="1"/>
      <c r="G718" s="59">
        <v>0</v>
      </c>
      <c r="H718" s="59">
        <v>26.608887368381041</v>
      </c>
      <c r="I718" s="59">
        <v>0</v>
      </c>
      <c r="J718" s="59"/>
      <c r="K718" s="59">
        <v>0</v>
      </c>
      <c r="L718" s="59"/>
      <c r="M718" s="59">
        <f t="shared" si="24"/>
        <v>26.608887368381041</v>
      </c>
    </row>
    <row r="719" spans="1:13" hidden="1" outlineLevel="2">
      <c r="A719" s="138">
        <v>46054</v>
      </c>
      <c r="B719" s="1" t="s">
        <v>1462</v>
      </c>
      <c r="C719" s="346">
        <v>888071553695</v>
      </c>
      <c r="D719" s="341" t="s">
        <v>45</v>
      </c>
      <c r="E719" s="367">
        <f>_xlfn.XLOOKUP(C719,[1]Material!$F:$F,[1]Material!$D:$D)</f>
        <v>24.5</v>
      </c>
      <c r="F719" s="1"/>
      <c r="G719" s="59">
        <v>0</v>
      </c>
      <c r="H719" s="59">
        <v>15.205078496217737</v>
      </c>
      <c r="I719" s="59">
        <v>0</v>
      </c>
      <c r="J719" s="59"/>
      <c r="K719" s="59">
        <v>0</v>
      </c>
      <c r="L719" s="59"/>
      <c r="M719" s="59">
        <f t="shared" si="24"/>
        <v>15.205078496217737</v>
      </c>
    </row>
    <row r="720" spans="1:13" hidden="1" outlineLevel="2">
      <c r="A720" s="138">
        <v>46054</v>
      </c>
      <c r="B720" s="1" t="s">
        <v>799</v>
      </c>
      <c r="C720" s="346">
        <v>888015575440</v>
      </c>
      <c r="D720" s="341" t="s">
        <v>45</v>
      </c>
      <c r="E720" s="367">
        <f>_xlfn.XLOOKUP(C720,[1]Material!$F:$F,[1]Material!$D:$D)</f>
        <v>11.5</v>
      </c>
      <c r="F720" s="1"/>
      <c r="G720" s="59">
        <v>0</v>
      </c>
      <c r="H720" s="59">
        <v>15.205078496217737</v>
      </c>
      <c r="I720" s="59">
        <v>104.01353251986163</v>
      </c>
      <c r="J720" s="59"/>
      <c r="K720" s="59">
        <v>0</v>
      </c>
      <c r="L720" s="59"/>
      <c r="M720" s="59">
        <f t="shared" si="24"/>
        <v>119.21861101607936</v>
      </c>
    </row>
    <row r="721" spans="1:13" hidden="1" outlineLevel="2">
      <c r="A721" s="138">
        <v>46054</v>
      </c>
      <c r="B721" s="1" t="s">
        <v>969</v>
      </c>
      <c r="C721" s="346">
        <v>398005395188</v>
      </c>
      <c r="D721" s="341" t="s">
        <v>45</v>
      </c>
      <c r="E721" s="367">
        <f>_xlfn.XLOOKUP(C721,[1]Material!$F:$F,[1]Material!$D:$D)</f>
        <v>15</v>
      </c>
      <c r="F721" s="1"/>
      <c r="G721" s="59">
        <v>0</v>
      </c>
      <c r="H721" s="59">
        <v>15.205078496217737</v>
      </c>
      <c r="I721" s="59">
        <v>109.46303265290607</v>
      </c>
      <c r="J721" s="59"/>
      <c r="K721" s="59">
        <v>0</v>
      </c>
      <c r="L721" s="59"/>
      <c r="M721" s="59">
        <f t="shared" si="24"/>
        <v>124.6681111491238</v>
      </c>
    </row>
    <row r="722" spans="1:13" hidden="1" outlineLevel="2">
      <c r="A722" s="138">
        <v>46054</v>
      </c>
      <c r="B722" s="1" t="s">
        <v>947</v>
      </c>
      <c r="C722" s="346">
        <v>479730304478</v>
      </c>
      <c r="D722" s="341" t="s">
        <v>45</v>
      </c>
      <c r="E722" s="367">
        <f>_xlfn.XLOOKUP(C722,[1]Material!$F:$F,[1]Material!$D:$D)</f>
        <v>3</v>
      </c>
      <c r="F722" s="1"/>
      <c r="G722" s="59">
        <v>0</v>
      </c>
      <c r="H722" s="59">
        <v>15.205078496217737</v>
      </c>
      <c r="I722" s="59">
        <v>0</v>
      </c>
      <c r="J722" s="59"/>
      <c r="K722" s="59">
        <v>0</v>
      </c>
      <c r="L722" s="59"/>
      <c r="M722" s="59">
        <f t="shared" si="24"/>
        <v>15.205078496217737</v>
      </c>
    </row>
    <row r="723" spans="1:13" hidden="1" outlineLevel="2">
      <c r="A723" s="138">
        <v>46054</v>
      </c>
      <c r="B723" s="1" t="s">
        <v>948</v>
      </c>
      <c r="C723" s="346">
        <v>4110333284</v>
      </c>
      <c r="D723" s="341" t="s">
        <v>85</v>
      </c>
      <c r="E723" s="367">
        <f>_xlfn.XLOOKUP(C723,[1]Material!$F:$F,[1]Material!$D:$D)</f>
        <v>73.5</v>
      </c>
      <c r="F723" s="1"/>
      <c r="G723" s="59">
        <v>0</v>
      </c>
      <c r="H723" s="59">
        <v>15.205078496217737</v>
      </c>
      <c r="I723" s="59">
        <v>0</v>
      </c>
      <c r="J723" s="59"/>
      <c r="K723" s="59">
        <v>0</v>
      </c>
      <c r="L723" s="59"/>
      <c r="M723" s="59">
        <f t="shared" si="24"/>
        <v>15.205078496217737</v>
      </c>
    </row>
    <row r="724" spans="1:13" hidden="1" outlineLevel="2">
      <c r="A724" s="138">
        <v>46054</v>
      </c>
      <c r="B724" s="1" t="s">
        <v>335</v>
      </c>
      <c r="C724" s="346">
        <v>477592550840</v>
      </c>
      <c r="D724" s="341" t="s">
        <v>45</v>
      </c>
      <c r="E724" s="367">
        <f>_xlfn.XLOOKUP(C724,[1]Material!$F:$F,[1]Material!$D:$D)</f>
        <v>21</v>
      </c>
      <c r="F724" s="1"/>
      <c r="G724" s="59">
        <v>0</v>
      </c>
      <c r="H724" s="59">
        <v>15.205078496217737</v>
      </c>
      <c r="I724" s="59">
        <v>94.674535294788456</v>
      </c>
      <c r="J724" s="59"/>
      <c r="K724" s="59">
        <v>0</v>
      </c>
      <c r="L724" s="59"/>
      <c r="M724" s="59">
        <f t="shared" si="24"/>
        <v>109.87961379100619</v>
      </c>
    </row>
    <row r="725" spans="1:13" hidden="1" outlineLevel="2">
      <c r="A725" s="138">
        <v>46054</v>
      </c>
      <c r="B725" s="1" t="s">
        <v>947</v>
      </c>
      <c r="C725" s="346">
        <v>707296272099</v>
      </c>
      <c r="D725" s="341" t="s">
        <v>45</v>
      </c>
      <c r="E725" s="367">
        <f>_xlfn.XLOOKUP(C725,[1]Material!$F:$F,[1]Material!$D:$D)</f>
        <v>3.1</v>
      </c>
      <c r="F725" s="1"/>
      <c r="G725" s="59">
        <v>0</v>
      </c>
      <c r="H725" s="59">
        <v>15.205078496217737</v>
      </c>
      <c r="I725" s="59">
        <v>0</v>
      </c>
      <c r="J725" s="59"/>
      <c r="K725" s="59">
        <v>0</v>
      </c>
      <c r="L725" s="59"/>
      <c r="M725" s="59">
        <f t="shared" si="24"/>
        <v>15.205078496217737</v>
      </c>
    </row>
    <row r="726" spans="1:13" hidden="1" outlineLevel="2">
      <c r="A726" s="138">
        <v>46054</v>
      </c>
      <c r="B726" s="1" t="s">
        <v>965</v>
      </c>
      <c r="C726" s="346">
        <v>493641393695</v>
      </c>
      <c r="D726" s="341" t="s">
        <v>45</v>
      </c>
      <c r="E726" s="367">
        <f>_xlfn.XLOOKUP(C726,[1]Material!$F:$F,[1]Material!$D:$D)</f>
        <v>11.5</v>
      </c>
      <c r="F726" s="1"/>
      <c r="G726" s="59">
        <v>0</v>
      </c>
      <c r="H726" s="59">
        <v>15.205078496217737</v>
      </c>
      <c r="I726" s="59">
        <v>68.137758011175734</v>
      </c>
      <c r="J726" s="59"/>
      <c r="K726" s="59">
        <v>0</v>
      </c>
      <c r="L726" s="59"/>
      <c r="M726" s="59">
        <f t="shared" si="24"/>
        <v>83.342836507393471</v>
      </c>
    </row>
    <row r="727" spans="1:13" hidden="1" outlineLevel="2">
      <c r="A727" s="138">
        <v>46054</v>
      </c>
      <c r="B727" s="1" t="s">
        <v>1325</v>
      </c>
      <c r="C727" s="346">
        <v>499549045875</v>
      </c>
      <c r="D727" s="341" t="s">
        <v>45</v>
      </c>
      <c r="E727" s="367">
        <f>_xlfn.XLOOKUP(C727,[1]Material!$F:$F,[1]Material!$D:$D)</f>
        <v>0.5</v>
      </c>
      <c r="F727" s="1"/>
      <c r="G727" s="59">
        <v>0</v>
      </c>
      <c r="H727" s="59">
        <v>15.205078496217737</v>
      </c>
      <c r="I727" s="59">
        <v>18.740829437031969</v>
      </c>
      <c r="J727" s="59"/>
      <c r="K727" s="59">
        <v>0</v>
      </c>
      <c r="L727" s="59"/>
      <c r="M727" s="59">
        <f t="shared" si="24"/>
        <v>33.945907933249707</v>
      </c>
    </row>
    <row r="728" spans="1:13" hidden="1" outlineLevel="2">
      <c r="A728" s="138">
        <v>46054</v>
      </c>
      <c r="B728" s="1" t="s">
        <v>1461</v>
      </c>
      <c r="C728" s="346">
        <v>715729489164</v>
      </c>
      <c r="D728" s="341" t="s">
        <v>45</v>
      </c>
      <c r="E728" s="367">
        <f>_xlfn.XLOOKUP(C728,[1]Material!$F:$F,[1]Material!$D:$D)</f>
        <v>4</v>
      </c>
      <c r="F728" s="1"/>
      <c r="G728" s="59">
        <v>0</v>
      </c>
      <c r="H728" s="59">
        <v>15.205078496217737</v>
      </c>
      <c r="I728" s="59">
        <v>0</v>
      </c>
      <c r="J728" s="59"/>
      <c r="K728" s="59">
        <v>0</v>
      </c>
      <c r="L728" s="59"/>
      <c r="M728" s="59">
        <f t="shared" si="24"/>
        <v>15.205078496217737</v>
      </c>
    </row>
    <row r="729" spans="1:13" hidden="1" outlineLevel="2">
      <c r="A729" s="138">
        <v>46054</v>
      </c>
      <c r="B729" s="1" t="s">
        <v>1461</v>
      </c>
      <c r="C729" s="346">
        <v>715729489094</v>
      </c>
      <c r="D729" s="341" t="s">
        <v>45</v>
      </c>
      <c r="E729" s="367">
        <f>_xlfn.XLOOKUP(C729,[1]Material!$F:$F,[1]Material!$D:$D)</f>
        <v>0.5</v>
      </c>
      <c r="F729" s="1"/>
      <c r="G729" s="59">
        <v>0</v>
      </c>
      <c r="H729" s="59">
        <v>15.205078496217737</v>
      </c>
      <c r="I729" s="59">
        <v>0</v>
      </c>
      <c r="J729" s="59"/>
      <c r="K729" s="59">
        <v>0</v>
      </c>
      <c r="L729" s="59"/>
      <c r="M729" s="59">
        <f t="shared" si="24"/>
        <v>15.205078496217737</v>
      </c>
    </row>
    <row r="730" spans="1:13" hidden="1" outlineLevel="2">
      <c r="A730" s="138">
        <v>46054</v>
      </c>
      <c r="B730" s="1" t="s">
        <v>378</v>
      </c>
      <c r="C730" s="346">
        <v>409298905661</v>
      </c>
      <c r="D730" s="341" t="s">
        <v>45</v>
      </c>
      <c r="E730" s="367">
        <f>_xlfn.XLOOKUP(C730,[1]Material!$F:$F,[1]Material!$D:$D)</f>
        <v>50</v>
      </c>
      <c r="F730" s="1"/>
      <c r="G730" s="59">
        <v>0</v>
      </c>
      <c r="H730" s="59">
        <v>15.205078496217737</v>
      </c>
      <c r="I730" s="59">
        <v>220.17060098072756</v>
      </c>
      <c r="J730" s="59"/>
      <c r="K730" s="59">
        <v>0</v>
      </c>
      <c r="L730" s="59"/>
      <c r="M730" s="59">
        <f t="shared" si="24"/>
        <v>235.37567947694529</v>
      </c>
    </row>
    <row r="731" spans="1:13" hidden="1" outlineLevel="2">
      <c r="A731" s="138">
        <v>46054</v>
      </c>
      <c r="B731" s="1" t="s">
        <v>948</v>
      </c>
      <c r="C731" s="346">
        <v>4110333136</v>
      </c>
      <c r="D731" s="341" t="s">
        <v>85</v>
      </c>
      <c r="E731" s="367">
        <f>_xlfn.XLOOKUP(C731,[1]Material!$F:$F,[1]Material!$D:$D)</f>
        <v>5.5</v>
      </c>
      <c r="F731" s="1"/>
      <c r="G731" s="59">
        <v>0</v>
      </c>
      <c r="H731" s="59">
        <v>15.205078496217737</v>
      </c>
      <c r="I731" s="59">
        <v>0</v>
      </c>
      <c r="J731" s="59"/>
      <c r="K731" s="59">
        <v>0</v>
      </c>
      <c r="L731" s="59"/>
      <c r="M731" s="59">
        <f t="shared" si="24"/>
        <v>15.205078496217737</v>
      </c>
    </row>
    <row r="732" spans="1:13" hidden="1" outlineLevel="2">
      <c r="A732" s="138">
        <v>46054</v>
      </c>
      <c r="B732" s="1" t="s">
        <v>376</v>
      </c>
      <c r="C732" s="346">
        <v>484361652431</v>
      </c>
      <c r="D732" s="341" t="s">
        <v>45</v>
      </c>
      <c r="E732" s="367">
        <f>_xlfn.XLOOKUP(C732,[1]Material!$F:$F,[1]Material!$D:$D)</f>
        <v>160</v>
      </c>
      <c r="F732" s="1"/>
      <c r="G732" s="59">
        <v>0</v>
      </c>
      <c r="H732" s="59">
        <v>15.205078496217737</v>
      </c>
      <c r="I732" s="59">
        <v>478.92731972478811</v>
      </c>
      <c r="J732" s="59"/>
      <c r="K732" s="59">
        <v>0</v>
      </c>
      <c r="L732" s="59"/>
      <c r="M732" s="59">
        <f t="shared" si="24"/>
        <v>494.13239822100581</v>
      </c>
    </row>
    <row r="733" spans="1:13" hidden="1" outlineLevel="2">
      <c r="A733" s="138">
        <v>46054</v>
      </c>
      <c r="B733" s="1" t="s">
        <v>1464</v>
      </c>
      <c r="C733" s="346">
        <v>888117685747</v>
      </c>
      <c r="D733" s="341" t="s">
        <v>45</v>
      </c>
      <c r="E733" s="367">
        <f>_xlfn.XLOOKUP(C733,[1]Material!$F:$F,[1]Material!$D:$D)</f>
        <v>0.5</v>
      </c>
      <c r="F733" s="1"/>
      <c r="G733" s="59">
        <v>0</v>
      </c>
      <c r="H733" s="59">
        <v>15.205078496217737</v>
      </c>
      <c r="I733" s="59">
        <v>19.565096742311933</v>
      </c>
      <c r="J733" s="59"/>
      <c r="K733" s="59">
        <v>0</v>
      </c>
      <c r="L733" s="59"/>
      <c r="M733" s="59">
        <f t="shared" si="24"/>
        <v>34.770175238529674</v>
      </c>
    </row>
    <row r="734" spans="1:13" hidden="1" outlineLevel="2">
      <c r="A734" s="138">
        <v>46054</v>
      </c>
      <c r="B734" s="1" t="s">
        <v>1461</v>
      </c>
      <c r="C734" s="346">
        <v>715729489131</v>
      </c>
      <c r="D734" s="341" t="s">
        <v>45</v>
      </c>
      <c r="E734" s="367">
        <f>_xlfn.XLOOKUP(C734,[1]Material!$F:$F,[1]Material!$D:$D)</f>
        <v>1.5</v>
      </c>
      <c r="F734" s="1"/>
      <c r="G734" s="59">
        <v>0</v>
      </c>
      <c r="H734" s="59">
        <v>15.205078496217737</v>
      </c>
      <c r="I734" s="59">
        <v>49.381875546432511</v>
      </c>
      <c r="J734" s="59"/>
      <c r="K734" s="59">
        <v>0</v>
      </c>
      <c r="L734" s="59"/>
      <c r="M734" s="59">
        <f t="shared" si="24"/>
        <v>64.586954042650248</v>
      </c>
    </row>
    <row r="735" spans="1:13" hidden="1" outlineLevel="2">
      <c r="A735" s="138">
        <v>46054</v>
      </c>
      <c r="B735" s="1" t="s">
        <v>958</v>
      </c>
      <c r="C735" s="346">
        <v>397964113113</v>
      </c>
      <c r="D735" s="341" t="s">
        <v>45</v>
      </c>
      <c r="E735" s="367">
        <f>_xlfn.XLOOKUP(C735,[1]Material!$F:$F,[1]Material!$D:$D)</f>
        <v>11.5</v>
      </c>
      <c r="F735" s="1"/>
      <c r="G735" s="59">
        <v>0</v>
      </c>
      <c r="H735" s="59">
        <v>15.205078496217737</v>
      </c>
      <c r="I735" s="59">
        <v>0</v>
      </c>
      <c r="J735" s="59"/>
      <c r="K735" s="59">
        <v>0</v>
      </c>
      <c r="L735" s="59"/>
      <c r="M735" s="59">
        <f t="shared" si="24"/>
        <v>15.205078496217737</v>
      </c>
    </row>
    <row r="736" spans="1:13" hidden="1" outlineLevel="2">
      <c r="A736" s="138">
        <v>46054</v>
      </c>
      <c r="B736" s="1" t="s">
        <v>960</v>
      </c>
      <c r="C736" s="346">
        <v>1376872442</v>
      </c>
      <c r="D736" s="341" t="s">
        <v>897</v>
      </c>
      <c r="E736" s="367">
        <f>_xlfn.XLOOKUP(C736,[1]Material!$F:$F,[1]Material!$D:$D)</f>
        <v>333.8</v>
      </c>
      <c r="F736" s="1"/>
      <c r="G736" s="59">
        <v>0</v>
      </c>
      <c r="H736" s="59">
        <v>38.012696240544344</v>
      </c>
      <c r="I736" s="59">
        <v>0</v>
      </c>
      <c r="J736" s="59"/>
      <c r="K736" s="59">
        <v>0</v>
      </c>
      <c r="L736" s="59"/>
      <c r="M736" s="59">
        <f t="shared" si="24"/>
        <v>38.012696240544344</v>
      </c>
    </row>
    <row r="737" spans="1:13" hidden="1" outlineLevel="2">
      <c r="A737" s="138">
        <v>46054</v>
      </c>
      <c r="B737" s="1" t="s">
        <v>958</v>
      </c>
      <c r="C737" s="346">
        <v>397875717852</v>
      </c>
      <c r="D737" s="341" t="s">
        <v>45</v>
      </c>
      <c r="E737" s="367">
        <f>_xlfn.XLOOKUP(C737,[1]Material!$F:$F,[1]Material!$D:$D)</f>
        <v>34</v>
      </c>
      <c r="F737" s="1"/>
      <c r="G737" s="59">
        <v>0</v>
      </c>
      <c r="H737" s="59">
        <v>15.205078496217737</v>
      </c>
      <c r="I737" s="59">
        <v>0</v>
      </c>
      <c r="J737" s="59"/>
      <c r="K737" s="59">
        <v>0</v>
      </c>
      <c r="L737" s="59"/>
      <c r="M737" s="59">
        <f t="shared" ref="M737:M800" si="28">SUM(G737:L737)</f>
        <v>15.205078496217737</v>
      </c>
    </row>
    <row r="738" spans="1:13" hidden="1" outlineLevel="2">
      <c r="A738" s="138">
        <v>46054</v>
      </c>
      <c r="B738" s="1" t="s">
        <v>335</v>
      </c>
      <c r="C738" s="346">
        <v>477592551652</v>
      </c>
      <c r="D738" s="341" t="s">
        <v>45</v>
      </c>
      <c r="E738" s="367">
        <f>_xlfn.XLOOKUP(C738,[1]Material!$F:$F,[1]Material!$D:$D)</f>
        <v>9.5</v>
      </c>
      <c r="F738" s="1"/>
      <c r="G738" s="59">
        <v>0</v>
      </c>
      <c r="H738" s="59">
        <v>15.205078496217737</v>
      </c>
      <c r="I738" s="59">
        <v>57.327403352719806</v>
      </c>
      <c r="J738" s="59"/>
      <c r="K738" s="59">
        <v>0</v>
      </c>
      <c r="L738" s="59"/>
      <c r="M738" s="59">
        <f t="shared" si="28"/>
        <v>72.53248184893755</v>
      </c>
    </row>
    <row r="739" spans="1:13" hidden="1" outlineLevel="2">
      <c r="A739" s="138">
        <v>46054</v>
      </c>
      <c r="B739" s="1" t="s">
        <v>955</v>
      </c>
      <c r="C739" s="346">
        <v>4711909378</v>
      </c>
      <c r="D739" s="341" t="s">
        <v>85</v>
      </c>
      <c r="E739" s="367">
        <f>_xlfn.XLOOKUP(C739,[1]Material!$F:$F,[1]Material!$D:$D)</f>
        <v>33</v>
      </c>
      <c r="F739" s="1"/>
      <c r="G739" s="59">
        <v>18.246094195461286</v>
      </c>
      <c r="H739" s="59">
        <v>15.205078496217737</v>
      </c>
      <c r="I739" s="59">
        <v>283.39999999999998</v>
      </c>
      <c r="J739" s="59"/>
      <c r="K739" s="59">
        <v>51.469503194295029</v>
      </c>
      <c r="L739" s="59"/>
      <c r="M739" s="59">
        <f t="shared" si="28"/>
        <v>368.32067588597403</v>
      </c>
    </row>
    <row r="740" spans="1:13" hidden="1" outlineLevel="2">
      <c r="A740" s="138">
        <v>46054</v>
      </c>
      <c r="B740" s="1" t="s">
        <v>981</v>
      </c>
      <c r="C740" s="346">
        <v>397849829829</v>
      </c>
      <c r="D740" s="341" t="s">
        <v>45</v>
      </c>
      <c r="E740" s="367">
        <f>_xlfn.XLOOKUP(C740,[1]Material!$F:$F,[1]Material!$D:$D)</f>
        <v>69</v>
      </c>
      <c r="F740" s="1"/>
      <c r="G740" s="59">
        <v>0</v>
      </c>
      <c r="H740" s="59">
        <v>15.205078496217737</v>
      </c>
      <c r="I740" s="59">
        <v>0</v>
      </c>
      <c r="J740" s="59"/>
      <c r="K740" s="59">
        <v>0</v>
      </c>
      <c r="L740" s="59"/>
      <c r="M740" s="59">
        <f t="shared" si="28"/>
        <v>15.205078496217737</v>
      </c>
    </row>
    <row r="741" spans="1:13" hidden="1" outlineLevel="2">
      <c r="A741" s="138">
        <v>46054</v>
      </c>
      <c r="B741" s="1" t="s">
        <v>958</v>
      </c>
      <c r="C741" s="346">
        <v>397921707497</v>
      </c>
      <c r="D741" s="341" t="s">
        <v>45</v>
      </c>
      <c r="E741" s="367">
        <f>_xlfn.XLOOKUP(C741,[1]Material!$F:$F,[1]Material!$D:$D)</f>
        <v>169</v>
      </c>
      <c r="F741" s="1"/>
      <c r="G741" s="59">
        <v>0</v>
      </c>
      <c r="H741" s="59">
        <v>15.205078496217737</v>
      </c>
      <c r="I741" s="59">
        <v>0</v>
      </c>
      <c r="J741" s="59"/>
      <c r="K741" s="59">
        <v>0</v>
      </c>
      <c r="L741" s="59"/>
      <c r="M741" s="59">
        <f t="shared" si="28"/>
        <v>15.205078496217737</v>
      </c>
    </row>
    <row r="742" spans="1:13" hidden="1" outlineLevel="2">
      <c r="A742" s="138">
        <v>46054</v>
      </c>
      <c r="B742" s="1" t="s">
        <v>1326</v>
      </c>
      <c r="C742" s="346">
        <v>493448986438</v>
      </c>
      <c r="D742" s="341" t="s">
        <v>45</v>
      </c>
      <c r="E742" s="367">
        <f>_xlfn.XLOOKUP(C742,[1]Material!$F:$F,[1]Material!$D:$D)</f>
        <v>18</v>
      </c>
      <c r="F742" s="1"/>
      <c r="G742" s="59">
        <v>18.246094195461286</v>
      </c>
      <c r="H742" s="59">
        <v>24.708252556353823</v>
      </c>
      <c r="I742" s="59">
        <v>95.431634165811374</v>
      </c>
      <c r="J742" s="59"/>
      <c r="K742" s="59">
        <v>0</v>
      </c>
      <c r="L742" s="59"/>
      <c r="M742" s="59">
        <f t="shared" si="28"/>
        <v>138.38598091762648</v>
      </c>
    </row>
    <row r="743" spans="1:13" hidden="1" outlineLevel="2">
      <c r="A743" s="138">
        <v>46054</v>
      </c>
      <c r="B743" s="1" t="s">
        <v>981</v>
      </c>
      <c r="C743" s="346">
        <v>397913433822</v>
      </c>
      <c r="D743" s="341" t="s">
        <v>45</v>
      </c>
      <c r="E743" s="367">
        <f>_xlfn.XLOOKUP(C743,[1]Material!$F:$F,[1]Material!$D:$D)</f>
        <v>26</v>
      </c>
      <c r="F743" s="1"/>
      <c r="G743" s="59">
        <v>0</v>
      </c>
      <c r="H743" s="59">
        <v>15.205078496217737</v>
      </c>
      <c r="I743" s="59">
        <v>0</v>
      </c>
      <c r="J743" s="59"/>
      <c r="K743" s="59">
        <v>0</v>
      </c>
      <c r="L743" s="59"/>
      <c r="M743" s="59">
        <f t="shared" si="28"/>
        <v>15.205078496217737</v>
      </c>
    </row>
    <row r="744" spans="1:13" hidden="1" outlineLevel="2">
      <c r="A744" s="138">
        <v>46054</v>
      </c>
      <c r="B744" s="1" t="s">
        <v>1468</v>
      </c>
      <c r="C744" s="346">
        <v>398130688111</v>
      </c>
      <c r="D744" s="341" t="s">
        <v>45</v>
      </c>
      <c r="E744" s="367">
        <f>_xlfn.XLOOKUP(C744,[1]Material!$F:$F,[1]Material!$D:$D)</f>
        <v>1.5</v>
      </c>
      <c r="F744" s="1"/>
      <c r="G744" s="59">
        <v>0</v>
      </c>
      <c r="H744" s="59">
        <v>15.205078496217737</v>
      </c>
      <c r="I744" s="59">
        <v>33.243661382901891</v>
      </c>
      <c r="J744" s="59"/>
      <c r="K744" s="59">
        <v>0</v>
      </c>
      <c r="L744" s="59"/>
      <c r="M744" s="59">
        <f t="shared" si="28"/>
        <v>48.448739879119628</v>
      </c>
    </row>
    <row r="745" spans="1:13" hidden="1" outlineLevel="2">
      <c r="A745" s="138">
        <v>46054</v>
      </c>
      <c r="B745" s="1" t="s">
        <v>964</v>
      </c>
      <c r="C745" s="346">
        <v>510414783270</v>
      </c>
      <c r="D745" s="341" t="s">
        <v>45</v>
      </c>
      <c r="E745" s="367">
        <f>_xlfn.XLOOKUP(C745,[1]Material!$F:$F,[1]Material!$D:$D)</f>
        <v>5.5</v>
      </c>
      <c r="F745" s="1"/>
      <c r="G745" s="59">
        <v>0</v>
      </c>
      <c r="H745" s="59">
        <v>15.205078496217737</v>
      </c>
      <c r="I745" s="59">
        <v>62.424449766221919</v>
      </c>
      <c r="J745" s="59"/>
      <c r="K745" s="59">
        <v>0</v>
      </c>
      <c r="L745" s="59"/>
      <c r="M745" s="59">
        <f t="shared" si="28"/>
        <v>77.629528262439663</v>
      </c>
    </row>
    <row r="746" spans="1:13" hidden="1" outlineLevel="2">
      <c r="A746" s="138">
        <v>46054</v>
      </c>
      <c r="B746" s="1" t="s">
        <v>948</v>
      </c>
      <c r="C746" s="346">
        <v>4110333411</v>
      </c>
      <c r="D746" s="341" t="s">
        <v>85</v>
      </c>
      <c r="E746" s="367">
        <f>_xlfn.XLOOKUP(C746,[1]Material!$F:$F,[1]Material!$D:$D)</f>
        <v>7</v>
      </c>
      <c r="F746" s="1"/>
      <c r="G746" s="59">
        <v>0</v>
      </c>
      <c r="H746" s="59">
        <v>15.205078496217737</v>
      </c>
      <c r="I746" s="59">
        <v>0</v>
      </c>
      <c r="J746" s="59"/>
      <c r="K746" s="59">
        <v>0</v>
      </c>
      <c r="L746" s="59"/>
      <c r="M746" s="59">
        <f t="shared" si="28"/>
        <v>15.205078496217737</v>
      </c>
    </row>
    <row r="747" spans="1:13" hidden="1" outlineLevel="2">
      <c r="A747" s="138">
        <v>46054</v>
      </c>
      <c r="B747" s="1" t="s">
        <v>948</v>
      </c>
      <c r="C747" s="346">
        <v>4110333398</v>
      </c>
      <c r="D747" s="341" t="s">
        <v>85</v>
      </c>
      <c r="E747" s="367">
        <f>_xlfn.XLOOKUP(C747,[1]Material!$F:$F,[1]Material!$D:$D)</f>
        <v>4</v>
      </c>
      <c r="F747" s="1"/>
      <c r="G747" s="59">
        <v>0</v>
      </c>
      <c r="H747" s="59">
        <v>15.205078496217737</v>
      </c>
      <c r="I747" s="59">
        <v>0</v>
      </c>
      <c r="J747" s="59"/>
      <c r="K747" s="59">
        <v>0</v>
      </c>
      <c r="L747" s="59"/>
      <c r="M747" s="59">
        <f t="shared" si="28"/>
        <v>15.205078496217737</v>
      </c>
    </row>
    <row r="748" spans="1:13" hidden="1" outlineLevel="2">
      <c r="A748" s="138">
        <v>46054</v>
      </c>
      <c r="B748" s="1" t="s">
        <v>948</v>
      </c>
      <c r="C748" s="346">
        <v>4110333317</v>
      </c>
      <c r="D748" s="341" t="s">
        <v>85</v>
      </c>
      <c r="E748" s="367">
        <f>_xlfn.XLOOKUP(C748,[1]Material!$F:$F,[1]Material!$D:$D)</f>
        <v>5</v>
      </c>
      <c r="F748" s="1"/>
      <c r="G748" s="59">
        <v>0</v>
      </c>
      <c r="H748" s="59">
        <v>15.205078496217737</v>
      </c>
      <c r="I748" s="59">
        <v>0</v>
      </c>
      <c r="J748" s="59"/>
      <c r="K748" s="59">
        <v>0</v>
      </c>
      <c r="L748" s="59"/>
      <c r="M748" s="59">
        <f t="shared" si="28"/>
        <v>15.205078496217737</v>
      </c>
    </row>
    <row r="749" spans="1:13" hidden="1" outlineLevel="2">
      <c r="A749" s="138">
        <v>46054</v>
      </c>
      <c r="B749" s="1" t="s">
        <v>948</v>
      </c>
      <c r="C749" s="346">
        <v>4110333400</v>
      </c>
      <c r="D749" s="341" t="s">
        <v>85</v>
      </c>
      <c r="E749" s="367">
        <f>_xlfn.XLOOKUP(C749,[1]Material!$F:$F,[1]Material!$D:$D)</f>
        <v>10</v>
      </c>
      <c r="F749" s="1"/>
      <c r="G749" s="59">
        <v>0</v>
      </c>
      <c r="H749" s="59">
        <v>15.205078496217737</v>
      </c>
      <c r="I749" s="59">
        <v>0</v>
      </c>
      <c r="J749" s="59"/>
      <c r="K749" s="59">
        <v>0</v>
      </c>
      <c r="L749" s="59"/>
      <c r="M749" s="59">
        <f t="shared" si="28"/>
        <v>15.205078496217737</v>
      </c>
    </row>
    <row r="750" spans="1:13" hidden="1" outlineLevel="2">
      <c r="A750" s="138">
        <v>46054</v>
      </c>
      <c r="B750" s="1" t="s">
        <v>948</v>
      </c>
      <c r="C750" s="346">
        <v>4110333353</v>
      </c>
      <c r="D750" s="341" t="s">
        <v>85</v>
      </c>
      <c r="E750" s="367">
        <f>_xlfn.XLOOKUP(C750,[1]Material!$F:$F,[1]Material!$D:$D)</f>
        <v>10.5</v>
      </c>
      <c r="F750" s="1"/>
      <c r="G750" s="59">
        <v>0</v>
      </c>
      <c r="H750" s="59">
        <v>15.205078496217737</v>
      </c>
      <c r="I750" s="59">
        <v>0</v>
      </c>
      <c r="J750" s="59"/>
      <c r="K750" s="59">
        <v>0</v>
      </c>
      <c r="L750" s="59"/>
      <c r="M750" s="59">
        <f t="shared" si="28"/>
        <v>15.205078496217737</v>
      </c>
    </row>
    <row r="751" spans="1:13" hidden="1" outlineLevel="2">
      <c r="A751" s="138">
        <v>46054</v>
      </c>
      <c r="B751" s="1" t="s">
        <v>948</v>
      </c>
      <c r="C751" s="346">
        <v>4110333401</v>
      </c>
      <c r="D751" s="341" t="s">
        <v>85</v>
      </c>
      <c r="E751" s="367">
        <f>_xlfn.XLOOKUP(C751,[1]Material!$F:$F,[1]Material!$D:$D)</f>
        <v>19</v>
      </c>
      <c r="F751" s="1"/>
      <c r="G751" s="59">
        <v>0</v>
      </c>
      <c r="H751" s="59">
        <v>15.205078496217737</v>
      </c>
      <c r="I751" s="59">
        <v>0</v>
      </c>
      <c r="J751" s="59"/>
      <c r="K751" s="59">
        <v>0</v>
      </c>
      <c r="L751" s="59"/>
      <c r="M751" s="59">
        <f t="shared" si="28"/>
        <v>15.205078496217737</v>
      </c>
    </row>
    <row r="752" spans="1:13" hidden="1" outlineLevel="2">
      <c r="A752" s="138">
        <v>46054</v>
      </c>
      <c r="B752" s="1" t="s">
        <v>947</v>
      </c>
      <c r="C752" s="346">
        <v>479730318393</v>
      </c>
      <c r="D752" s="341" t="s">
        <v>45</v>
      </c>
      <c r="E752" s="367">
        <f>_xlfn.XLOOKUP(C752,[1]Material!$F:$F,[1]Material!$D:$D)</f>
        <v>3</v>
      </c>
      <c r="F752" s="1"/>
      <c r="G752" s="59">
        <v>0</v>
      </c>
      <c r="H752" s="59">
        <v>15.205078496217737</v>
      </c>
      <c r="I752" s="59">
        <v>0</v>
      </c>
      <c r="J752" s="59"/>
      <c r="K752" s="59">
        <v>0</v>
      </c>
      <c r="L752" s="59"/>
      <c r="M752" s="59">
        <f t="shared" si="28"/>
        <v>15.205078496217737</v>
      </c>
    </row>
    <row r="753" spans="1:13" hidden="1" outlineLevel="2">
      <c r="A753" s="138">
        <v>46054</v>
      </c>
      <c r="B753" s="1" t="s">
        <v>934</v>
      </c>
      <c r="C753" s="346">
        <v>4104760962</v>
      </c>
      <c r="D753" s="341" t="s">
        <v>897</v>
      </c>
      <c r="E753" s="367">
        <f>_xlfn.XLOOKUP(C753,[1]Material!$F:$F,[1]Material!$D:$D)</f>
        <v>12.9</v>
      </c>
      <c r="F753" s="1"/>
      <c r="G753" s="59">
        <v>0</v>
      </c>
      <c r="H753" s="59">
        <v>15.205078496217737</v>
      </c>
      <c r="I753" s="59">
        <v>0</v>
      </c>
      <c r="J753" s="59"/>
      <c r="K753" s="59">
        <v>0</v>
      </c>
      <c r="L753" s="59"/>
      <c r="M753" s="59">
        <f t="shared" si="28"/>
        <v>15.205078496217737</v>
      </c>
    </row>
    <row r="754" spans="1:13" hidden="1" outlineLevel="2">
      <c r="A754" s="138">
        <v>46054</v>
      </c>
      <c r="B754" s="1" t="s">
        <v>948</v>
      </c>
      <c r="C754" s="346">
        <v>4110333338</v>
      </c>
      <c r="D754" s="341" t="s">
        <v>85</v>
      </c>
      <c r="E754" s="367">
        <f>_xlfn.XLOOKUP(C754,[1]Material!$F:$F,[1]Material!$D:$D)</f>
        <v>246.5</v>
      </c>
      <c r="F754" s="1"/>
      <c r="G754" s="59">
        <v>0</v>
      </c>
      <c r="H754" s="59">
        <v>15.205078496217737</v>
      </c>
      <c r="I754" s="59">
        <v>0</v>
      </c>
      <c r="J754" s="59"/>
      <c r="K754" s="59">
        <v>0</v>
      </c>
      <c r="L754" s="59"/>
      <c r="M754" s="59">
        <f t="shared" si="28"/>
        <v>15.205078496217737</v>
      </c>
    </row>
    <row r="755" spans="1:13" hidden="1" outlineLevel="2">
      <c r="A755" s="138">
        <v>46054</v>
      </c>
      <c r="B755" s="1" t="s">
        <v>948</v>
      </c>
      <c r="C755" s="346">
        <v>4110333337</v>
      </c>
      <c r="D755" s="341" t="s">
        <v>85</v>
      </c>
      <c r="E755" s="367">
        <f>_xlfn.XLOOKUP(C755,[1]Material!$F:$F,[1]Material!$D:$D)</f>
        <v>230.5</v>
      </c>
      <c r="F755" s="1"/>
      <c r="G755" s="59">
        <v>0</v>
      </c>
      <c r="H755" s="59">
        <v>15.205078496217737</v>
      </c>
      <c r="I755" s="59">
        <v>0</v>
      </c>
      <c r="J755" s="59"/>
      <c r="K755" s="59">
        <v>0</v>
      </c>
      <c r="L755" s="59"/>
      <c r="M755" s="59">
        <f t="shared" si="28"/>
        <v>15.205078496217737</v>
      </c>
    </row>
    <row r="756" spans="1:13" hidden="1" outlineLevel="2">
      <c r="A756" s="138">
        <v>46054</v>
      </c>
      <c r="B756" s="1" t="s">
        <v>941</v>
      </c>
      <c r="C756" s="346">
        <v>6271256821</v>
      </c>
      <c r="D756" s="341" t="s">
        <v>897</v>
      </c>
      <c r="E756" s="367">
        <f>_xlfn.XLOOKUP(C756,[1]Material!$F:$F,[1]Material!$D:$D)</f>
        <v>297.5</v>
      </c>
      <c r="F756" s="1"/>
      <c r="G756" s="59">
        <v>0</v>
      </c>
      <c r="H756" s="59">
        <v>26.608887368381041</v>
      </c>
      <c r="I756" s="59">
        <v>0</v>
      </c>
      <c r="J756" s="59"/>
      <c r="K756" s="59">
        <v>0</v>
      </c>
      <c r="L756" s="59"/>
      <c r="M756" s="59">
        <f t="shared" si="28"/>
        <v>26.608887368381041</v>
      </c>
    </row>
    <row r="757" spans="1:13" hidden="1" outlineLevel="2">
      <c r="A757" s="138">
        <v>46054</v>
      </c>
      <c r="B757" s="1" t="s">
        <v>232</v>
      </c>
      <c r="C757" s="346" t="s">
        <v>1432</v>
      </c>
      <c r="D757" s="341" t="s">
        <v>1784</v>
      </c>
      <c r="E757" s="367">
        <f>_xlfn.XLOOKUP(C757,[1]Material!$F:$F,[1]Material!$D:$D)</f>
        <v>956</v>
      </c>
      <c r="F757" s="1">
        <v>3.2349999999999999</v>
      </c>
      <c r="G757" s="59">
        <v>0</v>
      </c>
      <c r="H757" s="59">
        <v>15.205078496217737</v>
      </c>
      <c r="I757" s="59">
        <v>0</v>
      </c>
      <c r="J757" s="59"/>
      <c r="K757" s="59">
        <v>0</v>
      </c>
      <c r="L757" s="59"/>
      <c r="M757" s="59">
        <f t="shared" si="28"/>
        <v>15.205078496217737</v>
      </c>
    </row>
    <row r="758" spans="1:13" hidden="1" outlineLevel="2">
      <c r="A758" s="138">
        <v>46054</v>
      </c>
      <c r="B758" s="1" t="s">
        <v>945</v>
      </c>
      <c r="C758" s="346">
        <v>479730310680</v>
      </c>
      <c r="D758" s="341" t="s">
        <v>45</v>
      </c>
      <c r="E758" s="367">
        <f>_xlfn.XLOOKUP(C758,[1]Material!$F:$F,[1]Material!$D:$D)</f>
        <v>0.5</v>
      </c>
      <c r="F758" s="1"/>
      <c r="G758" s="59">
        <v>0</v>
      </c>
      <c r="H758" s="59">
        <v>15.205078496217737</v>
      </c>
      <c r="I758" s="59">
        <v>0</v>
      </c>
      <c r="J758" s="59"/>
      <c r="K758" s="59">
        <v>0</v>
      </c>
      <c r="L758" s="59"/>
      <c r="M758" s="59">
        <f t="shared" si="28"/>
        <v>15.205078496217737</v>
      </c>
    </row>
    <row r="759" spans="1:13" hidden="1" outlineLevel="2">
      <c r="A759" s="138">
        <v>46054</v>
      </c>
      <c r="B759" s="1" t="s">
        <v>965</v>
      </c>
      <c r="C759" s="346">
        <v>888116830463</v>
      </c>
      <c r="D759" s="341" t="s">
        <v>45</v>
      </c>
      <c r="E759" s="367">
        <f>_xlfn.XLOOKUP(C759,[1]Material!$F:$F,[1]Material!$D:$D)</f>
        <v>56.5</v>
      </c>
      <c r="F759" s="1"/>
      <c r="G759" s="59">
        <v>0</v>
      </c>
      <c r="H759" s="59">
        <v>15.205078496217737</v>
      </c>
      <c r="I759" s="59">
        <v>483.78986581518228</v>
      </c>
      <c r="J759" s="59"/>
      <c r="K759" s="59">
        <v>0</v>
      </c>
      <c r="L759" s="59"/>
      <c r="M759" s="59">
        <f t="shared" si="28"/>
        <v>498.99494431139999</v>
      </c>
    </row>
    <row r="760" spans="1:13" hidden="1" outlineLevel="2">
      <c r="A760" s="138">
        <v>46054</v>
      </c>
      <c r="B760" s="1" t="s">
        <v>945</v>
      </c>
      <c r="C760" s="346">
        <v>479730318371</v>
      </c>
      <c r="D760" s="341" t="s">
        <v>45</v>
      </c>
      <c r="E760" s="367">
        <f>_xlfn.XLOOKUP(C760,[1]Material!$F:$F,[1]Material!$D:$D)</f>
        <v>1.5</v>
      </c>
      <c r="F760" s="1"/>
      <c r="G760" s="59">
        <v>0</v>
      </c>
      <c r="H760" s="59">
        <v>15.205078496217737</v>
      </c>
      <c r="I760" s="59">
        <v>0</v>
      </c>
      <c r="J760" s="59"/>
      <c r="K760" s="59">
        <v>0</v>
      </c>
      <c r="L760" s="59"/>
      <c r="M760" s="59">
        <f t="shared" si="28"/>
        <v>15.205078496217737</v>
      </c>
    </row>
    <row r="761" spans="1:13" hidden="1" outlineLevel="2">
      <c r="A761" s="138">
        <v>46054</v>
      </c>
      <c r="B761" s="1" t="s">
        <v>983</v>
      </c>
      <c r="C761" s="346">
        <v>679865595757</v>
      </c>
      <c r="D761" s="341" t="s">
        <v>45</v>
      </c>
      <c r="E761" s="367">
        <f>_xlfn.XLOOKUP(C761,[1]Material!$F:$F,[1]Material!$D:$D)</f>
        <v>9.5</v>
      </c>
      <c r="F761" s="1"/>
      <c r="G761" s="59">
        <v>0</v>
      </c>
      <c r="H761" s="59">
        <v>15.205078496217737</v>
      </c>
      <c r="I761" s="59">
        <v>47.213327251301934</v>
      </c>
      <c r="J761" s="59"/>
      <c r="K761" s="59">
        <v>0</v>
      </c>
      <c r="L761" s="59"/>
      <c r="M761" s="59">
        <f t="shared" si="28"/>
        <v>62.418405747519671</v>
      </c>
    </row>
    <row r="762" spans="1:13" hidden="1" outlineLevel="2">
      <c r="A762" s="138">
        <v>46054</v>
      </c>
      <c r="B762" s="1" t="s">
        <v>184</v>
      </c>
      <c r="C762" s="346" t="s">
        <v>1434</v>
      </c>
      <c r="D762" s="341" t="s">
        <v>1783</v>
      </c>
      <c r="E762" s="367">
        <f>_xlfn.XLOOKUP(C762,[1]Material!$F:$F,[1]Material!$D:$D)</f>
        <v>485</v>
      </c>
      <c r="F762" s="1">
        <v>0.59600000000000009</v>
      </c>
      <c r="G762" s="59">
        <v>0</v>
      </c>
      <c r="H762" s="59">
        <v>15.205078496217737</v>
      </c>
      <c r="I762" s="59">
        <v>467.80552704603338</v>
      </c>
      <c r="J762" s="59"/>
      <c r="K762" s="59">
        <v>22.004789599726308</v>
      </c>
      <c r="L762" s="59"/>
      <c r="M762" s="59">
        <f t="shared" si="28"/>
        <v>505.01539514197748</v>
      </c>
    </row>
    <row r="763" spans="1:13" hidden="1" outlineLevel="2">
      <c r="A763" s="138">
        <v>46054</v>
      </c>
      <c r="B763" s="1" t="s">
        <v>828</v>
      </c>
      <c r="C763" s="346">
        <v>888264555408</v>
      </c>
      <c r="D763" s="341" t="s">
        <v>45</v>
      </c>
      <c r="E763" s="367">
        <f>_xlfn.XLOOKUP(C763,[1]Material!$F:$F,[1]Material!$D:$D)</f>
        <v>35</v>
      </c>
      <c r="F763" s="1"/>
      <c r="G763" s="59">
        <v>0</v>
      </c>
      <c r="H763" s="59">
        <v>15.205078496217737</v>
      </c>
      <c r="I763" s="59">
        <v>222.38389021933327</v>
      </c>
      <c r="J763" s="59"/>
      <c r="K763" s="59">
        <v>0</v>
      </c>
      <c r="L763" s="59"/>
      <c r="M763" s="59">
        <f t="shared" si="28"/>
        <v>237.588968715551</v>
      </c>
    </row>
    <row r="764" spans="1:13" hidden="1" outlineLevel="2">
      <c r="A764" s="138">
        <v>46054</v>
      </c>
      <c r="B764" s="1" t="s">
        <v>945</v>
      </c>
      <c r="C764" s="346">
        <v>479730320810</v>
      </c>
      <c r="D764" s="341" t="s">
        <v>45</v>
      </c>
      <c r="E764" s="367">
        <f>_xlfn.XLOOKUP(C764,[1]Material!$F:$F,[1]Material!$D:$D)</f>
        <v>10</v>
      </c>
      <c r="F764" s="1"/>
      <c r="G764" s="59">
        <v>0</v>
      </c>
      <c r="H764" s="59">
        <v>15.205078496217737</v>
      </c>
      <c r="I764" s="59">
        <v>0</v>
      </c>
      <c r="J764" s="59"/>
      <c r="K764" s="59">
        <v>0</v>
      </c>
      <c r="L764" s="59"/>
      <c r="M764" s="59">
        <f t="shared" si="28"/>
        <v>15.205078496217737</v>
      </c>
    </row>
    <row r="765" spans="1:13" hidden="1" outlineLevel="2">
      <c r="A765" s="138">
        <v>46054</v>
      </c>
      <c r="B765" s="1" t="s">
        <v>945</v>
      </c>
      <c r="C765" s="346">
        <v>479730318350</v>
      </c>
      <c r="D765" s="341" t="s">
        <v>45</v>
      </c>
      <c r="E765" s="367">
        <f>_xlfn.XLOOKUP(C765,[1]Material!$F:$F,[1]Material!$D:$D)</f>
        <v>3.5</v>
      </c>
      <c r="F765" s="1"/>
      <c r="G765" s="59">
        <v>0</v>
      </c>
      <c r="H765" s="59">
        <v>15.205078496217737</v>
      </c>
      <c r="I765" s="59">
        <v>0</v>
      </c>
      <c r="J765" s="59"/>
      <c r="K765" s="59">
        <v>0</v>
      </c>
      <c r="L765" s="59"/>
      <c r="M765" s="59">
        <f t="shared" si="28"/>
        <v>15.205078496217737</v>
      </c>
    </row>
    <row r="766" spans="1:13" hidden="1" outlineLevel="2">
      <c r="A766" s="138">
        <v>46054</v>
      </c>
      <c r="B766" s="1" t="s">
        <v>947</v>
      </c>
      <c r="C766" s="346">
        <v>479730316302</v>
      </c>
      <c r="D766" s="341" t="s">
        <v>45</v>
      </c>
      <c r="E766" s="367">
        <f>_xlfn.XLOOKUP(C766,[1]Material!$F:$F,[1]Material!$D:$D)</f>
        <v>1</v>
      </c>
      <c r="F766" s="1"/>
      <c r="G766" s="59">
        <v>0</v>
      </c>
      <c r="H766" s="59">
        <v>15.205078496217737</v>
      </c>
      <c r="I766" s="59">
        <v>0</v>
      </c>
      <c r="J766" s="59"/>
      <c r="K766" s="59">
        <v>0</v>
      </c>
      <c r="L766" s="59"/>
      <c r="M766" s="59">
        <f t="shared" si="28"/>
        <v>15.205078496217737</v>
      </c>
    </row>
    <row r="767" spans="1:13" hidden="1" outlineLevel="2">
      <c r="A767" s="138">
        <v>46054</v>
      </c>
      <c r="B767" s="1" t="s">
        <v>947</v>
      </c>
      <c r="C767" s="346">
        <v>479730318143</v>
      </c>
      <c r="D767" s="341" t="s">
        <v>45</v>
      </c>
      <c r="E767" s="367">
        <f>_xlfn.XLOOKUP(C767,[1]Material!$F:$F,[1]Material!$D:$D)</f>
        <v>1.5</v>
      </c>
      <c r="F767" s="1"/>
      <c r="G767" s="59">
        <v>0</v>
      </c>
      <c r="H767" s="59">
        <v>15.205078496217737</v>
      </c>
      <c r="I767" s="59">
        <v>0</v>
      </c>
      <c r="J767" s="59"/>
      <c r="K767" s="59">
        <v>0</v>
      </c>
      <c r="L767" s="59"/>
      <c r="M767" s="59">
        <f t="shared" si="28"/>
        <v>15.205078496217737</v>
      </c>
    </row>
    <row r="768" spans="1:13" hidden="1" outlineLevel="2">
      <c r="A768" s="138">
        <v>46054</v>
      </c>
      <c r="B768" s="1" t="s">
        <v>376</v>
      </c>
      <c r="C768" s="346">
        <v>484361653107</v>
      </c>
      <c r="D768" s="341" t="s">
        <v>45</v>
      </c>
      <c r="E768" s="367">
        <f>_xlfn.XLOOKUP(C768,[1]Material!$F:$F,[1]Material!$D:$D)</f>
        <v>30.6</v>
      </c>
      <c r="F768" s="1"/>
      <c r="G768" s="59">
        <v>0</v>
      </c>
      <c r="H768" s="59">
        <v>15.205078496217737</v>
      </c>
      <c r="I768" s="59">
        <v>119.05948986961646</v>
      </c>
      <c r="J768" s="59"/>
      <c r="K768" s="59">
        <v>0</v>
      </c>
      <c r="L768" s="59"/>
      <c r="M768" s="59">
        <f t="shared" si="28"/>
        <v>134.26456836583418</v>
      </c>
    </row>
    <row r="769" spans="1:13" hidden="1" outlineLevel="2">
      <c r="A769" s="138">
        <v>46054</v>
      </c>
      <c r="B769" s="1" t="s">
        <v>1473</v>
      </c>
      <c r="C769" s="346">
        <v>888332592010</v>
      </c>
      <c r="D769" s="341" t="s">
        <v>45</v>
      </c>
      <c r="E769" s="367">
        <f>_xlfn.XLOOKUP(C769,[1]Material!$F:$F,[1]Material!$D:$D)</f>
        <v>2.5</v>
      </c>
      <c r="F769" s="1"/>
      <c r="G769" s="59">
        <v>0</v>
      </c>
      <c r="H769" s="59">
        <v>15.205078496217737</v>
      </c>
      <c r="I769" s="59">
        <v>33.087353175960772</v>
      </c>
      <c r="J769" s="59"/>
      <c r="K769" s="59">
        <v>0</v>
      </c>
      <c r="L769" s="59"/>
      <c r="M769" s="59">
        <f t="shared" si="28"/>
        <v>48.292431672178509</v>
      </c>
    </row>
    <row r="770" spans="1:13" hidden="1" outlineLevel="2">
      <c r="A770" s="138">
        <v>46054</v>
      </c>
      <c r="B770" s="1" t="s">
        <v>945</v>
      </c>
      <c r="C770" s="346">
        <v>479730311035</v>
      </c>
      <c r="D770" s="341" t="s">
        <v>45</v>
      </c>
      <c r="E770" s="367">
        <f>_xlfn.XLOOKUP(C770,[1]Material!$F:$F,[1]Material!$D:$D)</f>
        <v>0.5</v>
      </c>
      <c r="F770" s="1"/>
      <c r="G770" s="59">
        <v>0</v>
      </c>
      <c r="H770" s="59">
        <v>15.205078496217737</v>
      </c>
      <c r="I770" s="59">
        <v>0</v>
      </c>
      <c r="J770" s="59"/>
      <c r="K770" s="59">
        <v>0</v>
      </c>
      <c r="L770" s="59"/>
      <c r="M770" s="59">
        <f t="shared" si="28"/>
        <v>15.205078496217737</v>
      </c>
    </row>
    <row r="771" spans="1:13" hidden="1" outlineLevel="2">
      <c r="A771" s="138">
        <v>46054</v>
      </c>
      <c r="B771" s="1" t="s">
        <v>947</v>
      </c>
      <c r="C771" s="346">
        <v>479730318280</v>
      </c>
      <c r="D771" s="341" t="s">
        <v>45</v>
      </c>
      <c r="E771" s="367">
        <f>_xlfn.XLOOKUP(C771,[1]Material!$F:$F,[1]Material!$D:$D)</f>
        <v>1</v>
      </c>
      <c r="F771" s="1"/>
      <c r="G771" s="59">
        <v>0</v>
      </c>
      <c r="H771" s="59">
        <v>15.205078496217737</v>
      </c>
      <c r="I771" s="59">
        <v>0</v>
      </c>
      <c r="J771" s="59"/>
      <c r="K771" s="59">
        <v>0</v>
      </c>
      <c r="L771" s="59"/>
      <c r="M771" s="59">
        <f t="shared" si="28"/>
        <v>15.205078496217737</v>
      </c>
    </row>
    <row r="772" spans="1:13" hidden="1" outlineLevel="2">
      <c r="A772" s="138">
        <v>46054</v>
      </c>
      <c r="B772" s="1" t="s">
        <v>947</v>
      </c>
      <c r="C772" s="346">
        <v>479730322021</v>
      </c>
      <c r="D772" s="341" t="s">
        <v>45</v>
      </c>
      <c r="E772" s="367">
        <f>_xlfn.XLOOKUP(C772,[1]Material!$F:$F,[1]Material!$D:$D)</f>
        <v>1.5</v>
      </c>
      <c r="F772" s="1"/>
      <c r="G772" s="59">
        <v>0</v>
      </c>
      <c r="H772" s="59">
        <v>15.205078496217737</v>
      </c>
      <c r="I772" s="59">
        <v>0</v>
      </c>
      <c r="J772" s="59"/>
      <c r="K772" s="59">
        <v>0</v>
      </c>
      <c r="L772" s="59"/>
      <c r="M772" s="59">
        <f t="shared" si="28"/>
        <v>15.205078496217737</v>
      </c>
    </row>
    <row r="773" spans="1:13" hidden="1" outlineLevel="2">
      <c r="A773" s="138">
        <v>46054</v>
      </c>
      <c r="B773" s="1" t="s">
        <v>945</v>
      </c>
      <c r="C773" s="346">
        <v>479730324918</v>
      </c>
      <c r="D773" s="341" t="s">
        <v>45</v>
      </c>
      <c r="E773" s="367">
        <f>_xlfn.XLOOKUP(C773,[1]Material!$F:$F,[1]Material!$D:$D)</f>
        <v>3</v>
      </c>
      <c r="F773" s="1"/>
      <c r="G773" s="59">
        <v>0</v>
      </c>
      <c r="H773" s="59">
        <v>15.205078496217737</v>
      </c>
      <c r="I773" s="59">
        <v>0</v>
      </c>
      <c r="J773" s="59"/>
      <c r="K773" s="59">
        <v>0</v>
      </c>
      <c r="L773" s="59"/>
      <c r="M773" s="59">
        <f t="shared" si="28"/>
        <v>15.205078496217737</v>
      </c>
    </row>
    <row r="774" spans="1:13" hidden="1" outlineLevel="2">
      <c r="A774" s="138">
        <v>46054</v>
      </c>
      <c r="B774" s="1" t="s">
        <v>945</v>
      </c>
      <c r="C774" s="346">
        <v>479730318110</v>
      </c>
      <c r="D774" s="341" t="s">
        <v>45</v>
      </c>
      <c r="E774" s="367">
        <f>_xlfn.XLOOKUP(C774,[1]Material!$F:$F,[1]Material!$D:$D)</f>
        <v>1.5</v>
      </c>
      <c r="F774" s="1"/>
      <c r="G774" s="59">
        <v>0</v>
      </c>
      <c r="H774" s="59">
        <v>15.205078496217737</v>
      </c>
      <c r="I774" s="59">
        <v>0</v>
      </c>
      <c r="J774" s="59"/>
      <c r="K774" s="59">
        <v>0</v>
      </c>
      <c r="L774" s="59"/>
      <c r="M774" s="59">
        <f t="shared" si="28"/>
        <v>15.205078496217737</v>
      </c>
    </row>
    <row r="775" spans="1:13" hidden="1" outlineLevel="2">
      <c r="A775" s="138">
        <v>46054</v>
      </c>
      <c r="B775" s="1" t="s">
        <v>936</v>
      </c>
      <c r="C775" s="346">
        <v>4711909799</v>
      </c>
      <c r="D775" s="341" t="s">
        <v>85</v>
      </c>
      <c r="E775" s="367">
        <f>_xlfn.XLOOKUP(C775,[1]Material!$F:$F,[1]Material!$D:$D)</f>
        <v>184</v>
      </c>
      <c r="F775" s="1"/>
      <c r="G775" s="59">
        <v>18.246094195461286</v>
      </c>
      <c r="H775" s="59">
        <v>15.205078496217737</v>
      </c>
      <c r="I775" s="59">
        <v>542.5</v>
      </c>
      <c r="J775" s="59"/>
      <c r="K775" s="59">
        <v>60.773214901308606</v>
      </c>
      <c r="L775" s="59"/>
      <c r="M775" s="59">
        <f t="shared" si="28"/>
        <v>636.72438759298768</v>
      </c>
    </row>
    <row r="776" spans="1:13" hidden="1" outlineLevel="2">
      <c r="A776" s="138">
        <v>46054</v>
      </c>
      <c r="B776" s="1" t="s">
        <v>110</v>
      </c>
      <c r="C776" s="346">
        <v>483570642055</v>
      </c>
      <c r="D776" s="341" t="s">
        <v>45</v>
      </c>
      <c r="E776" s="367">
        <f>_xlfn.XLOOKUP(C776,[1]Material!$F:$F,[1]Material!$D:$D)</f>
        <v>38</v>
      </c>
      <c r="F776" s="1"/>
      <c r="G776" s="59">
        <v>0</v>
      </c>
      <c r="H776" s="59">
        <v>15.205078496217737</v>
      </c>
      <c r="I776" s="59">
        <v>0</v>
      </c>
      <c r="J776" s="59"/>
      <c r="K776" s="59">
        <v>0</v>
      </c>
      <c r="L776" s="59"/>
      <c r="M776" s="59">
        <f t="shared" si="28"/>
        <v>15.205078496217737</v>
      </c>
    </row>
    <row r="777" spans="1:13" hidden="1" outlineLevel="2">
      <c r="A777" s="138">
        <v>46054</v>
      </c>
      <c r="B777" s="1" t="s">
        <v>1321</v>
      </c>
      <c r="C777" s="346">
        <v>500070679375</v>
      </c>
      <c r="D777" s="341" t="s">
        <v>45</v>
      </c>
      <c r="E777" s="367">
        <f>_xlfn.XLOOKUP(C777,[1]Material!$F:$F,[1]Material!$D:$D)</f>
        <v>240</v>
      </c>
      <c r="F777" s="1"/>
      <c r="G777" s="59">
        <v>0</v>
      </c>
      <c r="H777" s="59">
        <v>15.205078496217737</v>
      </c>
      <c r="I777" s="59">
        <v>0</v>
      </c>
      <c r="J777" s="59"/>
      <c r="K777" s="59">
        <v>0</v>
      </c>
      <c r="L777" s="59"/>
      <c r="M777" s="59">
        <f t="shared" si="28"/>
        <v>15.205078496217737</v>
      </c>
    </row>
    <row r="778" spans="1:13" hidden="1" outlineLevel="2">
      <c r="A778" s="138">
        <v>46054</v>
      </c>
      <c r="B778" s="1" t="s">
        <v>296</v>
      </c>
      <c r="C778" s="346" t="s">
        <v>1435</v>
      </c>
      <c r="D778" s="341" t="s">
        <v>1783</v>
      </c>
      <c r="E778" s="367">
        <f>_xlfn.XLOOKUP(C778,[1]Material!$F:$F,[1]Material!$D:$D)</f>
        <v>305</v>
      </c>
      <c r="F778" s="1">
        <v>0.75000000000000011</v>
      </c>
      <c r="G778" s="59">
        <v>38.012696240544344</v>
      </c>
      <c r="H778" s="59">
        <v>15.205078496217737</v>
      </c>
      <c r="I778" s="59">
        <v>392.09792070551566</v>
      </c>
      <c r="J778" s="59"/>
      <c r="K778" s="59">
        <v>33.622990078686279</v>
      </c>
      <c r="L778" s="59"/>
      <c r="M778" s="59">
        <f t="shared" si="28"/>
        <v>478.93868552096399</v>
      </c>
    </row>
    <row r="779" spans="1:13" hidden="1" outlineLevel="2">
      <c r="A779" s="138">
        <v>46054</v>
      </c>
      <c r="B779" s="1" t="s">
        <v>948</v>
      </c>
      <c r="C779" s="346">
        <v>4110333414</v>
      </c>
      <c r="D779" s="341" t="s">
        <v>85</v>
      </c>
      <c r="E779" s="367">
        <f>_xlfn.XLOOKUP(C779,[1]Material!$F:$F,[1]Material!$D:$D)</f>
        <v>35</v>
      </c>
      <c r="F779" s="1"/>
      <c r="G779" s="59">
        <v>0</v>
      </c>
      <c r="H779" s="59">
        <v>15.205078496217737</v>
      </c>
      <c r="I779" s="59">
        <v>0</v>
      </c>
      <c r="J779" s="59"/>
      <c r="K779" s="59">
        <v>0</v>
      </c>
      <c r="L779" s="59"/>
      <c r="M779" s="59">
        <f t="shared" si="28"/>
        <v>15.205078496217737</v>
      </c>
    </row>
    <row r="780" spans="1:13" hidden="1" outlineLevel="2">
      <c r="A780" s="138">
        <v>46054</v>
      </c>
      <c r="B780" s="1" t="s">
        <v>947</v>
      </c>
      <c r="C780" s="346">
        <v>479730328177</v>
      </c>
      <c r="D780" s="341" t="s">
        <v>45</v>
      </c>
      <c r="E780" s="367">
        <f>_xlfn.XLOOKUP(C780,[1]Material!$F:$F,[1]Material!$D:$D)</f>
        <v>4</v>
      </c>
      <c r="F780" s="1"/>
      <c r="G780" s="59">
        <v>0</v>
      </c>
      <c r="H780" s="59">
        <v>15.205078496217737</v>
      </c>
      <c r="I780" s="59">
        <v>0</v>
      </c>
      <c r="J780" s="59"/>
      <c r="K780" s="59">
        <v>0</v>
      </c>
      <c r="L780" s="59"/>
      <c r="M780" s="59">
        <f t="shared" si="28"/>
        <v>15.205078496217737</v>
      </c>
    </row>
    <row r="781" spans="1:13" hidden="1" outlineLevel="2">
      <c r="A781" s="138">
        <v>46054</v>
      </c>
      <c r="B781" s="1" t="s">
        <v>963</v>
      </c>
      <c r="C781" s="346">
        <v>501791592524</v>
      </c>
      <c r="D781" s="341" t="s">
        <v>45</v>
      </c>
      <c r="E781" s="367">
        <f>_xlfn.XLOOKUP(C781,[1]Material!$F:$F,[1]Material!$D:$D)</f>
        <v>8.5</v>
      </c>
      <c r="F781" s="1"/>
      <c r="G781" s="59">
        <v>0</v>
      </c>
      <c r="H781" s="59">
        <v>15.205078496217737</v>
      </c>
      <c r="I781" s="59">
        <v>0</v>
      </c>
      <c r="J781" s="59"/>
      <c r="K781" s="59">
        <v>0</v>
      </c>
      <c r="L781" s="59"/>
      <c r="M781" s="59">
        <f t="shared" si="28"/>
        <v>15.205078496217737</v>
      </c>
    </row>
    <row r="782" spans="1:13" hidden="1" outlineLevel="2">
      <c r="A782" s="138">
        <v>46054</v>
      </c>
      <c r="B782" s="1" t="s">
        <v>375</v>
      </c>
      <c r="C782" s="346">
        <v>888229793803</v>
      </c>
      <c r="D782" s="341" t="s">
        <v>45</v>
      </c>
      <c r="E782" s="367">
        <f>_xlfn.XLOOKUP(C782,[1]Material!$F:$F,[1]Material!$D:$D)</f>
        <v>44</v>
      </c>
      <c r="F782" s="1"/>
      <c r="G782" s="59">
        <v>0</v>
      </c>
      <c r="H782" s="59">
        <v>15.205078496217737</v>
      </c>
      <c r="I782" s="59">
        <v>157.37936670848063</v>
      </c>
      <c r="J782" s="59"/>
      <c r="K782" s="59">
        <v>0</v>
      </c>
      <c r="L782" s="59"/>
      <c r="M782" s="59">
        <f t="shared" si="28"/>
        <v>172.58444520469837</v>
      </c>
    </row>
    <row r="783" spans="1:13" hidden="1" outlineLevel="2">
      <c r="A783" s="138">
        <v>46054</v>
      </c>
      <c r="B783" s="1" t="s">
        <v>335</v>
      </c>
      <c r="C783" s="346">
        <v>477592552339</v>
      </c>
      <c r="D783" s="341" t="s">
        <v>45</v>
      </c>
      <c r="E783" s="367">
        <f>_xlfn.XLOOKUP(C783,[1]Material!$F:$F,[1]Material!$D:$D)</f>
        <v>29.5</v>
      </c>
      <c r="F783" s="1"/>
      <c r="G783" s="59">
        <v>0</v>
      </c>
      <c r="H783" s="59">
        <v>15.205078496217737</v>
      </c>
      <c r="I783" s="59">
        <v>105.66092674953434</v>
      </c>
      <c r="J783" s="59"/>
      <c r="K783" s="59">
        <v>0</v>
      </c>
      <c r="L783" s="59"/>
      <c r="M783" s="59">
        <f t="shared" si="28"/>
        <v>120.86600524575208</v>
      </c>
    </row>
    <row r="784" spans="1:13" hidden="1" outlineLevel="2">
      <c r="A784" s="138">
        <v>46054</v>
      </c>
      <c r="B784" s="1" t="s">
        <v>948</v>
      </c>
      <c r="C784" s="346">
        <v>4110333412</v>
      </c>
      <c r="D784" s="341" t="s">
        <v>85</v>
      </c>
      <c r="E784" s="367">
        <f>_xlfn.XLOOKUP(C784,[1]Material!$F:$F,[1]Material!$D:$D)</f>
        <v>43.5</v>
      </c>
      <c r="F784" s="1"/>
      <c r="G784" s="59">
        <v>0</v>
      </c>
      <c r="H784" s="59">
        <v>15.205078496217737</v>
      </c>
      <c r="I784" s="59">
        <v>0</v>
      </c>
      <c r="J784" s="59"/>
      <c r="K784" s="59">
        <v>0</v>
      </c>
      <c r="L784" s="59"/>
      <c r="M784" s="59">
        <f t="shared" si="28"/>
        <v>15.205078496217737</v>
      </c>
    </row>
    <row r="785" spans="1:13" hidden="1" outlineLevel="2">
      <c r="A785" s="138">
        <v>46054</v>
      </c>
      <c r="B785" s="1" t="s">
        <v>378</v>
      </c>
      <c r="C785" s="346">
        <v>409298906955</v>
      </c>
      <c r="D785" s="341" t="s">
        <v>45</v>
      </c>
      <c r="E785" s="367">
        <f>_xlfn.XLOOKUP(C785,[1]Material!$F:$F,[1]Material!$D:$D)</f>
        <v>1.5</v>
      </c>
      <c r="F785" s="1"/>
      <c r="G785" s="59">
        <v>0</v>
      </c>
      <c r="H785" s="59">
        <v>15.205078496217737</v>
      </c>
      <c r="I785" s="59">
        <v>25.144524271106551</v>
      </c>
      <c r="J785" s="59"/>
      <c r="K785" s="59">
        <v>0</v>
      </c>
      <c r="L785" s="59"/>
      <c r="M785" s="59">
        <f t="shared" si="28"/>
        <v>40.349602767324285</v>
      </c>
    </row>
    <row r="786" spans="1:13" hidden="1" outlineLevel="2">
      <c r="A786" s="138">
        <v>46054</v>
      </c>
      <c r="B786" s="1" t="s">
        <v>948</v>
      </c>
      <c r="C786" s="346">
        <v>4110333467</v>
      </c>
      <c r="D786" s="341" t="s">
        <v>85</v>
      </c>
      <c r="E786" s="367">
        <f>_xlfn.XLOOKUP(C786,[1]Material!$F:$F,[1]Material!$D:$D)</f>
        <v>20.5</v>
      </c>
      <c r="F786" s="1"/>
      <c r="G786" s="59">
        <v>0</v>
      </c>
      <c r="H786" s="59">
        <v>15.205078496217737</v>
      </c>
      <c r="I786" s="59">
        <v>0</v>
      </c>
      <c r="J786" s="59"/>
      <c r="K786" s="59">
        <v>0</v>
      </c>
      <c r="L786" s="59"/>
      <c r="M786" s="59">
        <f t="shared" si="28"/>
        <v>15.205078496217737</v>
      </c>
    </row>
    <row r="787" spans="1:13" hidden="1" outlineLevel="2">
      <c r="A787" s="138">
        <v>46054</v>
      </c>
      <c r="B787" s="1" t="s">
        <v>1476</v>
      </c>
      <c r="C787" s="346" t="s">
        <v>1436</v>
      </c>
      <c r="D787" s="341" t="s">
        <v>1783</v>
      </c>
      <c r="E787" s="367">
        <f>_xlfn.XLOOKUP(C787,[1]Material!$F:$F,[1]Material!$D:$D)</f>
        <v>2589.81</v>
      </c>
      <c r="F787" s="1">
        <v>11.98</v>
      </c>
      <c r="G787" s="59">
        <v>117.83935834568746</v>
      </c>
      <c r="H787" s="59">
        <v>15.205078496217737</v>
      </c>
      <c r="I787" s="59">
        <v>848.15474968639523</v>
      </c>
      <c r="J787" s="59"/>
      <c r="K787" s="59">
        <v>154.04861823849166</v>
      </c>
      <c r="L787" s="59"/>
      <c r="M787" s="59">
        <f t="shared" si="28"/>
        <v>1135.2478047667921</v>
      </c>
    </row>
    <row r="788" spans="1:13" hidden="1" outlineLevel="2">
      <c r="A788" s="138">
        <v>46054</v>
      </c>
      <c r="B788" s="1" t="s">
        <v>958</v>
      </c>
      <c r="C788" s="346">
        <v>398177211964</v>
      </c>
      <c r="D788" s="341" t="s">
        <v>45</v>
      </c>
      <c r="E788" s="367">
        <f>_xlfn.XLOOKUP(C788,[1]Material!$F:$F,[1]Material!$D:$D)</f>
        <v>9.5</v>
      </c>
      <c r="F788" s="1"/>
      <c r="G788" s="59">
        <v>0</v>
      </c>
      <c r="H788" s="59">
        <v>15.205078496217737</v>
      </c>
      <c r="I788" s="59">
        <v>0</v>
      </c>
      <c r="J788" s="59"/>
      <c r="K788" s="59">
        <v>0</v>
      </c>
      <c r="L788" s="59"/>
      <c r="M788" s="59">
        <f t="shared" si="28"/>
        <v>15.205078496217737</v>
      </c>
    </row>
    <row r="789" spans="1:13" hidden="1" outlineLevel="2">
      <c r="A789" s="138">
        <v>46054</v>
      </c>
      <c r="B789" s="1" t="s">
        <v>968</v>
      </c>
      <c r="C789" s="346">
        <v>511560874677</v>
      </c>
      <c r="D789" s="341" t="s">
        <v>45</v>
      </c>
      <c r="E789" s="367">
        <f>_xlfn.XLOOKUP(C789,[1]Material!$F:$F,[1]Material!$D:$D)</f>
        <v>4.5</v>
      </c>
      <c r="F789" s="1"/>
      <c r="G789" s="59">
        <v>0</v>
      </c>
      <c r="H789" s="59">
        <v>15.205078496217737</v>
      </c>
      <c r="I789" s="59">
        <v>0</v>
      </c>
      <c r="J789" s="59"/>
      <c r="K789" s="59">
        <v>0</v>
      </c>
      <c r="L789" s="59"/>
      <c r="M789" s="59">
        <f t="shared" si="28"/>
        <v>15.205078496217737</v>
      </c>
    </row>
    <row r="790" spans="1:13" hidden="1" outlineLevel="2">
      <c r="A790" s="138">
        <v>46054</v>
      </c>
      <c r="B790" s="1" t="s">
        <v>1478</v>
      </c>
      <c r="C790" s="346">
        <v>888390164033</v>
      </c>
      <c r="D790" s="341" t="s">
        <v>45</v>
      </c>
      <c r="E790" s="367">
        <f>_xlfn.XLOOKUP(C790,[1]Material!$F:$F,[1]Material!$D:$D)</f>
        <v>0.5</v>
      </c>
      <c r="F790" s="1"/>
      <c r="G790" s="59">
        <v>0</v>
      </c>
      <c r="H790" s="59">
        <v>15.205078496217737</v>
      </c>
      <c r="I790" s="59">
        <v>19.368799178925762</v>
      </c>
      <c r="J790" s="59"/>
      <c r="K790" s="59">
        <v>0</v>
      </c>
      <c r="L790" s="59"/>
      <c r="M790" s="59">
        <f t="shared" si="28"/>
        <v>34.5738776751435</v>
      </c>
    </row>
    <row r="791" spans="1:13" hidden="1" outlineLevel="2">
      <c r="A791" s="138">
        <v>46054</v>
      </c>
      <c r="B791" s="1" t="s">
        <v>1321</v>
      </c>
      <c r="C791" s="346">
        <v>500070678059</v>
      </c>
      <c r="D791" s="341" t="s">
        <v>45</v>
      </c>
      <c r="E791" s="367">
        <f>_xlfn.XLOOKUP(C791,[1]Material!$F:$F,[1]Material!$D:$D)</f>
        <v>170.5</v>
      </c>
      <c r="F791" s="1"/>
      <c r="G791" s="59">
        <v>0</v>
      </c>
      <c r="H791" s="59">
        <v>15.205078496217737</v>
      </c>
      <c r="I791" s="59">
        <v>0</v>
      </c>
      <c r="J791" s="59"/>
      <c r="K791" s="59">
        <v>0</v>
      </c>
      <c r="L791" s="59"/>
      <c r="M791" s="59">
        <f t="shared" si="28"/>
        <v>15.205078496217737</v>
      </c>
    </row>
    <row r="792" spans="1:13" hidden="1" outlineLevel="2">
      <c r="A792" s="138">
        <v>46054</v>
      </c>
      <c r="B792" s="1" t="s">
        <v>957</v>
      </c>
      <c r="C792" s="346">
        <v>511907356766</v>
      </c>
      <c r="D792" s="341" t="s">
        <v>45</v>
      </c>
      <c r="E792" s="367">
        <f>_xlfn.XLOOKUP(C792,[1]Material!$F:$F,[1]Material!$D:$D)</f>
        <v>0.5</v>
      </c>
      <c r="F792" s="1"/>
      <c r="G792" s="59">
        <v>0</v>
      </c>
      <c r="H792" s="59">
        <v>15.205078496217737</v>
      </c>
      <c r="I792" s="59">
        <v>0</v>
      </c>
      <c r="J792" s="59"/>
      <c r="K792" s="59">
        <v>0</v>
      </c>
      <c r="L792" s="59"/>
      <c r="M792" s="59">
        <f t="shared" si="28"/>
        <v>15.205078496217737</v>
      </c>
    </row>
    <row r="793" spans="1:13" hidden="1" outlineLevel="2">
      <c r="A793" s="138">
        <v>46054</v>
      </c>
      <c r="B793" s="1" t="s">
        <v>934</v>
      </c>
      <c r="C793" s="346">
        <v>4104762896</v>
      </c>
      <c r="D793" s="341" t="s">
        <v>897</v>
      </c>
      <c r="E793" s="367">
        <f>_xlfn.XLOOKUP(C793,[1]Material!$F:$F,[1]Material!$D:$D)</f>
        <v>17.5</v>
      </c>
      <c r="F793" s="1"/>
      <c r="G793" s="59">
        <v>0</v>
      </c>
      <c r="H793" s="59">
        <v>15.205078496217737</v>
      </c>
      <c r="I793" s="59">
        <v>0</v>
      </c>
      <c r="J793" s="59"/>
      <c r="K793" s="59">
        <v>0</v>
      </c>
      <c r="L793" s="59"/>
      <c r="M793" s="59">
        <f t="shared" si="28"/>
        <v>15.205078496217737</v>
      </c>
    </row>
    <row r="794" spans="1:13" hidden="1" outlineLevel="2">
      <c r="A794" s="138">
        <v>46054</v>
      </c>
      <c r="B794" s="1" t="s">
        <v>934</v>
      </c>
      <c r="C794" s="346">
        <v>4104764171</v>
      </c>
      <c r="D794" s="341" t="s">
        <v>897</v>
      </c>
      <c r="E794" s="367">
        <f>_xlfn.XLOOKUP(C794,[1]Material!$F:$F,[1]Material!$D:$D)</f>
        <v>3.6</v>
      </c>
      <c r="F794" s="1"/>
      <c r="G794" s="59">
        <v>0</v>
      </c>
      <c r="H794" s="59">
        <v>15.205078496217737</v>
      </c>
      <c r="I794" s="59">
        <v>0</v>
      </c>
      <c r="J794" s="59"/>
      <c r="K794" s="59">
        <v>0</v>
      </c>
      <c r="L794" s="59"/>
      <c r="M794" s="59">
        <f t="shared" si="28"/>
        <v>15.205078496217737</v>
      </c>
    </row>
    <row r="795" spans="1:13" hidden="1" outlineLevel="2">
      <c r="A795" s="138">
        <v>46054</v>
      </c>
      <c r="B795" s="1" t="s">
        <v>1479</v>
      </c>
      <c r="C795" s="346">
        <v>888426765832</v>
      </c>
      <c r="D795" s="341" t="s">
        <v>45</v>
      </c>
      <c r="E795" s="367">
        <f>_xlfn.XLOOKUP(C795,[1]Material!$F:$F,[1]Material!$D:$D)</f>
        <v>11.5</v>
      </c>
      <c r="F795" s="1"/>
      <c r="G795" s="59">
        <v>0</v>
      </c>
      <c r="H795" s="59">
        <v>15.205078496217737</v>
      </c>
      <c r="I795" s="59">
        <v>56.377732162542287</v>
      </c>
      <c r="J795" s="59"/>
      <c r="K795" s="59">
        <v>0</v>
      </c>
      <c r="L795" s="59"/>
      <c r="M795" s="59">
        <f t="shared" si="28"/>
        <v>71.582810658760025</v>
      </c>
    </row>
    <row r="796" spans="1:13" hidden="1" outlineLevel="2">
      <c r="A796" s="138">
        <v>46054</v>
      </c>
      <c r="B796" s="1" t="s">
        <v>980</v>
      </c>
      <c r="C796" s="346">
        <v>398399792549</v>
      </c>
      <c r="D796" s="341" t="s">
        <v>45</v>
      </c>
      <c r="E796" s="367">
        <f>_xlfn.XLOOKUP(C796,[1]Material!$F:$F,[1]Material!$D:$D)</f>
        <v>3</v>
      </c>
      <c r="F796" s="1"/>
      <c r="G796" s="59">
        <v>0</v>
      </c>
      <c r="H796" s="59">
        <v>15.205078496217737</v>
      </c>
      <c r="I796" s="59">
        <v>0</v>
      </c>
      <c r="J796" s="59"/>
      <c r="K796" s="59">
        <v>0</v>
      </c>
      <c r="L796" s="59"/>
      <c r="M796" s="59">
        <f t="shared" si="28"/>
        <v>15.205078496217737</v>
      </c>
    </row>
    <row r="797" spans="1:13" hidden="1" outlineLevel="2">
      <c r="A797" s="138">
        <v>46054</v>
      </c>
      <c r="B797" s="1" t="s">
        <v>1480</v>
      </c>
      <c r="C797" s="346">
        <v>888333142135</v>
      </c>
      <c r="D797" s="341" t="s">
        <v>45</v>
      </c>
      <c r="E797" s="367">
        <f>_xlfn.XLOOKUP(C797,[1]Material!$F:$F,[1]Material!$D:$D)</f>
        <v>4</v>
      </c>
      <c r="F797" s="1"/>
      <c r="G797" s="59">
        <v>0</v>
      </c>
      <c r="H797" s="59">
        <v>15.205078496217737</v>
      </c>
      <c r="I797" s="59">
        <v>38.686851408370394</v>
      </c>
      <c r="J797" s="59"/>
      <c r="K797" s="59">
        <v>0</v>
      </c>
      <c r="L797" s="59"/>
      <c r="M797" s="59">
        <f t="shared" si="28"/>
        <v>53.891929904588132</v>
      </c>
    </row>
    <row r="798" spans="1:13" hidden="1" outlineLevel="2">
      <c r="A798" s="138">
        <v>46054</v>
      </c>
      <c r="B798" s="1" t="s">
        <v>948</v>
      </c>
      <c r="C798" s="346">
        <v>4110333593</v>
      </c>
      <c r="D798" s="341" t="s">
        <v>85</v>
      </c>
      <c r="E798" s="367">
        <f>_xlfn.XLOOKUP(C798,[1]Material!$F:$F,[1]Material!$D:$D)</f>
        <v>80</v>
      </c>
      <c r="F798" s="1"/>
      <c r="G798" s="59">
        <v>0</v>
      </c>
      <c r="H798" s="59">
        <v>15.205078496217737</v>
      </c>
      <c r="I798" s="59">
        <v>0</v>
      </c>
      <c r="J798" s="59"/>
      <c r="K798" s="59">
        <v>0</v>
      </c>
      <c r="L798" s="59"/>
      <c r="M798" s="59">
        <f t="shared" si="28"/>
        <v>15.205078496217737</v>
      </c>
    </row>
    <row r="799" spans="1:13" hidden="1" outlineLevel="2">
      <c r="A799" s="138">
        <v>46054</v>
      </c>
      <c r="B799" s="1" t="s">
        <v>947</v>
      </c>
      <c r="C799" s="346">
        <v>479730321080</v>
      </c>
      <c r="D799" s="341" t="s">
        <v>45</v>
      </c>
      <c r="E799" s="367">
        <f>_xlfn.XLOOKUP(C799,[1]Material!$F:$F,[1]Material!$D:$D)</f>
        <v>1</v>
      </c>
      <c r="F799" s="1"/>
      <c r="G799" s="59">
        <v>0</v>
      </c>
      <c r="H799" s="59">
        <v>15.205078496217737</v>
      </c>
      <c r="I799" s="59">
        <v>0</v>
      </c>
      <c r="J799" s="59"/>
      <c r="K799" s="59">
        <v>0</v>
      </c>
      <c r="L799" s="59"/>
      <c r="M799" s="59">
        <f t="shared" si="28"/>
        <v>15.205078496217737</v>
      </c>
    </row>
    <row r="800" spans="1:13" hidden="1" outlineLevel="2">
      <c r="A800" s="138">
        <v>46054</v>
      </c>
      <c r="B800" s="1" t="s">
        <v>941</v>
      </c>
      <c r="C800" s="346">
        <v>4319184800</v>
      </c>
      <c r="D800" s="341" t="s">
        <v>897</v>
      </c>
      <c r="E800" s="367">
        <f>_xlfn.XLOOKUP(C800,[1]Material!$F:$F,[1]Material!$D:$D)</f>
        <v>0.3</v>
      </c>
      <c r="F800" s="1"/>
      <c r="G800" s="59">
        <v>0</v>
      </c>
      <c r="H800" s="59">
        <v>15.205078496217737</v>
      </c>
      <c r="I800" s="59">
        <v>0</v>
      </c>
      <c r="J800" s="59"/>
      <c r="K800" s="59">
        <v>0</v>
      </c>
      <c r="L800" s="59"/>
      <c r="M800" s="59">
        <f t="shared" si="28"/>
        <v>15.205078496217737</v>
      </c>
    </row>
    <row r="801" spans="1:13" hidden="1" outlineLevel="2">
      <c r="A801" s="138">
        <v>46054</v>
      </c>
      <c r="B801" s="1" t="s">
        <v>941</v>
      </c>
      <c r="C801" s="346">
        <v>4319185161</v>
      </c>
      <c r="D801" s="341" t="s">
        <v>897</v>
      </c>
      <c r="E801" s="367">
        <f>_xlfn.XLOOKUP(C801,[1]Material!$F:$F,[1]Material!$D:$D)</f>
        <v>0.6</v>
      </c>
      <c r="F801" s="1"/>
      <c r="G801" s="59">
        <v>0</v>
      </c>
      <c r="H801" s="59">
        <v>15.205078496217737</v>
      </c>
      <c r="I801" s="59">
        <v>0</v>
      </c>
      <c r="J801" s="59"/>
      <c r="K801" s="59">
        <v>0</v>
      </c>
      <c r="L801" s="59"/>
      <c r="M801" s="59">
        <f t="shared" ref="M801:M864" si="29">SUM(G801:L801)</f>
        <v>15.205078496217737</v>
      </c>
    </row>
    <row r="802" spans="1:13" hidden="1" outlineLevel="2">
      <c r="A802" s="138">
        <v>46054</v>
      </c>
      <c r="B802" s="1" t="s">
        <v>941</v>
      </c>
      <c r="C802" s="346">
        <v>4319186060</v>
      </c>
      <c r="D802" s="341" t="s">
        <v>897</v>
      </c>
      <c r="E802" s="367">
        <f>_xlfn.XLOOKUP(C802,[1]Material!$F:$F,[1]Material!$D:$D)</f>
        <v>195</v>
      </c>
      <c r="F802" s="1"/>
      <c r="G802" s="59">
        <v>0</v>
      </c>
      <c r="H802" s="59">
        <v>26.608887368381041</v>
      </c>
      <c r="I802" s="59">
        <v>0</v>
      </c>
      <c r="J802" s="59"/>
      <c r="K802" s="59">
        <v>0</v>
      </c>
      <c r="L802" s="59"/>
      <c r="M802" s="59">
        <f t="shared" si="29"/>
        <v>26.608887368381041</v>
      </c>
    </row>
    <row r="803" spans="1:13" hidden="1" outlineLevel="2">
      <c r="A803" s="138">
        <v>46054</v>
      </c>
      <c r="B803" s="1" t="s">
        <v>934</v>
      </c>
      <c r="C803" s="346">
        <v>3098717963</v>
      </c>
      <c r="D803" s="341" t="s">
        <v>897</v>
      </c>
      <c r="E803" s="367">
        <f>_xlfn.XLOOKUP(C803,[1]Material!$F:$F,[1]Material!$D:$D)</f>
        <v>7.1</v>
      </c>
      <c r="F803" s="1"/>
      <c r="G803" s="59">
        <v>0</v>
      </c>
      <c r="H803" s="59">
        <v>15.205078496217737</v>
      </c>
      <c r="I803" s="59">
        <v>0</v>
      </c>
      <c r="J803" s="59"/>
      <c r="K803" s="59">
        <v>0</v>
      </c>
      <c r="L803" s="59"/>
      <c r="M803" s="59">
        <f t="shared" si="29"/>
        <v>15.205078496217737</v>
      </c>
    </row>
    <row r="804" spans="1:13" hidden="1" outlineLevel="2">
      <c r="A804" s="138">
        <v>46054</v>
      </c>
      <c r="B804" s="1" t="s">
        <v>948</v>
      </c>
      <c r="C804" s="346">
        <v>4110333622</v>
      </c>
      <c r="D804" s="341" t="s">
        <v>85</v>
      </c>
      <c r="E804" s="367">
        <f>_xlfn.XLOOKUP(C804,[1]Material!$F:$F,[1]Material!$D:$D)</f>
        <v>28</v>
      </c>
      <c r="F804" s="1"/>
      <c r="G804" s="59">
        <v>0</v>
      </c>
      <c r="H804" s="59">
        <v>15.205078496217737</v>
      </c>
      <c r="I804" s="59">
        <v>0</v>
      </c>
      <c r="J804" s="59"/>
      <c r="K804" s="59">
        <v>0</v>
      </c>
      <c r="L804" s="59"/>
      <c r="M804" s="59">
        <f t="shared" si="29"/>
        <v>15.205078496217737</v>
      </c>
    </row>
    <row r="805" spans="1:13" hidden="1" outlineLevel="2">
      <c r="A805" s="138">
        <v>46054</v>
      </c>
      <c r="B805" s="1" t="s">
        <v>1482</v>
      </c>
      <c r="C805" s="346">
        <v>4110333469</v>
      </c>
      <c r="D805" s="341" t="s">
        <v>85</v>
      </c>
      <c r="E805" s="367">
        <f>_xlfn.XLOOKUP(C805,[1]Material!$F:$F,[1]Material!$D:$D)</f>
        <v>41</v>
      </c>
      <c r="F805" s="1"/>
      <c r="G805" s="59">
        <v>0</v>
      </c>
      <c r="H805" s="59">
        <v>15.205078496217737</v>
      </c>
      <c r="I805" s="59">
        <v>0</v>
      </c>
      <c r="J805" s="59"/>
      <c r="K805" s="59">
        <v>0</v>
      </c>
      <c r="L805" s="59"/>
      <c r="M805" s="59">
        <f t="shared" si="29"/>
        <v>15.205078496217737</v>
      </c>
    </row>
    <row r="806" spans="1:13" hidden="1" outlineLevel="2">
      <c r="A806" s="138">
        <v>46054</v>
      </c>
      <c r="B806" s="1" t="s">
        <v>1482</v>
      </c>
      <c r="C806" s="346">
        <v>4110333470</v>
      </c>
      <c r="D806" s="341" t="s">
        <v>85</v>
      </c>
      <c r="E806" s="367">
        <f>_xlfn.XLOOKUP(C806,[1]Material!$F:$F,[1]Material!$D:$D)</f>
        <v>50</v>
      </c>
      <c r="F806" s="1"/>
      <c r="G806" s="59">
        <v>0</v>
      </c>
      <c r="H806" s="59">
        <v>15.205078496217737</v>
      </c>
      <c r="I806" s="59">
        <v>0</v>
      </c>
      <c r="J806" s="59"/>
      <c r="K806" s="59">
        <v>0</v>
      </c>
      <c r="L806" s="59"/>
      <c r="M806" s="59">
        <f t="shared" si="29"/>
        <v>15.205078496217737</v>
      </c>
    </row>
    <row r="807" spans="1:13" hidden="1" outlineLevel="2">
      <c r="A807" s="138">
        <v>46054</v>
      </c>
      <c r="B807" s="1" t="s">
        <v>1482</v>
      </c>
      <c r="C807" s="346">
        <v>4110333658</v>
      </c>
      <c r="D807" s="341" t="s">
        <v>85</v>
      </c>
      <c r="E807" s="367">
        <f>_xlfn.XLOOKUP(C807,[1]Material!$F:$F,[1]Material!$D:$D)</f>
        <v>83</v>
      </c>
      <c r="F807" s="1"/>
      <c r="G807" s="59">
        <v>0</v>
      </c>
      <c r="H807" s="59">
        <v>15.205078496217737</v>
      </c>
      <c r="I807" s="59">
        <v>0</v>
      </c>
      <c r="J807" s="59"/>
      <c r="K807" s="59">
        <v>0</v>
      </c>
      <c r="L807" s="59"/>
      <c r="M807" s="59">
        <f t="shared" si="29"/>
        <v>15.205078496217737</v>
      </c>
    </row>
    <row r="808" spans="1:13" hidden="1" outlineLevel="2">
      <c r="A808" s="138">
        <v>46054</v>
      </c>
      <c r="B808" s="1" t="s">
        <v>948</v>
      </c>
      <c r="C808" s="346">
        <v>4110333468</v>
      </c>
      <c r="D808" s="341" t="s">
        <v>85</v>
      </c>
      <c r="E808" s="367">
        <f>_xlfn.XLOOKUP(C808,[1]Material!$F:$F,[1]Material!$D:$D)</f>
        <v>41</v>
      </c>
      <c r="F808" s="1"/>
      <c r="G808" s="59">
        <v>0</v>
      </c>
      <c r="H808" s="59">
        <v>15.205078496217737</v>
      </c>
      <c r="I808" s="59">
        <v>0</v>
      </c>
      <c r="J808" s="59"/>
      <c r="K808" s="59">
        <v>0</v>
      </c>
      <c r="L808" s="59"/>
      <c r="M808" s="59">
        <f t="shared" si="29"/>
        <v>15.205078496217737</v>
      </c>
    </row>
    <row r="809" spans="1:13" hidden="1" outlineLevel="2">
      <c r="A809" s="138">
        <v>46054</v>
      </c>
      <c r="B809" s="1" t="s">
        <v>1482</v>
      </c>
      <c r="C809" s="346">
        <v>4110333623</v>
      </c>
      <c r="D809" s="341" t="s">
        <v>85</v>
      </c>
      <c r="E809" s="367">
        <f>_xlfn.XLOOKUP(C809,[1]Material!$F:$F,[1]Material!$D:$D)</f>
        <v>2</v>
      </c>
      <c r="F809" s="1"/>
      <c r="G809" s="59">
        <v>0</v>
      </c>
      <c r="H809" s="59">
        <v>15.205078496217737</v>
      </c>
      <c r="I809" s="59">
        <v>0</v>
      </c>
      <c r="J809" s="59"/>
      <c r="K809" s="59">
        <v>0</v>
      </c>
      <c r="L809" s="59"/>
      <c r="M809" s="59">
        <f t="shared" si="29"/>
        <v>15.205078496217737</v>
      </c>
    </row>
    <row r="810" spans="1:13" hidden="1" outlineLevel="2">
      <c r="A810" s="138">
        <v>46054</v>
      </c>
      <c r="B810" s="1" t="s">
        <v>1483</v>
      </c>
      <c r="C810" s="346" t="s">
        <v>1456</v>
      </c>
      <c r="D810" s="341" t="s">
        <v>1783</v>
      </c>
      <c r="E810" s="367">
        <f>_xlfn.XLOOKUP(C810,[1]Material!$F:$F,[1]Material!$D:$D)</f>
        <v>1375.51</v>
      </c>
      <c r="F810" s="1">
        <v>11.71</v>
      </c>
      <c r="G810" s="59">
        <v>133.0444368419052</v>
      </c>
      <c r="H810" s="59">
        <v>15.205078496217737</v>
      </c>
      <c r="I810" s="59">
        <v>676.43890979587172</v>
      </c>
      <c r="J810" s="59"/>
      <c r="K810" s="59">
        <v>243.95666552628578</v>
      </c>
      <c r="L810" s="59"/>
      <c r="M810" s="59">
        <f t="shared" si="29"/>
        <v>1068.6450906602804</v>
      </c>
    </row>
    <row r="811" spans="1:13" hidden="1" outlineLevel="2">
      <c r="A811" s="138">
        <v>46054</v>
      </c>
      <c r="B811" s="1" t="s">
        <v>948</v>
      </c>
      <c r="C811" s="346">
        <v>4110333625</v>
      </c>
      <c r="D811" s="341" t="s">
        <v>85</v>
      </c>
      <c r="E811" s="367">
        <f>_xlfn.XLOOKUP(C811,[1]Material!$F:$F,[1]Material!$D:$D)</f>
        <v>7</v>
      </c>
      <c r="F811" s="1"/>
      <c r="G811" s="59">
        <v>0</v>
      </c>
      <c r="H811" s="59">
        <v>15.205078496217737</v>
      </c>
      <c r="I811" s="59">
        <v>0</v>
      </c>
      <c r="J811" s="59"/>
      <c r="K811" s="59">
        <v>0</v>
      </c>
      <c r="L811" s="59"/>
      <c r="M811" s="59">
        <f t="shared" si="29"/>
        <v>15.205078496217737</v>
      </c>
    </row>
    <row r="812" spans="1:13" hidden="1" outlineLevel="2">
      <c r="A812" s="138">
        <v>46054</v>
      </c>
      <c r="B812" s="1" t="s">
        <v>1482</v>
      </c>
      <c r="C812" s="346">
        <v>4110333624</v>
      </c>
      <c r="D812" s="341" t="s">
        <v>85</v>
      </c>
      <c r="E812" s="367">
        <f>_xlfn.XLOOKUP(C812,[1]Material!$F:$F,[1]Material!$D:$D)</f>
        <v>7</v>
      </c>
      <c r="F812" s="1"/>
      <c r="G812" s="59">
        <v>0</v>
      </c>
      <c r="H812" s="59">
        <v>15.205078496217737</v>
      </c>
      <c r="I812" s="59">
        <v>0</v>
      </c>
      <c r="J812" s="59"/>
      <c r="K812" s="59">
        <v>0</v>
      </c>
      <c r="L812" s="59"/>
      <c r="M812" s="59">
        <f t="shared" si="29"/>
        <v>15.205078496217737</v>
      </c>
    </row>
    <row r="813" spans="1:13" hidden="1" outlineLevel="2">
      <c r="A813" s="138">
        <v>46054</v>
      </c>
      <c r="B813" s="1" t="s">
        <v>1484</v>
      </c>
      <c r="C813" s="346" t="s">
        <v>1457</v>
      </c>
      <c r="D813" s="341" t="s">
        <v>1785</v>
      </c>
      <c r="E813" s="367">
        <f>_xlfn.XLOOKUP(C813,[1]Material!$F:$F,[1]Material!$D:$D)</f>
        <v>1.3</v>
      </c>
      <c r="F813" s="1"/>
      <c r="G813" s="59">
        <v>0</v>
      </c>
      <c r="H813" s="59">
        <v>15.205078496217737</v>
      </c>
      <c r="I813" s="59">
        <v>0</v>
      </c>
      <c r="J813" s="59"/>
      <c r="K813" s="59">
        <v>0</v>
      </c>
      <c r="L813" s="59"/>
      <c r="M813" s="59">
        <f t="shared" si="29"/>
        <v>15.205078496217737</v>
      </c>
    </row>
    <row r="814" spans="1:13" hidden="1" outlineLevel="2">
      <c r="A814" s="138">
        <v>46054</v>
      </c>
      <c r="B814" s="1" t="s">
        <v>184</v>
      </c>
      <c r="C814" s="346">
        <v>4720764103</v>
      </c>
      <c r="D814" s="341" t="s">
        <v>85</v>
      </c>
      <c r="E814" s="367">
        <f>_xlfn.XLOOKUP(C814,[1]Material!$F:$F,[1]Material!$D:$D)</f>
        <v>136</v>
      </c>
      <c r="F814" s="1"/>
      <c r="G814" s="59">
        <v>18.246094195461286</v>
      </c>
      <c r="H814" s="59">
        <v>15.205078496217737</v>
      </c>
      <c r="I814" s="59">
        <v>371.96</v>
      </c>
      <c r="J814" s="59"/>
      <c r="K814" s="59">
        <v>53.016545494004916</v>
      </c>
      <c r="L814" s="59"/>
      <c r="M814" s="59">
        <f t="shared" si="29"/>
        <v>458.42771818568389</v>
      </c>
    </row>
    <row r="815" spans="1:13" hidden="1" outlineLevel="2">
      <c r="A815" s="138">
        <v>46054</v>
      </c>
      <c r="B815" s="1" t="s">
        <v>1320</v>
      </c>
      <c r="C815" s="346">
        <v>888505864270</v>
      </c>
      <c r="D815" s="341" t="s">
        <v>45</v>
      </c>
      <c r="E815" s="367">
        <f>_xlfn.XLOOKUP(C815,[1]Material!$F:$F,[1]Material!$D:$D)</f>
        <v>65</v>
      </c>
      <c r="F815" s="1"/>
      <c r="G815" s="59">
        <v>0</v>
      </c>
      <c r="H815" s="59">
        <v>15.205078496217737</v>
      </c>
      <c r="I815" s="59">
        <v>209.90740107195802</v>
      </c>
      <c r="J815" s="59"/>
      <c r="K815" s="59">
        <v>0</v>
      </c>
      <c r="L815" s="59"/>
      <c r="M815" s="59">
        <f t="shared" si="29"/>
        <v>225.11247956817576</v>
      </c>
    </row>
    <row r="816" spans="1:13" hidden="1" outlineLevel="2">
      <c r="A816" s="138">
        <v>46054</v>
      </c>
      <c r="B816" s="1" t="s">
        <v>1485</v>
      </c>
      <c r="C816" s="346">
        <v>888457120623</v>
      </c>
      <c r="D816" s="341" t="s">
        <v>45</v>
      </c>
      <c r="E816" s="367">
        <f>_xlfn.XLOOKUP(C816,[1]Material!$F:$F,[1]Material!$D:$D)</f>
        <v>5.5</v>
      </c>
      <c r="F816" s="1"/>
      <c r="G816" s="59">
        <v>0</v>
      </c>
      <c r="H816" s="59">
        <v>15.205078496217737</v>
      </c>
      <c r="I816" s="59">
        <v>0</v>
      </c>
      <c r="J816" s="59"/>
      <c r="K816" s="59">
        <v>0</v>
      </c>
      <c r="L816" s="59"/>
      <c r="M816" s="59">
        <f t="shared" si="29"/>
        <v>15.205078496217737</v>
      </c>
    </row>
    <row r="817" spans="1:13" hidden="1" outlineLevel="2">
      <c r="A817" s="138">
        <v>46054</v>
      </c>
      <c r="B817" s="1" t="s">
        <v>1487</v>
      </c>
      <c r="C817" s="346">
        <v>398478389226</v>
      </c>
      <c r="D817" s="341" t="s">
        <v>45</v>
      </c>
      <c r="E817" s="367">
        <f>_xlfn.XLOOKUP(C817,[1]Material!$F:$F,[1]Material!$D:$D)</f>
        <v>3.5</v>
      </c>
      <c r="F817" s="1"/>
      <c r="G817" s="59">
        <v>0</v>
      </c>
      <c r="H817" s="59">
        <v>15.205078496217737</v>
      </c>
      <c r="I817" s="59">
        <v>30.831299654084464</v>
      </c>
      <c r="J817" s="59"/>
      <c r="K817" s="59">
        <v>0</v>
      </c>
      <c r="L817" s="59"/>
      <c r="M817" s="59">
        <f t="shared" si="29"/>
        <v>46.036378150302198</v>
      </c>
    </row>
    <row r="818" spans="1:13" hidden="1" outlineLevel="2">
      <c r="A818" s="138">
        <v>46054</v>
      </c>
      <c r="B818" s="1" t="s">
        <v>947</v>
      </c>
      <c r="C818" s="346">
        <v>500292438120</v>
      </c>
      <c r="D818" s="341" t="s">
        <v>45</v>
      </c>
      <c r="E818" s="367">
        <f>_xlfn.XLOOKUP(C818,[1]Material!$F:$F,[1]Material!$D:$D)</f>
        <v>1</v>
      </c>
      <c r="F818" s="1"/>
      <c r="G818" s="59">
        <v>0</v>
      </c>
      <c r="H818" s="59">
        <v>15.205078496217737</v>
      </c>
      <c r="I818" s="59">
        <v>0</v>
      </c>
      <c r="J818" s="59"/>
      <c r="K818" s="59">
        <v>0</v>
      </c>
      <c r="L818" s="59"/>
      <c r="M818" s="59">
        <f t="shared" si="29"/>
        <v>15.205078496217737</v>
      </c>
    </row>
    <row r="819" spans="1:13" hidden="1" outlineLevel="2">
      <c r="A819" s="138">
        <v>46054</v>
      </c>
      <c r="B819" s="1" t="s">
        <v>1330</v>
      </c>
      <c r="C819" s="346">
        <v>888540881459</v>
      </c>
      <c r="D819" s="341" t="s">
        <v>45</v>
      </c>
      <c r="E819" s="367">
        <f>_xlfn.XLOOKUP(C819,[1]Material!$F:$F,[1]Material!$D:$D)</f>
        <v>5.5</v>
      </c>
      <c r="F819" s="1"/>
      <c r="G819" s="59">
        <v>0</v>
      </c>
      <c r="H819" s="59">
        <v>15.205078496217737</v>
      </c>
      <c r="I819" s="59">
        <v>0</v>
      </c>
      <c r="J819" s="59"/>
      <c r="K819" s="59">
        <v>0</v>
      </c>
      <c r="L819" s="59"/>
      <c r="M819" s="59">
        <f t="shared" si="29"/>
        <v>15.205078496217737</v>
      </c>
    </row>
    <row r="820" spans="1:13" hidden="1" outlineLevel="2">
      <c r="A820" s="138">
        <v>46054</v>
      </c>
      <c r="B820" s="1" t="s">
        <v>984</v>
      </c>
      <c r="C820" s="346">
        <v>398516564038</v>
      </c>
      <c r="D820" s="341" t="s">
        <v>45</v>
      </c>
      <c r="E820" s="367">
        <f>_xlfn.XLOOKUP(C820,[1]Material!$F:$F,[1]Material!$D:$D)</f>
        <v>1.5</v>
      </c>
      <c r="F820" s="1"/>
      <c r="G820" s="59">
        <v>0</v>
      </c>
      <c r="H820" s="59">
        <v>15.205078496217737</v>
      </c>
      <c r="I820" s="59">
        <v>33.367050594898693</v>
      </c>
      <c r="J820" s="59"/>
      <c r="K820" s="59">
        <v>0</v>
      </c>
      <c r="L820" s="59"/>
      <c r="M820" s="59">
        <f t="shared" si="29"/>
        <v>48.57212909111643</v>
      </c>
    </row>
    <row r="821" spans="1:13" hidden="1" outlineLevel="2">
      <c r="A821" s="138">
        <v>46054</v>
      </c>
      <c r="B821" s="1" t="s">
        <v>963</v>
      </c>
      <c r="C821" s="346">
        <v>511291958527</v>
      </c>
      <c r="D821" s="341" t="s">
        <v>45</v>
      </c>
      <c r="E821" s="367">
        <f>_xlfn.XLOOKUP(C821,[1]Material!$F:$F,[1]Material!$D:$D)</f>
        <v>2</v>
      </c>
      <c r="F821" s="1"/>
      <c r="G821" s="59">
        <v>0</v>
      </c>
      <c r="H821" s="59">
        <v>15.205078496217737</v>
      </c>
      <c r="I821" s="59">
        <v>0</v>
      </c>
      <c r="J821" s="59"/>
      <c r="K821" s="59">
        <v>0</v>
      </c>
      <c r="L821" s="59"/>
      <c r="M821" s="59">
        <f t="shared" si="29"/>
        <v>15.205078496217737</v>
      </c>
    </row>
    <row r="822" spans="1:13" hidden="1" outlineLevel="2">
      <c r="A822" s="138">
        <v>46054</v>
      </c>
      <c r="B822" s="1" t="s">
        <v>945</v>
      </c>
      <c r="C822" s="346">
        <v>500292439733</v>
      </c>
      <c r="D822" s="341" t="s">
        <v>45</v>
      </c>
      <c r="E822" s="367">
        <f>_xlfn.XLOOKUP(C822,[1]Material!$F:$F,[1]Material!$D:$D)</f>
        <v>2</v>
      </c>
      <c r="F822" s="1"/>
      <c r="G822" s="59">
        <v>0</v>
      </c>
      <c r="H822" s="59">
        <v>15.205078496217737</v>
      </c>
      <c r="I822" s="59">
        <v>0</v>
      </c>
      <c r="J822" s="59"/>
      <c r="K822" s="59">
        <v>0</v>
      </c>
      <c r="L822" s="59"/>
      <c r="M822" s="59">
        <f t="shared" si="29"/>
        <v>15.205078496217737</v>
      </c>
    </row>
    <row r="823" spans="1:13" hidden="1" outlineLevel="2">
      <c r="A823" s="138">
        <v>46054</v>
      </c>
      <c r="B823" s="1" t="s">
        <v>798</v>
      </c>
      <c r="C823" s="346">
        <v>888501443920</v>
      </c>
      <c r="D823" s="341" t="s">
        <v>45</v>
      </c>
      <c r="E823" s="367">
        <f>_xlfn.XLOOKUP(C823,[1]Material!$F:$F,[1]Material!$D:$D)</f>
        <v>16</v>
      </c>
      <c r="F823" s="1"/>
      <c r="G823" s="59">
        <v>0</v>
      </c>
      <c r="H823" s="59">
        <v>15.205078496217737</v>
      </c>
      <c r="I823" s="59">
        <v>77.490211730718059</v>
      </c>
      <c r="J823" s="59"/>
      <c r="K823" s="59">
        <v>0</v>
      </c>
      <c r="L823" s="59"/>
      <c r="M823" s="59">
        <f t="shared" si="29"/>
        <v>92.695290226935796</v>
      </c>
    </row>
    <row r="824" spans="1:13" hidden="1" outlineLevel="2">
      <c r="A824" s="138">
        <v>46054</v>
      </c>
      <c r="B824" s="1" t="s">
        <v>335</v>
      </c>
      <c r="C824" s="346">
        <v>477592552431</v>
      </c>
      <c r="D824" s="341" t="s">
        <v>45</v>
      </c>
      <c r="E824" s="367">
        <f>_xlfn.XLOOKUP(C824,[1]Material!$F:$F,[1]Material!$D:$D)</f>
        <v>57.5</v>
      </c>
      <c r="F824" s="1"/>
      <c r="G824" s="59">
        <v>0</v>
      </c>
      <c r="H824" s="59">
        <v>15.205078496217737</v>
      </c>
      <c r="I824" s="59">
        <v>164.32782149237846</v>
      </c>
      <c r="J824" s="59"/>
      <c r="K824" s="59">
        <v>0</v>
      </c>
      <c r="L824" s="59"/>
      <c r="M824" s="59">
        <f t="shared" si="29"/>
        <v>179.5328999885962</v>
      </c>
    </row>
    <row r="825" spans="1:13" hidden="1" outlineLevel="2">
      <c r="A825" s="138">
        <v>46054</v>
      </c>
      <c r="B825" s="1" t="s">
        <v>376</v>
      </c>
      <c r="C825" s="346">
        <v>484361653839</v>
      </c>
      <c r="D825" s="341" t="s">
        <v>45</v>
      </c>
      <c r="E825" s="367">
        <f>_xlfn.XLOOKUP(C825,[1]Material!$F:$F,[1]Material!$D:$D)</f>
        <v>15.5</v>
      </c>
      <c r="F825" s="1"/>
      <c r="G825" s="59">
        <v>0</v>
      </c>
      <c r="H825" s="59">
        <v>15.205078496217737</v>
      </c>
      <c r="I825" s="59">
        <v>61.504314441023304</v>
      </c>
      <c r="J825" s="59"/>
      <c r="K825" s="59">
        <v>0</v>
      </c>
      <c r="L825" s="59"/>
      <c r="M825" s="59">
        <f t="shared" si="29"/>
        <v>76.709392937241034</v>
      </c>
    </row>
    <row r="826" spans="1:13" hidden="1" outlineLevel="2">
      <c r="A826" s="138">
        <v>46054</v>
      </c>
      <c r="B826" s="1" t="s">
        <v>963</v>
      </c>
      <c r="C826" s="346">
        <v>511292215988</v>
      </c>
      <c r="D826" s="341" t="s">
        <v>45</v>
      </c>
      <c r="E826" s="367">
        <f>_xlfn.XLOOKUP(C826,[1]Material!$F:$F,[1]Material!$D:$D)</f>
        <v>2</v>
      </c>
      <c r="F826" s="1"/>
      <c r="G826" s="59">
        <v>0</v>
      </c>
      <c r="H826" s="59">
        <v>15.205078496217737</v>
      </c>
      <c r="I826" s="59">
        <v>0</v>
      </c>
      <c r="J826" s="59"/>
      <c r="K826" s="59">
        <v>0</v>
      </c>
      <c r="L826" s="59"/>
      <c r="M826" s="59">
        <f t="shared" si="29"/>
        <v>15.205078496217737</v>
      </c>
    </row>
    <row r="827" spans="1:13" hidden="1" outlineLevel="2">
      <c r="A827" s="138">
        <v>46054</v>
      </c>
      <c r="B827" s="1" t="s">
        <v>958</v>
      </c>
      <c r="C827" s="346">
        <v>398313534534</v>
      </c>
      <c r="D827" s="341" t="s">
        <v>45</v>
      </c>
      <c r="E827" s="367">
        <f>_xlfn.XLOOKUP(C827,[1]Material!$F:$F,[1]Material!$D:$D)</f>
        <v>172</v>
      </c>
      <c r="F827" s="1"/>
      <c r="G827" s="59">
        <v>0</v>
      </c>
      <c r="H827" s="59">
        <v>15.205078496217737</v>
      </c>
      <c r="I827" s="59">
        <v>0</v>
      </c>
      <c r="J827" s="59"/>
      <c r="K827" s="59">
        <v>0</v>
      </c>
      <c r="L827" s="59"/>
      <c r="M827" s="59">
        <f t="shared" si="29"/>
        <v>15.205078496217737</v>
      </c>
    </row>
    <row r="828" spans="1:13" hidden="1" outlineLevel="2">
      <c r="A828" s="138">
        <v>46054</v>
      </c>
      <c r="B828" s="1" t="s">
        <v>801</v>
      </c>
      <c r="C828" s="346">
        <v>4711911695</v>
      </c>
      <c r="D828" s="341" t="s">
        <v>85</v>
      </c>
      <c r="E828" s="367">
        <f>_xlfn.XLOOKUP(C828,[1]Material!$F:$F,[1]Material!$D:$D)</f>
        <v>119</v>
      </c>
      <c r="F828" s="1"/>
      <c r="G828" s="59">
        <v>18.246094195461286</v>
      </c>
      <c r="H828" s="59">
        <v>15.205078496217737</v>
      </c>
      <c r="I828" s="59">
        <v>511.94</v>
      </c>
      <c r="J828" s="59"/>
      <c r="K828" s="59">
        <v>58.507564876361954</v>
      </c>
      <c r="L828" s="59"/>
      <c r="M828" s="59">
        <f t="shared" si="29"/>
        <v>603.89873756804093</v>
      </c>
    </row>
    <row r="829" spans="1:13" hidden="1" outlineLevel="2">
      <c r="A829" s="138">
        <v>46054</v>
      </c>
      <c r="B829" s="1" t="s">
        <v>1491</v>
      </c>
      <c r="C829" s="346">
        <v>888500058797</v>
      </c>
      <c r="D829" s="341" t="s">
        <v>45</v>
      </c>
      <c r="E829" s="367">
        <f>_xlfn.XLOOKUP(C829,[1]Material!$F:$F,[1]Material!$D:$D)</f>
        <v>146</v>
      </c>
      <c r="F829" s="1"/>
      <c r="G829" s="59">
        <v>0</v>
      </c>
      <c r="H829" s="59">
        <v>15.205078496217737</v>
      </c>
      <c r="I829" s="59">
        <v>0</v>
      </c>
      <c r="J829" s="59"/>
      <c r="K829" s="59">
        <v>0</v>
      </c>
      <c r="L829" s="59"/>
      <c r="M829" s="59">
        <f t="shared" si="29"/>
        <v>15.205078496217737</v>
      </c>
    </row>
    <row r="830" spans="1:13" hidden="1" outlineLevel="2">
      <c r="A830" s="138">
        <v>46054</v>
      </c>
      <c r="B830" s="1" t="s">
        <v>958</v>
      </c>
      <c r="C830" s="346">
        <v>398363221460</v>
      </c>
      <c r="D830" s="341" t="s">
        <v>45</v>
      </c>
      <c r="E830" s="367">
        <f>_xlfn.XLOOKUP(C830,[1]Material!$F:$F,[1]Material!$D:$D)</f>
        <v>15.5</v>
      </c>
      <c r="F830" s="1"/>
      <c r="G830" s="59">
        <v>0</v>
      </c>
      <c r="H830" s="59">
        <v>15.205078496217737</v>
      </c>
      <c r="I830" s="59">
        <v>0</v>
      </c>
      <c r="J830" s="59"/>
      <c r="K830" s="59">
        <v>0</v>
      </c>
      <c r="L830" s="59"/>
      <c r="M830" s="59">
        <f t="shared" si="29"/>
        <v>15.205078496217737</v>
      </c>
    </row>
    <row r="831" spans="1:13" hidden="1" outlineLevel="2">
      <c r="A831" s="138">
        <v>46054</v>
      </c>
      <c r="B831" s="1" t="s">
        <v>378</v>
      </c>
      <c r="C831" s="346">
        <v>409298907951</v>
      </c>
      <c r="D831" s="341" t="s">
        <v>45</v>
      </c>
      <c r="E831" s="367">
        <f>_xlfn.XLOOKUP(C831,[1]Material!$F:$F,[1]Material!$D:$D)</f>
        <v>48.5</v>
      </c>
      <c r="F831" s="1"/>
      <c r="G831" s="59">
        <v>0</v>
      </c>
      <c r="H831" s="59">
        <v>15.205078496217737</v>
      </c>
      <c r="I831" s="59">
        <v>196.14300376325693</v>
      </c>
      <c r="J831" s="59"/>
      <c r="K831" s="59">
        <v>0</v>
      </c>
      <c r="L831" s="59"/>
      <c r="M831" s="59">
        <f t="shared" si="29"/>
        <v>211.34808225947467</v>
      </c>
    </row>
    <row r="832" spans="1:13" hidden="1" outlineLevel="2">
      <c r="A832" s="138">
        <v>46054</v>
      </c>
      <c r="B832" s="1" t="s">
        <v>958</v>
      </c>
      <c r="C832" s="346">
        <v>398311709547</v>
      </c>
      <c r="D832" s="341" t="s">
        <v>45</v>
      </c>
      <c r="E832" s="367">
        <f>_xlfn.XLOOKUP(C832,[1]Material!$F:$F,[1]Material!$D:$D)</f>
        <v>17</v>
      </c>
      <c r="F832" s="1"/>
      <c r="G832" s="59">
        <v>0</v>
      </c>
      <c r="H832" s="59">
        <v>15.205078496217737</v>
      </c>
      <c r="I832" s="59">
        <v>0</v>
      </c>
      <c r="J832" s="59"/>
      <c r="K832" s="59">
        <v>0</v>
      </c>
      <c r="L832" s="59"/>
      <c r="M832" s="59">
        <f t="shared" si="29"/>
        <v>15.205078496217737</v>
      </c>
    </row>
    <row r="833" spans="1:13" hidden="1" outlineLevel="2">
      <c r="A833" s="138">
        <v>46054</v>
      </c>
      <c r="B833" s="1" t="s">
        <v>958</v>
      </c>
      <c r="C833" s="346">
        <v>398446958044</v>
      </c>
      <c r="D833" s="341" t="s">
        <v>45</v>
      </c>
      <c r="E833" s="367">
        <f>_xlfn.XLOOKUP(C833,[1]Material!$F:$F,[1]Material!$D:$D)</f>
        <v>226.5</v>
      </c>
      <c r="F833" s="1"/>
      <c r="G833" s="59">
        <v>0</v>
      </c>
      <c r="H833" s="59">
        <v>15.205078496217737</v>
      </c>
      <c r="I833" s="59">
        <v>0</v>
      </c>
      <c r="J833" s="59"/>
      <c r="K833" s="59">
        <v>0</v>
      </c>
      <c r="L833" s="59"/>
      <c r="M833" s="59">
        <f t="shared" si="29"/>
        <v>15.205078496217737</v>
      </c>
    </row>
    <row r="834" spans="1:13" hidden="1" outlineLevel="2">
      <c r="A834" s="138">
        <v>46054</v>
      </c>
      <c r="B834" s="1" t="s">
        <v>801</v>
      </c>
      <c r="C834" s="346">
        <v>473838403219</v>
      </c>
      <c r="D834" s="341" t="s">
        <v>45</v>
      </c>
      <c r="E834" s="367">
        <f>_xlfn.XLOOKUP(C834,[1]Material!$F:$F,[1]Material!$D:$D)</f>
        <v>32.5</v>
      </c>
      <c r="F834" s="1"/>
      <c r="G834" s="59">
        <v>0</v>
      </c>
      <c r="H834" s="59">
        <v>15.205078496217737</v>
      </c>
      <c r="I834" s="59">
        <v>131.79887482419127</v>
      </c>
      <c r="J834" s="59"/>
      <c r="K834" s="59">
        <v>0</v>
      </c>
      <c r="L834" s="59"/>
      <c r="M834" s="59">
        <f t="shared" si="29"/>
        <v>147.00395332040901</v>
      </c>
    </row>
    <row r="835" spans="1:13" hidden="1" outlineLevel="2">
      <c r="A835" s="138">
        <v>46054</v>
      </c>
      <c r="B835" s="1" t="s">
        <v>958</v>
      </c>
      <c r="C835" s="346">
        <v>398312128910</v>
      </c>
      <c r="D835" s="341" t="s">
        <v>45</v>
      </c>
      <c r="E835" s="367">
        <f>_xlfn.XLOOKUP(C835,[1]Material!$F:$F,[1]Material!$D:$D)</f>
        <v>28.5</v>
      </c>
      <c r="F835" s="1"/>
      <c r="G835" s="59">
        <v>0</v>
      </c>
      <c r="H835" s="59">
        <v>15.205078496217737</v>
      </c>
      <c r="I835" s="59">
        <v>0</v>
      </c>
      <c r="J835" s="59"/>
      <c r="K835" s="59">
        <v>0</v>
      </c>
      <c r="L835" s="59"/>
      <c r="M835" s="59">
        <f t="shared" si="29"/>
        <v>15.205078496217737</v>
      </c>
    </row>
    <row r="836" spans="1:13" hidden="1" outlineLevel="2">
      <c r="A836" s="138">
        <v>46054</v>
      </c>
      <c r="B836" s="1" t="s">
        <v>1330</v>
      </c>
      <c r="C836" s="346">
        <v>887612138813</v>
      </c>
      <c r="D836" s="341" t="s">
        <v>45</v>
      </c>
      <c r="E836" s="367">
        <f>_xlfn.XLOOKUP(C836,[1]Material!$F:$F,[1]Material!$D:$D)</f>
        <v>0.5</v>
      </c>
      <c r="F836" s="1"/>
      <c r="G836" s="59">
        <v>0</v>
      </c>
      <c r="H836" s="59">
        <v>15.205078496217737</v>
      </c>
      <c r="I836" s="59">
        <v>13.753069525221424</v>
      </c>
      <c r="J836" s="59"/>
      <c r="K836" s="59">
        <v>0</v>
      </c>
      <c r="L836" s="59"/>
      <c r="M836" s="59">
        <f t="shared" si="29"/>
        <v>28.958148021439161</v>
      </c>
    </row>
    <row r="837" spans="1:13" hidden="1" outlineLevel="2">
      <c r="A837" s="138">
        <v>46054</v>
      </c>
      <c r="B837" s="1" t="s">
        <v>983</v>
      </c>
      <c r="C837" s="346">
        <v>679865596580</v>
      </c>
      <c r="D837" s="341" t="s">
        <v>45</v>
      </c>
      <c r="E837" s="367">
        <f>_xlfn.XLOOKUP(C837,[1]Material!$F:$F,[1]Material!$D:$D)</f>
        <v>25</v>
      </c>
      <c r="F837" s="1"/>
      <c r="G837" s="59">
        <v>0</v>
      </c>
      <c r="H837" s="59">
        <v>15.205078496217737</v>
      </c>
      <c r="I837" s="59">
        <v>0</v>
      </c>
      <c r="J837" s="59"/>
      <c r="K837" s="59">
        <v>0</v>
      </c>
      <c r="L837" s="59"/>
      <c r="M837" s="59">
        <f t="shared" si="29"/>
        <v>15.205078496217737</v>
      </c>
    </row>
    <row r="838" spans="1:13" hidden="1" outlineLevel="2">
      <c r="A838" s="138">
        <v>46054</v>
      </c>
      <c r="B838" s="1" t="s">
        <v>944</v>
      </c>
      <c r="C838" s="346">
        <v>119209681769</v>
      </c>
      <c r="D838" s="341" t="s">
        <v>45</v>
      </c>
      <c r="E838" s="367">
        <f>_xlfn.XLOOKUP(C838,[1]Material!$F:$F,[1]Material!$D:$D)</f>
        <v>1</v>
      </c>
      <c r="F838" s="1"/>
      <c r="G838" s="59">
        <v>0</v>
      </c>
      <c r="H838" s="59">
        <v>15.205078496217737</v>
      </c>
      <c r="I838" s="59">
        <v>0</v>
      </c>
      <c r="J838" s="59"/>
      <c r="K838" s="59">
        <v>0</v>
      </c>
      <c r="L838" s="59"/>
      <c r="M838" s="59">
        <f t="shared" si="29"/>
        <v>15.205078496217737</v>
      </c>
    </row>
    <row r="839" spans="1:13" hidden="1" outlineLevel="2">
      <c r="A839" s="138">
        <v>46054</v>
      </c>
      <c r="B839" s="1" t="s">
        <v>981</v>
      </c>
      <c r="C839" s="346">
        <v>398265530463</v>
      </c>
      <c r="D839" s="341" t="s">
        <v>45</v>
      </c>
      <c r="E839" s="367">
        <f>_xlfn.XLOOKUP(C839,[1]Material!$F:$F,[1]Material!$D:$D)</f>
        <v>112</v>
      </c>
      <c r="F839" s="1"/>
      <c r="G839" s="59">
        <v>0</v>
      </c>
      <c r="H839" s="59">
        <v>15.205078496217737</v>
      </c>
      <c r="I839" s="59">
        <v>0</v>
      </c>
      <c r="J839" s="59"/>
      <c r="K839" s="59">
        <v>0</v>
      </c>
      <c r="L839" s="59"/>
      <c r="M839" s="59">
        <f t="shared" si="29"/>
        <v>15.205078496217737</v>
      </c>
    </row>
    <row r="840" spans="1:13" hidden="1" outlineLevel="2">
      <c r="A840" s="138">
        <v>46054</v>
      </c>
      <c r="B840" s="1" t="s">
        <v>950</v>
      </c>
      <c r="C840" s="346">
        <v>499614243214</v>
      </c>
      <c r="D840" s="341" t="s">
        <v>45</v>
      </c>
      <c r="E840" s="367">
        <f>_xlfn.XLOOKUP(C840,[1]Material!$F:$F,[1]Material!$D:$D)</f>
        <v>1</v>
      </c>
      <c r="F840" s="1"/>
      <c r="G840" s="59">
        <v>0</v>
      </c>
      <c r="H840" s="59">
        <v>15.205078496217737</v>
      </c>
      <c r="I840" s="59">
        <v>0</v>
      </c>
      <c r="J840" s="59"/>
      <c r="K840" s="59">
        <v>0</v>
      </c>
      <c r="L840" s="59"/>
      <c r="M840" s="59">
        <f t="shared" si="29"/>
        <v>15.205078496217737</v>
      </c>
    </row>
    <row r="841" spans="1:13" hidden="1" outlineLevel="2">
      <c r="A841" s="138">
        <v>46054</v>
      </c>
      <c r="B841" s="1" t="s">
        <v>961</v>
      </c>
      <c r="C841" s="346">
        <v>513416444060</v>
      </c>
      <c r="D841" s="341" t="s">
        <v>45</v>
      </c>
      <c r="E841" s="367">
        <f>_xlfn.XLOOKUP(C841,[1]Material!$F:$F,[1]Material!$D:$D)</f>
        <v>27.5</v>
      </c>
      <c r="F841" s="1"/>
      <c r="G841" s="59">
        <v>0</v>
      </c>
      <c r="H841" s="59">
        <v>15.205078496217737</v>
      </c>
      <c r="I841" s="59">
        <v>0</v>
      </c>
      <c r="J841" s="59"/>
      <c r="K841" s="59">
        <v>0</v>
      </c>
      <c r="L841" s="59"/>
      <c r="M841" s="59">
        <f t="shared" si="29"/>
        <v>15.205078496217737</v>
      </c>
    </row>
    <row r="842" spans="1:13" hidden="1" outlineLevel="2">
      <c r="A842" s="138">
        <v>46054</v>
      </c>
      <c r="B842" s="1" t="s">
        <v>298</v>
      </c>
      <c r="C842" s="346">
        <v>888637817332</v>
      </c>
      <c r="D842" s="341" t="s">
        <v>45</v>
      </c>
      <c r="E842" s="367">
        <f>_xlfn.XLOOKUP(C842,[1]Material!$F:$F,[1]Material!$D:$D)</f>
        <v>58</v>
      </c>
      <c r="F842" s="1"/>
      <c r="G842" s="59">
        <v>0</v>
      </c>
      <c r="H842" s="59">
        <v>15.205078496217737</v>
      </c>
      <c r="I842" s="59">
        <v>0</v>
      </c>
      <c r="J842" s="59"/>
      <c r="K842" s="59">
        <v>0</v>
      </c>
      <c r="L842" s="59"/>
      <c r="M842" s="59">
        <f t="shared" si="29"/>
        <v>15.205078496217737</v>
      </c>
    </row>
    <row r="843" spans="1:13" hidden="1" outlineLevel="2">
      <c r="A843" s="138">
        <v>46054</v>
      </c>
      <c r="B843" s="1" t="s">
        <v>934</v>
      </c>
      <c r="C843" s="346">
        <v>511003385096</v>
      </c>
      <c r="D843" s="341" t="s">
        <v>45</v>
      </c>
      <c r="E843" s="367">
        <f>_xlfn.XLOOKUP(C843,[1]Material!$F:$F,[1]Material!$D:$D)</f>
        <v>58.5</v>
      </c>
      <c r="F843" s="1"/>
      <c r="G843" s="59">
        <v>0</v>
      </c>
      <c r="H843" s="59">
        <v>15.205078496217737</v>
      </c>
      <c r="I843" s="59">
        <v>0</v>
      </c>
      <c r="J843" s="59"/>
      <c r="K843" s="59">
        <v>0</v>
      </c>
      <c r="L843" s="59"/>
      <c r="M843" s="59">
        <f t="shared" si="29"/>
        <v>15.205078496217737</v>
      </c>
    </row>
    <row r="844" spans="1:13" hidden="1" outlineLevel="2">
      <c r="A844" s="138">
        <v>46054</v>
      </c>
      <c r="B844" s="1" t="s">
        <v>983</v>
      </c>
      <c r="C844" s="346">
        <v>679865596694</v>
      </c>
      <c r="D844" s="341" t="s">
        <v>45</v>
      </c>
      <c r="E844" s="367">
        <f>_xlfn.XLOOKUP(C844,[1]Material!$F:$F,[1]Material!$D:$D)</f>
        <v>9.5</v>
      </c>
      <c r="F844" s="1"/>
      <c r="G844" s="59">
        <v>0</v>
      </c>
      <c r="H844" s="59">
        <v>15.205078496217737</v>
      </c>
      <c r="I844" s="59">
        <v>0</v>
      </c>
      <c r="J844" s="59"/>
      <c r="K844" s="59">
        <v>0</v>
      </c>
      <c r="L844" s="59"/>
      <c r="M844" s="59">
        <f t="shared" si="29"/>
        <v>15.205078496217737</v>
      </c>
    </row>
    <row r="845" spans="1:13" hidden="1" outlineLevel="2">
      <c r="A845" s="138">
        <v>46054</v>
      </c>
      <c r="B845" s="1" t="s">
        <v>948</v>
      </c>
      <c r="C845" s="346">
        <v>4110333660</v>
      </c>
      <c r="D845" s="341" t="s">
        <v>85</v>
      </c>
      <c r="E845" s="367">
        <f>_xlfn.XLOOKUP(C845,[1]Material!$F:$F,[1]Material!$D:$D)</f>
        <v>143</v>
      </c>
      <c r="F845" s="1"/>
      <c r="G845" s="59">
        <v>0</v>
      </c>
      <c r="H845" s="59">
        <v>15.205078496217737</v>
      </c>
      <c r="I845" s="59">
        <v>0</v>
      </c>
      <c r="J845" s="59"/>
      <c r="K845" s="59">
        <v>0</v>
      </c>
      <c r="L845" s="59"/>
      <c r="M845" s="59">
        <f t="shared" si="29"/>
        <v>15.205078496217737</v>
      </c>
    </row>
    <row r="846" spans="1:13" hidden="1" outlineLevel="2">
      <c r="A846" s="138">
        <v>46054</v>
      </c>
      <c r="B846" s="1" t="s">
        <v>948</v>
      </c>
      <c r="C846" s="346">
        <v>4110333678</v>
      </c>
      <c r="D846" s="341" t="s">
        <v>85</v>
      </c>
      <c r="E846" s="367">
        <f>_xlfn.XLOOKUP(C846,[1]Material!$F:$F,[1]Material!$D:$D)</f>
        <v>70.5</v>
      </c>
      <c r="F846" s="1"/>
      <c r="G846" s="59">
        <v>0</v>
      </c>
      <c r="H846" s="59">
        <v>15.205078496217737</v>
      </c>
      <c r="I846" s="59">
        <v>0</v>
      </c>
      <c r="J846" s="59"/>
      <c r="K846" s="59">
        <v>0</v>
      </c>
      <c r="L846" s="59"/>
      <c r="M846" s="59">
        <f t="shared" si="29"/>
        <v>15.205078496217737</v>
      </c>
    </row>
    <row r="847" spans="1:13" hidden="1" outlineLevel="2">
      <c r="A847" s="138">
        <v>46054</v>
      </c>
      <c r="B847" s="1" t="s">
        <v>1493</v>
      </c>
      <c r="C847" s="346">
        <v>500361823202</v>
      </c>
      <c r="D847" s="341" t="s">
        <v>45</v>
      </c>
      <c r="E847" s="367">
        <f>_xlfn.XLOOKUP(C847,[1]Material!$F:$F,[1]Material!$D:$D)</f>
        <v>7</v>
      </c>
      <c r="F847" s="1"/>
      <c r="G847" s="59">
        <v>0</v>
      </c>
      <c r="H847" s="59">
        <v>15.205078496217737</v>
      </c>
      <c r="I847" s="59">
        <v>0</v>
      </c>
      <c r="J847" s="59"/>
      <c r="K847" s="59">
        <v>0</v>
      </c>
      <c r="L847" s="59"/>
      <c r="M847" s="59">
        <f t="shared" si="29"/>
        <v>15.205078496217737</v>
      </c>
    </row>
    <row r="848" spans="1:13" hidden="1" outlineLevel="2">
      <c r="A848" s="138">
        <v>46054</v>
      </c>
      <c r="B848" s="1" t="s">
        <v>1493</v>
      </c>
      <c r="C848" s="346">
        <v>398580312651</v>
      </c>
      <c r="D848" s="341" t="s">
        <v>45</v>
      </c>
      <c r="E848" s="367">
        <f>_xlfn.XLOOKUP(C848,[1]Material!$F:$F,[1]Material!$D:$D)</f>
        <v>10.5</v>
      </c>
      <c r="F848" s="1"/>
      <c r="G848" s="59">
        <v>18.246094195461286</v>
      </c>
      <c r="H848" s="59">
        <v>15.205078496217737</v>
      </c>
      <c r="I848" s="59">
        <v>0</v>
      </c>
      <c r="J848" s="59"/>
      <c r="K848" s="59">
        <v>0</v>
      </c>
      <c r="L848" s="59"/>
      <c r="M848" s="59">
        <f t="shared" si="29"/>
        <v>33.45117269167902</v>
      </c>
    </row>
    <row r="849" spans="1:13" hidden="1" outlineLevel="2">
      <c r="A849" s="138">
        <v>46054</v>
      </c>
      <c r="B849" s="1" t="s">
        <v>1494</v>
      </c>
      <c r="C849" s="346">
        <v>888824374363</v>
      </c>
      <c r="D849" s="341" t="s">
        <v>45</v>
      </c>
      <c r="E849" s="367">
        <f>_xlfn.XLOOKUP(C849,[1]Material!$F:$F,[1]Material!$D:$D)</f>
        <v>3.5</v>
      </c>
      <c r="F849" s="1"/>
      <c r="G849" s="59">
        <v>0</v>
      </c>
      <c r="H849" s="59">
        <v>15.205078496217737</v>
      </c>
      <c r="I849" s="59">
        <v>0</v>
      </c>
      <c r="J849" s="59"/>
      <c r="K849" s="59">
        <v>0</v>
      </c>
      <c r="L849" s="59"/>
      <c r="M849" s="59">
        <f t="shared" si="29"/>
        <v>15.205078496217737</v>
      </c>
    </row>
    <row r="850" spans="1:13" hidden="1" outlineLevel="2">
      <c r="A850" s="138">
        <v>46054</v>
      </c>
      <c r="B850" s="1" t="s">
        <v>1493</v>
      </c>
      <c r="C850" s="346">
        <v>398794008170</v>
      </c>
      <c r="D850" s="341" t="s">
        <v>45</v>
      </c>
      <c r="E850" s="367">
        <f>_xlfn.XLOOKUP(C850,[1]Material!$F:$F,[1]Material!$D:$D)</f>
        <v>3</v>
      </c>
      <c r="F850" s="1"/>
      <c r="G850" s="59">
        <v>0</v>
      </c>
      <c r="H850" s="59">
        <v>15.205078496217737</v>
      </c>
      <c r="I850" s="59">
        <v>0</v>
      </c>
      <c r="J850" s="59"/>
      <c r="K850" s="59">
        <v>0</v>
      </c>
      <c r="L850" s="59"/>
      <c r="M850" s="59">
        <f t="shared" si="29"/>
        <v>15.205078496217737</v>
      </c>
    </row>
    <row r="851" spans="1:13" hidden="1" outlineLevel="2">
      <c r="A851" s="138">
        <v>46054</v>
      </c>
      <c r="B851" s="1" t="s">
        <v>1324</v>
      </c>
      <c r="C851" s="346">
        <v>888629021162</v>
      </c>
      <c r="D851" s="341" t="s">
        <v>45</v>
      </c>
      <c r="E851" s="367">
        <f>_xlfn.XLOOKUP(C851,[1]Material!$F:$F,[1]Material!$D:$D)</f>
        <v>45.5</v>
      </c>
      <c r="F851" s="1"/>
      <c r="G851" s="59">
        <v>0</v>
      </c>
      <c r="H851" s="59">
        <v>15.205078496217737</v>
      </c>
      <c r="I851" s="59">
        <v>0</v>
      </c>
      <c r="J851" s="59"/>
      <c r="K851" s="59">
        <v>0</v>
      </c>
      <c r="L851" s="59"/>
      <c r="M851" s="59">
        <f t="shared" si="29"/>
        <v>15.205078496217737</v>
      </c>
    </row>
    <row r="852" spans="1:13" hidden="1" outlineLevel="2">
      <c r="A852" s="138">
        <v>46054</v>
      </c>
      <c r="B852" s="1" t="s">
        <v>968</v>
      </c>
      <c r="C852" s="346">
        <v>513416456350</v>
      </c>
      <c r="D852" s="341" t="s">
        <v>45</v>
      </c>
      <c r="E852" s="367">
        <f>_xlfn.XLOOKUP(C852,[1]Material!$F:$F,[1]Material!$D:$D)</f>
        <v>5.5</v>
      </c>
      <c r="F852" s="1"/>
      <c r="G852" s="59">
        <v>0</v>
      </c>
      <c r="H852" s="59">
        <v>15.205078496217737</v>
      </c>
      <c r="I852" s="59">
        <v>0</v>
      </c>
      <c r="J852" s="59"/>
      <c r="K852" s="59">
        <v>0</v>
      </c>
      <c r="L852" s="59"/>
      <c r="M852" s="59">
        <f t="shared" si="29"/>
        <v>15.205078496217737</v>
      </c>
    </row>
    <row r="853" spans="1:13" hidden="1" outlineLevel="2">
      <c r="A853" s="138">
        <v>46054</v>
      </c>
      <c r="B853" s="1" t="s">
        <v>974</v>
      </c>
      <c r="C853" s="346">
        <v>398839608485</v>
      </c>
      <c r="D853" s="341" t="s">
        <v>45</v>
      </c>
      <c r="E853" s="367">
        <f>_xlfn.XLOOKUP(C853,[1]Material!$F:$F,[1]Material!$D:$D)</f>
        <v>1</v>
      </c>
      <c r="F853" s="1"/>
      <c r="G853" s="59">
        <v>0</v>
      </c>
      <c r="H853" s="59">
        <v>15.205078496217737</v>
      </c>
      <c r="I853" s="59">
        <v>0</v>
      </c>
      <c r="J853" s="59"/>
      <c r="K853" s="59">
        <v>0</v>
      </c>
      <c r="L853" s="59"/>
      <c r="M853" s="59">
        <f t="shared" si="29"/>
        <v>15.205078496217737</v>
      </c>
    </row>
    <row r="854" spans="1:13" hidden="1" outlineLevel="2">
      <c r="A854" s="138">
        <v>46054</v>
      </c>
      <c r="B854" s="1" t="s">
        <v>958</v>
      </c>
      <c r="C854" s="346">
        <v>7607579803</v>
      </c>
      <c r="D854" s="341" t="s">
        <v>897</v>
      </c>
      <c r="E854" s="367">
        <f>_xlfn.XLOOKUP(C854,[1]Material!$F:$F,[1]Material!$D:$D)</f>
        <v>83</v>
      </c>
      <c r="F854" s="1"/>
      <c r="G854" s="59">
        <v>0</v>
      </c>
      <c r="H854" s="59">
        <v>15.205078496217737</v>
      </c>
      <c r="I854" s="59">
        <v>0</v>
      </c>
      <c r="J854" s="59"/>
      <c r="K854" s="59">
        <v>0</v>
      </c>
      <c r="L854" s="59"/>
      <c r="M854" s="59">
        <f t="shared" si="29"/>
        <v>15.205078496217737</v>
      </c>
    </row>
    <row r="855" spans="1:13" hidden="1" outlineLevel="2">
      <c r="A855" s="138">
        <v>46054</v>
      </c>
      <c r="B855" s="1" t="s">
        <v>335</v>
      </c>
      <c r="C855" s="346">
        <v>477592552913</v>
      </c>
      <c r="D855" s="341" t="s">
        <v>45</v>
      </c>
      <c r="E855" s="367">
        <f>_xlfn.XLOOKUP(C855,[1]Material!$F:$F,[1]Material!$D:$D)</f>
        <v>169.5</v>
      </c>
      <c r="F855" s="1"/>
      <c r="G855" s="59">
        <v>0</v>
      </c>
      <c r="H855" s="59">
        <v>15.205078496217737</v>
      </c>
      <c r="I855" s="59">
        <v>0</v>
      </c>
      <c r="J855" s="59"/>
      <c r="K855" s="59">
        <v>0</v>
      </c>
      <c r="L855" s="59"/>
      <c r="M855" s="59">
        <f t="shared" si="29"/>
        <v>15.205078496217737</v>
      </c>
    </row>
    <row r="856" spans="1:13" hidden="1" outlineLevel="2">
      <c r="A856" s="138">
        <v>46054</v>
      </c>
      <c r="B856" s="1" t="s">
        <v>378</v>
      </c>
      <c r="C856" s="346">
        <v>409298909439</v>
      </c>
      <c r="D856" s="341" t="s">
        <v>45</v>
      </c>
      <c r="E856" s="367">
        <f>_xlfn.XLOOKUP(C856,[1]Material!$F:$F,[1]Material!$D:$D)</f>
        <v>28.5</v>
      </c>
      <c r="F856" s="1"/>
      <c r="G856" s="59">
        <v>0</v>
      </c>
      <c r="H856" s="59">
        <v>15.205078496217737</v>
      </c>
      <c r="I856" s="59">
        <v>0</v>
      </c>
      <c r="J856" s="59"/>
      <c r="K856" s="59">
        <v>0</v>
      </c>
      <c r="L856" s="59"/>
      <c r="M856" s="59">
        <f t="shared" si="29"/>
        <v>15.205078496217737</v>
      </c>
    </row>
    <row r="857" spans="1:13" hidden="1" outlineLevel="2">
      <c r="A857" s="138">
        <v>46054</v>
      </c>
      <c r="B857" s="1" t="s">
        <v>335</v>
      </c>
      <c r="C857" s="346">
        <v>477592553770</v>
      </c>
      <c r="D857" s="341" t="s">
        <v>45</v>
      </c>
      <c r="E857" s="367">
        <f>_xlfn.XLOOKUP(C857,[1]Material!$F:$F,[1]Material!$D:$D)</f>
        <v>27.5</v>
      </c>
      <c r="F857" s="1"/>
      <c r="G857" s="59">
        <v>0</v>
      </c>
      <c r="H857" s="59">
        <v>15.205078496217737</v>
      </c>
      <c r="I857" s="59">
        <v>0</v>
      </c>
      <c r="J857" s="59"/>
      <c r="K857" s="59">
        <v>0</v>
      </c>
      <c r="L857" s="59"/>
      <c r="M857" s="59">
        <f t="shared" si="29"/>
        <v>15.205078496217737</v>
      </c>
    </row>
    <row r="858" spans="1:13" hidden="1" outlineLevel="2">
      <c r="A858" s="138">
        <v>46054</v>
      </c>
      <c r="B858" s="1" t="s">
        <v>972</v>
      </c>
      <c r="C858" s="346">
        <v>419341617878</v>
      </c>
      <c r="D858" s="341" t="s">
        <v>45</v>
      </c>
      <c r="E858" s="367">
        <f>_xlfn.XLOOKUP(C858,[1]Material!$F:$F,[1]Material!$D:$D)</f>
        <v>0.5</v>
      </c>
      <c r="F858" s="1"/>
      <c r="G858" s="59">
        <v>0</v>
      </c>
      <c r="H858" s="59">
        <v>15.205078496217737</v>
      </c>
      <c r="I858" s="59">
        <v>0</v>
      </c>
      <c r="J858" s="59"/>
      <c r="K858" s="59">
        <v>0</v>
      </c>
      <c r="L858" s="59"/>
      <c r="M858" s="59">
        <f t="shared" si="29"/>
        <v>15.205078496217737</v>
      </c>
    </row>
    <row r="859" spans="1:13" hidden="1" outlineLevel="2">
      <c r="A859" s="138">
        <v>46054</v>
      </c>
      <c r="B859" s="1" t="s">
        <v>967</v>
      </c>
      <c r="C859" s="346">
        <v>888510965327</v>
      </c>
      <c r="D859" s="341" t="s">
        <v>45</v>
      </c>
      <c r="E859" s="367">
        <f>_xlfn.XLOOKUP(C859,[1]Material!$F:$F,[1]Material!$D:$D)</f>
        <v>31.5</v>
      </c>
      <c r="F859" s="1"/>
      <c r="G859" s="59">
        <v>0</v>
      </c>
      <c r="H859" s="59">
        <v>15.205078496217737</v>
      </c>
      <c r="I859" s="59">
        <v>0</v>
      </c>
      <c r="J859" s="59"/>
      <c r="K859" s="59">
        <v>0</v>
      </c>
      <c r="L859" s="59"/>
      <c r="M859" s="59">
        <f t="shared" si="29"/>
        <v>15.205078496217737</v>
      </c>
    </row>
    <row r="860" spans="1:13" hidden="1" outlineLevel="2">
      <c r="A860" s="138">
        <v>46054</v>
      </c>
      <c r="B860" s="1" t="s">
        <v>1326</v>
      </c>
      <c r="C860" s="346">
        <v>493449021454</v>
      </c>
      <c r="D860" s="341" t="s">
        <v>45</v>
      </c>
      <c r="E860" s="367">
        <f>_xlfn.XLOOKUP(C860,[1]Material!$F:$F,[1]Material!$D:$D)</f>
        <v>1</v>
      </c>
      <c r="F860" s="1"/>
      <c r="G860" s="59">
        <v>0</v>
      </c>
      <c r="H860" s="59">
        <v>15.205078496217737</v>
      </c>
      <c r="I860" s="59">
        <v>0</v>
      </c>
      <c r="J860" s="59"/>
      <c r="K860" s="59">
        <v>0</v>
      </c>
      <c r="L860" s="59"/>
      <c r="M860" s="59">
        <f t="shared" si="29"/>
        <v>15.205078496217737</v>
      </c>
    </row>
    <row r="861" spans="1:13" hidden="1" outlineLevel="2">
      <c r="A861" s="138">
        <v>46054</v>
      </c>
      <c r="B861" s="1" t="s">
        <v>963</v>
      </c>
      <c r="C861" s="346">
        <v>513157416657</v>
      </c>
      <c r="D861" s="341" t="s">
        <v>45</v>
      </c>
      <c r="E861" s="367">
        <f>_xlfn.XLOOKUP(C861,[1]Material!$F:$F,[1]Material!$D:$D)</f>
        <v>4.5</v>
      </c>
      <c r="F861" s="1"/>
      <c r="G861" s="59">
        <v>0</v>
      </c>
      <c r="H861" s="59">
        <v>15.205078496217737</v>
      </c>
      <c r="I861" s="59">
        <v>0</v>
      </c>
      <c r="J861" s="59"/>
      <c r="K861" s="59">
        <v>0</v>
      </c>
      <c r="L861" s="59"/>
      <c r="M861" s="59">
        <f t="shared" si="29"/>
        <v>15.205078496217737</v>
      </c>
    </row>
    <row r="862" spans="1:13" hidden="1" outlineLevel="2">
      <c r="A862" s="138">
        <v>46054</v>
      </c>
      <c r="B862" s="1" t="s">
        <v>232</v>
      </c>
      <c r="C862" s="346" t="s">
        <v>1459</v>
      </c>
      <c r="D862" s="341" t="s">
        <v>1784</v>
      </c>
      <c r="E862" s="367">
        <f>_xlfn.XLOOKUP(C862,[1]Material!$F:$F,[1]Material!$D:$D)</f>
        <v>3707</v>
      </c>
      <c r="F862" s="1">
        <v>9.1709999999999994</v>
      </c>
      <c r="G862" s="59">
        <v>0</v>
      </c>
      <c r="H862" s="59">
        <v>15.205078496217737</v>
      </c>
      <c r="I862" s="59">
        <v>0</v>
      </c>
      <c r="J862" s="59"/>
      <c r="K862" s="59">
        <v>0</v>
      </c>
      <c r="L862" s="59"/>
      <c r="M862" s="59">
        <f t="shared" si="29"/>
        <v>15.205078496217737</v>
      </c>
    </row>
    <row r="863" spans="1:13" hidden="1" outlineLevel="2">
      <c r="A863" s="138">
        <v>46054</v>
      </c>
      <c r="B863" s="1" t="s">
        <v>1500</v>
      </c>
      <c r="C863" s="346">
        <v>888101434340</v>
      </c>
      <c r="D863" s="341" t="s">
        <v>45</v>
      </c>
      <c r="E863" s="367">
        <v>0.5</v>
      </c>
      <c r="F863" s="1"/>
      <c r="G863" s="59">
        <v>0</v>
      </c>
      <c r="H863" s="59">
        <v>15.205078496217737</v>
      </c>
      <c r="I863" s="59">
        <v>32.459079332497055</v>
      </c>
      <c r="J863" s="59"/>
      <c r="K863" s="59">
        <v>0</v>
      </c>
      <c r="L863" s="59"/>
      <c r="M863" s="59">
        <f t="shared" si="29"/>
        <v>47.664157828714792</v>
      </c>
    </row>
    <row r="864" spans="1:13" hidden="1" outlineLevel="2">
      <c r="A864" s="138">
        <v>46054</v>
      </c>
      <c r="B864" s="1" t="s">
        <v>1501</v>
      </c>
      <c r="C864" s="346">
        <v>888457976742</v>
      </c>
      <c r="D864" s="341" t="s">
        <v>45</v>
      </c>
      <c r="E864" s="367">
        <v>3</v>
      </c>
      <c r="F864" s="1"/>
      <c r="G864" s="59">
        <v>0</v>
      </c>
      <c r="H864" s="59">
        <v>15.205078496217737</v>
      </c>
      <c r="I864" s="59">
        <v>0</v>
      </c>
      <c r="J864" s="59"/>
      <c r="K864" s="59">
        <v>0</v>
      </c>
      <c r="L864" s="59"/>
      <c r="M864" s="59">
        <f t="shared" si="29"/>
        <v>15.205078496217737</v>
      </c>
    </row>
    <row r="865" spans="1:13" hidden="1" outlineLevel="2">
      <c r="A865" s="138">
        <v>46054</v>
      </c>
      <c r="B865" s="1" t="s">
        <v>1501</v>
      </c>
      <c r="C865" s="346">
        <v>888417311080</v>
      </c>
      <c r="D865" s="341" t="s">
        <v>45</v>
      </c>
      <c r="E865" s="367">
        <v>0.5</v>
      </c>
      <c r="F865" s="1"/>
      <c r="G865" s="59">
        <v>0</v>
      </c>
      <c r="H865" s="59">
        <v>15.205078496217737</v>
      </c>
      <c r="I865" s="59">
        <v>0</v>
      </c>
      <c r="J865" s="59"/>
      <c r="K865" s="59">
        <v>0</v>
      </c>
      <c r="L865" s="59"/>
      <c r="M865" s="59">
        <f t="shared" ref="M865:M928" si="30">SUM(G865:L865)</f>
        <v>15.205078496217737</v>
      </c>
    </row>
    <row r="866" spans="1:13" hidden="1" outlineLevel="2">
      <c r="A866" s="138">
        <v>46054</v>
      </c>
      <c r="B866" s="1" t="s">
        <v>1503</v>
      </c>
      <c r="C866" s="346">
        <v>888391562120</v>
      </c>
      <c r="D866" s="341" t="s">
        <v>45</v>
      </c>
      <c r="E866" s="367">
        <v>1.5</v>
      </c>
      <c r="F866" s="1"/>
      <c r="G866" s="59">
        <v>0</v>
      </c>
      <c r="H866" s="59">
        <v>15.205078496217737</v>
      </c>
      <c r="I866" s="59">
        <v>65.31812825483712</v>
      </c>
      <c r="J866" s="59"/>
      <c r="K866" s="59">
        <v>0</v>
      </c>
      <c r="L866" s="59"/>
      <c r="M866" s="59">
        <f t="shared" si="30"/>
        <v>80.523206751054857</v>
      </c>
    </row>
    <row r="867" spans="1:13" hidden="1" outlineLevel="2">
      <c r="A867" s="138">
        <v>46054</v>
      </c>
      <c r="B867" s="1" t="s">
        <v>1317</v>
      </c>
      <c r="C867" s="346">
        <v>888565783658</v>
      </c>
      <c r="D867" s="341" t="s">
        <v>45</v>
      </c>
      <c r="E867" s="367">
        <v>1</v>
      </c>
      <c r="F867" s="1"/>
      <c r="G867" s="59">
        <v>0</v>
      </c>
      <c r="H867" s="59">
        <v>15.205078496217737</v>
      </c>
      <c r="I867" s="59">
        <v>0</v>
      </c>
      <c r="J867" s="59"/>
      <c r="K867" s="59">
        <v>0</v>
      </c>
      <c r="L867" s="59"/>
      <c r="M867" s="59">
        <f t="shared" si="30"/>
        <v>15.205078496217737</v>
      </c>
    </row>
    <row r="868" spans="1:13" hidden="1" outlineLevel="2">
      <c r="A868" s="138">
        <v>46054</v>
      </c>
      <c r="B868" s="1" t="s">
        <v>1509</v>
      </c>
      <c r="C868" s="346" t="s">
        <v>1333</v>
      </c>
      <c r="D868" s="341" t="s">
        <v>1333</v>
      </c>
      <c r="E868" s="367"/>
      <c r="F868" s="1"/>
      <c r="G868" s="59">
        <v>0</v>
      </c>
      <c r="H868" s="59">
        <v>15.205078496217737</v>
      </c>
      <c r="I868" s="59">
        <v>0</v>
      </c>
      <c r="J868" s="59"/>
      <c r="K868" s="59">
        <v>0</v>
      </c>
      <c r="L868" s="59"/>
      <c r="M868" s="59">
        <f t="shared" si="30"/>
        <v>15.205078496217737</v>
      </c>
    </row>
    <row r="869" spans="1:13" hidden="1" outlineLevel="2">
      <c r="A869" s="138">
        <v>46054</v>
      </c>
      <c r="B869" s="1" t="s">
        <v>990</v>
      </c>
      <c r="C869" s="346" t="s">
        <v>1333</v>
      </c>
      <c r="D869" s="341" t="s">
        <v>1333</v>
      </c>
      <c r="E869" s="367"/>
      <c r="F869" s="1"/>
      <c r="G869" s="59">
        <v>0</v>
      </c>
      <c r="H869" s="59">
        <v>15.205078496217737</v>
      </c>
      <c r="I869" s="59">
        <v>0</v>
      </c>
      <c r="J869" s="59"/>
      <c r="K869" s="59">
        <v>0</v>
      </c>
      <c r="L869" s="59"/>
      <c r="M869" s="59">
        <f t="shared" si="30"/>
        <v>15.205078496217737</v>
      </c>
    </row>
    <row r="870" spans="1:13" hidden="1" outlineLevel="2">
      <c r="A870" s="138">
        <v>46054</v>
      </c>
      <c r="B870" s="1" t="s">
        <v>1512</v>
      </c>
      <c r="C870" s="346" t="s">
        <v>1333</v>
      </c>
      <c r="D870" s="341" t="s">
        <v>1333</v>
      </c>
      <c r="E870" s="367"/>
      <c r="F870" s="1"/>
      <c r="G870" s="59">
        <v>0</v>
      </c>
      <c r="H870" s="59">
        <v>15.205078496217737</v>
      </c>
      <c r="I870" s="59">
        <v>0</v>
      </c>
      <c r="J870" s="59"/>
      <c r="K870" s="59">
        <v>0</v>
      </c>
      <c r="L870" s="59"/>
      <c r="M870" s="59">
        <f t="shared" si="30"/>
        <v>15.205078496217737</v>
      </c>
    </row>
    <row r="871" spans="1:13" hidden="1" outlineLevel="2">
      <c r="A871" s="138">
        <v>46054</v>
      </c>
      <c r="B871" s="1" t="s">
        <v>804</v>
      </c>
      <c r="C871" s="346">
        <v>397698059020</v>
      </c>
      <c r="D871" s="341" t="s">
        <v>45</v>
      </c>
      <c r="E871" s="367">
        <f>_xlfn.XLOOKUP(C871,[1]Material!$F:$F,[1]Material!$D:$D)</f>
        <v>3</v>
      </c>
      <c r="F871" s="1"/>
      <c r="G871" s="59"/>
      <c r="H871" s="59"/>
      <c r="I871" s="59">
        <v>36.716919451096665</v>
      </c>
      <c r="J871" s="59"/>
      <c r="K871" s="59"/>
      <c r="L871" s="59"/>
      <c r="M871" s="59">
        <f t="shared" si="30"/>
        <v>36.716919451096665</v>
      </c>
    </row>
    <row r="872" spans="1:13" hidden="1" outlineLevel="2">
      <c r="A872" s="138">
        <v>46054</v>
      </c>
      <c r="B872" s="1" t="s">
        <v>1330</v>
      </c>
      <c r="C872" s="346">
        <v>888011659430</v>
      </c>
      <c r="D872" s="341" t="s">
        <v>45</v>
      </c>
      <c r="E872" s="367">
        <f>_xlfn.XLOOKUP(C872,[1]Material!$F:$F,[1]Material!$D:$D)</f>
        <v>2.5</v>
      </c>
      <c r="F872" s="1"/>
      <c r="G872" s="59"/>
      <c r="H872" s="59"/>
      <c r="I872" s="59">
        <v>28.363629452237046</v>
      </c>
      <c r="J872" s="59"/>
      <c r="K872" s="59"/>
      <c r="L872" s="59"/>
      <c r="M872" s="59">
        <f t="shared" si="30"/>
        <v>28.363629452237046</v>
      </c>
    </row>
    <row r="873" spans="1:13" hidden="1" outlineLevel="2">
      <c r="A873" s="138">
        <v>46054</v>
      </c>
      <c r="B873" s="1" t="s">
        <v>335</v>
      </c>
      <c r="C873" s="346">
        <v>477592550748</v>
      </c>
      <c r="D873" s="341" t="s">
        <v>45</v>
      </c>
      <c r="E873" s="367">
        <f>_xlfn.XLOOKUP(C873,[1]Material!$F:$F,[1]Material!$D:$D)</f>
        <v>85</v>
      </c>
      <c r="F873" s="1"/>
      <c r="G873" s="59"/>
      <c r="H873" s="59"/>
      <c r="I873" s="59">
        <v>270.75033261109212</v>
      </c>
      <c r="J873" s="59"/>
      <c r="K873" s="59"/>
      <c r="L873" s="59"/>
      <c r="M873" s="59">
        <f t="shared" si="30"/>
        <v>270.75033261109212</v>
      </c>
    </row>
    <row r="874" spans="1:13" hidden="1" outlineLevel="2">
      <c r="A874" s="138">
        <v>46054</v>
      </c>
      <c r="B874" s="1" t="s">
        <v>1598</v>
      </c>
      <c r="C874" s="346">
        <v>499549044022</v>
      </c>
      <c r="D874" s="341" t="s">
        <v>45</v>
      </c>
      <c r="E874" s="367">
        <f>_xlfn.XLOOKUP(C874,[1]Material!$F:$F,[1]Material!$D:$D)</f>
        <v>0.5</v>
      </c>
      <c r="F874" s="1"/>
      <c r="G874" s="59"/>
      <c r="H874" s="59"/>
      <c r="I874" s="59">
        <v>18.559927015623217</v>
      </c>
      <c r="J874" s="59"/>
      <c r="K874" s="59"/>
      <c r="L874" s="59"/>
      <c r="M874" s="59">
        <f t="shared" si="30"/>
        <v>18.559927015623217</v>
      </c>
    </row>
    <row r="875" spans="1:13" hidden="1" outlineLevel="2">
      <c r="A875" s="138">
        <v>46054</v>
      </c>
      <c r="B875" s="1" t="s">
        <v>225</v>
      </c>
      <c r="C875" s="346" t="s">
        <v>1572</v>
      </c>
      <c r="D875" s="341" t="s">
        <v>103</v>
      </c>
      <c r="E875" s="367">
        <v>1487.52</v>
      </c>
      <c r="F875" s="1">
        <v>18.38</v>
      </c>
      <c r="G875" s="59">
        <v>144.44824571406849</v>
      </c>
      <c r="H875" s="59">
        <v>20.526855969893944</v>
      </c>
      <c r="I875" s="59">
        <v>1140.3428745200897</v>
      </c>
      <c r="J875" s="59"/>
      <c r="K875" s="59">
        <v>100.43714600676626</v>
      </c>
      <c r="L875" s="59"/>
      <c r="M875" s="59">
        <f t="shared" si="30"/>
        <v>1405.7551222108184</v>
      </c>
    </row>
    <row r="876" spans="1:13" hidden="1" outlineLevel="2">
      <c r="A876" s="138">
        <v>46054</v>
      </c>
      <c r="B876" s="1" t="s">
        <v>534</v>
      </c>
      <c r="C876" s="346" t="s">
        <v>1573</v>
      </c>
      <c r="D876" s="341" t="s">
        <v>103</v>
      </c>
      <c r="E876" s="367">
        <v>1243</v>
      </c>
      <c r="F876" s="1">
        <v>25</v>
      </c>
      <c r="G876" s="59">
        <v>144.44824571406849</v>
      </c>
      <c r="H876" s="59">
        <v>20.526855969893944</v>
      </c>
      <c r="I876" s="59">
        <v>626.75808720112514</v>
      </c>
      <c r="J876" s="59"/>
      <c r="K876" s="59">
        <v>98.794997529174751</v>
      </c>
      <c r="L876" s="59"/>
      <c r="M876" s="59">
        <f t="shared" si="30"/>
        <v>890.52818641426234</v>
      </c>
    </row>
    <row r="877" spans="1:13" hidden="1" outlineLevel="2">
      <c r="A877" s="138">
        <v>46054</v>
      </c>
      <c r="B877" s="1" t="s">
        <v>1575</v>
      </c>
      <c r="C877" s="346" t="s">
        <v>1574</v>
      </c>
      <c r="D877" s="341" t="s">
        <v>103</v>
      </c>
      <c r="E877" s="367">
        <v>3056</v>
      </c>
      <c r="F877" s="1">
        <v>40.75</v>
      </c>
      <c r="G877" s="59">
        <v>163.45459383434067</v>
      </c>
      <c r="H877" s="59">
        <v>20.526855969893944</v>
      </c>
      <c r="I877" s="59">
        <v>932.15646025772617</v>
      </c>
      <c r="J877" s="59"/>
      <c r="K877" s="59">
        <v>139.29372410385068</v>
      </c>
      <c r="L877" s="59"/>
      <c r="M877" s="59">
        <f t="shared" si="30"/>
        <v>1255.4316341658116</v>
      </c>
    </row>
    <row r="878" spans="1:13" hidden="1" outlineLevel="2">
      <c r="A878" s="138">
        <v>46054</v>
      </c>
      <c r="B878" s="1" t="s">
        <v>1296</v>
      </c>
      <c r="C878" s="346" t="s">
        <v>1576</v>
      </c>
      <c r="D878" s="341" t="s">
        <v>103</v>
      </c>
      <c r="E878" s="367">
        <v>1030.9000000000001</v>
      </c>
      <c r="F878" s="1">
        <v>10.19</v>
      </c>
      <c r="G878" s="59">
        <v>108.33618428555137</v>
      </c>
      <c r="H878" s="59">
        <v>20.526855969893944</v>
      </c>
      <c r="I878" s="59">
        <v>1060.1419774204585</v>
      </c>
      <c r="J878" s="59"/>
      <c r="K878" s="59">
        <v>205.30436765879804</v>
      </c>
      <c r="L878" s="59"/>
      <c r="M878" s="59">
        <f t="shared" si="30"/>
        <v>1394.3093853347018</v>
      </c>
    </row>
    <row r="879" spans="1:13" hidden="1" outlineLevel="2">
      <c r="A879" s="138">
        <v>46054</v>
      </c>
      <c r="B879" s="1" t="s">
        <v>182</v>
      </c>
      <c r="C879" s="346" t="s">
        <v>1577</v>
      </c>
      <c r="D879" s="341" t="s">
        <v>103</v>
      </c>
      <c r="E879" s="367">
        <v>1224.5999999999999</v>
      </c>
      <c r="F879" s="1">
        <v>4.71</v>
      </c>
      <c r="G879" s="59">
        <v>55.118409548789295</v>
      </c>
      <c r="H879" s="59">
        <v>20.526855969893944</v>
      </c>
      <c r="I879" s="59">
        <v>746.0331850838179</v>
      </c>
      <c r="J879" s="59"/>
      <c r="K879" s="59">
        <v>104.99661687003459</v>
      </c>
      <c r="L879" s="59"/>
      <c r="M879" s="59">
        <f t="shared" si="30"/>
        <v>926.67506747253572</v>
      </c>
    </row>
    <row r="880" spans="1:13" hidden="1" outlineLevel="2">
      <c r="A880" s="138">
        <v>46054</v>
      </c>
      <c r="B880" s="1" t="s">
        <v>182</v>
      </c>
      <c r="C880" s="346" t="s">
        <v>1578</v>
      </c>
      <c r="D880" s="341" t="s">
        <v>103</v>
      </c>
      <c r="E880" s="367">
        <v>762.2</v>
      </c>
      <c r="F880" s="1">
        <v>1.53</v>
      </c>
      <c r="G880" s="59">
        <v>43.714600676625992</v>
      </c>
      <c r="H880" s="59">
        <v>20.526855969893944</v>
      </c>
      <c r="I880" s="59">
        <v>526.69897745847118</v>
      </c>
      <c r="J880" s="59"/>
      <c r="K880" s="59">
        <v>45.824153267191242</v>
      </c>
      <c r="L880" s="59"/>
      <c r="M880" s="59">
        <f t="shared" si="30"/>
        <v>636.7645873721824</v>
      </c>
    </row>
    <row r="881" spans="1:13" hidden="1" outlineLevel="2">
      <c r="A881" s="138">
        <v>46054</v>
      </c>
      <c r="B881" s="1" t="s">
        <v>179</v>
      </c>
      <c r="C881" s="346" t="s">
        <v>1579</v>
      </c>
      <c r="D881" s="341" t="s">
        <v>103</v>
      </c>
      <c r="E881" s="367">
        <v>250.06</v>
      </c>
      <c r="F881" s="1">
        <v>2.72</v>
      </c>
      <c r="G881" s="59">
        <v>43.714600676625992</v>
      </c>
      <c r="H881" s="59">
        <v>20.526855969893944</v>
      </c>
      <c r="I881" s="59">
        <v>560.90926369407384</v>
      </c>
      <c r="J881" s="59"/>
      <c r="K881" s="59">
        <v>43.557988368114948</v>
      </c>
      <c r="L881" s="59"/>
      <c r="M881" s="59">
        <f t="shared" si="30"/>
        <v>668.70870870870874</v>
      </c>
    </row>
    <row r="882" spans="1:13" hidden="1" outlineLevel="2">
      <c r="A882" s="138">
        <v>46054</v>
      </c>
      <c r="B882" s="1" t="s">
        <v>1581</v>
      </c>
      <c r="C882" s="346" t="s">
        <v>1580</v>
      </c>
      <c r="D882" s="341" t="s">
        <v>103</v>
      </c>
      <c r="E882" s="367">
        <v>292.39999999999998</v>
      </c>
      <c r="F882" s="1">
        <v>1.93</v>
      </c>
      <c r="G882" s="59">
        <v>43.714600676625992</v>
      </c>
      <c r="H882" s="59">
        <v>20.526855969893944</v>
      </c>
      <c r="I882" s="59">
        <v>119.9896035275782</v>
      </c>
      <c r="J882" s="59"/>
      <c r="K882" s="59">
        <v>32.26821758467328</v>
      </c>
      <c r="L882" s="59"/>
      <c r="M882" s="59">
        <f t="shared" si="30"/>
        <v>216.49927775877143</v>
      </c>
    </row>
    <row r="883" spans="1:13" hidden="1" outlineLevel="2">
      <c r="A883" s="138">
        <v>46054</v>
      </c>
      <c r="B883" s="1" t="s">
        <v>1583</v>
      </c>
      <c r="C883" s="346" t="s">
        <v>1582</v>
      </c>
      <c r="D883" s="341" t="s">
        <v>103</v>
      </c>
      <c r="E883" s="367">
        <v>2080</v>
      </c>
      <c r="F883" s="1">
        <v>11.5</v>
      </c>
      <c r="G883" s="59">
        <v>55.118409548789295</v>
      </c>
      <c r="H883" s="59">
        <v>20.526855969893944</v>
      </c>
      <c r="I883" s="59">
        <v>430.74086744972823</v>
      </c>
      <c r="J883" s="59"/>
      <c r="K883" s="59">
        <v>230.75531227429963</v>
      </c>
      <c r="L883" s="59"/>
      <c r="M883" s="59">
        <f t="shared" si="30"/>
        <v>737.14144524271114</v>
      </c>
    </row>
    <row r="884" spans="1:13" outlineLevel="1" collapsed="1">
      <c r="A884" s="138" t="s">
        <v>1609</v>
      </c>
      <c r="B884" s="1"/>
      <c r="C884" s="346"/>
      <c r="D884" s="1"/>
      <c r="E884" s="1">
        <f t="shared" ref="E884:M884" si="31">SUBTOTAL(9,E710:E883)</f>
        <v>29177.850000000002</v>
      </c>
      <c r="F884" s="1">
        <f t="shared" si="31"/>
        <v>171.68200000000002</v>
      </c>
      <c r="G884" s="59">
        <f t="shared" si="31"/>
        <v>1398.1069677272208</v>
      </c>
      <c r="H884" s="59">
        <f t="shared" si="31"/>
        <v>2699.2815600410499</v>
      </c>
      <c r="I884" s="59">
        <f t="shared" si="31"/>
        <v>15598.723871212984</v>
      </c>
      <c r="J884" s="59">
        <f t="shared" si="31"/>
        <v>0</v>
      </c>
      <c r="K884" s="59">
        <f t="shared" si="31"/>
        <v>2008.5302374445691</v>
      </c>
      <c r="L884" s="59">
        <f t="shared" si="31"/>
        <v>0</v>
      </c>
      <c r="M884" s="59">
        <f t="shared" si="31"/>
        <v>21704.642636425808</v>
      </c>
    </row>
    <row r="885" spans="1:13" hidden="1" outlineLevel="2">
      <c r="A885" s="138">
        <v>46082</v>
      </c>
      <c r="B885" s="1" t="s">
        <v>974</v>
      </c>
      <c r="C885" s="346">
        <v>398839608485</v>
      </c>
      <c r="D885" s="341" t="s">
        <v>45</v>
      </c>
      <c r="E885" s="367">
        <v>2.6</v>
      </c>
      <c r="F885" s="1"/>
      <c r="G885" s="59"/>
      <c r="H885" s="59">
        <v>0</v>
      </c>
      <c r="I885" s="59">
        <v>37.849486022076398</v>
      </c>
      <c r="J885" s="59"/>
      <c r="K885" s="59"/>
      <c r="L885" s="59"/>
      <c r="M885" s="59">
        <f t="shared" si="30"/>
        <v>37.849486022076398</v>
      </c>
    </row>
    <row r="886" spans="1:13" hidden="1" outlineLevel="2">
      <c r="A886" s="138">
        <v>46082</v>
      </c>
      <c r="B886" s="1" t="s">
        <v>974</v>
      </c>
      <c r="C886" s="346">
        <v>398877310525</v>
      </c>
      <c r="D886" s="341" t="s">
        <v>45</v>
      </c>
      <c r="E886" s="367">
        <v>35.799999999999997</v>
      </c>
      <c r="F886" s="1"/>
      <c r="G886" s="59"/>
      <c r="H886" s="59">
        <v>15.172780032621477</v>
      </c>
      <c r="I886" s="59">
        <v>161.71710351629179</v>
      </c>
      <c r="J886" s="59"/>
      <c r="K886" s="59"/>
      <c r="L886" s="59"/>
      <c r="M886" s="59">
        <f t="shared" si="30"/>
        <v>176.88988354891328</v>
      </c>
    </row>
    <row r="887" spans="1:13" hidden="1" outlineLevel="2">
      <c r="A887" s="138">
        <v>46082</v>
      </c>
      <c r="B887" s="1" t="s">
        <v>974</v>
      </c>
      <c r="C887" s="346">
        <v>398914107896</v>
      </c>
      <c r="D887" s="341" t="s">
        <v>45</v>
      </c>
      <c r="E887" s="367">
        <v>8.9</v>
      </c>
      <c r="F887" s="1"/>
      <c r="G887" s="59"/>
      <c r="H887" s="59">
        <v>15.172780032621477</v>
      </c>
      <c r="I887" s="59">
        <v>60.903387323142283</v>
      </c>
      <c r="J887" s="59"/>
      <c r="K887" s="59"/>
      <c r="L887" s="59"/>
      <c r="M887" s="59">
        <f t="shared" si="30"/>
        <v>76.076167355763758</v>
      </c>
    </row>
    <row r="888" spans="1:13" hidden="1" outlineLevel="2">
      <c r="A888" s="138">
        <v>46082</v>
      </c>
      <c r="B888" s="1" t="s">
        <v>984</v>
      </c>
      <c r="C888" s="346">
        <v>399360419897</v>
      </c>
      <c r="D888" s="341" t="s">
        <v>45</v>
      </c>
      <c r="E888" s="367">
        <v>1.9</v>
      </c>
      <c r="F888" s="1"/>
      <c r="G888" s="59"/>
      <c r="H888" s="59">
        <v>15.172780032621477</v>
      </c>
      <c r="I888" s="59">
        <v>33.417099723096761</v>
      </c>
      <c r="J888" s="59"/>
      <c r="K888" s="59"/>
      <c r="L888" s="59"/>
      <c r="M888" s="59">
        <f t="shared" si="30"/>
        <v>48.589879755718236</v>
      </c>
    </row>
    <row r="889" spans="1:13" hidden="1" outlineLevel="2">
      <c r="A889" s="138">
        <v>46082</v>
      </c>
      <c r="B889" s="1" t="s">
        <v>984</v>
      </c>
      <c r="C889" s="346">
        <v>399393081919</v>
      </c>
      <c r="D889" s="341" t="s">
        <v>45</v>
      </c>
      <c r="E889" s="367">
        <v>1.9</v>
      </c>
      <c r="F889" s="1"/>
      <c r="G889" s="59"/>
      <c r="H889" s="59">
        <v>15.172780032621477</v>
      </c>
      <c r="I889" s="59">
        <v>33.417099723096761</v>
      </c>
      <c r="J889" s="59"/>
      <c r="K889" s="59"/>
      <c r="L889" s="59"/>
      <c r="M889" s="59">
        <f t="shared" si="30"/>
        <v>48.589879755718236</v>
      </c>
    </row>
    <row r="890" spans="1:13" hidden="1" outlineLevel="2">
      <c r="A890" s="138">
        <v>46082</v>
      </c>
      <c r="B890" s="1" t="s">
        <v>974</v>
      </c>
      <c r="C890" s="346">
        <v>399376289213</v>
      </c>
      <c r="D890" s="341" t="s">
        <v>45</v>
      </c>
      <c r="E890" s="367">
        <v>8.9</v>
      </c>
      <c r="F890" s="1"/>
      <c r="G890" s="59"/>
      <c r="H890" s="59">
        <v>15.172780032621477</v>
      </c>
      <c r="I890" s="59">
        <v>61.544513143420701</v>
      </c>
      <c r="J890" s="59"/>
      <c r="K890" s="59"/>
      <c r="L890" s="59"/>
      <c r="M890" s="59">
        <f t="shared" si="30"/>
        <v>76.717293176042176</v>
      </c>
    </row>
    <row r="891" spans="1:13" hidden="1" outlineLevel="2">
      <c r="A891" s="138">
        <v>46082</v>
      </c>
      <c r="B891" s="1" t="s">
        <v>974</v>
      </c>
      <c r="C891" s="346">
        <v>399359495120</v>
      </c>
      <c r="D891" s="341" t="s">
        <v>45</v>
      </c>
      <c r="E891" s="367">
        <v>16.100000000000001</v>
      </c>
      <c r="F891" s="1"/>
      <c r="G891" s="59"/>
      <c r="H891" s="59">
        <v>15.172780032621477</v>
      </c>
      <c r="I891" s="59">
        <v>77.135948109092283</v>
      </c>
      <c r="J891" s="59"/>
      <c r="K891" s="59"/>
      <c r="L891" s="59"/>
      <c r="M891" s="59">
        <f t="shared" si="30"/>
        <v>92.308728141713758</v>
      </c>
    </row>
    <row r="892" spans="1:13" hidden="1" outlineLevel="2">
      <c r="A892" s="138">
        <v>46082</v>
      </c>
      <c r="B892" s="1" t="s">
        <v>984</v>
      </c>
      <c r="C892" s="346">
        <v>399462528547</v>
      </c>
      <c r="D892" s="341" t="s">
        <v>45</v>
      </c>
      <c r="E892" s="367">
        <v>1.9</v>
      </c>
      <c r="F892" s="1"/>
      <c r="G892" s="59"/>
      <c r="H892" s="59">
        <v>15.172780032621477</v>
      </c>
      <c r="I892" s="59">
        <v>33.64453969578576</v>
      </c>
      <c r="J892" s="59"/>
      <c r="K892" s="59"/>
      <c r="L892" s="59"/>
      <c r="M892" s="59">
        <f t="shared" si="30"/>
        <v>48.817319728407234</v>
      </c>
    </row>
    <row r="893" spans="1:13" hidden="1" outlineLevel="2">
      <c r="A893" s="138">
        <v>46082</v>
      </c>
      <c r="B893" s="1" t="s">
        <v>964</v>
      </c>
      <c r="C893" s="346">
        <v>511457132742</v>
      </c>
      <c r="D893" s="341" t="s">
        <v>45</v>
      </c>
      <c r="E893" s="367">
        <v>5.2</v>
      </c>
      <c r="F893" s="1"/>
      <c r="G893" s="59"/>
      <c r="H893" s="59">
        <v>15.172780032621477</v>
      </c>
      <c r="I893" s="59">
        <v>30.861017334901188</v>
      </c>
      <c r="J893" s="59"/>
      <c r="K893" s="59"/>
      <c r="L893" s="59"/>
      <c r="M893" s="59">
        <f t="shared" si="30"/>
        <v>46.033797367522666</v>
      </c>
    </row>
    <row r="894" spans="1:13" hidden="1" outlineLevel="2">
      <c r="A894" s="138">
        <v>46082</v>
      </c>
      <c r="B894" s="1" t="s">
        <v>983</v>
      </c>
      <c r="C894" s="346">
        <v>679865596580</v>
      </c>
      <c r="D894" s="341" t="s">
        <v>45</v>
      </c>
      <c r="E894" s="367">
        <v>25.5</v>
      </c>
      <c r="F894" s="1"/>
      <c r="G894" s="59"/>
      <c r="H894" s="59">
        <v>0</v>
      </c>
      <c r="I894" s="59">
        <v>76.369533057694497</v>
      </c>
      <c r="J894" s="59"/>
      <c r="K894" s="59"/>
      <c r="L894" s="59"/>
      <c r="M894" s="59">
        <f t="shared" si="30"/>
        <v>76.369533057694497</v>
      </c>
    </row>
    <row r="895" spans="1:13" hidden="1" outlineLevel="2">
      <c r="A895" s="138">
        <v>46082</v>
      </c>
      <c r="B895" s="1" t="s">
        <v>983</v>
      </c>
      <c r="C895" s="346">
        <v>679865596694</v>
      </c>
      <c r="D895" s="341" t="s">
        <v>45</v>
      </c>
      <c r="E895" s="367">
        <v>10.9</v>
      </c>
      <c r="F895" s="1"/>
      <c r="G895" s="59"/>
      <c r="H895" s="59">
        <v>0</v>
      </c>
      <c r="I895" s="59">
        <v>45.030876607366388</v>
      </c>
      <c r="J895" s="59"/>
      <c r="K895" s="59"/>
      <c r="L895" s="59"/>
      <c r="M895" s="59">
        <f t="shared" si="30"/>
        <v>45.030876607366388</v>
      </c>
    </row>
    <row r="896" spans="1:13" hidden="1" outlineLevel="2">
      <c r="A896" s="138">
        <v>46082</v>
      </c>
      <c r="B896" s="1" t="s">
        <v>799</v>
      </c>
      <c r="C896" s="346">
        <v>888510965327</v>
      </c>
      <c r="D896" s="341" t="s">
        <v>45</v>
      </c>
      <c r="E896" s="367">
        <v>53.4</v>
      </c>
      <c r="F896" s="1"/>
      <c r="G896" s="59"/>
      <c r="H896" s="59">
        <v>0</v>
      </c>
      <c r="I896" s="59">
        <v>162.88438341615142</v>
      </c>
      <c r="J896" s="59"/>
      <c r="K896" s="59"/>
      <c r="L896" s="59"/>
      <c r="M896" s="59">
        <f t="shared" si="30"/>
        <v>162.88438341615142</v>
      </c>
    </row>
    <row r="897" spans="1:13" hidden="1" outlineLevel="2">
      <c r="A897" s="138">
        <v>46082</v>
      </c>
      <c r="B897" s="1" t="s">
        <v>801</v>
      </c>
      <c r="C897" s="346">
        <v>473838404189</v>
      </c>
      <c r="D897" s="341" t="s">
        <v>45</v>
      </c>
      <c r="E897" s="367">
        <v>75.400000000000006</v>
      </c>
      <c r="F897" s="1"/>
      <c r="G897" s="59"/>
      <c r="H897" s="59">
        <v>15.172780032621477</v>
      </c>
      <c r="I897" s="59">
        <v>191.73933163903956</v>
      </c>
      <c r="J897" s="59"/>
      <c r="K897" s="59"/>
      <c r="L897" s="59"/>
      <c r="M897" s="59">
        <f t="shared" si="30"/>
        <v>206.91211167166105</v>
      </c>
    </row>
    <row r="898" spans="1:13" hidden="1" outlineLevel="2">
      <c r="A898" s="138">
        <v>46082</v>
      </c>
      <c r="B898" s="1" t="s">
        <v>376</v>
      </c>
      <c r="C898" s="346">
        <v>484361654824</v>
      </c>
      <c r="D898" s="341" t="s">
        <v>45</v>
      </c>
      <c r="E898" s="367">
        <v>23.9</v>
      </c>
      <c r="F898" s="1"/>
      <c r="G898" s="59"/>
      <c r="H898" s="59">
        <v>15.172780032621477</v>
      </c>
      <c r="I898" s="59">
        <v>68.788681106095666</v>
      </c>
      <c r="J898" s="59"/>
      <c r="K898" s="59"/>
      <c r="L898" s="59"/>
      <c r="M898" s="59">
        <f t="shared" si="30"/>
        <v>83.961461138717141</v>
      </c>
    </row>
    <row r="899" spans="1:13" hidden="1" outlineLevel="2">
      <c r="A899" s="138">
        <v>46082</v>
      </c>
      <c r="B899" s="1" t="s">
        <v>335</v>
      </c>
      <c r="C899" s="346">
        <v>477592552913</v>
      </c>
      <c r="D899" s="341" t="s">
        <v>45</v>
      </c>
      <c r="E899" s="367">
        <v>169.2</v>
      </c>
      <c r="F899" s="1"/>
      <c r="G899" s="59"/>
      <c r="H899" s="59">
        <v>0</v>
      </c>
      <c r="I899" s="59">
        <v>426.00876228046883</v>
      </c>
      <c r="J899" s="59"/>
      <c r="K899" s="59"/>
      <c r="L899" s="59"/>
      <c r="M899" s="59">
        <f t="shared" si="30"/>
        <v>426.00876228046883</v>
      </c>
    </row>
    <row r="900" spans="1:13" hidden="1" outlineLevel="2">
      <c r="A900" s="138">
        <v>46082</v>
      </c>
      <c r="B900" s="1" t="s">
        <v>335</v>
      </c>
      <c r="C900" s="346">
        <v>477592553770</v>
      </c>
      <c r="D900" s="341" t="s">
        <v>45</v>
      </c>
      <c r="E900" s="367">
        <v>27.1</v>
      </c>
      <c r="F900" s="1"/>
      <c r="G900" s="59"/>
      <c r="H900" s="59">
        <v>0</v>
      </c>
      <c r="I900" s="59">
        <v>80.253461290444946</v>
      </c>
      <c r="J900" s="59"/>
      <c r="K900" s="59"/>
      <c r="L900" s="59"/>
      <c r="M900" s="59">
        <f t="shared" si="30"/>
        <v>80.253461290444946</v>
      </c>
    </row>
    <row r="901" spans="1:13" hidden="1" outlineLevel="2">
      <c r="A901" s="138">
        <v>46082</v>
      </c>
      <c r="B901" s="1" t="s">
        <v>378</v>
      </c>
      <c r="C901" s="346">
        <v>409298909439</v>
      </c>
      <c r="D901" s="341" t="s">
        <v>45</v>
      </c>
      <c r="E901" s="367">
        <v>39.5</v>
      </c>
      <c r="F901" s="1"/>
      <c r="G901" s="59"/>
      <c r="H901" s="59">
        <v>0</v>
      </c>
      <c r="I901" s="59">
        <v>100.96866820923263</v>
      </c>
      <c r="J901" s="59"/>
      <c r="K901" s="59"/>
      <c r="L901" s="59"/>
      <c r="M901" s="59">
        <f t="shared" si="30"/>
        <v>100.96866820923263</v>
      </c>
    </row>
    <row r="902" spans="1:13" hidden="1" outlineLevel="2">
      <c r="A902" s="138">
        <v>46082</v>
      </c>
      <c r="B902" s="1" t="s">
        <v>1601</v>
      </c>
      <c r="C902" s="346">
        <v>493449021454</v>
      </c>
      <c r="D902" s="341" t="s">
        <v>45</v>
      </c>
      <c r="E902" s="367">
        <v>0.9</v>
      </c>
      <c r="F902" s="1"/>
      <c r="G902" s="59"/>
      <c r="H902" s="59">
        <v>0</v>
      </c>
      <c r="I902" s="59">
        <v>23.968137161931494</v>
      </c>
      <c r="J902" s="59"/>
      <c r="K902" s="59"/>
      <c r="L902" s="59"/>
      <c r="M902" s="59">
        <f t="shared" si="30"/>
        <v>23.968137161931494</v>
      </c>
    </row>
    <row r="903" spans="1:13" hidden="1" outlineLevel="2">
      <c r="A903" s="138">
        <v>46082</v>
      </c>
      <c r="B903" s="1" t="s">
        <v>1605</v>
      </c>
      <c r="C903" s="346">
        <v>398912902985</v>
      </c>
      <c r="D903" s="341" t="s">
        <v>45</v>
      </c>
      <c r="E903" s="367">
        <v>3.9</v>
      </c>
      <c r="F903" s="1"/>
      <c r="G903" s="59"/>
      <c r="H903" s="59">
        <v>15.172780032621477</v>
      </c>
      <c r="I903" s="59">
        <v>30.2099533437014</v>
      </c>
      <c r="J903" s="59"/>
      <c r="K903" s="59"/>
      <c r="L903" s="59"/>
      <c r="M903" s="59">
        <f t="shared" si="30"/>
        <v>45.382733376322875</v>
      </c>
    </row>
    <row r="904" spans="1:13" hidden="1" outlineLevel="2">
      <c r="A904" s="138">
        <v>46082</v>
      </c>
      <c r="B904" s="1" t="s">
        <v>965</v>
      </c>
      <c r="C904" s="346">
        <v>493641405030</v>
      </c>
      <c r="D904" s="341" t="s">
        <v>45</v>
      </c>
      <c r="E904" s="367">
        <v>35.1</v>
      </c>
      <c r="F904" s="1"/>
      <c r="G904" s="59"/>
      <c r="H904" s="59">
        <v>15.172780032621477</v>
      </c>
      <c r="I904" s="59">
        <v>112.41489966999204</v>
      </c>
      <c r="J904" s="59"/>
      <c r="K904" s="59"/>
      <c r="L904" s="59"/>
      <c r="M904" s="59">
        <f t="shared" si="30"/>
        <v>127.58767970261351</v>
      </c>
    </row>
    <row r="905" spans="1:13" hidden="1" outlineLevel="2">
      <c r="A905" s="138">
        <v>46082</v>
      </c>
      <c r="B905" s="1" t="s">
        <v>372</v>
      </c>
      <c r="C905" s="346">
        <v>472187350052</v>
      </c>
      <c r="D905" s="341" t="s">
        <v>45</v>
      </c>
      <c r="E905" s="367">
        <v>1.7</v>
      </c>
      <c r="F905" s="1"/>
      <c r="G905" s="59"/>
      <c r="H905" s="59">
        <v>15.172780032621477</v>
      </c>
      <c r="I905" s="59">
        <v>16.642832758032089</v>
      </c>
      <c r="J905" s="59"/>
      <c r="K905" s="59"/>
      <c r="L905" s="59"/>
      <c r="M905" s="59">
        <f t="shared" si="30"/>
        <v>31.815612790653567</v>
      </c>
    </row>
    <row r="906" spans="1:13" hidden="1" outlineLevel="2">
      <c r="A906" s="138">
        <v>46082</v>
      </c>
      <c r="B906" s="1" t="s">
        <v>374</v>
      </c>
      <c r="C906" s="346">
        <v>888976085502</v>
      </c>
      <c r="D906" s="341" t="s">
        <v>45</v>
      </c>
      <c r="E906" s="367">
        <v>3.2</v>
      </c>
      <c r="F906" s="1"/>
      <c r="G906" s="59"/>
      <c r="H906" s="59">
        <v>15.172780032621477</v>
      </c>
      <c r="I906" s="59">
        <v>25.182718203542844</v>
      </c>
      <c r="J906" s="59"/>
      <c r="K906" s="59"/>
      <c r="L906" s="59"/>
      <c r="M906" s="59">
        <f t="shared" si="30"/>
        <v>40.355498236164323</v>
      </c>
    </row>
    <row r="907" spans="1:13" hidden="1" outlineLevel="2">
      <c r="A907" s="138">
        <v>46082</v>
      </c>
      <c r="B907" s="1" t="s">
        <v>1481</v>
      </c>
      <c r="C907" s="346">
        <v>889019902160</v>
      </c>
      <c r="D907" s="341" t="s">
        <v>45</v>
      </c>
      <c r="E907" s="367">
        <v>64.400000000000006</v>
      </c>
      <c r="F907" s="1"/>
      <c r="G907" s="59"/>
      <c r="H907" s="59">
        <v>15.172780032621477</v>
      </c>
      <c r="I907" s="59">
        <v>173.91730834882222</v>
      </c>
      <c r="J907" s="59"/>
      <c r="K907" s="59"/>
      <c r="L907" s="59"/>
      <c r="M907" s="59">
        <f t="shared" si="30"/>
        <v>189.09008838144371</v>
      </c>
    </row>
    <row r="908" spans="1:13" hidden="1" outlineLevel="2">
      <c r="A908" s="138">
        <v>46082</v>
      </c>
      <c r="B908" s="1" t="s">
        <v>983</v>
      </c>
      <c r="C908" s="346">
        <v>679865597028</v>
      </c>
      <c r="D908" s="341" t="s">
        <v>45</v>
      </c>
      <c r="E908" s="367">
        <v>14.7</v>
      </c>
      <c r="F908" s="1"/>
      <c r="G908" s="59"/>
      <c r="H908" s="59">
        <v>15.172780032621477</v>
      </c>
      <c r="I908" s="59">
        <v>46.97394075029397</v>
      </c>
      <c r="J908" s="59"/>
      <c r="K908" s="59"/>
      <c r="L908" s="59"/>
      <c r="M908" s="59">
        <f t="shared" si="30"/>
        <v>62.146720782915445</v>
      </c>
    </row>
    <row r="909" spans="1:13" hidden="1" outlineLevel="2">
      <c r="A909" s="138">
        <v>46082</v>
      </c>
      <c r="B909" s="1" t="s">
        <v>377</v>
      </c>
      <c r="C909" s="346">
        <v>889059297463</v>
      </c>
      <c r="D909" s="341" t="s">
        <v>45</v>
      </c>
      <c r="E909" s="367">
        <v>145.4</v>
      </c>
      <c r="F909" s="1"/>
      <c r="G909" s="59"/>
      <c r="H909" s="59">
        <v>15.172780032621477</v>
      </c>
      <c r="I909" s="59">
        <v>343.82680271592761</v>
      </c>
      <c r="J909" s="59"/>
      <c r="K909" s="59"/>
      <c r="L909" s="59"/>
      <c r="M909" s="59">
        <f t="shared" si="30"/>
        <v>358.99958274854907</v>
      </c>
    </row>
    <row r="910" spans="1:13" hidden="1" outlineLevel="2">
      <c r="A910" s="138">
        <v>46082</v>
      </c>
      <c r="B910" s="1" t="s">
        <v>375</v>
      </c>
      <c r="C910" s="346">
        <v>889057417127</v>
      </c>
      <c r="D910" s="341" t="s">
        <v>45</v>
      </c>
      <c r="E910" s="367">
        <v>38.1</v>
      </c>
      <c r="F910" s="1"/>
      <c r="G910" s="59"/>
      <c r="H910" s="59">
        <v>15.172780032621477</v>
      </c>
      <c r="I910" s="59">
        <v>101.16212115464856</v>
      </c>
      <c r="J910" s="59"/>
      <c r="K910" s="59"/>
      <c r="L910" s="59"/>
      <c r="M910" s="59">
        <f t="shared" si="30"/>
        <v>116.33490118727003</v>
      </c>
    </row>
    <row r="911" spans="1:13" hidden="1" outlineLevel="2">
      <c r="A911" s="138">
        <v>46082</v>
      </c>
      <c r="B911" s="1" t="s">
        <v>378</v>
      </c>
      <c r="C911" s="346">
        <v>409298910719</v>
      </c>
      <c r="D911" s="341" t="s">
        <v>45</v>
      </c>
      <c r="E911" s="367">
        <v>45.5</v>
      </c>
      <c r="F911" s="1"/>
      <c r="G911" s="59"/>
      <c r="H911" s="59">
        <v>15.172780032621477</v>
      </c>
      <c r="I911" s="59">
        <v>123.07996055077191</v>
      </c>
      <c r="J911" s="59"/>
      <c r="K911" s="59"/>
      <c r="L911" s="59"/>
      <c r="M911" s="59">
        <f t="shared" si="30"/>
        <v>138.2527405833934</v>
      </c>
    </row>
    <row r="912" spans="1:13" hidden="1" outlineLevel="2">
      <c r="A912" s="138">
        <v>46082</v>
      </c>
      <c r="B912" s="1" t="s">
        <v>804</v>
      </c>
      <c r="C912" s="346">
        <v>399134639490</v>
      </c>
      <c r="D912" s="341" t="s">
        <v>45</v>
      </c>
      <c r="E912" s="367">
        <v>10.5</v>
      </c>
      <c r="F912" s="1"/>
      <c r="G912" s="59"/>
      <c r="H912" s="59">
        <v>15.172780032621477</v>
      </c>
      <c r="I912" s="59">
        <v>40.16303152145052</v>
      </c>
      <c r="J912" s="59"/>
      <c r="K912" s="59"/>
      <c r="L912" s="59"/>
      <c r="M912" s="59">
        <f t="shared" si="30"/>
        <v>55.335811554071995</v>
      </c>
    </row>
    <row r="913" spans="1:13" hidden="1" outlineLevel="2">
      <c r="A913" s="138">
        <v>46082</v>
      </c>
      <c r="B913" s="1" t="s">
        <v>1617</v>
      </c>
      <c r="C913" s="346">
        <v>399136659613</v>
      </c>
      <c r="D913" s="341" t="s">
        <v>45</v>
      </c>
      <c r="E913" s="367">
        <v>1.1000000000000001</v>
      </c>
      <c r="F913" s="1"/>
      <c r="G913" s="59"/>
      <c r="H913" s="59">
        <v>15.172780032621477</v>
      </c>
      <c r="I913" s="59">
        <v>15.208777453248871</v>
      </c>
      <c r="J913" s="59"/>
      <c r="K913" s="59"/>
      <c r="L913" s="59"/>
      <c r="M913" s="59">
        <f t="shared" si="30"/>
        <v>30.381557485870346</v>
      </c>
    </row>
    <row r="914" spans="1:13" hidden="1" outlineLevel="2">
      <c r="A914" s="138">
        <v>46082</v>
      </c>
      <c r="B914" s="1" t="s">
        <v>804</v>
      </c>
      <c r="C914" s="346">
        <v>399177118609</v>
      </c>
      <c r="D914" s="341" t="s">
        <v>45</v>
      </c>
      <c r="E914" s="367">
        <v>90.7</v>
      </c>
      <c r="F914" s="1"/>
      <c r="G914" s="59"/>
      <c r="H914" s="59">
        <v>15.172780032621477</v>
      </c>
      <c r="I914" s="59">
        <v>215.8426962030118</v>
      </c>
      <c r="J914" s="59"/>
      <c r="K914" s="59"/>
      <c r="L914" s="59"/>
      <c r="M914" s="59">
        <f t="shared" si="30"/>
        <v>231.01547623563329</v>
      </c>
    </row>
    <row r="915" spans="1:13" hidden="1" outlineLevel="2">
      <c r="A915" s="138">
        <v>46082</v>
      </c>
      <c r="B915" s="1" t="s">
        <v>1601</v>
      </c>
      <c r="C915" s="346">
        <v>515328669934</v>
      </c>
      <c r="D915" s="341" t="s">
        <v>45</v>
      </c>
      <c r="E915" s="367">
        <v>0.9</v>
      </c>
      <c r="F915" s="1"/>
      <c r="G915" s="59"/>
      <c r="H915" s="59">
        <v>15.172780032621477</v>
      </c>
      <c r="I915" s="59">
        <v>24.24363691537382</v>
      </c>
      <c r="J915" s="59"/>
      <c r="K915" s="59"/>
      <c r="L915" s="59"/>
      <c r="M915" s="59">
        <f t="shared" si="30"/>
        <v>39.416416947995295</v>
      </c>
    </row>
    <row r="916" spans="1:13" hidden="1" outlineLevel="2">
      <c r="A916" s="138">
        <v>46082</v>
      </c>
      <c r="B916" s="1" t="s">
        <v>802</v>
      </c>
      <c r="C916" s="346">
        <v>399172925390</v>
      </c>
      <c r="D916" s="341" t="s">
        <v>45</v>
      </c>
      <c r="E916" s="367">
        <v>43.1</v>
      </c>
      <c r="F916" s="1"/>
      <c r="G916" s="59"/>
      <c r="H916" s="59">
        <v>15.172780032621477</v>
      </c>
      <c r="I916" s="59">
        <v>134.90554944429692</v>
      </c>
      <c r="J916" s="59"/>
      <c r="K916" s="59"/>
      <c r="L916" s="59"/>
      <c r="M916" s="59">
        <f t="shared" si="30"/>
        <v>150.07832947691841</v>
      </c>
    </row>
    <row r="917" spans="1:13" hidden="1" outlineLevel="2">
      <c r="A917" s="138">
        <v>46082</v>
      </c>
      <c r="B917" s="1" t="s">
        <v>804</v>
      </c>
      <c r="C917" s="346">
        <v>399241440450</v>
      </c>
      <c r="D917" s="341" t="s">
        <v>45</v>
      </c>
      <c r="E917" s="367">
        <v>7.6</v>
      </c>
      <c r="F917" s="1"/>
      <c r="G917" s="59"/>
      <c r="H917" s="59">
        <v>15.172780032621477</v>
      </c>
      <c r="I917" s="59">
        <v>36.327656184804461</v>
      </c>
      <c r="J917" s="59"/>
      <c r="K917" s="59"/>
      <c r="L917" s="59"/>
      <c r="M917" s="59">
        <f t="shared" si="30"/>
        <v>51.500436217425936</v>
      </c>
    </row>
    <row r="918" spans="1:13" hidden="1" outlineLevel="2">
      <c r="A918" s="138">
        <v>46082</v>
      </c>
      <c r="B918" s="1" t="s">
        <v>1494</v>
      </c>
      <c r="C918" s="346">
        <v>889248439887</v>
      </c>
      <c r="D918" s="341" t="s">
        <v>45</v>
      </c>
      <c r="E918" s="367">
        <v>13.4</v>
      </c>
      <c r="F918" s="1"/>
      <c r="G918" s="59"/>
      <c r="H918" s="59">
        <v>15.172780032621477</v>
      </c>
      <c r="I918" s="59">
        <v>148.10086105526685</v>
      </c>
      <c r="J918" s="59"/>
      <c r="K918" s="59"/>
      <c r="L918" s="59"/>
      <c r="M918" s="59">
        <f t="shared" si="30"/>
        <v>163.27364108788834</v>
      </c>
    </row>
    <row r="919" spans="1:13" hidden="1" outlineLevel="2">
      <c r="A919" s="138">
        <v>46082</v>
      </c>
      <c r="B919" s="1" t="s">
        <v>373</v>
      </c>
      <c r="C919" s="346">
        <v>889272805531</v>
      </c>
      <c r="D919" s="341" t="s">
        <v>45</v>
      </c>
      <c r="E919" s="367">
        <v>5.5</v>
      </c>
      <c r="F919" s="1"/>
      <c r="G919" s="59"/>
      <c r="H919" s="59">
        <v>15.172780032621477</v>
      </c>
      <c r="I919" s="59">
        <v>31.148200128968629</v>
      </c>
      <c r="J919" s="59"/>
      <c r="K919" s="59"/>
      <c r="L919" s="59"/>
      <c r="M919" s="59">
        <f t="shared" si="30"/>
        <v>46.320980161590107</v>
      </c>
    </row>
    <row r="920" spans="1:13" hidden="1" outlineLevel="2">
      <c r="A920" s="138">
        <v>46082</v>
      </c>
      <c r="B920" s="1" t="s">
        <v>802</v>
      </c>
      <c r="C920" s="346">
        <v>399246871370</v>
      </c>
      <c r="D920" s="341" t="s">
        <v>45</v>
      </c>
      <c r="E920" s="367">
        <v>35.6</v>
      </c>
      <c r="F920" s="1"/>
      <c r="G920" s="59"/>
      <c r="H920" s="59">
        <v>15.172780032621477</v>
      </c>
      <c r="I920" s="59">
        <v>128.13871714144824</v>
      </c>
      <c r="J920" s="59"/>
      <c r="K920" s="59"/>
      <c r="L920" s="59"/>
      <c r="M920" s="59">
        <f t="shared" si="30"/>
        <v>143.31149717406973</v>
      </c>
    </row>
    <row r="921" spans="1:13" hidden="1" outlineLevel="2">
      <c r="A921" s="138">
        <v>46082</v>
      </c>
      <c r="B921" s="1" t="s">
        <v>804</v>
      </c>
      <c r="C921" s="346">
        <v>399331014626</v>
      </c>
      <c r="D921" s="341" t="s">
        <v>45</v>
      </c>
      <c r="E921" s="367">
        <v>18.399999999999999</v>
      </c>
      <c r="F921" s="1"/>
      <c r="G921" s="59"/>
      <c r="H921" s="59">
        <v>15.172780032621477</v>
      </c>
      <c r="I921" s="59">
        <v>47.42476197701324</v>
      </c>
      <c r="J921" s="59"/>
      <c r="K921" s="59"/>
      <c r="L921" s="59"/>
      <c r="M921" s="59">
        <f t="shared" si="30"/>
        <v>62.597542009634715</v>
      </c>
    </row>
    <row r="922" spans="1:13" hidden="1" outlineLevel="2">
      <c r="A922" s="138">
        <v>46082</v>
      </c>
      <c r="B922" s="1" t="s">
        <v>1494</v>
      </c>
      <c r="C922" s="346">
        <v>889378371390</v>
      </c>
      <c r="D922" s="341" t="s">
        <v>45</v>
      </c>
      <c r="E922" s="367">
        <v>8.4</v>
      </c>
      <c r="F922" s="1"/>
      <c r="G922" s="59"/>
      <c r="H922" s="59">
        <v>15.172780032621477</v>
      </c>
      <c r="I922" s="59">
        <v>97.923908508136407</v>
      </c>
      <c r="J922" s="59"/>
      <c r="K922" s="59"/>
      <c r="L922" s="59"/>
      <c r="M922" s="59">
        <f t="shared" si="30"/>
        <v>113.09668854075788</v>
      </c>
    </row>
    <row r="923" spans="1:13" hidden="1" outlineLevel="2">
      <c r="A923" s="138">
        <v>46082</v>
      </c>
      <c r="B923" s="1" t="s">
        <v>804</v>
      </c>
      <c r="C923" s="346">
        <v>399321571121</v>
      </c>
      <c r="D923" s="341" t="s">
        <v>45</v>
      </c>
      <c r="E923" s="367">
        <v>18.600000000000001</v>
      </c>
      <c r="F923" s="1"/>
      <c r="G923" s="59"/>
      <c r="H923" s="59">
        <v>15.172780032621477</v>
      </c>
      <c r="I923" s="59">
        <v>47.854644767287489</v>
      </c>
      <c r="J923" s="59"/>
      <c r="K923" s="59"/>
      <c r="L923" s="59"/>
      <c r="M923" s="59">
        <f t="shared" si="30"/>
        <v>63.027424799908964</v>
      </c>
    </row>
    <row r="924" spans="1:13" hidden="1" outlineLevel="2">
      <c r="A924" s="138">
        <v>46082</v>
      </c>
      <c r="B924" s="1" t="s">
        <v>376</v>
      </c>
      <c r="C924" s="346">
        <v>484361657948</v>
      </c>
      <c r="D924" s="341" t="s">
        <v>45</v>
      </c>
      <c r="E924" s="367">
        <v>124.4</v>
      </c>
      <c r="F924" s="1"/>
      <c r="G924" s="59"/>
      <c r="H924" s="59">
        <v>15.172780032621477</v>
      </c>
      <c r="I924" s="59">
        <v>297.18654933050107</v>
      </c>
      <c r="J924" s="59"/>
      <c r="K924" s="59"/>
      <c r="L924" s="59"/>
      <c r="M924" s="59">
        <f t="shared" si="30"/>
        <v>312.35932936312253</v>
      </c>
    </row>
    <row r="925" spans="1:13" hidden="1" outlineLevel="2">
      <c r="A925" s="138">
        <v>46082</v>
      </c>
      <c r="B925" s="1" t="s">
        <v>378</v>
      </c>
      <c r="C925" s="346">
        <v>409298911884</v>
      </c>
      <c r="D925" s="341" t="s">
        <v>45</v>
      </c>
      <c r="E925" s="367">
        <v>39.200000000000003</v>
      </c>
      <c r="F925" s="1"/>
      <c r="G925" s="59"/>
      <c r="H925" s="59">
        <v>15.172780032621477</v>
      </c>
      <c r="I925" s="59">
        <v>102.12923415392785</v>
      </c>
      <c r="J925" s="59"/>
      <c r="K925" s="59"/>
      <c r="L925" s="59"/>
      <c r="M925" s="59">
        <f t="shared" si="30"/>
        <v>117.30201418654933</v>
      </c>
    </row>
    <row r="926" spans="1:13" hidden="1" outlineLevel="2">
      <c r="A926" s="138">
        <v>46082</v>
      </c>
      <c r="B926" s="1" t="s">
        <v>1605</v>
      </c>
      <c r="C926" s="346">
        <v>399391834371</v>
      </c>
      <c r="D926" s="341" t="s">
        <v>45</v>
      </c>
      <c r="E926" s="367">
        <v>7.8</v>
      </c>
      <c r="F926" s="1"/>
      <c r="G926" s="59"/>
      <c r="H926" s="59">
        <v>15.172780032621477</v>
      </c>
      <c r="I926" s="59">
        <v>42.182528543792436</v>
      </c>
      <c r="J926" s="59"/>
      <c r="K926" s="59"/>
      <c r="L926" s="59"/>
      <c r="M926" s="59">
        <f t="shared" si="30"/>
        <v>57.355308576413911</v>
      </c>
    </row>
    <row r="927" spans="1:13" hidden="1" outlineLevel="2">
      <c r="A927" s="138">
        <v>46082</v>
      </c>
      <c r="B927" s="1" t="s">
        <v>1621</v>
      </c>
      <c r="C927" s="346">
        <v>512580956554</v>
      </c>
      <c r="D927" s="341" t="s">
        <v>45</v>
      </c>
      <c r="E927" s="367">
        <v>5.4</v>
      </c>
      <c r="F927" s="1"/>
      <c r="G927" s="59"/>
      <c r="H927" s="59">
        <v>15.172780032621477</v>
      </c>
      <c r="I927" s="59">
        <v>30.571748283579257</v>
      </c>
      <c r="J927" s="59"/>
      <c r="K927" s="59"/>
      <c r="L927" s="59"/>
      <c r="M927" s="59">
        <f t="shared" si="30"/>
        <v>45.744528316200736</v>
      </c>
    </row>
    <row r="928" spans="1:13" hidden="1" outlineLevel="2">
      <c r="A928" s="138">
        <v>46082</v>
      </c>
      <c r="B928" s="1" t="s">
        <v>801</v>
      </c>
      <c r="C928" s="346">
        <v>515199052837</v>
      </c>
      <c r="D928" s="341" t="s">
        <v>45</v>
      </c>
      <c r="E928" s="367">
        <v>73.3</v>
      </c>
      <c r="F928" s="1"/>
      <c r="G928" s="59"/>
      <c r="H928" s="59">
        <v>15.172780032621477</v>
      </c>
      <c r="I928" s="59">
        <v>178.87649357053445</v>
      </c>
      <c r="J928" s="59"/>
      <c r="K928" s="59"/>
      <c r="L928" s="59"/>
      <c r="M928" s="59">
        <f t="shared" si="30"/>
        <v>194.04927360315594</v>
      </c>
    </row>
    <row r="929" spans="1:13" hidden="1" outlineLevel="2">
      <c r="A929" s="138">
        <v>46082</v>
      </c>
      <c r="B929" s="1" t="s">
        <v>1481</v>
      </c>
      <c r="C929" s="346">
        <v>889458358213</v>
      </c>
      <c r="D929" s="341" t="s">
        <v>45</v>
      </c>
      <c r="E929" s="367">
        <v>35.799999999999997</v>
      </c>
      <c r="F929" s="1"/>
      <c r="G929" s="59"/>
      <c r="H929" s="59">
        <v>15.172780032621477</v>
      </c>
      <c r="I929" s="59">
        <v>99.592421196373706</v>
      </c>
      <c r="J929" s="59"/>
      <c r="K929" s="59"/>
      <c r="L929" s="59"/>
      <c r="M929" s="59">
        <f t="shared" ref="M929:M975" si="32">SUM(G929:L929)</f>
        <v>114.76520122899518</v>
      </c>
    </row>
    <row r="930" spans="1:13" hidden="1" outlineLevel="2">
      <c r="A930" s="138">
        <v>46082</v>
      </c>
      <c r="B930" s="1" t="s">
        <v>983</v>
      </c>
      <c r="C930" s="346">
        <v>679865598860</v>
      </c>
      <c r="D930" s="341" t="s">
        <v>45</v>
      </c>
      <c r="E930" s="367">
        <v>21.6</v>
      </c>
      <c r="F930" s="1"/>
      <c r="G930" s="59"/>
      <c r="H930" s="59">
        <v>15.172780032621477</v>
      </c>
      <c r="I930" s="59">
        <v>62.452945415923836</v>
      </c>
      <c r="J930" s="59"/>
      <c r="K930" s="59"/>
      <c r="L930" s="59"/>
      <c r="M930" s="59">
        <f t="shared" si="32"/>
        <v>77.62572544854531</v>
      </c>
    </row>
    <row r="931" spans="1:13" hidden="1" outlineLevel="2">
      <c r="A931" s="138">
        <v>46082</v>
      </c>
      <c r="B931" s="1" t="s">
        <v>377</v>
      </c>
      <c r="C931" s="346">
        <v>889500331865</v>
      </c>
      <c r="D931" s="341" t="s">
        <v>45</v>
      </c>
      <c r="E931" s="367">
        <v>36.9</v>
      </c>
      <c r="F931" s="1"/>
      <c r="G931" s="59"/>
      <c r="H931" s="59">
        <v>15.172780032621477</v>
      </c>
      <c r="I931" s="59">
        <v>102.35883624777149</v>
      </c>
      <c r="J931" s="59"/>
      <c r="K931" s="59"/>
      <c r="L931" s="59"/>
      <c r="M931" s="59">
        <f t="shared" si="32"/>
        <v>117.53161628039297</v>
      </c>
    </row>
    <row r="932" spans="1:13" hidden="1" outlineLevel="2">
      <c r="A932" s="138">
        <v>46082</v>
      </c>
      <c r="B932" s="1" t="s">
        <v>804</v>
      </c>
      <c r="C932" s="346">
        <v>399537725784</v>
      </c>
      <c r="D932" s="341" t="s">
        <v>45</v>
      </c>
      <c r="E932" s="367">
        <v>12.4</v>
      </c>
      <c r="F932" s="1"/>
      <c r="G932" s="59"/>
      <c r="H932" s="59">
        <v>15.172780032621477</v>
      </c>
      <c r="I932" s="59">
        <v>42.666691954633386</v>
      </c>
      <c r="J932" s="59"/>
      <c r="K932" s="59"/>
      <c r="L932" s="59"/>
      <c r="M932" s="59">
        <f t="shared" si="32"/>
        <v>57.839471987254861</v>
      </c>
    </row>
    <row r="933" spans="1:13" hidden="1" outlineLevel="2">
      <c r="A933" s="138">
        <v>46082</v>
      </c>
      <c r="B933" s="1" t="s">
        <v>799</v>
      </c>
      <c r="C933" s="346">
        <v>889498635177</v>
      </c>
      <c r="D933" s="341" t="s">
        <v>45</v>
      </c>
      <c r="E933" s="367">
        <v>44.8</v>
      </c>
      <c r="F933" s="1"/>
      <c r="G933" s="59"/>
      <c r="H933" s="59">
        <v>15.172780032621477</v>
      </c>
      <c r="I933" s="59">
        <v>131.36475363198423</v>
      </c>
      <c r="J933" s="59"/>
      <c r="K933" s="59"/>
      <c r="L933" s="59"/>
      <c r="M933" s="59">
        <f t="shared" si="32"/>
        <v>146.53753366460572</v>
      </c>
    </row>
    <row r="934" spans="1:13" hidden="1" outlineLevel="2">
      <c r="A934" s="138">
        <v>46082</v>
      </c>
      <c r="B934" s="1" t="s">
        <v>378</v>
      </c>
      <c r="C934" s="346">
        <v>409298913074</v>
      </c>
      <c r="D934" s="341" t="s">
        <v>45</v>
      </c>
      <c r="E934" s="367">
        <v>2.6</v>
      </c>
      <c r="F934" s="1"/>
      <c r="G934" s="59"/>
      <c r="H934" s="59">
        <v>15.172780032621477</v>
      </c>
      <c r="I934" s="59">
        <v>22.085081364032924</v>
      </c>
      <c r="J934" s="59"/>
      <c r="K934" s="59"/>
      <c r="L934" s="59"/>
      <c r="M934" s="59">
        <f t="shared" si="32"/>
        <v>37.257861396654398</v>
      </c>
    </row>
    <row r="935" spans="1:13" hidden="1" outlineLevel="2">
      <c r="A935" s="138">
        <v>46082</v>
      </c>
      <c r="B935" s="1" t="s">
        <v>983</v>
      </c>
      <c r="C935" s="346">
        <v>679865598995</v>
      </c>
      <c r="D935" s="341" t="s">
        <v>45</v>
      </c>
      <c r="E935" s="367">
        <v>18</v>
      </c>
      <c r="F935" s="1"/>
      <c r="G935" s="59"/>
      <c r="H935" s="59">
        <v>15.172780032621477</v>
      </c>
      <c r="I935" s="59">
        <v>52.65</v>
      </c>
      <c r="J935" s="59"/>
      <c r="K935" s="59"/>
      <c r="L935" s="59"/>
      <c r="M935" s="59">
        <f t="shared" si="32"/>
        <v>67.82278003262148</v>
      </c>
    </row>
    <row r="936" spans="1:13" hidden="1" outlineLevel="2">
      <c r="A936" s="138">
        <v>46082</v>
      </c>
      <c r="B936" s="1" t="s">
        <v>1601</v>
      </c>
      <c r="C936" s="346">
        <v>515328690539</v>
      </c>
      <c r="D936" s="341" t="s">
        <v>45</v>
      </c>
      <c r="E936" s="367">
        <v>2.6</v>
      </c>
      <c r="F936" s="1"/>
      <c r="G936" s="59"/>
      <c r="H936" s="59">
        <v>15.172780032621477</v>
      </c>
      <c r="I936" s="59">
        <v>36.643022417782497</v>
      </c>
      <c r="J936" s="59"/>
      <c r="K936" s="59"/>
      <c r="L936" s="59"/>
      <c r="M936" s="59">
        <f t="shared" si="32"/>
        <v>51.815802450403972</v>
      </c>
    </row>
    <row r="937" spans="1:13" hidden="1" outlineLevel="2">
      <c r="A937" s="138">
        <v>46082</v>
      </c>
      <c r="B937" s="1" t="s">
        <v>941</v>
      </c>
      <c r="C937" s="346">
        <v>1138753630</v>
      </c>
      <c r="D937" s="341" t="str">
        <f>VLOOKUP(C937,[1]Material!F:J,5,0)</f>
        <v>DHL</v>
      </c>
      <c r="E937" s="367">
        <f>_xlfn.XLOOKUP(C937,[1]Material!$F:$F,[1]Material!$D:$D)</f>
        <v>279.39999999999998</v>
      </c>
      <c r="F937" s="1"/>
      <c r="G937" s="59">
        <v>0</v>
      </c>
      <c r="H937" s="59">
        <v>15.172780032621477</v>
      </c>
      <c r="I937" s="59">
        <v>0</v>
      </c>
      <c r="J937" s="59"/>
      <c r="K937" s="59">
        <v>0</v>
      </c>
      <c r="L937" s="59"/>
      <c r="M937" s="59">
        <f t="shared" si="32"/>
        <v>15.172780032621477</v>
      </c>
    </row>
    <row r="938" spans="1:13" hidden="1" outlineLevel="2">
      <c r="A938" s="138">
        <v>46082</v>
      </c>
      <c r="B938" s="1" t="s">
        <v>941</v>
      </c>
      <c r="C938" s="346">
        <v>1138753630</v>
      </c>
      <c r="D938" s="341" t="str">
        <f>VLOOKUP(C938,[1]Material!F:J,5,0)</f>
        <v>DHL</v>
      </c>
      <c r="E938" s="367">
        <f>_xlfn.XLOOKUP(C938,[1]Material!$F:$F,[1]Material!$D:$D)</f>
        <v>279.39999999999998</v>
      </c>
      <c r="F938" s="1"/>
      <c r="G938" s="59">
        <v>0</v>
      </c>
      <c r="H938" s="59">
        <v>11.379585024466108</v>
      </c>
      <c r="I938" s="59">
        <v>0</v>
      </c>
      <c r="J938" s="59"/>
      <c r="K938" s="59">
        <v>0</v>
      </c>
      <c r="L938" s="59"/>
      <c r="M938" s="59">
        <f t="shared" si="32"/>
        <v>11.379585024466108</v>
      </c>
    </row>
    <row r="939" spans="1:13" hidden="1" outlineLevel="2">
      <c r="A939" s="138">
        <v>46082</v>
      </c>
      <c r="B939" s="1" t="s">
        <v>941</v>
      </c>
      <c r="C939" s="346">
        <v>1138753630</v>
      </c>
      <c r="D939" s="341" t="str">
        <f>VLOOKUP(C939,[1]Material!F:J,5,0)</f>
        <v>DHL</v>
      </c>
      <c r="E939" s="367">
        <f>_xlfn.XLOOKUP(C939,[1]Material!$F:$F,[1]Material!$D:$D)</f>
        <v>279.39999999999998</v>
      </c>
      <c r="F939" s="1"/>
      <c r="G939" s="59">
        <v>0</v>
      </c>
      <c r="H939" s="59">
        <v>11.379585024466108</v>
      </c>
      <c r="I939" s="59">
        <v>0</v>
      </c>
      <c r="J939" s="59"/>
      <c r="K939" s="59">
        <v>0</v>
      </c>
      <c r="L939" s="59"/>
      <c r="M939" s="59">
        <f t="shared" si="32"/>
        <v>11.379585024466108</v>
      </c>
    </row>
    <row r="940" spans="1:13" hidden="1" outlineLevel="2">
      <c r="A940" s="138">
        <v>46082</v>
      </c>
      <c r="B940" s="1" t="s">
        <v>941</v>
      </c>
      <c r="C940" s="346">
        <v>2746336014</v>
      </c>
      <c r="D940" s="341" t="str">
        <f>VLOOKUP(C940,[1]Material!F:J,5,0)</f>
        <v>DHL</v>
      </c>
      <c r="E940" s="367">
        <f>_xlfn.XLOOKUP(C940,[1]Material!$F:$F,[1]Material!$D:$D)</f>
        <v>312.89999999999998</v>
      </c>
      <c r="F940" s="1"/>
      <c r="G940" s="59">
        <v>0</v>
      </c>
      <c r="H940" s="59">
        <v>15.172780032621477</v>
      </c>
      <c r="I940" s="59">
        <v>0</v>
      </c>
      <c r="J940" s="59"/>
      <c r="K940" s="59">
        <v>0</v>
      </c>
      <c r="L940" s="59"/>
      <c r="M940" s="59">
        <f t="shared" si="32"/>
        <v>15.172780032621477</v>
      </c>
    </row>
    <row r="941" spans="1:13" hidden="1" outlineLevel="2">
      <c r="A941" s="138">
        <v>46082</v>
      </c>
      <c r="B941" s="1" t="s">
        <v>941</v>
      </c>
      <c r="C941" s="346">
        <v>2746336014</v>
      </c>
      <c r="D941" s="341" t="str">
        <f>VLOOKUP(C941,[1]Material!F:J,5,0)</f>
        <v>DHL</v>
      </c>
      <c r="E941" s="367">
        <f>_xlfn.XLOOKUP(C941,[1]Material!$F:$F,[1]Material!$D:$D)</f>
        <v>312.89999999999998</v>
      </c>
      <c r="F941" s="1"/>
      <c r="G941" s="59">
        <v>0</v>
      </c>
      <c r="H941" s="59">
        <v>11.379585024466108</v>
      </c>
      <c r="I941" s="59">
        <v>0</v>
      </c>
      <c r="J941" s="59"/>
      <c r="K941" s="59">
        <v>0</v>
      </c>
      <c r="L941" s="59"/>
      <c r="M941" s="59">
        <f t="shared" si="32"/>
        <v>11.379585024466108</v>
      </c>
    </row>
    <row r="942" spans="1:13" hidden="1" outlineLevel="2">
      <c r="A942" s="138">
        <v>46082</v>
      </c>
      <c r="B942" s="1" t="s">
        <v>1606</v>
      </c>
      <c r="C942" s="346">
        <v>480304816621</v>
      </c>
      <c r="D942" s="341" t="str">
        <f>VLOOKUP(C942,[1]Material!F:J,5,0)</f>
        <v>Fedex</v>
      </c>
      <c r="E942" s="367">
        <f>_xlfn.XLOOKUP(C942,[1]Material!$F:$F,[1]Material!$D:$D)</f>
        <v>6</v>
      </c>
      <c r="F942" s="1"/>
      <c r="G942" s="59">
        <v>0</v>
      </c>
      <c r="H942" s="59">
        <v>15.172780032621477</v>
      </c>
      <c r="I942" s="59">
        <v>0</v>
      </c>
      <c r="J942" s="59"/>
      <c r="K942" s="59">
        <v>0</v>
      </c>
      <c r="L942" s="59"/>
      <c r="M942" s="59">
        <f t="shared" si="32"/>
        <v>15.172780032621477</v>
      </c>
    </row>
    <row r="943" spans="1:13" hidden="1" outlineLevel="2">
      <c r="A943" s="138">
        <v>46082</v>
      </c>
      <c r="B943" s="1" t="s">
        <v>945</v>
      </c>
      <c r="C943" s="346">
        <v>500292466884</v>
      </c>
      <c r="D943" s="341" t="str">
        <f>VLOOKUP(C943,[1]Material!F:J,5,0)</f>
        <v>Fedex</v>
      </c>
      <c r="E943" s="367">
        <f>_xlfn.XLOOKUP(C943,[1]Material!$F:$F,[1]Material!$D:$D)</f>
        <v>56</v>
      </c>
      <c r="F943" s="1"/>
      <c r="G943" s="59">
        <v>0</v>
      </c>
      <c r="H943" s="59">
        <v>15.172780032621477</v>
      </c>
      <c r="I943" s="59">
        <v>0</v>
      </c>
      <c r="J943" s="59"/>
      <c r="K943" s="59">
        <v>0</v>
      </c>
      <c r="L943" s="59"/>
      <c r="M943" s="59">
        <f t="shared" si="32"/>
        <v>15.172780032621477</v>
      </c>
    </row>
    <row r="944" spans="1:13" hidden="1" outlineLevel="2">
      <c r="A944" s="138">
        <v>46082</v>
      </c>
      <c r="B944" s="1" t="s">
        <v>958</v>
      </c>
      <c r="C944" s="346">
        <v>398666821832</v>
      </c>
      <c r="D944" s="341" t="str">
        <f>VLOOKUP(C944,[1]Material!F:J,5,0)</f>
        <v>Fedex</v>
      </c>
      <c r="E944" s="367">
        <f>_xlfn.XLOOKUP(C944,[1]Material!$F:$F,[1]Material!$D:$D)</f>
        <v>130</v>
      </c>
      <c r="F944" s="1"/>
      <c r="G944" s="59">
        <v>0</v>
      </c>
      <c r="H944" s="59">
        <v>15.172780032621477</v>
      </c>
      <c r="I944" s="59">
        <v>0</v>
      </c>
      <c r="J944" s="59"/>
      <c r="K944" s="59">
        <v>0</v>
      </c>
      <c r="L944" s="59"/>
      <c r="M944" s="59">
        <f t="shared" si="32"/>
        <v>15.172780032621477</v>
      </c>
    </row>
    <row r="945" spans="1:13" hidden="1" outlineLevel="2">
      <c r="A945" s="138">
        <v>46082</v>
      </c>
      <c r="B945" s="1" t="s">
        <v>958</v>
      </c>
      <c r="C945" s="346">
        <v>398617194690</v>
      </c>
      <c r="D945" s="341" t="str">
        <f>VLOOKUP(C945,[1]Material!F:J,5,0)</f>
        <v>Fedex</v>
      </c>
      <c r="E945" s="367">
        <f>_xlfn.XLOOKUP(C945,[1]Material!$F:$F,[1]Material!$D:$D)</f>
        <v>57.5</v>
      </c>
      <c r="F945" s="1"/>
      <c r="G945" s="59">
        <v>0</v>
      </c>
      <c r="H945" s="59">
        <v>15.172780032621477</v>
      </c>
      <c r="I945" s="59">
        <v>0</v>
      </c>
      <c r="J945" s="59"/>
      <c r="K945" s="59">
        <v>0</v>
      </c>
      <c r="L945" s="59"/>
      <c r="M945" s="59">
        <f t="shared" si="32"/>
        <v>15.172780032621477</v>
      </c>
    </row>
    <row r="946" spans="1:13" hidden="1" outlineLevel="2">
      <c r="A946" s="138">
        <v>46082</v>
      </c>
      <c r="B946" s="1" t="s">
        <v>958</v>
      </c>
      <c r="C946" s="346">
        <v>398667042294</v>
      </c>
      <c r="D946" s="341" t="str">
        <f>VLOOKUP(C946,[1]Material!F:J,5,0)</f>
        <v>Fedex</v>
      </c>
      <c r="E946" s="367">
        <f>_xlfn.XLOOKUP(C946,[1]Material!$F:$F,[1]Material!$D:$D)</f>
        <v>48.5</v>
      </c>
      <c r="F946" s="1"/>
      <c r="G946" s="59">
        <v>0</v>
      </c>
      <c r="H946" s="59">
        <v>15.172780032621477</v>
      </c>
      <c r="I946" s="59">
        <v>0</v>
      </c>
      <c r="J946" s="59"/>
      <c r="K946" s="59">
        <v>0</v>
      </c>
      <c r="L946" s="59"/>
      <c r="M946" s="59">
        <f t="shared" si="32"/>
        <v>15.172780032621477</v>
      </c>
    </row>
    <row r="947" spans="1:13" hidden="1" outlineLevel="2">
      <c r="A947" s="138">
        <v>46082</v>
      </c>
      <c r="B947" s="1" t="s">
        <v>958</v>
      </c>
      <c r="C947" s="346">
        <v>398479835524</v>
      </c>
      <c r="D947" s="341" t="str">
        <f>VLOOKUP(C947,[1]Material!F:J,5,0)</f>
        <v>Fedex</v>
      </c>
      <c r="E947" s="367">
        <f>_xlfn.XLOOKUP(C947,[1]Material!$F:$F,[1]Material!$D:$D)</f>
        <v>33.5</v>
      </c>
      <c r="F947" s="1"/>
      <c r="G947" s="59">
        <v>0</v>
      </c>
      <c r="H947" s="59">
        <v>15.172780032621477</v>
      </c>
      <c r="I947" s="59">
        <v>0</v>
      </c>
      <c r="J947" s="59"/>
      <c r="K947" s="59">
        <v>0</v>
      </c>
      <c r="L947" s="59"/>
      <c r="M947" s="59">
        <f t="shared" si="32"/>
        <v>15.172780032621477</v>
      </c>
    </row>
    <row r="948" spans="1:13" hidden="1" outlineLevel="2">
      <c r="A948" s="138">
        <v>46082</v>
      </c>
      <c r="B948" s="1" t="s">
        <v>958</v>
      </c>
      <c r="C948" s="346">
        <v>398665559029</v>
      </c>
      <c r="D948" s="341" t="str">
        <f>VLOOKUP(C948,[1]Material!F:J,5,0)</f>
        <v>Fedex</v>
      </c>
      <c r="E948" s="367">
        <f>_xlfn.XLOOKUP(C948,[1]Material!$F:$F,[1]Material!$D:$D)</f>
        <v>47.5</v>
      </c>
      <c r="F948" s="1"/>
      <c r="G948" s="59">
        <v>0</v>
      </c>
      <c r="H948" s="59">
        <v>15.172780032621477</v>
      </c>
      <c r="I948" s="59">
        <v>0</v>
      </c>
      <c r="J948" s="59"/>
      <c r="K948" s="59">
        <v>0</v>
      </c>
      <c r="L948" s="59"/>
      <c r="M948" s="59">
        <f t="shared" si="32"/>
        <v>15.172780032621477</v>
      </c>
    </row>
    <row r="949" spans="1:13" hidden="1" outlineLevel="2">
      <c r="A949" s="138">
        <v>46082</v>
      </c>
      <c r="B949" s="1" t="s">
        <v>947</v>
      </c>
      <c r="C949" s="346">
        <v>500292458018</v>
      </c>
      <c r="D949" s="341" t="str">
        <f>VLOOKUP(C949,[1]Material!F:J,5,0)</f>
        <v>Fedex</v>
      </c>
      <c r="E949" s="367">
        <f>_xlfn.XLOOKUP(C949,[1]Material!$F:$F,[1]Material!$D:$D)</f>
        <v>1</v>
      </c>
      <c r="F949" s="1"/>
      <c r="G949" s="59">
        <v>0</v>
      </c>
      <c r="H949" s="59">
        <v>15.172780032621477</v>
      </c>
      <c r="I949" s="59">
        <v>0</v>
      </c>
      <c r="J949" s="59"/>
      <c r="K949" s="59">
        <v>0</v>
      </c>
      <c r="L949" s="59"/>
      <c r="M949" s="59">
        <f t="shared" si="32"/>
        <v>15.172780032621477</v>
      </c>
    </row>
    <row r="950" spans="1:13" hidden="1" outlineLevel="2">
      <c r="A950" s="138">
        <v>46082</v>
      </c>
      <c r="B950" s="1" t="s">
        <v>934</v>
      </c>
      <c r="C950" s="346">
        <v>5399155101</v>
      </c>
      <c r="D950" s="341" t="str">
        <f>VLOOKUP(C950,[1]Material!F:J,5,0)</f>
        <v>DHL</v>
      </c>
      <c r="E950" s="367">
        <f>_xlfn.XLOOKUP(C950,[1]Material!$F:$F,[1]Material!$D:$D)</f>
        <v>4.5999999999999996</v>
      </c>
      <c r="F950" s="1"/>
      <c r="G950" s="59">
        <v>0</v>
      </c>
      <c r="H950" s="59">
        <v>15.172780032621477</v>
      </c>
      <c r="I950" s="59">
        <v>0</v>
      </c>
      <c r="J950" s="59"/>
      <c r="K950" s="59">
        <v>0</v>
      </c>
      <c r="L950" s="59"/>
      <c r="M950" s="59">
        <f t="shared" si="32"/>
        <v>15.172780032621477</v>
      </c>
    </row>
    <row r="951" spans="1:13" hidden="1" outlineLevel="2">
      <c r="A951" s="138">
        <v>46082</v>
      </c>
      <c r="B951" s="1" t="s">
        <v>934</v>
      </c>
      <c r="C951" s="346">
        <v>5811384460</v>
      </c>
      <c r="D951" s="341" t="str">
        <f>VLOOKUP(C951,[1]Material!F:J,5,0)</f>
        <v>DHL</v>
      </c>
      <c r="E951" s="367">
        <f>_xlfn.XLOOKUP(C951,[1]Material!$F:$F,[1]Material!$D:$D)</f>
        <v>1.7</v>
      </c>
      <c r="F951" s="1"/>
      <c r="G951" s="59">
        <v>0</v>
      </c>
      <c r="H951" s="59">
        <v>15.172780032621477</v>
      </c>
      <c r="I951" s="59">
        <v>0</v>
      </c>
      <c r="J951" s="59"/>
      <c r="K951" s="59">
        <v>0</v>
      </c>
      <c r="L951" s="59"/>
      <c r="M951" s="59">
        <f t="shared" si="32"/>
        <v>15.172780032621477</v>
      </c>
    </row>
    <row r="952" spans="1:13" hidden="1" outlineLevel="2">
      <c r="A952" s="138">
        <v>46082</v>
      </c>
      <c r="B952" s="1" t="s">
        <v>956</v>
      </c>
      <c r="C952" s="346">
        <v>4812889730</v>
      </c>
      <c r="D952" s="341" t="str">
        <f>VLOOKUP(C952,[1]Material!F:J,5,0)</f>
        <v>Expeditors</v>
      </c>
      <c r="E952" s="367">
        <f>_xlfn.XLOOKUP(C952,[1]Material!$F:$F,[1]Material!$D:$D)</f>
        <v>98</v>
      </c>
      <c r="F952" s="1"/>
      <c r="G952" s="59">
        <v>18.207336039145773</v>
      </c>
      <c r="H952" s="59">
        <v>15.172780032621477</v>
      </c>
      <c r="I952" s="59">
        <v>114.58</v>
      </c>
      <c r="J952" s="59"/>
      <c r="K952" s="59">
        <f>17.3402875241816</f>
        <v>17.340287524181601</v>
      </c>
      <c r="L952" s="59">
        <v>33.472816681699442</v>
      </c>
      <c r="M952" s="59">
        <f t="shared" si="32"/>
        <v>198.77322027764828</v>
      </c>
    </row>
    <row r="953" spans="1:13" hidden="1" outlineLevel="2">
      <c r="A953" s="138">
        <v>46082</v>
      </c>
      <c r="B953" s="1" t="s">
        <v>981</v>
      </c>
      <c r="C953" s="346">
        <v>398863287413</v>
      </c>
      <c r="D953" s="341" t="str">
        <f>VLOOKUP(C953,[1]Material!F:J,5,0)</f>
        <v>Fedex</v>
      </c>
      <c r="E953" s="367">
        <f>_xlfn.XLOOKUP(C953,[1]Material!$F:$F,[1]Material!$D:$D)</f>
        <v>1</v>
      </c>
      <c r="F953" s="1"/>
      <c r="G953" s="59">
        <v>0</v>
      </c>
      <c r="H953" s="59">
        <v>15.172780032621477</v>
      </c>
      <c r="I953" s="59">
        <v>0</v>
      </c>
      <c r="J953" s="59"/>
      <c r="K953" s="59">
        <v>0</v>
      </c>
      <c r="L953" s="59"/>
      <c r="M953" s="59">
        <f t="shared" si="32"/>
        <v>15.172780032621477</v>
      </c>
    </row>
    <row r="954" spans="1:13" hidden="1" outlineLevel="2">
      <c r="A954" s="138">
        <v>46082</v>
      </c>
      <c r="B954" s="1" t="s">
        <v>957</v>
      </c>
      <c r="C954" s="346">
        <v>514090556277</v>
      </c>
      <c r="D954" s="341" t="s">
        <v>45</v>
      </c>
      <c r="E954" s="367">
        <v>2</v>
      </c>
      <c r="F954" s="1"/>
      <c r="G954" s="59">
        <v>0</v>
      </c>
      <c r="H954" s="59">
        <v>15.172780032621477</v>
      </c>
      <c r="I954" s="59">
        <v>0</v>
      </c>
      <c r="J954" s="59"/>
      <c r="K954" s="59">
        <v>0</v>
      </c>
      <c r="L954" s="59"/>
      <c r="M954" s="59">
        <f t="shared" si="32"/>
        <v>15.172780032621477</v>
      </c>
    </row>
    <row r="955" spans="1:13" hidden="1" outlineLevel="2">
      <c r="A955" s="138">
        <v>46082</v>
      </c>
      <c r="B955" s="1" t="s">
        <v>945</v>
      </c>
      <c r="C955" s="346">
        <v>500292476050</v>
      </c>
      <c r="D955" s="341" t="str">
        <f>VLOOKUP(C955,[1]Material!F:J,5,0)</f>
        <v>Fedex</v>
      </c>
      <c r="E955" s="367">
        <f>_xlfn.XLOOKUP(C955,[1]Material!$F:$F,[1]Material!$D:$D)</f>
        <v>42</v>
      </c>
      <c r="F955" s="1"/>
      <c r="G955" s="59">
        <v>0</v>
      </c>
      <c r="H955" s="59">
        <v>15.172780032621477</v>
      </c>
      <c r="I955" s="59">
        <v>0</v>
      </c>
      <c r="J955" s="59"/>
      <c r="K955" s="59">
        <v>0</v>
      </c>
      <c r="L955" s="59"/>
      <c r="M955" s="59">
        <f t="shared" si="32"/>
        <v>15.172780032621477</v>
      </c>
    </row>
    <row r="956" spans="1:13" hidden="1" outlineLevel="2">
      <c r="A956" s="138">
        <v>46082</v>
      </c>
      <c r="B956" s="1" t="s">
        <v>968</v>
      </c>
      <c r="C956" s="346">
        <v>515282057332</v>
      </c>
      <c r="D956" s="341" t="str">
        <f>VLOOKUP(C956,[1]Material!F:J,5,0)</f>
        <v>Fedex</v>
      </c>
      <c r="E956" s="367">
        <f>_xlfn.XLOOKUP(C956,[1]Material!$F:$F,[1]Material!$D:$D)</f>
        <v>1</v>
      </c>
      <c r="F956" s="1"/>
      <c r="G956" s="59">
        <v>0</v>
      </c>
      <c r="H956" s="59">
        <v>15.172780032621477</v>
      </c>
      <c r="I956" s="59">
        <v>0</v>
      </c>
      <c r="J956" s="59"/>
      <c r="K956" s="59">
        <v>0</v>
      </c>
      <c r="L956" s="59"/>
      <c r="M956" s="59">
        <f t="shared" si="32"/>
        <v>15.172780032621477</v>
      </c>
    </row>
    <row r="957" spans="1:13" hidden="1" outlineLevel="2">
      <c r="A957" s="138">
        <v>46082</v>
      </c>
      <c r="B957" s="1" t="s">
        <v>948</v>
      </c>
      <c r="C957" s="346">
        <v>4110334465</v>
      </c>
      <c r="D957" s="341" t="str">
        <f>VLOOKUP(C957,[1]Material!F:J,5,0)</f>
        <v>Expeditors</v>
      </c>
      <c r="E957" s="367">
        <f>_xlfn.XLOOKUP(C957,[1]Material!$F:$F,[1]Material!$D:$D)</f>
        <v>43.5</v>
      </c>
      <c r="F957" s="1"/>
      <c r="G957" s="59">
        <v>0</v>
      </c>
      <c r="H957" s="59">
        <v>15.172780032621477</v>
      </c>
      <c r="I957" s="59">
        <v>0</v>
      </c>
      <c r="J957" s="59"/>
      <c r="K957" s="59">
        <v>0</v>
      </c>
      <c r="L957" s="59"/>
      <c r="M957" s="59">
        <f t="shared" si="32"/>
        <v>15.172780032621477</v>
      </c>
    </row>
    <row r="958" spans="1:13" hidden="1" outlineLevel="2">
      <c r="A958" s="138">
        <v>46082</v>
      </c>
      <c r="B958" s="1" t="s">
        <v>934</v>
      </c>
      <c r="C958" s="346">
        <v>1088069511</v>
      </c>
      <c r="D958" s="341" t="str">
        <f>VLOOKUP(C958,[1]Material!F:J,5,0)</f>
        <v>DHL</v>
      </c>
      <c r="E958" s="367">
        <f>_xlfn.XLOOKUP(C958,[1]Material!$F:$F,[1]Material!$D:$D)</f>
        <v>64</v>
      </c>
      <c r="F958" s="1"/>
      <c r="G958" s="59">
        <v>0</v>
      </c>
      <c r="H958" s="59">
        <v>15.172780032621477</v>
      </c>
      <c r="I958" s="59">
        <v>0</v>
      </c>
      <c r="J958" s="59"/>
      <c r="K958" s="59">
        <v>0</v>
      </c>
      <c r="L958" s="59"/>
      <c r="M958" s="59">
        <f t="shared" si="32"/>
        <v>15.172780032621477</v>
      </c>
    </row>
    <row r="959" spans="1:13" hidden="1" outlineLevel="2">
      <c r="A959" s="138">
        <v>46082</v>
      </c>
      <c r="B959" s="1" t="s">
        <v>948</v>
      </c>
      <c r="C959" s="346">
        <v>4110334249</v>
      </c>
      <c r="D959" s="341" t="str">
        <f>VLOOKUP(C959,[1]Material!F:J,5,0)</f>
        <v>Expeditors</v>
      </c>
      <c r="E959" s="367">
        <f>_xlfn.XLOOKUP(C959,[1]Material!$F:$F,[1]Material!$D:$D)</f>
        <v>28</v>
      </c>
      <c r="F959" s="1"/>
      <c r="G959" s="59">
        <v>0</v>
      </c>
      <c r="H959" s="59">
        <v>15.172780032621477</v>
      </c>
      <c r="I959" s="59">
        <v>0</v>
      </c>
      <c r="J959" s="59"/>
      <c r="K959" s="59">
        <v>0</v>
      </c>
      <c r="L959" s="59"/>
      <c r="M959" s="59">
        <f t="shared" si="32"/>
        <v>15.172780032621477</v>
      </c>
    </row>
    <row r="960" spans="1:13" hidden="1" outlineLevel="2">
      <c r="A960" s="138">
        <v>46082</v>
      </c>
      <c r="B960" s="1" t="s">
        <v>948</v>
      </c>
      <c r="C960" s="346">
        <v>4110334496</v>
      </c>
      <c r="D960" s="341" t="str">
        <f>VLOOKUP(C960,[1]Material!F:J,5,0)</f>
        <v>Expeditors</v>
      </c>
      <c r="E960" s="367">
        <f>_xlfn.XLOOKUP(C960,[1]Material!$F:$F,[1]Material!$D:$D)</f>
        <v>162</v>
      </c>
      <c r="F960" s="1"/>
      <c r="G960" s="59">
        <v>0</v>
      </c>
      <c r="H960" s="59">
        <v>15.172780032621477</v>
      </c>
      <c r="I960" s="59">
        <v>0</v>
      </c>
      <c r="J960" s="59"/>
      <c r="K960" s="59">
        <v>0</v>
      </c>
      <c r="L960" s="59"/>
      <c r="M960" s="59">
        <f t="shared" si="32"/>
        <v>15.172780032621477</v>
      </c>
    </row>
    <row r="961" spans="1:13" hidden="1" outlineLevel="2">
      <c r="A961" s="138">
        <v>46082</v>
      </c>
      <c r="B961" s="1" t="s">
        <v>948</v>
      </c>
      <c r="C961" s="346">
        <v>4110334250</v>
      </c>
      <c r="D961" s="341" t="str">
        <f>VLOOKUP(C961,[1]Material!F:J,5,0)</f>
        <v>Expeditors</v>
      </c>
      <c r="E961" s="367">
        <f>_xlfn.XLOOKUP(C961,[1]Material!$F:$F,[1]Material!$D:$D)</f>
        <v>34.5</v>
      </c>
      <c r="F961" s="1"/>
      <c r="G961" s="59">
        <v>0</v>
      </c>
      <c r="H961" s="59">
        <v>15.172780032621477</v>
      </c>
      <c r="I961" s="59">
        <v>0</v>
      </c>
      <c r="J961" s="59"/>
      <c r="K961" s="59">
        <v>0</v>
      </c>
      <c r="L961" s="59"/>
      <c r="M961" s="59">
        <f t="shared" si="32"/>
        <v>15.172780032621477</v>
      </c>
    </row>
    <row r="962" spans="1:13" hidden="1" outlineLevel="2">
      <c r="A962" s="138">
        <v>46082</v>
      </c>
      <c r="B962" s="1" t="s">
        <v>948</v>
      </c>
      <c r="C962" s="346">
        <v>4110334497</v>
      </c>
      <c r="D962" s="341" t="str">
        <f>VLOOKUP(C962,[1]Material!F:J,5,0)</f>
        <v>Expeditors</v>
      </c>
      <c r="E962" s="367">
        <f>_xlfn.XLOOKUP(C962,[1]Material!$F:$F,[1]Material!$D:$D)</f>
        <v>79.5</v>
      </c>
      <c r="F962" s="1"/>
      <c r="G962" s="59">
        <v>0</v>
      </c>
      <c r="H962" s="59">
        <v>15.172780032621477</v>
      </c>
      <c r="I962" s="59">
        <v>0</v>
      </c>
      <c r="J962" s="59"/>
      <c r="K962" s="59">
        <v>0</v>
      </c>
      <c r="L962" s="59"/>
      <c r="M962" s="59">
        <f t="shared" si="32"/>
        <v>15.172780032621477</v>
      </c>
    </row>
    <row r="963" spans="1:13" hidden="1" outlineLevel="2">
      <c r="A963" s="138">
        <v>46082</v>
      </c>
      <c r="B963" s="1" t="s">
        <v>948</v>
      </c>
      <c r="C963" s="346">
        <v>4110334526</v>
      </c>
      <c r="D963" s="341" t="str">
        <f>VLOOKUP(C963,[1]Material!F:J,5,0)</f>
        <v>Expeditors</v>
      </c>
      <c r="E963" s="367">
        <f>_xlfn.XLOOKUP(C963,[1]Material!$F:$F,[1]Material!$D:$D)</f>
        <v>11.5</v>
      </c>
      <c r="F963" s="1"/>
      <c r="G963" s="59">
        <v>0</v>
      </c>
      <c r="H963" s="59">
        <v>15.172780032621477</v>
      </c>
      <c r="I963" s="59">
        <v>0</v>
      </c>
      <c r="J963" s="59"/>
      <c r="K963" s="59">
        <v>0</v>
      </c>
      <c r="L963" s="59"/>
      <c r="M963" s="59">
        <f t="shared" si="32"/>
        <v>15.172780032621477</v>
      </c>
    </row>
    <row r="964" spans="1:13" hidden="1" outlineLevel="2">
      <c r="A964" s="138">
        <v>46082</v>
      </c>
      <c r="B964" s="1" t="s">
        <v>948</v>
      </c>
      <c r="C964" s="346">
        <v>4110334494</v>
      </c>
      <c r="D964" s="341" t="str">
        <f>VLOOKUP(C964,[1]Material!F:J,5,0)</f>
        <v>Expeditors</v>
      </c>
      <c r="E964" s="367">
        <f>_xlfn.XLOOKUP(C964,[1]Material!$F:$F,[1]Material!$D:$D)</f>
        <v>60</v>
      </c>
      <c r="F964" s="1"/>
      <c r="G964" s="59">
        <v>0</v>
      </c>
      <c r="H964" s="59">
        <v>15.172780032621477</v>
      </c>
      <c r="I964" s="59">
        <v>0</v>
      </c>
      <c r="J964" s="59"/>
      <c r="K964" s="59">
        <v>0</v>
      </c>
      <c r="L964" s="59"/>
      <c r="M964" s="59">
        <f t="shared" si="32"/>
        <v>15.172780032621477</v>
      </c>
    </row>
    <row r="965" spans="1:13" hidden="1" outlineLevel="2">
      <c r="A965" s="138">
        <v>46082</v>
      </c>
      <c r="B965" s="1" t="s">
        <v>948</v>
      </c>
      <c r="C965" s="346">
        <v>4110333938</v>
      </c>
      <c r="D965" s="341" t="str">
        <f>VLOOKUP(C965,[1]Material!F:J,5,0)</f>
        <v>Expeditors</v>
      </c>
      <c r="E965" s="367">
        <f>_xlfn.XLOOKUP(C965,[1]Material!$F:$F,[1]Material!$D:$D)</f>
        <v>92.5</v>
      </c>
      <c r="F965" s="1"/>
      <c r="G965" s="59">
        <v>0</v>
      </c>
      <c r="H965" s="59">
        <v>15.172780032621477</v>
      </c>
      <c r="I965" s="59">
        <v>0</v>
      </c>
      <c r="J965" s="59"/>
      <c r="K965" s="59">
        <v>0</v>
      </c>
      <c r="L965" s="59"/>
      <c r="M965" s="59">
        <f t="shared" si="32"/>
        <v>15.172780032621477</v>
      </c>
    </row>
    <row r="966" spans="1:13" hidden="1" outlineLevel="2">
      <c r="A966" s="138">
        <v>46082</v>
      </c>
      <c r="B966" s="1" t="s">
        <v>948</v>
      </c>
      <c r="C966" s="346">
        <v>4110334495</v>
      </c>
      <c r="D966" s="341" t="str">
        <f>VLOOKUP(C966,[1]Material!F:J,5,0)</f>
        <v>Expeditors</v>
      </c>
      <c r="E966" s="367">
        <f>_xlfn.XLOOKUP(C966,[1]Material!$F:$F,[1]Material!$D:$D)</f>
        <v>79.5</v>
      </c>
      <c r="F966" s="1"/>
      <c r="G966" s="59">
        <v>0</v>
      </c>
      <c r="H966" s="59">
        <v>15.172780032621477</v>
      </c>
      <c r="I966" s="59">
        <v>0</v>
      </c>
      <c r="J966" s="59"/>
      <c r="K966" s="59">
        <v>0</v>
      </c>
      <c r="L966" s="59"/>
      <c r="M966" s="59">
        <f t="shared" si="32"/>
        <v>15.172780032621477</v>
      </c>
    </row>
    <row r="967" spans="1:13" hidden="1" outlineLevel="2">
      <c r="A967" s="138">
        <v>46082</v>
      </c>
      <c r="B967" s="1" t="s">
        <v>960</v>
      </c>
      <c r="C967" s="346">
        <v>6467344446</v>
      </c>
      <c r="D967" s="341" t="str">
        <f>VLOOKUP(C967,[1]Material!F:J,5,0)</f>
        <v>DHL</v>
      </c>
      <c r="E967" s="367">
        <f>_xlfn.XLOOKUP(C967,[1]Material!$F:$F,[1]Material!$D:$D)</f>
        <v>396.8</v>
      </c>
      <c r="F967" s="1"/>
      <c r="G967" s="59">
        <v>0</v>
      </c>
      <c r="H967" s="59">
        <v>37.93</v>
      </c>
      <c r="I967" s="59">
        <v>0</v>
      </c>
      <c r="J967" s="59"/>
      <c r="K967" s="59">
        <v>0</v>
      </c>
      <c r="L967" s="59"/>
      <c r="M967" s="59">
        <f t="shared" si="32"/>
        <v>37.93</v>
      </c>
    </row>
    <row r="968" spans="1:13" hidden="1" outlineLevel="2">
      <c r="A968" s="138">
        <v>46082</v>
      </c>
      <c r="B968" s="1" t="s">
        <v>948</v>
      </c>
      <c r="C968" s="346">
        <v>4110334527</v>
      </c>
      <c r="D968" s="341" t="str">
        <f>VLOOKUP(C968,[1]Material!F:J,5,0)</f>
        <v>Expeditors</v>
      </c>
      <c r="E968" s="367">
        <f>_xlfn.XLOOKUP(C968,[1]Material!$F:$F,[1]Material!$D:$D)</f>
        <v>46</v>
      </c>
      <c r="F968" s="1"/>
      <c r="G968" s="59">
        <v>0</v>
      </c>
      <c r="H968" s="59">
        <v>15.172780032621477</v>
      </c>
      <c r="I968" s="59">
        <v>0</v>
      </c>
      <c r="J968" s="59"/>
      <c r="K968" s="59">
        <v>0</v>
      </c>
      <c r="L968" s="59"/>
      <c r="M968" s="59">
        <f t="shared" si="32"/>
        <v>15.172780032621477</v>
      </c>
    </row>
    <row r="969" spans="1:13" hidden="1" outlineLevel="2">
      <c r="A969" s="138">
        <v>46082</v>
      </c>
      <c r="B969" s="1" t="s">
        <v>1691</v>
      </c>
      <c r="C969" s="346" t="s">
        <v>1628</v>
      </c>
      <c r="D969" s="341" t="str">
        <f>VLOOKUP(C969,[1]Material!F:J,5,0)</f>
        <v>UPS</v>
      </c>
      <c r="E969" s="367">
        <f>_xlfn.XLOOKUP(C969,[1]Material!$F:$F,[1]Material!$D:$D)</f>
        <v>0.4</v>
      </c>
      <c r="F969" s="1"/>
      <c r="G969" s="59">
        <v>0</v>
      </c>
      <c r="H969" s="59">
        <v>15.172780032621477</v>
      </c>
      <c r="I969" s="59">
        <v>0</v>
      </c>
      <c r="J969" s="59"/>
      <c r="K969" s="59">
        <v>0</v>
      </c>
      <c r="L969" s="59"/>
      <c r="M969" s="59">
        <f t="shared" si="32"/>
        <v>15.172780032621477</v>
      </c>
    </row>
    <row r="970" spans="1:13" hidden="1" outlineLevel="2">
      <c r="A970" s="138">
        <v>46082</v>
      </c>
      <c r="B970" s="1" t="s">
        <v>945</v>
      </c>
      <c r="C970" s="346">
        <v>500292486670</v>
      </c>
      <c r="D970" s="341" t="str">
        <f>VLOOKUP(C970,[1]Material!F:J,5,0)</f>
        <v>Fedex</v>
      </c>
      <c r="E970" s="367">
        <f>_xlfn.XLOOKUP(C970,[1]Material!$F:$F,[1]Material!$D:$D)</f>
        <v>1</v>
      </c>
      <c r="F970" s="1"/>
      <c r="G970" s="59">
        <v>0</v>
      </c>
      <c r="H970" s="59">
        <v>15.172780032621477</v>
      </c>
      <c r="I970" s="59">
        <v>0</v>
      </c>
      <c r="J970" s="59"/>
      <c r="K970" s="59">
        <v>0</v>
      </c>
      <c r="L970" s="59"/>
      <c r="M970" s="59">
        <f t="shared" si="32"/>
        <v>15.172780032621477</v>
      </c>
    </row>
    <row r="971" spans="1:13" hidden="1" outlineLevel="2">
      <c r="A971" s="138">
        <v>46082</v>
      </c>
      <c r="B971" s="1" t="s">
        <v>945</v>
      </c>
      <c r="C971" s="346">
        <v>500292486728</v>
      </c>
      <c r="D971" s="341" t="str">
        <f>VLOOKUP(C971,[1]Material!F:J,5,0)</f>
        <v>Fedex</v>
      </c>
      <c r="E971" s="367">
        <f>_xlfn.XLOOKUP(C971,[1]Material!$F:$F,[1]Material!$D:$D)</f>
        <v>1</v>
      </c>
      <c r="F971" s="1"/>
      <c r="G971" s="59">
        <v>0</v>
      </c>
      <c r="H971" s="59">
        <v>15.172780032621477</v>
      </c>
      <c r="I971" s="59">
        <v>0</v>
      </c>
      <c r="J971" s="59"/>
      <c r="K971" s="59">
        <v>0</v>
      </c>
      <c r="L971" s="59"/>
      <c r="M971" s="59">
        <f t="shared" si="32"/>
        <v>15.172780032621477</v>
      </c>
    </row>
    <row r="972" spans="1:13" hidden="1" outlineLevel="2">
      <c r="A972" s="138">
        <v>46082</v>
      </c>
      <c r="B972" s="1" t="s">
        <v>1622</v>
      </c>
      <c r="C972" s="346">
        <v>484112424270</v>
      </c>
      <c r="D972" s="341" t="str">
        <f>VLOOKUP(C972,[1]Material!F:J,5,0)</f>
        <v>Fedex</v>
      </c>
      <c r="E972" s="367">
        <f>_xlfn.XLOOKUP(C972,[1]Material!$F:$F,[1]Material!$D:$D)</f>
        <v>2</v>
      </c>
      <c r="F972" s="1"/>
      <c r="G972" s="59">
        <v>0</v>
      </c>
      <c r="H972" s="59">
        <v>15.172780032621477</v>
      </c>
      <c r="I972" s="59">
        <v>0</v>
      </c>
      <c r="J972" s="59"/>
      <c r="K972" s="59">
        <v>0</v>
      </c>
      <c r="L972" s="59"/>
      <c r="M972" s="59">
        <f t="shared" si="32"/>
        <v>15.172780032621477</v>
      </c>
    </row>
    <row r="973" spans="1:13" hidden="1" outlineLevel="2">
      <c r="A973" s="138">
        <v>46082</v>
      </c>
      <c r="B973" s="1" t="s">
        <v>1695</v>
      </c>
      <c r="C973" s="346" t="s">
        <v>1629</v>
      </c>
      <c r="D973" s="341" t="str">
        <f>VLOOKUP(C973,[1]Material!F:J,5,0)</f>
        <v>LX</v>
      </c>
      <c r="E973" s="367">
        <f>_xlfn.XLOOKUP(C973,[1]Material!$F:$F,[1]Material!$D:$D)</f>
        <v>3.5</v>
      </c>
      <c r="F973" s="1"/>
      <c r="G973" s="59">
        <v>18.207336039145773</v>
      </c>
      <c r="H973" s="59">
        <v>15.172780032621477</v>
      </c>
      <c r="I973" s="59">
        <v>0</v>
      </c>
      <c r="J973" s="59"/>
      <c r="K973" s="59">
        <v>46.889845616963171</v>
      </c>
      <c r="L973" s="59"/>
      <c r="M973" s="59">
        <f t="shared" si="32"/>
        <v>80.269961688730419</v>
      </c>
    </row>
    <row r="974" spans="1:13" hidden="1" outlineLevel="2">
      <c r="A974" s="138">
        <v>46082</v>
      </c>
      <c r="B974" s="1" t="s">
        <v>947</v>
      </c>
      <c r="C974" s="346">
        <v>500292481211</v>
      </c>
      <c r="D974" s="341" t="str">
        <f>VLOOKUP(C974,[1]Material!F:J,5,0)</f>
        <v>Fedex</v>
      </c>
      <c r="E974" s="367">
        <f>_xlfn.XLOOKUP(C974,[1]Material!$F:$F,[1]Material!$D:$D)</f>
        <v>0.5</v>
      </c>
      <c r="F974" s="1"/>
      <c r="G974" s="59">
        <v>0</v>
      </c>
      <c r="H974" s="59">
        <v>15.172780032621477</v>
      </c>
      <c r="I974" s="59">
        <v>0</v>
      </c>
      <c r="J974" s="59"/>
      <c r="K974" s="59">
        <v>0</v>
      </c>
      <c r="L974" s="59"/>
      <c r="M974" s="59">
        <f t="shared" si="32"/>
        <v>15.172780032621477</v>
      </c>
    </row>
    <row r="975" spans="1:13" hidden="1" outlineLevel="2">
      <c r="A975" s="138">
        <v>46082</v>
      </c>
      <c r="B975" s="1" t="s">
        <v>945</v>
      </c>
      <c r="C975" s="346">
        <v>500292479130</v>
      </c>
      <c r="D975" s="341" t="str">
        <f>VLOOKUP(C975,[1]Material!F:J,5,0)</f>
        <v>Fedex</v>
      </c>
      <c r="E975" s="367">
        <f>_xlfn.XLOOKUP(C975,[1]Material!$F:$F,[1]Material!$D:$D)</f>
        <v>1</v>
      </c>
      <c r="F975" s="1"/>
      <c r="G975" s="59">
        <v>0</v>
      </c>
      <c r="H975" s="59">
        <v>15.172780032621477</v>
      </c>
      <c r="I975" s="59">
        <v>0</v>
      </c>
      <c r="J975" s="59"/>
      <c r="K975" s="59">
        <v>0</v>
      </c>
      <c r="L975" s="59"/>
      <c r="M975" s="59">
        <f t="shared" si="32"/>
        <v>15.172780032621477</v>
      </c>
    </row>
    <row r="976" spans="1:13" hidden="1" outlineLevel="2">
      <c r="A976" s="138">
        <v>46082</v>
      </c>
      <c r="B976" s="1" t="s">
        <v>945</v>
      </c>
      <c r="C976" s="346">
        <v>500292481440</v>
      </c>
      <c r="D976" s="341" t="str">
        <f>VLOOKUP(C976,[1]Material!F:J,5,0)</f>
        <v>Fedex</v>
      </c>
      <c r="E976" s="367">
        <f>_xlfn.XLOOKUP(C976,[1]Material!$F:$F,[1]Material!$D:$D)</f>
        <v>1</v>
      </c>
      <c r="F976" s="1"/>
      <c r="G976" s="59">
        <v>0</v>
      </c>
      <c r="H976" s="59">
        <v>15.172780032621477</v>
      </c>
      <c r="I976" s="59">
        <v>0</v>
      </c>
      <c r="J976" s="59"/>
      <c r="K976" s="59">
        <v>0</v>
      </c>
      <c r="L976" s="59"/>
      <c r="M976" s="59">
        <f t="shared" ref="M976:M1015" si="33">SUM(G976:L976)</f>
        <v>15.172780032621477</v>
      </c>
    </row>
    <row r="977" spans="1:13" hidden="1" outlineLevel="2">
      <c r="A977" s="138">
        <v>46082</v>
      </c>
      <c r="B977" s="1" t="s">
        <v>956</v>
      </c>
      <c r="C977" s="346">
        <v>4812893402</v>
      </c>
      <c r="D977" s="341" t="str">
        <f>VLOOKUP(C977,[1]Material!F:J,5,0)</f>
        <v>Expeditors</v>
      </c>
      <c r="E977" s="367">
        <f>_xlfn.XLOOKUP(C977,[1]Material!$F:$F,[1]Material!$D:$D)</f>
        <v>139</v>
      </c>
      <c r="F977" s="1"/>
      <c r="G977" s="59">
        <v>0</v>
      </c>
      <c r="H977" s="59">
        <v>15.172780032621477</v>
      </c>
      <c r="I977" s="59">
        <v>143.69</v>
      </c>
      <c r="J977" s="59"/>
      <c r="K977" s="59">
        <f>19.6245874900429</f>
        <v>19.624587490042899</v>
      </c>
      <c r="L977" s="59">
        <v>33.451180036676739</v>
      </c>
      <c r="M977" s="59">
        <f t="shared" si="33"/>
        <v>211.93854755934112</v>
      </c>
    </row>
    <row r="978" spans="1:13" hidden="1" outlineLevel="2">
      <c r="A978" s="138">
        <v>46082</v>
      </c>
      <c r="B978" s="1" t="s">
        <v>958</v>
      </c>
      <c r="C978" s="346">
        <v>399098599160</v>
      </c>
      <c r="D978" s="341" t="str">
        <f>VLOOKUP(C978,[1]Material!F:J,5,0)</f>
        <v>Fedex</v>
      </c>
      <c r="E978" s="367">
        <f>_xlfn.XLOOKUP(C978,[1]Material!$F:$F,[1]Material!$D:$D)</f>
        <v>47.5</v>
      </c>
      <c r="F978" s="1"/>
      <c r="G978" s="59">
        <v>0</v>
      </c>
      <c r="H978" s="59">
        <v>15.172780032621477</v>
      </c>
      <c r="I978" s="59">
        <v>0</v>
      </c>
      <c r="J978" s="59"/>
      <c r="K978" s="59">
        <v>0</v>
      </c>
      <c r="L978" s="59"/>
      <c r="M978" s="59">
        <f t="shared" si="33"/>
        <v>15.172780032621477</v>
      </c>
    </row>
    <row r="979" spans="1:13" hidden="1" outlineLevel="2">
      <c r="A979" s="138">
        <v>46082</v>
      </c>
      <c r="B979" s="1" t="s">
        <v>1484</v>
      </c>
      <c r="C979" s="346" t="s">
        <v>1631</v>
      </c>
      <c r="D979" s="341" t="str">
        <f>VLOOKUP(C979,[1]Material!F:J,5,0)</f>
        <v>UPS</v>
      </c>
      <c r="E979" s="367">
        <f>_xlfn.XLOOKUP(C979,[1]Material!$F:$F,[1]Material!$D:$D)</f>
        <v>3.4</v>
      </c>
      <c r="F979" s="1"/>
      <c r="G979" s="59">
        <v>0</v>
      </c>
      <c r="H979" s="59">
        <v>15.172780032621477</v>
      </c>
      <c r="I979" s="59">
        <v>0</v>
      </c>
      <c r="J979" s="59"/>
      <c r="K979" s="59">
        <v>0</v>
      </c>
      <c r="L979" s="59"/>
      <c r="M979" s="59">
        <f t="shared" si="33"/>
        <v>15.172780032621477</v>
      </c>
    </row>
    <row r="980" spans="1:13" hidden="1" outlineLevel="2">
      <c r="A980" s="138">
        <v>46082</v>
      </c>
      <c r="B980" s="1" t="s">
        <v>936</v>
      </c>
      <c r="C980" s="346">
        <v>4711917221</v>
      </c>
      <c r="D980" s="341" t="str">
        <f>VLOOKUP(C980,[1]Material!F:J,5,0)</f>
        <v>Expeditors</v>
      </c>
      <c r="E980" s="367">
        <f>_xlfn.XLOOKUP(C980,[1]Material!$F:$F,[1]Material!$D:$D)</f>
        <v>382</v>
      </c>
      <c r="F980" s="1"/>
      <c r="G980" s="59">
        <v>18.207336039145773</v>
      </c>
      <c r="H980" s="59">
        <v>26.55</v>
      </c>
      <c r="I980" s="59">
        <v>1124.0999999999999</v>
      </c>
      <c r="J980" s="59"/>
      <c r="K980" s="59">
        <v>45.749345673861093</v>
      </c>
      <c r="L980" s="59">
        <v>33.451172352322402</v>
      </c>
      <c r="M980" s="59">
        <f t="shared" si="33"/>
        <v>1248.0578540653291</v>
      </c>
    </row>
    <row r="981" spans="1:13" hidden="1" outlineLevel="2">
      <c r="A981" s="138">
        <v>46082</v>
      </c>
      <c r="B981" s="1" t="s">
        <v>981</v>
      </c>
      <c r="C981" s="346">
        <v>399112574164</v>
      </c>
      <c r="D981" s="341" t="str">
        <f>VLOOKUP(C981,[1]Material!F:J,5,0)</f>
        <v>Fedex</v>
      </c>
      <c r="E981" s="367">
        <f>_xlfn.XLOOKUP(C981,[1]Material!$F:$F,[1]Material!$D:$D)</f>
        <v>64</v>
      </c>
      <c r="F981" s="1"/>
      <c r="G981" s="59">
        <v>0</v>
      </c>
      <c r="H981" s="59">
        <v>15.172780032621477</v>
      </c>
      <c r="I981" s="59">
        <v>0</v>
      </c>
      <c r="J981" s="59"/>
      <c r="K981" s="59">
        <v>0</v>
      </c>
      <c r="L981" s="59"/>
      <c r="M981" s="59">
        <f t="shared" si="33"/>
        <v>15.172780032621477</v>
      </c>
    </row>
    <row r="982" spans="1:13" hidden="1" outlineLevel="2">
      <c r="A982" s="138">
        <v>46082</v>
      </c>
      <c r="B982" s="1" t="s">
        <v>981</v>
      </c>
      <c r="C982" s="346">
        <v>399220595781</v>
      </c>
      <c r="D982" s="341" t="str">
        <f>VLOOKUP(C982,[1]Material!F:J,5,0)</f>
        <v>Fedex</v>
      </c>
      <c r="E982" s="367">
        <f>_xlfn.XLOOKUP(C982,[1]Material!$F:$F,[1]Material!$D:$D)</f>
        <v>58</v>
      </c>
      <c r="F982" s="1"/>
      <c r="G982" s="59">
        <v>0</v>
      </c>
      <c r="H982" s="59">
        <v>15.172780032621477</v>
      </c>
      <c r="I982" s="59">
        <v>0</v>
      </c>
      <c r="J982" s="59"/>
      <c r="K982" s="59">
        <v>0</v>
      </c>
      <c r="L982" s="59"/>
      <c r="M982" s="59">
        <f t="shared" si="33"/>
        <v>15.172780032621477</v>
      </c>
    </row>
    <row r="983" spans="1:13" hidden="1" outlineLevel="2">
      <c r="A983" s="138">
        <v>46082</v>
      </c>
      <c r="B983" s="1" t="s">
        <v>934</v>
      </c>
      <c r="C983" s="346">
        <v>9990038763</v>
      </c>
      <c r="D983" s="341" t="str">
        <f>VLOOKUP(C983,[1]Material!F:J,5,0)</f>
        <v>DHL</v>
      </c>
      <c r="E983" s="367">
        <f>_xlfn.XLOOKUP(C983,[1]Material!$F:$F,[1]Material!$D:$D)</f>
        <v>1.3</v>
      </c>
      <c r="F983" s="1"/>
      <c r="G983" s="59">
        <v>0</v>
      </c>
      <c r="H983" s="59">
        <v>15.172780032621477</v>
      </c>
      <c r="I983" s="59">
        <v>0</v>
      </c>
      <c r="J983" s="59"/>
      <c r="K983" s="59">
        <v>0</v>
      </c>
      <c r="L983" s="59"/>
      <c r="M983" s="59">
        <f t="shared" si="33"/>
        <v>15.172780032621477</v>
      </c>
    </row>
    <row r="984" spans="1:13" hidden="1" outlineLevel="2">
      <c r="A984" s="138">
        <v>46082</v>
      </c>
      <c r="B984" s="1" t="s">
        <v>948</v>
      </c>
      <c r="C984" s="346">
        <v>4110334774</v>
      </c>
      <c r="D984" s="341" t="str">
        <f>VLOOKUP(C984,[1]Material!F:J,5,0)</f>
        <v>Expeditors</v>
      </c>
      <c r="E984" s="367">
        <f>_xlfn.XLOOKUP(C984,[1]Material!$F:$F,[1]Material!$D:$D)</f>
        <v>108.5</v>
      </c>
      <c r="F984" s="1"/>
      <c r="G984" s="59">
        <v>0</v>
      </c>
      <c r="H984" s="59">
        <v>15.172780032621477</v>
      </c>
      <c r="I984" s="59">
        <v>0</v>
      </c>
      <c r="J984" s="59"/>
      <c r="K984" s="59">
        <v>0</v>
      </c>
      <c r="L984" s="59"/>
      <c r="M984" s="59">
        <f t="shared" si="33"/>
        <v>15.172780032621477</v>
      </c>
    </row>
    <row r="985" spans="1:13" hidden="1" outlineLevel="2">
      <c r="A985" s="138">
        <v>46082</v>
      </c>
      <c r="B985" s="1" t="s">
        <v>934</v>
      </c>
      <c r="C985" s="346">
        <v>9990038671</v>
      </c>
      <c r="D985" s="341" t="str">
        <f>VLOOKUP(C985,[1]Material!F:J,5,0)</f>
        <v>DHL</v>
      </c>
      <c r="E985" s="367">
        <f>_xlfn.XLOOKUP(C985,[1]Material!$F:$F,[1]Material!$D:$D)</f>
        <v>6.2</v>
      </c>
      <c r="F985" s="1"/>
      <c r="G985" s="59">
        <v>0</v>
      </c>
      <c r="H985" s="59">
        <v>15.172780032621477</v>
      </c>
      <c r="I985" s="59">
        <v>0</v>
      </c>
      <c r="J985" s="59"/>
      <c r="K985" s="59">
        <v>0</v>
      </c>
      <c r="L985" s="59"/>
      <c r="M985" s="59">
        <f t="shared" si="33"/>
        <v>15.172780032621477</v>
      </c>
    </row>
    <row r="986" spans="1:13" hidden="1" outlineLevel="2">
      <c r="A986" s="138">
        <v>46082</v>
      </c>
      <c r="B986" s="1" t="s">
        <v>948</v>
      </c>
      <c r="C986" s="346">
        <v>4110334775</v>
      </c>
      <c r="D986" s="341" t="str">
        <f>VLOOKUP(C986,[1]Material!F:J,5,0)</f>
        <v>Expeditors</v>
      </c>
      <c r="E986" s="367">
        <f>_xlfn.XLOOKUP(C986,[1]Material!$F:$F,[1]Material!$D:$D)</f>
        <v>103</v>
      </c>
      <c r="F986" s="1"/>
      <c r="G986" s="59">
        <v>0</v>
      </c>
      <c r="H986" s="59">
        <v>15.172780032621477</v>
      </c>
      <c r="I986" s="59">
        <v>0</v>
      </c>
      <c r="J986" s="59"/>
      <c r="K986" s="59">
        <v>0</v>
      </c>
      <c r="L986" s="59"/>
      <c r="M986" s="59">
        <f t="shared" si="33"/>
        <v>15.172780032621477</v>
      </c>
    </row>
    <row r="987" spans="1:13" hidden="1" outlineLevel="2">
      <c r="A987" s="138">
        <v>46082</v>
      </c>
      <c r="B987" s="1" t="s">
        <v>1690</v>
      </c>
      <c r="C987" s="346">
        <v>472175076749</v>
      </c>
      <c r="D987" s="341" t="str">
        <f>VLOOKUP(C987,[1]Material!F:J,5,0)</f>
        <v>Fedex</v>
      </c>
      <c r="E987" s="367">
        <f>_xlfn.XLOOKUP(C987,[1]Material!$F:$F,[1]Material!$D:$D)</f>
        <v>23</v>
      </c>
      <c r="F987" s="1"/>
      <c r="G987" s="59">
        <v>0</v>
      </c>
      <c r="H987" s="59">
        <v>15.172780032621477</v>
      </c>
      <c r="I987" s="59">
        <v>0</v>
      </c>
      <c r="J987" s="59"/>
      <c r="K987" s="59">
        <v>0</v>
      </c>
      <c r="L987" s="59"/>
      <c r="M987" s="59">
        <f t="shared" si="33"/>
        <v>15.172780032621477</v>
      </c>
    </row>
    <row r="988" spans="1:13" hidden="1" outlineLevel="2">
      <c r="A988" s="138">
        <v>46082</v>
      </c>
      <c r="B988" s="1" t="s">
        <v>945</v>
      </c>
      <c r="C988" s="346">
        <v>500292494472</v>
      </c>
      <c r="D988" s="341" t="str">
        <f>VLOOKUP(C988,[1]Material!F:J,5,0)</f>
        <v>Fedex</v>
      </c>
      <c r="E988" s="367">
        <f>_xlfn.XLOOKUP(C988,[1]Material!$F:$F,[1]Material!$D:$D)</f>
        <v>1</v>
      </c>
      <c r="F988" s="1"/>
      <c r="G988" s="59">
        <v>0</v>
      </c>
      <c r="H988" s="59">
        <v>15.172780032621477</v>
      </c>
      <c r="I988" s="59">
        <v>0</v>
      </c>
      <c r="J988" s="59"/>
      <c r="K988" s="59">
        <v>0</v>
      </c>
      <c r="L988" s="59"/>
      <c r="M988" s="59">
        <f t="shared" si="33"/>
        <v>15.172780032621477</v>
      </c>
    </row>
    <row r="989" spans="1:13" hidden="1" outlineLevel="2">
      <c r="A989" s="138">
        <v>46082</v>
      </c>
      <c r="B989" s="1" t="s">
        <v>1703</v>
      </c>
      <c r="C989" s="346">
        <v>889274747230</v>
      </c>
      <c r="D989" s="341" t="str">
        <f>VLOOKUP(C989,[1]Material!F:J,5,0)</f>
        <v>Fedex</v>
      </c>
      <c r="E989" s="367">
        <f>_xlfn.XLOOKUP(C989,[1]Material!$F:$F,[1]Material!$D:$D)</f>
        <v>4</v>
      </c>
      <c r="F989" s="1"/>
      <c r="G989" s="59">
        <v>0</v>
      </c>
      <c r="H989" s="59">
        <v>15.172780032621477</v>
      </c>
      <c r="I989" s="59">
        <v>0</v>
      </c>
      <c r="J989" s="59"/>
      <c r="K989" s="59">
        <v>0</v>
      </c>
      <c r="L989" s="59"/>
      <c r="M989" s="59">
        <f t="shared" si="33"/>
        <v>15.172780032621477</v>
      </c>
    </row>
    <row r="990" spans="1:13" hidden="1" outlineLevel="2">
      <c r="A990" s="138">
        <v>46082</v>
      </c>
      <c r="B990" s="1" t="s">
        <v>1698</v>
      </c>
      <c r="C990" s="346">
        <v>496268243085</v>
      </c>
      <c r="D990" s="341" t="str">
        <f>VLOOKUP(C990,[1]Material!F:J,5,0)</f>
        <v>Fedex</v>
      </c>
      <c r="E990" s="367">
        <f>_xlfn.XLOOKUP(C990,[1]Material!$F:$F,[1]Material!$D:$D)</f>
        <v>10.9</v>
      </c>
      <c r="F990" s="1"/>
      <c r="G990" s="59">
        <v>0</v>
      </c>
      <c r="H990" s="59">
        <v>15.172780032621477</v>
      </c>
      <c r="I990" s="59">
        <v>0</v>
      </c>
      <c r="J990" s="59"/>
      <c r="K990" s="59">
        <v>0</v>
      </c>
      <c r="L990" s="59"/>
      <c r="M990" s="59">
        <f t="shared" si="33"/>
        <v>15.172780032621477</v>
      </c>
    </row>
    <row r="991" spans="1:13" hidden="1" outlineLevel="2">
      <c r="A991" s="138">
        <v>46082</v>
      </c>
      <c r="B991" s="1" t="s">
        <v>945</v>
      </c>
      <c r="C991" s="346">
        <v>500292496718</v>
      </c>
      <c r="D991" s="341" t="str">
        <f>VLOOKUP(C991,[1]Material!F:J,5,0)</f>
        <v>Fedex</v>
      </c>
      <c r="E991" s="367">
        <f>_xlfn.XLOOKUP(C991,[1]Material!$F:$F,[1]Material!$D:$D)</f>
        <v>21</v>
      </c>
      <c r="F991" s="1"/>
      <c r="G991" s="59">
        <v>0</v>
      </c>
      <c r="H991" s="59">
        <v>15.172780032621477</v>
      </c>
      <c r="I991" s="59">
        <v>0</v>
      </c>
      <c r="J991" s="59"/>
      <c r="K991" s="59">
        <v>0</v>
      </c>
      <c r="L991" s="59"/>
      <c r="M991" s="59">
        <f t="shared" si="33"/>
        <v>15.172780032621477</v>
      </c>
    </row>
    <row r="992" spans="1:13" hidden="1" outlineLevel="2">
      <c r="A992" s="138">
        <v>46082</v>
      </c>
      <c r="B992" s="1" t="s">
        <v>232</v>
      </c>
      <c r="C992" s="346" t="s">
        <v>1637</v>
      </c>
      <c r="D992" s="341" t="str">
        <f>VLOOKUP(C992,[1]Material!F:J,5,0)</f>
        <v>Dragon</v>
      </c>
      <c r="E992" s="367">
        <f>_xlfn.XLOOKUP(C992,[1]Material!$F:$F,[1]Material!$D:$D)</f>
        <v>1783</v>
      </c>
      <c r="F992" s="1"/>
      <c r="G992" s="59">
        <v>0</v>
      </c>
      <c r="H992" s="59">
        <v>15.172780032621477</v>
      </c>
      <c r="I992" s="59">
        <v>0</v>
      </c>
      <c r="J992" s="59"/>
      <c r="K992" s="59">
        <v>0</v>
      </c>
      <c r="L992" s="59"/>
      <c r="M992" s="59">
        <f t="shared" si="33"/>
        <v>15.172780032621477</v>
      </c>
    </row>
    <row r="993" spans="1:13" hidden="1" outlineLevel="2">
      <c r="A993" s="138">
        <v>46082</v>
      </c>
      <c r="B993" s="1" t="s">
        <v>1704</v>
      </c>
      <c r="C993" s="346">
        <v>399168688339</v>
      </c>
      <c r="D993" s="341" t="str">
        <f>VLOOKUP(C993,[1]Material!F:J,5,0)</f>
        <v>Fedex</v>
      </c>
      <c r="E993" s="367">
        <f>_xlfn.XLOOKUP(C993,[1]Material!$F:$F,[1]Material!$D:$D)</f>
        <v>0.5</v>
      </c>
      <c r="F993" s="1"/>
      <c r="G993" s="59">
        <v>0</v>
      </c>
      <c r="H993" s="59">
        <v>15.172780032621477</v>
      </c>
      <c r="I993" s="59">
        <v>0</v>
      </c>
      <c r="J993" s="59"/>
      <c r="K993" s="59">
        <v>0</v>
      </c>
      <c r="L993" s="59"/>
      <c r="M993" s="59">
        <f t="shared" si="33"/>
        <v>15.172780032621477</v>
      </c>
    </row>
    <row r="994" spans="1:13" hidden="1" outlineLevel="2">
      <c r="A994" s="138">
        <v>46082</v>
      </c>
      <c r="B994" s="1" t="s">
        <v>958</v>
      </c>
      <c r="C994" s="346">
        <v>399097857692</v>
      </c>
      <c r="D994" s="341" t="str">
        <f>VLOOKUP(C994,[1]Material!F:J,5,0)</f>
        <v>Fedex</v>
      </c>
      <c r="E994" s="367">
        <f>_xlfn.XLOOKUP(C994,[1]Material!$F:$F,[1]Material!$D:$D)</f>
        <v>46</v>
      </c>
      <c r="F994" s="1"/>
      <c r="G994" s="59">
        <v>0</v>
      </c>
      <c r="H994" s="59">
        <v>15.172780032621477</v>
      </c>
      <c r="I994" s="59">
        <v>0</v>
      </c>
      <c r="J994" s="59"/>
      <c r="K994" s="59">
        <v>0</v>
      </c>
      <c r="L994" s="59"/>
      <c r="M994" s="59">
        <f t="shared" si="33"/>
        <v>15.172780032621477</v>
      </c>
    </row>
    <row r="995" spans="1:13" hidden="1" outlineLevel="2">
      <c r="A995" s="138">
        <v>46082</v>
      </c>
      <c r="B995" s="1" t="s">
        <v>958</v>
      </c>
      <c r="C995" s="346">
        <v>399195283400</v>
      </c>
      <c r="D995" s="341" t="str">
        <f>VLOOKUP(C995,[1]Material!F:J,5,0)</f>
        <v>Fedex</v>
      </c>
      <c r="E995" s="367">
        <f>_xlfn.XLOOKUP(C995,[1]Material!$F:$F,[1]Material!$D:$D)</f>
        <v>95</v>
      </c>
      <c r="F995" s="1"/>
      <c r="G995" s="59">
        <v>0</v>
      </c>
      <c r="H995" s="59">
        <v>15.172780032621477</v>
      </c>
      <c r="I995" s="59">
        <v>0</v>
      </c>
      <c r="J995" s="59"/>
      <c r="K995" s="59">
        <v>0</v>
      </c>
      <c r="L995" s="59"/>
      <c r="M995" s="59">
        <f t="shared" si="33"/>
        <v>15.172780032621477</v>
      </c>
    </row>
    <row r="996" spans="1:13" hidden="1" outlineLevel="2">
      <c r="A996" s="138">
        <v>46082</v>
      </c>
      <c r="B996" s="1" t="s">
        <v>958</v>
      </c>
      <c r="C996" s="346">
        <v>399285023775</v>
      </c>
      <c r="D996" s="341" t="str">
        <f>VLOOKUP(C996,[1]Material!F:J,5,0)</f>
        <v>Fedex</v>
      </c>
      <c r="E996" s="367">
        <f>_xlfn.XLOOKUP(C996,[1]Material!$F:$F,[1]Material!$D:$D)</f>
        <v>17</v>
      </c>
      <c r="F996" s="1"/>
      <c r="G996" s="59">
        <v>0</v>
      </c>
      <c r="H996" s="59">
        <v>15.172780032621477</v>
      </c>
      <c r="I996" s="59">
        <v>0</v>
      </c>
      <c r="J996" s="59"/>
      <c r="K996" s="59">
        <v>0</v>
      </c>
      <c r="L996" s="59"/>
      <c r="M996" s="59">
        <f t="shared" si="33"/>
        <v>15.172780032621477</v>
      </c>
    </row>
    <row r="997" spans="1:13" hidden="1" outlineLevel="2">
      <c r="A997" s="138">
        <v>46082</v>
      </c>
      <c r="B997" s="1" t="s">
        <v>958</v>
      </c>
      <c r="C997" s="346">
        <v>398927907604</v>
      </c>
      <c r="D997" s="341" t="str">
        <f>VLOOKUP(C997,[1]Material!F:J,5,0)</f>
        <v>Fedex</v>
      </c>
      <c r="E997" s="367">
        <f>_xlfn.XLOOKUP(C997,[1]Material!$F:$F,[1]Material!$D:$D)</f>
        <v>127</v>
      </c>
      <c r="F997" s="1"/>
      <c r="G997" s="59">
        <v>0</v>
      </c>
      <c r="H997" s="59">
        <v>15.172780032621477</v>
      </c>
      <c r="I997" s="59">
        <v>0</v>
      </c>
      <c r="J997" s="59"/>
      <c r="K997" s="59">
        <v>0</v>
      </c>
      <c r="L997" s="59"/>
      <c r="M997" s="59">
        <f t="shared" si="33"/>
        <v>15.172780032621477</v>
      </c>
    </row>
    <row r="998" spans="1:13" hidden="1" outlineLevel="2">
      <c r="A998" s="138">
        <v>46082</v>
      </c>
      <c r="B998" s="1" t="s">
        <v>941</v>
      </c>
      <c r="C998" s="346">
        <v>3377020850</v>
      </c>
      <c r="D998" s="341" t="str">
        <f>VLOOKUP(C998,[1]Material!F:J,5,0)</f>
        <v>DHL</v>
      </c>
      <c r="E998" s="367">
        <f>_xlfn.XLOOKUP(C998,[1]Material!$F:$F,[1]Material!$D:$D)</f>
        <v>274.39999999999998</v>
      </c>
      <c r="F998" s="1"/>
      <c r="G998" s="59">
        <v>0</v>
      </c>
      <c r="H998" s="59">
        <v>37.93</v>
      </c>
      <c r="I998" s="59">
        <v>0</v>
      </c>
      <c r="J998" s="59"/>
      <c r="K998" s="59">
        <v>0</v>
      </c>
      <c r="L998" s="59"/>
      <c r="M998" s="59">
        <f t="shared" si="33"/>
        <v>37.93</v>
      </c>
    </row>
    <row r="999" spans="1:13" hidden="1" outlineLevel="2">
      <c r="A999" s="138">
        <v>46082</v>
      </c>
      <c r="B999" s="1" t="s">
        <v>1460</v>
      </c>
      <c r="C999" s="346" t="s">
        <v>1639</v>
      </c>
      <c r="D999" s="341" t="str">
        <f>VLOOKUP(C999,[1]Material!F:J,5,0)</f>
        <v>VVMV(sea)</v>
      </c>
      <c r="E999" s="367">
        <f>_xlfn.XLOOKUP(C999,[1]Material!$F:$F,[1]Material!$D:$D)</f>
        <v>578.9</v>
      </c>
      <c r="F999" s="1"/>
      <c r="G999" s="59">
        <v>0</v>
      </c>
      <c r="H999" s="59">
        <v>15.172780032621477</v>
      </c>
      <c r="I999" s="59">
        <v>379.3957667943709</v>
      </c>
      <c r="J999" s="59"/>
      <c r="K999" s="59">
        <v>122.69468573379358</v>
      </c>
      <c r="L999" s="59"/>
      <c r="M999" s="59">
        <f t="shared" si="33"/>
        <v>517.26323256078592</v>
      </c>
    </row>
    <row r="1000" spans="1:13" hidden="1" outlineLevel="2">
      <c r="A1000" s="138">
        <v>46082</v>
      </c>
      <c r="B1000" s="1" t="s">
        <v>958</v>
      </c>
      <c r="C1000" s="346">
        <v>399375436701</v>
      </c>
      <c r="D1000" s="341" t="str">
        <f>VLOOKUP(C1000,[1]Material!F:J,5,0)</f>
        <v>Fedex</v>
      </c>
      <c r="E1000" s="367">
        <f>_xlfn.XLOOKUP(C1000,[1]Material!$F:$F,[1]Material!$D:$D)</f>
        <v>38</v>
      </c>
      <c r="F1000" s="1"/>
      <c r="G1000" s="59">
        <v>0</v>
      </c>
      <c r="H1000" s="59">
        <v>15.172780032621477</v>
      </c>
      <c r="I1000" s="59">
        <v>0</v>
      </c>
      <c r="J1000" s="59"/>
      <c r="K1000" s="59">
        <v>0</v>
      </c>
      <c r="L1000" s="59"/>
      <c r="M1000" s="59">
        <f t="shared" si="33"/>
        <v>15.172780032621477</v>
      </c>
    </row>
    <row r="1001" spans="1:13" hidden="1" outlineLevel="2">
      <c r="A1001" s="138">
        <v>46082</v>
      </c>
      <c r="B1001" s="1" t="s">
        <v>1706</v>
      </c>
      <c r="C1001" s="346" t="s">
        <v>1641</v>
      </c>
      <c r="D1001" s="341" t="str">
        <f>VLOOKUP(C1001,[1]Material!F:J,5,0)</f>
        <v>VVMV(sea)</v>
      </c>
      <c r="E1001" s="367">
        <f>_xlfn.XLOOKUP(C1001,[1]Material!$F:$F,[1]Material!$D:$D)</f>
        <v>827</v>
      </c>
      <c r="F1001" s="1"/>
      <c r="G1001" s="59">
        <v>117.58904525281645</v>
      </c>
      <c r="H1001" s="59">
        <v>15.172780032621477</v>
      </c>
      <c r="I1001" s="59">
        <v>706.89599817926637</v>
      </c>
      <c r="J1001" s="59"/>
      <c r="K1001" s="59">
        <v>148.74938360581118</v>
      </c>
      <c r="L1001" s="59"/>
      <c r="M1001" s="59">
        <f t="shared" si="33"/>
        <v>988.40720707051548</v>
      </c>
    </row>
    <row r="1002" spans="1:13" hidden="1" outlineLevel="2">
      <c r="A1002" s="138">
        <v>46082</v>
      </c>
      <c r="B1002" s="1" t="s">
        <v>948</v>
      </c>
      <c r="C1002" s="346">
        <v>4110335016</v>
      </c>
      <c r="D1002" s="341" t="str">
        <f>VLOOKUP(C1002,[1]Material!F:J,5,0)</f>
        <v>Expeditors</v>
      </c>
      <c r="E1002" s="367">
        <f>_xlfn.XLOOKUP(C1002,[1]Material!$F:$F,[1]Material!$D:$D)</f>
        <v>469.5</v>
      </c>
      <c r="F1002" s="1"/>
      <c r="G1002" s="59">
        <v>0</v>
      </c>
      <c r="H1002" s="59">
        <v>15.172780032621477</v>
      </c>
      <c r="I1002" s="59">
        <v>0</v>
      </c>
      <c r="J1002" s="59"/>
      <c r="K1002" s="59">
        <v>0</v>
      </c>
      <c r="L1002" s="59"/>
      <c r="M1002" s="59">
        <f t="shared" si="33"/>
        <v>15.172780032621477</v>
      </c>
    </row>
    <row r="1003" spans="1:13" hidden="1" outlineLevel="2">
      <c r="A1003" s="138">
        <v>46082</v>
      </c>
      <c r="B1003" s="1" t="s">
        <v>948</v>
      </c>
      <c r="C1003" s="346">
        <v>4110335015</v>
      </c>
      <c r="D1003" s="341" t="str">
        <f>VLOOKUP(C1003,[1]Material!F:J,5,0)</f>
        <v>Expeditors</v>
      </c>
      <c r="E1003" s="367">
        <f>_xlfn.XLOOKUP(C1003,[1]Material!$F:$F,[1]Material!$D:$D)</f>
        <v>28.5</v>
      </c>
      <c r="F1003" s="1"/>
      <c r="G1003" s="59">
        <v>0</v>
      </c>
      <c r="H1003" s="59">
        <v>15.172780032621477</v>
      </c>
      <c r="I1003" s="59">
        <v>0</v>
      </c>
      <c r="J1003" s="59"/>
      <c r="K1003" s="59">
        <v>0</v>
      </c>
      <c r="L1003" s="59"/>
      <c r="M1003" s="59">
        <f t="shared" si="33"/>
        <v>15.172780032621477</v>
      </c>
    </row>
    <row r="1004" spans="1:13" hidden="1" outlineLevel="2">
      <c r="A1004" s="138">
        <v>46082</v>
      </c>
      <c r="B1004" s="1" t="s">
        <v>948</v>
      </c>
      <c r="C1004" s="346">
        <v>4110334987</v>
      </c>
      <c r="D1004" s="341" t="str">
        <f>VLOOKUP(C1004,[1]Material!F:J,5,0)</f>
        <v>Expeditors</v>
      </c>
      <c r="E1004" s="367">
        <f>_xlfn.XLOOKUP(C1004,[1]Material!$F:$F,[1]Material!$D:$D)</f>
        <v>13.5</v>
      </c>
      <c r="F1004" s="1"/>
      <c r="G1004" s="59">
        <v>0</v>
      </c>
      <c r="H1004" s="59">
        <v>15.172780032621477</v>
      </c>
      <c r="I1004" s="59">
        <v>0</v>
      </c>
      <c r="J1004" s="59"/>
      <c r="K1004" s="59">
        <v>0</v>
      </c>
      <c r="L1004" s="59"/>
      <c r="M1004" s="59">
        <f t="shared" si="33"/>
        <v>15.172780032621477</v>
      </c>
    </row>
    <row r="1005" spans="1:13" hidden="1" outlineLevel="2">
      <c r="A1005" s="138">
        <v>46082</v>
      </c>
      <c r="B1005" s="1" t="s">
        <v>948</v>
      </c>
      <c r="C1005" s="346">
        <v>4110334994</v>
      </c>
      <c r="D1005" s="341" t="str">
        <f>VLOOKUP(C1005,[1]Material!F:J,5,0)</f>
        <v>Expeditors</v>
      </c>
      <c r="E1005" s="367">
        <f>_xlfn.XLOOKUP(C1005,[1]Material!$F:$F,[1]Material!$D:$D)</f>
        <v>10.5</v>
      </c>
      <c r="F1005" s="1"/>
      <c r="G1005" s="59">
        <v>0</v>
      </c>
      <c r="H1005" s="59">
        <v>15.172780032621477</v>
      </c>
      <c r="I1005" s="59">
        <v>0</v>
      </c>
      <c r="J1005" s="59"/>
      <c r="K1005" s="59">
        <v>0</v>
      </c>
      <c r="L1005" s="59"/>
      <c r="M1005" s="59">
        <f t="shared" si="33"/>
        <v>15.172780032621477</v>
      </c>
    </row>
    <row r="1006" spans="1:13" hidden="1" outlineLevel="2">
      <c r="A1006" s="138">
        <v>46082</v>
      </c>
      <c r="B1006" s="1" t="s">
        <v>110</v>
      </c>
      <c r="C1006" s="346">
        <v>483570643496</v>
      </c>
      <c r="D1006" s="341" t="s">
        <v>45</v>
      </c>
      <c r="E1006" s="367">
        <v>15.5</v>
      </c>
      <c r="F1006" s="1"/>
      <c r="G1006" s="59">
        <v>0</v>
      </c>
      <c r="H1006" s="59">
        <v>15.172780032621477</v>
      </c>
      <c r="I1006" s="59">
        <v>0</v>
      </c>
      <c r="J1006" s="59"/>
      <c r="K1006" s="59">
        <v>0</v>
      </c>
      <c r="L1006" s="59"/>
      <c r="M1006" s="59">
        <f t="shared" si="33"/>
        <v>15.172780032621477</v>
      </c>
    </row>
    <row r="1007" spans="1:13" hidden="1" outlineLevel="2">
      <c r="A1007" s="138">
        <v>46082</v>
      </c>
      <c r="B1007" s="1" t="s">
        <v>948</v>
      </c>
      <c r="C1007" s="346">
        <v>4110335017</v>
      </c>
      <c r="D1007" s="341" t="str">
        <f>VLOOKUP(C1007,[1]Material!F:J,5,0)</f>
        <v>Expeditors</v>
      </c>
      <c r="E1007" s="367">
        <f>_xlfn.XLOOKUP(C1007,[1]Material!$F:$F,[1]Material!$D:$D)</f>
        <v>430.5</v>
      </c>
      <c r="F1007" s="1"/>
      <c r="G1007" s="59">
        <v>0</v>
      </c>
      <c r="H1007" s="59">
        <v>15.172780032621477</v>
      </c>
      <c r="I1007" s="59">
        <v>0</v>
      </c>
      <c r="J1007" s="59"/>
      <c r="K1007" s="59">
        <v>0</v>
      </c>
      <c r="L1007" s="59"/>
      <c r="M1007" s="59">
        <f t="shared" si="33"/>
        <v>15.172780032621477</v>
      </c>
    </row>
    <row r="1008" spans="1:13" hidden="1" outlineLevel="2">
      <c r="A1008" s="138">
        <v>46082</v>
      </c>
      <c r="B1008" s="1" t="s">
        <v>948</v>
      </c>
      <c r="C1008" s="346">
        <v>4110334993</v>
      </c>
      <c r="D1008" s="341" t="str">
        <f>VLOOKUP(C1008,[1]Material!F:J,5,0)</f>
        <v>Expeditors</v>
      </c>
      <c r="E1008" s="367">
        <f>_xlfn.XLOOKUP(C1008,[1]Material!$F:$F,[1]Material!$D:$D)</f>
        <v>19.5</v>
      </c>
      <c r="F1008" s="1"/>
      <c r="G1008" s="59">
        <v>0</v>
      </c>
      <c r="H1008" s="59">
        <v>15.172780032621477</v>
      </c>
      <c r="I1008" s="59">
        <v>0</v>
      </c>
      <c r="J1008" s="59"/>
      <c r="K1008" s="59">
        <v>0</v>
      </c>
      <c r="L1008" s="59"/>
      <c r="M1008" s="59">
        <f t="shared" si="33"/>
        <v>15.172780032621477</v>
      </c>
    </row>
    <row r="1009" spans="1:13" hidden="1" outlineLevel="2">
      <c r="A1009" s="138">
        <v>46082</v>
      </c>
      <c r="B1009" s="1" t="s">
        <v>948</v>
      </c>
      <c r="C1009" s="346">
        <v>4110334990</v>
      </c>
      <c r="D1009" s="341" t="str">
        <f>VLOOKUP(C1009,[1]Material!F:J,5,0)</f>
        <v>Expeditors</v>
      </c>
      <c r="E1009" s="367">
        <f>_xlfn.XLOOKUP(C1009,[1]Material!$F:$F,[1]Material!$D:$D)</f>
        <v>7</v>
      </c>
      <c r="F1009" s="1"/>
      <c r="G1009" s="59">
        <v>0</v>
      </c>
      <c r="H1009" s="59">
        <v>15.172780032621477</v>
      </c>
      <c r="I1009" s="59">
        <v>0</v>
      </c>
      <c r="J1009" s="59"/>
      <c r="K1009" s="59">
        <v>0</v>
      </c>
      <c r="L1009" s="59"/>
      <c r="M1009" s="59">
        <f t="shared" si="33"/>
        <v>15.172780032621477</v>
      </c>
    </row>
    <row r="1010" spans="1:13" hidden="1" outlineLevel="2">
      <c r="A1010" s="138">
        <v>46082</v>
      </c>
      <c r="B1010" s="1" t="s">
        <v>948</v>
      </c>
      <c r="C1010" s="346">
        <v>4110334988</v>
      </c>
      <c r="D1010" s="341" t="str">
        <f>VLOOKUP(C1010,[1]Material!F:J,5,0)</f>
        <v>Expeditors</v>
      </c>
      <c r="E1010" s="367">
        <f>_xlfn.XLOOKUP(C1010,[1]Material!$F:$F,[1]Material!$D:$D)</f>
        <v>5.5</v>
      </c>
      <c r="F1010" s="1"/>
      <c r="G1010" s="59">
        <v>0</v>
      </c>
      <c r="H1010" s="59">
        <v>15.172780032621477</v>
      </c>
      <c r="I1010" s="59">
        <v>0</v>
      </c>
      <c r="J1010" s="59"/>
      <c r="K1010" s="59">
        <v>0</v>
      </c>
      <c r="L1010" s="59"/>
      <c r="M1010" s="59">
        <f t="shared" si="33"/>
        <v>15.172780032621477</v>
      </c>
    </row>
    <row r="1011" spans="1:13" hidden="1" outlineLevel="2">
      <c r="A1011" s="138">
        <v>46082</v>
      </c>
      <c r="B1011" s="1" t="s">
        <v>942</v>
      </c>
      <c r="C1011" s="346">
        <v>516924192351</v>
      </c>
      <c r="D1011" s="341" t="str">
        <f>VLOOKUP(C1011,[1]Material!F:J,5,0)</f>
        <v>Fedex</v>
      </c>
      <c r="E1011" s="367">
        <f>_xlfn.XLOOKUP(C1011,[1]Material!$F:$F,[1]Material!$D:$D)</f>
        <v>33</v>
      </c>
      <c r="F1011" s="1"/>
      <c r="G1011" s="59">
        <v>0</v>
      </c>
      <c r="H1011" s="59">
        <v>15.172780032621477</v>
      </c>
      <c r="I1011" s="59">
        <v>0</v>
      </c>
      <c r="J1011" s="59"/>
      <c r="K1011" s="59">
        <v>0</v>
      </c>
      <c r="L1011" s="59"/>
      <c r="M1011" s="59">
        <f t="shared" si="33"/>
        <v>15.172780032621477</v>
      </c>
    </row>
    <row r="1012" spans="1:13" hidden="1" outlineLevel="2">
      <c r="A1012" s="138">
        <v>46082</v>
      </c>
      <c r="B1012" s="1" t="s">
        <v>948</v>
      </c>
      <c r="C1012" s="346">
        <v>4110334986</v>
      </c>
      <c r="D1012" s="341" t="str">
        <f>VLOOKUP(C1012,[1]Material!F:J,5,0)</f>
        <v>Expeditors</v>
      </c>
      <c r="E1012" s="367">
        <f>_xlfn.XLOOKUP(C1012,[1]Material!$F:$F,[1]Material!$D:$D)</f>
        <v>27.5</v>
      </c>
      <c r="F1012" s="1"/>
      <c r="G1012" s="59">
        <v>0</v>
      </c>
      <c r="H1012" s="59">
        <v>15.172780032621477</v>
      </c>
      <c r="I1012" s="59">
        <v>0</v>
      </c>
      <c r="J1012" s="59"/>
      <c r="K1012" s="59">
        <v>0</v>
      </c>
      <c r="L1012" s="59"/>
      <c r="M1012" s="59">
        <f t="shared" si="33"/>
        <v>15.172780032621477</v>
      </c>
    </row>
    <row r="1013" spans="1:13" hidden="1" outlineLevel="2">
      <c r="A1013" s="138">
        <v>46082</v>
      </c>
      <c r="B1013" s="1" t="s">
        <v>948</v>
      </c>
      <c r="C1013" s="346">
        <v>4110334995</v>
      </c>
      <c r="D1013" s="341" t="str">
        <f>VLOOKUP(C1013,[1]Material!F:J,5,0)</f>
        <v>Expeditors</v>
      </c>
      <c r="E1013" s="367">
        <f>_xlfn.XLOOKUP(C1013,[1]Material!$F:$F,[1]Material!$D:$D)</f>
        <v>14.5</v>
      </c>
      <c r="F1013" s="1"/>
      <c r="G1013" s="59">
        <v>0</v>
      </c>
      <c r="H1013" s="59">
        <v>15.172780032621477</v>
      </c>
      <c r="I1013" s="59">
        <v>0</v>
      </c>
      <c r="J1013" s="59"/>
      <c r="K1013" s="59">
        <v>0</v>
      </c>
      <c r="L1013" s="59"/>
      <c r="M1013" s="59">
        <f t="shared" si="33"/>
        <v>15.172780032621477</v>
      </c>
    </row>
    <row r="1014" spans="1:13" hidden="1" outlineLevel="2">
      <c r="A1014" s="138">
        <v>46082</v>
      </c>
      <c r="B1014" s="1" t="s">
        <v>948</v>
      </c>
      <c r="C1014" s="346">
        <v>4110334989</v>
      </c>
      <c r="D1014" s="341" t="str">
        <f>VLOOKUP(C1014,[1]Material!F:J,5,0)</f>
        <v>Expeditors</v>
      </c>
      <c r="E1014" s="367">
        <f>_xlfn.XLOOKUP(C1014,[1]Material!$F:$F,[1]Material!$D:$D)</f>
        <v>3</v>
      </c>
      <c r="F1014" s="1"/>
      <c r="G1014" s="59">
        <v>0</v>
      </c>
      <c r="H1014" s="59">
        <v>15.172780032621477</v>
      </c>
      <c r="I1014" s="59">
        <v>0</v>
      </c>
      <c r="J1014" s="59"/>
      <c r="K1014" s="59">
        <v>0</v>
      </c>
      <c r="L1014" s="59"/>
      <c r="M1014" s="59">
        <f t="shared" si="33"/>
        <v>15.172780032621477</v>
      </c>
    </row>
    <row r="1015" spans="1:13" hidden="1" outlineLevel="2">
      <c r="A1015" s="138">
        <v>46082</v>
      </c>
      <c r="B1015" s="1" t="s">
        <v>948</v>
      </c>
      <c r="C1015" s="346">
        <v>4110334992</v>
      </c>
      <c r="D1015" s="341" t="str">
        <f>VLOOKUP(C1015,[1]Material!F:J,5,0)</f>
        <v>Expeditors</v>
      </c>
      <c r="E1015" s="367">
        <f>_xlfn.XLOOKUP(C1015,[1]Material!$F:$F,[1]Material!$D:$D)</f>
        <v>68.5</v>
      </c>
      <c r="F1015" s="1"/>
      <c r="G1015" s="59">
        <v>0</v>
      </c>
      <c r="H1015" s="59">
        <v>15.172780032621477</v>
      </c>
      <c r="I1015" s="59">
        <v>0</v>
      </c>
      <c r="J1015" s="59"/>
      <c r="K1015" s="59">
        <v>0</v>
      </c>
      <c r="L1015" s="59"/>
      <c r="M1015" s="59">
        <f t="shared" si="33"/>
        <v>15.172780032621477</v>
      </c>
    </row>
    <row r="1016" spans="1:13" hidden="1" outlineLevel="2">
      <c r="A1016" s="138">
        <v>46082</v>
      </c>
      <c r="B1016" s="1" t="s">
        <v>947</v>
      </c>
      <c r="C1016" s="346">
        <v>500292511056</v>
      </c>
      <c r="D1016" s="341" t="str">
        <f>VLOOKUP(C1016,[1]Material!F:J,5,0)</f>
        <v>Fedex</v>
      </c>
      <c r="E1016" s="367">
        <f>_xlfn.XLOOKUP(C1016,[1]Material!$F:$F,[1]Material!$D:$D)</f>
        <v>1.5</v>
      </c>
      <c r="F1016" s="1"/>
      <c r="G1016" s="59">
        <v>0</v>
      </c>
      <c r="H1016" s="59">
        <v>15.172780032621477</v>
      </c>
      <c r="I1016" s="59">
        <v>0</v>
      </c>
      <c r="J1016" s="59"/>
      <c r="K1016" s="59">
        <v>0</v>
      </c>
      <c r="L1016" s="59"/>
      <c r="M1016" s="59">
        <f t="shared" ref="M1016:M1079" si="34">SUM(G1016:L1016)</f>
        <v>15.172780032621477</v>
      </c>
    </row>
    <row r="1017" spans="1:13" hidden="1" outlineLevel="2">
      <c r="A1017" s="138">
        <v>46082</v>
      </c>
      <c r="B1017" s="1" t="s">
        <v>1707</v>
      </c>
      <c r="C1017" s="346">
        <v>889533969113</v>
      </c>
      <c r="D1017" s="341" t="str">
        <f>VLOOKUP(C1017,[1]Material!F:J,5,0)</f>
        <v>Fedex</v>
      </c>
      <c r="E1017" s="367">
        <f>_xlfn.XLOOKUP(C1017,[1]Material!$F:$F,[1]Material!$D:$D)</f>
        <v>2.5</v>
      </c>
      <c r="F1017" s="1"/>
      <c r="G1017" s="59">
        <v>0</v>
      </c>
      <c r="H1017" s="59">
        <v>15.172780032621477</v>
      </c>
      <c r="I1017" s="59">
        <v>0</v>
      </c>
      <c r="J1017" s="59"/>
      <c r="K1017" s="59">
        <v>0</v>
      </c>
      <c r="L1017" s="59"/>
      <c r="M1017" s="59">
        <f t="shared" si="34"/>
        <v>15.172780032621477</v>
      </c>
    </row>
    <row r="1018" spans="1:13" hidden="1" outlineLevel="2">
      <c r="A1018" s="138">
        <v>46082</v>
      </c>
      <c r="B1018" s="1" t="s">
        <v>948</v>
      </c>
      <c r="C1018" s="346">
        <v>4110334991</v>
      </c>
      <c r="D1018" s="341" t="str">
        <f>VLOOKUP(C1018,[1]Material!F:J,5,0)</f>
        <v>Expeditors</v>
      </c>
      <c r="E1018" s="367">
        <f>_xlfn.XLOOKUP(C1018,[1]Material!$F:$F,[1]Material!$D:$D)</f>
        <v>5</v>
      </c>
      <c r="F1018" s="1"/>
      <c r="G1018" s="59">
        <v>0</v>
      </c>
      <c r="H1018" s="59">
        <v>15.172780032621477</v>
      </c>
      <c r="I1018" s="59">
        <v>0</v>
      </c>
      <c r="J1018" s="59"/>
      <c r="K1018" s="59">
        <v>0</v>
      </c>
      <c r="L1018" s="59"/>
      <c r="M1018" s="59">
        <f t="shared" si="34"/>
        <v>15.172780032621477</v>
      </c>
    </row>
    <row r="1019" spans="1:13" hidden="1" outlineLevel="2">
      <c r="A1019" s="138">
        <v>46082</v>
      </c>
      <c r="B1019" s="1" t="s">
        <v>1606</v>
      </c>
      <c r="C1019" s="346">
        <v>480304816860</v>
      </c>
      <c r="D1019" s="341" t="str">
        <f>VLOOKUP(C1019,[1]Material!F:J,5,0)</f>
        <v>Fedex</v>
      </c>
      <c r="E1019" s="367">
        <f>_xlfn.XLOOKUP(C1019,[1]Material!$F:$F,[1]Material!$D:$D)</f>
        <v>2</v>
      </c>
      <c r="F1019" s="1"/>
      <c r="G1019" s="59">
        <v>0</v>
      </c>
      <c r="H1019" s="59">
        <v>15.172780032621477</v>
      </c>
      <c r="I1019" s="59">
        <v>0</v>
      </c>
      <c r="J1019" s="59"/>
      <c r="K1019" s="59">
        <v>0</v>
      </c>
      <c r="L1019" s="59"/>
      <c r="M1019" s="59">
        <f t="shared" si="34"/>
        <v>15.172780032621477</v>
      </c>
    </row>
    <row r="1020" spans="1:13" hidden="1" outlineLevel="2">
      <c r="A1020" s="138">
        <v>46082</v>
      </c>
      <c r="B1020" s="1" t="s">
        <v>945</v>
      </c>
      <c r="C1020" s="346">
        <v>500292513791</v>
      </c>
      <c r="D1020" s="341" t="str">
        <f>VLOOKUP(C1020,[1]Material!F:J,5,0)</f>
        <v>Fedex</v>
      </c>
      <c r="E1020" s="367">
        <f>_xlfn.XLOOKUP(C1020,[1]Material!$F:$F,[1]Material!$D:$D)</f>
        <v>0.5</v>
      </c>
      <c r="F1020" s="1"/>
      <c r="G1020" s="59">
        <v>0</v>
      </c>
      <c r="H1020" s="59">
        <v>15.172780032621477</v>
      </c>
      <c r="I1020" s="59">
        <v>0</v>
      </c>
      <c r="J1020" s="59"/>
      <c r="K1020" s="59">
        <v>0</v>
      </c>
      <c r="L1020" s="59"/>
      <c r="M1020" s="59">
        <f t="shared" si="34"/>
        <v>15.172780032621477</v>
      </c>
    </row>
    <row r="1021" spans="1:13" hidden="1" outlineLevel="2">
      <c r="A1021" s="138">
        <v>46082</v>
      </c>
      <c r="B1021" s="1" t="s">
        <v>1708</v>
      </c>
      <c r="C1021" s="346">
        <v>1437881815</v>
      </c>
      <c r="D1021" s="341" t="str">
        <f>VLOOKUP(C1021,[1]Material!F:J,5,0)</f>
        <v>DHL</v>
      </c>
      <c r="E1021" s="367">
        <f>_xlfn.XLOOKUP(C1021,[1]Material!$F:$F,[1]Material!$D:$D)</f>
        <v>350.6</v>
      </c>
      <c r="F1021" s="1"/>
      <c r="G1021" s="59">
        <v>0</v>
      </c>
      <c r="H1021" s="59">
        <v>49.31</v>
      </c>
      <c r="I1021" s="59">
        <v>0</v>
      </c>
      <c r="J1021" s="59"/>
      <c r="K1021" s="59">
        <v>0</v>
      </c>
      <c r="L1021" s="59"/>
      <c r="M1021" s="59">
        <f t="shared" si="34"/>
        <v>49.31</v>
      </c>
    </row>
    <row r="1022" spans="1:13" hidden="1" outlineLevel="2">
      <c r="A1022" s="138">
        <v>46082</v>
      </c>
      <c r="B1022" s="1" t="s">
        <v>934</v>
      </c>
      <c r="C1022" s="346">
        <v>515718126971</v>
      </c>
      <c r="D1022" s="341" t="str">
        <f>VLOOKUP(C1022,[1]Material!F:J,5,0)</f>
        <v>Fedex</v>
      </c>
      <c r="E1022" s="367">
        <f>_xlfn.XLOOKUP(C1022,[1]Material!$F:$F,[1]Material!$D:$D)</f>
        <v>40</v>
      </c>
      <c r="F1022" s="1"/>
      <c r="G1022" s="59">
        <v>0</v>
      </c>
      <c r="H1022" s="59">
        <v>15.172780032621477</v>
      </c>
      <c r="I1022" s="59">
        <v>0</v>
      </c>
      <c r="J1022" s="59"/>
      <c r="K1022" s="59">
        <v>0</v>
      </c>
      <c r="L1022" s="59"/>
      <c r="M1022" s="59">
        <f t="shared" si="34"/>
        <v>15.172780032621477</v>
      </c>
    </row>
    <row r="1023" spans="1:13" hidden="1" outlineLevel="2">
      <c r="A1023" s="138">
        <v>46082</v>
      </c>
      <c r="B1023" s="1" t="s">
        <v>947</v>
      </c>
      <c r="C1023" s="346">
        <v>500292470361</v>
      </c>
      <c r="D1023" s="341" t="str">
        <f>VLOOKUP(C1023,[1]Material!F:J,5,0)</f>
        <v>Fedex</v>
      </c>
      <c r="E1023" s="367">
        <f>_xlfn.XLOOKUP(C1023,[1]Material!$F:$F,[1]Material!$D:$D)</f>
        <v>1</v>
      </c>
      <c r="F1023" s="1"/>
      <c r="G1023" s="59">
        <v>0</v>
      </c>
      <c r="H1023" s="59">
        <v>15.172780032621477</v>
      </c>
      <c r="I1023" s="59">
        <v>0</v>
      </c>
      <c r="J1023" s="59"/>
      <c r="K1023" s="59">
        <v>0</v>
      </c>
      <c r="L1023" s="59"/>
      <c r="M1023" s="59">
        <f t="shared" si="34"/>
        <v>15.172780032621477</v>
      </c>
    </row>
    <row r="1024" spans="1:13" hidden="1" outlineLevel="2">
      <c r="A1024" s="138">
        <v>46082</v>
      </c>
      <c r="B1024" s="1" t="s">
        <v>947</v>
      </c>
      <c r="C1024" s="346">
        <v>500292513221</v>
      </c>
      <c r="D1024" s="341" t="str">
        <f>VLOOKUP(C1024,[1]Material!F:J,5,0)</f>
        <v>Fedex</v>
      </c>
      <c r="E1024" s="367">
        <f>_xlfn.XLOOKUP(C1024,[1]Material!$F:$F,[1]Material!$D:$D)</f>
        <v>1</v>
      </c>
      <c r="F1024" s="1"/>
      <c r="G1024" s="59">
        <v>0</v>
      </c>
      <c r="H1024" s="59">
        <v>15.172780032621477</v>
      </c>
      <c r="I1024" s="59">
        <v>0</v>
      </c>
      <c r="J1024" s="59"/>
      <c r="K1024" s="59">
        <v>0</v>
      </c>
      <c r="L1024" s="59"/>
      <c r="M1024" s="59">
        <f t="shared" si="34"/>
        <v>15.172780032621477</v>
      </c>
    </row>
    <row r="1025" spans="1:13" hidden="1" outlineLevel="2">
      <c r="A1025" s="138">
        <v>46082</v>
      </c>
      <c r="B1025" s="1" t="s">
        <v>947</v>
      </c>
      <c r="C1025" s="346">
        <v>707296297449</v>
      </c>
      <c r="D1025" s="341" t="str">
        <f>VLOOKUP(C1025,[1]Material!F:J,5,0)</f>
        <v>Fedex</v>
      </c>
      <c r="E1025" s="367">
        <f>_xlfn.XLOOKUP(C1025,[1]Material!$F:$F,[1]Material!$D:$D)</f>
        <v>3</v>
      </c>
      <c r="F1025" s="1"/>
      <c r="G1025" s="59">
        <v>0</v>
      </c>
      <c r="H1025" s="59">
        <v>15.172780032621477</v>
      </c>
      <c r="I1025" s="59">
        <v>0</v>
      </c>
      <c r="J1025" s="59"/>
      <c r="K1025" s="59">
        <v>0</v>
      </c>
      <c r="L1025" s="59"/>
      <c r="M1025" s="59">
        <f t="shared" si="34"/>
        <v>15.172780032621477</v>
      </c>
    </row>
    <row r="1026" spans="1:13" hidden="1" outlineLevel="2">
      <c r="A1026" s="138">
        <v>46082</v>
      </c>
      <c r="B1026" s="1" t="s">
        <v>958</v>
      </c>
      <c r="C1026" s="346">
        <v>399463437604</v>
      </c>
      <c r="D1026" s="341" t="str">
        <f>VLOOKUP(C1026,[1]Material!F:J,5,0)</f>
        <v>Fedex</v>
      </c>
      <c r="E1026" s="367">
        <f>_xlfn.XLOOKUP(C1026,[1]Material!$F:$F,[1]Material!$D:$D)</f>
        <v>9.5</v>
      </c>
      <c r="F1026" s="1"/>
      <c r="G1026" s="59">
        <v>0</v>
      </c>
      <c r="H1026" s="59">
        <v>15.172780032621477</v>
      </c>
      <c r="I1026" s="59">
        <v>0</v>
      </c>
      <c r="J1026" s="59"/>
      <c r="K1026" s="59">
        <v>0</v>
      </c>
      <c r="L1026" s="59"/>
      <c r="M1026" s="59">
        <f t="shared" si="34"/>
        <v>15.172780032621477</v>
      </c>
    </row>
    <row r="1027" spans="1:13" hidden="1" outlineLevel="2">
      <c r="A1027" s="138">
        <v>46082</v>
      </c>
      <c r="B1027" s="1" t="s">
        <v>963</v>
      </c>
      <c r="C1027" s="346">
        <v>516933880395</v>
      </c>
      <c r="D1027" s="341" t="str">
        <f>VLOOKUP(C1027,[1]Material!F:J,5,0)</f>
        <v>Fedex</v>
      </c>
      <c r="E1027" s="367">
        <f>_xlfn.XLOOKUP(C1027,[1]Material!$F:$F,[1]Material!$D:$D)</f>
        <v>1.5</v>
      </c>
      <c r="F1027" s="1"/>
      <c r="G1027" s="59">
        <v>0</v>
      </c>
      <c r="H1027" s="59">
        <v>15.172780032621477</v>
      </c>
      <c r="I1027" s="59">
        <v>0</v>
      </c>
      <c r="J1027" s="59"/>
      <c r="K1027" s="59">
        <v>0</v>
      </c>
      <c r="L1027" s="59"/>
      <c r="M1027" s="59">
        <f t="shared" si="34"/>
        <v>15.172780032621477</v>
      </c>
    </row>
    <row r="1028" spans="1:13" hidden="1" outlineLevel="2">
      <c r="A1028" s="138">
        <v>46082</v>
      </c>
      <c r="B1028" s="1" t="s">
        <v>1710</v>
      </c>
      <c r="C1028" s="346">
        <v>2349245942</v>
      </c>
      <c r="D1028" s="341" t="str">
        <f>VLOOKUP(C1028,[1]Material!F:J,5,0)</f>
        <v>DHL</v>
      </c>
      <c r="E1028" s="367">
        <f>_xlfn.XLOOKUP(C1028,[1]Material!$F:$F,[1]Material!$D:$D)</f>
        <v>1.7</v>
      </c>
      <c r="F1028" s="1"/>
      <c r="G1028" s="59">
        <v>0</v>
      </c>
      <c r="H1028" s="59">
        <v>15.172780032621477</v>
      </c>
      <c r="I1028" s="59">
        <v>0</v>
      </c>
      <c r="J1028" s="59"/>
      <c r="K1028" s="59">
        <v>0</v>
      </c>
      <c r="L1028" s="59"/>
      <c r="M1028" s="59">
        <f t="shared" si="34"/>
        <v>15.172780032621477</v>
      </c>
    </row>
    <row r="1029" spans="1:13" hidden="1" outlineLevel="2">
      <c r="A1029" s="138">
        <v>46082</v>
      </c>
      <c r="B1029" s="1" t="s">
        <v>184</v>
      </c>
      <c r="C1029" s="346" t="s">
        <v>1648</v>
      </c>
      <c r="D1029" s="341" t="str">
        <f>VLOOKUP(C1029,[1]Material!F:J,5,0)</f>
        <v>VVMV(sea)</v>
      </c>
      <c r="E1029" s="367">
        <f>_xlfn.XLOOKUP(C1029,[1]Material!$F:$F,[1]Material!$D:$D)</f>
        <v>316</v>
      </c>
      <c r="F1029" s="1"/>
      <c r="G1029" s="59">
        <v>37.931950081553694</v>
      </c>
      <c r="H1029" s="59">
        <v>15.172780032621477</v>
      </c>
      <c r="I1029" s="59">
        <v>468.2350263627053</v>
      </c>
      <c r="J1029" s="59"/>
      <c r="K1029" s="59">
        <v>21.220650153624398</v>
      </c>
      <c r="L1029" s="59"/>
      <c r="M1029" s="59">
        <f t="shared" si="34"/>
        <v>542.56040663050487</v>
      </c>
    </row>
    <row r="1030" spans="1:13" hidden="1" outlineLevel="2">
      <c r="A1030" s="138">
        <v>46082</v>
      </c>
      <c r="B1030" s="1" t="s">
        <v>936</v>
      </c>
      <c r="C1030" s="346">
        <v>4711921058</v>
      </c>
      <c r="D1030" s="341" t="str">
        <f>VLOOKUP(C1030,[1]Material!F:J,5,0)</f>
        <v>Expeditors</v>
      </c>
      <c r="E1030" s="367">
        <f>_xlfn.XLOOKUP(C1030,[1]Material!$F:$F,[1]Material!$D:$D)</f>
        <v>194</v>
      </c>
      <c r="F1030" s="1"/>
      <c r="G1030" s="59">
        <v>0</v>
      </c>
      <c r="H1030" s="59">
        <v>15.172780032621477</v>
      </c>
      <c r="I1030" s="59">
        <v>610.30999999999995</v>
      </c>
      <c r="J1030" s="59"/>
      <c r="K1030" s="59">
        <v>29.219360467321625</v>
      </c>
      <c r="L1030" s="59">
        <v>33.428299574808584</v>
      </c>
      <c r="M1030" s="59">
        <f t="shared" si="34"/>
        <v>688.13044007475162</v>
      </c>
    </row>
    <row r="1031" spans="1:13" hidden="1" outlineLevel="2">
      <c r="A1031" s="138">
        <v>46082</v>
      </c>
      <c r="B1031" s="1" t="s">
        <v>1712</v>
      </c>
      <c r="C1031" s="346">
        <v>615498843482</v>
      </c>
      <c r="D1031" s="341" t="str">
        <f>VLOOKUP(C1031,[1]Material!F:J,5,0)</f>
        <v>Fedex</v>
      </c>
      <c r="E1031" s="367">
        <f>_xlfn.XLOOKUP(C1031,[1]Material!$F:$F,[1]Material!$D:$D)</f>
        <v>4</v>
      </c>
      <c r="F1031" s="1"/>
      <c r="G1031" s="59">
        <v>0</v>
      </c>
      <c r="H1031" s="59">
        <v>15.172780032621477</v>
      </c>
      <c r="I1031" s="59">
        <v>0</v>
      </c>
      <c r="J1031" s="59"/>
      <c r="K1031" s="59">
        <v>0</v>
      </c>
      <c r="L1031" s="59"/>
      <c r="M1031" s="59">
        <f t="shared" si="34"/>
        <v>15.172780032621477</v>
      </c>
    </row>
    <row r="1032" spans="1:13" hidden="1" outlineLevel="2">
      <c r="A1032" s="138">
        <v>46082</v>
      </c>
      <c r="B1032" s="1" t="s">
        <v>1713</v>
      </c>
      <c r="C1032" s="346" t="s">
        <v>1650</v>
      </c>
      <c r="D1032" s="341" t="str">
        <f>VLOOKUP(C1032,[1]Material!F:J,5,0)</f>
        <v>LX</v>
      </c>
      <c r="E1032" s="367">
        <f>_xlfn.XLOOKUP(C1032,[1]Material!$F:$F,[1]Material!$D:$D)</f>
        <v>688</v>
      </c>
      <c r="F1032" s="1"/>
      <c r="G1032" s="59">
        <v>0</v>
      </c>
      <c r="H1032" s="59">
        <v>49.31</v>
      </c>
      <c r="I1032" s="59">
        <v>0</v>
      </c>
      <c r="J1032" s="59"/>
      <c r="K1032" s="59">
        <v>0</v>
      </c>
      <c r="L1032" s="59"/>
      <c r="M1032" s="59">
        <f t="shared" si="34"/>
        <v>49.31</v>
      </c>
    </row>
    <row r="1033" spans="1:13" hidden="1" outlineLevel="2">
      <c r="A1033" s="138">
        <v>46082</v>
      </c>
      <c r="B1033" s="1" t="s">
        <v>232</v>
      </c>
      <c r="C1033" s="346" t="s">
        <v>1651</v>
      </c>
      <c r="D1033" s="341" t="str">
        <f>VLOOKUP(C1033,[1]Material!F:J,5,0)</f>
        <v>Dragon</v>
      </c>
      <c r="E1033" s="367">
        <f>_xlfn.XLOOKUP(C1033,[1]Material!$F:$F,[1]Material!$D:$D)</f>
        <v>5412</v>
      </c>
      <c r="F1033" s="1"/>
      <c r="G1033" s="59">
        <v>0</v>
      </c>
      <c r="H1033" s="59">
        <v>15.172780032621477</v>
      </c>
      <c r="I1033" s="59">
        <v>0</v>
      </c>
      <c r="J1033" s="59"/>
      <c r="K1033" s="59">
        <v>0</v>
      </c>
      <c r="L1033" s="59"/>
      <c r="M1033" s="59">
        <f t="shared" si="34"/>
        <v>15.172780032621477</v>
      </c>
    </row>
    <row r="1034" spans="1:13" hidden="1" outlineLevel="2">
      <c r="A1034" s="138">
        <v>46082</v>
      </c>
      <c r="B1034" s="1" t="s">
        <v>948</v>
      </c>
      <c r="C1034" s="346">
        <v>4110335216</v>
      </c>
      <c r="D1034" s="341" t="str">
        <f>VLOOKUP(C1034,[1]Material!F:J,5,0)</f>
        <v>Expeditors</v>
      </c>
      <c r="E1034" s="367">
        <f>_xlfn.XLOOKUP(C1034,[1]Material!$F:$F,[1]Material!$D:$D)</f>
        <v>5</v>
      </c>
      <c r="F1034" s="1"/>
      <c r="G1034" s="59">
        <v>0</v>
      </c>
      <c r="H1034" s="59">
        <v>15.172780032621477</v>
      </c>
      <c r="I1034" s="59">
        <v>0</v>
      </c>
      <c r="J1034" s="59"/>
      <c r="K1034" s="59">
        <v>0</v>
      </c>
      <c r="L1034" s="59"/>
      <c r="M1034" s="59">
        <f t="shared" si="34"/>
        <v>15.172780032621477</v>
      </c>
    </row>
    <row r="1035" spans="1:13" hidden="1" outlineLevel="2">
      <c r="A1035" s="138">
        <v>46082</v>
      </c>
      <c r="B1035" s="1" t="s">
        <v>948</v>
      </c>
      <c r="C1035" s="346">
        <v>4110335212</v>
      </c>
      <c r="D1035" s="341" t="str">
        <f>VLOOKUP(C1035,[1]Material!F:J,5,0)</f>
        <v>Expeditors</v>
      </c>
      <c r="E1035" s="367">
        <f>_xlfn.XLOOKUP(C1035,[1]Material!$F:$F,[1]Material!$D:$D)</f>
        <v>4.5</v>
      </c>
      <c r="F1035" s="1"/>
      <c r="G1035" s="59">
        <v>0</v>
      </c>
      <c r="H1035" s="59">
        <v>15.172780032621477</v>
      </c>
      <c r="I1035" s="59">
        <v>0</v>
      </c>
      <c r="J1035" s="59"/>
      <c r="K1035" s="59">
        <v>0</v>
      </c>
      <c r="L1035" s="59"/>
      <c r="M1035" s="59">
        <f t="shared" si="34"/>
        <v>15.172780032621477</v>
      </c>
    </row>
    <row r="1036" spans="1:13" hidden="1" outlineLevel="2">
      <c r="A1036" s="138">
        <v>46082</v>
      </c>
      <c r="B1036" s="1" t="s">
        <v>934</v>
      </c>
      <c r="C1036" s="346">
        <v>4792341525</v>
      </c>
      <c r="D1036" s="341" t="str">
        <f>VLOOKUP(C1036,[1]Material!F:J,5,0)</f>
        <v>DHL</v>
      </c>
      <c r="E1036" s="367">
        <f>_xlfn.XLOOKUP(C1036,[1]Material!$F:$F,[1]Material!$D:$D)</f>
        <v>7.9</v>
      </c>
      <c r="F1036" s="1"/>
      <c r="G1036" s="59">
        <v>0</v>
      </c>
      <c r="H1036" s="59">
        <v>15.172780032621477</v>
      </c>
      <c r="I1036" s="59">
        <v>0</v>
      </c>
      <c r="J1036" s="59"/>
      <c r="K1036" s="59">
        <v>0</v>
      </c>
      <c r="L1036" s="59"/>
      <c r="M1036" s="59">
        <f t="shared" si="34"/>
        <v>15.172780032621477</v>
      </c>
    </row>
    <row r="1037" spans="1:13" hidden="1" outlineLevel="2">
      <c r="A1037" s="138">
        <v>46082</v>
      </c>
      <c r="B1037" s="1" t="s">
        <v>948</v>
      </c>
      <c r="C1037" s="346">
        <v>4110335217</v>
      </c>
      <c r="D1037" s="341" t="str">
        <f>VLOOKUP(C1037,[1]Material!F:J,5,0)</f>
        <v>Expeditors</v>
      </c>
      <c r="E1037" s="367">
        <f>_xlfn.XLOOKUP(C1037,[1]Material!$F:$F,[1]Material!$D:$D)</f>
        <v>14</v>
      </c>
      <c r="F1037" s="1"/>
      <c r="G1037" s="59">
        <v>0</v>
      </c>
      <c r="H1037" s="59">
        <v>15.172780032621477</v>
      </c>
      <c r="I1037" s="59">
        <v>0</v>
      </c>
      <c r="J1037" s="59"/>
      <c r="K1037" s="59">
        <v>0</v>
      </c>
      <c r="L1037" s="59"/>
      <c r="M1037" s="59">
        <f t="shared" si="34"/>
        <v>15.172780032621477</v>
      </c>
    </row>
    <row r="1038" spans="1:13" hidden="1" outlineLevel="2">
      <c r="A1038" s="138">
        <v>46082</v>
      </c>
      <c r="B1038" s="1" t="s">
        <v>232</v>
      </c>
      <c r="C1038" s="346" t="s">
        <v>1652</v>
      </c>
      <c r="D1038" s="341" t="str">
        <f>VLOOKUP(C1038,[1]Material!F:J,5,0)</f>
        <v>Dragon(sea)</v>
      </c>
      <c r="E1038" s="367">
        <f>_xlfn.XLOOKUP(C1038,[1]Material!$F:$F,[1]Material!$D:$D)</f>
        <v>856</v>
      </c>
      <c r="F1038" s="1"/>
      <c r="G1038" s="59">
        <v>0</v>
      </c>
      <c r="H1038" s="59">
        <v>15.172780032621477</v>
      </c>
      <c r="I1038" s="59">
        <v>0</v>
      </c>
      <c r="J1038" s="59"/>
      <c r="K1038" s="59">
        <v>0</v>
      </c>
      <c r="L1038" s="59"/>
      <c r="M1038" s="59">
        <f t="shared" si="34"/>
        <v>15.172780032621477</v>
      </c>
    </row>
    <row r="1039" spans="1:13" hidden="1" outlineLevel="2">
      <c r="A1039" s="138">
        <v>46082</v>
      </c>
      <c r="B1039" s="1" t="s">
        <v>961</v>
      </c>
      <c r="C1039" s="346">
        <v>516924308806</v>
      </c>
      <c r="D1039" s="341" t="str">
        <f>VLOOKUP(C1039,[1]Material!F:J,5,0)</f>
        <v>Fedex</v>
      </c>
      <c r="E1039" s="367">
        <f>_xlfn.XLOOKUP(C1039,[1]Material!$F:$F,[1]Material!$D:$D)</f>
        <v>4.9000000000000004</v>
      </c>
      <c r="F1039" s="1"/>
      <c r="G1039" s="59">
        <v>0</v>
      </c>
      <c r="H1039" s="59">
        <v>15.172780032621477</v>
      </c>
      <c r="I1039" s="59">
        <v>0</v>
      </c>
      <c r="J1039" s="59"/>
      <c r="K1039" s="59">
        <v>0</v>
      </c>
      <c r="L1039" s="59"/>
      <c r="M1039" s="59">
        <f t="shared" si="34"/>
        <v>15.172780032621477</v>
      </c>
    </row>
    <row r="1040" spans="1:13" hidden="1" outlineLevel="2">
      <c r="A1040" s="138">
        <v>46082</v>
      </c>
      <c r="B1040" s="1" t="s">
        <v>1494</v>
      </c>
      <c r="C1040" s="346">
        <v>889716477327</v>
      </c>
      <c r="D1040" s="341" t="str">
        <f>VLOOKUP(C1040,[1]Material!F:J,5,0)</f>
        <v>Fedex</v>
      </c>
      <c r="E1040" s="367">
        <f>_xlfn.XLOOKUP(C1040,[1]Material!$F:$F,[1]Material!$D:$D)</f>
        <v>1.3</v>
      </c>
      <c r="F1040" s="1"/>
      <c r="G1040" s="59">
        <v>0</v>
      </c>
      <c r="H1040" s="59">
        <v>15.172780032621477</v>
      </c>
      <c r="I1040" s="59">
        <v>0</v>
      </c>
      <c r="J1040" s="59"/>
      <c r="K1040" s="59">
        <v>0</v>
      </c>
      <c r="L1040" s="59"/>
      <c r="M1040" s="59">
        <f t="shared" si="34"/>
        <v>15.172780032621477</v>
      </c>
    </row>
    <row r="1041" spans="1:13" hidden="1" outlineLevel="2">
      <c r="A1041" s="138">
        <v>46082</v>
      </c>
      <c r="B1041" s="1" t="s">
        <v>1317</v>
      </c>
      <c r="C1041" s="346" t="s">
        <v>1654</v>
      </c>
      <c r="D1041" s="341" t="s">
        <v>899</v>
      </c>
      <c r="E1041" s="367">
        <v>115.6</v>
      </c>
      <c r="F1041" s="1"/>
      <c r="G1041" s="59">
        <v>0</v>
      </c>
      <c r="H1041" s="59">
        <v>15.172780032621477</v>
      </c>
      <c r="I1041" s="59">
        <v>0</v>
      </c>
      <c r="J1041" s="59"/>
      <c r="K1041" s="59">
        <v>0</v>
      </c>
      <c r="L1041" s="59"/>
      <c r="M1041" s="59">
        <f t="shared" si="34"/>
        <v>15.172780032621477</v>
      </c>
    </row>
    <row r="1042" spans="1:13" hidden="1" outlineLevel="2">
      <c r="A1042" s="138">
        <v>46082</v>
      </c>
      <c r="B1042" s="1" t="s">
        <v>1721</v>
      </c>
      <c r="C1042" s="346" t="s">
        <v>1655</v>
      </c>
      <c r="D1042" s="341" t="s">
        <v>498</v>
      </c>
      <c r="E1042" s="367">
        <v>843</v>
      </c>
      <c r="F1042" s="1"/>
      <c r="G1042" s="59">
        <v>0</v>
      </c>
      <c r="H1042" s="59">
        <v>147.9346053180594</v>
      </c>
      <c r="I1042" s="59">
        <v>0</v>
      </c>
      <c r="J1042" s="59"/>
      <c r="K1042" s="59">
        <v>0</v>
      </c>
      <c r="L1042" s="59"/>
      <c r="M1042" s="59">
        <f t="shared" si="34"/>
        <v>147.9346053180594</v>
      </c>
    </row>
    <row r="1043" spans="1:13" hidden="1" outlineLevel="2">
      <c r="A1043" s="138">
        <v>46082</v>
      </c>
      <c r="B1043" s="1" t="s">
        <v>990</v>
      </c>
      <c r="C1043" s="346" t="s">
        <v>1656</v>
      </c>
      <c r="D1043" s="341"/>
      <c r="E1043" s="367"/>
      <c r="F1043" s="1"/>
      <c r="G1043" s="59">
        <v>0</v>
      </c>
      <c r="H1043" s="59">
        <v>15.172780032621477</v>
      </c>
      <c r="I1043" s="59">
        <v>0</v>
      </c>
      <c r="J1043" s="59"/>
      <c r="K1043" s="59">
        <v>0</v>
      </c>
      <c r="L1043" s="59"/>
      <c r="M1043" s="59">
        <f t="shared" si="34"/>
        <v>15.172780032621477</v>
      </c>
    </row>
    <row r="1044" spans="1:13" hidden="1" outlineLevel="2">
      <c r="A1044" s="138">
        <v>46082</v>
      </c>
      <c r="B1044" s="1" t="s">
        <v>182</v>
      </c>
      <c r="C1044" s="346" t="s">
        <v>1733</v>
      </c>
      <c r="D1044" s="341" t="s">
        <v>103</v>
      </c>
      <c r="E1044" s="367">
        <v>485.1</v>
      </c>
      <c r="F1044" s="1">
        <v>1.23</v>
      </c>
      <c r="G1044" s="59">
        <v>43.621742593786749</v>
      </c>
      <c r="H1044" s="59">
        <v>20.483253044038992</v>
      </c>
      <c r="I1044" s="59">
        <v>512.55460304214239</v>
      </c>
      <c r="J1044" s="59"/>
      <c r="K1044" s="59">
        <v>38.610325076812202</v>
      </c>
      <c r="L1044" s="59"/>
      <c r="M1044" s="59">
        <f t="shared" si="34"/>
        <v>615.26992375678026</v>
      </c>
    </row>
    <row r="1045" spans="1:13" hidden="1" outlineLevel="2">
      <c r="A1045" s="138">
        <v>46082</v>
      </c>
      <c r="B1045" s="1" t="s">
        <v>1296</v>
      </c>
      <c r="C1045" s="346" t="s">
        <v>1735</v>
      </c>
      <c r="D1045" s="341" t="s">
        <v>103</v>
      </c>
      <c r="E1045" s="367">
        <v>1030.9000000000001</v>
      </c>
      <c r="F1045" s="1">
        <v>10.19</v>
      </c>
      <c r="G1045" s="59">
        <v>108.10605773242803</v>
      </c>
      <c r="H1045" s="59">
        <v>20.483253044038992</v>
      </c>
      <c r="I1045" s="59">
        <v>1066.4422865379508</v>
      </c>
      <c r="J1045" s="59"/>
      <c r="K1045" s="59">
        <v>197.97359936274324</v>
      </c>
      <c r="L1045" s="59"/>
      <c r="M1045" s="59">
        <f t="shared" si="34"/>
        <v>1393.0051966771612</v>
      </c>
    </row>
    <row r="1046" spans="1:13" hidden="1" outlineLevel="2">
      <c r="A1046" s="138">
        <v>46082</v>
      </c>
      <c r="B1046" s="1" t="s">
        <v>225</v>
      </c>
      <c r="C1046" s="346" t="s">
        <v>1737</v>
      </c>
      <c r="D1046" s="341" t="s">
        <v>103</v>
      </c>
      <c r="E1046" s="367">
        <v>3525.94</v>
      </c>
      <c r="F1046" s="1">
        <v>38.630000000000003</v>
      </c>
      <c r="G1046" s="59">
        <v>163.10738535068089</v>
      </c>
      <c r="H1046" s="59">
        <v>20.483253044038992</v>
      </c>
      <c r="I1046" s="59">
        <v>1597.2688995941282</v>
      </c>
      <c r="J1046" s="59"/>
      <c r="K1046" s="59">
        <v>141.41030990403218</v>
      </c>
      <c r="L1046" s="59"/>
      <c r="M1046" s="59">
        <f t="shared" si="34"/>
        <v>1922.2698478928803</v>
      </c>
    </row>
    <row r="1047" spans="1:13" hidden="1" outlineLevel="2">
      <c r="A1047" s="138">
        <v>46082</v>
      </c>
      <c r="B1047" s="1" t="s">
        <v>182</v>
      </c>
      <c r="C1047" s="346" t="s">
        <v>1738</v>
      </c>
      <c r="D1047" s="341" t="s">
        <v>103</v>
      </c>
      <c r="E1047" s="367">
        <v>985</v>
      </c>
      <c r="F1047" s="1">
        <v>1.84</v>
      </c>
      <c r="G1047" s="59">
        <v>43.621742593786749</v>
      </c>
      <c r="H1047" s="59">
        <v>20.483253044038992</v>
      </c>
      <c r="I1047" s="59">
        <v>542.01760042483784</v>
      </c>
      <c r="J1047" s="59"/>
      <c r="K1047" s="59">
        <v>50.212646512157193</v>
      </c>
      <c r="L1047" s="59"/>
      <c r="M1047" s="59">
        <f t="shared" si="34"/>
        <v>656.33524257482077</v>
      </c>
    </row>
    <row r="1048" spans="1:13" outlineLevel="1" collapsed="1">
      <c r="A1048" s="138" t="s">
        <v>1750</v>
      </c>
      <c r="B1048" s="1"/>
      <c r="C1048" s="346"/>
      <c r="D1048" s="1"/>
      <c r="E1048" s="1">
        <f t="shared" ref="E1048:M1048" si="35">SUBTOTAL(9,E885:E1047)</f>
        <v>25461.14</v>
      </c>
      <c r="F1048" s="1">
        <f t="shared" si="35"/>
        <v>51.890000000000008</v>
      </c>
      <c r="G1048" s="59">
        <f t="shared" si="35"/>
        <v>568.59993172248983</v>
      </c>
      <c r="H1048" s="59">
        <f t="shared" si="35"/>
        <v>2619.5711371998632</v>
      </c>
      <c r="I1048" s="59">
        <f t="shared" si="35"/>
        <v>12113.445495201606</v>
      </c>
      <c r="J1048" s="59">
        <f t="shared" si="35"/>
        <v>0</v>
      </c>
      <c r="K1048" s="59">
        <f t="shared" si="35"/>
        <v>879.69502712134431</v>
      </c>
      <c r="L1048" s="59">
        <f t="shared" si="35"/>
        <v>133.80346864550717</v>
      </c>
      <c r="M1048" s="59">
        <f t="shared" si="35"/>
        <v>16315.115059890788</v>
      </c>
    </row>
    <row r="1049" spans="1:13" hidden="1" outlineLevel="2">
      <c r="A1049" s="535">
        <v>46113</v>
      </c>
      <c r="B1049" t="s">
        <v>934</v>
      </c>
      <c r="C1049" s="148">
        <v>1239890584</v>
      </c>
      <c r="D1049" s="341" t="str">
        <f>VLOOKUP(C1049,[1]Material!F:J,5,0)</f>
        <v>DHL</v>
      </c>
      <c r="E1049" s="367">
        <f>_xlfn.XLOOKUP(C1049,[1]Material!$F:$F,[1]Material!$D:$D)</f>
        <v>4</v>
      </c>
      <c r="G1049" s="82">
        <v>0</v>
      </c>
      <c r="H1049" s="82">
        <v>15.170478249326811</v>
      </c>
      <c r="I1049" s="82">
        <v>0</v>
      </c>
      <c r="J1049" s="82"/>
      <c r="K1049" s="82"/>
      <c r="L1049" s="82">
        <v>0</v>
      </c>
      <c r="M1049" s="59">
        <f t="shared" si="34"/>
        <v>15.170478249326811</v>
      </c>
    </row>
    <row r="1050" spans="1:13" hidden="1" outlineLevel="2">
      <c r="A1050" s="535">
        <v>46113</v>
      </c>
      <c r="B1050" t="s">
        <v>1710</v>
      </c>
      <c r="C1050" s="148">
        <v>1366276715</v>
      </c>
      <c r="D1050" s="341" t="str">
        <f>VLOOKUP(C1050,[1]Material!F:J,5,0)</f>
        <v>DHL</v>
      </c>
      <c r="E1050" s="367">
        <f>_xlfn.XLOOKUP(C1050,[1]Material!$F:$F,[1]Material!$D:$D)</f>
        <v>1.2</v>
      </c>
      <c r="G1050" s="82">
        <v>0</v>
      </c>
      <c r="H1050" s="82">
        <v>15.170478249326811</v>
      </c>
      <c r="I1050" s="82">
        <v>0</v>
      </c>
      <c r="J1050" s="82"/>
      <c r="K1050" s="82"/>
      <c r="L1050" s="82">
        <v>0</v>
      </c>
      <c r="M1050" s="59">
        <f t="shared" si="34"/>
        <v>15.170478249326811</v>
      </c>
    </row>
    <row r="1051" spans="1:13" hidden="1" outlineLevel="2">
      <c r="A1051" s="535">
        <v>46113</v>
      </c>
      <c r="B1051" t="s">
        <v>1710</v>
      </c>
      <c r="C1051" s="148">
        <v>1894138805</v>
      </c>
      <c r="D1051" s="341" t="str">
        <f>VLOOKUP(C1051,[1]Material!F:J,5,0)</f>
        <v>DHL</v>
      </c>
      <c r="E1051" s="367">
        <f>_xlfn.XLOOKUP(C1051,[1]Material!$F:$F,[1]Material!$D:$D)</f>
        <v>0.7</v>
      </c>
      <c r="G1051" s="82">
        <v>0</v>
      </c>
      <c r="H1051" s="82">
        <v>15.170478249326811</v>
      </c>
      <c r="I1051" s="82">
        <v>0</v>
      </c>
      <c r="J1051" s="82"/>
      <c r="K1051" s="82"/>
      <c r="L1051" s="82">
        <v>0</v>
      </c>
      <c r="M1051" s="59">
        <f t="shared" si="34"/>
        <v>15.170478249326811</v>
      </c>
    </row>
    <row r="1052" spans="1:13" hidden="1" outlineLevel="2">
      <c r="A1052" s="535">
        <v>46113</v>
      </c>
      <c r="B1052" t="s">
        <v>941</v>
      </c>
      <c r="C1052" s="148">
        <v>2419753906</v>
      </c>
      <c r="D1052" s="341" t="str">
        <f>VLOOKUP(C1052,[1]Material!F:J,5,0)</f>
        <v>DHL</v>
      </c>
      <c r="E1052" s="367">
        <f>_xlfn.XLOOKUP(C1052,[1]Material!$F:$F,[1]Material!$D:$D)</f>
        <v>299.8</v>
      </c>
      <c r="G1052" s="82">
        <v>0</v>
      </c>
      <c r="H1052" s="82">
        <v>26.548336936321917</v>
      </c>
      <c r="I1052" s="82">
        <v>0</v>
      </c>
      <c r="J1052" s="82"/>
      <c r="K1052" s="82"/>
      <c r="L1052" s="82">
        <v>0</v>
      </c>
      <c r="M1052" s="59">
        <f t="shared" si="34"/>
        <v>26.548336936321917</v>
      </c>
    </row>
    <row r="1053" spans="1:13" hidden="1" outlineLevel="2">
      <c r="A1053" s="535">
        <v>46113</v>
      </c>
      <c r="B1053" t="s">
        <v>1809</v>
      </c>
      <c r="C1053" s="148">
        <v>3483435163</v>
      </c>
      <c r="D1053" s="341" t="str">
        <f>VLOOKUP(C1053,[1]Material!F:J,5,0)</f>
        <v>DHL</v>
      </c>
      <c r="E1053" s="367">
        <f>_xlfn.XLOOKUP(C1053,[1]Material!$F:$F,[1]Material!$D:$D)</f>
        <v>1</v>
      </c>
      <c r="G1053" s="82">
        <v>0</v>
      </c>
      <c r="H1053" s="82">
        <v>15.170478249326811</v>
      </c>
      <c r="I1053" s="82">
        <v>0</v>
      </c>
      <c r="J1053" s="82"/>
      <c r="K1053" s="82"/>
      <c r="L1053" s="82">
        <v>0</v>
      </c>
      <c r="M1053" s="59">
        <f t="shared" si="34"/>
        <v>15.170478249326811</v>
      </c>
    </row>
    <row r="1054" spans="1:13" hidden="1" outlineLevel="2">
      <c r="A1054" s="535">
        <v>46113</v>
      </c>
      <c r="B1054" t="s">
        <v>941</v>
      </c>
      <c r="C1054" s="148">
        <v>3842324942</v>
      </c>
      <c r="D1054" s="341" t="str">
        <f>VLOOKUP(C1054,[1]Material!F:J,5,0)</f>
        <v>DHL</v>
      </c>
      <c r="E1054" s="367">
        <f>_xlfn.XLOOKUP(C1054,[1]Material!$F:$F,[1]Material!$D:$D)</f>
        <v>96.6</v>
      </c>
      <c r="G1054" s="82">
        <v>0</v>
      </c>
      <c r="H1054" s="82">
        <v>15.170478249326811</v>
      </c>
      <c r="I1054" s="82">
        <v>0</v>
      </c>
      <c r="J1054" s="82"/>
      <c r="K1054" s="82"/>
      <c r="L1054" s="82">
        <v>0</v>
      </c>
      <c r="M1054" s="59">
        <f t="shared" si="34"/>
        <v>15.170478249326811</v>
      </c>
    </row>
    <row r="1055" spans="1:13" hidden="1" outlineLevel="2">
      <c r="A1055" s="535">
        <v>46113</v>
      </c>
      <c r="B1055" t="s">
        <v>948</v>
      </c>
      <c r="C1055" s="148">
        <v>4110335218</v>
      </c>
      <c r="D1055" s="341" t="str">
        <f>VLOOKUP(C1055,[1]Material!F:J,5,0)</f>
        <v>Expeditors</v>
      </c>
      <c r="E1055" s="367">
        <f>_xlfn.XLOOKUP(C1055,[1]Material!$F:$F,[1]Material!$D:$D)</f>
        <v>106</v>
      </c>
      <c r="G1055" s="82">
        <v>0</v>
      </c>
      <c r="H1055" s="82">
        <v>15.170478249326811</v>
      </c>
      <c r="I1055" s="82">
        <v>0</v>
      </c>
      <c r="J1055" s="82"/>
      <c r="K1055" s="82"/>
      <c r="L1055" s="82">
        <v>0</v>
      </c>
      <c r="M1055" s="59">
        <f t="shared" si="34"/>
        <v>15.170478249326811</v>
      </c>
    </row>
    <row r="1056" spans="1:13" hidden="1" outlineLevel="2">
      <c r="A1056" s="535">
        <v>46113</v>
      </c>
      <c r="B1056" t="s">
        <v>948</v>
      </c>
      <c r="C1056" s="148">
        <v>4110335267</v>
      </c>
      <c r="D1056" s="341" t="str">
        <f>VLOOKUP(C1056,[1]Material!F:J,5,0)</f>
        <v>Expeditors</v>
      </c>
      <c r="E1056" s="367">
        <f>_xlfn.XLOOKUP(C1056,[1]Material!$F:$F,[1]Material!$D:$D)</f>
        <v>28</v>
      </c>
      <c r="G1056" s="82">
        <v>0</v>
      </c>
      <c r="H1056" s="82">
        <v>15.170478249326811</v>
      </c>
      <c r="I1056" s="82">
        <v>0</v>
      </c>
      <c r="J1056" s="82"/>
      <c r="K1056" s="82"/>
      <c r="L1056" s="82">
        <v>0</v>
      </c>
      <c r="M1056" s="59">
        <f t="shared" si="34"/>
        <v>15.170478249326811</v>
      </c>
    </row>
    <row r="1057" spans="1:13" hidden="1" outlineLevel="2">
      <c r="A1057" s="535">
        <v>46113</v>
      </c>
      <c r="B1057" t="s">
        <v>948</v>
      </c>
      <c r="C1057" s="148">
        <v>4110335372</v>
      </c>
      <c r="D1057" s="341" t="str">
        <f>VLOOKUP(C1057,[1]Material!F:J,5,0)</f>
        <v>Expeditors</v>
      </c>
      <c r="E1057" s="367">
        <f>_xlfn.XLOOKUP(C1057,[1]Material!$F:$F,[1]Material!$D:$D)</f>
        <v>117.5</v>
      </c>
      <c r="G1057" s="82">
        <v>0</v>
      </c>
      <c r="H1057" s="82">
        <v>15.170478249326811</v>
      </c>
      <c r="I1057" s="82">
        <v>0</v>
      </c>
      <c r="J1057" s="82"/>
      <c r="K1057" s="82"/>
      <c r="L1057" s="82">
        <v>0</v>
      </c>
      <c r="M1057" s="59">
        <f t="shared" si="34"/>
        <v>15.170478249326811</v>
      </c>
    </row>
    <row r="1058" spans="1:13" hidden="1" outlineLevel="2">
      <c r="A1058" s="535">
        <v>46113</v>
      </c>
      <c r="B1058" t="s">
        <v>948</v>
      </c>
      <c r="C1058" s="148">
        <v>4110335373</v>
      </c>
      <c r="D1058" s="341" t="str">
        <f>VLOOKUP(C1058,[1]Material!F:J,5,0)</f>
        <v>Expeditors</v>
      </c>
      <c r="E1058" s="367">
        <f>_xlfn.XLOOKUP(C1058,[1]Material!$F:$F,[1]Material!$D:$D)</f>
        <v>65.5</v>
      </c>
      <c r="G1058" s="82">
        <v>0</v>
      </c>
      <c r="H1058" s="82">
        <v>15.170478249326811</v>
      </c>
      <c r="I1058" s="82">
        <v>0</v>
      </c>
      <c r="J1058" s="82"/>
      <c r="K1058" s="82"/>
      <c r="L1058" s="82">
        <v>0</v>
      </c>
      <c r="M1058" s="59">
        <f t="shared" si="34"/>
        <v>15.170478249326811</v>
      </c>
    </row>
    <row r="1059" spans="1:13" hidden="1" outlineLevel="2">
      <c r="A1059" s="535">
        <v>46113</v>
      </c>
      <c r="B1059" t="s">
        <v>948</v>
      </c>
      <c r="C1059" s="148">
        <v>4110335470</v>
      </c>
      <c r="D1059" s="341" t="str">
        <f>VLOOKUP(C1059,[1]Material!F:J,5,0)</f>
        <v>Expeditors</v>
      </c>
      <c r="E1059" s="367">
        <f>_xlfn.XLOOKUP(C1059,[1]Material!$F:$F,[1]Material!$D:$D)</f>
        <v>133</v>
      </c>
      <c r="G1059" s="82">
        <v>0</v>
      </c>
      <c r="H1059" s="82">
        <v>15.170478249326811</v>
      </c>
      <c r="I1059" s="82">
        <v>0</v>
      </c>
      <c r="J1059" s="82"/>
      <c r="K1059" s="82"/>
      <c r="L1059" s="82">
        <v>0</v>
      </c>
      <c r="M1059" s="59">
        <f t="shared" si="34"/>
        <v>15.170478249326811</v>
      </c>
    </row>
    <row r="1060" spans="1:13" hidden="1" outlineLevel="2">
      <c r="A1060" s="535">
        <v>46113</v>
      </c>
      <c r="B1060" t="s">
        <v>948</v>
      </c>
      <c r="C1060" s="148">
        <v>4110335471</v>
      </c>
      <c r="D1060" s="341" t="str">
        <f>VLOOKUP(C1060,[1]Material!F:J,5,0)</f>
        <v>Expeditors</v>
      </c>
      <c r="E1060" s="367">
        <f>_xlfn.XLOOKUP(C1060,[1]Material!$F:$F,[1]Material!$D:$D)</f>
        <v>113</v>
      </c>
      <c r="G1060" s="82">
        <v>0</v>
      </c>
      <c r="H1060" s="82">
        <v>15.170478249326811</v>
      </c>
      <c r="I1060" s="82">
        <v>0</v>
      </c>
      <c r="J1060" s="82"/>
      <c r="K1060" s="82"/>
      <c r="L1060" s="82">
        <v>0</v>
      </c>
      <c r="M1060" s="59">
        <f t="shared" si="34"/>
        <v>15.170478249326811</v>
      </c>
    </row>
    <row r="1061" spans="1:13" hidden="1" outlineLevel="2">
      <c r="A1061" s="535">
        <v>46113</v>
      </c>
      <c r="B1061" t="s">
        <v>948</v>
      </c>
      <c r="C1061" s="148">
        <v>4110335472</v>
      </c>
      <c r="D1061" s="341" t="str">
        <f>VLOOKUP(C1061,[1]Material!F:J,5,0)</f>
        <v>Expeditors</v>
      </c>
      <c r="E1061" s="367">
        <f>_xlfn.XLOOKUP(C1061,[1]Material!$F:$F,[1]Material!$D:$D)</f>
        <v>176</v>
      </c>
      <c r="G1061" s="82">
        <v>0</v>
      </c>
      <c r="H1061" s="82">
        <v>15.170478249326811</v>
      </c>
      <c r="I1061" s="82">
        <v>0</v>
      </c>
      <c r="J1061" s="82"/>
      <c r="K1061" s="82"/>
      <c r="L1061" s="82">
        <v>0</v>
      </c>
      <c r="M1061" s="59">
        <f t="shared" si="34"/>
        <v>15.170478249326811</v>
      </c>
    </row>
    <row r="1062" spans="1:13" hidden="1" outlineLevel="2">
      <c r="A1062" s="535">
        <v>46113</v>
      </c>
      <c r="B1062" t="s">
        <v>948</v>
      </c>
      <c r="C1062" s="148">
        <v>4110335509</v>
      </c>
      <c r="D1062" s="341" t="str">
        <f>VLOOKUP(C1062,[1]Material!F:J,5,0)</f>
        <v>Expeditors</v>
      </c>
      <c r="E1062" s="367">
        <f>_xlfn.XLOOKUP(C1062,[1]Material!$F:$F,[1]Material!$D:$D)</f>
        <v>19.5</v>
      </c>
      <c r="G1062" s="82">
        <v>0</v>
      </c>
      <c r="H1062" s="82">
        <v>15.170478249326811</v>
      </c>
      <c r="I1062" s="82">
        <v>0</v>
      </c>
      <c r="J1062" s="82"/>
      <c r="K1062" s="82"/>
      <c r="L1062" s="82">
        <v>0</v>
      </c>
      <c r="M1062" s="59">
        <f t="shared" si="34"/>
        <v>15.170478249326811</v>
      </c>
    </row>
    <row r="1063" spans="1:13" hidden="1" outlineLevel="2">
      <c r="A1063" s="535">
        <v>46113</v>
      </c>
      <c r="B1063" t="s">
        <v>948</v>
      </c>
      <c r="C1063" s="148">
        <v>4110335718</v>
      </c>
      <c r="D1063" s="341" t="str">
        <f>VLOOKUP(C1063,[1]Material!F:J,5,0)</f>
        <v>Expeditors</v>
      </c>
      <c r="E1063" s="367">
        <f>_xlfn.XLOOKUP(C1063,[1]Material!$F:$F,[1]Material!$D:$D)</f>
        <v>20.5</v>
      </c>
      <c r="G1063" s="82">
        <v>0</v>
      </c>
      <c r="H1063" s="82">
        <v>15.170478249326811</v>
      </c>
      <c r="I1063" s="82">
        <v>0</v>
      </c>
      <c r="J1063" s="82"/>
      <c r="K1063" s="82"/>
      <c r="L1063" s="82">
        <v>0</v>
      </c>
      <c r="M1063" s="59">
        <f t="shared" si="34"/>
        <v>15.170478249326811</v>
      </c>
    </row>
    <row r="1064" spans="1:13" hidden="1" outlineLevel="2">
      <c r="A1064" s="535">
        <v>46113</v>
      </c>
      <c r="B1064" t="s">
        <v>948</v>
      </c>
      <c r="C1064" s="148">
        <v>4110335801</v>
      </c>
      <c r="D1064" s="341" t="str">
        <f>VLOOKUP(C1064,[1]Material!F:J,5,0)</f>
        <v>Expeditors</v>
      </c>
      <c r="E1064" s="367">
        <f>_xlfn.XLOOKUP(C1064,[1]Material!$F:$F,[1]Material!$D:$D)</f>
        <v>22.5</v>
      </c>
      <c r="G1064" s="82">
        <v>0</v>
      </c>
      <c r="H1064" s="82">
        <v>15.170478249326811</v>
      </c>
      <c r="I1064" s="82">
        <v>0</v>
      </c>
      <c r="J1064" s="82"/>
      <c r="K1064" s="82"/>
      <c r="L1064" s="82">
        <v>0</v>
      </c>
      <c r="M1064" s="59">
        <f t="shared" si="34"/>
        <v>15.170478249326811</v>
      </c>
    </row>
    <row r="1065" spans="1:13" hidden="1" outlineLevel="2">
      <c r="A1065" s="535">
        <v>46113</v>
      </c>
      <c r="B1065" t="s">
        <v>948</v>
      </c>
      <c r="C1065" s="148">
        <v>4110336065</v>
      </c>
      <c r="D1065" s="341" t="str">
        <f>VLOOKUP(C1065,[1]Material!F:J,5,0)</f>
        <v>Expeditors</v>
      </c>
      <c r="E1065" s="367">
        <f>_xlfn.XLOOKUP(C1065,[1]Material!$F:$F,[1]Material!$D:$D)</f>
        <v>1.5</v>
      </c>
      <c r="G1065" s="82">
        <v>0</v>
      </c>
      <c r="H1065" s="82">
        <v>15.170478249326811</v>
      </c>
      <c r="I1065" s="82">
        <v>0</v>
      </c>
      <c r="J1065" s="82"/>
      <c r="K1065" s="82"/>
      <c r="L1065" s="82">
        <v>0</v>
      </c>
      <c r="M1065" s="59">
        <f t="shared" si="34"/>
        <v>15.170478249326811</v>
      </c>
    </row>
    <row r="1066" spans="1:13" hidden="1" outlineLevel="2">
      <c r="A1066" s="535">
        <v>46113</v>
      </c>
      <c r="B1066" t="s">
        <v>948</v>
      </c>
      <c r="C1066" s="148">
        <v>4110336070</v>
      </c>
      <c r="D1066" s="341" t="str">
        <f>VLOOKUP(C1066,[1]Material!F:J,5,0)</f>
        <v>Expeditors</v>
      </c>
      <c r="E1066" s="367">
        <f>_xlfn.XLOOKUP(C1066,[1]Material!$F:$F,[1]Material!$D:$D)</f>
        <v>95.5</v>
      </c>
      <c r="G1066" s="82">
        <v>0</v>
      </c>
      <c r="H1066" s="82">
        <v>15.170478249326811</v>
      </c>
      <c r="I1066" s="82">
        <v>0</v>
      </c>
      <c r="J1066" s="82"/>
      <c r="K1066" s="82"/>
      <c r="L1066" s="82">
        <v>0</v>
      </c>
      <c r="M1066" s="59">
        <f t="shared" si="34"/>
        <v>15.170478249326811</v>
      </c>
    </row>
    <row r="1067" spans="1:13" hidden="1" outlineLevel="2">
      <c r="A1067" s="535">
        <v>46113</v>
      </c>
      <c r="B1067" t="s">
        <v>948</v>
      </c>
      <c r="C1067" s="148">
        <v>4110336104</v>
      </c>
      <c r="D1067" s="341" t="str">
        <f>VLOOKUP(C1067,[1]Material!F:J,5,0)</f>
        <v>Expeditors</v>
      </c>
      <c r="E1067" s="367">
        <f>_xlfn.XLOOKUP(C1067,[1]Material!$F:$F,[1]Material!$D:$D)</f>
        <v>137.5</v>
      </c>
      <c r="G1067" s="82">
        <v>0</v>
      </c>
      <c r="H1067" s="82">
        <v>15.170478249326811</v>
      </c>
      <c r="I1067" s="82">
        <v>0</v>
      </c>
      <c r="J1067" s="82"/>
      <c r="K1067" s="82"/>
      <c r="L1067" s="82">
        <v>0</v>
      </c>
      <c r="M1067" s="59">
        <f t="shared" si="34"/>
        <v>15.170478249326811</v>
      </c>
    </row>
    <row r="1068" spans="1:13" hidden="1" outlineLevel="2">
      <c r="A1068" s="535">
        <v>46113</v>
      </c>
      <c r="B1068" t="s">
        <v>973</v>
      </c>
      <c r="C1068" s="148">
        <v>5973795472</v>
      </c>
      <c r="D1068" s="341" t="str">
        <f>VLOOKUP(C1068,[1]Material!F:J,5,0)</f>
        <v>DHL</v>
      </c>
      <c r="E1068" s="367">
        <f>_xlfn.XLOOKUP(C1068,[1]Material!$F:$F,[1]Material!$D:$D)</f>
        <v>28.4</v>
      </c>
      <c r="G1068" s="82">
        <v>0</v>
      </c>
      <c r="H1068" s="82">
        <v>15.170478249326811</v>
      </c>
      <c r="I1068" s="82">
        <v>0</v>
      </c>
      <c r="J1068" s="82"/>
      <c r="K1068" s="82"/>
      <c r="L1068" s="82">
        <v>0</v>
      </c>
      <c r="M1068" s="59">
        <f t="shared" si="34"/>
        <v>15.170478249326811</v>
      </c>
    </row>
    <row r="1069" spans="1:13" hidden="1" outlineLevel="2">
      <c r="A1069" s="535">
        <v>46113</v>
      </c>
      <c r="B1069" t="s">
        <v>973</v>
      </c>
      <c r="C1069" s="148">
        <v>5973814324</v>
      </c>
      <c r="D1069" s="341" t="str">
        <f>VLOOKUP(C1069,[1]Material!F:J,5,0)</f>
        <v>DHL</v>
      </c>
      <c r="E1069" s="367">
        <f>_xlfn.XLOOKUP(C1069,[1]Material!$F:$F,[1]Material!$D:$D)</f>
        <v>14.5</v>
      </c>
      <c r="G1069" s="82">
        <v>0</v>
      </c>
      <c r="H1069" s="82">
        <v>15.170478249326811</v>
      </c>
      <c r="I1069" s="82">
        <v>0</v>
      </c>
      <c r="J1069" s="82"/>
      <c r="K1069" s="82"/>
      <c r="L1069" s="82">
        <v>0</v>
      </c>
      <c r="M1069" s="59">
        <f t="shared" si="34"/>
        <v>15.170478249326811</v>
      </c>
    </row>
    <row r="1070" spans="1:13" hidden="1" outlineLevel="2">
      <c r="A1070" s="535">
        <v>46113</v>
      </c>
      <c r="B1070" t="s">
        <v>941</v>
      </c>
      <c r="C1070" s="148">
        <v>6055780194</v>
      </c>
      <c r="D1070" s="341" t="str">
        <f>VLOOKUP(C1070,[1]Material!F:J,5,0)</f>
        <v>DHL</v>
      </c>
      <c r="E1070" s="367">
        <f>_xlfn.XLOOKUP(C1070,[1]Material!$F:$F,[1]Material!$D:$D)</f>
        <v>66.2</v>
      </c>
      <c r="G1070" s="82">
        <v>0</v>
      </c>
      <c r="H1070" s="82">
        <v>15.170478249326811</v>
      </c>
      <c r="I1070" s="82">
        <v>0</v>
      </c>
      <c r="J1070" s="82"/>
      <c r="K1070" s="82"/>
      <c r="L1070" s="82">
        <v>0</v>
      </c>
      <c r="M1070" s="59">
        <f t="shared" si="34"/>
        <v>15.170478249326811</v>
      </c>
    </row>
    <row r="1071" spans="1:13" hidden="1" outlineLevel="2">
      <c r="A1071" s="535">
        <v>46113</v>
      </c>
      <c r="B1071" t="s">
        <v>934</v>
      </c>
      <c r="C1071" s="148">
        <v>7440206561</v>
      </c>
      <c r="D1071" s="341" t="str">
        <f>VLOOKUP(C1071,[1]Material!F:J,5,0)</f>
        <v>DHL</v>
      </c>
      <c r="E1071" s="367">
        <f>_xlfn.XLOOKUP(C1071,[1]Material!$F:$F,[1]Material!$D:$D)</f>
        <v>1.7</v>
      </c>
      <c r="G1071" s="82">
        <v>0</v>
      </c>
      <c r="H1071" s="82">
        <v>15.170478249326811</v>
      </c>
      <c r="I1071" s="82">
        <v>0</v>
      </c>
      <c r="J1071" s="82"/>
      <c r="K1071" s="82"/>
      <c r="L1071" s="82">
        <v>0</v>
      </c>
      <c r="M1071" s="59">
        <f t="shared" si="34"/>
        <v>15.170478249326811</v>
      </c>
    </row>
    <row r="1072" spans="1:13" hidden="1" outlineLevel="2">
      <c r="A1072" s="535">
        <v>46113</v>
      </c>
      <c r="B1072" t="s">
        <v>934</v>
      </c>
      <c r="C1072" s="148">
        <v>8427869483</v>
      </c>
      <c r="D1072" s="341">
        <f>VLOOKUP(C1072,[1]Material!F:J,5,0)</f>
        <v>0</v>
      </c>
      <c r="E1072" s="367">
        <f>_xlfn.XLOOKUP(C1072,[1]Material!$F:$F,[1]Material!$D:$D)</f>
        <v>13.9</v>
      </c>
      <c r="G1072" s="82">
        <v>0</v>
      </c>
      <c r="H1072" s="82">
        <v>15.170478249326811</v>
      </c>
      <c r="I1072" s="82">
        <v>0</v>
      </c>
      <c r="J1072" s="82"/>
      <c r="K1072" s="82"/>
      <c r="L1072" s="82">
        <v>0</v>
      </c>
      <c r="M1072" s="59">
        <f t="shared" si="34"/>
        <v>15.170478249326811</v>
      </c>
    </row>
    <row r="1073" spans="1:13" hidden="1" outlineLevel="2">
      <c r="A1073" s="535">
        <v>46113</v>
      </c>
      <c r="B1073" t="s">
        <v>1821</v>
      </c>
      <c r="C1073" s="148">
        <v>9942471873</v>
      </c>
      <c r="D1073" s="341" t="str">
        <f>VLOOKUP(C1073,[1]Material!F:J,5,0)</f>
        <v>DHL</v>
      </c>
      <c r="E1073" s="367">
        <f>_xlfn.XLOOKUP(C1073,[1]Material!$F:$F,[1]Material!$D:$D)</f>
        <v>99.3</v>
      </c>
      <c r="G1073" s="82">
        <v>0</v>
      </c>
      <c r="H1073" s="82">
        <v>15.170478249326811</v>
      </c>
      <c r="I1073" s="82">
        <v>0</v>
      </c>
      <c r="J1073" s="82"/>
      <c r="K1073" s="82"/>
      <c r="L1073" s="82">
        <v>0</v>
      </c>
      <c r="M1073" s="59">
        <f t="shared" si="34"/>
        <v>15.170478249326811</v>
      </c>
    </row>
    <row r="1074" spans="1:13" hidden="1" outlineLevel="2">
      <c r="A1074" s="535">
        <v>46113</v>
      </c>
      <c r="B1074" t="s">
        <v>941</v>
      </c>
      <c r="C1074" s="148">
        <v>9987189822</v>
      </c>
      <c r="D1074" s="341" t="str">
        <f>VLOOKUP(C1074,[1]Material!F:J,5,0)</f>
        <v>DHL</v>
      </c>
      <c r="E1074" s="367">
        <f>_xlfn.XLOOKUP(C1074,[1]Material!$F:$F,[1]Material!$D:$D)</f>
        <v>155.1</v>
      </c>
      <c r="G1074" s="82">
        <v>0</v>
      </c>
      <c r="H1074" s="82">
        <v>15.170478249326811</v>
      </c>
      <c r="I1074" s="82">
        <v>0</v>
      </c>
      <c r="J1074" s="82"/>
      <c r="K1074" s="82"/>
      <c r="L1074" s="82">
        <v>0</v>
      </c>
      <c r="M1074" s="59">
        <f t="shared" si="34"/>
        <v>15.170478249326811</v>
      </c>
    </row>
    <row r="1075" spans="1:13" hidden="1" outlineLevel="2">
      <c r="A1075" s="535">
        <v>46113</v>
      </c>
      <c r="B1075" t="s">
        <v>944</v>
      </c>
      <c r="C1075" s="148">
        <v>119209705873</v>
      </c>
      <c r="D1075" s="341" t="str">
        <f>VLOOKUP(C1075,[1]Material!F:J,5,0)</f>
        <v>Fedex</v>
      </c>
      <c r="E1075" s="367">
        <f>_xlfn.XLOOKUP(C1075,[1]Material!$F:$F,[1]Material!$D:$D)</f>
        <v>16</v>
      </c>
      <c r="G1075" s="82">
        <v>0</v>
      </c>
      <c r="H1075" s="82">
        <v>15.170478249326811</v>
      </c>
      <c r="I1075" s="82">
        <v>0</v>
      </c>
      <c r="J1075" s="82"/>
      <c r="K1075" s="82"/>
      <c r="L1075" s="82">
        <v>0</v>
      </c>
      <c r="M1075" s="59">
        <f t="shared" si="34"/>
        <v>15.170478249326811</v>
      </c>
    </row>
    <row r="1076" spans="1:13" hidden="1" outlineLevel="2">
      <c r="A1076" s="535">
        <v>46113</v>
      </c>
      <c r="B1076" t="s">
        <v>981</v>
      </c>
      <c r="C1076" s="148">
        <v>380015072074</v>
      </c>
      <c r="D1076" s="341" t="str">
        <f>VLOOKUP(C1076,[1]Material!F:J,5,0)</f>
        <v>Fedex</v>
      </c>
      <c r="E1076" s="367">
        <f>_xlfn.XLOOKUP(C1076,[1]Material!$F:$F,[1]Material!$D:$D)</f>
        <v>19.399999999999999</v>
      </c>
      <c r="G1076" s="82">
        <v>0</v>
      </c>
      <c r="H1076" s="82">
        <v>15.170478249326811</v>
      </c>
      <c r="I1076" s="82">
        <v>0</v>
      </c>
      <c r="J1076" s="82"/>
      <c r="K1076" s="82"/>
      <c r="L1076" s="82">
        <v>0</v>
      </c>
      <c r="M1076" s="59">
        <f t="shared" si="34"/>
        <v>15.170478249326811</v>
      </c>
    </row>
    <row r="1077" spans="1:13" hidden="1" outlineLevel="2">
      <c r="A1077" s="535">
        <v>46113</v>
      </c>
      <c r="B1077" t="s">
        <v>984</v>
      </c>
      <c r="C1077" s="148">
        <v>380130120500</v>
      </c>
      <c r="D1077" s="341" t="str">
        <f>VLOOKUP(C1077,[1]Material!F:J,5,0)</f>
        <v>Fedex</v>
      </c>
      <c r="E1077" s="367">
        <f>_xlfn.XLOOKUP(C1077,[1]Material!$F:$F,[1]Material!$D:$D)</f>
        <v>1.4</v>
      </c>
      <c r="G1077" s="82">
        <v>0</v>
      </c>
      <c r="H1077" s="82">
        <v>30.340956498653622</v>
      </c>
      <c r="I1077" s="82">
        <v>37.209238821253841</v>
      </c>
      <c r="J1077" s="82"/>
      <c r="K1077" s="82"/>
      <c r="L1077" s="82">
        <v>0</v>
      </c>
      <c r="M1077" s="59">
        <f t="shared" si="34"/>
        <v>67.550195319907459</v>
      </c>
    </row>
    <row r="1078" spans="1:13" hidden="1" outlineLevel="2">
      <c r="A1078" s="535">
        <v>46113</v>
      </c>
      <c r="B1078" t="s">
        <v>974</v>
      </c>
      <c r="C1078" s="148">
        <v>380131741783</v>
      </c>
      <c r="D1078" s="341" t="str">
        <f>VLOOKUP(C1078,[1]Material!F:J,5,0)</f>
        <v>Fedex</v>
      </c>
      <c r="E1078" s="367">
        <f>_xlfn.XLOOKUP(C1078,[1]Material!$F:$F,[1]Material!$D:$D)</f>
        <v>4.9000000000000004</v>
      </c>
      <c r="G1078" s="82">
        <v>0</v>
      </c>
      <c r="H1078" s="82">
        <v>30.340956498653622</v>
      </c>
      <c r="I1078" s="82">
        <v>83.392574050896954</v>
      </c>
      <c r="J1078" s="82"/>
      <c r="K1078" s="82"/>
      <c r="L1078" s="82">
        <v>0</v>
      </c>
      <c r="M1078" s="59">
        <f t="shared" si="34"/>
        <v>113.73353054955058</v>
      </c>
    </row>
    <row r="1079" spans="1:13" hidden="1" outlineLevel="2">
      <c r="A1079" s="535">
        <v>46113</v>
      </c>
      <c r="B1079" t="s">
        <v>804</v>
      </c>
      <c r="C1079" s="148">
        <v>380166564100</v>
      </c>
      <c r="D1079" s="341" t="str">
        <f>VLOOKUP(C1079,[1]Material!F:J,5,0)</f>
        <v>Fedex</v>
      </c>
      <c r="E1079" s="367">
        <f>_xlfn.XLOOKUP(C1079,[1]Material!$F:$F,[1]Material!$D:$D)</f>
        <v>17.2</v>
      </c>
      <c r="G1079" s="82">
        <v>0</v>
      </c>
      <c r="H1079" s="82">
        <v>30.340956498653622</v>
      </c>
      <c r="I1079" s="82">
        <v>100.18447301551181</v>
      </c>
      <c r="J1079" s="82"/>
      <c r="K1079" s="82"/>
      <c r="L1079" s="82">
        <v>0</v>
      </c>
      <c r="M1079" s="59">
        <f t="shared" si="34"/>
        <v>130.52542951416544</v>
      </c>
    </row>
    <row r="1080" spans="1:13" hidden="1" outlineLevel="2">
      <c r="A1080" s="535">
        <v>46113</v>
      </c>
      <c r="B1080" t="s">
        <v>802</v>
      </c>
      <c r="C1080" s="148">
        <v>380233975234</v>
      </c>
      <c r="D1080" s="341" t="str">
        <f>VLOOKUP(C1080,[1]Material!F:J,5,0)</f>
        <v>Fedex</v>
      </c>
      <c r="E1080" s="367">
        <f>_xlfn.XLOOKUP(C1080,[1]Material!$F:$F,[1]Material!$D:$D)</f>
        <v>1.2</v>
      </c>
      <c r="G1080" s="82">
        <v>0</v>
      </c>
      <c r="H1080" s="82">
        <v>30.340956498653622</v>
      </c>
      <c r="I1080" s="82">
        <v>23.74638752986688</v>
      </c>
      <c r="J1080" s="82"/>
      <c r="K1080" s="82"/>
      <c r="L1080" s="82">
        <v>0</v>
      </c>
      <c r="M1080" s="59">
        <f t="shared" ref="M1080:M1139" si="36">SUM(G1080:L1080)</f>
        <v>54.087344028520505</v>
      </c>
    </row>
    <row r="1081" spans="1:13" hidden="1" outlineLevel="2">
      <c r="A1081" s="535">
        <v>46113</v>
      </c>
      <c r="B1081" t="s">
        <v>802</v>
      </c>
      <c r="C1081" s="148">
        <v>380414865344</v>
      </c>
      <c r="D1081" s="341" t="str">
        <f>VLOOKUP(C1081,[1]Material!F:J,5,0)</f>
        <v>Fedex</v>
      </c>
      <c r="E1081" s="367">
        <f>_xlfn.XLOOKUP(C1081,[1]Material!$F:$F,[1]Material!$D:$D)</f>
        <v>1.2</v>
      </c>
      <c r="G1081" s="82">
        <v>0</v>
      </c>
      <c r="H1081" s="82">
        <v>30.340956498653622</v>
      </c>
      <c r="I1081" s="82">
        <v>23.868396101187091</v>
      </c>
      <c r="J1081" s="82"/>
      <c r="K1081" s="82"/>
      <c r="L1081" s="82">
        <v>0</v>
      </c>
      <c r="M1081" s="59">
        <f t="shared" si="36"/>
        <v>54.209352599840713</v>
      </c>
    </row>
    <row r="1082" spans="1:13" hidden="1" outlineLevel="2">
      <c r="A1082" s="535">
        <v>46113</v>
      </c>
      <c r="B1082" t="s">
        <v>802</v>
      </c>
      <c r="C1082" s="148">
        <v>380484035986</v>
      </c>
      <c r="D1082" s="341" t="str">
        <f>VLOOKUP(C1082,[1]Material!F:J,5,0)</f>
        <v>Fedex</v>
      </c>
      <c r="E1082" s="367">
        <f>_xlfn.XLOOKUP(C1082,[1]Material!$F:$F,[1]Material!$D:$D)</f>
        <v>4.7</v>
      </c>
      <c r="G1082" s="82">
        <v>0</v>
      </c>
      <c r="H1082" s="82">
        <v>30.340956498653622</v>
      </c>
      <c r="I1082" s="82">
        <v>62.501763568096486</v>
      </c>
      <c r="J1082" s="82"/>
      <c r="K1082" s="82"/>
      <c r="L1082" s="82">
        <v>0</v>
      </c>
      <c r="M1082" s="59">
        <f t="shared" si="36"/>
        <v>92.842720066750104</v>
      </c>
    </row>
    <row r="1083" spans="1:13" hidden="1" outlineLevel="2">
      <c r="A1083" s="535">
        <v>46113</v>
      </c>
      <c r="B1083" t="s">
        <v>1605</v>
      </c>
      <c r="C1083" s="148">
        <v>380545523032</v>
      </c>
      <c r="D1083" s="341" t="str">
        <f>VLOOKUP(C1083,[1]Material!F:J,5,0)</f>
        <v>Fedex</v>
      </c>
      <c r="E1083" s="367">
        <f>_xlfn.XLOOKUP(C1083,[1]Material!$F:$F,[1]Material!$D:$D)</f>
        <v>3</v>
      </c>
      <c r="G1083" s="82">
        <v>0</v>
      </c>
      <c r="H1083" s="82">
        <v>30.340956498653622</v>
      </c>
      <c r="I1083" s="82">
        <v>33.966549095460238</v>
      </c>
      <c r="J1083" s="82"/>
      <c r="K1083" s="82"/>
      <c r="L1083" s="82">
        <v>0</v>
      </c>
      <c r="M1083" s="59">
        <f t="shared" si="36"/>
        <v>64.307505594113863</v>
      </c>
    </row>
    <row r="1084" spans="1:13" hidden="1" outlineLevel="2">
      <c r="A1084" s="535">
        <v>46113</v>
      </c>
      <c r="B1084" t="s">
        <v>984</v>
      </c>
      <c r="C1084" s="148">
        <v>380546221141</v>
      </c>
      <c r="D1084" s="341" t="str">
        <f>VLOOKUP(C1084,[1]Material!F:J,5,0)</f>
        <v>Fedex</v>
      </c>
      <c r="E1084" s="367">
        <f>_xlfn.XLOOKUP(C1084,[1]Material!$F:$F,[1]Material!$D:$D)</f>
        <v>1</v>
      </c>
      <c r="G1084" s="82">
        <v>0</v>
      </c>
      <c r="H1084" s="82">
        <v>30.340956498653622</v>
      </c>
      <c r="I1084" s="82">
        <v>37.400538551977853</v>
      </c>
      <c r="J1084" s="82"/>
      <c r="K1084" s="82"/>
      <c r="L1084" s="82">
        <v>0</v>
      </c>
      <c r="M1084" s="59">
        <f t="shared" si="36"/>
        <v>67.741495050631471</v>
      </c>
    </row>
    <row r="1085" spans="1:13" hidden="1" outlineLevel="2">
      <c r="A1085" s="535">
        <v>46113</v>
      </c>
      <c r="B1085" t="s">
        <v>802</v>
      </c>
      <c r="C1085" s="148">
        <v>380616663150</v>
      </c>
      <c r="D1085" s="341" t="str">
        <f>VLOOKUP(C1085,[1]Material!F:J,5,0)</f>
        <v>Fedex</v>
      </c>
      <c r="E1085" s="367">
        <f>_xlfn.XLOOKUP(C1085,[1]Material!$F:$F,[1]Material!$D:$D)</f>
        <v>0.6</v>
      </c>
      <c r="G1085" s="82"/>
      <c r="H1085" s="82">
        <v>0</v>
      </c>
      <c r="I1085" s="82">
        <v>20.905563772897942</v>
      </c>
      <c r="J1085" s="82"/>
      <c r="K1085" s="82"/>
      <c r="L1085" s="82"/>
      <c r="M1085" s="59">
        <f t="shared" si="36"/>
        <v>20.905563772897942</v>
      </c>
    </row>
    <row r="1086" spans="1:13" hidden="1" outlineLevel="2">
      <c r="A1086" s="535">
        <v>46113</v>
      </c>
      <c r="B1086" t="s">
        <v>804</v>
      </c>
      <c r="C1086" s="148">
        <v>399674774323</v>
      </c>
      <c r="D1086" s="341" t="str">
        <f>VLOOKUP(C1086,[1]Material!F:J,5,0)</f>
        <v>Fedex</v>
      </c>
      <c r="E1086" s="367">
        <f>_xlfn.XLOOKUP(C1086,[1]Material!$F:$F,[1]Material!$D:$D)</f>
        <v>1.1000000000000001</v>
      </c>
      <c r="G1086" s="82">
        <v>0</v>
      </c>
      <c r="H1086" s="82">
        <v>30.340956498653622</v>
      </c>
      <c r="I1086" s="82">
        <v>19.145484886411044</v>
      </c>
      <c r="J1086" s="82"/>
      <c r="K1086" s="82"/>
      <c r="L1086" s="82">
        <v>0</v>
      </c>
      <c r="M1086" s="59">
        <f t="shared" si="36"/>
        <v>49.486441385064666</v>
      </c>
    </row>
    <row r="1087" spans="1:13" hidden="1" outlineLevel="2">
      <c r="A1087" s="535">
        <v>46113</v>
      </c>
      <c r="B1087" t="s">
        <v>804</v>
      </c>
      <c r="C1087" s="148">
        <v>399828592985</v>
      </c>
      <c r="D1087" s="341" t="str">
        <f>VLOOKUP(C1087,[1]Material!F:J,5,0)</f>
        <v>Fedex</v>
      </c>
      <c r="E1087" s="367">
        <f>_xlfn.XLOOKUP(C1087,[1]Material!$F:$F,[1]Material!$D:$D)</f>
        <v>1.2</v>
      </c>
      <c r="G1087" s="82">
        <v>0</v>
      </c>
      <c r="H1087" s="82">
        <v>30.340956498653622</v>
      </c>
      <c r="I1087" s="82">
        <v>16.485796639739068</v>
      </c>
      <c r="J1087" s="82"/>
      <c r="K1087" s="82"/>
      <c r="L1087" s="82">
        <v>0</v>
      </c>
      <c r="M1087" s="59">
        <f t="shared" si="36"/>
        <v>46.826753138392689</v>
      </c>
    </row>
    <row r="1088" spans="1:13" hidden="1" outlineLevel="2">
      <c r="A1088" s="535">
        <v>46113</v>
      </c>
      <c r="B1088" t="s">
        <v>804</v>
      </c>
      <c r="C1088" s="148">
        <v>399828625844</v>
      </c>
      <c r="D1088" s="341" t="str">
        <f>VLOOKUP(C1088,[1]Material!F:J,5,0)</f>
        <v>Fedex</v>
      </c>
      <c r="E1088" s="367">
        <f>_xlfn.XLOOKUP(C1088,[1]Material!$F:$F,[1]Material!$D:$D)</f>
        <v>1.3</v>
      </c>
      <c r="G1088" s="82">
        <v>0</v>
      </c>
      <c r="H1088" s="82">
        <v>30.340956498653622</v>
      </c>
      <c r="I1088" s="82">
        <v>16.485796639739068</v>
      </c>
      <c r="J1088" s="82"/>
      <c r="K1088" s="82"/>
      <c r="L1088" s="82">
        <v>0</v>
      </c>
      <c r="M1088" s="59">
        <f t="shared" si="36"/>
        <v>46.826753138392689</v>
      </c>
    </row>
    <row r="1089" spans="1:13" hidden="1" outlineLevel="2">
      <c r="A1089" s="535">
        <v>46113</v>
      </c>
      <c r="B1089" t="s">
        <v>378</v>
      </c>
      <c r="C1089" s="148">
        <v>409298915033</v>
      </c>
      <c r="D1089" s="341" t="str">
        <f>VLOOKUP(C1089,[1]Material!F:J,5,0)</f>
        <v>Fedex</v>
      </c>
      <c r="E1089" s="367">
        <f>_xlfn.XLOOKUP(C1089,[1]Material!$F:$F,[1]Material!$D:$D)</f>
        <v>0.9</v>
      </c>
      <c r="G1089" s="82">
        <v>0</v>
      </c>
      <c r="H1089" s="82">
        <v>30.340956498653622</v>
      </c>
      <c r="I1089" s="82">
        <v>14.93127773353055</v>
      </c>
      <c r="J1089" s="82"/>
      <c r="K1089" s="82"/>
      <c r="L1089" s="82">
        <v>0</v>
      </c>
      <c r="M1089" s="59">
        <f t="shared" si="36"/>
        <v>45.272234232184175</v>
      </c>
    </row>
    <row r="1090" spans="1:13" hidden="1" outlineLevel="2">
      <c r="A1090" s="535">
        <v>46113</v>
      </c>
      <c r="B1090" t="s">
        <v>378</v>
      </c>
      <c r="C1090" s="148">
        <v>409298916198</v>
      </c>
      <c r="D1090" s="341" t="str">
        <f>VLOOKUP(C1090,[1]Material!F:J,5,0)</f>
        <v>Fedex</v>
      </c>
      <c r="E1090" s="367">
        <f>_xlfn.XLOOKUP(C1090,[1]Material!$F:$F,[1]Material!$D:$D)</f>
        <v>31.7</v>
      </c>
      <c r="G1090" s="82">
        <v>0</v>
      </c>
      <c r="H1090" s="82">
        <v>30.340956498653622</v>
      </c>
      <c r="I1090" s="82">
        <v>112.13604126370083</v>
      </c>
      <c r="J1090" s="82"/>
      <c r="K1090" s="82"/>
      <c r="L1090" s="82">
        <v>0</v>
      </c>
      <c r="M1090" s="59">
        <f t="shared" si="36"/>
        <v>142.47699776235444</v>
      </c>
    </row>
    <row r="1091" spans="1:13" hidden="1" outlineLevel="2">
      <c r="A1091" s="535">
        <v>46113</v>
      </c>
      <c r="B1091" t="s">
        <v>378</v>
      </c>
      <c r="C1091" s="148">
        <v>409298917117</v>
      </c>
      <c r="D1091" s="341" t="str">
        <f>VLOOKUP(C1091,[1]Material!F:J,5,0)</f>
        <v>Fedex</v>
      </c>
      <c r="E1091" s="367">
        <f>_xlfn.XLOOKUP(C1091,[1]Material!$F:$F,[1]Material!$D:$D)</f>
        <v>11.2</v>
      </c>
      <c r="G1091" s="82">
        <v>0</v>
      </c>
      <c r="H1091" s="82">
        <v>30.340956498653622</v>
      </c>
      <c r="I1091" s="82">
        <v>45.791443850267378</v>
      </c>
      <c r="J1091" s="82"/>
      <c r="K1091" s="82"/>
      <c r="L1091" s="82">
        <v>0</v>
      </c>
      <c r="M1091" s="59">
        <f t="shared" si="36"/>
        <v>76.132400348920996</v>
      </c>
    </row>
    <row r="1092" spans="1:13" hidden="1" outlineLevel="2">
      <c r="A1092" s="535">
        <v>46113</v>
      </c>
      <c r="B1092" t="s">
        <v>335</v>
      </c>
      <c r="C1092" s="148">
        <v>477592557250</v>
      </c>
      <c r="D1092" s="341" t="str">
        <f>VLOOKUP(C1092,[1]Material!F:J,5,0)</f>
        <v>Fedex</v>
      </c>
      <c r="E1092" s="367">
        <f>_xlfn.XLOOKUP(C1092,[1]Material!$F:$F,[1]Material!$D:$D)</f>
        <v>244.7</v>
      </c>
      <c r="G1092" s="82">
        <v>0</v>
      </c>
      <c r="H1092" s="82">
        <v>30.340956498653622</v>
      </c>
      <c r="I1092" s="82">
        <v>626.04103614366443</v>
      </c>
      <c r="J1092" s="82"/>
      <c r="K1092" s="82"/>
      <c r="L1092" s="82">
        <v>0</v>
      </c>
      <c r="M1092" s="59">
        <f t="shared" si="36"/>
        <v>656.3819926423181</v>
      </c>
    </row>
    <row r="1093" spans="1:13" hidden="1" outlineLevel="2">
      <c r="A1093" s="535">
        <v>46113</v>
      </c>
      <c r="B1093" t="s">
        <v>335</v>
      </c>
      <c r="C1093" s="148">
        <v>477592558900</v>
      </c>
      <c r="D1093" s="341" t="str">
        <f>VLOOKUP(C1093,[1]Material!F:J,5,0)</f>
        <v>Fedex</v>
      </c>
      <c r="E1093" s="367">
        <f>_xlfn.XLOOKUP(C1093,[1]Material!$F:$F,[1]Material!$D:$D)</f>
        <v>107.5</v>
      </c>
      <c r="G1093" s="82">
        <v>0</v>
      </c>
      <c r="H1093" s="82">
        <v>30.340956498653622</v>
      </c>
      <c r="I1093" s="82">
        <v>286.58850077748701</v>
      </c>
      <c r="J1093" s="82"/>
      <c r="K1093" s="82"/>
      <c r="L1093" s="82">
        <v>0</v>
      </c>
      <c r="M1093" s="59">
        <f t="shared" si="36"/>
        <v>316.92945727614062</v>
      </c>
    </row>
    <row r="1094" spans="1:13" hidden="1" outlineLevel="2">
      <c r="A1094" s="535">
        <v>46113</v>
      </c>
      <c r="B1094" t="s">
        <v>335</v>
      </c>
      <c r="C1094" s="148">
        <v>477592560462</v>
      </c>
      <c r="D1094" s="341" t="str">
        <f>VLOOKUP(C1094,[1]Material!F:J,5,0)</f>
        <v>Fedex</v>
      </c>
      <c r="E1094" s="367">
        <f>_xlfn.XLOOKUP(C1094,[1]Material!$F:$F,[1]Material!$D:$D)</f>
        <v>245.2</v>
      </c>
      <c r="G1094" s="82">
        <v>0</v>
      </c>
      <c r="H1094" s="82">
        <v>30.340956498653622</v>
      </c>
      <c r="I1094" s="82">
        <v>660.68957408882318</v>
      </c>
      <c r="J1094" s="82"/>
      <c r="K1094" s="82"/>
      <c r="L1094" s="82">
        <v>0</v>
      </c>
      <c r="M1094" s="59">
        <f t="shared" si="36"/>
        <v>691.03053058747685</v>
      </c>
    </row>
    <row r="1095" spans="1:13" hidden="1" outlineLevel="2">
      <c r="A1095" s="535">
        <v>46113</v>
      </c>
      <c r="B1095" t="s">
        <v>1698</v>
      </c>
      <c r="C1095" s="148">
        <v>479272029720</v>
      </c>
      <c r="D1095" s="341" t="str">
        <f>VLOOKUP(C1095,[1]Material!F:J,5,0)</f>
        <v>Fedex</v>
      </c>
      <c r="E1095" s="367">
        <f>_xlfn.XLOOKUP(C1095,[1]Material!$F:$F,[1]Material!$D:$D)</f>
        <v>5.9</v>
      </c>
      <c r="G1095" s="82">
        <v>0</v>
      </c>
      <c r="H1095" s="82">
        <v>15.170478249326811</v>
      </c>
      <c r="I1095" s="82">
        <v>0</v>
      </c>
      <c r="J1095" s="82"/>
      <c r="K1095" s="82"/>
      <c r="L1095" s="82">
        <v>0</v>
      </c>
      <c r="M1095" s="59">
        <f t="shared" si="36"/>
        <v>15.170478249326811</v>
      </c>
    </row>
    <row r="1096" spans="1:13" hidden="1" outlineLevel="2">
      <c r="A1096" s="535">
        <v>46113</v>
      </c>
      <c r="B1096" t="s">
        <v>110</v>
      </c>
      <c r="C1096" s="148">
        <v>483570644091</v>
      </c>
      <c r="D1096" s="341" t="str">
        <f>VLOOKUP(C1096,[1]Material!F:J,5,0)</f>
        <v>Fedex</v>
      </c>
      <c r="E1096" s="367">
        <f>_xlfn.XLOOKUP(C1096,[1]Material!$F:$F,[1]Material!$D:$D)</f>
        <v>1.7</v>
      </c>
      <c r="G1096" s="82">
        <v>0</v>
      </c>
      <c r="H1096" s="82">
        <v>15.170478249326811</v>
      </c>
      <c r="I1096" s="82">
        <v>0</v>
      </c>
      <c r="J1096" s="82"/>
      <c r="K1096" s="82"/>
      <c r="L1096" s="82">
        <v>0</v>
      </c>
      <c r="M1096" s="59">
        <f t="shared" si="36"/>
        <v>15.170478249326811</v>
      </c>
    </row>
    <row r="1097" spans="1:13" hidden="1" outlineLevel="2">
      <c r="A1097" s="535">
        <v>46113</v>
      </c>
      <c r="B1097" t="s">
        <v>1622</v>
      </c>
      <c r="C1097" s="148">
        <v>484112424465</v>
      </c>
      <c r="D1097" s="341" t="str">
        <f>VLOOKUP(C1097,[1]Material!F:J,5,0)</f>
        <v>Fedex</v>
      </c>
      <c r="E1097" s="367">
        <f>_xlfn.XLOOKUP(C1097,[1]Material!$F:$F,[1]Material!$D:$D)</f>
        <v>1.5</v>
      </c>
      <c r="G1097" s="82">
        <v>0</v>
      </c>
      <c r="H1097" s="82">
        <v>15.170478249326811</v>
      </c>
      <c r="I1097" s="82">
        <v>0</v>
      </c>
      <c r="J1097" s="82"/>
      <c r="K1097" s="82"/>
      <c r="L1097" s="82">
        <v>0</v>
      </c>
      <c r="M1097" s="59">
        <f t="shared" si="36"/>
        <v>15.170478249326811</v>
      </c>
    </row>
    <row r="1098" spans="1:13" hidden="1" outlineLevel="2">
      <c r="A1098" s="535">
        <v>46113</v>
      </c>
      <c r="B1098" t="s">
        <v>376</v>
      </c>
      <c r="C1098" s="148">
        <v>484361660532</v>
      </c>
      <c r="D1098" s="341" t="str">
        <f>VLOOKUP(C1098,[1]Material!F:J,5,0)</f>
        <v>Fedex</v>
      </c>
      <c r="E1098" s="367">
        <f>_xlfn.XLOOKUP(C1098,[1]Material!$F:$F,[1]Material!$D:$D)</f>
        <v>52</v>
      </c>
      <c r="G1098" s="82">
        <v>0</v>
      </c>
      <c r="H1098" s="82">
        <v>30.340956498653622</v>
      </c>
      <c r="I1098" s="82">
        <v>156.61694542420449</v>
      </c>
      <c r="J1098" s="82"/>
      <c r="K1098" s="82"/>
      <c r="L1098" s="82">
        <v>0</v>
      </c>
      <c r="M1098" s="59">
        <f t="shared" si="36"/>
        <v>186.9579019228581</v>
      </c>
    </row>
    <row r="1099" spans="1:13" hidden="1" outlineLevel="2">
      <c r="A1099" s="535">
        <v>46113</v>
      </c>
      <c r="B1099" t="s">
        <v>376</v>
      </c>
      <c r="C1099" s="148">
        <v>484361661333</v>
      </c>
      <c r="D1099" s="341" t="str">
        <f>VLOOKUP(C1099,[1]Material!F:J,5,0)</f>
        <v>Fedex</v>
      </c>
      <c r="E1099" s="367">
        <f>_xlfn.XLOOKUP(C1099,[1]Material!$F:$F,[1]Material!$D:$D)</f>
        <v>74.5</v>
      </c>
      <c r="G1099" s="82">
        <v>0</v>
      </c>
      <c r="H1099" s="82">
        <v>30.340956498653622</v>
      </c>
      <c r="I1099" s="82">
        <v>198.61061174953539</v>
      </c>
      <c r="J1099" s="82"/>
      <c r="K1099" s="82"/>
      <c r="L1099" s="82">
        <v>0</v>
      </c>
      <c r="M1099" s="59">
        <f t="shared" si="36"/>
        <v>228.95156824818901</v>
      </c>
    </row>
    <row r="1100" spans="1:13" hidden="1" outlineLevel="2">
      <c r="A1100" s="535">
        <v>46113</v>
      </c>
      <c r="B1100" t="s">
        <v>376</v>
      </c>
      <c r="C1100" s="148">
        <v>484361662580</v>
      </c>
      <c r="D1100" s="341" t="str">
        <f>VLOOKUP(C1100,[1]Material!F:J,5,0)</f>
        <v>Fedex</v>
      </c>
      <c r="E1100" s="367">
        <f>_xlfn.XLOOKUP(C1100,[1]Material!$F:$F,[1]Material!$D:$D)</f>
        <v>99.5</v>
      </c>
      <c r="G1100" s="82">
        <v>0</v>
      </c>
      <c r="H1100" s="82">
        <v>30.340956498653622</v>
      </c>
      <c r="I1100" s="82">
        <v>264.27579929457278</v>
      </c>
      <c r="J1100" s="82"/>
      <c r="K1100" s="82"/>
      <c r="L1100" s="82">
        <v>0</v>
      </c>
      <c r="M1100" s="59">
        <f t="shared" si="36"/>
        <v>294.61675579322639</v>
      </c>
    </row>
    <row r="1101" spans="1:13" hidden="1" outlineLevel="2">
      <c r="A1101" s="535">
        <v>46113</v>
      </c>
      <c r="B1101" t="s">
        <v>376</v>
      </c>
      <c r="C1101" s="148">
        <v>484361663108</v>
      </c>
      <c r="D1101" s="341" t="str">
        <f>VLOOKUP(C1101,[1]Material!F:J,5,0)</f>
        <v>Fedex</v>
      </c>
      <c r="E1101" s="367">
        <f>_xlfn.XLOOKUP(C1101,[1]Material!$F:$F,[1]Material!$D:$D)</f>
        <v>13.7</v>
      </c>
      <c r="G1101" s="82">
        <v>0</v>
      </c>
      <c r="H1101" s="82">
        <v>30.340956498653622</v>
      </c>
      <c r="I1101" s="82">
        <v>48.415709030227177</v>
      </c>
      <c r="J1101" s="82"/>
      <c r="K1101" s="82"/>
      <c r="L1101" s="82">
        <v>0</v>
      </c>
      <c r="M1101" s="59">
        <f t="shared" si="36"/>
        <v>78.756665528880802</v>
      </c>
    </row>
    <row r="1102" spans="1:13" hidden="1" outlineLevel="2">
      <c r="A1102" s="535">
        <v>46113</v>
      </c>
      <c r="B1102" t="s">
        <v>965</v>
      </c>
      <c r="C1102" s="148">
        <v>493641428373</v>
      </c>
      <c r="D1102" s="341" t="str">
        <f>VLOOKUP(C1102,[1]Material!F:J,5,0)</f>
        <v>Fedex</v>
      </c>
      <c r="E1102" s="367">
        <f>_xlfn.XLOOKUP(C1102,[1]Material!$F:$F,[1]Material!$D:$D)</f>
        <v>13.5</v>
      </c>
      <c r="G1102" s="82">
        <v>0</v>
      </c>
      <c r="H1102" s="82">
        <v>30.340956498653622</v>
      </c>
      <c r="I1102" s="82">
        <v>65.308415822808811</v>
      </c>
      <c r="J1102" s="82"/>
      <c r="K1102" s="82"/>
      <c r="L1102" s="82">
        <v>0</v>
      </c>
      <c r="M1102" s="59">
        <f t="shared" si="36"/>
        <v>95.649372321462437</v>
      </c>
    </row>
    <row r="1103" spans="1:13" hidden="1" outlineLevel="2">
      <c r="A1103" s="535">
        <v>46113</v>
      </c>
      <c r="B1103" t="s">
        <v>965</v>
      </c>
      <c r="C1103" s="148">
        <v>493641433410</v>
      </c>
      <c r="D1103" s="341" t="str">
        <f>VLOOKUP(C1103,[1]Material!F:J,5,0)</f>
        <v>Fedex</v>
      </c>
      <c r="E1103" s="367">
        <f>_xlfn.XLOOKUP(C1103,[1]Material!$F:$F,[1]Material!$D:$D)</f>
        <v>20</v>
      </c>
      <c r="G1103" s="82">
        <v>0</v>
      </c>
      <c r="H1103" s="82">
        <v>30.340956498653622</v>
      </c>
      <c r="I1103" s="82">
        <v>122.6478552736375</v>
      </c>
      <c r="J1103" s="82"/>
      <c r="K1103" s="82"/>
      <c r="L1103" s="82">
        <v>0</v>
      </c>
      <c r="M1103" s="59">
        <f t="shared" si="36"/>
        <v>152.98881177229111</v>
      </c>
    </row>
    <row r="1104" spans="1:13" hidden="1" outlineLevel="2">
      <c r="A1104" s="535">
        <v>46113</v>
      </c>
      <c r="B1104" t="s">
        <v>945</v>
      </c>
      <c r="C1104" s="148">
        <v>500292530030</v>
      </c>
      <c r="D1104" s="341" t="str">
        <f>VLOOKUP(C1104,[1]Material!F:J,5,0)</f>
        <v>Fedex</v>
      </c>
      <c r="E1104" s="367">
        <f>_xlfn.XLOOKUP(C1104,[1]Material!$F:$F,[1]Material!$D:$D)</f>
        <v>10</v>
      </c>
      <c r="G1104" s="82">
        <v>0</v>
      </c>
      <c r="H1104" s="82">
        <v>15.170478249326811</v>
      </c>
      <c r="I1104" s="82">
        <v>0</v>
      </c>
      <c r="J1104" s="82"/>
      <c r="K1104" s="82"/>
      <c r="L1104" s="82">
        <v>0</v>
      </c>
      <c r="M1104" s="59">
        <f t="shared" si="36"/>
        <v>15.170478249326811</v>
      </c>
    </row>
    <row r="1105" spans="1:13" hidden="1" outlineLevel="2">
      <c r="A1105" s="535">
        <v>46113</v>
      </c>
      <c r="B1105" t="s">
        <v>945</v>
      </c>
      <c r="C1105" s="148">
        <v>500292549050</v>
      </c>
      <c r="D1105" s="341" t="str">
        <f>VLOOKUP(C1105,[1]Material!F:J,5,0)</f>
        <v>Fedex</v>
      </c>
      <c r="E1105" s="367">
        <f>_xlfn.XLOOKUP(C1105,[1]Material!$F:$F,[1]Material!$D:$D)</f>
        <v>20.399999999999999</v>
      </c>
      <c r="G1105" s="82">
        <v>0</v>
      </c>
      <c r="H1105" s="82">
        <v>15.170478249326811</v>
      </c>
      <c r="I1105" s="82">
        <v>0</v>
      </c>
      <c r="J1105" s="82"/>
      <c r="K1105" s="82"/>
      <c r="L1105" s="82">
        <v>0</v>
      </c>
      <c r="M1105" s="59">
        <f t="shared" si="36"/>
        <v>15.170478249326811</v>
      </c>
    </row>
    <row r="1106" spans="1:13" hidden="1" outlineLevel="2">
      <c r="A1106" s="535">
        <v>46113</v>
      </c>
      <c r="B1106" t="s">
        <v>947</v>
      </c>
      <c r="C1106" s="148">
        <v>500292549093</v>
      </c>
      <c r="D1106" s="341" t="str">
        <f>VLOOKUP(C1106,[1]Material!F:J,5,0)</f>
        <v>Fedex</v>
      </c>
      <c r="E1106" s="367">
        <f>_xlfn.XLOOKUP(C1106,[1]Material!$F:$F,[1]Material!$D:$D)</f>
        <v>54.5</v>
      </c>
      <c r="G1106" s="82">
        <v>0</v>
      </c>
      <c r="H1106" s="82">
        <v>15.170478249326811</v>
      </c>
      <c r="I1106" s="82">
        <v>0</v>
      </c>
      <c r="J1106" s="82"/>
      <c r="K1106" s="82"/>
      <c r="L1106" s="82">
        <v>0</v>
      </c>
      <c r="M1106" s="59">
        <f t="shared" si="36"/>
        <v>15.170478249326811</v>
      </c>
    </row>
    <row r="1107" spans="1:13" hidden="1" outlineLevel="2">
      <c r="A1107" s="535">
        <v>46113</v>
      </c>
      <c r="B1107" t="s">
        <v>945</v>
      </c>
      <c r="C1107" s="148">
        <v>500292549196</v>
      </c>
      <c r="D1107" s="341" t="str">
        <f>VLOOKUP(C1107,[1]Material!F:J,5,0)</f>
        <v>Fedex</v>
      </c>
      <c r="E1107" s="367">
        <f>_xlfn.XLOOKUP(C1107,[1]Material!$F:$F,[1]Material!$D:$D)</f>
        <v>62.5</v>
      </c>
      <c r="G1107" s="82">
        <v>0</v>
      </c>
      <c r="H1107" s="82">
        <v>15.170478249326811</v>
      </c>
      <c r="I1107" s="82">
        <v>0</v>
      </c>
      <c r="J1107" s="82"/>
      <c r="K1107" s="82"/>
      <c r="L1107" s="82">
        <v>0</v>
      </c>
      <c r="M1107" s="59">
        <f t="shared" si="36"/>
        <v>15.170478249326811</v>
      </c>
    </row>
    <row r="1108" spans="1:13" hidden="1" outlineLevel="2">
      <c r="A1108" s="535">
        <v>46113</v>
      </c>
      <c r="B1108" t="s">
        <v>945</v>
      </c>
      <c r="C1108" s="148">
        <v>500292557301</v>
      </c>
      <c r="D1108" s="341" t="str">
        <f>VLOOKUP(C1108,[1]Material!F:J,5,0)</f>
        <v>Fedex</v>
      </c>
      <c r="E1108" s="367">
        <f>_xlfn.XLOOKUP(C1108,[1]Material!$F:$F,[1]Material!$D:$D)</f>
        <v>4.2</v>
      </c>
      <c r="G1108" s="82">
        <v>0</v>
      </c>
      <c r="H1108" s="82">
        <v>15.170478249326811</v>
      </c>
      <c r="I1108" s="82">
        <v>0</v>
      </c>
      <c r="J1108" s="82"/>
      <c r="K1108" s="82"/>
      <c r="L1108" s="82">
        <v>0</v>
      </c>
      <c r="M1108" s="59">
        <f t="shared" si="36"/>
        <v>15.170478249326811</v>
      </c>
    </row>
    <row r="1109" spans="1:13" hidden="1" outlineLevel="2">
      <c r="A1109" s="535">
        <v>46113</v>
      </c>
      <c r="B1109" t="s">
        <v>945</v>
      </c>
      <c r="C1109" s="148">
        <v>500292570640</v>
      </c>
      <c r="D1109" s="341" t="str">
        <f>VLOOKUP(C1109,[1]Material!F:J,5,0)</f>
        <v>Fedex</v>
      </c>
      <c r="E1109" s="367">
        <f>_xlfn.XLOOKUP(C1109,[1]Material!$F:$F,[1]Material!$D:$D)</f>
        <v>0.5</v>
      </c>
      <c r="G1109" s="82">
        <v>0</v>
      </c>
      <c r="H1109" s="82">
        <v>15.170478249326811</v>
      </c>
      <c r="I1109" s="82">
        <v>0</v>
      </c>
      <c r="J1109" s="82"/>
      <c r="K1109" s="82"/>
      <c r="L1109" s="82">
        <v>0</v>
      </c>
      <c r="M1109" s="59">
        <f t="shared" si="36"/>
        <v>15.170478249326811</v>
      </c>
    </row>
    <row r="1110" spans="1:13" hidden="1" outlineLevel="2">
      <c r="A1110" s="535">
        <v>46113</v>
      </c>
      <c r="B1110" t="s">
        <v>947</v>
      </c>
      <c r="C1110" s="148">
        <v>500292570971</v>
      </c>
      <c r="D1110" s="341" t="str">
        <f>VLOOKUP(C1110,[1]Material!F:J,5,0)</f>
        <v>Fedex</v>
      </c>
      <c r="E1110" s="367">
        <f>_xlfn.XLOOKUP(C1110,[1]Material!$F:$F,[1]Material!$D:$D)</f>
        <v>1</v>
      </c>
      <c r="G1110" s="82">
        <v>0</v>
      </c>
      <c r="H1110" s="82">
        <v>15.170478249326811</v>
      </c>
      <c r="I1110" s="82">
        <v>0</v>
      </c>
      <c r="J1110" s="82"/>
      <c r="K1110" s="82"/>
      <c r="L1110" s="82">
        <v>0</v>
      </c>
      <c r="M1110" s="59">
        <f t="shared" si="36"/>
        <v>15.170478249326811</v>
      </c>
    </row>
    <row r="1111" spans="1:13" hidden="1" outlineLevel="2">
      <c r="A1111" s="535">
        <v>46113</v>
      </c>
      <c r="B1111" t="s">
        <v>809</v>
      </c>
      <c r="C1111" s="148">
        <v>511467685166</v>
      </c>
      <c r="D1111" s="341" t="str">
        <f>VLOOKUP(C1111,[1]Material!F:J,5,0)</f>
        <v>Fedex</v>
      </c>
      <c r="E1111" s="367">
        <f>_xlfn.XLOOKUP(C1111,[1]Material!$F:$F,[1]Material!$D:$D)</f>
        <v>0.2</v>
      </c>
      <c r="G1111" s="82">
        <v>0</v>
      </c>
      <c r="H1111" s="82">
        <v>30.340956498653622</v>
      </c>
      <c r="I1111" s="82">
        <v>20.06527098266773</v>
      </c>
      <c r="J1111" s="82"/>
      <c r="K1111" s="82"/>
      <c r="L1111" s="82">
        <v>0</v>
      </c>
      <c r="M1111" s="59">
        <f t="shared" si="36"/>
        <v>50.406227481321352</v>
      </c>
    </row>
    <row r="1112" spans="1:13" hidden="1" outlineLevel="2">
      <c r="A1112" s="535">
        <v>46113</v>
      </c>
      <c r="B1112" t="s">
        <v>1872</v>
      </c>
      <c r="C1112" s="148">
        <v>513942248391</v>
      </c>
      <c r="D1112" s="341" t="str">
        <f>VLOOKUP(C1112,[1]Material!F:J,5,0)</f>
        <v>Fedex</v>
      </c>
      <c r="E1112" s="367">
        <f>_xlfn.XLOOKUP(C1112,[1]Material!$F:$F,[1]Material!$D:$D)</f>
        <v>4.0999999999999996</v>
      </c>
      <c r="G1112" s="82">
        <v>0</v>
      </c>
      <c r="H1112" s="82">
        <v>30.340956498653622</v>
      </c>
      <c r="I1112" s="82">
        <v>32.183979974968707</v>
      </c>
      <c r="J1112" s="82"/>
      <c r="K1112" s="82"/>
      <c r="L1112" s="82">
        <v>0</v>
      </c>
      <c r="M1112" s="59">
        <f t="shared" si="36"/>
        <v>62.524936473622333</v>
      </c>
    </row>
    <row r="1113" spans="1:13" hidden="1" outlineLevel="2">
      <c r="A1113" s="535">
        <v>46113</v>
      </c>
      <c r="B1113" t="s">
        <v>1811</v>
      </c>
      <c r="C1113" s="148">
        <v>513942252545</v>
      </c>
      <c r="D1113" s="341" t="str">
        <f>VLOOKUP(C1113,[1]Material!F:J,5,0)</f>
        <v>Fedex</v>
      </c>
      <c r="E1113" s="367">
        <f>_xlfn.XLOOKUP(C1113,[1]Material!$F:$F,[1]Material!$D:$D)</f>
        <v>1.6</v>
      </c>
      <c r="G1113" s="82">
        <v>0</v>
      </c>
      <c r="H1113" s="82">
        <v>15.170478249326811</v>
      </c>
      <c r="I1113" s="82">
        <v>0</v>
      </c>
      <c r="J1113" s="82"/>
      <c r="K1113" s="82"/>
      <c r="L1113" s="82">
        <v>0</v>
      </c>
      <c r="M1113" s="59">
        <f t="shared" si="36"/>
        <v>15.170478249326811</v>
      </c>
    </row>
    <row r="1114" spans="1:13" hidden="1" outlineLevel="2">
      <c r="A1114" s="535">
        <v>46113</v>
      </c>
      <c r="B1114" t="s">
        <v>801</v>
      </c>
      <c r="C1114" s="148">
        <v>515199055078</v>
      </c>
      <c r="D1114" s="341" t="str">
        <f>VLOOKUP(C1114,[1]Material!F:J,5,0)</f>
        <v>Fedex</v>
      </c>
      <c r="E1114" s="367">
        <f>_xlfn.XLOOKUP(C1114,[1]Material!$F:$F,[1]Material!$D:$D)</f>
        <v>21.3</v>
      </c>
      <c r="G1114" s="82">
        <v>0</v>
      </c>
      <c r="H1114" s="82">
        <v>30.340956498653622</v>
      </c>
      <c r="I1114" s="82">
        <v>89.12553570751318</v>
      </c>
      <c r="J1114" s="82"/>
      <c r="K1114" s="82"/>
      <c r="L1114" s="82">
        <v>0</v>
      </c>
      <c r="M1114" s="59">
        <f t="shared" si="36"/>
        <v>119.46649220616681</v>
      </c>
    </row>
    <row r="1115" spans="1:13" hidden="1" outlineLevel="2">
      <c r="A1115" s="535">
        <v>46113</v>
      </c>
      <c r="B1115" t="s">
        <v>801</v>
      </c>
      <c r="C1115" s="148">
        <v>515199055869</v>
      </c>
      <c r="D1115" s="341" t="str">
        <f>VLOOKUP(C1115,[1]Material!F:J,5,0)</f>
        <v>Fedex</v>
      </c>
      <c r="E1115" s="367">
        <f>_xlfn.XLOOKUP(C1115,[1]Material!$F:$F,[1]Material!$D:$D)</f>
        <v>118.9</v>
      </c>
      <c r="G1115" s="82">
        <v>0</v>
      </c>
      <c r="H1115" s="82">
        <v>30.340956498653622</v>
      </c>
      <c r="I1115" s="82">
        <v>357.5782227784731</v>
      </c>
      <c r="J1115" s="82"/>
      <c r="K1115" s="82"/>
      <c r="L1115" s="82">
        <v>0</v>
      </c>
      <c r="M1115" s="59">
        <f t="shared" si="36"/>
        <v>387.91917927712672</v>
      </c>
    </row>
    <row r="1116" spans="1:13" hidden="1" outlineLevel="2">
      <c r="A1116" s="535">
        <v>46113</v>
      </c>
      <c r="B1116" t="s">
        <v>950</v>
      </c>
      <c r="C1116" s="148">
        <v>515814924496</v>
      </c>
      <c r="D1116" s="341" t="str">
        <f>VLOOKUP(C1116,[1]Material!F:J,5,0)</f>
        <v>Fedex</v>
      </c>
      <c r="E1116" s="367">
        <f>_xlfn.XLOOKUP(C1116,[1]Material!$F:$F,[1]Material!$D:$D)</f>
        <v>0.3</v>
      </c>
      <c r="G1116" s="82">
        <v>0</v>
      </c>
      <c r="H1116" s="82">
        <v>15.170478249326811</v>
      </c>
      <c r="I1116" s="82">
        <v>0</v>
      </c>
      <c r="J1116" s="82"/>
      <c r="K1116" s="82"/>
      <c r="L1116" s="82">
        <v>0</v>
      </c>
      <c r="M1116" s="59">
        <f t="shared" si="36"/>
        <v>15.170478249326811</v>
      </c>
    </row>
    <row r="1117" spans="1:13" hidden="1" outlineLevel="2">
      <c r="A1117" s="535">
        <v>46113</v>
      </c>
      <c r="B1117" t="s">
        <v>178</v>
      </c>
      <c r="C1117" s="148">
        <v>516007418206</v>
      </c>
      <c r="D1117" s="341" t="str">
        <f>VLOOKUP(C1117,[1]Material!F:J,5,0)</f>
        <v>Fedex</v>
      </c>
      <c r="E1117" s="367">
        <f>_xlfn.XLOOKUP(C1117,[1]Material!$F:$F,[1]Material!$D:$D)</f>
        <v>0.6</v>
      </c>
      <c r="G1117" s="82">
        <v>0</v>
      </c>
      <c r="H1117" s="82">
        <v>30.340956498653622</v>
      </c>
      <c r="I1117" s="82">
        <v>26.818712784920546</v>
      </c>
      <c r="J1117" s="82"/>
      <c r="K1117" s="82"/>
      <c r="L1117" s="82">
        <v>0</v>
      </c>
      <c r="M1117" s="59">
        <f t="shared" si="36"/>
        <v>57.159669283574168</v>
      </c>
    </row>
    <row r="1118" spans="1:13" hidden="1" outlineLevel="2">
      <c r="A1118" s="535">
        <v>46113</v>
      </c>
      <c r="B1118" t="s">
        <v>178</v>
      </c>
      <c r="C1118" s="148">
        <v>516007418217</v>
      </c>
      <c r="D1118" s="341" t="str">
        <f>VLOOKUP(C1118,[1]Material!F:J,5,0)</f>
        <v>Fedex</v>
      </c>
      <c r="E1118" s="367">
        <f>_xlfn.XLOOKUP(C1118,[1]Material!$F:$F,[1]Material!$D:$D)</f>
        <v>1.3</v>
      </c>
      <c r="G1118" s="82">
        <v>0</v>
      </c>
      <c r="H1118" s="82">
        <v>30.340956498653622</v>
      </c>
      <c r="I1118" s="82">
        <v>26.818712784920546</v>
      </c>
      <c r="J1118" s="82"/>
      <c r="K1118" s="82"/>
      <c r="L1118" s="82">
        <v>0</v>
      </c>
      <c r="M1118" s="59">
        <f t="shared" si="36"/>
        <v>57.159669283574168</v>
      </c>
    </row>
    <row r="1119" spans="1:13" hidden="1" outlineLevel="2">
      <c r="A1119" s="535">
        <v>46113</v>
      </c>
      <c r="B1119" t="s">
        <v>178</v>
      </c>
      <c r="C1119" s="148">
        <v>516007418228</v>
      </c>
      <c r="D1119" s="341" t="str">
        <f>VLOOKUP(C1119,[1]Material!F:J,5,0)</f>
        <v>Fedex</v>
      </c>
      <c r="E1119" s="367">
        <f>_xlfn.XLOOKUP(C1119,[1]Material!$F:$F,[1]Material!$D:$D)</f>
        <v>1.9</v>
      </c>
      <c r="G1119" s="82">
        <v>0</v>
      </c>
      <c r="H1119" s="82">
        <v>30.340956498653622</v>
      </c>
      <c r="I1119" s="82">
        <v>28.11559904425987</v>
      </c>
      <c r="J1119" s="82"/>
      <c r="K1119" s="82"/>
      <c r="L1119" s="82">
        <v>0</v>
      </c>
      <c r="M1119" s="59">
        <f t="shared" si="36"/>
        <v>58.456555542913492</v>
      </c>
    </row>
    <row r="1120" spans="1:13" hidden="1" outlineLevel="2">
      <c r="A1120" s="535">
        <v>46113</v>
      </c>
      <c r="B1120" t="s">
        <v>964</v>
      </c>
      <c r="C1120" s="148">
        <v>518014273816</v>
      </c>
      <c r="D1120" s="341" t="str">
        <f>VLOOKUP(C1120,[1]Material!F:J,5,0)</f>
        <v>Fedex</v>
      </c>
      <c r="E1120" s="367">
        <f>_xlfn.XLOOKUP(C1120,[1]Material!$F:$F,[1]Material!$D:$D)</f>
        <v>1</v>
      </c>
      <c r="G1120" s="82">
        <v>0</v>
      </c>
      <c r="H1120" s="82">
        <v>30.340956498653622</v>
      </c>
      <c r="I1120" s="82">
        <v>16.485796639739068</v>
      </c>
      <c r="J1120" s="82"/>
      <c r="K1120" s="82"/>
      <c r="L1120" s="82">
        <v>0</v>
      </c>
      <c r="M1120" s="59">
        <f t="shared" si="36"/>
        <v>46.826753138392689</v>
      </c>
    </row>
    <row r="1121" spans="1:13" hidden="1" outlineLevel="2">
      <c r="A1121" s="535">
        <v>46113</v>
      </c>
      <c r="B1121" t="s">
        <v>961</v>
      </c>
      <c r="C1121" s="148">
        <v>518717842086</v>
      </c>
      <c r="D1121" s="341" t="str">
        <f>VLOOKUP(C1121,[1]Material!F:J,5,0)</f>
        <v>Fedex</v>
      </c>
      <c r="E1121" s="367">
        <f>_xlfn.XLOOKUP(C1121,[1]Material!$F:$F,[1]Material!$D:$D)</f>
        <v>0.5</v>
      </c>
      <c r="G1121" s="82">
        <v>0</v>
      </c>
      <c r="H1121" s="82">
        <v>15.170478249326811</v>
      </c>
      <c r="I1121" s="82">
        <v>0</v>
      </c>
      <c r="J1121" s="82"/>
      <c r="K1121" s="82"/>
      <c r="L1121" s="82">
        <v>0</v>
      </c>
      <c r="M1121" s="59">
        <f t="shared" si="36"/>
        <v>15.170478249326811</v>
      </c>
    </row>
    <row r="1122" spans="1:13" hidden="1" outlineLevel="2">
      <c r="A1122" s="535">
        <v>46113</v>
      </c>
      <c r="B1122" t="s">
        <v>968</v>
      </c>
      <c r="C1122" s="148">
        <v>520413794146</v>
      </c>
      <c r="D1122" s="341" t="str">
        <f>VLOOKUP(C1122,[1]Material!F:J,5,0)</f>
        <v>Fedex</v>
      </c>
      <c r="E1122" s="367">
        <f>_xlfn.XLOOKUP(C1122,[1]Material!$F:$F,[1]Material!$D:$D)</f>
        <v>0.5</v>
      </c>
      <c r="G1122" s="82">
        <v>0</v>
      </c>
      <c r="H1122" s="82">
        <v>15.170478249326811</v>
      </c>
      <c r="I1122" s="82">
        <v>0</v>
      </c>
      <c r="J1122" s="82"/>
      <c r="K1122" s="82"/>
      <c r="L1122" s="82">
        <v>0</v>
      </c>
      <c r="M1122" s="59">
        <f t="shared" si="36"/>
        <v>15.170478249326811</v>
      </c>
    </row>
    <row r="1123" spans="1:13" hidden="1" outlineLevel="2">
      <c r="A1123" s="535">
        <v>46113</v>
      </c>
      <c r="B1123" t="s">
        <v>968</v>
      </c>
      <c r="C1123" s="148">
        <v>520413883119</v>
      </c>
      <c r="D1123" s="341" t="str">
        <f>VLOOKUP(C1123,[1]Material!F:J,5,0)</f>
        <v>Fedex</v>
      </c>
      <c r="E1123" s="367">
        <f>_xlfn.XLOOKUP(C1123,[1]Material!$F:$F,[1]Material!$D:$D)</f>
        <v>7.5</v>
      </c>
      <c r="G1123" s="82">
        <v>0</v>
      </c>
      <c r="H1123" s="82">
        <v>15.170478249326811</v>
      </c>
      <c r="I1123" s="82">
        <v>0</v>
      </c>
      <c r="J1123" s="82"/>
      <c r="K1123" s="82"/>
      <c r="L1123" s="82">
        <v>0</v>
      </c>
      <c r="M1123" s="59">
        <f t="shared" si="36"/>
        <v>15.170478249326811</v>
      </c>
    </row>
    <row r="1124" spans="1:13" hidden="1" outlineLevel="2">
      <c r="A1124" s="535">
        <v>46113</v>
      </c>
      <c r="B1124" t="s">
        <v>963</v>
      </c>
      <c r="C1124" s="148">
        <v>522128017411</v>
      </c>
      <c r="D1124" s="341" t="str">
        <f>VLOOKUP(C1124,[1]Material!F:J,5,0)</f>
        <v>Fedex</v>
      </c>
      <c r="E1124" s="367">
        <f>_xlfn.XLOOKUP(C1124,[1]Material!$F:$F,[1]Material!$D:$D)</f>
        <v>0.7</v>
      </c>
      <c r="G1124" s="82">
        <v>0</v>
      </c>
      <c r="H1124" s="82">
        <v>15.170478249326811</v>
      </c>
      <c r="I1124" s="82">
        <v>0</v>
      </c>
      <c r="J1124" s="82"/>
      <c r="K1124" s="82"/>
      <c r="L1124" s="82">
        <v>0</v>
      </c>
      <c r="M1124" s="59">
        <f t="shared" si="36"/>
        <v>15.170478249326811</v>
      </c>
    </row>
    <row r="1125" spans="1:13" hidden="1" outlineLevel="2">
      <c r="A1125" s="535">
        <v>46113</v>
      </c>
      <c r="B1125" t="s">
        <v>983</v>
      </c>
      <c r="C1125" s="148">
        <v>679865600602</v>
      </c>
      <c r="D1125" s="341" t="str">
        <f>VLOOKUP(C1125,[1]Material!F:J,5,0)</f>
        <v>Fedex</v>
      </c>
      <c r="E1125" s="367">
        <f>_xlfn.XLOOKUP(C1125,[1]Material!$F:$F,[1]Material!$D:$D)</f>
        <v>9.1</v>
      </c>
      <c r="G1125" s="82">
        <v>0</v>
      </c>
      <c r="H1125" s="82">
        <v>30.340956498653622</v>
      </c>
      <c r="I1125" s="82">
        <v>43.052907042894525</v>
      </c>
      <c r="J1125" s="82"/>
      <c r="K1125" s="82"/>
      <c r="L1125" s="82">
        <v>0</v>
      </c>
      <c r="M1125" s="59">
        <f t="shared" si="36"/>
        <v>73.393863541548143</v>
      </c>
    </row>
    <row r="1126" spans="1:13" hidden="1" outlineLevel="2">
      <c r="A1126" s="535">
        <v>46113</v>
      </c>
      <c r="B1126" t="s">
        <v>983</v>
      </c>
      <c r="C1126" s="148">
        <v>679865600885</v>
      </c>
      <c r="D1126" s="341" t="str">
        <f>VLOOKUP(C1126,[1]Material!F:J,5,0)</f>
        <v>Fedex</v>
      </c>
      <c r="E1126" s="367">
        <f>_xlfn.XLOOKUP(C1126,[1]Material!$F:$F,[1]Material!$D:$D)</f>
        <v>30</v>
      </c>
      <c r="G1126" s="82">
        <v>0</v>
      </c>
      <c r="H1126" s="82">
        <v>30.340956498653622</v>
      </c>
      <c r="I1126" s="82">
        <v>105.73755072628664</v>
      </c>
      <c r="J1126" s="82"/>
      <c r="K1126" s="82"/>
      <c r="L1126" s="82">
        <v>0</v>
      </c>
      <c r="M1126" s="59">
        <f t="shared" si="36"/>
        <v>136.07850722494027</v>
      </c>
    </row>
    <row r="1127" spans="1:13" hidden="1" outlineLevel="2">
      <c r="A1127" s="535">
        <v>46113</v>
      </c>
      <c r="B1127" t="s">
        <v>983</v>
      </c>
      <c r="C1127" s="148">
        <v>679865602329</v>
      </c>
      <c r="D1127" s="341" t="str">
        <f>VLOOKUP(C1127,[1]Material!F:J,5,0)</f>
        <v>Fedex</v>
      </c>
      <c r="E1127" s="367">
        <f>_xlfn.XLOOKUP(C1127,[1]Material!$F:$F,[1]Material!$D:$D)</f>
        <v>2.9</v>
      </c>
      <c r="G1127" s="82">
        <v>0</v>
      </c>
      <c r="H1127" s="82">
        <v>30.340956498653622</v>
      </c>
      <c r="I1127" s="82">
        <v>24.318921378996471</v>
      </c>
      <c r="J1127" s="82"/>
      <c r="K1127" s="82"/>
      <c r="L1127" s="82">
        <v>0</v>
      </c>
      <c r="M1127" s="59">
        <f t="shared" si="36"/>
        <v>54.659877877650089</v>
      </c>
    </row>
    <row r="1128" spans="1:13" hidden="1" outlineLevel="2">
      <c r="A1128" s="535">
        <v>46113</v>
      </c>
      <c r="B1128" t="s">
        <v>945</v>
      </c>
      <c r="C1128" s="148">
        <v>707296303183</v>
      </c>
      <c r="D1128" s="341" t="str">
        <f>VLOOKUP(C1128,[1]Material!F:J,5,0)</f>
        <v>Fedex</v>
      </c>
      <c r="E1128" s="367">
        <f>_xlfn.XLOOKUP(C1128,[1]Material!$F:$F,[1]Material!$D:$D)</f>
        <v>0.5</v>
      </c>
      <c r="G1128" s="82">
        <v>0</v>
      </c>
      <c r="H1128" s="82">
        <v>15.170478249326811</v>
      </c>
      <c r="I1128" s="82">
        <v>0</v>
      </c>
      <c r="J1128" s="82"/>
      <c r="K1128" s="82"/>
      <c r="L1128" s="82">
        <v>0</v>
      </c>
      <c r="M1128" s="59">
        <f t="shared" si="36"/>
        <v>15.170478249326811</v>
      </c>
    </row>
    <row r="1129" spans="1:13" hidden="1" outlineLevel="2">
      <c r="A1129" s="535">
        <v>46113</v>
      </c>
      <c r="B1129" t="s">
        <v>945</v>
      </c>
      <c r="C1129" s="148">
        <v>707296304488</v>
      </c>
      <c r="D1129" s="341" t="str">
        <f>VLOOKUP(C1129,[1]Material!F:J,5,0)</f>
        <v>Fedex</v>
      </c>
      <c r="E1129" s="367">
        <f>_xlfn.XLOOKUP(C1129,[1]Material!$F:$F,[1]Material!$D:$D)</f>
        <v>0.9</v>
      </c>
      <c r="G1129" s="82">
        <v>0</v>
      </c>
      <c r="H1129" s="82">
        <v>15.170478249326811</v>
      </c>
      <c r="I1129" s="82">
        <v>0</v>
      </c>
      <c r="J1129" s="82"/>
      <c r="K1129" s="82"/>
      <c r="L1129" s="82">
        <v>0</v>
      </c>
      <c r="M1129" s="59">
        <f t="shared" si="36"/>
        <v>15.170478249326811</v>
      </c>
    </row>
    <row r="1130" spans="1:13" hidden="1" outlineLevel="2">
      <c r="A1130" s="535">
        <v>46113</v>
      </c>
      <c r="B1130" t="s">
        <v>945</v>
      </c>
      <c r="C1130" s="148">
        <v>707296304775</v>
      </c>
      <c r="D1130" s="341" t="str">
        <f>VLOOKUP(C1130,[1]Material!F:J,5,0)</f>
        <v>Fedex</v>
      </c>
      <c r="E1130" s="367">
        <f>_xlfn.XLOOKUP(C1130,[1]Material!$F:$F,[1]Material!$D:$D)</f>
        <v>2.8</v>
      </c>
      <c r="G1130" s="82">
        <v>0</v>
      </c>
      <c r="H1130" s="82">
        <v>15.170478249326811</v>
      </c>
      <c r="I1130" s="82">
        <v>0</v>
      </c>
      <c r="J1130" s="82"/>
      <c r="K1130" s="82"/>
      <c r="L1130" s="82">
        <v>0</v>
      </c>
      <c r="M1130" s="59">
        <f t="shared" si="36"/>
        <v>15.170478249326811</v>
      </c>
    </row>
    <row r="1131" spans="1:13" hidden="1" outlineLevel="2">
      <c r="A1131" s="535">
        <v>46113</v>
      </c>
      <c r="B1131" t="s">
        <v>1623</v>
      </c>
      <c r="C1131" s="148">
        <v>870096488335</v>
      </c>
      <c r="D1131" s="341" t="str">
        <f>VLOOKUP(C1131,[1]Material!F:J,5,0)</f>
        <v>Fedex</v>
      </c>
      <c r="E1131" s="367">
        <f>_xlfn.XLOOKUP(C1131,[1]Material!$F:$F,[1]Material!$D:$D)</f>
        <v>2.1</v>
      </c>
      <c r="G1131" s="82">
        <v>0</v>
      </c>
      <c r="H1131" s="82">
        <v>30.340956498653622</v>
      </c>
      <c r="I1131" s="82">
        <v>30.657185117760836</v>
      </c>
      <c r="J1131" s="82"/>
      <c r="K1131" s="82"/>
      <c r="L1131" s="82">
        <v>0</v>
      </c>
      <c r="M1131" s="59">
        <f t="shared" si="36"/>
        <v>60.998141616414458</v>
      </c>
    </row>
    <row r="1132" spans="1:13" hidden="1" outlineLevel="2">
      <c r="A1132" s="535">
        <v>46113</v>
      </c>
      <c r="B1132" t="s">
        <v>1703</v>
      </c>
      <c r="C1132" s="148">
        <v>870103502956</v>
      </c>
      <c r="D1132" s="341" t="str">
        <f>VLOOKUP(C1132,[1]Material!F:J,5,0)</f>
        <v>Fedex</v>
      </c>
      <c r="E1132" s="367">
        <f>_xlfn.XLOOKUP(C1132,[1]Material!$F:$F,[1]Material!$D:$D)</f>
        <v>19</v>
      </c>
      <c r="G1132" s="82">
        <v>0</v>
      </c>
      <c r="H1132" s="82">
        <v>15.170478249326811</v>
      </c>
      <c r="I1132" s="82">
        <v>0</v>
      </c>
      <c r="J1132" s="82"/>
      <c r="K1132" s="82"/>
      <c r="L1132" s="82">
        <v>0</v>
      </c>
      <c r="M1132" s="59">
        <f t="shared" si="36"/>
        <v>15.170478249326811</v>
      </c>
    </row>
    <row r="1133" spans="1:13" hidden="1" outlineLevel="2">
      <c r="A1133" s="535">
        <v>46113</v>
      </c>
      <c r="B1133" t="s">
        <v>1481</v>
      </c>
      <c r="C1133" s="148">
        <v>870149460774</v>
      </c>
      <c r="D1133" s="341" t="str">
        <f>VLOOKUP(C1133,[1]Material!F:J,5,0)</f>
        <v>Fedex</v>
      </c>
      <c r="E1133" s="367">
        <f>_xlfn.XLOOKUP(C1133,[1]Material!$F:$F,[1]Material!$D:$D)</f>
        <v>5.6</v>
      </c>
      <c r="G1133" s="82">
        <v>0</v>
      </c>
      <c r="H1133" s="82">
        <v>30.340956498653622</v>
      </c>
      <c r="I1133" s="82">
        <v>44.259756513824101</v>
      </c>
      <c r="J1133" s="82"/>
      <c r="K1133" s="82"/>
      <c r="L1133" s="82">
        <v>0</v>
      </c>
      <c r="M1133" s="59">
        <f t="shared" si="36"/>
        <v>74.600713012477726</v>
      </c>
    </row>
    <row r="1134" spans="1:13" hidden="1" outlineLevel="2">
      <c r="A1134" s="535">
        <v>46113</v>
      </c>
      <c r="B1134" t="s">
        <v>1873</v>
      </c>
      <c r="C1134" s="148">
        <v>870156571526</v>
      </c>
      <c r="D1134" s="341" t="str">
        <f>VLOOKUP(C1134,[1]Material!F:J,5,0)</f>
        <v>Fedex</v>
      </c>
      <c r="E1134" s="367">
        <f>_xlfn.XLOOKUP(C1134,[1]Material!$F:$F,[1]Material!$D:$D)</f>
        <v>23.6</v>
      </c>
      <c r="G1134" s="82">
        <v>0</v>
      </c>
      <c r="H1134" s="82">
        <v>30.340956498653622</v>
      </c>
      <c r="I1134" s="82">
        <v>126.81609587742254</v>
      </c>
      <c r="J1134" s="82"/>
      <c r="K1134" s="82"/>
      <c r="L1134" s="82">
        <v>0</v>
      </c>
      <c r="M1134" s="59">
        <f t="shared" si="36"/>
        <v>157.15705237607617</v>
      </c>
    </row>
    <row r="1135" spans="1:13" hidden="1" outlineLevel="2">
      <c r="A1135" s="535">
        <v>46113</v>
      </c>
      <c r="B1135" t="s">
        <v>1324</v>
      </c>
      <c r="C1135" s="148">
        <v>870258996890</v>
      </c>
      <c r="D1135" s="341" t="str">
        <f>VLOOKUP(C1135,[1]Material!F:J,5,0)</f>
        <v>Fedex</v>
      </c>
      <c r="E1135" s="367">
        <f>_xlfn.XLOOKUP(C1135,[1]Material!$F:$F,[1]Material!$D:$D)</f>
        <v>48.5</v>
      </c>
      <c r="G1135" s="82">
        <v>0</v>
      </c>
      <c r="H1135" s="82">
        <v>15.170478249326811</v>
      </c>
      <c r="I1135" s="82">
        <v>0</v>
      </c>
      <c r="J1135" s="82"/>
      <c r="K1135" s="82"/>
      <c r="L1135" s="82">
        <v>0</v>
      </c>
      <c r="M1135" s="59">
        <f t="shared" si="36"/>
        <v>15.170478249326811</v>
      </c>
    </row>
    <row r="1136" spans="1:13" hidden="1" outlineLevel="2">
      <c r="A1136" s="535">
        <v>46113</v>
      </c>
      <c r="B1136" t="s">
        <v>184</v>
      </c>
      <c r="C1136" s="148">
        <v>870284409829</v>
      </c>
      <c r="D1136" s="341" t="str">
        <f>VLOOKUP(C1136,[1]Material!F:J,5,0)</f>
        <v>Fedex</v>
      </c>
      <c r="E1136" s="367">
        <f>_xlfn.XLOOKUP(C1136,[1]Material!$F:$F,[1]Material!$D:$D)</f>
        <v>95.9</v>
      </c>
      <c r="G1136" s="82">
        <v>0</v>
      </c>
      <c r="H1136" s="82">
        <v>30.340956498653622</v>
      </c>
      <c r="I1136" s="82">
        <v>266.10403155459477</v>
      </c>
      <c r="J1136" s="82"/>
      <c r="K1136" s="82"/>
      <c r="L1136" s="82">
        <v>0</v>
      </c>
      <c r="M1136" s="59">
        <f t="shared" si="36"/>
        <v>296.44498805324838</v>
      </c>
    </row>
    <row r="1137" spans="1:13" hidden="1" outlineLevel="2">
      <c r="A1137" s="535">
        <v>46113</v>
      </c>
      <c r="B1137" t="s">
        <v>1814</v>
      </c>
      <c r="C1137" s="148">
        <v>870334762723</v>
      </c>
      <c r="D1137" s="341" t="str">
        <f>VLOOKUP(C1137,[1]Material!F:J,5,0)</f>
        <v>Fedex</v>
      </c>
      <c r="E1137" s="367">
        <f>_xlfn.XLOOKUP(C1137,[1]Material!$F:$F,[1]Material!$D:$D)</f>
        <v>1</v>
      </c>
      <c r="G1137" s="82">
        <v>0</v>
      </c>
      <c r="H1137" s="82">
        <v>30.340956498653622</v>
      </c>
      <c r="I1137" s="82">
        <v>19.052679485720788</v>
      </c>
      <c r="J1137" s="82"/>
      <c r="K1137" s="82"/>
      <c r="L1137" s="82">
        <v>0</v>
      </c>
      <c r="M1137" s="59">
        <f t="shared" si="36"/>
        <v>49.393635984374413</v>
      </c>
    </row>
    <row r="1138" spans="1:13" hidden="1" outlineLevel="2">
      <c r="A1138" s="535">
        <v>46113</v>
      </c>
      <c r="B1138" t="s">
        <v>298</v>
      </c>
      <c r="C1138" s="148">
        <v>870438628984</v>
      </c>
      <c r="D1138" s="341" t="str">
        <f>VLOOKUP(C1138,[1]Material!F:J,5,0)</f>
        <v>Fedex</v>
      </c>
      <c r="E1138" s="367">
        <f>_xlfn.XLOOKUP(C1138,[1]Material!$F:$F,[1]Material!$D:$D)</f>
        <v>2.9</v>
      </c>
      <c r="G1138" s="82">
        <v>0</v>
      </c>
      <c r="H1138" s="82">
        <v>15.170478249326811</v>
      </c>
      <c r="I1138" s="82">
        <v>0</v>
      </c>
      <c r="J1138" s="82"/>
      <c r="K1138" s="82"/>
      <c r="L1138" s="82">
        <v>0</v>
      </c>
      <c r="M1138" s="59">
        <f t="shared" si="36"/>
        <v>15.170478249326811</v>
      </c>
    </row>
    <row r="1139" spans="1:13" hidden="1" outlineLevel="2">
      <c r="A1139" s="535">
        <v>46113</v>
      </c>
      <c r="B1139" t="s">
        <v>1481</v>
      </c>
      <c r="C1139" s="148">
        <v>870472086302</v>
      </c>
      <c r="D1139" s="341" t="str">
        <f>VLOOKUP(C1139,[1]Material!F:J,5,0)</f>
        <v>Fedex</v>
      </c>
      <c r="E1139" s="367">
        <f>_xlfn.XLOOKUP(C1139,[1]Material!$F:$F,[1]Material!$D:$D)</f>
        <v>37.200000000000003</v>
      </c>
      <c r="G1139" s="82">
        <v>0</v>
      </c>
      <c r="H1139" s="82">
        <v>30.340956498653622</v>
      </c>
      <c r="I1139" s="82">
        <v>164.29995828118481</v>
      </c>
      <c r="J1139" s="82"/>
      <c r="K1139" s="82"/>
      <c r="L1139" s="82">
        <v>0</v>
      </c>
      <c r="M1139" s="59">
        <f t="shared" si="36"/>
        <v>194.64091477983843</v>
      </c>
    </row>
    <row r="1140" spans="1:13" hidden="1" outlineLevel="2">
      <c r="A1140" s="535">
        <v>46113</v>
      </c>
      <c r="B1140" t="s">
        <v>1324</v>
      </c>
      <c r="C1140" s="148">
        <v>870609416300</v>
      </c>
      <c r="D1140" s="341" t="str">
        <f>VLOOKUP(C1140,[1]Material!F:J,5,0)</f>
        <v>Fedex</v>
      </c>
      <c r="E1140" s="367">
        <f>_xlfn.XLOOKUP(C1140,[1]Material!$F:$F,[1]Material!$D:$D)</f>
        <v>11.9</v>
      </c>
      <c r="G1140" s="82">
        <v>0</v>
      </c>
      <c r="H1140" s="82">
        <v>15.170478249326811</v>
      </c>
      <c r="I1140" s="82">
        <v>0</v>
      </c>
      <c r="J1140" s="82"/>
      <c r="K1140" s="82"/>
      <c r="L1140" s="82">
        <v>0</v>
      </c>
      <c r="M1140" s="59">
        <f t="shared" ref="M1140:M1196" si="37">SUM(G1140:L1140)</f>
        <v>15.170478249326811</v>
      </c>
    </row>
    <row r="1141" spans="1:13" hidden="1" outlineLevel="2">
      <c r="A1141" s="535">
        <v>46113</v>
      </c>
      <c r="B1141" t="s">
        <v>1324</v>
      </c>
      <c r="C1141" s="148">
        <v>870785221857</v>
      </c>
      <c r="D1141" s="341" t="s">
        <v>45</v>
      </c>
      <c r="E1141" s="367">
        <f>_xlfn.XLOOKUP(C1141,[1]Material!$F:$F,[1]Material!$D:$D)</f>
        <v>67.8</v>
      </c>
      <c r="G1141" s="82">
        <v>0</v>
      </c>
      <c r="H1141" s="82">
        <v>15.170478249326811</v>
      </c>
      <c r="I1141" s="82">
        <v>0</v>
      </c>
      <c r="J1141" s="82"/>
      <c r="K1141" s="82"/>
      <c r="L1141" s="82">
        <v>0</v>
      </c>
      <c r="M1141" s="59">
        <f t="shared" si="37"/>
        <v>15.170478249326811</v>
      </c>
    </row>
    <row r="1142" spans="1:13" hidden="1" outlineLevel="2">
      <c r="A1142" s="535">
        <v>46113</v>
      </c>
      <c r="B1142" t="s">
        <v>1494</v>
      </c>
      <c r="C1142" s="148">
        <v>889716477327</v>
      </c>
      <c r="D1142" s="341" t="str">
        <f>VLOOKUP(C1142,[1]Material!F:J,5,0)</f>
        <v>Fedex</v>
      </c>
      <c r="E1142" s="367">
        <f>_xlfn.XLOOKUP(C1142,[1]Material!$F:$F,[1]Material!$D:$D)</f>
        <v>1.3</v>
      </c>
      <c r="G1142" s="82"/>
      <c r="H1142" s="82">
        <v>0</v>
      </c>
      <c r="I1142" s="82">
        <v>57.556491068380929</v>
      </c>
      <c r="J1142" s="82"/>
      <c r="K1142" s="82"/>
      <c r="L1142" s="82"/>
      <c r="M1142" s="59">
        <f t="shared" si="37"/>
        <v>57.556491068380929</v>
      </c>
    </row>
    <row r="1143" spans="1:13" hidden="1" outlineLevel="2">
      <c r="A1143" s="535">
        <v>46113</v>
      </c>
      <c r="B1143" t="s">
        <v>1324</v>
      </c>
      <c r="C1143" s="148">
        <v>889895695840</v>
      </c>
      <c r="D1143" s="341" t="str">
        <f>VLOOKUP(C1143,[1]Material!F:J,5,0)</f>
        <v>Fedex</v>
      </c>
      <c r="E1143" s="367">
        <f>_xlfn.XLOOKUP(C1143,[1]Material!$F:$F,[1]Material!$D:$D)</f>
        <v>4.2</v>
      </c>
      <c r="G1143" s="82">
        <v>0</v>
      </c>
      <c r="H1143" s="82">
        <v>15.170478249326811</v>
      </c>
      <c r="I1143" s="82">
        <v>0</v>
      </c>
      <c r="J1143" s="82"/>
      <c r="K1143" s="82"/>
      <c r="L1143" s="82">
        <v>0</v>
      </c>
      <c r="M1143" s="59">
        <f t="shared" si="37"/>
        <v>15.170478249326811</v>
      </c>
    </row>
    <row r="1144" spans="1:13" hidden="1" outlineLevel="2">
      <c r="A1144" s="535">
        <v>46113</v>
      </c>
      <c r="B1144" t="s">
        <v>1481</v>
      </c>
      <c r="C1144" s="148">
        <v>889916099348</v>
      </c>
      <c r="D1144" s="341" t="str">
        <f>VLOOKUP(C1144,[1]Material!F:J,5,0)</f>
        <v>Fedex</v>
      </c>
      <c r="E1144" s="367">
        <f>_xlfn.XLOOKUP(C1144,[1]Material!$F:$F,[1]Material!$D:$D)</f>
        <v>45.5</v>
      </c>
      <c r="G1144" s="82">
        <v>0</v>
      </c>
      <c r="H1144" s="82">
        <v>30.340956498653622</v>
      </c>
      <c r="I1144" s="82">
        <v>136.31474949747792</v>
      </c>
      <c r="J1144" s="82"/>
      <c r="K1144" s="82"/>
      <c r="L1144" s="82">
        <v>0</v>
      </c>
      <c r="M1144" s="59">
        <f t="shared" si="37"/>
        <v>166.65570599613153</v>
      </c>
    </row>
    <row r="1145" spans="1:13" hidden="1" outlineLevel="2">
      <c r="A1145" s="535">
        <v>46113</v>
      </c>
      <c r="B1145" t="s">
        <v>1810</v>
      </c>
      <c r="C1145" s="148">
        <v>889956372608</v>
      </c>
      <c r="D1145" s="341" t="str">
        <f>VLOOKUP(C1145,[1]Material!F:J,5,0)</f>
        <v>Fedex</v>
      </c>
      <c r="E1145" s="367">
        <f>_xlfn.XLOOKUP(C1145,[1]Material!$F:$F,[1]Material!$D:$D)</f>
        <v>0.5</v>
      </c>
      <c r="G1145" s="82">
        <v>0</v>
      </c>
      <c r="H1145" s="82">
        <v>30.340956498653622</v>
      </c>
      <c r="I1145" s="82">
        <v>18.454242044980468</v>
      </c>
      <c r="J1145" s="82"/>
      <c r="K1145" s="82"/>
      <c r="L1145" s="82">
        <v>0</v>
      </c>
      <c r="M1145" s="59">
        <f t="shared" si="37"/>
        <v>48.795198543634086</v>
      </c>
    </row>
    <row r="1146" spans="1:13" hidden="1" outlineLevel="2">
      <c r="A1146" s="535">
        <v>46113</v>
      </c>
      <c r="B1146" t="s">
        <v>1815</v>
      </c>
      <c r="C1146" s="148" t="s">
        <v>1805</v>
      </c>
      <c r="D1146" s="341" t="str">
        <f>VLOOKUP(C1146,[1]Material!F:J,5,0)</f>
        <v>Litri</v>
      </c>
      <c r="E1146" s="367">
        <f>_xlfn.XLOOKUP(C1146,[1]Material!$F:$F,[1]Material!$D:$D)</f>
        <v>80</v>
      </c>
      <c r="G1146" s="82">
        <v>0</v>
      </c>
      <c r="H1146" s="82">
        <v>15.170478249326811</v>
      </c>
      <c r="I1146" s="82">
        <v>0</v>
      </c>
      <c r="J1146" s="82"/>
      <c r="K1146" s="82"/>
      <c r="L1146" s="82">
        <v>0</v>
      </c>
      <c r="M1146" s="59">
        <f t="shared" si="37"/>
        <v>15.170478249326811</v>
      </c>
    </row>
    <row r="1147" spans="1:13" hidden="1" outlineLevel="2">
      <c r="A1147" s="535">
        <v>46113</v>
      </c>
      <c r="B1147" t="s">
        <v>1815</v>
      </c>
      <c r="C1147" s="148" t="s">
        <v>1798</v>
      </c>
      <c r="D1147" s="341" t="str">
        <f>VLOOKUP(C1147,[1]Material!F:J,5,0)</f>
        <v>VVMV(sea)</v>
      </c>
      <c r="E1147" s="367">
        <f>_xlfn.XLOOKUP(C1147,[1]Material!$F:$F,[1]Material!$D:$D)</f>
        <v>171</v>
      </c>
      <c r="G1147" s="82">
        <v>37.926195623317028</v>
      </c>
      <c r="H1147" s="82">
        <v>15.170478249326811</v>
      </c>
      <c r="I1147" s="82">
        <v>402.72361664201463</v>
      </c>
      <c r="J1147" s="82"/>
      <c r="K1147" s="82"/>
      <c r="L1147" s="82">
        <v>45.404482876322675</v>
      </c>
      <c r="M1147" s="59">
        <f t="shared" si="37"/>
        <v>501.22477339098117</v>
      </c>
    </row>
    <row r="1148" spans="1:13" hidden="1" outlineLevel="2">
      <c r="A1148" s="535">
        <v>46113</v>
      </c>
      <c r="B1148" t="s">
        <v>296</v>
      </c>
      <c r="C1148" s="148" t="s">
        <v>1794</v>
      </c>
      <c r="D1148" s="341" t="str">
        <f>VLOOKUP(C1148,[1]Material!F:J,5,0)</f>
        <v>Fedex</v>
      </c>
      <c r="E1148" s="367">
        <f>_xlfn.XLOOKUP(C1148,[1]Material!$F:$F,[1]Material!$D:$D)</f>
        <v>1291.4000000000001</v>
      </c>
      <c r="G1148" s="82">
        <v>117.57120643228278</v>
      </c>
      <c r="H1148" s="82">
        <v>15.170478249326811</v>
      </c>
      <c r="I1148" s="82">
        <v>805.19337808624425</v>
      </c>
      <c r="J1148" s="82"/>
      <c r="K1148" s="82"/>
      <c r="L1148" s="82">
        <v>181.17275382106422</v>
      </c>
      <c r="M1148" s="59">
        <f t="shared" si="37"/>
        <v>1119.107816588918</v>
      </c>
    </row>
    <row r="1149" spans="1:13" hidden="1" outlineLevel="2">
      <c r="A1149" s="535">
        <v>46113</v>
      </c>
      <c r="B1149" t="s">
        <v>184</v>
      </c>
      <c r="C1149" s="148" t="s">
        <v>1790</v>
      </c>
      <c r="D1149" s="341" t="str">
        <f>VLOOKUP(C1149,[1]Material!F:J,5,0)</f>
        <v>VVMV(sea)</v>
      </c>
      <c r="E1149" s="367">
        <f>_xlfn.XLOOKUP(C1149,[1]Material!$F:$F,[1]Material!$D:$D)</f>
        <v>478</v>
      </c>
      <c r="G1149" s="82">
        <v>37.926195623317028</v>
      </c>
      <c r="H1149" s="82">
        <v>15.170478249326811</v>
      </c>
      <c r="I1149" s="82">
        <v>468.16399286987524</v>
      </c>
      <c r="J1149" s="82"/>
      <c r="K1149" s="82"/>
      <c r="L1149" s="82">
        <v>14.622823984526113</v>
      </c>
      <c r="M1149" s="59">
        <f t="shared" si="37"/>
        <v>535.88349072704523</v>
      </c>
    </row>
    <row r="1150" spans="1:13" hidden="1" outlineLevel="2">
      <c r="A1150" s="535">
        <v>46113</v>
      </c>
      <c r="B1150" t="s">
        <v>1583</v>
      </c>
      <c r="C1150" s="148" t="s">
        <v>1876</v>
      </c>
      <c r="D1150" s="341" t="str">
        <f>VLOOKUP(C1150,[1]Material!F:J,5,0)</f>
        <v>Dolphin(sea)</v>
      </c>
      <c r="E1150" s="367">
        <f>_xlfn.XLOOKUP(C1150,[1]Material!$F:$F,[1]Material!$D:$D)</f>
        <v>2090</v>
      </c>
      <c r="G1150" s="82">
        <v>54.992983653809688</v>
      </c>
      <c r="H1150" s="82">
        <v>20.480145636591192</v>
      </c>
      <c r="I1150" s="82">
        <v>431.64705882352939</v>
      </c>
      <c r="J1150" s="82"/>
      <c r="K1150" s="82"/>
      <c r="L1150" s="82">
        <v>248.38168923275316</v>
      </c>
      <c r="M1150" s="59">
        <f t="shared" si="37"/>
        <v>755.50187734668339</v>
      </c>
    </row>
    <row r="1151" spans="1:13" hidden="1" outlineLevel="2">
      <c r="A1151" s="535">
        <v>46113</v>
      </c>
      <c r="B1151" t="s">
        <v>182</v>
      </c>
      <c r="C1151" s="148" t="s">
        <v>1877</v>
      </c>
      <c r="D1151" s="341" t="str">
        <f>VLOOKUP(C1151,[1]Material!F:J,5,0)</f>
        <v>Dolphin(sea)</v>
      </c>
      <c r="E1151" s="367">
        <f>_xlfn.XLOOKUP(C1151,[1]Material!$F:$F,[1]Material!$D:$D)</f>
        <v>534.20000000000005</v>
      </c>
      <c r="G1151" s="82">
        <v>43.615124966814577</v>
      </c>
      <c r="H1151" s="82">
        <v>35.271361929684836</v>
      </c>
      <c r="I1151" s="82">
        <v>508.44570865096523</v>
      </c>
      <c r="J1151" s="82"/>
      <c r="K1151" s="82"/>
      <c r="L1151" s="82">
        <v>36.847878029354774</v>
      </c>
      <c r="M1151" s="59">
        <f t="shared" si="37"/>
        <v>624.18007357681938</v>
      </c>
    </row>
    <row r="1152" spans="1:13" hidden="1" outlineLevel="2">
      <c r="A1152" s="535">
        <v>46113</v>
      </c>
      <c r="B1152" t="s">
        <v>1583</v>
      </c>
      <c r="C1152" s="148" t="s">
        <v>1881</v>
      </c>
      <c r="D1152" s="341" t="str">
        <f>VLOOKUP(C1152,[1]Material!F:J,5,0)</f>
        <v>Dolphin(sea)</v>
      </c>
      <c r="E1152" s="367">
        <f>_xlfn.XLOOKUP(C1152,[1]Material!$F:$F,[1]Material!$D:$D)</f>
        <v>2580</v>
      </c>
      <c r="G1152" s="82">
        <v>54.992983653809688</v>
      </c>
      <c r="H1152" s="82">
        <v>20.480145636591192</v>
      </c>
      <c r="I1152" s="82">
        <v>407.43706147836309</v>
      </c>
      <c r="J1152" s="82"/>
      <c r="K1152" s="82"/>
      <c r="L1152" s="82">
        <v>301.19012401865979</v>
      </c>
      <c r="M1152" s="59">
        <f t="shared" si="37"/>
        <v>784.10031478742371</v>
      </c>
    </row>
    <row r="1153" spans="1:13" hidden="1" outlineLevel="2">
      <c r="A1153" s="535">
        <v>46113</v>
      </c>
      <c r="B1153" t="s">
        <v>1296</v>
      </c>
      <c r="C1153" s="148" t="s">
        <v>1882</v>
      </c>
      <c r="D1153" s="341" t="str">
        <f>VLOOKUP(C1153,[1]Material!F:J,5,0)</f>
        <v>Dolphin(sea)</v>
      </c>
      <c r="E1153" s="367">
        <f>_xlfn.XLOOKUP(C1153,[1]Material!$F:$F,[1]Material!$D:$D)</f>
        <v>1030.9000000000001</v>
      </c>
      <c r="G1153" s="82">
        <v>108.08965752645352</v>
      </c>
      <c r="H1153" s="82">
        <v>20.480145636591192</v>
      </c>
      <c r="I1153" s="82">
        <v>1068.18526946562</v>
      </c>
      <c r="J1153" s="82"/>
      <c r="K1153" s="82"/>
      <c r="L1153" s="82">
        <v>232.29491409716684</v>
      </c>
      <c r="M1153" s="59">
        <f t="shared" si="37"/>
        <v>1429.0499867258316</v>
      </c>
    </row>
    <row r="1154" spans="1:13" hidden="1" outlineLevel="2">
      <c r="A1154" s="535">
        <v>46113</v>
      </c>
      <c r="B1154" t="s">
        <v>232</v>
      </c>
      <c r="C1154" s="148" t="s">
        <v>1806</v>
      </c>
      <c r="D1154" s="341" t="str">
        <f>VLOOKUP(C1154,[1]Material!F:J,5,0)</f>
        <v>Dragon(sea)</v>
      </c>
      <c r="E1154" s="367">
        <f>_xlfn.XLOOKUP(C1154,[1]Material!$F:$F,[1]Material!$D:$D)</f>
        <v>896</v>
      </c>
      <c r="G1154" s="82">
        <v>0</v>
      </c>
      <c r="H1154" s="82">
        <v>15.170478249326811</v>
      </c>
      <c r="I1154" s="82">
        <v>0</v>
      </c>
      <c r="J1154" s="82"/>
      <c r="K1154" s="82"/>
      <c r="L1154" s="82">
        <v>0</v>
      </c>
      <c r="M1154" s="59">
        <f t="shared" si="37"/>
        <v>15.170478249326811</v>
      </c>
    </row>
    <row r="1155" spans="1:13" hidden="1" outlineLevel="2">
      <c r="A1155" s="535">
        <v>46113</v>
      </c>
      <c r="B1155" t="s">
        <v>1880</v>
      </c>
      <c r="C1155" s="148" t="s">
        <v>1879</v>
      </c>
      <c r="D1155" s="341" t="str">
        <f>VLOOKUP(C1155,[1]Material!F:J,5,0)</f>
        <v>Dolphin(sea)</v>
      </c>
      <c r="E1155" s="367">
        <f>_xlfn.XLOOKUP(C1155,[1]Material!$F:$F,[1]Material!$D:$D)</f>
        <v>77.86</v>
      </c>
      <c r="G1155" s="82">
        <v>43.615124966814577</v>
      </c>
      <c r="H1155" s="82">
        <v>20.480145636591192</v>
      </c>
      <c r="I1155" s="82">
        <v>499.77244282626009</v>
      </c>
      <c r="J1155" s="82"/>
      <c r="K1155" s="82"/>
      <c r="L1155" s="82">
        <v>18.575492092388231</v>
      </c>
      <c r="M1155" s="59">
        <f t="shared" si="37"/>
        <v>582.44320552205409</v>
      </c>
    </row>
    <row r="1156" spans="1:13" outlineLevel="1" collapsed="1">
      <c r="A1156" s="138" t="s">
        <v>1885</v>
      </c>
      <c r="B1156" s="1"/>
      <c r="C1156" s="346"/>
      <c r="D1156" s="1"/>
      <c r="E1156" s="1">
        <f t="shared" ref="E1156:M1156" si="38">SUBTOTAL(9,E1049:E1155)</f>
        <v>12772.160000000002</v>
      </c>
      <c r="F1156" s="1">
        <f t="shared" si="38"/>
        <v>0</v>
      </c>
      <c r="G1156" s="59">
        <f t="shared" si="38"/>
        <v>498.7294724466189</v>
      </c>
      <c r="H1156" s="59">
        <f t="shared" si="38"/>
        <v>2282.7777145674531</v>
      </c>
      <c r="I1156" s="59">
        <f t="shared" si="38"/>
        <v>9302.7307012553592</v>
      </c>
      <c r="J1156" s="59">
        <f t="shared" si="38"/>
        <v>0</v>
      </c>
      <c r="K1156" s="59">
        <f t="shared" si="38"/>
        <v>0</v>
      </c>
      <c r="L1156" s="59">
        <f t="shared" si="38"/>
        <v>1078.4901581522358</v>
      </c>
      <c r="M1156" s="59">
        <f t="shared" si="38"/>
        <v>13162.728046421667</v>
      </c>
    </row>
    <row r="1157" spans="1:13" hidden="1" outlineLevel="2">
      <c r="A1157" s="138">
        <v>46143</v>
      </c>
      <c r="B1157" s="1" t="s">
        <v>801</v>
      </c>
      <c r="C1157" s="346">
        <v>515199057405</v>
      </c>
      <c r="D1157" s="341" t="str">
        <f>VLOOKUP(C1157,[1]Material!F:J,5,0)</f>
        <v>Fedex</v>
      </c>
      <c r="E1157" s="367">
        <f>_xlfn.XLOOKUP(C1157,[1]Material!$F:$F,[1]Material!$D:$D)</f>
        <v>35.5</v>
      </c>
      <c r="F1157" s="1"/>
      <c r="G1157" s="59"/>
      <c r="H1157" s="59">
        <v>15.149219815179519</v>
      </c>
      <c r="I1157" s="59">
        <v>112.39944705347675</v>
      </c>
      <c r="J1157" s="59"/>
      <c r="K1157" s="59"/>
      <c r="L1157" s="59"/>
      <c r="M1157" s="59">
        <f t="shared" si="37"/>
        <v>127.54866686865627</v>
      </c>
    </row>
    <row r="1158" spans="1:13" hidden="1" outlineLevel="2">
      <c r="A1158" s="138">
        <v>46143</v>
      </c>
      <c r="B1158" s="1" t="s">
        <v>1814</v>
      </c>
      <c r="C1158" s="346">
        <v>870887371070</v>
      </c>
      <c r="D1158" s="341" t="str">
        <f>VLOOKUP(C1158,[1]Material!F:J,5,0)</f>
        <v>Fedex</v>
      </c>
      <c r="E1158" s="367">
        <f>_xlfn.XLOOKUP(C1158,[1]Material!$F:$F,[1]Material!$D:$D)</f>
        <v>0.7</v>
      </c>
      <c r="F1158" s="1"/>
      <c r="G1158" s="59"/>
      <c r="H1158" s="59">
        <v>15.149219815179519</v>
      </c>
      <c r="I1158" s="59">
        <v>14.448227541281623</v>
      </c>
      <c r="J1158" s="59"/>
      <c r="K1158" s="59"/>
      <c r="L1158" s="59"/>
      <c r="M1158" s="59">
        <f t="shared" si="37"/>
        <v>29.597447356461142</v>
      </c>
    </row>
    <row r="1159" spans="1:13" hidden="1" outlineLevel="2">
      <c r="A1159" s="138">
        <v>46143</v>
      </c>
      <c r="B1159" s="1" t="s">
        <v>1623</v>
      </c>
      <c r="C1159" s="346">
        <v>870939080592</v>
      </c>
      <c r="D1159" s="341" t="str">
        <f>VLOOKUP(C1159,[1]Material!F:J,5,0)</f>
        <v>Fedex</v>
      </c>
      <c r="E1159" s="367">
        <f>_xlfn.XLOOKUP(C1159,[1]Material!$F:$F,[1]Material!$D:$D)</f>
        <v>1.7</v>
      </c>
      <c r="F1159" s="1"/>
      <c r="G1159" s="59"/>
      <c r="H1159" s="59">
        <v>15.149219815179519</v>
      </c>
      <c r="I1159" s="59">
        <v>25.672776851992122</v>
      </c>
      <c r="J1159" s="59"/>
      <c r="K1159" s="59"/>
      <c r="L1159" s="59"/>
      <c r="M1159" s="59">
        <f t="shared" si="37"/>
        <v>40.821996667171639</v>
      </c>
    </row>
    <row r="1160" spans="1:13" hidden="1" outlineLevel="2">
      <c r="A1160" s="138">
        <v>46143</v>
      </c>
      <c r="B1160" s="1" t="s">
        <v>375</v>
      </c>
      <c r="C1160" s="346">
        <v>870890842100</v>
      </c>
      <c r="D1160" s="341" t="str">
        <f>VLOOKUP(C1160,[1]Material!F:J,5,0)</f>
        <v>Fedex</v>
      </c>
      <c r="E1160" s="367">
        <f>_xlfn.XLOOKUP(C1160,[1]Material!$F:$F,[1]Material!$D:$D)</f>
        <v>37</v>
      </c>
      <c r="F1160" s="1"/>
      <c r="G1160" s="59"/>
      <c r="H1160" s="59">
        <v>15.149219815179519</v>
      </c>
      <c r="I1160" s="59">
        <v>112.39944705347675</v>
      </c>
      <c r="J1160" s="59"/>
      <c r="K1160" s="59"/>
      <c r="L1160" s="59"/>
      <c r="M1160" s="59">
        <f t="shared" si="37"/>
        <v>127.54866686865627</v>
      </c>
    </row>
    <row r="1161" spans="1:13" hidden="1" outlineLevel="2">
      <c r="A1161" s="138">
        <v>46143</v>
      </c>
      <c r="B1161" s="1" t="s">
        <v>1895</v>
      </c>
      <c r="C1161" s="346">
        <v>870893284381</v>
      </c>
      <c r="D1161" s="341" t="str">
        <f>VLOOKUP(C1161,[1]Equipment!F:J,5,0)</f>
        <v>Fedex</v>
      </c>
      <c r="E1161" s="367">
        <f>_xlfn.XLOOKUP(C1161,[1]Equipment!$F:$F,[1]Equipment!$D:$D)</f>
        <v>3.7</v>
      </c>
      <c r="F1161" s="1"/>
      <c r="G1161" s="59"/>
      <c r="H1161" s="59">
        <v>15.149219815179519</v>
      </c>
      <c r="I1161" s="59">
        <v>36.807150431752767</v>
      </c>
      <c r="J1161" s="59"/>
      <c r="K1161" s="59"/>
      <c r="L1161" s="59"/>
      <c r="M1161" s="59">
        <f t="shared" si="37"/>
        <v>51.956370246932288</v>
      </c>
    </row>
    <row r="1162" spans="1:13" hidden="1" outlineLevel="2">
      <c r="A1162" s="138">
        <v>46143</v>
      </c>
      <c r="B1162" s="1" t="s">
        <v>802</v>
      </c>
      <c r="C1162" s="346">
        <v>380677046564</v>
      </c>
      <c r="D1162" s="341" t="str">
        <f>VLOOKUP(C1162,[1]Material!F:J,5,0)</f>
        <v>Fedex</v>
      </c>
      <c r="E1162" s="367">
        <f>_xlfn.XLOOKUP(C1162,[1]Material!$F:$F,[1]Material!$D:$D)</f>
        <v>2.9</v>
      </c>
      <c r="F1162" s="1"/>
      <c r="G1162" s="59"/>
      <c r="H1162" s="59">
        <v>15.149219815179519</v>
      </c>
      <c r="I1162" s="59">
        <v>50.668080593849417</v>
      </c>
      <c r="J1162" s="59"/>
      <c r="K1162" s="59"/>
      <c r="L1162" s="59"/>
      <c r="M1162" s="59">
        <f t="shared" si="37"/>
        <v>65.817300409028931</v>
      </c>
    </row>
    <row r="1163" spans="1:13" hidden="1" outlineLevel="2">
      <c r="A1163" s="138">
        <v>46143</v>
      </c>
      <c r="B1163" s="1" t="s">
        <v>1598</v>
      </c>
      <c r="C1163" s="346">
        <v>513933432706</v>
      </c>
      <c r="D1163" s="341" t="str">
        <f>VLOOKUP(C1163,[1]Material!F:J,5,0)</f>
        <v>Fedex</v>
      </c>
      <c r="E1163" s="367">
        <f>_xlfn.XLOOKUP(C1163,[1]Material!$F:$F,[1]Material!$D:$D)</f>
        <v>0.3</v>
      </c>
      <c r="F1163" s="1"/>
      <c r="G1163" s="59"/>
      <c r="H1163" s="59">
        <v>15.149219815179519</v>
      </c>
      <c r="I1163" s="59">
        <v>15.514429631873959</v>
      </c>
      <c r="J1163" s="59"/>
      <c r="K1163" s="59"/>
      <c r="L1163" s="59"/>
      <c r="M1163" s="59">
        <f t="shared" si="37"/>
        <v>30.66364944705348</v>
      </c>
    </row>
    <row r="1164" spans="1:13" hidden="1" outlineLevel="2">
      <c r="A1164" s="138">
        <v>46143</v>
      </c>
      <c r="B1164" s="1" t="s">
        <v>804</v>
      </c>
      <c r="C1164" s="346">
        <v>380734997890</v>
      </c>
      <c r="D1164" s="341" t="str">
        <f>VLOOKUP(C1164,[1]Material!F:J,5,0)</f>
        <v>Fedex</v>
      </c>
      <c r="E1164" s="367">
        <f>_xlfn.XLOOKUP(C1164,[1]Material!$F:$F,[1]Material!$D:$D)</f>
        <v>1</v>
      </c>
      <c r="F1164" s="1"/>
      <c r="G1164" s="59"/>
      <c r="H1164" s="59">
        <v>0</v>
      </c>
      <c r="I1164" s="59">
        <v>16.898197242841995</v>
      </c>
      <c r="J1164" s="59"/>
      <c r="K1164" s="59"/>
      <c r="L1164" s="59"/>
      <c r="M1164" s="59">
        <f t="shared" si="37"/>
        <v>16.898197242841995</v>
      </c>
    </row>
    <row r="1165" spans="1:13" hidden="1" outlineLevel="2">
      <c r="A1165" s="138">
        <v>46143</v>
      </c>
      <c r="B1165" s="1" t="s">
        <v>802</v>
      </c>
      <c r="C1165" s="346">
        <v>380710893656</v>
      </c>
      <c r="D1165" s="341" t="str">
        <f>VLOOKUP(C1165,[1]Material!F:J,5,0)</f>
        <v>Fedex</v>
      </c>
      <c r="E1165" s="367">
        <f>_xlfn.XLOOKUP(C1165,[1]Material!$F:$F,[1]Material!$D:$D)</f>
        <v>0.8</v>
      </c>
      <c r="F1165" s="1"/>
      <c r="G1165" s="59"/>
      <c r="H1165" s="59">
        <v>15.149219815179519</v>
      </c>
      <c r="I1165" s="59">
        <v>20.876268747159521</v>
      </c>
      <c r="J1165" s="59"/>
      <c r="K1165" s="59"/>
      <c r="L1165" s="59"/>
      <c r="M1165" s="59">
        <f t="shared" si="37"/>
        <v>36.025488562339042</v>
      </c>
    </row>
    <row r="1166" spans="1:13" hidden="1" outlineLevel="2">
      <c r="A1166" s="138">
        <v>46143</v>
      </c>
      <c r="B1166" s="1" t="s">
        <v>378</v>
      </c>
      <c r="C1166" s="346">
        <v>409298919304</v>
      </c>
      <c r="D1166" s="341" t="str">
        <f>VLOOKUP(C1166,[1]Material!F:J,5,0)</f>
        <v>Fedex</v>
      </c>
      <c r="E1166" s="367">
        <f>_xlfn.XLOOKUP(C1166,[1]Material!$F:$F,[1]Material!$D:$D)</f>
        <v>19.399999999999999</v>
      </c>
      <c r="F1166" s="1"/>
      <c r="G1166" s="59"/>
      <c r="H1166" s="59">
        <v>15.149219815179519</v>
      </c>
      <c r="I1166" s="59">
        <v>53.140016664141797</v>
      </c>
      <c r="J1166" s="59"/>
      <c r="K1166" s="59"/>
      <c r="L1166" s="59"/>
      <c r="M1166" s="59">
        <f t="shared" si="37"/>
        <v>68.289236479321318</v>
      </c>
    </row>
    <row r="1167" spans="1:13" hidden="1" outlineLevel="2">
      <c r="A1167" s="138">
        <v>46143</v>
      </c>
      <c r="B1167" s="1" t="s">
        <v>802</v>
      </c>
      <c r="C1167" s="346">
        <v>380744222026</v>
      </c>
      <c r="D1167" s="341" t="str">
        <f>VLOOKUP(C1167,[1]Material!F:J,5,0)</f>
        <v>Fedex</v>
      </c>
      <c r="E1167" s="367">
        <f>_xlfn.XLOOKUP(C1167,[1]Material!$F:$F,[1]Material!$D:$D)</f>
        <v>0.4</v>
      </c>
      <c r="F1167" s="1"/>
      <c r="G1167" s="59"/>
      <c r="H1167" s="59">
        <v>15.149219815179519</v>
      </c>
      <c r="I1167" s="59">
        <v>20.876268747159521</v>
      </c>
      <c r="J1167" s="59"/>
      <c r="K1167" s="59"/>
      <c r="L1167" s="59"/>
      <c r="M1167" s="59">
        <f t="shared" si="37"/>
        <v>36.025488562339042</v>
      </c>
    </row>
    <row r="1168" spans="1:13" hidden="1" outlineLevel="2">
      <c r="A1168" s="138">
        <v>46143</v>
      </c>
      <c r="B1168" s="1" t="s">
        <v>376</v>
      </c>
      <c r="C1168" s="346">
        <v>451257569220</v>
      </c>
      <c r="D1168" s="341" t="str">
        <f>VLOOKUP(C1168,[1]Material!F:J,5,0)</f>
        <v>Fedex</v>
      </c>
      <c r="E1168" s="367">
        <f>_xlfn.XLOOKUP(C1168,[1]Material!$F:$F,[1]Material!$D:$D)</f>
        <v>213.5</v>
      </c>
      <c r="F1168" s="1"/>
      <c r="G1168" s="59"/>
      <c r="H1168" s="59">
        <v>15.149219815179519</v>
      </c>
      <c r="I1168" s="59">
        <v>557.41152855627934</v>
      </c>
      <c r="J1168" s="59"/>
      <c r="K1168" s="59"/>
      <c r="L1168" s="59"/>
      <c r="M1168" s="59">
        <f t="shared" si="37"/>
        <v>572.56074837145889</v>
      </c>
    </row>
    <row r="1169" spans="1:13" hidden="1" outlineLevel="2">
      <c r="A1169" s="138">
        <v>46143</v>
      </c>
      <c r="B1169" s="1" t="s">
        <v>956</v>
      </c>
      <c r="C1169" s="346">
        <v>471797728052</v>
      </c>
      <c r="D1169" s="341" t="str">
        <f>VLOOKUP(C1169,[1]Material!F:J,5,0)</f>
        <v>Fedex</v>
      </c>
      <c r="E1169" s="367">
        <f>_xlfn.XLOOKUP(C1169,[1]Material!$F:$F,[1]Material!$D:$D)</f>
        <v>80.099999999999994</v>
      </c>
      <c r="F1169" s="1"/>
      <c r="G1169" s="59"/>
      <c r="H1169" s="59">
        <v>15.149219815179519</v>
      </c>
      <c r="I1169" s="59">
        <v>285.89069837903349</v>
      </c>
      <c r="J1169" s="59"/>
      <c r="K1169" s="59"/>
      <c r="L1169" s="59"/>
      <c r="M1169" s="59">
        <f t="shared" si="37"/>
        <v>301.03991819421299</v>
      </c>
    </row>
    <row r="1170" spans="1:13" hidden="1" outlineLevel="2">
      <c r="A1170" s="138">
        <v>46143</v>
      </c>
      <c r="B1170" s="1" t="s">
        <v>799</v>
      </c>
      <c r="C1170" s="346">
        <v>737415968777</v>
      </c>
      <c r="D1170" s="341" t="str">
        <f>VLOOKUP(C1170,[1]Material!F:J,5,0)</f>
        <v>Fedex</v>
      </c>
      <c r="E1170" s="367">
        <f>_xlfn.XLOOKUP(C1170,[1]Material!$F:$F,[1]Material!$D:$D)</f>
        <v>5</v>
      </c>
      <c r="F1170" s="1"/>
      <c r="G1170" s="59"/>
      <c r="H1170" s="59">
        <v>15.149219815179519</v>
      </c>
      <c r="I1170" s="59">
        <v>55.618959248598699</v>
      </c>
      <c r="J1170" s="59"/>
      <c r="K1170" s="59"/>
      <c r="L1170" s="59"/>
      <c r="M1170" s="59">
        <f t="shared" si="37"/>
        <v>70.76817906377822</v>
      </c>
    </row>
    <row r="1171" spans="1:13" hidden="1" outlineLevel="2">
      <c r="A1171" s="138">
        <v>46143</v>
      </c>
      <c r="B1171" s="1" t="s">
        <v>965</v>
      </c>
      <c r="C1171" s="346">
        <v>493641441131</v>
      </c>
      <c r="D1171" s="341" t="str">
        <f>VLOOKUP(C1171,[1]Material!F:J,5,0)</f>
        <v>Fedex</v>
      </c>
      <c r="E1171" s="367">
        <f>_xlfn.XLOOKUP(C1171,[1]Material!$F:$F,[1]Material!$D:$D)</f>
        <v>21</v>
      </c>
      <c r="F1171" s="1"/>
      <c r="G1171" s="59"/>
      <c r="H1171" s="59">
        <v>15.149219815179519</v>
      </c>
      <c r="I1171" s="59">
        <v>109.88607786698985</v>
      </c>
      <c r="J1171" s="59"/>
      <c r="K1171" s="59"/>
      <c r="L1171" s="59"/>
      <c r="M1171" s="59">
        <f t="shared" si="37"/>
        <v>125.03529768216937</v>
      </c>
    </row>
    <row r="1172" spans="1:13" hidden="1" outlineLevel="2">
      <c r="A1172" s="138">
        <v>46143</v>
      </c>
      <c r="B1172" s="1" t="s">
        <v>804</v>
      </c>
      <c r="C1172" s="346">
        <v>380926570099</v>
      </c>
      <c r="D1172" s="341" t="str">
        <f>VLOOKUP(C1172,[1]Material!F:J,5,0)</f>
        <v>Fedex</v>
      </c>
      <c r="E1172" s="367">
        <f>_xlfn.XLOOKUP(C1172,[1]Material!$F:$F,[1]Material!$D:$D)</f>
        <v>2.2999999999999998</v>
      </c>
      <c r="F1172" s="1"/>
      <c r="G1172" s="59"/>
      <c r="H1172" s="59">
        <v>15.149219815179519</v>
      </c>
      <c r="I1172" s="59">
        <v>32.87229207695804</v>
      </c>
      <c r="J1172" s="59"/>
      <c r="K1172" s="59"/>
      <c r="L1172" s="59"/>
      <c r="M1172" s="59">
        <f t="shared" si="37"/>
        <v>48.021511892137561</v>
      </c>
    </row>
    <row r="1173" spans="1:13" hidden="1" outlineLevel="2">
      <c r="A1173" s="138">
        <v>46143</v>
      </c>
      <c r="B1173" s="1" t="s">
        <v>802</v>
      </c>
      <c r="C1173" s="346">
        <v>380902290669</v>
      </c>
      <c r="D1173" s="341" t="str">
        <f>VLOOKUP(C1173,[1]Material!F:J,5,0)</f>
        <v>Fedex</v>
      </c>
      <c r="E1173" s="367">
        <f>_xlfn.XLOOKUP(C1173,[1]Material!$F:$F,[1]Material!$D:$D)</f>
        <v>2.7</v>
      </c>
      <c r="F1173" s="1"/>
      <c r="G1173" s="59"/>
      <c r="H1173" s="59">
        <v>15.149219815179519</v>
      </c>
      <c r="I1173" s="59">
        <v>33.691107407968488</v>
      </c>
      <c r="J1173" s="59"/>
      <c r="K1173" s="59"/>
      <c r="L1173" s="59"/>
      <c r="M1173" s="59">
        <f t="shared" si="37"/>
        <v>48.840327223148009</v>
      </c>
    </row>
    <row r="1174" spans="1:13" hidden="1" outlineLevel="2">
      <c r="A1174" s="138">
        <v>46143</v>
      </c>
      <c r="B1174" s="1" t="s">
        <v>798</v>
      </c>
      <c r="C1174" s="346">
        <v>871199101940</v>
      </c>
      <c r="D1174" s="341" t="str">
        <f>VLOOKUP(C1174,[1]Material!F:J,5,0)</f>
        <v>Fedex</v>
      </c>
      <c r="E1174" s="367">
        <f>_xlfn.XLOOKUP(C1174,[1]Material!$F:$F,[1]Material!$D:$D)</f>
        <v>21.8</v>
      </c>
      <c r="F1174" s="1"/>
      <c r="G1174" s="59"/>
      <c r="H1174" s="59">
        <v>15.149219815179519</v>
      </c>
      <c r="I1174" s="59">
        <v>75.404484169065299</v>
      </c>
      <c r="J1174" s="59"/>
      <c r="K1174" s="59"/>
      <c r="L1174" s="59"/>
      <c r="M1174" s="59">
        <f t="shared" si="37"/>
        <v>90.553703984244819</v>
      </c>
    </row>
    <row r="1175" spans="1:13" hidden="1" outlineLevel="2">
      <c r="A1175" s="138">
        <v>46143</v>
      </c>
      <c r="B1175" s="1" t="s">
        <v>377</v>
      </c>
      <c r="C1175" s="346">
        <v>871249101662</v>
      </c>
      <c r="D1175" s="341" t="str">
        <f>VLOOKUP(C1175,[1]Material!F:J,5,0)</f>
        <v>Fedex</v>
      </c>
      <c r="E1175" s="367">
        <f>_xlfn.XLOOKUP(C1175,[1]Material!$F:$F,[1]Material!$D:$D)</f>
        <v>151.5</v>
      </c>
      <c r="F1175" s="1"/>
      <c r="G1175" s="59"/>
      <c r="H1175" s="59">
        <v>15.149219815179519</v>
      </c>
      <c r="I1175" s="59">
        <v>542.62448871383128</v>
      </c>
      <c r="J1175" s="59"/>
      <c r="K1175" s="59"/>
      <c r="L1175" s="59"/>
      <c r="M1175" s="59">
        <f t="shared" si="37"/>
        <v>557.77370852901083</v>
      </c>
    </row>
    <row r="1176" spans="1:13" hidden="1" outlineLevel="2">
      <c r="A1176" s="138">
        <v>46143</v>
      </c>
      <c r="B1176" s="1" t="s">
        <v>804</v>
      </c>
      <c r="C1176" s="346">
        <v>380927201970</v>
      </c>
      <c r="D1176" s="341" t="str">
        <f>VLOOKUP(C1176,[1]Material!F:J,5,0)</f>
        <v>Fedex</v>
      </c>
      <c r="E1176" s="367">
        <f>_xlfn.XLOOKUP(C1176,[1]Material!$F:$F,[1]Material!$D:$D)</f>
        <v>0.8</v>
      </c>
      <c r="F1176" s="1"/>
      <c r="G1176" s="59"/>
      <c r="H1176" s="59">
        <v>15.149219815179519</v>
      </c>
      <c r="I1176" s="59">
        <v>16.665921830025752</v>
      </c>
      <c r="J1176" s="59"/>
      <c r="K1176" s="59"/>
      <c r="L1176" s="59"/>
      <c r="M1176" s="59">
        <f t="shared" si="37"/>
        <v>31.815141645205273</v>
      </c>
    </row>
    <row r="1177" spans="1:13" hidden="1" outlineLevel="2">
      <c r="A1177" s="138">
        <v>46143</v>
      </c>
      <c r="B1177" s="1" t="s">
        <v>802</v>
      </c>
      <c r="C1177" s="346">
        <v>380867018834</v>
      </c>
      <c r="D1177" s="341" t="str">
        <f>VLOOKUP(C1177,[1]Material!F:J,5,0)</f>
        <v>Fedex</v>
      </c>
      <c r="E1177" s="367">
        <f>_xlfn.XLOOKUP(C1177,[1]Material!$F:$F,[1]Material!$D:$D)</f>
        <v>14.6</v>
      </c>
      <c r="F1177" s="1"/>
      <c r="G1177" s="59"/>
      <c r="H1177" s="59">
        <v>15.149219815179519</v>
      </c>
      <c r="I1177" s="59">
        <v>92.723981214967424</v>
      </c>
      <c r="J1177" s="59"/>
      <c r="K1177" s="59"/>
      <c r="L1177" s="59"/>
      <c r="M1177" s="59">
        <f t="shared" si="37"/>
        <v>107.87320103014694</v>
      </c>
    </row>
    <row r="1178" spans="1:13" hidden="1" outlineLevel="2">
      <c r="A1178" s="138">
        <v>46143</v>
      </c>
      <c r="B1178" s="1" t="s">
        <v>1330</v>
      </c>
      <c r="C1178" s="346">
        <v>871250905685</v>
      </c>
      <c r="D1178" s="341" t="str">
        <f>VLOOKUP(C1178,[1]Material!F:J,5,0)</f>
        <v>Fedex</v>
      </c>
      <c r="E1178" s="367">
        <f>_xlfn.XLOOKUP(C1178,[1]Material!$F:$F,[1]Material!$D:$D)</f>
        <v>1.2</v>
      </c>
      <c r="F1178" s="1"/>
      <c r="G1178" s="59"/>
      <c r="H1178" s="59">
        <v>15.149219815179519</v>
      </c>
      <c r="I1178" s="59">
        <v>25.319875776397517</v>
      </c>
      <c r="J1178" s="59"/>
      <c r="K1178" s="59"/>
      <c r="L1178" s="59"/>
      <c r="M1178" s="59">
        <f t="shared" si="37"/>
        <v>40.469095591577037</v>
      </c>
    </row>
    <row r="1179" spans="1:13" hidden="1" outlineLevel="2">
      <c r="A1179" s="138">
        <v>46143</v>
      </c>
      <c r="B1179" s="1" t="s">
        <v>983</v>
      </c>
      <c r="C1179" s="346">
        <v>679865603370</v>
      </c>
      <c r="D1179" s="341" t="str">
        <f>VLOOKUP(C1179,[1]Material!F:J,5,0)</f>
        <v>Fedex</v>
      </c>
      <c r="E1179" s="367">
        <f>_xlfn.XLOOKUP(C1179,[1]Material!$F:$F,[1]Material!$D:$D)</f>
        <v>11.4</v>
      </c>
      <c r="F1179" s="1"/>
      <c r="G1179" s="59"/>
      <c r="H1179" s="59">
        <v>15.149219815179519</v>
      </c>
      <c r="I1179" s="59">
        <v>48.572564762914709</v>
      </c>
      <c r="J1179" s="59"/>
      <c r="K1179" s="59"/>
      <c r="L1179" s="59"/>
      <c r="M1179" s="59">
        <f t="shared" si="37"/>
        <v>63.72178457809423</v>
      </c>
    </row>
    <row r="1180" spans="1:13" hidden="1" outlineLevel="2">
      <c r="A1180" s="138">
        <v>46143</v>
      </c>
      <c r="B1180" s="1" t="s">
        <v>809</v>
      </c>
      <c r="C1180" s="346">
        <v>518027622080</v>
      </c>
      <c r="D1180" s="341" t="str">
        <f>VLOOKUP(C1180,[1]Material!F:J,5,0)</f>
        <v>Fedex</v>
      </c>
      <c r="E1180" s="367">
        <f>_xlfn.XLOOKUP(C1180,[1]Material!$F:$F,[1]Material!$D:$D)</f>
        <v>0.3</v>
      </c>
      <c r="F1180" s="1"/>
      <c r="G1180" s="59"/>
      <c r="H1180" s="59">
        <v>15.149219815179519</v>
      </c>
      <c r="I1180" s="59">
        <v>20.531889107710953</v>
      </c>
      <c r="J1180" s="59"/>
      <c r="K1180" s="59"/>
      <c r="L1180" s="59"/>
      <c r="M1180" s="59">
        <f t="shared" si="37"/>
        <v>35.681108922890473</v>
      </c>
    </row>
    <row r="1181" spans="1:13" hidden="1" outlineLevel="2">
      <c r="A1181" s="138">
        <v>46143</v>
      </c>
      <c r="B1181" s="1" t="s">
        <v>373</v>
      </c>
      <c r="C1181" s="346">
        <v>871356908160</v>
      </c>
      <c r="D1181" s="341" t="str">
        <f>VLOOKUP(C1181,[1]Material!F:J,5,0)</f>
        <v>Fedex</v>
      </c>
      <c r="E1181" s="367">
        <f>_xlfn.XLOOKUP(C1181,[1]Material!$F:$F,[1]Material!$D:$D)</f>
        <v>5.5</v>
      </c>
      <c r="F1181" s="1"/>
      <c r="G1181" s="59"/>
      <c r="H1181" s="59">
        <v>15.149219815179519</v>
      </c>
      <c r="I1181" s="59">
        <v>36.062414785638538</v>
      </c>
      <c r="J1181" s="59"/>
      <c r="K1181" s="59"/>
      <c r="L1181" s="59"/>
      <c r="M1181" s="59">
        <f t="shared" si="37"/>
        <v>51.211634600818059</v>
      </c>
    </row>
    <row r="1182" spans="1:13" hidden="1" outlineLevel="2">
      <c r="A1182" s="138">
        <v>46143</v>
      </c>
      <c r="B1182" s="1" t="s">
        <v>335</v>
      </c>
      <c r="C1182" s="346">
        <v>477592563597</v>
      </c>
      <c r="D1182" s="341" t="str">
        <f>VLOOKUP(C1182,[1]Material!F:J,5,0)</f>
        <v>Fedex</v>
      </c>
      <c r="E1182" s="367">
        <f>_xlfn.XLOOKUP(C1182,[1]Material!$F:$F,[1]Material!$D:$D)</f>
        <v>63.4</v>
      </c>
      <c r="F1182" s="1"/>
      <c r="G1182" s="59"/>
      <c r="H1182" s="59">
        <v>15.149219815179519</v>
      </c>
      <c r="I1182" s="59">
        <v>189.93678988032116</v>
      </c>
      <c r="J1182" s="59"/>
      <c r="K1182" s="59"/>
      <c r="L1182" s="59"/>
      <c r="M1182" s="59">
        <f t="shared" si="37"/>
        <v>205.08600969550068</v>
      </c>
    </row>
    <row r="1183" spans="1:13" hidden="1" outlineLevel="2">
      <c r="A1183" s="138">
        <v>46143</v>
      </c>
      <c r="B1183" s="1" t="s">
        <v>335</v>
      </c>
      <c r="C1183" s="346">
        <v>477592562774</v>
      </c>
      <c r="D1183" s="341" t="str">
        <f>VLOOKUP(C1183,[1]Material!F:J,5,0)</f>
        <v>Fedex</v>
      </c>
      <c r="E1183" s="367">
        <f>_xlfn.XLOOKUP(C1183,[1]Material!$F:$F,[1]Material!$D:$D)</f>
        <v>125.1</v>
      </c>
      <c r="F1183" s="1"/>
      <c r="G1183" s="59"/>
      <c r="H1183" s="59">
        <v>15.149219815179519</v>
      </c>
      <c r="I1183" s="59">
        <v>329.12202696561127</v>
      </c>
      <c r="J1183" s="59"/>
      <c r="K1183" s="59"/>
      <c r="L1183" s="59"/>
      <c r="M1183" s="59">
        <f t="shared" si="37"/>
        <v>344.27124678079076</v>
      </c>
    </row>
    <row r="1184" spans="1:13" hidden="1" outlineLevel="2">
      <c r="A1184" s="138">
        <v>46143</v>
      </c>
      <c r="B1184" s="1" t="s">
        <v>1623</v>
      </c>
      <c r="C1184" s="346">
        <v>871555821601</v>
      </c>
      <c r="D1184" s="341" t="str">
        <f>VLOOKUP(C1184,[1]Material!F:J,5,0)</f>
        <v>Fedex</v>
      </c>
      <c r="E1184" s="367">
        <f>_xlfn.XLOOKUP(C1184,[1]Material!$F:$F,[1]Material!$D:$D)</f>
        <v>3</v>
      </c>
      <c r="F1184" s="1"/>
      <c r="G1184" s="59"/>
      <c r="H1184" s="59">
        <v>15.149219815179519</v>
      </c>
      <c r="I1184" s="59">
        <v>49.076768671413426</v>
      </c>
      <c r="J1184" s="59"/>
      <c r="K1184" s="59"/>
      <c r="L1184" s="59"/>
      <c r="M1184" s="59">
        <f t="shared" si="37"/>
        <v>64.225988486592939</v>
      </c>
    </row>
    <row r="1185" spans="1:13" hidden="1" outlineLevel="2">
      <c r="A1185" s="138">
        <v>46143</v>
      </c>
      <c r="B1185" s="1" t="s">
        <v>376</v>
      </c>
      <c r="C1185" s="346">
        <v>451257570485</v>
      </c>
      <c r="D1185" s="341" t="str">
        <f>VLOOKUP(C1185,[1]Material!F:J,5,0)</f>
        <v>Fedex</v>
      </c>
      <c r="E1185" s="367">
        <f>_xlfn.XLOOKUP(C1185,[1]Material!$F:$F,[1]Material!$D:$D)</f>
        <v>5.5</v>
      </c>
      <c r="F1185" s="1"/>
      <c r="G1185" s="59"/>
      <c r="H1185" s="59">
        <v>15.149219815179519</v>
      </c>
      <c r="I1185" s="59">
        <v>41.239925768822907</v>
      </c>
      <c r="J1185" s="59"/>
      <c r="K1185" s="59"/>
      <c r="L1185" s="59"/>
      <c r="M1185" s="59">
        <f t="shared" si="37"/>
        <v>56.389145584002428</v>
      </c>
    </row>
    <row r="1186" spans="1:13" hidden="1" outlineLevel="2">
      <c r="A1186" s="138">
        <v>46143</v>
      </c>
      <c r="B1186" s="1" t="s">
        <v>964</v>
      </c>
      <c r="C1186" s="346">
        <v>523488274549</v>
      </c>
      <c r="D1186" s="341" t="str">
        <f>VLOOKUP(C1186,[1]Material!F:J,5,0)</f>
        <v>Fedex</v>
      </c>
      <c r="E1186" s="367">
        <f>_xlfn.XLOOKUP(C1186,[1]Material!$F:$F,[1]Material!$D:$D)</f>
        <v>3.1</v>
      </c>
      <c r="F1186" s="1"/>
      <c r="G1186" s="59"/>
      <c r="H1186" s="59">
        <v>15.149219815179519</v>
      </c>
      <c r="I1186" s="59">
        <v>48.115399181942131</v>
      </c>
      <c r="J1186" s="59"/>
      <c r="K1186" s="59"/>
      <c r="L1186" s="59"/>
      <c r="M1186" s="59">
        <f t="shared" si="37"/>
        <v>63.264618997121651</v>
      </c>
    </row>
    <row r="1187" spans="1:13" hidden="1" outlineLevel="2">
      <c r="A1187" s="138">
        <v>46143</v>
      </c>
      <c r="B1187" s="1" t="s">
        <v>1899</v>
      </c>
      <c r="C1187" s="346">
        <v>871682517684</v>
      </c>
      <c r="D1187" s="341" t="str">
        <f>VLOOKUP(C1187,[1]Material!F:J,5,0)</f>
        <v>Fedex</v>
      </c>
      <c r="E1187" s="367">
        <f>_xlfn.XLOOKUP(C1187,[1]Material!$F:$F,[1]Material!$D:$D)</f>
        <v>4</v>
      </c>
      <c r="F1187" s="1"/>
      <c r="G1187" s="59"/>
      <c r="H1187" s="59">
        <v>15.149219815179519</v>
      </c>
      <c r="I1187" s="59">
        <v>36.009203151037724</v>
      </c>
      <c r="J1187" s="59"/>
      <c r="K1187" s="59"/>
      <c r="L1187" s="59"/>
      <c r="M1187" s="59">
        <f t="shared" si="37"/>
        <v>51.158422966217245</v>
      </c>
    </row>
    <row r="1188" spans="1:13" hidden="1" outlineLevel="2">
      <c r="A1188" s="138">
        <v>46143</v>
      </c>
      <c r="B1188" s="1" t="s">
        <v>974</v>
      </c>
      <c r="C1188" s="346">
        <v>381117292853</v>
      </c>
      <c r="D1188" s="341" t="str">
        <f>VLOOKUP(C1188,[1]Material!F:J,5,0)</f>
        <v>Fedex</v>
      </c>
      <c r="E1188" s="367">
        <f>_xlfn.XLOOKUP(C1188,[1]Material!$F:$F,[1]Material!$D:$D)</f>
        <v>6.3</v>
      </c>
      <c r="F1188" s="1"/>
      <c r="G1188" s="59"/>
      <c r="H1188" s="59">
        <v>15.149219815179519</v>
      </c>
      <c r="I1188" s="59">
        <v>61.936070292379945</v>
      </c>
      <c r="J1188" s="59"/>
      <c r="K1188" s="59"/>
      <c r="L1188" s="59"/>
      <c r="M1188" s="59">
        <f t="shared" si="37"/>
        <v>77.085290107559459</v>
      </c>
    </row>
    <row r="1189" spans="1:13" hidden="1" outlineLevel="2">
      <c r="A1189" s="138">
        <v>46143</v>
      </c>
      <c r="B1189" s="1" t="s">
        <v>82</v>
      </c>
      <c r="C1189" s="346">
        <v>1174075674</v>
      </c>
      <c r="D1189" s="341" t="str">
        <f>VLOOKUP(C1189,[1]Material!F:J,5,0)</f>
        <v>DHL</v>
      </c>
      <c r="E1189" s="367">
        <f>_xlfn.XLOOKUP(C1189,[1]Material!$F:$F,[1]Material!$D:$D)</f>
        <v>5.3</v>
      </c>
      <c r="F1189" s="1"/>
      <c r="G1189" s="59">
        <v>0</v>
      </c>
      <c r="H1189" s="59">
        <v>15.149219815179519</v>
      </c>
      <c r="I1189" s="59">
        <v>0</v>
      </c>
      <c r="J1189" s="59"/>
      <c r="K1189" s="59"/>
      <c r="L1189" s="59">
        <v>0</v>
      </c>
      <c r="M1189" s="59">
        <f t="shared" si="37"/>
        <v>15.149219815179519</v>
      </c>
    </row>
    <row r="1190" spans="1:13" hidden="1" outlineLevel="2">
      <c r="A1190" s="138">
        <v>46143</v>
      </c>
      <c r="B1190" s="1" t="s">
        <v>1460</v>
      </c>
      <c r="C1190" s="346" t="s">
        <v>1904</v>
      </c>
      <c r="D1190" s="341" t="str">
        <f>VLOOKUP(C1190,[1]Material!F:J,5,0)</f>
        <v>VVMV(sea)</v>
      </c>
      <c r="E1190" s="367">
        <f>_xlfn.XLOOKUP(C1190,[1]Material!$F:$F,[1]Material!$D:$D)</f>
        <v>2100.5</v>
      </c>
      <c r="F1190" s="1"/>
      <c r="G1190" s="59">
        <v>147.70489319800029</v>
      </c>
      <c r="H1190" s="59">
        <v>24.617482199666718</v>
      </c>
      <c r="I1190" s="59">
        <v>1043.0607104984094</v>
      </c>
      <c r="J1190" s="59"/>
      <c r="K1190" s="59"/>
      <c r="L1190" s="59">
        <v>112.95258294197849</v>
      </c>
      <c r="M1190" s="59">
        <f t="shared" si="37"/>
        <v>1328.335668838055</v>
      </c>
    </row>
    <row r="1191" spans="1:13" hidden="1" outlineLevel="2">
      <c r="A1191" s="138">
        <v>46143</v>
      </c>
      <c r="B1191" s="1" t="s">
        <v>110</v>
      </c>
      <c r="C1191" s="346">
        <v>5451856185</v>
      </c>
      <c r="D1191" s="341" t="str">
        <f>VLOOKUP(C1191,[1]Material!F:J,5,0)</f>
        <v>DHL</v>
      </c>
      <c r="E1191" s="367">
        <f>_xlfn.XLOOKUP(C1191,[1]Material!$F:$F,[1]Material!$D:$D)</f>
        <v>4.9000000000000004</v>
      </c>
      <c r="F1191" s="1"/>
      <c r="G1191" s="59">
        <v>0</v>
      </c>
      <c r="H1191" s="59">
        <v>15.149219815179519</v>
      </c>
      <c r="I1191" s="59">
        <v>0</v>
      </c>
      <c r="J1191" s="59"/>
      <c r="K1191" s="59"/>
      <c r="L1191" s="59">
        <v>0</v>
      </c>
      <c r="M1191" s="59">
        <f t="shared" si="37"/>
        <v>15.149219815179519</v>
      </c>
    </row>
    <row r="1192" spans="1:13" hidden="1" outlineLevel="2">
      <c r="A1192" s="138">
        <v>46143</v>
      </c>
      <c r="B1192" s="1" t="s">
        <v>941</v>
      </c>
      <c r="C1192" s="346">
        <v>7303228365</v>
      </c>
      <c r="D1192" s="341" t="str">
        <f>VLOOKUP(C1192,[1]Material!F:J,5,0)</f>
        <v>DHL</v>
      </c>
      <c r="E1192" s="367">
        <f>_xlfn.XLOOKUP(C1192,[1]Material!$F:$F,[1]Material!$D:$D)</f>
        <v>279.8</v>
      </c>
      <c r="F1192" s="1"/>
      <c r="G1192" s="59">
        <v>0</v>
      </c>
      <c r="H1192" s="59">
        <v>26.511134676564158</v>
      </c>
      <c r="I1192" s="59">
        <v>0</v>
      </c>
      <c r="J1192" s="59"/>
      <c r="K1192" s="59"/>
      <c r="L1192" s="59">
        <v>0</v>
      </c>
      <c r="M1192" s="59">
        <f t="shared" si="37"/>
        <v>26.511134676564158</v>
      </c>
    </row>
    <row r="1193" spans="1:13" hidden="1" outlineLevel="2">
      <c r="A1193" s="138">
        <v>46143</v>
      </c>
      <c r="B1193" s="1" t="s">
        <v>948</v>
      </c>
      <c r="C1193" s="346">
        <v>4110336518</v>
      </c>
      <c r="D1193" s="341" t="str">
        <f>VLOOKUP(C1193,[1]Material!F:J,5,0)</f>
        <v>Expeditors</v>
      </c>
      <c r="E1193" s="367">
        <f>_xlfn.XLOOKUP(C1193,[1]Material!$F:$F,[1]Material!$D:$D)</f>
        <v>211.5</v>
      </c>
      <c r="F1193" s="1"/>
      <c r="G1193" s="59">
        <v>0</v>
      </c>
      <c r="H1193" s="59">
        <v>15.149219815179519</v>
      </c>
      <c r="I1193" s="59">
        <v>0</v>
      </c>
      <c r="J1193" s="59"/>
      <c r="K1193" s="59"/>
      <c r="L1193" s="59">
        <v>0</v>
      </c>
      <c r="M1193" s="59">
        <f t="shared" si="37"/>
        <v>15.149219815179519</v>
      </c>
    </row>
    <row r="1194" spans="1:13" hidden="1" outlineLevel="2">
      <c r="A1194" s="138">
        <v>46143</v>
      </c>
      <c r="B1194" s="1" t="s">
        <v>183</v>
      </c>
      <c r="C1194" s="346" t="s">
        <v>1959</v>
      </c>
      <c r="D1194" s="341" t="str">
        <f>VLOOKUP(C1194,[1]Material!F:J,5,0)</f>
        <v>GATELINK(SEA)</v>
      </c>
      <c r="E1194" s="367">
        <f>_xlfn.XLOOKUP(C1194,[1]Material!$F:$F,[1]Material!$D:$D)</f>
        <v>2071.62</v>
      </c>
      <c r="F1194" s="1"/>
      <c r="G1194" s="59">
        <v>0</v>
      </c>
      <c r="H1194" s="59">
        <v>15.149219815179519</v>
      </c>
      <c r="I1194" s="59">
        <v>0</v>
      </c>
      <c r="J1194" s="59"/>
      <c r="K1194" s="59"/>
      <c r="L1194" s="59">
        <v>0</v>
      </c>
      <c r="M1194" s="59">
        <f t="shared" si="37"/>
        <v>15.149219815179519</v>
      </c>
    </row>
    <row r="1195" spans="1:13" hidden="1" outlineLevel="2">
      <c r="A1195" s="138">
        <v>46143</v>
      </c>
      <c r="B1195" s="1" t="s">
        <v>1703</v>
      </c>
      <c r="C1195" s="346">
        <v>870935991886</v>
      </c>
      <c r="D1195" s="341" t="str">
        <f>VLOOKUP(C1195,[1]Material!F:J,5,0)</f>
        <v>Fedex</v>
      </c>
      <c r="E1195" s="367">
        <f>_xlfn.XLOOKUP(C1195,[1]Material!$F:$F,[1]Material!$D:$D)</f>
        <v>2.1</v>
      </c>
      <c r="F1195" s="1"/>
      <c r="G1195" s="59">
        <v>0</v>
      </c>
      <c r="H1195" s="59">
        <v>15.149219815179519</v>
      </c>
      <c r="I1195" s="59">
        <v>0</v>
      </c>
      <c r="J1195" s="59"/>
      <c r="K1195" s="59"/>
      <c r="L1195" s="59">
        <v>0</v>
      </c>
      <c r="M1195" s="59">
        <f t="shared" si="37"/>
        <v>15.149219815179519</v>
      </c>
    </row>
    <row r="1196" spans="1:13" hidden="1" outlineLevel="2">
      <c r="A1196" s="138">
        <v>46143</v>
      </c>
      <c r="B1196" s="1" t="s">
        <v>1706</v>
      </c>
      <c r="C1196" s="346" t="s">
        <v>1960</v>
      </c>
      <c r="D1196" s="341" t="str">
        <f>VLOOKUP(C1196,[1]Material!F:J,5,0)</f>
        <v>VVMV(sea)</v>
      </c>
      <c r="E1196" s="367">
        <f>_xlfn.XLOOKUP(C1196,[1]Material!$F:$F,[1]Material!$D:$D)</f>
        <v>1118.4000000000001</v>
      </c>
      <c r="F1196" s="1"/>
      <c r="G1196" s="59">
        <v>117.40645356764126</v>
      </c>
      <c r="H1196" s="59">
        <v>15.149219815179519</v>
      </c>
      <c r="I1196" s="59">
        <v>781.17343281320996</v>
      </c>
      <c r="J1196" s="59"/>
      <c r="K1196" s="59"/>
      <c r="L1196" s="59">
        <v>192.55317376155128</v>
      </c>
      <c r="M1196" s="59">
        <f t="shared" si="37"/>
        <v>1106.282279957582</v>
      </c>
    </row>
    <row r="1197" spans="1:13" hidden="1" outlineLevel="2">
      <c r="A1197" s="138">
        <v>46143</v>
      </c>
      <c r="B1197" s="1" t="s">
        <v>1324</v>
      </c>
      <c r="C1197" s="346">
        <v>871012960443</v>
      </c>
      <c r="D1197" s="341" t="str">
        <f>VLOOKUP(C1197,[1]Material!F:J,5,0)</f>
        <v>Fedex</v>
      </c>
      <c r="E1197" s="367">
        <f>_xlfn.XLOOKUP(C1197,[1]Material!$F:$F,[1]Material!$D:$D)</f>
        <v>53</v>
      </c>
      <c r="F1197" s="1"/>
      <c r="G1197" s="59">
        <v>0</v>
      </c>
      <c r="H1197" s="59">
        <v>15.149219815179519</v>
      </c>
      <c r="I1197" s="59">
        <v>0</v>
      </c>
      <c r="J1197" s="59"/>
      <c r="K1197" s="59"/>
      <c r="L1197" s="59">
        <v>0</v>
      </c>
      <c r="M1197" s="59">
        <f t="shared" ref="M1197:M1232" si="39">SUM(G1197:L1197)</f>
        <v>15.149219815179519</v>
      </c>
    </row>
    <row r="1198" spans="1:13" hidden="1" outlineLevel="2">
      <c r="A1198" s="138">
        <v>46143</v>
      </c>
      <c r="B1198" s="1" t="s">
        <v>981</v>
      </c>
      <c r="C1198" s="346">
        <v>380748019795</v>
      </c>
      <c r="D1198" s="341" t="str">
        <f>VLOOKUP(C1198,[1]Material!F:J,5,0)</f>
        <v>Fedex</v>
      </c>
      <c r="E1198" s="367">
        <f>_xlfn.XLOOKUP(C1198,[1]Material!$F:$F,[1]Material!$D:$D)</f>
        <v>18.3</v>
      </c>
      <c r="F1198" s="1"/>
      <c r="G1198" s="59">
        <v>0</v>
      </c>
      <c r="H1198" s="59">
        <v>15.149219815179519</v>
      </c>
      <c r="I1198" s="59">
        <v>0</v>
      </c>
      <c r="J1198" s="59"/>
      <c r="K1198" s="59"/>
      <c r="L1198" s="59">
        <v>0</v>
      </c>
      <c r="M1198" s="59">
        <f t="shared" si="39"/>
        <v>15.149219815179519</v>
      </c>
    </row>
    <row r="1199" spans="1:13" hidden="1" outlineLevel="2">
      <c r="A1199" s="138">
        <v>46143</v>
      </c>
      <c r="B1199" s="1" t="s">
        <v>1971</v>
      </c>
      <c r="C1199" s="346">
        <v>480304817102</v>
      </c>
      <c r="D1199" s="341" t="str">
        <f>VLOOKUP(C1199,[1]Material!F:J,5,0)</f>
        <v>Fedex</v>
      </c>
      <c r="E1199" s="367">
        <f>_xlfn.XLOOKUP(C1199,[1]Material!$F:$F,[1]Material!$D:$D)</f>
        <v>2.7</v>
      </c>
      <c r="F1199" s="1"/>
      <c r="G1199" s="59">
        <v>0</v>
      </c>
      <c r="H1199" s="59">
        <v>15.149219815179519</v>
      </c>
      <c r="I1199" s="59">
        <v>0</v>
      </c>
      <c r="J1199" s="59"/>
      <c r="K1199" s="59"/>
      <c r="L1199" s="59">
        <v>0</v>
      </c>
      <c r="M1199" s="59">
        <f t="shared" si="39"/>
        <v>15.149219815179519</v>
      </c>
    </row>
    <row r="1200" spans="1:13" hidden="1" outlineLevel="2">
      <c r="A1200" s="138">
        <v>46143</v>
      </c>
      <c r="B1200" s="1" t="s">
        <v>1977</v>
      </c>
      <c r="C1200" s="346">
        <v>524130577137</v>
      </c>
      <c r="D1200" s="341" t="str">
        <f>VLOOKUP(C1200,[1]Material!F:J,5,0)</f>
        <v>Fedex</v>
      </c>
      <c r="E1200" s="367">
        <f>_xlfn.XLOOKUP(C1200,[1]Material!$F:$F,[1]Material!$D:$D)</f>
        <v>3.2</v>
      </c>
      <c r="F1200" s="1"/>
      <c r="G1200" s="59">
        <v>0</v>
      </c>
      <c r="H1200" s="59">
        <v>15.149219815179519</v>
      </c>
      <c r="I1200" s="59">
        <v>0</v>
      </c>
      <c r="J1200" s="59"/>
      <c r="K1200" s="59"/>
      <c r="L1200" s="59">
        <v>0</v>
      </c>
      <c r="M1200" s="59">
        <f t="shared" si="39"/>
        <v>15.149219815179519</v>
      </c>
    </row>
    <row r="1201" spans="1:13" hidden="1" outlineLevel="2">
      <c r="A1201" s="138">
        <v>46143</v>
      </c>
      <c r="B1201" s="1" t="s">
        <v>1979</v>
      </c>
      <c r="C1201" s="346" t="s">
        <v>1978</v>
      </c>
      <c r="D1201" s="341" t="str">
        <f>VLOOKUP(C1201,[1]Material!F:J,5,0)</f>
        <v>VVMV(sea)</v>
      </c>
      <c r="E1201" s="367">
        <f>_xlfn.XLOOKUP(C1201,[1]Material!$F:$F,[1]Material!$D:$D)</f>
        <v>207</v>
      </c>
      <c r="F1201" s="1"/>
      <c r="G1201" s="59">
        <v>37.873049537948795</v>
      </c>
      <c r="H1201" s="59">
        <v>15.149219815179519</v>
      </c>
      <c r="I1201" s="59">
        <v>468.36055143160127</v>
      </c>
      <c r="J1201" s="59"/>
      <c r="K1201" s="59"/>
      <c r="L1201" s="59">
        <v>22.046659597030754</v>
      </c>
      <c r="M1201" s="59">
        <f t="shared" si="39"/>
        <v>543.4294803817603</v>
      </c>
    </row>
    <row r="1202" spans="1:13" hidden="1" outlineLevel="2">
      <c r="A1202" s="138">
        <v>46143</v>
      </c>
      <c r="B1202" s="1" t="s">
        <v>934</v>
      </c>
      <c r="C1202" s="346">
        <v>5828565676</v>
      </c>
      <c r="D1202" s="341" t="str">
        <f>VLOOKUP(C1202,[1]Material!F:J,5,0)</f>
        <v>DHL</v>
      </c>
      <c r="E1202" s="367">
        <f>_xlfn.XLOOKUP(C1202,[1]Material!$F:$F,[1]Material!$D:$D)</f>
        <v>12.8</v>
      </c>
      <c r="F1202" s="1"/>
      <c r="G1202" s="59">
        <v>0</v>
      </c>
      <c r="H1202" s="59">
        <v>15.149219815179519</v>
      </c>
      <c r="I1202" s="59">
        <v>0</v>
      </c>
      <c r="J1202" s="59"/>
      <c r="K1202" s="59"/>
      <c r="L1202" s="59">
        <v>0</v>
      </c>
      <c r="M1202" s="59">
        <f t="shared" si="39"/>
        <v>15.149219815179519</v>
      </c>
    </row>
    <row r="1203" spans="1:13" hidden="1" outlineLevel="2">
      <c r="A1203" s="138">
        <v>46143</v>
      </c>
      <c r="B1203" s="1" t="s">
        <v>941</v>
      </c>
      <c r="C1203" s="346">
        <v>4568693286</v>
      </c>
      <c r="D1203" s="341" t="str">
        <f>VLOOKUP(C1203,[1]Material!F:J,5,0)</f>
        <v>DHL</v>
      </c>
      <c r="E1203" s="367">
        <f>_xlfn.XLOOKUP(C1203,[1]Material!$F:$F,[1]Material!$D:$D)</f>
        <v>254.9</v>
      </c>
      <c r="F1203" s="1"/>
      <c r="G1203" s="59">
        <v>0</v>
      </c>
      <c r="H1203" s="59">
        <v>26.511134676564158</v>
      </c>
      <c r="I1203" s="59">
        <v>0</v>
      </c>
      <c r="J1203" s="59"/>
      <c r="K1203" s="59"/>
      <c r="L1203" s="59">
        <v>0</v>
      </c>
      <c r="M1203" s="59">
        <f t="shared" si="39"/>
        <v>26.511134676564158</v>
      </c>
    </row>
    <row r="1204" spans="1:13" hidden="1" outlineLevel="2">
      <c r="A1204" s="138">
        <v>46143</v>
      </c>
      <c r="B1204" s="1" t="s">
        <v>1971</v>
      </c>
      <c r="C1204" s="346">
        <v>4110336885</v>
      </c>
      <c r="D1204" s="341" t="str">
        <f>VLOOKUP(C1204,[1]Material!F:J,5,0)</f>
        <v>Expeditors</v>
      </c>
      <c r="E1204" s="367">
        <f>_xlfn.XLOOKUP(C1204,[1]Material!$F:$F,[1]Material!$D:$D)</f>
        <v>14.5</v>
      </c>
      <c r="F1204" s="1"/>
      <c r="G1204" s="59">
        <v>0</v>
      </c>
      <c r="H1204" s="59">
        <v>15.149219815179519</v>
      </c>
      <c r="I1204" s="59">
        <v>0</v>
      </c>
      <c r="J1204" s="59"/>
      <c r="K1204" s="59"/>
      <c r="L1204" s="59">
        <v>0</v>
      </c>
      <c r="M1204" s="59">
        <f t="shared" si="39"/>
        <v>15.149219815179519</v>
      </c>
    </row>
    <row r="1205" spans="1:13" hidden="1" outlineLevel="2">
      <c r="A1205" s="138">
        <v>46143</v>
      </c>
      <c r="B1205" s="1" t="s">
        <v>1984</v>
      </c>
      <c r="C1205" s="346">
        <v>4110336886</v>
      </c>
      <c r="D1205" s="341" t="str">
        <f>VLOOKUP(C1205,[1]Material!F:J,5,0)</f>
        <v>Expeditors</v>
      </c>
      <c r="E1205" s="367">
        <f>_xlfn.XLOOKUP(C1205,[1]Material!$F:$F,[1]Material!$D:$D)</f>
        <v>22</v>
      </c>
      <c r="F1205" s="1"/>
      <c r="G1205" s="59">
        <v>0</v>
      </c>
      <c r="H1205" s="59">
        <v>15.149219815179519</v>
      </c>
      <c r="I1205" s="59">
        <v>0</v>
      </c>
      <c r="J1205" s="59"/>
      <c r="K1205" s="59"/>
      <c r="L1205" s="59">
        <v>0</v>
      </c>
      <c r="M1205" s="59">
        <f t="shared" si="39"/>
        <v>15.149219815179519</v>
      </c>
    </row>
    <row r="1206" spans="1:13" hidden="1" outlineLevel="2">
      <c r="A1206" s="138">
        <v>46143</v>
      </c>
      <c r="B1206" s="1" t="s">
        <v>1984</v>
      </c>
      <c r="C1206" s="346">
        <v>4110336887</v>
      </c>
      <c r="D1206" s="341" t="str">
        <f>VLOOKUP(C1206,[1]Material!F:J,5,0)</f>
        <v>Expeditors</v>
      </c>
      <c r="E1206" s="367">
        <f>_xlfn.XLOOKUP(C1206,[1]Material!$F:$F,[1]Material!$D:$D)</f>
        <v>61.5</v>
      </c>
      <c r="F1206" s="1"/>
      <c r="G1206" s="59">
        <v>0</v>
      </c>
      <c r="H1206" s="59">
        <v>15.149219815179519</v>
      </c>
      <c r="I1206" s="59">
        <v>0</v>
      </c>
      <c r="J1206" s="59"/>
      <c r="K1206" s="59"/>
      <c r="L1206" s="59">
        <v>0</v>
      </c>
      <c r="M1206" s="59">
        <f t="shared" si="39"/>
        <v>15.149219815179519</v>
      </c>
    </row>
    <row r="1207" spans="1:13" hidden="1" outlineLevel="2">
      <c r="A1207" s="138">
        <v>46143</v>
      </c>
      <c r="B1207" s="1" t="s">
        <v>934</v>
      </c>
      <c r="C1207" s="346">
        <v>4685772420</v>
      </c>
      <c r="D1207" s="341" t="str">
        <f>VLOOKUP(C1207,[1]Material!F:J,5,0)</f>
        <v>DHL</v>
      </c>
      <c r="E1207" s="367">
        <f>_xlfn.XLOOKUP(C1207,[1]Material!$F:$F,[1]Material!$D:$D)</f>
        <v>5.9</v>
      </c>
      <c r="F1207" s="1"/>
      <c r="G1207" s="59">
        <v>0</v>
      </c>
      <c r="H1207" s="59">
        <v>15.149219815179519</v>
      </c>
      <c r="I1207" s="59">
        <v>0</v>
      </c>
      <c r="J1207" s="59"/>
      <c r="K1207" s="59"/>
      <c r="L1207" s="59">
        <v>0</v>
      </c>
      <c r="M1207" s="59">
        <f t="shared" si="39"/>
        <v>15.149219815179519</v>
      </c>
    </row>
    <row r="1208" spans="1:13" hidden="1" outlineLevel="2">
      <c r="A1208" s="138">
        <v>46143</v>
      </c>
      <c r="B1208" s="1" t="s">
        <v>1715</v>
      </c>
      <c r="C1208" s="346" t="s">
        <v>1986</v>
      </c>
      <c r="D1208" s="341" t="str">
        <f>VLOOKUP(C1208,[1]Material!F:J,5,0)</f>
        <v>LX PANTOS</v>
      </c>
      <c r="E1208" s="367">
        <f>_xlfn.XLOOKUP(C1208,[1]Material!$F:$F,[1]Material!$D:$D)</f>
        <v>106.5</v>
      </c>
      <c r="F1208" s="1"/>
      <c r="G1208" s="59">
        <v>0</v>
      </c>
      <c r="H1208" s="59">
        <v>15.149219815179519</v>
      </c>
      <c r="I1208" s="59">
        <v>0</v>
      </c>
      <c r="J1208" s="59"/>
      <c r="K1208" s="59"/>
      <c r="L1208" s="59">
        <v>0</v>
      </c>
      <c r="M1208" s="59">
        <f t="shared" si="39"/>
        <v>15.149219815179519</v>
      </c>
    </row>
    <row r="1209" spans="1:13" hidden="1" outlineLevel="2">
      <c r="A1209" s="138">
        <v>46143</v>
      </c>
      <c r="B1209" s="1" t="s">
        <v>958</v>
      </c>
      <c r="C1209" s="346">
        <v>380932312821</v>
      </c>
      <c r="D1209" s="341" t="str">
        <f>VLOOKUP(C1209,[1]Material!F:J,5,0)</f>
        <v>Fedex</v>
      </c>
      <c r="E1209" s="367">
        <f>_xlfn.XLOOKUP(C1209,[1]Material!$F:$F,[1]Material!$D:$D)</f>
        <v>75</v>
      </c>
      <c r="F1209" s="1"/>
      <c r="G1209" s="59">
        <v>0</v>
      </c>
      <c r="H1209" s="59">
        <v>15.149219815179519</v>
      </c>
      <c r="I1209" s="59">
        <v>0</v>
      </c>
      <c r="J1209" s="59"/>
      <c r="K1209" s="59"/>
      <c r="L1209" s="59">
        <v>0</v>
      </c>
      <c r="M1209" s="59">
        <f t="shared" si="39"/>
        <v>15.149219815179519</v>
      </c>
    </row>
    <row r="1210" spans="1:13" hidden="1" outlineLevel="2">
      <c r="A1210" s="138">
        <v>46143</v>
      </c>
      <c r="B1210" s="1" t="s">
        <v>1990</v>
      </c>
      <c r="C1210" s="346">
        <v>4110336913</v>
      </c>
      <c r="D1210" s="341" t="str">
        <f>VLOOKUP(C1210,[1]Material!F:J,5,0)</f>
        <v>Expeditors</v>
      </c>
      <c r="E1210" s="367">
        <f>_xlfn.XLOOKUP(C1210,[1]Material!$F:$F,[1]Material!$D:$D)</f>
        <v>191</v>
      </c>
      <c r="F1210" s="1"/>
      <c r="G1210" s="59">
        <v>0</v>
      </c>
      <c r="H1210" s="59">
        <v>15.149219815179519</v>
      </c>
      <c r="I1210" s="59">
        <v>0</v>
      </c>
      <c r="J1210" s="59"/>
      <c r="K1210" s="59"/>
      <c r="L1210" s="59">
        <v>0</v>
      </c>
      <c r="M1210" s="59">
        <f t="shared" si="39"/>
        <v>15.149219815179519</v>
      </c>
    </row>
    <row r="1211" spans="1:13" hidden="1" outlineLevel="2">
      <c r="A1211" s="138">
        <v>46143</v>
      </c>
      <c r="B1211" s="1" t="s">
        <v>1990</v>
      </c>
      <c r="C1211" s="346">
        <v>4110336954</v>
      </c>
      <c r="D1211" s="341" t="str">
        <f>VLOOKUP(C1211,[1]Material!F:J,5,0)</f>
        <v>Expeditors</v>
      </c>
      <c r="E1211" s="367">
        <f>_xlfn.XLOOKUP(C1211,[1]Material!$F:$F,[1]Material!$D:$D)</f>
        <v>13.5</v>
      </c>
      <c r="F1211" s="1"/>
      <c r="G1211" s="59">
        <v>0</v>
      </c>
      <c r="H1211" s="59">
        <v>15.149219815179519</v>
      </c>
      <c r="I1211" s="59">
        <v>0</v>
      </c>
      <c r="J1211" s="59"/>
      <c r="K1211" s="59"/>
      <c r="L1211" s="59">
        <v>0</v>
      </c>
      <c r="M1211" s="59">
        <f t="shared" si="39"/>
        <v>15.149219815179519</v>
      </c>
    </row>
    <row r="1212" spans="1:13" hidden="1" outlineLevel="2">
      <c r="A1212" s="138">
        <v>46143</v>
      </c>
      <c r="B1212" s="1" t="s">
        <v>1971</v>
      </c>
      <c r="C1212" s="346">
        <v>4110336955</v>
      </c>
      <c r="D1212" s="341" t="str">
        <f>VLOOKUP(C1212,[1]Material!F:J,5,0)</f>
        <v>Expeditors</v>
      </c>
      <c r="E1212" s="367">
        <f>_xlfn.XLOOKUP(C1212,[1]Material!$F:$F,[1]Material!$D:$D)</f>
        <v>23</v>
      </c>
      <c r="F1212" s="1"/>
      <c r="G1212" s="59">
        <v>0</v>
      </c>
      <c r="H1212" s="59">
        <v>15.149219815179519</v>
      </c>
      <c r="I1212" s="59">
        <v>0</v>
      </c>
      <c r="J1212" s="59"/>
      <c r="K1212" s="59"/>
      <c r="L1212" s="59">
        <v>0</v>
      </c>
      <c r="M1212" s="59">
        <f t="shared" si="39"/>
        <v>15.149219815179519</v>
      </c>
    </row>
    <row r="1213" spans="1:13" hidden="1" outlineLevel="2">
      <c r="A1213" s="138">
        <v>46143</v>
      </c>
      <c r="B1213" s="1" t="s">
        <v>1984</v>
      </c>
      <c r="C1213" s="346">
        <v>4110336953</v>
      </c>
      <c r="D1213" s="341" t="str">
        <f>VLOOKUP(C1213,[1]Material!F:J,5,0)</f>
        <v>Expeditors</v>
      </c>
      <c r="E1213" s="367">
        <f>_xlfn.XLOOKUP(C1213,[1]Material!$F:$F,[1]Material!$D:$D)</f>
        <v>88.5</v>
      </c>
      <c r="F1213" s="1"/>
      <c r="G1213" s="59">
        <v>0</v>
      </c>
      <c r="H1213" s="59">
        <v>15.149219815179519</v>
      </c>
      <c r="I1213" s="59">
        <v>0</v>
      </c>
      <c r="J1213" s="59"/>
      <c r="K1213" s="59"/>
      <c r="L1213" s="59">
        <v>0</v>
      </c>
      <c r="M1213" s="59">
        <f t="shared" si="39"/>
        <v>15.149219815179519</v>
      </c>
    </row>
    <row r="1214" spans="1:13" hidden="1" outlineLevel="2">
      <c r="A1214" s="138">
        <v>46143</v>
      </c>
      <c r="B1214" s="1" t="s">
        <v>968</v>
      </c>
      <c r="C1214" s="346">
        <v>524130716108</v>
      </c>
      <c r="D1214" s="341" t="str">
        <f>VLOOKUP(C1214,[1]Material!F:J,5,0)</f>
        <v>Fedex</v>
      </c>
      <c r="E1214" s="367">
        <f>_xlfn.XLOOKUP(C1214,[1]Material!$F:$F,[1]Material!$D:$D)</f>
        <v>4.0999999999999996</v>
      </c>
      <c r="F1214" s="1"/>
      <c r="G1214" s="59">
        <v>0</v>
      </c>
      <c r="H1214" s="59">
        <v>15.149219815179519</v>
      </c>
      <c r="I1214" s="59">
        <v>0</v>
      </c>
      <c r="J1214" s="59"/>
      <c r="K1214" s="59"/>
      <c r="L1214" s="59">
        <v>0</v>
      </c>
      <c r="M1214" s="59">
        <f t="shared" si="39"/>
        <v>15.149219815179519</v>
      </c>
    </row>
    <row r="1215" spans="1:13" hidden="1" outlineLevel="2">
      <c r="A1215" s="138">
        <v>46143</v>
      </c>
      <c r="B1215" s="1" t="s">
        <v>958</v>
      </c>
      <c r="C1215" s="346">
        <v>381051768903</v>
      </c>
      <c r="D1215" s="341" t="str">
        <f>VLOOKUP(C1215,[1]Material!F:J,5,0)</f>
        <v>Fedex</v>
      </c>
      <c r="E1215" s="367">
        <f>_xlfn.XLOOKUP(C1215,[1]Material!$F:$F,[1]Material!$D:$D)</f>
        <v>108</v>
      </c>
      <c r="F1215" s="1"/>
      <c r="G1215" s="59">
        <v>0</v>
      </c>
      <c r="H1215" s="59">
        <v>15.149219815179519</v>
      </c>
      <c r="I1215" s="59">
        <v>0</v>
      </c>
      <c r="J1215" s="59"/>
      <c r="K1215" s="59"/>
      <c r="L1215" s="59">
        <v>0</v>
      </c>
      <c r="M1215" s="59">
        <f t="shared" si="39"/>
        <v>15.149219815179519</v>
      </c>
    </row>
    <row r="1216" spans="1:13" hidden="1" outlineLevel="2">
      <c r="A1216" s="138">
        <v>46143</v>
      </c>
      <c r="B1216" s="1" t="s">
        <v>958</v>
      </c>
      <c r="C1216" s="346">
        <v>381048998868</v>
      </c>
      <c r="D1216" s="341" t="str">
        <f>VLOOKUP(C1216,[1]Material!F:J,5,0)</f>
        <v>Fedex</v>
      </c>
      <c r="E1216" s="367">
        <f>_xlfn.XLOOKUP(C1216,[1]Material!$F:$F,[1]Material!$D:$D)</f>
        <v>127</v>
      </c>
      <c r="F1216" s="1"/>
      <c r="G1216" s="59">
        <v>0</v>
      </c>
      <c r="H1216" s="59">
        <v>15.149219815179519</v>
      </c>
      <c r="I1216" s="59">
        <v>0</v>
      </c>
      <c r="J1216" s="59"/>
      <c r="K1216" s="59"/>
      <c r="L1216" s="59">
        <v>0</v>
      </c>
      <c r="M1216" s="59">
        <f t="shared" si="39"/>
        <v>15.149219815179519</v>
      </c>
    </row>
    <row r="1217" spans="1:13" hidden="1" outlineLevel="2">
      <c r="A1217" s="138">
        <v>46143</v>
      </c>
      <c r="B1217" s="1" t="s">
        <v>941</v>
      </c>
      <c r="C1217" s="346">
        <v>7878947263</v>
      </c>
      <c r="D1217" s="341" t="str">
        <f>VLOOKUP(C1217,[1]Material!F:J,5,0)</f>
        <v>DHL</v>
      </c>
      <c r="E1217" s="367">
        <f>_xlfn.XLOOKUP(C1217,[1]Material!$F:$F,[1]Material!$D:$D)</f>
        <v>111.5</v>
      </c>
      <c r="F1217" s="1"/>
      <c r="G1217" s="59">
        <v>0</v>
      </c>
      <c r="H1217" s="59">
        <v>26.511134676564158</v>
      </c>
      <c r="I1217" s="59">
        <v>0</v>
      </c>
      <c r="J1217" s="59"/>
      <c r="K1217" s="59"/>
      <c r="L1217" s="59">
        <v>0</v>
      </c>
      <c r="M1217" s="59">
        <f t="shared" si="39"/>
        <v>26.511134676564158</v>
      </c>
    </row>
    <row r="1218" spans="1:13" hidden="1" outlineLevel="2">
      <c r="A1218" s="138">
        <v>46143</v>
      </c>
      <c r="B1218" s="1" t="s">
        <v>981</v>
      </c>
      <c r="C1218" s="346">
        <v>381222427308</v>
      </c>
      <c r="D1218" s="341" t="str">
        <f>VLOOKUP(C1218,[1]Material!F:J,5,0)</f>
        <v>Fedex</v>
      </c>
      <c r="E1218" s="367">
        <f>_xlfn.XLOOKUP(C1218,[1]Material!$F:$F,[1]Material!$D:$D)</f>
        <v>0.2</v>
      </c>
      <c r="F1218" s="1"/>
      <c r="G1218" s="59">
        <v>0</v>
      </c>
      <c r="H1218" s="59">
        <v>15.149219815179519</v>
      </c>
      <c r="I1218" s="59">
        <v>0</v>
      </c>
      <c r="J1218" s="59"/>
      <c r="K1218" s="59"/>
      <c r="L1218" s="59">
        <v>0</v>
      </c>
      <c r="M1218" s="59">
        <f t="shared" si="39"/>
        <v>15.149219815179519</v>
      </c>
    </row>
    <row r="1219" spans="1:13" hidden="1" outlineLevel="2">
      <c r="A1219" s="138">
        <v>46143</v>
      </c>
      <c r="B1219" s="1" t="s">
        <v>981</v>
      </c>
      <c r="C1219" s="346">
        <v>871565642855</v>
      </c>
      <c r="D1219" s="341" t="str">
        <f>VLOOKUP(C1219,[1]Material!F:J,5,0)</f>
        <v>Fedex</v>
      </c>
      <c r="E1219" s="367">
        <f>_xlfn.XLOOKUP(C1219,[1]Material!$F:$F,[1]Material!$D:$D)</f>
        <v>10.3</v>
      </c>
      <c r="F1219" s="1"/>
      <c r="G1219" s="59">
        <v>0</v>
      </c>
      <c r="H1219" s="59">
        <v>15.149219815179519</v>
      </c>
      <c r="I1219" s="59">
        <v>0</v>
      </c>
      <c r="J1219" s="59"/>
      <c r="K1219" s="59"/>
      <c r="L1219" s="59">
        <v>0</v>
      </c>
      <c r="M1219" s="59">
        <f t="shared" si="39"/>
        <v>15.149219815179519</v>
      </c>
    </row>
    <row r="1220" spans="1:13" hidden="1" outlineLevel="2">
      <c r="A1220" s="138">
        <v>46143</v>
      </c>
      <c r="B1220" s="1" t="s">
        <v>934</v>
      </c>
      <c r="C1220" s="346">
        <v>3752160086</v>
      </c>
      <c r="D1220" s="341" t="str">
        <f>VLOOKUP(C1220,[1]Material!F:J,5,0)</f>
        <v>DHL</v>
      </c>
      <c r="E1220" s="367">
        <f>_xlfn.XLOOKUP(C1220,[1]Material!$F:$F,[1]Material!$D:$D)</f>
        <v>4.9000000000000004</v>
      </c>
      <c r="F1220" s="1"/>
      <c r="G1220" s="59">
        <v>0</v>
      </c>
      <c r="H1220" s="59">
        <v>15.149219815179519</v>
      </c>
      <c r="I1220" s="59">
        <v>0</v>
      </c>
      <c r="J1220" s="59"/>
      <c r="K1220" s="59"/>
      <c r="L1220" s="59">
        <v>0</v>
      </c>
      <c r="M1220" s="59">
        <f t="shared" si="39"/>
        <v>15.149219815179519</v>
      </c>
    </row>
    <row r="1221" spans="1:13" hidden="1" outlineLevel="2">
      <c r="A1221" s="138">
        <v>46143</v>
      </c>
      <c r="B1221" s="1" t="s">
        <v>948</v>
      </c>
      <c r="C1221" s="346">
        <v>4110337049</v>
      </c>
      <c r="D1221" s="341" t="str">
        <f>VLOOKUP(C1221,[1]Material!F:J,5,0)</f>
        <v>Expeditors</v>
      </c>
      <c r="E1221" s="367">
        <f>_xlfn.XLOOKUP(C1221,[1]Material!$F:$F,[1]Material!$D:$D)</f>
        <v>21</v>
      </c>
      <c r="F1221" s="1"/>
      <c r="G1221" s="59">
        <v>0</v>
      </c>
      <c r="H1221" s="59">
        <v>15.149219815179519</v>
      </c>
      <c r="I1221" s="59">
        <v>0</v>
      </c>
      <c r="J1221" s="59"/>
      <c r="K1221" s="59"/>
      <c r="L1221" s="59">
        <v>0</v>
      </c>
      <c r="M1221" s="59">
        <f t="shared" si="39"/>
        <v>15.149219815179519</v>
      </c>
    </row>
    <row r="1222" spans="1:13" hidden="1" outlineLevel="2">
      <c r="A1222" s="138">
        <v>46143</v>
      </c>
      <c r="B1222" s="1" t="s">
        <v>372</v>
      </c>
      <c r="C1222" s="346" t="s">
        <v>2024</v>
      </c>
      <c r="D1222" s="341" t="str">
        <f>VLOOKUP(C1222,[1]Material!F:J,5,0)</f>
        <v>VVMV(sea)</v>
      </c>
      <c r="E1222" s="367">
        <f>_xlfn.XLOOKUP(C1222,[1]Material!$F:$F,[1]Material!$D:$D)</f>
        <v>972.06500000000005</v>
      </c>
      <c r="F1222" s="1"/>
      <c r="G1222" s="59">
        <v>117.40645356764126</v>
      </c>
      <c r="H1222" s="59">
        <v>15.149219815179519</v>
      </c>
      <c r="I1222" s="59">
        <v>978.39375318133625</v>
      </c>
      <c r="J1222" s="59"/>
      <c r="K1222" s="59"/>
      <c r="L1222" s="59">
        <v>97.348886532343585</v>
      </c>
      <c r="M1222" s="59">
        <f t="shared" si="39"/>
        <v>1208.2983130965006</v>
      </c>
    </row>
    <row r="1223" spans="1:13" hidden="1" outlineLevel="2">
      <c r="A1223" s="138">
        <v>46143</v>
      </c>
      <c r="B1223" s="1" t="s">
        <v>980</v>
      </c>
      <c r="C1223" s="346">
        <v>381265714548</v>
      </c>
      <c r="D1223" s="341" t="str">
        <f>VLOOKUP(C1223,[1]Material!F:J,5,0)</f>
        <v>Fedex</v>
      </c>
      <c r="E1223" s="367">
        <f>_xlfn.XLOOKUP(C1223,[1]Material!$F:$F,[1]Material!$D:$D)</f>
        <v>0.9</v>
      </c>
      <c r="F1223" s="1"/>
      <c r="G1223" s="59">
        <v>0</v>
      </c>
      <c r="H1223" s="59">
        <v>15.149219815179519</v>
      </c>
      <c r="I1223" s="59">
        <v>0</v>
      </c>
      <c r="J1223" s="59"/>
      <c r="K1223" s="59"/>
      <c r="L1223" s="59">
        <v>0</v>
      </c>
      <c r="M1223" s="59">
        <f t="shared" si="39"/>
        <v>15.149219815179519</v>
      </c>
    </row>
    <row r="1224" spans="1:13" hidden="1" outlineLevel="2">
      <c r="A1224" s="138">
        <v>46143</v>
      </c>
      <c r="B1224" s="1" t="s">
        <v>2027</v>
      </c>
      <c r="C1224" s="346">
        <v>871631098639</v>
      </c>
      <c r="D1224" s="341" t="str">
        <f>VLOOKUP(C1224,[1]Material!F:J,5,0)</f>
        <v>Fedex</v>
      </c>
      <c r="E1224" s="367">
        <f>_xlfn.XLOOKUP(C1224,[1]Material!$F:$F,[1]Material!$D:$D)</f>
        <v>41.8</v>
      </c>
      <c r="F1224" s="1"/>
      <c r="G1224" s="59">
        <v>0</v>
      </c>
      <c r="H1224" s="59">
        <v>15.149219815179519</v>
      </c>
      <c r="I1224" s="59">
        <v>0</v>
      </c>
      <c r="J1224" s="59"/>
      <c r="K1224" s="59"/>
      <c r="L1224" s="59">
        <v>0</v>
      </c>
      <c r="M1224" s="59">
        <f t="shared" si="39"/>
        <v>15.149219815179519</v>
      </c>
    </row>
    <row r="1225" spans="1:13" hidden="1" outlineLevel="2">
      <c r="A1225" s="138">
        <v>46143</v>
      </c>
      <c r="B1225" s="1" t="s">
        <v>2032</v>
      </c>
      <c r="C1225" s="346">
        <v>484112424811</v>
      </c>
      <c r="D1225" s="341" t="str">
        <f>VLOOKUP(C1225,[1]Material!F:J,5,0)</f>
        <v>Fedex</v>
      </c>
      <c r="E1225" s="367">
        <f>_xlfn.XLOOKUP(C1225,[1]Material!$F:$F,[1]Material!$D:$D)</f>
        <v>1.4</v>
      </c>
      <c r="F1225" s="1"/>
      <c r="G1225" s="59">
        <v>0</v>
      </c>
      <c r="H1225" s="59">
        <v>15.149219815179519</v>
      </c>
      <c r="I1225" s="59">
        <v>0</v>
      </c>
      <c r="J1225" s="59"/>
      <c r="K1225" s="59"/>
      <c r="L1225" s="59">
        <v>0</v>
      </c>
      <c r="M1225" s="59">
        <f t="shared" si="39"/>
        <v>15.149219815179519</v>
      </c>
    </row>
    <row r="1226" spans="1:13" hidden="1" outlineLevel="2">
      <c r="A1226" s="138">
        <v>46143</v>
      </c>
      <c r="B1226" s="1" t="s">
        <v>958</v>
      </c>
      <c r="C1226" s="346" t="s">
        <v>2033</v>
      </c>
      <c r="D1226" s="341" t="str">
        <f>VLOOKUP(C1226,[1]Material!F:J,5,0)</f>
        <v>FDI</v>
      </c>
      <c r="E1226" s="367">
        <f>_xlfn.XLOOKUP(C1226,[1]Material!$F:$F,[1]Material!$D:$D)</f>
        <v>301</v>
      </c>
      <c r="F1226" s="1"/>
      <c r="G1226" s="59">
        <v>28.404787153461598</v>
      </c>
      <c r="H1226" s="59">
        <v>15.149219815179519</v>
      </c>
      <c r="I1226" s="59">
        <v>0</v>
      </c>
      <c r="J1226" s="59"/>
      <c r="K1226" s="59"/>
      <c r="L1226" s="59">
        <v>71.884600818057876</v>
      </c>
      <c r="M1226" s="59">
        <f t="shared" si="39"/>
        <v>115.438607786699</v>
      </c>
    </row>
    <row r="1227" spans="1:13" hidden="1" outlineLevel="2">
      <c r="A1227" s="138">
        <v>46143</v>
      </c>
      <c r="B1227" s="1" t="s">
        <v>2034</v>
      </c>
      <c r="C1227" s="346">
        <v>871900877860</v>
      </c>
      <c r="D1227" s="341" t="str">
        <f>VLOOKUP(C1227,[1]Material!F:J,5,0)</f>
        <v>Fedex</v>
      </c>
      <c r="E1227" s="367">
        <f>_xlfn.XLOOKUP(C1227,[1]Material!$F:$F,[1]Material!$D:$D)</f>
        <v>2.2000000000000002</v>
      </c>
      <c r="F1227" s="1"/>
      <c r="G1227" s="59">
        <v>0</v>
      </c>
      <c r="H1227" s="59">
        <v>15.149219815179519</v>
      </c>
      <c r="I1227" s="59">
        <v>0</v>
      </c>
      <c r="J1227" s="59"/>
      <c r="K1227" s="59"/>
      <c r="L1227" s="59">
        <v>0</v>
      </c>
      <c r="M1227" s="59">
        <f t="shared" si="39"/>
        <v>15.149219815179519</v>
      </c>
    </row>
    <row r="1228" spans="1:13" hidden="1" outlineLevel="2">
      <c r="A1228" s="138">
        <v>46143</v>
      </c>
      <c r="B1228" s="1" t="s">
        <v>378</v>
      </c>
      <c r="C1228" s="346">
        <v>409298922447</v>
      </c>
      <c r="D1228" s="341" t="str">
        <f>VLOOKUP(C1228,[1]Material!F:J,5,0)</f>
        <v>Fedex</v>
      </c>
      <c r="E1228" s="367">
        <f>_xlfn.XLOOKUP(C1228,[1]Material!$F:$F,[1]Material!$D:$D)</f>
        <v>17.399999999999999</v>
      </c>
      <c r="F1228" s="1"/>
      <c r="G1228" s="59">
        <v>0</v>
      </c>
      <c r="H1228" s="59">
        <v>15.149219815179519</v>
      </c>
      <c r="I1228" s="59">
        <v>0</v>
      </c>
      <c r="J1228" s="59"/>
      <c r="K1228" s="59"/>
      <c r="L1228" s="59">
        <v>0</v>
      </c>
      <c r="M1228" s="59">
        <f t="shared" si="39"/>
        <v>15.149219815179519</v>
      </c>
    </row>
    <row r="1229" spans="1:13" hidden="1" outlineLevel="2">
      <c r="A1229" s="138">
        <v>46143</v>
      </c>
      <c r="B1229" s="1" t="s">
        <v>1621</v>
      </c>
      <c r="C1229" s="346">
        <v>523488275340</v>
      </c>
      <c r="D1229" s="341" t="str">
        <f>VLOOKUP(C1229,[1]Material!F:J,5,0)</f>
        <v>Fedex</v>
      </c>
      <c r="E1229" s="367">
        <f>_xlfn.XLOOKUP(C1229,[1]Material!$F:$F,[1]Material!$D:$D)</f>
        <v>3.3</v>
      </c>
      <c r="F1229" s="1"/>
      <c r="G1229" s="59">
        <v>0</v>
      </c>
      <c r="H1229" s="59">
        <v>15.149219815179519</v>
      </c>
      <c r="I1229" s="59">
        <v>0</v>
      </c>
      <c r="J1229" s="59"/>
      <c r="K1229" s="59"/>
      <c r="L1229" s="59">
        <v>0</v>
      </c>
      <c r="M1229" s="59">
        <f t="shared" si="39"/>
        <v>15.149219815179519</v>
      </c>
    </row>
    <row r="1230" spans="1:13" hidden="1" outlineLevel="2">
      <c r="A1230" s="138">
        <v>46143</v>
      </c>
      <c r="B1230" s="1" t="s">
        <v>968</v>
      </c>
      <c r="C1230" s="346">
        <v>492830205059</v>
      </c>
      <c r="D1230" s="341" t="str">
        <f>VLOOKUP(C1230,[1]Material!F:J,5,0)</f>
        <v>Fedex</v>
      </c>
      <c r="E1230" s="367">
        <f>_xlfn.XLOOKUP(C1230,[1]Material!$F:$F,[1]Material!$D:$D)</f>
        <v>1.4</v>
      </c>
      <c r="F1230" s="1"/>
      <c r="G1230" s="59">
        <v>0</v>
      </c>
      <c r="H1230" s="59">
        <v>15.149219815179519</v>
      </c>
      <c r="I1230" s="59">
        <v>0</v>
      </c>
      <c r="J1230" s="59"/>
      <c r="K1230" s="59"/>
      <c r="L1230" s="59">
        <v>0</v>
      </c>
      <c r="M1230" s="59">
        <f t="shared" si="39"/>
        <v>15.149219815179519</v>
      </c>
    </row>
    <row r="1231" spans="1:13" hidden="1" outlineLevel="2">
      <c r="A1231" s="138">
        <v>46143</v>
      </c>
      <c r="B1231" s="1" t="s">
        <v>958</v>
      </c>
      <c r="C1231" s="346">
        <v>5142139704</v>
      </c>
      <c r="D1231" s="341" t="str">
        <f>VLOOKUP(C1231,[1]Material!F:J,5,0)</f>
        <v>DHL</v>
      </c>
      <c r="E1231" s="367">
        <f>_xlfn.XLOOKUP(C1231,[1]Material!$F:$F,[1]Material!$D:$D)</f>
        <v>60</v>
      </c>
      <c r="F1231" s="1"/>
      <c r="G1231" s="59">
        <v>0</v>
      </c>
      <c r="H1231" s="59">
        <v>15.149219815179519</v>
      </c>
      <c r="I1231" s="698">
        <v>813.77779124375093</v>
      </c>
      <c r="J1231" s="59"/>
      <c r="K1231" s="59"/>
      <c r="L1231" s="59">
        <v>0</v>
      </c>
      <c r="M1231" s="59">
        <f t="shared" si="39"/>
        <v>828.92701105893047</v>
      </c>
    </row>
    <row r="1232" spans="1:13" hidden="1" outlineLevel="2">
      <c r="A1232" s="138">
        <v>46143</v>
      </c>
      <c r="B1232" s="1" t="s">
        <v>941</v>
      </c>
      <c r="C1232" s="346">
        <v>6003134653</v>
      </c>
      <c r="D1232" s="341" t="str">
        <f>VLOOKUP(C1232,[1]Material!F:J,5,0)</f>
        <v>DHL</v>
      </c>
      <c r="E1232" s="367">
        <f>_xlfn.XLOOKUP(C1232,[1]Material!$F:$F,[1]Material!$D:$D)</f>
        <v>219.9</v>
      </c>
      <c r="F1232" s="1"/>
      <c r="G1232" s="59">
        <v>0</v>
      </c>
      <c r="H1232" s="59">
        <v>26.511134676564158</v>
      </c>
      <c r="I1232" s="59">
        <v>0</v>
      </c>
      <c r="J1232" s="59"/>
      <c r="K1232" s="59"/>
      <c r="L1232" s="59">
        <v>0</v>
      </c>
      <c r="M1232" s="59">
        <f t="shared" si="39"/>
        <v>26.511134676564158</v>
      </c>
    </row>
    <row r="1233" spans="1:13" hidden="1" outlineLevel="2">
      <c r="A1233" s="138">
        <v>46143</v>
      </c>
      <c r="B1233" s="1" t="s">
        <v>1990</v>
      </c>
      <c r="C1233" s="346">
        <v>4110337266</v>
      </c>
      <c r="D1233" s="341" t="str">
        <f>VLOOKUP(C1233,[1]Material!F:J,5,0)</f>
        <v>Expeditors</v>
      </c>
      <c r="E1233" s="367">
        <f>_xlfn.XLOOKUP(C1233,[1]Material!$F:$F,[1]Material!$D:$D)</f>
        <v>8.5</v>
      </c>
      <c r="F1233" s="1"/>
      <c r="G1233" s="59">
        <v>0</v>
      </c>
      <c r="H1233" s="59">
        <v>15.149219815179519</v>
      </c>
      <c r="I1233" s="59">
        <v>0</v>
      </c>
      <c r="J1233" s="59"/>
      <c r="K1233" s="59"/>
      <c r="L1233" s="59">
        <v>0</v>
      </c>
      <c r="M1233" s="59">
        <f t="shared" ref="M1233:M1296" si="40">SUM(G1233:L1233)</f>
        <v>15.149219815179519</v>
      </c>
    </row>
    <row r="1234" spans="1:13" hidden="1" outlineLevel="2">
      <c r="A1234" s="138">
        <v>46143</v>
      </c>
      <c r="B1234" s="1" t="s">
        <v>2040</v>
      </c>
      <c r="C1234" s="346">
        <v>871914884033</v>
      </c>
      <c r="D1234" s="341" t="str">
        <f>VLOOKUP(C1234,[1]Material!F:J,5,0)</f>
        <v>Fedex</v>
      </c>
      <c r="E1234" s="367">
        <f>_xlfn.XLOOKUP(C1234,[1]Material!$F:$F,[1]Material!$D:$D)</f>
        <v>4</v>
      </c>
      <c r="F1234" s="1"/>
      <c r="G1234" s="59">
        <v>0</v>
      </c>
      <c r="H1234" s="59">
        <v>15.149219815179519</v>
      </c>
      <c r="I1234" s="59">
        <v>0</v>
      </c>
      <c r="J1234" s="59"/>
      <c r="K1234" s="59"/>
      <c r="L1234" s="59">
        <v>0</v>
      </c>
      <c r="M1234" s="59">
        <f t="shared" si="40"/>
        <v>15.149219815179519</v>
      </c>
    </row>
    <row r="1235" spans="1:13" hidden="1" outlineLevel="2">
      <c r="A1235" s="138">
        <v>46143</v>
      </c>
      <c r="B1235" s="1" t="s">
        <v>990</v>
      </c>
      <c r="C1235" s="346" t="s">
        <v>2048</v>
      </c>
      <c r="D1235" s="341" t="s">
        <v>1333</v>
      </c>
      <c r="E1235" s="367"/>
      <c r="F1235" s="1"/>
      <c r="G1235" s="59">
        <v>0</v>
      </c>
      <c r="H1235" s="59">
        <v>15.149219815179519</v>
      </c>
      <c r="I1235" s="59">
        <v>0</v>
      </c>
      <c r="J1235" s="59"/>
      <c r="K1235" s="59"/>
      <c r="L1235" s="59">
        <v>0</v>
      </c>
      <c r="M1235" s="59">
        <f t="shared" si="40"/>
        <v>15.149219815179519</v>
      </c>
    </row>
    <row r="1236" spans="1:13" hidden="1" outlineLevel="2">
      <c r="A1236" s="138">
        <v>46143</v>
      </c>
      <c r="B1236" s="1" t="s">
        <v>2052</v>
      </c>
      <c r="C1236" s="346" t="s">
        <v>2051</v>
      </c>
      <c r="D1236" s="341" t="s">
        <v>1333</v>
      </c>
      <c r="E1236" s="367"/>
      <c r="F1236" s="1"/>
      <c r="G1236" s="59">
        <v>0</v>
      </c>
      <c r="H1236" s="59">
        <v>15.149219815179519</v>
      </c>
      <c r="I1236" s="59">
        <v>0</v>
      </c>
      <c r="J1236" s="59"/>
      <c r="K1236" s="59"/>
      <c r="L1236" s="59">
        <v>0</v>
      </c>
      <c r="M1236" s="59">
        <f t="shared" si="40"/>
        <v>15.149219815179519</v>
      </c>
    </row>
    <row r="1237" spans="1:13" hidden="1" outlineLevel="2">
      <c r="A1237" s="138">
        <v>46143</v>
      </c>
      <c r="B1237" s="1" t="s">
        <v>832</v>
      </c>
      <c r="C1237" s="346" t="s">
        <v>2084</v>
      </c>
      <c r="D1237" s="341" t="s">
        <v>2096</v>
      </c>
      <c r="E1237" s="367">
        <v>1534.56</v>
      </c>
      <c r="F1237" s="1">
        <v>18.22</v>
      </c>
      <c r="G1237" s="59">
        <v>143.91758824420543</v>
      </c>
      <c r="H1237" s="59">
        <v>20.451446750492348</v>
      </c>
      <c r="I1237" s="59">
        <v>1243.3025299197091</v>
      </c>
      <c r="J1237" s="59"/>
      <c r="K1237" s="59"/>
      <c r="L1237" s="59">
        <v>36.796242993485748</v>
      </c>
      <c r="M1237" s="59">
        <f t="shared" si="40"/>
        <v>1444.4678079078926</v>
      </c>
    </row>
    <row r="1238" spans="1:13" hidden="1" outlineLevel="2">
      <c r="A1238" s="138">
        <v>46143</v>
      </c>
      <c r="B1238" s="1" t="s">
        <v>180</v>
      </c>
      <c r="C1238" s="346" t="s">
        <v>2085</v>
      </c>
      <c r="D1238" s="341" t="s">
        <v>2096</v>
      </c>
      <c r="E1238" s="367">
        <v>1687</v>
      </c>
      <c r="F1238" s="1">
        <v>8.2100000000000009</v>
      </c>
      <c r="G1238" s="59">
        <v>100.36358127556431</v>
      </c>
      <c r="H1238" s="59">
        <v>20.451446750492348</v>
      </c>
      <c r="I1238" s="59">
        <v>958.14183457051956</v>
      </c>
      <c r="J1238" s="59"/>
      <c r="K1238" s="59"/>
      <c r="L1238" s="59">
        <v>27.261778518406345</v>
      </c>
      <c r="M1238" s="59">
        <f t="shared" si="40"/>
        <v>1106.2186411149826</v>
      </c>
    </row>
    <row r="1239" spans="1:13" hidden="1" outlineLevel="2">
      <c r="A1239" s="138">
        <v>46143</v>
      </c>
      <c r="B1239" s="1" t="s">
        <v>832</v>
      </c>
      <c r="C1239" s="346" t="s">
        <v>2086</v>
      </c>
      <c r="D1239" s="341" t="s">
        <v>2096</v>
      </c>
      <c r="E1239" s="367">
        <v>3368.99</v>
      </c>
      <c r="F1239" s="1">
        <v>39.21</v>
      </c>
      <c r="G1239" s="59">
        <v>162.85411301317981</v>
      </c>
      <c r="H1239" s="59">
        <v>20.451446750492348</v>
      </c>
      <c r="I1239" s="59">
        <v>1917.7457960915012</v>
      </c>
      <c r="J1239" s="59"/>
      <c r="K1239" s="59"/>
      <c r="L1239" s="59">
        <v>300.76806544462943</v>
      </c>
      <c r="M1239" s="59">
        <f t="shared" si="40"/>
        <v>2401.8194212998028</v>
      </c>
    </row>
    <row r="1240" spans="1:13" hidden="1" outlineLevel="2">
      <c r="A1240" s="138">
        <v>46143</v>
      </c>
      <c r="B1240" s="1" t="s">
        <v>181</v>
      </c>
      <c r="C1240" s="346" t="s">
        <v>2087</v>
      </c>
      <c r="D1240" s="341" t="s">
        <v>2096</v>
      </c>
      <c r="E1240" s="367">
        <v>3100</v>
      </c>
      <c r="F1240" s="1">
        <v>17.399999999999999</v>
      </c>
      <c r="G1240" s="59">
        <v>77.639751552795033</v>
      </c>
      <c r="H1240" s="59">
        <v>20.451446750492348</v>
      </c>
      <c r="I1240" s="59">
        <v>551.72822299651568</v>
      </c>
      <c r="J1240" s="59"/>
      <c r="K1240" s="59"/>
      <c r="L1240" s="59">
        <v>231.9693985759734</v>
      </c>
      <c r="M1240" s="59">
        <f t="shared" si="40"/>
        <v>881.78881987577643</v>
      </c>
    </row>
    <row r="1241" spans="1:13" outlineLevel="1" collapsed="1">
      <c r="A1241" s="138" t="s">
        <v>2095</v>
      </c>
      <c r="B1241" s="1"/>
      <c r="C1241" s="346"/>
      <c r="D1241" s="1"/>
      <c r="E1241" s="1">
        <f t="shared" ref="E1241:M1241" si="41">SUBTOTAL(9,E1157:E1240)</f>
        <v>19504.334999999999</v>
      </c>
      <c r="F1241" s="1">
        <f t="shared" si="41"/>
        <v>83.039999999999992</v>
      </c>
      <c r="G1241" s="59">
        <f t="shared" si="41"/>
        <v>933.57067111043784</v>
      </c>
      <c r="H1241" s="59">
        <f t="shared" si="41"/>
        <v>1333.5100742311779</v>
      </c>
      <c r="I1241" s="59">
        <f t="shared" si="41"/>
        <v>11924.097401113466</v>
      </c>
      <c r="J1241" s="59">
        <f t="shared" si="41"/>
        <v>0</v>
      </c>
      <c r="K1241" s="59">
        <f t="shared" si="41"/>
        <v>0</v>
      </c>
      <c r="L1241" s="59">
        <f t="shared" si="41"/>
        <v>1093.5813891834568</v>
      </c>
      <c r="M1241" s="59">
        <f t="shared" si="41"/>
        <v>15284.759535638525</v>
      </c>
    </row>
    <row r="1242" spans="1:13" outlineLevel="2">
      <c r="A1242" s="138">
        <v>46174</v>
      </c>
      <c r="B1242" s="1" t="s">
        <v>934</v>
      </c>
      <c r="C1242" s="346">
        <v>1291245782</v>
      </c>
      <c r="D1242" s="341" t="s">
        <v>897</v>
      </c>
      <c r="E1242" s="367">
        <v>3.4</v>
      </c>
      <c r="F1242" s="1"/>
      <c r="G1242" s="59">
        <v>0</v>
      </c>
      <c r="H1242" s="59">
        <v>15.116015418335726</v>
      </c>
      <c r="I1242" s="59">
        <v>0</v>
      </c>
      <c r="J1242" s="59">
        <v>0</v>
      </c>
      <c r="K1242" s="59">
        <v>0</v>
      </c>
      <c r="L1242" s="59">
        <v>0</v>
      </c>
      <c r="M1242" s="59">
        <f t="shared" si="40"/>
        <v>15.116015418335726</v>
      </c>
    </row>
    <row r="1243" spans="1:13" outlineLevel="2">
      <c r="A1243" s="138">
        <v>46174</v>
      </c>
      <c r="B1243" s="1" t="s">
        <v>960</v>
      </c>
      <c r="C1243" s="346">
        <v>1539620644</v>
      </c>
      <c r="D1243" s="341" t="s">
        <v>897</v>
      </c>
      <c r="E1243" s="367">
        <v>438.1</v>
      </c>
      <c r="F1243" s="1"/>
      <c r="G1243" s="59">
        <v>0</v>
      </c>
      <c r="H1243" s="59">
        <v>26.451894792532691</v>
      </c>
      <c r="I1243" s="59">
        <v>0</v>
      </c>
      <c r="J1243" s="59">
        <v>0</v>
      </c>
      <c r="K1243" s="59">
        <v>0</v>
      </c>
      <c r="L1243" s="59">
        <v>0</v>
      </c>
      <c r="M1243" s="59">
        <f t="shared" si="40"/>
        <v>26.451894792532691</v>
      </c>
    </row>
    <row r="1244" spans="1:13" outlineLevel="2">
      <c r="A1244" s="138">
        <v>46174</v>
      </c>
      <c r="B1244" s="1" t="s">
        <v>2840</v>
      </c>
      <c r="C1244" s="346">
        <v>2043897332</v>
      </c>
      <c r="D1244" s="341" t="s">
        <v>897</v>
      </c>
      <c r="E1244" s="367">
        <v>25.3</v>
      </c>
      <c r="F1244" s="1"/>
      <c r="G1244" s="59">
        <v>0</v>
      </c>
      <c r="H1244" s="59">
        <v>15.116015418335726</v>
      </c>
      <c r="I1244" s="59">
        <v>0</v>
      </c>
      <c r="J1244" s="59">
        <v>0</v>
      </c>
      <c r="K1244" s="59">
        <v>0</v>
      </c>
      <c r="L1244" s="59">
        <v>0</v>
      </c>
      <c r="M1244" s="59">
        <f t="shared" si="40"/>
        <v>15.116015418335726</v>
      </c>
    </row>
    <row r="1245" spans="1:13" outlineLevel="2">
      <c r="A1245" s="138">
        <v>46174</v>
      </c>
      <c r="B1245" s="1" t="s">
        <v>960</v>
      </c>
      <c r="C1245" s="346">
        <v>2089241604</v>
      </c>
      <c r="D1245" s="341" t="s">
        <v>897</v>
      </c>
      <c r="E1245" s="367">
        <v>502.1</v>
      </c>
      <c r="F1245" s="1"/>
      <c r="G1245" s="59">
        <v>0</v>
      </c>
      <c r="H1245" s="59">
        <v>60.467175572519089</v>
      </c>
      <c r="I1245" s="59">
        <v>0</v>
      </c>
      <c r="J1245" s="59">
        <v>0</v>
      </c>
      <c r="K1245" s="59">
        <v>0</v>
      </c>
      <c r="L1245" s="59">
        <v>0</v>
      </c>
      <c r="M1245" s="59">
        <f t="shared" si="40"/>
        <v>60.467175572519089</v>
      </c>
    </row>
    <row r="1246" spans="1:13" outlineLevel="2">
      <c r="A1246" s="138">
        <v>46174</v>
      </c>
      <c r="B1246" s="1" t="s">
        <v>941</v>
      </c>
      <c r="C1246" s="346">
        <v>2263557170</v>
      </c>
      <c r="D1246" s="341" t="s">
        <v>897</v>
      </c>
      <c r="E1246" s="367">
        <v>56.7</v>
      </c>
      <c r="F1246" s="1"/>
      <c r="G1246" s="59">
        <v>0</v>
      </c>
      <c r="H1246" s="59">
        <v>15.116015418335726</v>
      </c>
      <c r="I1246" s="59">
        <v>0</v>
      </c>
      <c r="J1246" s="59">
        <v>0</v>
      </c>
      <c r="K1246" s="59">
        <v>0</v>
      </c>
      <c r="L1246" s="59">
        <v>0</v>
      </c>
      <c r="M1246" s="59">
        <f t="shared" si="40"/>
        <v>15.116015418335726</v>
      </c>
    </row>
    <row r="1247" spans="1:13" outlineLevel="2">
      <c r="A1247" s="138">
        <v>46174</v>
      </c>
      <c r="B1247" s="1" t="s">
        <v>934</v>
      </c>
      <c r="C1247" s="346">
        <v>2390390170</v>
      </c>
      <c r="D1247" s="341" t="s">
        <v>897</v>
      </c>
      <c r="E1247" s="367">
        <v>4.5999999999999996</v>
      </c>
      <c r="F1247" s="1"/>
      <c r="G1247" s="59">
        <v>0</v>
      </c>
      <c r="H1247" s="59">
        <v>15.116015418335726</v>
      </c>
      <c r="I1247" s="59">
        <v>0</v>
      </c>
      <c r="J1247" s="59">
        <v>0</v>
      </c>
      <c r="K1247" s="59">
        <v>0</v>
      </c>
      <c r="L1247" s="59">
        <v>0</v>
      </c>
      <c r="M1247" s="59">
        <f t="shared" si="40"/>
        <v>15.116015418335726</v>
      </c>
    </row>
    <row r="1248" spans="1:13" outlineLevel="2">
      <c r="A1248" s="138">
        <v>46174</v>
      </c>
      <c r="B1248" s="1" t="s">
        <v>984</v>
      </c>
      <c r="C1248" s="346">
        <v>2629838385</v>
      </c>
      <c r="D1248" s="341" t="s">
        <v>897</v>
      </c>
      <c r="E1248" s="367">
        <v>2</v>
      </c>
      <c r="F1248" s="1"/>
      <c r="G1248" s="59">
        <v>0</v>
      </c>
      <c r="H1248" s="59">
        <v>15.116015418335726</v>
      </c>
      <c r="I1248" s="59">
        <v>91.160575372231889</v>
      </c>
      <c r="J1248" s="59">
        <v>0</v>
      </c>
      <c r="K1248" s="59">
        <v>0</v>
      </c>
      <c r="L1248" s="59">
        <v>0</v>
      </c>
      <c r="M1248" s="59">
        <f t="shared" si="40"/>
        <v>106.27659079056761</v>
      </c>
    </row>
    <row r="1249" spans="1:13" outlineLevel="2">
      <c r="A1249" s="138">
        <v>46174</v>
      </c>
      <c r="B1249" s="1" t="s">
        <v>941</v>
      </c>
      <c r="C1249" s="346">
        <v>2879992253</v>
      </c>
      <c r="D1249" s="341" t="s">
        <v>897</v>
      </c>
      <c r="E1249" s="367">
        <v>189.1</v>
      </c>
      <c r="F1249" s="1"/>
      <c r="G1249" s="59">
        <v>0</v>
      </c>
      <c r="H1249" s="59">
        <v>26.451894792532691</v>
      </c>
      <c r="I1249" s="59">
        <v>0</v>
      </c>
      <c r="J1249" s="59">
        <v>0</v>
      </c>
      <c r="K1249" s="59">
        <v>0</v>
      </c>
      <c r="L1249" s="59">
        <v>0</v>
      </c>
      <c r="M1249" s="59">
        <f t="shared" si="40"/>
        <v>26.451894792532691</v>
      </c>
    </row>
    <row r="1250" spans="1:13" outlineLevel="2">
      <c r="A1250" s="138">
        <v>46174</v>
      </c>
      <c r="B1250" s="1" t="s">
        <v>974</v>
      </c>
      <c r="C1250" s="346">
        <v>3270210414</v>
      </c>
      <c r="D1250" s="341" t="s">
        <v>897</v>
      </c>
      <c r="E1250" s="367">
        <v>12.5</v>
      </c>
      <c r="F1250" s="1"/>
      <c r="G1250" s="59">
        <v>0</v>
      </c>
      <c r="H1250" s="59">
        <v>15.116015418335726</v>
      </c>
      <c r="I1250" s="59">
        <v>258.35671680145117</v>
      </c>
      <c r="J1250" s="59">
        <v>0</v>
      </c>
      <c r="K1250" s="59">
        <v>0</v>
      </c>
      <c r="L1250" s="59">
        <v>0</v>
      </c>
      <c r="M1250" s="59">
        <f t="shared" si="40"/>
        <v>273.47273221978691</v>
      </c>
    </row>
    <row r="1251" spans="1:13" outlineLevel="2">
      <c r="A1251" s="138">
        <v>46174</v>
      </c>
      <c r="B1251" s="1" t="s">
        <v>1990</v>
      </c>
      <c r="C1251" s="346">
        <v>4110337329</v>
      </c>
      <c r="D1251" s="341" t="s">
        <v>65</v>
      </c>
      <c r="E1251" s="367">
        <v>34</v>
      </c>
      <c r="F1251" s="1"/>
      <c r="G1251" s="59">
        <v>0</v>
      </c>
      <c r="H1251" s="59">
        <v>15.116015418335726</v>
      </c>
      <c r="I1251" s="59">
        <v>0</v>
      </c>
      <c r="J1251" s="59">
        <v>0</v>
      </c>
      <c r="K1251" s="59">
        <v>0</v>
      </c>
      <c r="L1251" s="59">
        <v>0</v>
      </c>
      <c r="M1251" s="59">
        <f t="shared" si="40"/>
        <v>15.116015418335726</v>
      </c>
    </row>
    <row r="1252" spans="1:13" outlineLevel="2">
      <c r="A1252" s="138">
        <v>46174</v>
      </c>
      <c r="B1252" s="1" t="s">
        <v>1990</v>
      </c>
      <c r="C1252" s="346">
        <v>4110337617</v>
      </c>
      <c r="D1252" s="341" t="s">
        <v>65</v>
      </c>
      <c r="E1252" s="367">
        <v>109</v>
      </c>
      <c r="F1252" s="1"/>
      <c r="G1252" s="59">
        <v>0</v>
      </c>
      <c r="H1252" s="59">
        <v>15.116015418335726</v>
      </c>
      <c r="I1252" s="59">
        <v>0</v>
      </c>
      <c r="J1252" s="59">
        <v>0</v>
      </c>
      <c r="K1252" s="59">
        <v>0</v>
      </c>
      <c r="L1252" s="59">
        <v>0</v>
      </c>
      <c r="M1252" s="59">
        <f t="shared" si="40"/>
        <v>15.116015418335726</v>
      </c>
    </row>
    <row r="1253" spans="1:13" outlineLevel="2">
      <c r="A1253" s="138">
        <v>46174</v>
      </c>
      <c r="B1253" s="1" t="s">
        <v>1990</v>
      </c>
      <c r="C1253" s="346">
        <v>4110337649</v>
      </c>
      <c r="D1253" s="341" t="s">
        <v>65</v>
      </c>
      <c r="E1253" s="367">
        <v>83.5</v>
      </c>
      <c r="F1253" s="1"/>
      <c r="G1253" s="59">
        <v>0</v>
      </c>
      <c r="H1253" s="59">
        <v>15.116015418335726</v>
      </c>
      <c r="I1253" s="59">
        <v>0</v>
      </c>
      <c r="J1253" s="59">
        <v>0</v>
      </c>
      <c r="K1253" s="59">
        <v>0</v>
      </c>
      <c r="L1253" s="59">
        <v>0</v>
      </c>
      <c r="M1253" s="59">
        <f t="shared" si="40"/>
        <v>15.116015418335726</v>
      </c>
    </row>
    <row r="1254" spans="1:13" outlineLevel="2">
      <c r="A1254" s="138">
        <v>46174</v>
      </c>
      <c r="B1254" s="1" t="s">
        <v>1990</v>
      </c>
      <c r="C1254" s="346">
        <v>4110337914</v>
      </c>
      <c r="D1254" s="341" t="s">
        <v>65</v>
      </c>
      <c r="E1254" s="367">
        <v>54</v>
      </c>
      <c r="F1254" s="1"/>
      <c r="G1254" s="59">
        <v>0</v>
      </c>
      <c r="H1254" s="59">
        <v>15.116015418335726</v>
      </c>
      <c r="I1254" s="59">
        <v>0</v>
      </c>
      <c r="J1254" s="59">
        <v>0</v>
      </c>
      <c r="K1254" s="59">
        <v>0</v>
      </c>
      <c r="L1254" s="59">
        <v>0</v>
      </c>
      <c r="M1254" s="59">
        <f t="shared" si="40"/>
        <v>15.116015418335726</v>
      </c>
    </row>
    <row r="1255" spans="1:13" outlineLevel="2">
      <c r="A1255" s="138">
        <v>46174</v>
      </c>
      <c r="B1255" s="1" t="s">
        <v>1990</v>
      </c>
      <c r="C1255" s="346">
        <v>4110337923</v>
      </c>
      <c r="D1255" s="341" t="s">
        <v>65</v>
      </c>
      <c r="E1255" s="367">
        <v>210.5</v>
      </c>
      <c r="F1255" s="1"/>
      <c r="G1255" s="59">
        <v>0</v>
      </c>
      <c r="H1255" s="59">
        <v>15.116015418335726</v>
      </c>
      <c r="I1255" s="59">
        <v>0</v>
      </c>
      <c r="J1255" s="59">
        <v>0</v>
      </c>
      <c r="K1255" s="59">
        <v>0</v>
      </c>
      <c r="L1255" s="59">
        <v>0</v>
      </c>
      <c r="M1255" s="59">
        <f t="shared" si="40"/>
        <v>15.116015418335726</v>
      </c>
    </row>
    <row r="1256" spans="1:13" outlineLevel="2">
      <c r="A1256" s="138">
        <v>46174</v>
      </c>
      <c r="B1256" s="1" t="s">
        <v>948</v>
      </c>
      <c r="C1256" s="346">
        <v>4110338139</v>
      </c>
      <c r="D1256" s="341" t="s">
        <v>65</v>
      </c>
      <c r="E1256" s="367">
        <v>5</v>
      </c>
      <c r="F1256" s="1"/>
      <c r="G1256" s="59">
        <v>0</v>
      </c>
      <c r="H1256" s="59">
        <v>15.116015418335726</v>
      </c>
      <c r="I1256" s="59">
        <v>0</v>
      </c>
      <c r="J1256" s="59">
        <v>0</v>
      </c>
      <c r="K1256" s="59">
        <v>0</v>
      </c>
      <c r="L1256" s="59">
        <v>0</v>
      </c>
      <c r="M1256" s="59">
        <f t="shared" si="40"/>
        <v>15.116015418335726</v>
      </c>
    </row>
    <row r="1257" spans="1:13" outlineLevel="2">
      <c r="A1257" s="138">
        <v>46174</v>
      </c>
      <c r="B1257" s="1" t="s">
        <v>948</v>
      </c>
      <c r="C1257" s="346">
        <v>4110338141</v>
      </c>
      <c r="D1257" s="341" t="s">
        <v>65</v>
      </c>
      <c r="E1257" s="367">
        <v>7</v>
      </c>
      <c r="F1257" s="1"/>
      <c r="G1257" s="59">
        <v>0</v>
      </c>
      <c r="H1257" s="59">
        <v>15.116015418335726</v>
      </c>
      <c r="I1257" s="59">
        <v>0</v>
      </c>
      <c r="J1257" s="59">
        <v>0</v>
      </c>
      <c r="K1257" s="59">
        <v>0</v>
      </c>
      <c r="L1257" s="59">
        <v>0</v>
      </c>
      <c r="M1257" s="59">
        <f t="shared" si="40"/>
        <v>15.116015418335726</v>
      </c>
    </row>
    <row r="1258" spans="1:13" outlineLevel="2">
      <c r="A1258" s="138">
        <v>46174</v>
      </c>
      <c r="B1258" s="1" t="s">
        <v>948</v>
      </c>
      <c r="C1258" s="346">
        <v>4110338142</v>
      </c>
      <c r="D1258" s="341" t="s">
        <v>65</v>
      </c>
      <c r="E1258" s="367">
        <v>3</v>
      </c>
      <c r="F1258" s="1"/>
      <c r="G1258" s="59">
        <v>0</v>
      </c>
      <c r="H1258" s="59">
        <v>15.116015418335726</v>
      </c>
      <c r="I1258" s="59">
        <v>0</v>
      </c>
      <c r="J1258" s="59">
        <v>0</v>
      </c>
      <c r="K1258" s="59">
        <v>0</v>
      </c>
      <c r="L1258" s="59">
        <v>0</v>
      </c>
      <c r="M1258" s="59">
        <f t="shared" si="40"/>
        <v>15.116015418335726</v>
      </c>
    </row>
    <row r="1259" spans="1:13" outlineLevel="2">
      <c r="A1259" s="138">
        <v>46174</v>
      </c>
      <c r="B1259" s="1" t="s">
        <v>948</v>
      </c>
      <c r="C1259" s="346">
        <v>4110338143</v>
      </c>
      <c r="D1259" s="341" t="s">
        <v>65</v>
      </c>
      <c r="E1259" s="367">
        <v>8.5</v>
      </c>
      <c r="F1259" s="1"/>
      <c r="G1259" s="59">
        <v>0</v>
      </c>
      <c r="H1259" s="59">
        <v>15.116015418335726</v>
      </c>
      <c r="I1259" s="59">
        <v>0</v>
      </c>
      <c r="J1259" s="59">
        <v>0</v>
      </c>
      <c r="K1259" s="59">
        <v>0</v>
      </c>
      <c r="L1259" s="59">
        <v>0</v>
      </c>
      <c r="M1259" s="59">
        <f t="shared" si="40"/>
        <v>15.116015418335726</v>
      </c>
    </row>
    <row r="1260" spans="1:13" outlineLevel="2">
      <c r="A1260" s="138">
        <v>46174</v>
      </c>
      <c r="B1260" s="1" t="s">
        <v>948</v>
      </c>
      <c r="C1260" s="346">
        <v>4110338144</v>
      </c>
      <c r="D1260" s="341" t="s">
        <v>65</v>
      </c>
      <c r="E1260" s="367">
        <v>47.5</v>
      </c>
      <c r="F1260" s="1"/>
      <c r="G1260" s="59">
        <v>0</v>
      </c>
      <c r="H1260" s="59">
        <v>15.116015418335726</v>
      </c>
      <c r="I1260" s="59">
        <v>0</v>
      </c>
      <c r="J1260" s="59">
        <v>0</v>
      </c>
      <c r="K1260" s="59">
        <v>0</v>
      </c>
      <c r="L1260" s="59">
        <v>0</v>
      </c>
      <c r="M1260" s="59">
        <f t="shared" si="40"/>
        <v>15.116015418335726</v>
      </c>
    </row>
    <row r="1261" spans="1:13" outlineLevel="2">
      <c r="A1261" s="138">
        <v>46174</v>
      </c>
      <c r="B1261" s="1" t="s">
        <v>948</v>
      </c>
      <c r="C1261" s="346">
        <v>4110338145</v>
      </c>
      <c r="D1261" s="341" t="s">
        <v>65</v>
      </c>
      <c r="E1261" s="367">
        <v>40.5</v>
      </c>
      <c r="F1261" s="1"/>
      <c r="G1261" s="59">
        <v>0</v>
      </c>
      <c r="H1261" s="59">
        <v>15.116015418335726</v>
      </c>
      <c r="I1261" s="59">
        <v>0</v>
      </c>
      <c r="J1261" s="59">
        <v>0</v>
      </c>
      <c r="K1261" s="59">
        <v>0</v>
      </c>
      <c r="L1261" s="59">
        <v>0</v>
      </c>
      <c r="M1261" s="59">
        <f t="shared" si="40"/>
        <v>15.116015418335726</v>
      </c>
    </row>
    <row r="1262" spans="1:13" outlineLevel="2">
      <c r="A1262" s="138">
        <v>46174</v>
      </c>
      <c r="B1262" s="1" t="s">
        <v>948</v>
      </c>
      <c r="C1262" s="346">
        <v>4110338146</v>
      </c>
      <c r="D1262" s="341" t="s">
        <v>65</v>
      </c>
      <c r="E1262" s="367">
        <v>26</v>
      </c>
      <c r="F1262" s="1"/>
      <c r="G1262" s="59">
        <v>0</v>
      </c>
      <c r="H1262" s="59">
        <v>15.116015418335726</v>
      </c>
      <c r="I1262" s="59">
        <v>0</v>
      </c>
      <c r="J1262" s="59">
        <v>0</v>
      </c>
      <c r="K1262" s="59">
        <v>0</v>
      </c>
      <c r="L1262" s="59">
        <v>0</v>
      </c>
      <c r="M1262" s="59">
        <f t="shared" si="40"/>
        <v>15.116015418335726</v>
      </c>
    </row>
    <row r="1263" spans="1:13" outlineLevel="2">
      <c r="A1263" s="138">
        <v>46174</v>
      </c>
      <c r="B1263" s="1" t="s">
        <v>948</v>
      </c>
      <c r="C1263" s="346">
        <v>4110338148</v>
      </c>
      <c r="D1263" s="341" t="s">
        <v>65</v>
      </c>
      <c r="E1263" s="367">
        <v>37.5</v>
      </c>
      <c r="F1263" s="1"/>
      <c r="G1263" s="59">
        <v>0</v>
      </c>
      <c r="H1263" s="59">
        <v>15.116015418335726</v>
      </c>
      <c r="I1263" s="59">
        <v>0</v>
      </c>
      <c r="J1263" s="59">
        <v>0</v>
      </c>
      <c r="K1263" s="59">
        <v>0</v>
      </c>
      <c r="L1263" s="59">
        <v>0</v>
      </c>
      <c r="M1263" s="59">
        <f t="shared" si="40"/>
        <v>15.116015418335726</v>
      </c>
    </row>
    <row r="1264" spans="1:13" outlineLevel="2">
      <c r="A1264" s="138">
        <v>46174</v>
      </c>
      <c r="B1264" s="1" t="s">
        <v>948</v>
      </c>
      <c r="C1264" s="346">
        <v>4110338149</v>
      </c>
      <c r="D1264" s="341" t="s">
        <v>65</v>
      </c>
      <c r="E1264" s="367">
        <v>96</v>
      </c>
      <c r="F1264" s="1"/>
      <c r="G1264" s="59">
        <v>0</v>
      </c>
      <c r="H1264" s="59">
        <v>15.116015418335726</v>
      </c>
      <c r="I1264" s="59">
        <v>0</v>
      </c>
      <c r="J1264" s="59">
        <v>0</v>
      </c>
      <c r="K1264" s="59">
        <v>0</v>
      </c>
      <c r="L1264" s="59">
        <v>0</v>
      </c>
      <c r="M1264" s="59">
        <f t="shared" si="40"/>
        <v>15.116015418335726</v>
      </c>
    </row>
    <row r="1265" spans="1:13" outlineLevel="2">
      <c r="A1265" s="138">
        <v>46174</v>
      </c>
      <c r="B1265" s="1" t="s">
        <v>948</v>
      </c>
      <c r="C1265" s="346">
        <v>4110338152</v>
      </c>
      <c r="D1265" s="341" t="s">
        <v>65</v>
      </c>
      <c r="E1265" s="367">
        <v>26.5</v>
      </c>
      <c r="F1265" s="1"/>
      <c r="G1265" s="59">
        <v>0</v>
      </c>
      <c r="H1265" s="59">
        <v>15.116015418335726</v>
      </c>
      <c r="I1265" s="59">
        <v>0</v>
      </c>
      <c r="J1265" s="59">
        <v>0</v>
      </c>
      <c r="K1265" s="59">
        <v>0</v>
      </c>
      <c r="L1265" s="59">
        <v>0</v>
      </c>
      <c r="M1265" s="59">
        <f t="shared" si="40"/>
        <v>15.116015418335726</v>
      </c>
    </row>
    <row r="1266" spans="1:13" outlineLevel="2">
      <c r="A1266" s="138">
        <v>46174</v>
      </c>
      <c r="B1266" s="1" t="s">
        <v>948</v>
      </c>
      <c r="C1266" s="346">
        <v>4110338153</v>
      </c>
      <c r="D1266" s="341" t="s">
        <v>65</v>
      </c>
      <c r="E1266" s="367">
        <v>27</v>
      </c>
      <c r="F1266" s="1"/>
      <c r="G1266" s="59">
        <v>0</v>
      </c>
      <c r="H1266" s="59">
        <v>15.116015418335726</v>
      </c>
      <c r="I1266" s="59">
        <v>0</v>
      </c>
      <c r="J1266" s="59">
        <v>0</v>
      </c>
      <c r="K1266" s="59">
        <v>0</v>
      </c>
      <c r="L1266" s="59">
        <v>0</v>
      </c>
      <c r="M1266" s="59">
        <f t="shared" si="40"/>
        <v>15.116015418335726</v>
      </c>
    </row>
    <row r="1267" spans="1:13" outlineLevel="2">
      <c r="A1267" s="138">
        <v>46174</v>
      </c>
      <c r="B1267" s="1" t="s">
        <v>948</v>
      </c>
      <c r="C1267" s="346">
        <v>4110338154</v>
      </c>
      <c r="D1267" s="341" t="s">
        <v>65</v>
      </c>
      <c r="E1267" s="367">
        <v>11</v>
      </c>
      <c r="F1267" s="1"/>
      <c r="G1267" s="59">
        <v>0</v>
      </c>
      <c r="H1267" s="59">
        <v>15.116015418335726</v>
      </c>
      <c r="I1267" s="59">
        <v>0</v>
      </c>
      <c r="J1267" s="59">
        <v>0</v>
      </c>
      <c r="K1267" s="59">
        <v>0</v>
      </c>
      <c r="L1267" s="59">
        <v>0</v>
      </c>
      <c r="M1267" s="59">
        <f t="shared" si="40"/>
        <v>15.116015418335726</v>
      </c>
    </row>
    <row r="1268" spans="1:13" outlineLevel="2">
      <c r="A1268" s="138">
        <v>46174</v>
      </c>
      <c r="B1268" s="1" t="s">
        <v>948</v>
      </c>
      <c r="C1268" s="346">
        <v>4110338185</v>
      </c>
      <c r="D1268" s="341" t="s">
        <v>65</v>
      </c>
      <c r="E1268" s="367">
        <v>354.5</v>
      </c>
      <c r="F1268" s="1"/>
      <c r="G1268" s="59">
        <v>0</v>
      </c>
      <c r="H1268" s="59">
        <v>15.116015418335726</v>
      </c>
      <c r="I1268" s="59">
        <v>0</v>
      </c>
      <c r="J1268" s="59">
        <v>0</v>
      </c>
      <c r="K1268" s="59">
        <v>0</v>
      </c>
      <c r="L1268" s="59">
        <v>0</v>
      </c>
      <c r="M1268" s="59">
        <f t="shared" si="40"/>
        <v>15.116015418335726</v>
      </c>
    </row>
    <row r="1269" spans="1:13" outlineLevel="2">
      <c r="A1269" s="138">
        <v>46174</v>
      </c>
      <c r="B1269" s="1" t="s">
        <v>948</v>
      </c>
      <c r="C1269" s="346">
        <v>4110338214</v>
      </c>
      <c r="D1269" s="341" t="s">
        <v>65</v>
      </c>
      <c r="E1269" s="367">
        <v>83.5</v>
      </c>
      <c r="F1269" s="1"/>
      <c r="G1269" s="59">
        <v>0</v>
      </c>
      <c r="H1269" s="59">
        <v>15.116015418335726</v>
      </c>
      <c r="I1269" s="59">
        <v>0</v>
      </c>
      <c r="J1269" s="59">
        <v>0</v>
      </c>
      <c r="K1269" s="59">
        <v>0</v>
      </c>
      <c r="L1269" s="59">
        <v>0</v>
      </c>
      <c r="M1269" s="59">
        <f t="shared" si="40"/>
        <v>15.116015418335726</v>
      </c>
    </row>
    <row r="1270" spans="1:13" outlineLevel="2">
      <c r="A1270" s="138">
        <v>46174</v>
      </c>
      <c r="B1270" s="1" t="s">
        <v>948</v>
      </c>
      <c r="C1270" s="346">
        <v>4110338217</v>
      </c>
      <c r="D1270" s="341" t="s">
        <v>65</v>
      </c>
      <c r="E1270" s="367">
        <v>9.5</v>
      </c>
      <c r="F1270" s="1"/>
      <c r="G1270" s="59">
        <v>0</v>
      </c>
      <c r="H1270" s="59">
        <v>15.116015418335726</v>
      </c>
      <c r="I1270" s="59">
        <v>0</v>
      </c>
      <c r="J1270" s="59">
        <v>0</v>
      </c>
      <c r="K1270" s="59">
        <v>0</v>
      </c>
      <c r="L1270" s="59">
        <v>0</v>
      </c>
      <c r="M1270" s="59">
        <f t="shared" si="40"/>
        <v>15.116015418335726</v>
      </c>
    </row>
    <row r="1271" spans="1:13" outlineLevel="2">
      <c r="A1271" s="138">
        <v>46174</v>
      </c>
      <c r="B1271" s="1" t="s">
        <v>801</v>
      </c>
      <c r="C1271" s="346">
        <v>4711938288</v>
      </c>
      <c r="D1271" s="341" t="s">
        <v>65</v>
      </c>
      <c r="E1271" s="367">
        <v>86.5</v>
      </c>
      <c r="F1271" s="1"/>
      <c r="G1271" s="59">
        <v>0</v>
      </c>
      <c r="H1271" s="59">
        <v>15.116015418335726</v>
      </c>
      <c r="I1271" s="59">
        <v>257.33</v>
      </c>
      <c r="J1271" s="59"/>
      <c r="K1271" s="59">
        <v>66.66</v>
      </c>
      <c r="L1271" s="59"/>
      <c r="M1271" s="59">
        <f t="shared" si="40"/>
        <v>339.10601541833569</v>
      </c>
    </row>
    <row r="1272" spans="1:13" outlineLevel="2">
      <c r="A1272" s="138">
        <v>46174</v>
      </c>
      <c r="B1272" s="1" t="s">
        <v>973</v>
      </c>
      <c r="C1272" s="346">
        <v>5774685486</v>
      </c>
      <c r="D1272" s="341" t="s">
        <v>897</v>
      </c>
      <c r="E1272" s="367">
        <v>8.4</v>
      </c>
      <c r="F1272" s="1"/>
      <c r="G1272" s="59">
        <v>0</v>
      </c>
      <c r="H1272" s="59">
        <v>15.116015418335726</v>
      </c>
      <c r="I1272" s="59">
        <v>0</v>
      </c>
      <c r="J1272" s="59">
        <v>0</v>
      </c>
      <c r="K1272" s="59">
        <v>0</v>
      </c>
      <c r="L1272" s="59">
        <v>0</v>
      </c>
      <c r="M1272" s="59">
        <f t="shared" si="40"/>
        <v>15.116015418335726</v>
      </c>
    </row>
    <row r="1273" spans="1:13" outlineLevel="2">
      <c r="A1273" s="138">
        <v>46174</v>
      </c>
      <c r="B1273" s="1" t="s">
        <v>1702</v>
      </c>
      <c r="C1273" s="346">
        <v>380734997890</v>
      </c>
      <c r="D1273" s="341" t="s">
        <v>45</v>
      </c>
      <c r="E1273" s="367">
        <v>1</v>
      </c>
      <c r="F1273" s="1"/>
      <c r="G1273" s="59">
        <v>0</v>
      </c>
      <c r="H1273" s="59">
        <v>15.116015418335726</v>
      </c>
      <c r="I1273" s="59">
        <v>0</v>
      </c>
      <c r="J1273" s="59">
        <v>0</v>
      </c>
      <c r="K1273" s="59">
        <v>0</v>
      </c>
      <c r="L1273" s="59">
        <v>0</v>
      </c>
      <c r="M1273" s="59">
        <f t="shared" si="40"/>
        <v>15.116015418335726</v>
      </c>
    </row>
    <row r="1274" spans="1:13" outlineLevel="2">
      <c r="A1274" s="138">
        <v>46174</v>
      </c>
      <c r="B1274" s="1" t="s">
        <v>958</v>
      </c>
      <c r="C1274" s="346">
        <v>381090339009</v>
      </c>
      <c r="D1274" s="341" t="s">
        <v>45</v>
      </c>
      <c r="E1274" s="367">
        <v>81</v>
      </c>
      <c r="F1274" s="1"/>
      <c r="G1274" s="59">
        <v>0</v>
      </c>
      <c r="H1274" s="59">
        <v>15.116015418335726</v>
      </c>
      <c r="I1274" s="59">
        <v>0</v>
      </c>
      <c r="J1274" s="59">
        <v>0</v>
      </c>
      <c r="K1274" s="59">
        <v>0</v>
      </c>
      <c r="L1274" s="59">
        <v>0</v>
      </c>
      <c r="M1274" s="59">
        <f t="shared" si="40"/>
        <v>15.116015418335726</v>
      </c>
    </row>
    <row r="1275" spans="1:13" outlineLevel="2">
      <c r="A1275" s="138">
        <v>46174</v>
      </c>
      <c r="B1275" s="1" t="s">
        <v>958</v>
      </c>
      <c r="C1275" s="346">
        <v>381196656206</v>
      </c>
      <c r="D1275" s="341" t="s">
        <v>45</v>
      </c>
      <c r="E1275" s="367">
        <v>78</v>
      </c>
      <c r="F1275" s="1"/>
      <c r="G1275" s="59">
        <v>0</v>
      </c>
      <c r="H1275" s="59">
        <v>15.116015418335726</v>
      </c>
      <c r="I1275" s="59">
        <v>0</v>
      </c>
      <c r="J1275" s="59">
        <v>0</v>
      </c>
      <c r="K1275" s="59">
        <v>0</v>
      </c>
      <c r="L1275" s="59">
        <v>0</v>
      </c>
      <c r="M1275" s="59">
        <f t="shared" si="40"/>
        <v>15.116015418335726</v>
      </c>
    </row>
    <row r="1276" spans="1:13" outlineLevel="2">
      <c r="A1276" s="138">
        <v>46174</v>
      </c>
      <c r="B1276" s="1" t="s">
        <v>958</v>
      </c>
      <c r="C1276" s="346">
        <v>381294284087</v>
      </c>
      <c r="D1276" s="341" t="s">
        <v>45</v>
      </c>
      <c r="E1276" s="367">
        <v>11.1</v>
      </c>
      <c r="F1276" s="1"/>
      <c r="G1276" s="59">
        <v>0</v>
      </c>
      <c r="H1276" s="59">
        <v>15.116015418335726</v>
      </c>
      <c r="I1276" s="59">
        <v>0</v>
      </c>
      <c r="J1276" s="59">
        <v>0</v>
      </c>
      <c r="K1276" s="59">
        <v>0</v>
      </c>
      <c r="L1276" s="59">
        <v>0</v>
      </c>
      <c r="M1276" s="59">
        <f t="shared" si="40"/>
        <v>15.116015418335726</v>
      </c>
    </row>
    <row r="1277" spans="1:13" outlineLevel="2">
      <c r="A1277" s="138">
        <v>46174</v>
      </c>
      <c r="B1277" s="1" t="s">
        <v>958</v>
      </c>
      <c r="C1277" s="346">
        <v>381371161854</v>
      </c>
      <c r="D1277" s="341" t="s">
        <v>45</v>
      </c>
      <c r="E1277" s="367">
        <v>169</v>
      </c>
      <c r="F1277" s="1"/>
      <c r="G1277" s="59">
        <v>0</v>
      </c>
      <c r="H1277" s="59">
        <v>15.116015418335726</v>
      </c>
      <c r="I1277" s="59">
        <v>0</v>
      </c>
      <c r="J1277" s="59">
        <v>0</v>
      </c>
      <c r="K1277" s="59">
        <v>0</v>
      </c>
      <c r="L1277" s="59">
        <v>0</v>
      </c>
      <c r="M1277" s="59">
        <f t="shared" si="40"/>
        <v>15.116015418335726</v>
      </c>
    </row>
    <row r="1278" spans="1:13" outlineLevel="2">
      <c r="A1278" s="138">
        <v>46174</v>
      </c>
      <c r="B1278" s="1" t="s">
        <v>958</v>
      </c>
      <c r="C1278" s="346">
        <v>381459220583</v>
      </c>
      <c r="D1278" s="341" t="s">
        <v>45</v>
      </c>
      <c r="E1278" s="367">
        <v>33</v>
      </c>
      <c r="F1278" s="1"/>
      <c r="G1278" s="59">
        <v>0</v>
      </c>
      <c r="H1278" s="59">
        <v>15.116015418335726</v>
      </c>
      <c r="I1278" s="59">
        <v>0</v>
      </c>
      <c r="J1278" s="59">
        <v>0</v>
      </c>
      <c r="K1278" s="59">
        <v>0</v>
      </c>
      <c r="L1278" s="59">
        <v>0</v>
      </c>
      <c r="M1278" s="59">
        <f t="shared" si="40"/>
        <v>15.116015418335726</v>
      </c>
    </row>
    <row r="1279" spans="1:13" outlineLevel="2">
      <c r="A1279" s="138">
        <v>46174</v>
      </c>
      <c r="B1279" s="1" t="s">
        <v>802</v>
      </c>
      <c r="C1279" s="346">
        <v>381609097421</v>
      </c>
      <c r="D1279" s="341" t="s">
        <v>655</v>
      </c>
      <c r="E1279" s="367">
        <v>18.3</v>
      </c>
      <c r="F1279" s="1"/>
      <c r="G1279" s="59">
        <v>0</v>
      </c>
      <c r="H1279" s="59">
        <v>15.116015418335726</v>
      </c>
      <c r="I1279" s="59">
        <v>78.362028569269143</v>
      </c>
      <c r="J1279" s="59">
        <v>0</v>
      </c>
      <c r="K1279" s="59">
        <v>0</v>
      </c>
      <c r="L1279" s="59">
        <v>0</v>
      </c>
      <c r="M1279" s="59">
        <f t="shared" si="40"/>
        <v>93.478043987604863</v>
      </c>
    </row>
    <row r="1280" spans="1:13" outlineLevel="2">
      <c r="A1280" s="138">
        <v>46174</v>
      </c>
      <c r="B1280" s="1" t="s">
        <v>804</v>
      </c>
      <c r="C1280" s="346">
        <v>381681556134</v>
      </c>
      <c r="D1280" s="341" t="s">
        <v>655</v>
      </c>
      <c r="E1280" s="367">
        <v>70.599999999999994</v>
      </c>
      <c r="F1280" s="1"/>
      <c r="G1280" s="59">
        <v>0</v>
      </c>
      <c r="H1280" s="59">
        <v>15.116015418335726</v>
      </c>
      <c r="I1280" s="59">
        <v>191.8341395208223</v>
      </c>
      <c r="J1280" s="59">
        <v>0</v>
      </c>
      <c r="K1280" s="59">
        <v>0</v>
      </c>
      <c r="L1280" s="59">
        <v>0</v>
      </c>
      <c r="M1280" s="59">
        <f t="shared" si="40"/>
        <v>206.95015493915804</v>
      </c>
    </row>
    <row r="1281" spans="1:13" outlineLevel="2">
      <c r="A1281" s="138">
        <v>46174</v>
      </c>
      <c r="B1281" s="1" t="s">
        <v>981</v>
      </c>
      <c r="C1281" s="346">
        <v>381712224615</v>
      </c>
      <c r="D1281" s="341" t="s">
        <v>45</v>
      </c>
      <c r="E1281" s="367">
        <v>0.5</v>
      </c>
      <c r="F1281" s="1"/>
      <c r="G1281" s="59">
        <v>0</v>
      </c>
      <c r="H1281" s="59">
        <v>15.116015418335726</v>
      </c>
      <c r="I1281" s="59">
        <v>0</v>
      </c>
      <c r="J1281" s="59">
        <v>0</v>
      </c>
      <c r="K1281" s="59">
        <v>0</v>
      </c>
      <c r="L1281" s="59">
        <v>0</v>
      </c>
      <c r="M1281" s="59">
        <f t="shared" si="40"/>
        <v>15.116015418335726</v>
      </c>
    </row>
    <row r="1282" spans="1:13" outlineLevel="2">
      <c r="A1282" s="138">
        <v>46174</v>
      </c>
      <c r="B1282" s="1" t="s">
        <v>802</v>
      </c>
      <c r="C1282" s="346">
        <v>381747821205</v>
      </c>
      <c r="D1282" s="341" t="s">
        <v>655</v>
      </c>
      <c r="E1282" s="367">
        <v>16.8</v>
      </c>
      <c r="F1282" s="1"/>
      <c r="G1282" s="59">
        <v>0</v>
      </c>
      <c r="H1282" s="59">
        <v>15.116015418335726</v>
      </c>
      <c r="I1282" s="59">
        <v>75.602864484921781</v>
      </c>
      <c r="J1282" s="59">
        <v>0</v>
      </c>
      <c r="K1282" s="59">
        <v>0</v>
      </c>
      <c r="L1282" s="59">
        <v>0</v>
      </c>
      <c r="M1282" s="59">
        <f t="shared" si="40"/>
        <v>90.718879903257502</v>
      </c>
    </row>
    <row r="1283" spans="1:13" outlineLevel="2">
      <c r="A1283" s="138">
        <v>46174</v>
      </c>
      <c r="B1283" s="1" t="s">
        <v>984</v>
      </c>
      <c r="C1283" s="346">
        <v>381845821672</v>
      </c>
      <c r="D1283" s="341" t="s">
        <v>655</v>
      </c>
      <c r="E1283" s="367">
        <v>1.5</v>
      </c>
      <c r="F1283" s="1"/>
      <c r="G1283" s="59">
        <v>0</v>
      </c>
      <c r="H1283" s="59">
        <v>15.116015418335726</v>
      </c>
      <c r="I1283" s="59">
        <v>34.856926914065447</v>
      </c>
      <c r="J1283" s="59">
        <v>0</v>
      </c>
      <c r="K1283" s="59">
        <v>0</v>
      </c>
      <c r="L1283" s="59">
        <v>0</v>
      </c>
      <c r="M1283" s="59">
        <f t="shared" si="40"/>
        <v>49.972942332401175</v>
      </c>
    </row>
    <row r="1284" spans="1:13" outlineLevel="2">
      <c r="A1284" s="138">
        <v>46174</v>
      </c>
      <c r="B1284" s="1" t="s">
        <v>802</v>
      </c>
      <c r="C1284" s="346">
        <v>381854847416</v>
      </c>
      <c r="D1284" s="341" t="s">
        <v>655</v>
      </c>
      <c r="E1284" s="367">
        <v>28.7</v>
      </c>
      <c r="F1284" s="1"/>
      <c r="G1284" s="59">
        <v>0</v>
      </c>
      <c r="H1284" s="59">
        <v>15.116015418335726</v>
      </c>
      <c r="I1284" s="59">
        <v>111.01685435719145</v>
      </c>
      <c r="J1284" s="59">
        <v>0</v>
      </c>
      <c r="K1284" s="59">
        <v>0</v>
      </c>
      <c r="L1284" s="59">
        <v>0</v>
      </c>
      <c r="M1284" s="59">
        <f t="shared" si="40"/>
        <v>126.13286977552717</v>
      </c>
    </row>
    <row r="1285" spans="1:13" outlineLevel="2">
      <c r="A1285" s="138">
        <v>46174</v>
      </c>
      <c r="B1285" s="1" t="s">
        <v>802</v>
      </c>
      <c r="C1285" s="346">
        <v>381903937096</v>
      </c>
      <c r="D1285" s="341" t="s">
        <v>655</v>
      </c>
      <c r="E1285" s="367">
        <v>1.1000000000000001</v>
      </c>
      <c r="F1285" s="1"/>
      <c r="G1285" s="59">
        <v>0</v>
      </c>
      <c r="H1285" s="59">
        <v>15.116015418335726</v>
      </c>
      <c r="I1285" s="59">
        <v>20.401027889048446</v>
      </c>
      <c r="J1285" s="59">
        <v>0</v>
      </c>
      <c r="K1285" s="59">
        <v>0</v>
      </c>
      <c r="L1285" s="59">
        <v>0</v>
      </c>
      <c r="M1285" s="59">
        <f t="shared" si="40"/>
        <v>35.517043307384171</v>
      </c>
    </row>
    <row r="1286" spans="1:13" outlineLevel="2">
      <c r="A1286" s="138">
        <v>46174</v>
      </c>
      <c r="B1286" s="1" t="s">
        <v>2849</v>
      </c>
      <c r="C1286" s="346">
        <v>382040941235</v>
      </c>
      <c r="D1286" s="341" t="s">
        <v>45</v>
      </c>
      <c r="E1286" s="367">
        <v>3.1</v>
      </c>
      <c r="F1286" s="1"/>
      <c r="G1286" s="59">
        <v>0</v>
      </c>
      <c r="H1286" s="59">
        <v>15.116015418335726</v>
      </c>
      <c r="I1286" s="59">
        <v>0</v>
      </c>
      <c r="J1286" s="59">
        <v>0</v>
      </c>
      <c r="K1286" s="59">
        <v>0</v>
      </c>
      <c r="L1286" s="59">
        <v>0</v>
      </c>
      <c r="M1286" s="59">
        <f t="shared" si="40"/>
        <v>15.116015418335726</v>
      </c>
    </row>
    <row r="1287" spans="1:13" outlineLevel="2">
      <c r="A1287" s="138">
        <v>46174</v>
      </c>
      <c r="B1287" s="1" t="s">
        <v>804</v>
      </c>
      <c r="C1287" s="346">
        <v>382041697681</v>
      </c>
      <c r="D1287" s="341" t="s">
        <v>655</v>
      </c>
      <c r="E1287" s="367">
        <v>8</v>
      </c>
      <c r="F1287" s="1"/>
      <c r="G1287" s="59">
        <v>0</v>
      </c>
      <c r="H1287" s="59">
        <v>15.116015418335726</v>
      </c>
      <c r="I1287" s="59">
        <v>39.991270501095912</v>
      </c>
      <c r="J1287" s="59">
        <v>0</v>
      </c>
      <c r="K1287" s="59">
        <v>0</v>
      </c>
      <c r="L1287" s="59">
        <v>0</v>
      </c>
      <c r="M1287" s="59">
        <f t="shared" si="40"/>
        <v>55.107285919431639</v>
      </c>
    </row>
    <row r="1288" spans="1:13" outlineLevel="2">
      <c r="A1288" s="138">
        <v>46174</v>
      </c>
      <c r="B1288" s="1" t="s">
        <v>2868</v>
      </c>
      <c r="C1288" s="346">
        <v>382080243184</v>
      </c>
      <c r="D1288" s="341" t="s">
        <v>45</v>
      </c>
      <c r="E1288" s="367">
        <v>1.1000000000000001</v>
      </c>
      <c r="F1288" s="1"/>
      <c r="G1288" s="59">
        <v>0</v>
      </c>
      <c r="H1288" s="59">
        <v>15.116015418335726</v>
      </c>
      <c r="I1288" s="59">
        <v>0</v>
      </c>
      <c r="J1288" s="59">
        <v>0</v>
      </c>
      <c r="K1288" s="59">
        <v>0</v>
      </c>
      <c r="L1288" s="59">
        <v>0</v>
      </c>
      <c r="M1288" s="59">
        <f t="shared" si="40"/>
        <v>15.116015418335726</v>
      </c>
    </row>
    <row r="1289" spans="1:13" outlineLevel="2">
      <c r="A1289" s="138">
        <v>46174</v>
      </c>
      <c r="B1289" s="1" t="s">
        <v>378</v>
      </c>
      <c r="C1289" s="346">
        <v>409298922447</v>
      </c>
      <c r="D1289" s="341" t="s">
        <v>655</v>
      </c>
      <c r="E1289" s="367">
        <v>21</v>
      </c>
      <c r="F1289" s="1"/>
      <c r="G1289" s="59">
        <v>0</v>
      </c>
      <c r="H1289" s="59">
        <v>0</v>
      </c>
      <c r="I1289" s="59">
        <v>64.610762602977857</v>
      </c>
      <c r="J1289" s="59">
        <v>0</v>
      </c>
      <c r="K1289" s="59">
        <v>0</v>
      </c>
      <c r="L1289" s="59">
        <v>0</v>
      </c>
      <c r="M1289" s="59">
        <f t="shared" si="40"/>
        <v>64.610762602977857</v>
      </c>
    </row>
    <row r="1290" spans="1:13" outlineLevel="2">
      <c r="A1290" s="138">
        <v>46174</v>
      </c>
      <c r="B1290" s="1" t="s">
        <v>378</v>
      </c>
      <c r="C1290" s="346">
        <v>409298923568</v>
      </c>
      <c r="D1290" s="341" t="s">
        <v>655</v>
      </c>
      <c r="E1290" s="367">
        <v>19.3</v>
      </c>
      <c r="F1290" s="1"/>
      <c r="G1290" s="59">
        <v>0</v>
      </c>
      <c r="H1290" s="59">
        <v>15.116015418335726</v>
      </c>
      <c r="I1290" s="59">
        <v>54.481256140881264</v>
      </c>
      <c r="J1290" s="59">
        <v>0</v>
      </c>
      <c r="K1290" s="59">
        <v>0</v>
      </c>
      <c r="L1290" s="59">
        <v>0</v>
      </c>
      <c r="M1290" s="59">
        <f t="shared" si="40"/>
        <v>69.597271559216992</v>
      </c>
    </row>
    <row r="1291" spans="1:13" outlineLevel="2">
      <c r="A1291" s="138">
        <v>46174</v>
      </c>
      <c r="B1291" s="1" t="s">
        <v>378</v>
      </c>
      <c r="C1291" s="346">
        <v>409298925295</v>
      </c>
      <c r="D1291" s="341" t="s">
        <v>655</v>
      </c>
      <c r="E1291" s="367">
        <v>32.799999999999997</v>
      </c>
      <c r="F1291" s="1"/>
      <c r="G1291" s="59">
        <v>0</v>
      </c>
      <c r="H1291" s="59">
        <v>15.116015418335726</v>
      </c>
      <c r="I1291" s="59">
        <v>97.265172700476157</v>
      </c>
      <c r="J1291" s="59">
        <v>0</v>
      </c>
      <c r="K1291" s="59">
        <v>0</v>
      </c>
      <c r="L1291" s="59">
        <v>0</v>
      </c>
      <c r="M1291" s="59">
        <f t="shared" si="40"/>
        <v>112.38118811881188</v>
      </c>
    </row>
    <row r="1292" spans="1:13" outlineLevel="2">
      <c r="A1292" s="138">
        <v>46174</v>
      </c>
      <c r="B1292" s="1" t="s">
        <v>378</v>
      </c>
      <c r="C1292" s="346">
        <v>409298926317</v>
      </c>
      <c r="D1292" s="341" t="s">
        <v>655</v>
      </c>
      <c r="E1292" s="367">
        <v>15</v>
      </c>
      <c r="F1292" s="1"/>
      <c r="G1292" s="59">
        <v>0</v>
      </c>
      <c r="H1292" s="59">
        <v>15.116015418335726</v>
      </c>
      <c r="I1292" s="59">
        <v>47.769442974831833</v>
      </c>
      <c r="J1292" s="59">
        <v>0</v>
      </c>
      <c r="K1292" s="59">
        <v>0</v>
      </c>
      <c r="L1292" s="59">
        <v>0</v>
      </c>
      <c r="M1292" s="59">
        <f t="shared" si="40"/>
        <v>62.885458393167561</v>
      </c>
    </row>
    <row r="1293" spans="1:13" outlineLevel="2">
      <c r="A1293" s="138">
        <v>46174</v>
      </c>
      <c r="B1293" s="1" t="s">
        <v>378</v>
      </c>
      <c r="C1293" s="346">
        <v>409298928147</v>
      </c>
      <c r="D1293" s="341" t="s">
        <v>45</v>
      </c>
      <c r="E1293" s="367">
        <v>7.4</v>
      </c>
      <c r="F1293" s="1"/>
      <c r="G1293" s="59">
        <v>0</v>
      </c>
      <c r="H1293" s="59">
        <v>15.116015418335726</v>
      </c>
      <c r="I1293" s="59">
        <v>0</v>
      </c>
      <c r="J1293" s="59">
        <v>0</v>
      </c>
      <c r="K1293" s="59">
        <v>0</v>
      </c>
      <c r="L1293" s="59">
        <v>0</v>
      </c>
      <c r="M1293" s="59">
        <f t="shared" si="40"/>
        <v>15.116015418335726</v>
      </c>
    </row>
    <row r="1294" spans="1:13" outlineLevel="2">
      <c r="A1294" s="138">
        <v>46174</v>
      </c>
      <c r="B1294" s="1" t="s">
        <v>335</v>
      </c>
      <c r="C1294" s="346">
        <v>477592566243</v>
      </c>
      <c r="D1294" s="341" t="s">
        <v>655</v>
      </c>
      <c r="E1294" s="367">
        <v>230.6</v>
      </c>
      <c r="F1294" s="1"/>
      <c r="G1294" s="59">
        <v>0</v>
      </c>
      <c r="H1294" s="59">
        <v>15.116015418335726</v>
      </c>
      <c r="I1294" s="59">
        <v>618.64809916106105</v>
      </c>
      <c r="J1294" s="59">
        <v>0</v>
      </c>
      <c r="K1294" s="59">
        <v>0</v>
      </c>
      <c r="L1294" s="59">
        <v>0</v>
      </c>
      <c r="M1294" s="59">
        <f t="shared" si="40"/>
        <v>633.76411457939673</v>
      </c>
    </row>
    <row r="1295" spans="1:13" outlineLevel="2">
      <c r="A1295" s="138">
        <v>46174</v>
      </c>
      <c r="B1295" s="1" t="s">
        <v>1606</v>
      </c>
      <c r="C1295" s="346">
        <v>480304817374</v>
      </c>
      <c r="D1295" s="341" t="s">
        <v>45</v>
      </c>
      <c r="E1295" s="367">
        <v>2.4</v>
      </c>
      <c r="F1295" s="1"/>
      <c r="G1295" s="59">
        <v>0</v>
      </c>
      <c r="H1295" s="59">
        <v>15.116015418335726</v>
      </c>
      <c r="I1295" s="59">
        <v>0</v>
      </c>
      <c r="J1295" s="59">
        <v>0</v>
      </c>
      <c r="K1295" s="59">
        <v>0</v>
      </c>
      <c r="L1295" s="59">
        <v>0</v>
      </c>
      <c r="M1295" s="59">
        <f t="shared" si="40"/>
        <v>15.116015418335726</v>
      </c>
    </row>
    <row r="1296" spans="1:13" outlineLevel="2">
      <c r="A1296" s="138">
        <v>46174</v>
      </c>
      <c r="B1296" s="1" t="s">
        <v>376</v>
      </c>
      <c r="C1296" s="346">
        <v>484361666828</v>
      </c>
      <c r="D1296" s="341" t="s">
        <v>655</v>
      </c>
      <c r="E1296" s="367">
        <v>5.2</v>
      </c>
      <c r="F1296" s="1"/>
      <c r="G1296" s="59">
        <v>0</v>
      </c>
      <c r="H1296" s="59">
        <v>15.116015418335726</v>
      </c>
      <c r="I1296" s="59">
        <v>33.714534048824731</v>
      </c>
      <c r="J1296" s="59">
        <v>0</v>
      </c>
      <c r="K1296" s="59">
        <v>0</v>
      </c>
      <c r="L1296" s="59">
        <v>0</v>
      </c>
      <c r="M1296" s="59">
        <f t="shared" si="40"/>
        <v>48.830549467160459</v>
      </c>
    </row>
    <row r="1297" spans="1:13" outlineLevel="2">
      <c r="A1297" s="138">
        <v>46174</v>
      </c>
      <c r="B1297" s="1" t="s">
        <v>376</v>
      </c>
      <c r="C1297" s="346">
        <v>484361668338</v>
      </c>
      <c r="D1297" s="341" t="s">
        <v>655</v>
      </c>
      <c r="E1297" s="367">
        <v>15.8</v>
      </c>
      <c r="F1297" s="1"/>
      <c r="G1297" s="59">
        <v>0</v>
      </c>
      <c r="H1297" s="59">
        <v>15.116015418335726</v>
      </c>
      <c r="I1297" s="59">
        <v>51.086047917768873</v>
      </c>
      <c r="J1297" s="59">
        <v>0</v>
      </c>
      <c r="K1297" s="59">
        <v>0</v>
      </c>
      <c r="L1297" s="59">
        <v>0</v>
      </c>
      <c r="M1297" s="59">
        <f t="shared" ref="M1297:M1328" si="42">SUM(G1297:L1297)</f>
        <v>66.202063336104601</v>
      </c>
    </row>
    <row r="1298" spans="1:13" outlineLevel="2">
      <c r="A1298" s="138">
        <v>46174</v>
      </c>
      <c r="B1298" s="1" t="s">
        <v>376</v>
      </c>
      <c r="C1298" s="346">
        <v>484361669253</v>
      </c>
      <c r="D1298" s="341" t="s">
        <v>45</v>
      </c>
      <c r="E1298" s="367">
        <v>114.5</v>
      </c>
      <c r="F1298" s="1"/>
      <c r="G1298" s="59">
        <v>0</v>
      </c>
      <c r="H1298" s="59">
        <v>15.116015418335726</v>
      </c>
      <c r="I1298" s="59">
        <v>0</v>
      </c>
      <c r="J1298" s="59">
        <v>0</v>
      </c>
      <c r="K1298" s="59">
        <v>0</v>
      </c>
      <c r="L1298" s="59">
        <v>0</v>
      </c>
      <c r="M1298" s="59">
        <f t="shared" si="42"/>
        <v>15.116015418335726</v>
      </c>
    </row>
    <row r="1299" spans="1:13" outlineLevel="2">
      <c r="A1299" s="138">
        <v>46174</v>
      </c>
      <c r="B1299" s="1" t="s">
        <v>968</v>
      </c>
      <c r="C1299" s="346">
        <v>492830109728</v>
      </c>
      <c r="D1299" s="341" t="s">
        <v>45</v>
      </c>
      <c r="E1299" s="367">
        <v>0.5</v>
      </c>
      <c r="F1299" s="1"/>
      <c r="G1299" s="59">
        <v>0</v>
      </c>
      <c r="H1299" s="59">
        <v>15.116015418335726</v>
      </c>
      <c r="I1299" s="59">
        <v>0</v>
      </c>
      <c r="J1299" s="59">
        <v>0</v>
      </c>
      <c r="K1299" s="59">
        <v>0</v>
      </c>
      <c r="L1299" s="59">
        <v>0</v>
      </c>
      <c r="M1299" s="59">
        <f t="shared" si="42"/>
        <v>15.116015418335726</v>
      </c>
    </row>
    <row r="1300" spans="1:13" outlineLevel="2">
      <c r="A1300" s="138">
        <v>46174</v>
      </c>
      <c r="B1300" s="1" t="s">
        <v>2165</v>
      </c>
      <c r="C1300" s="346">
        <v>501720330447</v>
      </c>
      <c r="D1300" s="341" t="s">
        <v>655</v>
      </c>
      <c r="E1300" s="367">
        <v>2.8</v>
      </c>
      <c r="F1300" s="1"/>
      <c r="G1300" s="59">
        <v>0</v>
      </c>
      <c r="H1300" s="59">
        <v>15.116015418335726</v>
      </c>
      <c r="I1300" s="59">
        <v>25.139520822311241</v>
      </c>
      <c r="J1300" s="59">
        <v>0</v>
      </c>
      <c r="K1300" s="59">
        <v>0</v>
      </c>
      <c r="L1300" s="59">
        <v>0</v>
      </c>
      <c r="M1300" s="59">
        <f t="shared" si="42"/>
        <v>40.255536240646968</v>
      </c>
    </row>
    <row r="1301" spans="1:13" outlineLevel="2">
      <c r="A1301" s="138">
        <v>46174</v>
      </c>
      <c r="B1301" s="1" t="s">
        <v>1690</v>
      </c>
      <c r="C1301" s="346">
        <v>520711099784</v>
      </c>
      <c r="D1301" s="341" t="s">
        <v>45</v>
      </c>
      <c r="E1301" s="367">
        <v>24.5</v>
      </c>
      <c r="F1301" s="1"/>
      <c r="G1301" s="59">
        <v>0</v>
      </c>
      <c r="H1301" s="59">
        <v>15.116015418335726</v>
      </c>
      <c r="I1301" s="59">
        <v>0</v>
      </c>
      <c r="J1301" s="59">
        <v>0</v>
      </c>
      <c r="K1301" s="59">
        <v>0</v>
      </c>
      <c r="L1301" s="59">
        <v>0</v>
      </c>
      <c r="M1301" s="59">
        <f t="shared" si="42"/>
        <v>15.116015418335726</v>
      </c>
    </row>
    <row r="1302" spans="1:13" outlineLevel="2">
      <c r="A1302" s="138">
        <v>46174</v>
      </c>
      <c r="B1302" s="1" t="s">
        <v>2330</v>
      </c>
      <c r="C1302" s="346">
        <v>522962232193</v>
      </c>
      <c r="D1302" s="341" t="s">
        <v>45</v>
      </c>
      <c r="E1302" s="367">
        <v>3.9</v>
      </c>
      <c r="F1302" s="1"/>
      <c r="G1302" s="59">
        <v>0</v>
      </c>
      <c r="H1302" s="59">
        <v>15.116015418335726</v>
      </c>
      <c r="I1302" s="59">
        <v>0</v>
      </c>
      <c r="J1302" s="59">
        <v>0</v>
      </c>
      <c r="K1302" s="59">
        <v>0</v>
      </c>
      <c r="L1302" s="59">
        <v>0</v>
      </c>
      <c r="M1302" s="59">
        <f t="shared" si="42"/>
        <v>15.116015418335726</v>
      </c>
    </row>
    <row r="1303" spans="1:13" outlineLevel="2">
      <c r="A1303" s="138">
        <v>46174</v>
      </c>
      <c r="B1303" s="1" t="s">
        <v>2328</v>
      </c>
      <c r="C1303" s="346">
        <v>522962232219</v>
      </c>
      <c r="D1303" s="341" t="s">
        <v>45</v>
      </c>
      <c r="E1303" s="367">
        <v>11.4</v>
      </c>
      <c r="F1303" s="1"/>
      <c r="G1303" s="59">
        <v>0</v>
      </c>
      <c r="H1303" s="59">
        <v>15.116015418335726</v>
      </c>
      <c r="I1303" s="59">
        <v>0</v>
      </c>
      <c r="J1303" s="59">
        <v>0</v>
      </c>
      <c r="K1303" s="59">
        <v>0</v>
      </c>
      <c r="L1303" s="59">
        <v>0</v>
      </c>
      <c r="M1303" s="59">
        <f t="shared" si="42"/>
        <v>15.116015418335726</v>
      </c>
    </row>
    <row r="1304" spans="1:13" outlineLevel="2">
      <c r="A1304" s="138">
        <v>46174</v>
      </c>
      <c r="B1304" s="1" t="s">
        <v>964</v>
      </c>
      <c r="C1304" s="346">
        <v>523488275340</v>
      </c>
      <c r="D1304" s="341" t="s">
        <v>655</v>
      </c>
      <c r="E1304" s="367">
        <v>6.1</v>
      </c>
      <c r="F1304" s="1"/>
      <c r="G1304" s="59">
        <v>0</v>
      </c>
      <c r="H1304" s="59">
        <v>0</v>
      </c>
      <c r="I1304" s="59">
        <v>36.405335953442673</v>
      </c>
      <c r="J1304" s="59">
        <v>0</v>
      </c>
      <c r="K1304" s="59">
        <v>0</v>
      </c>
      <c r="L1304" s="59">
        <v>0</v>
      </c>
      <c r="M1304" s="59">
        <f t="shared" si="42"/>
        <v>36.405335953442673</v>
      </c>
    </row>
    <row r="1305" spans="1:13" outlineLevel="2">
      <c r="A1305" s="138">
        <v>46174</v>
      </c>
      <c r="B1305" s="1" t="s">
        <v>2711</v>
      </c>
      <c r="C1305" s="346">
        <v>525688603100</v>
      </c>
      <c r="D1305" s="341" t="s">
        <v>45</v>
      </c>
      <c r="E1305" s="367">
        <v>1.2</v>
      </c>
      <c r="F1305" s="1"/>
      <c r="G1305" s="59">
        <v>0</v>
      </c>
      <c r="H1305" s="59">
        <v>15.116015418335726</v>
      </c>
      <c r="I1305" s="59">
        <v>0</v>
      </c>
      <c r="J1305" s="59">
        <v>0</v>
      </c>
      <c r="K1305" s="59">
        <v>0</v>
      </c>
      <c r="L1305" s="59">
        <v>0</v>
      </c>
      <c r="M1305" s="59">
        <f t="shared" si="42"/>
        <v>15.116015418335726</v>
      </c>
    </row>
    <row r="1306" spans="1:13" outlineLevel="2">
      <c r="A1306" s="138">
        <v>46174</v>
      </c>
      <c r="B1306" s="1" t="s">
        <v>2711</v>
      </c>
      <c r="C1306" s="346">
        <v>525688608720</v>
      </c>
      <c r="D1306" s="341" t="s">
        <v>45</v>
      </c>
      <c r="E1306" s="367">
        <v>6.5</v>
      </c>
      <c r="F1306" s="1"/>
      <c r="G1306" s="59">
        <v>0</v>
      </c>
      <c r="H1306" s="59">
        <v>15.116015418335726</v>
      </c>
      <c r="I1306" s="59">
        <v>0</v>
      </c>
      <c r="J1306" s="59">
        <v>0</v>
      </c>
      <c r="K1306" s="59">
        <v>0</v>
      </c>
      <c r="L1306" s="59">
        <v>0</v>
      </c>
      <c r="M1306" s="59">
        <f t="shared" si="42"/>
        <v>15.116015418335726</v>
      </c>
    </row>
    <row r="1307" spans="1:13" outlineLevel="2">
      <c r="A1307" s="138">
        <v>46174</v>
      </c>
      <c r="B1307" s="1" t="s">
        <v>809</v>
      </c>
      <c r="C1307" s="346">
        <v>527529836679</v>
      </c>
      <c r="D1307" s="341" t="s">
        <v>655</v>
      </c>
      <c r="E1307" s="367">
        <v>0.5</v>
      </c>
      <c r="F1307" s="1"/>
      <c r="G1307" s="59">
        <v>0</v>
      </c>
      <c r="H1307" s="59">
        <v>15.116015418335726</v>
      </c>
      <c r="I1307" s="59">
        <v>21.086312448038697</v>
      </c>
      <c r="J1307" s="59">
        <v>0</v>
      </c>
      <c r="K1307" s="59">
        <v>0</v>
      </c>
      <c r="L1307" s="59">
        <v>0</v>
      </c>
      <c r="M1307" s="59">
        <f t="shared" si="42"/>
        <v>36.202327866374425</v>
      </c>
    </row>
    <row r="1308" spans="1:13" outlineLevel="2">
      <c r="A1308" s="138">
        <v>46174</v>
      </c>
      <c r="B1308" s="1" t="s">
        <v>945</v>
      </c>
      <c r="C1308" s="346">
        <v>707296361164</v>
      </c>
      <c r="D1308" s="341" t="s">
        <v>45</v>
      </c>
      <c r="E1308" s="367">
        <v>20</v>
      </c>
      <c r="F1308" s="1"/>
      <c r="G1308" s="59">
        <v>0</v>
      </c>
      <c r="H1308" s="59">
        <v>15.116015418335726</v>
      </c>
      <c r="I1308" s="59">
        <v>0</v>
      </c>
      <c r="J1308" s="59">
        <v>0</v>
      </c>
      <c r="K1308" s="59">
        <v>0</v>
      </c>
      <c r="L1308" s="59">
        <v>0</v>
      </c>
      <c r="M1308" s="59">
        <f t="shared" si="42"/>
        <v>15.116015418335726</v>
      </c>
    </row>
    <row r="1309" spans="1:13" outlineLevel="2">
      <c r="A1309" s="138">
        <v>46174</v>
      </c>
      <c r="B1309" s="1" t="s">
        <v>2513</v>
      </c>
      <c r="C1309" s="346">
        <v>815918865136</v>
      </c>
      <c r="D1309" s="341" t="s">
        <v>45</v>
      </c>
      <c r="E1309" s="367">
        <v>0.60000000000000009</v>
      </c>
      <c r="F1309" s="1"/>
      <c r="G1309" s="59">
        <v>0</v>
      </c>
      <c r="H1309" s="59">
        <v>15.116015418335726</v>
      </c>
      <c r="I1309" s="59">
        <v>0</v>
      </c>
      <c r="J1309" s="59">
        <v>0</v>
      </c>
      <c r="K1309" s="59">
        <v>0</v>
      </c>
      <c r="L1309" s="59">
        <v>0</v>
      </c>
      <c r="M1309" s="59">
        <f t="shared" si="42"/>
        <v>15.116015418335726</v>
      </c>
    </row>
    <row r="1310" spans="1:13" outlineLevel="2">
      <c r="A1310" s="138">
        <v>46174</v>
      </c>
      <c r="B1310" s="1" t="s">
        <v>2165</v>
      </c>
      <c r="C1310" s="346">
        <v>818547865244</v>
      </c>
      <c r="D1310" s="341" t="s">
        <v>655</v>
      </c>
      <c r="E1310" s="367">
        <v>9.6</v>
      </c>
      <c r="F1310" s="1"/>
      <c r="G1310" s="59">
        <v>0</v>
      </c>
      <c r="H1310" s="59">
        <v>15.116015418335726</v>
      </c>
      <c r="I1310" s="59">
        <v>47.293137329000075</v>
      </c>
      <c r="J1310" s="59">
        <v>0</v>
      </c>
      <c r="K1310" s="59">
        <v>0</v>
      </c>
      <c r="L1310" s="59">
        <v>0</v>
      </c>
      <c r="M1310" s="59">
        <f t="shared" si="42"/>
        <v>62.409152747335803</v>
      </c>
    </row>
    <row r="1311" spans="1:13" outlineLevel="2">
      <c r="A1311" s="138">
        <v>46174</v>
      </c>
      <c r="B1311" s="1" t="s">
        <v>2165</v>
      </c>
      <c r="C1311" s="346">
        <v>818547865266</v>
      </c>
      <c r="D1311" s="341" t="s">
        <v>655</v>
      </c>
      <c r="E1311" s="367">
        <v>3.8</v>
      </c>
      <c r="F1311" s="1"/>
      <c r="G1311" s="59">
        <v>0</v>
      </c>
      <c r="H1311" s="59">
        <v>15.116015418335726</v>
      </c>
      <c r="I1311" s="59">
        <v>28.468331947698587</v>
      </c>
      <c r="J1311" s="59">
        <v>0</v>
      </c>
      <c r="K1311" s="59">
        <v>0</v>
      </c>
      <c r="L1311" s="59">
        <v>0</v>
      </c>
      <c r="M1311" s="59">
        <f t="shared" si="42"/>
        <v>43.584347366034315</v>
      </c>
    </row>
    <row r="1312" spans="1:13" outlineLevel="2">
      <c r="A1312" s="138">
        <v>46174</v>
      </c>
      <c r="B1312" s="1" t="s">
        <v>1481</v>
      </c>
      <c r="C1312" s="346">
        <v>871631098639</v>
      </c>
      <c r="D1312" s="341" t="s">
        <v>655</v>
      </c>
      <c r="E1312" s="367">
        <v>72.7</v>
      </c>
      <c r="F1312" s="1"/>
      <c r="G1312" s="59">
        <v>0</v>
      </c>
      <c r="H1312" s="59">
        <v>0</v>
      </c>
      <c r="I1312" s="59">
        <v>194.59931222129848</v>
      </c>
      <c r="J1312" s="59">
        <v>0</v>
      </c>
      <c r="K1312" s="59">
        <v>0</v>
      </c>
      <c r="L1312" s="59">
        <v>0</v>
      </c>
      <c r="M1312" s="59">
        <f t="shared" si="42"/>
        <v>194.59931222129848</v>
      </c>
    </row>
    <row r="1313" spans="1:13" outlineLevel="2">
      <c r="A1313" s="138">
        <v>46174</v>
      </c>
      <c r="B1313" s="1" t="s">
        <v>374</v>
      </c>
      <c r="C1313" s="346">
        <v>871900877860</v>
      </c>
      <c r="D1313" s="341" t="s">
        <v>655</v>
      </c>
      <c r="E1313" s="367">
        <v>3.2</v>
      </c>
      <c r="F1313" s="1"/>
      <c r="G1313" s="59">
        <v>0</v>
      </c>
      <c r="H1313" s="59">
        <v>0</v>
      </c>
      <c r="I1313" s="59">
        <v>28.542362633209887</v>
      </c>
      <c r="J1313" s="59">
        <v>0</v>
      </c>
      <c r="K1313" s="59">
        <v>0</v>
      </c>
      <c r="L1313" s="59">
        <v>0</v>
      </c>
      <c r="M1313" s="59">
        <f t="shared" si="42"/>
        <v>28.542362633209887</v>
      </c>
    </row>
    <row r="1314" spans="1:13" outlineLevel="2">
      <c r="A1314" s="138">
        <v>46174</v>
      </c>
      <c r="B1314" s="1" t="s">
        <v>799</v>
      </c>
      <c r="C1314" s="346">
        <v>871914884033</v>
      </c>
      <c r="D1314" s="341" t="s">
        <v>655</v>
      </c>
      <c r="E1314" s="367">
        <v>10.5</v>
      </c>
      <c r="F1314" s="1"/>
      <c r="G1314" s="59">
        <v>0</v>
      </c>
      <c r="H1314" s="59">
        <v>0</v>
      </c>
      <c r="I1314" s="59">
        <v>50.559368150555514</v>
      </c>
      <c r="J1314" s="59">
        <v>0</v>
      </c>
      <c r="K1314" s="59">
        <v>0</v>
      </c>
      <c r="L1314" s="59">
        <v>0</v>
      </c>
      <c r="M1314" s="59">
        <f t="shared" si="42"/>
        <v>50.559368150555514</v>
      </c>
    </row>
    <row r="1315" spans="1:13" outlineLevel="2">
      <c r="A1315" s="138">
        <v>46174</v>
      </c>
      <c r="B1315" s="1" t="s">
        <v>379</v>
      </c>
      <c r="C1315" s="346">
        <v>872204578996</v>
      </c>
      <c r="D1315" s="341" t="s">
        <v>655</v>
      </c>
      <c r="E1315" s="367">
        <v>21.2</v>
      </c>
      <c r="F1315" s="1"/>
      <c r="G1315" s="59">
        <v>0</v>
      </c>
      <c r="H1315" s="59">
        <v>15.116015418335726</v>
      </c>
      <c r="I1315" s="59">
        <v>72.606908019046173</v>
      </c>
      <c r="J1315" s="59">
        <v>0</v>
      </c>
      <c r="K1315" s="59">
        <v>0</v>
      </c>
      <c r="L1315" s="59">
        <v>0</v>
      </c>
      <c r="M1315" s="59">
        <f t="shared" si="42"/>
        <v>87.722923437381894</v>
      </c>
    </row>
    <row r="1316" spans="1:13" outlineLevel="2">
      <c r="A1316" s="138">
        <v>46174</v>
      </c>
      <c r="B1316" s="1" t="s">
        <v>981</v>
      </c>
      <c r="C1316" s="346">
        <v>872406182036</v>
      </c>
      <c r="D1316" s="341" t="s">
        <v>45</v>
      </c>
      <c r="E1316" s="367">
        <v>11.7</v>
      </c>
      <c r="F1316" s="1"/>
      <c r="G1316" s="59">
        <v>0</v>
      </c>
      <c r="H1316" s="59">
        <v>15.116015418335726</v>
      </c>
      <c r="I1316" s="59">
        <v>0</v>
      </c>
      <c r="J1316" s="59">
        <v>0</v>
      </c>
      <c r="K1316" s="59">
        <v>0</v>
      </c>
      <c r="L1316" s="59">
        <v>0</v>
      </c>
      <c r="M1316" s="59">
        <f t="shared" si="42"/>
        <v>15.116015418335726</v>
      </c>
    </row>
    <row r="1317" spans="1:13" outlineLevel="2">
      <c r="A1317" s="138">
        <v>46174</v>
      </c>
      <c r="B1317" s="1" t="s">
        <v>802</v>
      </c>
      <c r="C1317" s="346">
        <v>873058440876</v>
      </c>
      <c r="D1317" s="341" t="s">
        <v>655</v>
      </c>
      <c r="E1317" s="367">
        <v>17.100000000000001</v>
      </c>
      <c r="F1317" s="1"/>
      <c r="G1317" s="59">
        <v>0</v>
      </c>
      <c r="H1317" s="59">
        <v>15.116015418335726</v>
      </c>
      <c r="I1317" s="59">
        <v>80.390900158718168</v>
      </c>
      <c r="J1317" s="59">
        <v>0</v>
      </c>
      <c r="K1317" s="59">
        <v>0</v>
      </c>
      <c r="L1317" s="59">
        <v>0</v>
      </c>
      <c r="M1317" s="59">
        <f t="shared" si="42"/>
        <v>95.506915577053888</v>
      </c>
    </row>
    <row r="1318" spans="1:13" outlineLevel="2">
      <c r="A1318" s="138">
        <v>46174</v>
      </c>
      <c r="B1318" s="1" t="s">
        <v>2040</v>
      </c>
      <c r="C1318" s="346">
        <v>873326865634</v>
      </c>
      <c r="D1318" s="341" t="s">
        <v>45</v>
      </c>
      <c r="E1318" s="367">
        <v>21.7</v>
      </c>
      <c r="F1318" s="1"/>
      <c r="G1318" s="59">
        <v>0</v>
      </c>
      <c r="H1318" s="59">
        <v>15.116015418335726</v>
      </c>
      <c r="I1318" s="59">
        <v>0</v>
      </c>
      <c r="J1318" s="59">
        <v>0</v>
      </c>
      <c r="K1318" s="59">
        <v>0</v>
      </c>
      <c r="L1318" s="59">
        <v>0</v>
      </c>
      <c r="M1318" s="59">
        <f t="shared" si="42"/>
        <v>15.116015418335726</v>
      </c>
    </row>
    <row r="1319" spans="1:13" outlineLevel="2">
      <c r="A1319" s="138">
        <v>46174</v>
      </c>
      <c r="B1319" s="1" t="s">
        <v>378</v>
      </c>
      <c r="C1319" s="346" t="s">
        <v>2316</v>
      </c>
      <c r="D1319" s="341" t="s">
        <v>933</v>
      </c>
      <c r="E1319" s="367">
        <v>117</v>
      </c>
      <c r="F1319" s="1">
        <v>1</v>
      </c>
      <c r="G1319" s="59">
        <v>0</v>
      </c>
      <c r="H1319" s="59">
        <v>15.116015418335726</v>
      </c>
      <c r="I1319" s="59">
        <v>422.84634570327262</v>
      </c>
      <c r="J1319" s="59">
        <v>0</v>
      </c>
      <c r="K1319" s="59">
        <v>0</v>
      </c>
      <c r="L1319" s="59">
        <v>17.876199833723831</v>
      </c>
      <c r="M1319" s="59">
        <f t="shared" si="42"/>
        <v>455.83856095533218</v>
      </c>
    </row>
    <row r="1320" spans="1:13" outlineLevel="2">
      <c r="A1320" s="138">
        <v>46174</v>
      </c>
      <c r="B1320" s="1" t="s">
        <v>801</v>
      </c>
      <c r="C1320" s="346" t="s">
        <v>2307</v>
      </c>
      <c r="D1320" s="341" t="s">
        <v>933</v>
      </c>
      <c r="E1320" s="367">
        <v>117.1</v>
      </c>
      <c r="F1320" s="1">
        <v>1.44</v>
      </c>
      <c r="G1320" s="59">
        <v>0</v>
      </c>
      <c r="H1320" s="59">
        <v>15.116015418335726</v>
      </c>
      <c r="I1320" s="59">
        <v>326.26983599123275</v>
      </c>
      <c r="J1320" s="59">
        <v>0</v>
      </c>
      <c r="K1320" s="59">
        <v>0</v>
      </c>
      <c r="L1320" s="59">
        <v>24.773637669110421</v>
      </c>
      <c r="M1320" s="59">
        <f t="shared" si="42"/>
        <v>366.15948907867892</v>
      </c>
    </row>
    <row r="1321" spans="1:13" outlineLevel="2">
      <c r="A1321" s="138">
        <v>46174</v>
      </c>
      <c r="B1321" s="1" t="s">
        <v>833</v>
      </c>
      <c r="C1321" s="346" t="s">
        <v>3025</v>
      </c>
      <c r="D1321" s="341" t="s">
        <v>933</v>
      </c>
      <c r="E1321" s="367">
        <v>794.6</v>
      </c>
      <c r="F1321" s="1">
        <v>7.81</v>
      </c>
      <c r="G1321" s="59">
        <v>77.469579018970606</v>
      </c>
      <c r="H1321" s="59">
        <v>20.406620814753232</v>
      </c>
      <c r="I1321" s="59">
        <v>919.08215554379865</v>
      </c>
      <c r="J1321" s="59">
        <v>0</v>
      </c>
      <c r="K1321" s="59">
        <v>0</v>
      </c>
      <c r="L1321" s="59">
        <v>176.91519915350304</v>
      </c>
      <c r="M1321" s="59">
        <f t="shared" si="42"/>
        <v>1193.8735545310255</v>
      </c>
    </row>
    <row r="1322" spans="1:13" outlineLevel="2">
      <c r="A1322" s="138">
        <v>46174</v>
      </c>
      <c r="B1322" s="1" t="s">
        <v>181</v>
      </c>
      <c r="C1322" s="346" t="s">
        <v>3027</v>
      </c>
      <c r="D1322" s="341" t="s">
        <v>933</v>
      </c>
      <c r="E1322" s="367">
        <v>1580</v>
      </c>
      <c r="F1322" s="1">
        <v>8.9</v>
      </c>
      <c r="G1322" s="59">
        <v>47.237548182299143</v>
      </c>
      <c r="H1322" s="59">
        <v>20.406620814753232</v>
      </c>
      <c r="I1322" s="59">
        <v>340.85473509182981</v>
      </c>
      <c r="J1322" s="59">
        <v>0</v>
      </c>
      <c r="K1322" s="59">
        <v>0</v>
      </c>
      <c r="L1322" s="59">
        <v>182.83546217217139</v>
      </c>
      <c r="M1322" s="59">
        <f t="shared" si="42"/>
        <v>591.33436626105356</v>
      </c>
    </row>
    <row r="1323" spans="1:13" outlineLevel="2">
      <c r="A1323" s="138">
        <v>46174</v>
      </c>
      <c r="B1323" s="1" t="s">
        <v>298</v>
      </c>
      <c r="C1323" s="346" t="s">
        <v>2320</v>
      </c>
      <c r="D1323" s="341" t="s">
        <v>933</v>
      </c>
      <c r="E1323" s="367">
        <v>933.5</v>
      </c>
      <c r="F1323" s="1">
        <v>12.1</v>
      </c>
      <c r="G1323" s="59">
        <v>162.49716574710905</v>
      </c>
      <c r="H1323" s="59">
        <v>15.116015418335726</v>
      </c>
      <c r="I1323" s="59">
        <v>483.51755725190839</v>
      </c>
      <c r="J1323" s="59">
        <v>0</v>
      </c>
      <c r="K1323" s="59">
        <v>0</v>
      </c>
      <c r="L1323" s="59">
        <v>167.84445620134534</v>
      </c>
      <c r="M1323" s="59">
        <f t="shared" si="42"/>
        <v>828.97519461869854</v>
      </c>
    </row>
    <row r="1324" spans="1:13" outlineLevel="2">
      <c r="A1324" s="138">
        <v>46174</v>
      </c>
      <c r="B1324" s="1" t="s">
        <v>528</v>
      </c>
      <c r="C1324" s="346" t="s">
        <v>2343</v>
      </c>
      <c r="D1324" s="341" t="s">
        <v>933</v>
      </c>
      <c r="E1324" s="367">
        <v>100.5</v>
      </c>
      <c r="F1324" s="1">
        <v>1.04</v>
      </c>
      <c r="G1324" s="59">
        <v>0</v>
      </c>
      <c r="H1324" s="59">
        <v>15.116015418335726</v>
      </c>
      <c r="I1324" s="59">
        <v>582.29556647267782</v>
      </c>
      <c r="J1324" s="59">
        <v>0</v>
      </c>
      <c r="K1324" s="59">
        <v>0</v>
      </c>
      <c r="L1324" s="59">
        <v>23.732900007558008</v>
      </c>
      <c r="M1324" s="59">
        <f t="shared" si="42"/>
        <v>621.14448189857148</v>
      </c>
    </row>
    <row r="1325" spans="1:13" outlineLevel="2">
      <c r="A1325" s="138">
        <v>46174</v>
      </c>
      <c r="B1325" s="1" t="s">
        <v>940</v>
      </c>
      <c r="C1325" s="346" t="s">
        <v>2283</v>
      </c>
      <c r="D1325" s="341" t="s">
        <v>65</v>
      </c>
      <c r="E1325" s="367">
        <v>129</v>
      </c>
      <c r="F1325" s="1"/>
      <c r="G1325" s="59">
        <v>22.674023127503592</v>
      </c>
      <c r="H1325" s="59">
        <v>15.116015418335726</v>
      </c>
      <c r="I1325" s="59">
        <v>0</v>
      </c>
      <c r="J1325" s="59">
        <v>0</v>
      </c>
      <c r="K1325" s="59">
        <v>0</v>
      </c>
      <c r="L1325" s="59">
        <v>69.311087597309339</v>
      </c>
      <c r="M1325" s="59">
        <f t="shared" si="42"/>
        <v>107.10112614314866</v>
      </c>
    </row>
    <row r="1326" spans="1:13" outlineLevel="2">
      <c r="A1326" s="138">
        <v>46174</v>
      </c>
      <c r="B1326" s="1" t="s">
        <v>958</v>
      </c>
      <c r="C1326" s="346" t="s">
        <v>2788</v>
      </c>
      <c r="D1326" s="341" t="s">
        <v>65</v>
      </c>
      <c r="E1326" s="367">
        <v>175</v>
      </c>
      <c r="F1326" s="1"/>
      <c r="G1326" s="59">
        <v>22.674023127503592</v>
      </c>
      <c r="H1326" s="59">
        <v>15.116015418335726</v>
      </c>
      <c r="I1326" s="59">
        <v>0</v>
      </c>
      <c r="J1326" s="59">
        <v>0</v>
      </c>
      <c r="K1326" s="59">
        <v>0</v>
      </c>
      <c r="L1326" s="59">
        <v>69.134797067493011</v>
      </c>
      <c r="M1326" s="59">
        <f t="shared" si="42"/>
        <v>106.92483561333233</v>
      </c>
    </row>
    <row r="1327" spans="1:13" outlineLevel="2">
      <c r="A1327" s="138">
        <v>46174</v>
      </c>
      <c r="B1327" s="1" t="s">
        <v>183</v>
      </c>
      <c r="C1327" s="346" t="s">
        <v>2752</v>
      </c>
      <c r="D1327" s="341" t="s">
        <v>1866</v>
      </c>
      <c r="E1327" s="367">
        <v>2038.31</v>
      </c>
      <c r="F1327" s="1"/>
      <c r="G1327" s="59">
        <v>0</v>
      </c>
      <c r="H1327" s="59">
        <v>15.116015418335726</v>
      </c>
      <c r="I1327" s="59">
        <v>0</v>
      </c>
      <c r="J1327" s="59">
        <v>0</v>
      </c>
      <c r="K1327" s="59">
        <v>0</v>
      </c>
      <c r="L1327" s="59">
        <v>0</v>
      </c>
      <c r="M1327" s="59">
        <f t="shared" si="42"/>
        <v>15.116015418335726</v>
      </c>
    </row>
    <row r="1328" spans="1:13" outlineLevel="2">
      <c r="A1328" s="138">
        <v>46174</v>
      </c>
      <c r="B1328" s="1" t="s">
        <v>2954</v>
      </c>
      <c r="C1328" s="346" t="s">
        <v>2953</v>
      </c>
      <c r="D1328" s="341" t="s">
        <v>1333</v>
      </c>
      <c r="E1328" s="367">
        <v>4137.55</v>
      </c>
      <c r="F1328" s="1"/>
      <c r="G1328" s="59">
        <v>0</v>
      </c>
      <c r="H1328" s="59">
        <v>15.116015418335726</v>
      </c>
      <c r="I1328" s="59">
        <v>0</v>
      </c>
      <c r="J1328" s="59">
        <v>0</v>
      </c>
      <c r="K1328" s="59">
        <v>0</v>
      </c>
      <c r="L1328" s="59">
        <v>0</v>
      </c>
      <c r="M1328" s="59">
        <f t="shared" si="42"/>
        <v>15.116015418335726</v>
      </c>
    </row>
    <row r="1329" spans="1:13" outlineLevel="1">
      <c r="A1329" s="138" t="s">
        <v>3046</v>
      </c>
      <c r="B1329" s="1"/>
      <c r="C1329" s="346"/>
      <c r="D1329" s="1"/>
      <c r="E1329" s="1">
        <f t="shared" ref="E1329:M1329" si="43">SUBTOTAL(9,E1242:E1328)</f>
        <v>13961.560000000001</v>
      </c>
      <c r="F1329" s="1">
        <f t="shared" si="43"/>
        <v>32.29</v>
      </c>
      <c r="G1329" s="59">
        <f t="shared" si="43"/>
        <v>332.55233920338594</v>
      </c>
      <c r="H1329" s="59">
        <f t="shared" si="43"/>
        <v>1318.1173939989417</v>
      </c>
      <c r="I1329" s="59">
        <f t="shared" si="43"/>
        <v>5786.4454056949598</v>
      </c>
      <c r="J1329" s="59">
        <f t="shared" si="43"/>
        <v>0</v>
      </c>
      <c r="K1329" s="59">
        <f t="shared" si="43"/>
        <v>66.66</v>
      </c>
      <c r="L1329" s="59">
        <f t="shared" si="43"/>
        <v>732.42373970221433</v>
      </c>
      <c r="M1329" s="59">
        <f t="shared" si="43"/>
        <v>8236.1988785995018</v>
      </c>
    </row>
    <row r="1330" spans="1:13" outlineLevel="1">
      <c r="A1330" s="138" t="s">
        <v>893</v>
      </c>
      <c r="B1330" s="1"/>
      <c r="C1330" s="346"/>
      <c r="D1330" s="1"/>
      <c r="E1330" s="1">
        <f t="shared" ref="E1330:M1330" si="44">SUBTOTAL(9,E412:E1328)</f>
        <v>325522.38300000009</v>
      </c>
      <c r="F1330" s="1">
        <f t="shared" si="44"/>
        <v>1697.0900000000006</v>
      </c>
      <c r="G1330" s="59">
        <f t="shared" si="44"/>
        <v>13816.527813008906</v>
      </c>
      <c r="H1330" s="59">
        <f t="shared" si="44"/>
        <v>24711.716330692096</v>
      </c>
      <c r="I1330" s="59">
        <f t="shared" si="44"/>
        <v>232852.13115295061</v>
      </c>
      <c r="J1330" s="59">
        <f t="shared" si="44"/>
        <v>0</v>
      </c>
      <c r="K1330" s="59">
        <f t="shared" si="44"/>
        <v>24301.779832498294</v>
      </c>
      <c r="L1330" s="59">
        <f t="shared" si="44"/>
        <v>11379.642641508892</v>
      </c>
      <c r="M1330" s="59">
        <f t="shared" si="44"/>
        <v>307061.79777065641</v>
      </c>
    </row>
    <row r="1331" spans="1:13" outlineLevel="1">
      <c r="A1331" s="535"/>
      <c r="G1331" s="82"/>
      <c r="H1331" s="82"/>
      <c r="I1331" s="82"/>
      <c r="J1331" s="82"/>
      <c r="K1331" s="82"/>
      <c r="L1331" s="82"/>
      <c r="M1331" s="82"/>
    </row>
    <row r="1332" spans="1:13" outlineLevel="1">
      <c r="A1332" s="535"/>
      <c r="G1332" s="82"/>
      <c r="H1332" s="82"/>
      <c r="I1332" s="82"/>
      <c r="J1332" s="82"/>
      <c r="K1332" s="82"/>
      <c r="L1332" s="82"/>
      <c r="M1332" s="82"/>
    </row>
    <row r="1333" spans="1:13" outlineLevel="1">
      <c r="A1333" s="535"/>
      <c r="G1333" s="82"/>
      <c r="H1333" s="82"/>
      <c r="I1333" s="82"/>
      <c r="J1333" s="82"/>
      <c r="K1333" s="82"/>
      <c r="L1333" s="82"/>
      <c r="M1333" s="82"/>
    </row>
    <row r="1334" spans="1:13" outlineLevel="1">
      <c r="A1334" s="535"/>
      <c r="G1334" s="82"/>
      <c r="H1334" s="82"/>
      <c r="I1334" s="82"/>
      <c r="J1334" s="82"/>
      <c r="K1334" s="82"/>
      <c r="L1334" s="82"/>
      <c r="M1334" s="82"/>
    </row>
    <row r="1335" spans="1:13" outlineLevel="1">
      <c r="A1335" s="535"/>
      <c r="G1335" s="82"/>
      <c r="H1335" s="82"/>
      <c r="I1335" s="82"/>
      <c r="J1335" s="82"/>
      <c r="K1335" s="82"/>
      <c r="L1335" s="82"/>
      <c r="M1335" s="82"/>
    </row>
    <row r="1336" spans="1:13" outlineLevel="1">
      <c r="A1336" s="535"/>
      <c r="G1336" s="82"/>
      <c r="H1336" s="82"/>
      <c r="I1336" s="82"/>
      <c r="J1336" s="82"/>
      <c r="K1336" s="82"/>
      <c r="L1336" s="82"/>
      <c r="M1336" s="82"/>
    </row>
    <row r="1337" spans="1:13" outlineLevel="1">
      <c r="A1337" s="535"/>
      <c r="G1337" s="82"/>
      <c r="H1337" s="82"/>
      <c r="I1337" s="82"/>
      <c r="J1337" s="82"/>
      <c r="K1337" s="82"/>
      <c r="L1337" s="82"/>
      <c r="M1337" s="82"/>
    </row>
    <row r="1338" spans="1:13" outlineLevel="1">
      <c r="A1338" s="535"/>
      <c r="G1338" s="82"/>
      <c r="H1338" s="82"/>
      <c r="I1338" s="82"/>
      <c r="J1338" s="82"/>
      <c r="K1338" s="82"/>
      <c r="L1338" s="82"/>
      <c r="M1338" s="82"/>
    </row>
    <row r="1339" spans="1:13" outlineLevel="1">
      <c r="A1339" s="535"/>
      <c r="G1339" s="82"/>
      <c r="H1339" s="82"/>
      <c r="I1339" s="82"/>
      <c r="J1339" s="82"/>
      <c r="K1339" s="82"/>
      <c r="L1339" s="82"/>
      <c r="M1339" s="82"/>
    </row>
    <row r="1340" spans="1:13" outlineLevel="1">
      <c r="A1340" s="535"/>
      <c r="G1340" s="82"/>
      <c r="H1340" s="82"/>
      <c r="I1340" s="82"/>
      <c r="J1340" s="82"/>
      <c r="K1340" s="82"/>
      <c r="L1340" s="82"/>
      <c r="M1340" s="82"/>
    </row>
    <row r="1341" spans="1:13" outlineLevel="1">
      <c r="A1341" s="535"/>
      <c r="G1341" s="82"/>
      <c r="H1341" s="82"/>
      <c r="I1341" s="82"/>
      <c r="J1341" s="82"/>
      <c r="K1341" s="82"/>
      <c r="L1341" s="82"/>
      <c r="M1341" s="82"/>
    </row>
    <row r="1342" spans="1:13" outlineLevel="1">
      <c r="A1342" s="535"/>
      <c r="G1342" s="82"/>
      <c r="H1342" s="82"/>
      <c r="I1342" s="82"/>
      <c r="J1342" s="82"/>
      <c r="K1342" s="82"/>
      <c r="L1342" s="82"/>
      <c r="M1342" s="82"/>
    </row>
    <row r="1343" spans="1:13" outlineLevel="1">
      <c r="A1343" s="535"/>
      <c r="G1343" s="82"/>
      <c r="H1343" s="82"/>
      <c r="I1343" s="82"/>
      <c r="J1343" s="82"/>
      <c r="K1343" s="82"/>
      <c r="L1343" s="82"/>
      <c r="M1343" s="82"/>
    </row>
    <row r="1344" spans="1:13" outlineLevel="1">
      <c r="A1344" s="535"/>
      <c r="G1344" s="82"/>
      <c r="H1344" s="82"/>
      <c r="I1344" s="82"/>
      <c r="J1344" s="82"/>
      <c r="K1344" s="82"/>
      <c r="L1344" s="82"/>
      <c r="M1344" s="82"/>
    </row>
    <row r="1345" spans="1:13" outlineLevel="1">
      <c r="A1345" s="535"/>
      <c r="G1345" s="82"/>
      <c r="H1345" s="82"/>
      <c r="I1345" s="82"/>
      <c r="J1345" s="82"/>
      <c r="K1345" s="82"/>
      <c r="L1345" s="82"/>
      <c r="M1345" s="82"/>
    </row>
    <row r="1346" spans="1:13" outlineLevel="1">
      <c r="A1346" s="535"/>
      <c r="G1346" s="82"/>
      <c r="H1346" s="82"/>
      <c r="I1346" s="82"/>
      <c r="J1346" s="82"/>
      <c r="K1346" s="82"/>
      <c r="L1346" s="82"/>
      <c r="M1346" s="82"/>
    </row>
    <row r="1347" spans="1:13" outlineLevel="1">
      <c r="A1347" s="535"/>
      <c r="G1347" s="82"/>
      <c r="H1347" s="82"/>
      <c r="I1347" s="82"/>
      <c r="J1347" s="82"/>
      <c r="K1347" s="82"/>
      <c r="L1347" s="82"/>
      <c r="M1347" s="82"/>
    </row>
    <row r="1348" spans="1:13" outlineLevel="1">
      <c r="A1348" s="535"/>
      <c r="G1348" s="82"/>
      <c r="H1348" s="82"/>
      <c r="I1348" s="82"/>
      <c r="J1348" s="82"/>
      <c r="K1348" s="82"/>
      <c r="L1348" s="82"/>
      <c r="M1348" s="82"/>
    </row>
    <row r="1349" spans="1:13" outlineLevel="1">
      <c r="A1349" s="535"/>
      <c r="G1349" s="82"/>
      <c r="H1349" s="82"/>
      <c r="I1349" s="82"/>
      <c r="J1349" s="82"/>
      <c r="K1349" s="82"/>
      <c r="L1349" s="82"/>
      <c r="M1349" s="82"/>
    </row>
    <row r="1350" spans="1:13" outlineLevel="1">
      <c r="A1350" s="535"/>
      <c r="G1350" s="82"/>
      <c r="H1350" s="82"/>
      <c r="I1350" s="82"/>
      <c r="J1350" s="82"/>
      <c r="K1350" s="82"/>
      <c r="L1350" s="82"/>
      <c r="M1350" s="82"/>
    </row>
    <row r="1351" spans="1:13" outlineLevel="1">
      <c r="A1351" s="535"/>
      <c r="G1351" s="82"/>
      <c r="H1351" s="82"/>
      <c r="I1351" s="82"/>
      <c r="J1351" s="82"/>
      <c r="K1351" s="82"/>
      <c r="L1351" s="82"/>
      <c r="M1351" s="82"/>
    </row>
    <row r="1352" spans="1:13" outlineLevel="1">
      <c r="A1352" s="535"/>
      <c r="G1352" s="82"/>
      <c r="H1352" s="82"/>
      <c r="I1352" s="82"/>
      <c r="J1352" s="82"/>
      <c r="K1352" s="82"/>
      <c r="L1352" s="82"/>
      <c r="M1352" s="82"/>
    </row>
    <row r="1353" spans="1:13" outlineLevel="1">
      <c r="A1353" s="535"/>
      <c r="G1353" s="82"/>
      <c r="H1353" s="82"/>
      <c r="I1353" s="82"/>
      <c r="J1353" s="82"/>
      <c r="K1353" s="82"/>
      <c r="L1353" s="82"/>
      <c r="M1353" s="82"/>
    </row>
    <row r="1354" spans="1:13" outlineLevel="1">
      <c r="A1354" s="535"/>
      <c r="G1354" s="82"/>
      <c r="H1354" s="82"/>
      <c r="I1354" s="82"/>
      <c r="J1354" s="82"/>
      <c r="K1354" s="82"/>
      <c r="L1354" s="82"/>
      <c r="M1354" s="82"/>
    </row>
    <row r="1355" spans="1:13" outlineLevel="1">
      <c r="A1355" s="535"/>
      <c r="G1355" s="82"/>
      <c r="H1355" s="82"/>
      <c r="I1355" s="82"/>
      <c r="J1355" s="82"/>
      <c r="K1355" s="82"/>
      <c r="L1355" s="82"/>
      <c r="M1355" s="82"/>
    </row>
    <row r="1356" spans="1:13" outlineLevel="1">
      <c r="A1356" s="535"/>
      <c r="G1356" s="82"/>
      <c r="H1356" s="82"/>
      <c r="I1356" s="82"/>
      <c r="J1356" s="82"/>
      <c r="K1356" s="82"/>
      <c r="L1356" s="82"/>
      <c r="M1356" s="82"/>
    </row>
    <row r="1357" spans="1:13" outlineLevel="1">
      <c r="A1357" s="535"/>
      <c r="G1357" s="82"/>
      <c r="H1357" s="82"/>
      <c r="I1357" s="82"/>
      <c r="J1357" s="82"/>
      <c r="K1357" s="82"/>
      <c r="L1357" s="82"/>
      <c r="M1357" s="82"/>
    </row>
    <row r="1358" spans="1:13" outlineLevel="1">
      <c r="A1358" s="535"/>
      <c r="G1358" s="82"/>
      <c r="H1358" s="82"/>
      <c r="I1358" s="82"/>
      <c r="J1358" s="82"/>
      <c r="K1358" s="82"/>
      <c r="L1358" s="82"/>
      <c r="M1358" s="82"/>
    </row>
    <row r="1359" spans="1:13" outlineLevel="1">
      <c r="A1359" s="535"/>
      <c r="G1359" s="82"/>
      <c r="H1359" s="82"/>
      <c r="I1359" s="82"/>
      <c r="J1359" s="82"/>
      <c r="K1359" s="82"/>
      <c r="L1359" s="82"/>
      <c r="M1359" s="82"/>
    </row>
    <row r="1360" spans="1:13" outlineLevel="1">
      <c r="A1360" s="535"/>
      <c r="G1360" s="82"/>
      <c r="H1360" s="82"/>
      <c r="I1360" s="82"/>
      <c r="J1360" s="82"/>
      <c r="K1360" s="82"/>
      <c r="L1360" s="82"/>
      <c r="M1360" s="82"/>
    </row>
    <row r="1361" spans="1:13" outlineLevel="1">
      <c r="A1361" s="535"/>
      <c r="G1361" s="82"/>
      <c r="H1361" s="82"/>
      <c r="I1361" s="82"/>
      <c r="J1361" s="82"/>
      <c r="K1361" s="82"/>
      <c r="L1361" s="82"/>
      <c r="M1361" s="82"/>
    </row>
    <row r="1362" spans="1:13" outlineLevel="1">
      <c r="A1362" s="535"/>
      <c r="G1362" s="82"/>
      <c r="H1362" s="82"/>
      <c r="I1362" s="82"/>
      <c r="J1362" s="82"/>
      <c r="K1362" s="82"/>
      <c r="L1362" s="82"/>
      <c r="M1362" s="82"/>
    </row>
    <row r="1363" spans="1:13" outlineLevel="1">
      <c r="A1363" s="535"/>
      <c r="G1363" s="82"/>
      <c r="H1363" s="82"/>
      <c r="I1363" s="82"/>
      <c r="J1363" s="82"/>
      <c r="K1363" s="82"/>
      <c r="L1363" s="82"/>
      <c r="M1363" s="82"/>
    </row>
    <row r="1364" spans="1:13">
      <c r="A1364"/>
    </row>
  </sheetData>
  <autoFilter ref="A710:M883" xr:uid="{00000000-0001-0000-0400-000000000000}"/>
  <mergeCells count="2">
    <mergeCell ref="A410:M410"/>
    <mergeCell ref="A1:I1"/>
  </mergeCells>
  <conditionalFormatting sqref="A411:XFD709 A197:H243 A244:XFD244 A392:XFD405 A711:D870 D871:D883 D885:D1047 D1049:D1155 D1157:D1240 D1242:D1328 A2:XFD195 A196:C196 A245:C391 A406:C407 A408:XFD409 A710:C710 B871:C873 A884:XFD884 A1048:XFD1048 A1156:XFD1156 A1241:XFD1241 A1329:XFD1331 A1333:XFD1048576 A1 J1:XFD1 F196:H196 H196:XFD243 F245:XFD391 F406:XFD407 A410 N410:XFD410 F710:XFD883 A871:B883 A885:B1047 F885:XFD1047 A1049:B1155 F1049:XFD1155 A1157:B1240 F1157:XFD1240 A1242:B1328 F1242:XFD1328 A1332:B1332 D1332:XFD1332">
    <cfRule type="expression" dxfId="90" priority="16">
      <formula>ISNUMBER(SEARCH("Total",$A1))</formula>
    </cfRule>
  </conditionalFormatting>
  <conditionalFormatting sqref="B2">
    <cfRule type="duplicateValues" dxfId="89" priority="22" stopIfTrue="1"/>
  </conditionalFormatting>
  <conditionalFormatting sqref="C392:C405">
    <cfRule type="duplicateValues" dxfId="88" priority="1"/>
  </conditionalFormatting>
  <conditionalFormatting sqref="C874:C883">
    <cfRule type="expression" dxfId="87" priority="1500">
      <formula>ISNUMBER(SEARCH("Total",$A1332))</formula>
    </cfRule>
  </conditionalFormatting>
  <conditionalFormatting sqref="C885:C941">
    <cfRule type="expression" dxfId="86" priority="339">
      <formula>ISNUMBER(SEARCH("Total",$A1343))</formula>
    </cfRule>
  </conditionalFormatting>
  <conditionalFormatting sqref="C942:C943">
    <cfRule type="expression" dxfId="85" priority="352">
      <formula>ISNUMBER(SEARCH("Total",$A1401))</formula>
    </cfRule>
  </conditionalFormatting>
  <conditionalFormatting sqref="C944:C945">
    <cfRule type="expression" dxfId="84" priority="365">
      <formula>ISNUMBER(SEARCH("Total",$A1405))</formula>
    </cfRule>
  </conditionalFormatting>
  <conditionalFormatting sqref="C946:C949">
    <cfRule type="expression" dxfId="83" priority="378">
      <formula>ISNUMBER(SEARCH("Total",$A1408))</formula>
    </cfRule>
  </conditionalFormatting>
  <conditionalFormatting sqref="C950:C952">
    <cfRule type="expression" dxfId="82" priority="391">
      <formula>ISNUMBER(SEARCH("Total",$A1414))</formula>
    </cfRule>
  </conditionalFormatting>
  <conditionalFormatting sqref="C953">
    <cfRule type="expression" dxfId="81" priority="404">
      <formula>ISNUMBER(SEARCH("Total",$A1418))</formula>
    </cfRule>
  </conditionalFormatting>
  <conditionalFormatting sqref="C954:C955">
    <cfRule type="expression" dxfId="80" priority="417">
      <formula>ISNUMBER(SEARCH("Total",$A1420))</formula>
    </cfRule>
  </conditionalFormatting>
  <conditionalFormatting sqref="C956:C957">
    <cfRule type="expression" dxfId="79" priority="430">
      <formula>ISNUMBER(SEARCH("Total",$A1423))</formula>
    </cfRule>
  </conditionalFormatting>
  <conditionalFormatting sqref="C958:C967">
    <cfRule type="expression" dxfId="78" priority="686">
      <formula>ISNUMBER(SEARCH("Total",$A1426))</formula>
    </cfRule>
  </conditionalFormatting>
  <conditionalFormatting sqref="C968:C971">
    <cfRule type="expression" dxfId="77" priority="443">
      <formula>ISNUMBER(SEARCH("Total",$A1438))</formula>
    </cfRule>
  </conditionalFormatting>
  <conditionalFormatting sqref="C972">
    <cfRule type="expression" dxfId="76" priority="456">
      <formula>ISNUMBER(SEARCH("Total",$A1445))</formula>
    </cfRule>
  </conditionalFormatting>
  <conditionalFormatting sqref="C973:C975">
    <cfRule type="expression" dxfId="75" priority="469">
      <formula>ISNUMBER(SEARCH("Total",$A1447))</formula>
    </cfRule>
  </conditionalFormatting>
  <conditionalFormatting sqref="C976">
    <cfRule type="expression" dxfId="74" priority="482">
      <formula>ISNUMBER(SEARCH("Total",$A1452))</formula>
    </cfRule>
  </conditionalFormatting>
  <conditionalFormatting sqref="C977:C978">
    <cfRule type="expression" dxfId="73" priority="495">
      <formula>ISNUMBER(SEARCH("Total",$A1454))</formula>
    </cfRule>
  </conditionalFormatting>
  <conditionalFormatting sqref="C979:C980">
    <cfRule type="expression" dxfId="72" priority="695">
      <formula>ISNUMBER(SEARCH("Total",$A1457))</formula>
    </cfRule>
  </conditionalFormatting>
  <conditionalFormatting sqref="C981">
    <cfRule type="expression" dxfId="71" priority="1346">
      <formula>ISNUMBER(SEARCH("Total",$A1460))</formula>
    </cfRule>
  </conditionalFormatting>
  <conditionalFormatting sqref="C982">
    <cfRule type="expression" dxfId="70" priority="521">
      <formula>ISNUMBER(SEARCH("Total",$A1462))</formula>
    </cfRule>
  </conditionalFormatting>
  <conditionalFormatting sqref="C983:C987">
    <cfRule type="expression" dxfId="69" priority="534">
      <formula>ISNUMBER(SEARCH("Total",$A1464))</formula>
    </cfRule>
  </conditionalFormatting>
  <conditionalFormatting sqref="C988:C989">
    <cfRule type="expression" dxfId="68" priority="1347">
      <formula>ISNUMBER(SEARCH("Total",$A1470))</formula>
    </cfRule>
  </conditionalFormatting>
  <conditionalFormatting sqref="C990">
    <cfRule type="expression" dxfId="67" priority="1380">
      <formula>ISNUMBER(SEARCH("Total",$A1474))</formula>
    </cfRule>
  </conditionalFormatting>
  <conditionalFormatting sqref="C991">
    <cfRule type="expression" dxfId="66" priority="573">
      <formula>ISNUMBER(SEARCH("Total",$A1479))</formula>
    </cfRule>
  </conditionalFormatting>
  <conditionalFormatting sqref="C992">
    <cfRule type="expression" dxfId="65" priority="1349">
      <formula>ISNUMBER(SEARCH("Total",$A1484))</formula>
    </cfRule>
  </conditionalFormatting>
  <conditionalFormatting sqref="C993:C997 C1233:C1234">
    <cfRule type="expression" dxfId="64" priority="1389">
      <formula>ISNUMBER(SEARCH("Total",$A1488))</formula>
    </cfRule>
  </conditionalFormatting>
  <conditionalFormatting sqref="C998 C1235:C1240">
    <cfRule type="expression" dxfId="63" priority="704">
      <formula>ISNUMBER(SEARCH("Total",$A1494))</formula>
    </cfRule>
  </conditionalFormatting>
  <conditionalFormatting sqref="C999:C1001">
    <cfRule type="expression" dxfId="62" priority="612">
      <formula>ISNUMBER(SEARCH("Total",$A1497))</formula>
    </cfRule>
  </conditionalFormatting>
  <conditionalFormatting sqref="C1002:C1021">
    <cfRule type="expression" dxfId="61" priority="713">
      <formula>ISNUMBER(SEARCH("Total",$A1501))</formula>
    </cfRule>
  </conditionalFormatting>
  <conditionalFormatting sqref="C1022">
    <cfRule type="expression" dxfId="60" priority="625">
      <formula>ISNUMBER(SEARCH("Total",$A1524))</formula>
    </cfRule>
  </conditionalFormatting>
  <conditionalFormatting sqref="C1023">
    <cfRule type="expression" dxfId="59" priority="1355">
      <formula>ISNUMBER(SEARCH("Total",$A1526))</formula>
    </cfRule>
  </conditionalFormatting>
  <conditionalFormatting sqref="C1024">
    <cfRule type="expression" dxfId="58" priority="651">
      <formula>ISNUMBER(SEARCH("Total",$A1529))</formula>
    </cfRule>
  </conditionalFormatting>
  <conditionalFormatting sqref="C1025:C1028">
    <cfRule type="expression" dxfId="57" priority="664">
      <formula>ISNUMBER(SEARCH("Total",$A1531))</formula>
    </cfRule>
  </conditionalFormatting>
  <conditionalFormatting sqref="C1029:C1032">
    <cfRule type="expression" dxfId="56" priority="722">
      <formula>ISNUMBER(SEARCH("Total",$A1537))</formula>
    </cfRule>
  </conditionalFormatting>
  <conditionalFormatting sqref="C1033">
    <cfRule type="expression" dxfId="55" priority="677">
      <formula>ISNUMBER(SEARCH("Total",$A1544))</formula>
    </cfRule>
  </conditionalFormatting>
  <conditionalFormatting sqref="C1034:C1047">
    <cfRule type="expression" dxfId="54" priority="1491">
      <formula>ISNUMBER(SEARCH("Total",$A1547))</formula>
    </cfRule>
  </conditionalFormatting>
  <conditionalFormatting sqref="C1049:C1130">
    <cfRule type="expression" dxfId="53" priority="941">
      <formula>ISNUMBER(SEARCH("Total",$A1562))</formula>
    </cfRule>
  </conditionalFormatting>
  <conditionalFormatting sqref="C1131:C1132">
    <cfRule type="expression" dxfId="52" priority="954">
      <formula>ISNUMBER(SEARCH("Total",$A1646))</formula>
    </cfRule>
  </conditionalFormatting>
  <conditionalFormatting sqref="C1133:C1137">
    <cfRule type="expression" dxfId="51" priority="967">
      <formula>ISNUMBER(SEARCH("Total",$A1649))</formula>
    </cfRule>
  </conditionalFormatting>
  <conditionalFormatting sqref="C1138:C1139">
    <cfRule type="expression" dxfId="50" priority="980">
      <formula>ISNUMBER(SEARCH("Total",$A1655))</formula>
    </cfRule>
  </conditionalFormatting>
  <conditionalFormatting sqref="C1140">
    <cfRule type="expression" dxfId="49" priority="993">
      <formula>ISNUMBER(SEARCH("Total",$A1659))</formula>
    </cfRule>
  </conditionalFormatting>
  <conditionalFormatting sqref="C1141:C1142">
    <cfRule type="expression" dxfId="48" priority="1006">
      <formula>ISNUMBER(SEARCH("Total",$A1662))</formula>
    </cfRule>
  </conditionalFormatting>
  <conditionalFormatting sqref="C1143:C1155">
    <cfRule type="expression" dxfId="47" priority="1481">
      <formula>ISNUMBER(SEARCH("Total",$A1665))</formula>
    </cfRule>
  </conditionalFormatting>
  <conditionalFormatting sqref="C1157:C1188">
    <cfRule type="expression" dxfId="46" priority="1356">
      <formula>ISNUMBER(SEARCH("Total",$A1679))</formula>
    </cfRule>
  </conditionalFormatting>
  <conditionalFormatting sqref="C1189:C1190">
    <cfRule type="expression" dxfId="45" priority="1173">
      <formula>ISNUMBER(SEARCH("Total",$A1712))</formula>
    </cfRule>
  </conditionalFormatting>
  <conditionalFormatting sqref="C1191:C1192">
    <cfRule type="expression" dxfId="44" priority="1172">
      <formula>ISNUMBER(SEARCH("Total",$A1695))</formula>
    </cfRule>
  </conditionalFormatting>
  <conditionalFormatting sqref="C1193:C1196 C1216">
    <cfRule type="expression" dxfId="43" priority="1191">
      <formula>ISNUMBER(SEARCH("Total",$A1679))</formula>
    </cfRule>
  </conditionalFormatting>
  <conditionalFormatting sqref="C1197">
    <cfRule type="expression" dxfId="42" priority="1204">
      <formula>ISNUMBER(SEARCH("Total",$A1684))</formula>
    </cfRule>
  </conditionalFormatting>
  <conditionalFormatting sqref="C1198">
    <cfRule type="expression" dxfId="41" priority="1217">
      <formula>ISNUMBER(SEARCH("Total",$A1686))</formula>
    </cfRule>
  </conditionalFormatting>
  <conditionalFormatting sqref="C1199 C1218:C1221">
    <cfRule type="expression" dxfId="40" priority="586">
      <formula>ISNUMBER(SEARCH("Total",$A1692))</formula>
    </cfRule>
  </conditionalFormatting>
  <conditionalFormatting sqref="C1200:C1203">
    <cfRule type="expression" dxfId="39" priority="508">
      <formula>ISNUMBER(SEARCH("Total",$A1680))</formula>
    </cfRule>
  </conditionalFormatting>
  <conditionalFormatting sqref="C1204:C1209">
    <cfRule type="expression" dxfId="38" priority="547">
      <formula>ISNUMBER(SEARCH("Total",$A1687))</formula>
    </cfRule>
  </conditionalFormatting>
  <conditionalFormatting sqref="C1210:C1213">
    <cfRule type="expression" dxfId="37" priority="1245">
      <formula>ISNUMBER(SEARCH("Total",$A1694))</formula>
    </cfRule>
  </conditionalFormatting>
  <conditionalFormatting sqref="C1214:C1215">
    <cfRule type="expression" dxfId="36" priority="560">
      <formula>ISNUMBER(SEARCH("Total",$A1699))</formula>
    </cfRule>
  </conditionalFormatting>
  <conditionalFormatting sqref="C1217">
    <cfRule type="expression" dxfId="35" priority="1283">
      <formula>ISNUMBER(SEARCH("Total",$A1708))</formula>
    </cfRule>
  </conditionalFormatting>
  <conditionalFormatting sqref="C1222:C1232">
    <cfRule type="expression" dxfId="34" priority="1317">
      <formula>ISNUMBER(SEARCH("Total",$A1716))</formula>
    </cfRule>
  </conditionalFormatting>
  <conditionalFormatting sqref="C1242:C1328">
    <cfRule type="expression" dxfId="33" priority="1470">
      <formula>ISNUMBER(SEARCH("Total",$A1738))</formula>
    </cfRule>
  </conditionalFormatting>
  <conditionalFormatting sqref="C1333:C1048576 C1:C1331">
    <cfRule type="duplicateValues" dxfId="32" priority="7"/>
  </conditionalFormatting>
  <conditionalFormatting sqref="D2:E2">
    <cfRule type="expression" dxfId="31" priority="17">
      <formula>ISNUMBER(SEARCH("Total",$A2))</formula>
    </cfRule>
  </conditionalFormatting>
  <conditionalFormatting sqref="D196:E244 D392:E405 D710:E883 D885:E1047 D1049:E1155 D1157:E1240 D1242:E1328">
    <cfRule type="expression" dxfId="30" priority="11">
      <formula>ISNUMBER(SEARCH("Total",$A196))</formula>
    </cfRule>
  </conditionalFormatting>
  <conditionalFormatting sqref="D411:E411 M411">
    <cfRule type="expression" dxfId="29" priority="14">
      <formula>ISNUMBER(SEARCH("Total",$A411))</formula>
    </cfRule>
  </conditionalFormatting>
  <conditionalFormatting sqref="K411 B411">
    <cfRule type="duplicateValues" dxfId="28" priority="15" stopIfTrue="1"/>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B5717-BA6B-4279-8713-51DFC3DD08E1}">
  <sheetPr codeName="Sheet10"/>
  <dimension ref="A1:M261"/>
  <sheetViews>
    <sheetView zoomScaleNormal="100" workbookViewId="0">
      <selection activeCell="G201" sqref="G201"/>
    </sheetView>
  </sheetViews>
  <sheetFormatPr defaultRowHeight="15" outlineLevelRow="2"/>
  <cols>
    <col min="1" max="1" width="12" style="21" customWidth="1"/>
    <col min="2" max="2" width="23.140625" customWidth="1"/>
    <col min="3" max="3" width="16.140625" customWidth="1"/>
    <col min="4" max="4" width="11.85546875" customWidth="1"/>
    <col min="5" max="5" width="11.7109375" customWidth="1"/>
    <col min="6" max="6" width="14" customWidth="1"/>
    <col min="7" max="7" width="15" customWidth="1"/>
    <col min="8" max="8" width="14.140625" customWidth="1"/>
    <col min="9" max="9" width="17.5703125" customWidth="1"/>
    <col min="10" max="10" width="15.85546875" customWidth="1"/>
    <col min="11" max="11" width="15.140625" customWidth="1"/>
    <col min="12" max="12" width="13.42578125" style="5" customWidth="1"/>
    <col min="13" max="13" width="16.85546875" customWidth="1"/>
    <col min="14" max="14" width="10.5703125" bestFit="1" customWidth="1"/>
  </cols>
  <sheetData>
    <row r="1" spans="1:12" ht="23.25">
      <c r="A1" s="886" t="s">
        <v>881</v>
      </c>
      <c r="B1" s="887"/>
      <c r="C1" s="887"/>
      <c r="D1" s="887"/>
      <c r="E1" s="887"/>
      <c r="F1" s="887"/>
      <c r="G1" s="887"/>
      <c r="H1" s="887"/>
      <c r="I1" s="887"/>
      <c r="L1"/>
    </row>
    <row r="2" spans="1:12" ht="28.5" customHeight="1">
      <c r="A2" s="574" t="s">
        <v>44</v>
      </c>
      <c r="B2" s="575" t="s">
        <v>38</v>
      </c>
      <c r="C2" s="574" t="s">
        <v>67</v>
      </c>
      <c r="D2" s="576" t="s">
        <v>27</v>
      </c>
      <c r="E2" s="576" t="s">
        <v>896</v>
      </c>
      <c r="F2" s="576" t="s">
        <v>36</v>
      </c>
      <c r="G2" s="576" t="s">
        <v>37</v>
      </c>
      <c r="H2" s="576" t="s">
        <v>3</v>
      </c>
      <c r="I2" s="576" t="s">
        <v>35</v>
      </c>
      <c r="L2"/>
    </row>
    <row r="3" spans="1:12" hidden="1" outlineLevel="2">
      <c r="A3" s="137">
        <v>45962</v>
      </c>
      <c r="B3" s="1" t="s">
        <v>779</v>
      </c>
      <c r="C3" s="1" t="s">
        <v>757</v>
      </c>
      <c r="D3" s="1" t="str">
        <f>VLOOKUP(RIGHT(C3,8),'[6]Export shipment'!B$8:J$1256,9,0)</f>
        <v>FedEx</v>
      </c>
      <c r="E3" s="1">
        <f>VLOOKUP(RIGHT(C3,8),'[6]Export shipment'!B$8:E$1256,4,0)</f>
        <v>1.3</v>
      </c>
      <c r="F3" s="1"/>
      <c r="G3" s="59">
        <v>15.146351622552917</v>
      </c>
      <c r="H3" s="59"/>
      <c r="I3" s="139">
        <f t="shared" ref="I3:I30" si="0">SUM(D3:H3)</f>
        <v>16.446351622552918</v>
      </c>
      <c r="J3" s="140"/>
      <c r="K3" s="140"/>
      <c r="L3"/>
    </row>
    <row r="4" spans="1:12" hidden="1" outlineLevel="2">
      <c r="A4" s="137">
        <v>45962</v>
      </c>
      <c r="B4" s="1" t="s">
        <v>780</v>
      </c>
      <c r="C4" s="1" t="s">
        <v>758</v>
      </c>
      <c r="D4" s="1" t="str">
        <f>VLOOKUP(RIGHT(C4,8),'[6]Export shipment'!B$8:J$1256,9,0)</f>
        <v>FedEx</v>
      </c>
      <c r="E4" s="1">
        <f>VLOOKUP(RIGHT(C4,8),'[6]Export shipment'!B$8:E$1256,4,0)</f>
        <v>19.7</v>
      </c>
      <c r="F4" s="1"/>
      <c r="G4" s="59">
        <v>15.146351622552917</v>
      </c>
      <c r="H4" s="59"/>
      <c r="I4" s="139">
        <f t="shared" si="0"/>
        <v>34.846351622552916</v>
      </c>
      <c r="J4" s="140"/>
      <c r="K4" s="140"/>
      <c r="L4"/>
    </row>
    <row r="5" spans="1:12" hidden="1" outlineLevel="2">
      <c r="A5" s="137">
        <v>45962</v>
      </c>
      <c r="B5" s="1" t="s">
        <v>781</v>
      </c>
      <c r="C5" s="1" t="s">
        <v>759</v>
      </c>
      <c r="D5" s="1" t="str">
        <f>VLOOKUP(RIGHT(C5,8),'[6]Export shipment'!B$8:J$1256,9,0)</f>
        <v>DHL</v>
      </c>
      <c r="E5" s="1">
        <f>VLOOKUP(RIGHT(C5,8),'[6]Export shipment'!B$8:E$1256,4,0)</f>
        <v>75</v>
      </c>
      <c r="F5" s="1"/>
      <c r="G5" s="59">
        <v>15.146351622552917</v>
      </c>
      <c r="H5" s="59"/>
      <c r="I5" s="139">
        <f t="shared" si="0"/>
        <v>90.146351622552913</v>
      </c>
      <c r="J5" s="140"/>
      <c r="K5" s="140"/>
      <c r="L5"/>
    </row>
    <row r="6" spans="1:12" hidden="1" outlineLevel="2">
      <c r="A6" s="137">
        <v>45962</v>
      </c>
      <c r="B6" s="1" t="s">
        <v>782</v>
      </c>
      <c r="C6" s="1" t="s">
        <v>760</v>
      </c>
      <c r="D6" s="1" t="str">
        <f>VLOOKUP(RIGHT(C6,8),'[6]Export shipment'!B$8:J$1256,9,0)</f>
        <v>FedEx</v>
      </c>
      <c r="E6" s="1">
        <f>VLOOKUP(RIGHT(C6,8),'[6]Export shipment'!B$8:E$1256,4,0)</f>
        <v>13.6</v>
      </c>
      <c r="F6" s="1"/>
      <c r="G6" s="59">
        <v>15.146351622552917</v>
      </c>
      <c r="H6" s="59"/>
      <c r="I6" s="139">
        <f t="shared" si="0"/>
        <v>28.746351622552915</v>
      </c>
      <c r="J6" s="140"/>
      <c r="K6" s="140"/>
      <c r="L6"/>
    </row>
    <row r="7" spans="1:12" hidden="1" outlineLevel="2">
      <c r="A7" s="137">
        <v>45962</v>
      </c>
      <c r="B7" s="1" t="s">
        <v>783</v>
      </c>
      <c r="C7" s="1" t="s">
        <v>761</v>
      </c>
      <c r="D7" s="1" t="str">
        <f>VLOOKUP(RIGHT(C7,8),'[6]Export shipment'!B$8:J$1256,9,0)</f>
        <v>UPS</v>
      </c>
      <c r="E7" s="1">
        <f>VLOOKUP(RIGHT(C7,8),'[6]Export shipment'!B$8:E$1256,4,0)</f>
        <v>0.9</v>
      </c>
      <c r="F7" s="1"/>
      <c r="G7" s="59">
        <v>15.146351622552917</v>
      </c>
      <c r="H7" s="59"/>
      <c r="I7" s="139">
        <f t="shared" si="0"/>
        <v>16.046351622552915</v>
      </c>
      <c r="J7" s="140"/>
      <c r="K7" s="140"/>
      <c r="L7"/>
    </row>
    <row r="8" spans="1:12" hidden="1" outlineLevel="2">
      <c r="A8" s="137">
        <v>45962</v>
      </c>
      <c r="B8" s="1" t="s">
        <v>782</v>
      </c>
      <c r="C8" s="1" t="s">
        <v>762</v>
      </c>
      <c r="D8" s="1" t="str">
        <f>VLOOKUP(RIGHT(C8,8),'[6]Export shipment'!B$8:J$1256,9,0)</f>
        <v>FedEx</v>
      </c>
      <c r="E8" s="1">
        <f>VLOOKUP(RIGHT(C8,8),'[6]Export shipment'!B$8:E$1256,4,0)</f>
        <v>3.4</v>
      </c>
      <c r="F8" s="1"/>
      <c r="G8" s="59">
        <v>15.146351622552917</v>
      </c>
      <c r="H8" s="59"/>
      <c r="I8" s="139">
        <f t="shared" si="0"/>
        <v>18.546351622552915</v>
      </c>
      <c r="J8" s="140"/>
      <c r="K8" s="140"/>
      <c r="L8"/>
    </row>
    <row r="9" spans="1:12" hidden="1" outlineLevel="2">
      <c r="A9" s="137">
        <v>45962</v>
      </c>
      <c r="B9" s="1" t="s">
        <v>780</v>
      </c>
      <c r="C9" s="1" t="s">
        <v>763</v>
      </c>
      <c r="D9" s="1" t="str">
        <f>VLOOKUP(RIGHT(C9,8),'[6]Export shipment'!B$8:J$1256,9,0)</f>
        <v>FedEx</v>
      </c>
      <c r="E9" s="1">
        <f>VLOOKUP(RIGHT(C9,8),'[6]Export shipment'!B$8:E$1256,4,0)</f>
        <v>43.7</v>
      </c>
      <c r="F9" s="1"/>
      <c r="G9" s="59">
        <v>15.146351622552917</v>
      </c>
      <c r="H9" s="59"/>
      <c r="I9" s="139">
        <f t="shared" si="0"/>
        <v>58.846351622552916</v>
      </c>
      <c r="J9" s="140"/>
      <c r="K9" s="140"/>
      <c r="L9"/>
    </row>
    <row r="10" spans="1:12" hidden="1" outlineLevel="2">
      <c r="A10" s="137">
        <v>45962</v>
      </c>
      <c r="B10" s="1" t="s">
        <v>782</v>
      </c>
      <c r="C10" s="1" t="s">
        <v>764</v>
      </c>
      <c r="D10" s="1" t="str">
        <f>VLOOKUP(RIGHT(C10,8),'[6]Export shipment'!B$8:J$1256,9,0)</f>
        <v>FedEx</v>
      </c>
      <c r="E10" s="1">
        <f>VLOOKUP(RIGHT(C10,8),'[6]Export shipment'!B$8:E$1256,4,0)</f>
        <v>1.6</v>
      </c>
      <c r="F10" s="1"/>
      <c r="G10" s="59">
        <v>15.146351622552917</v>
      </c>
      <c r="H10" s="59"/>
      <c r="I10" s="139">
        <f t="shared" si="0"/>
        <v>16.746351622552918</v>
      </c>
      <c r="J10" s="140"/>
      <c r="K10" s="140"/>
      <c r="L10"/>
    </row>
    <row r="11" spans="1:12" hidden="1" outlineLevel="2">
      <c r="A11" s="137">
        <v>45962</v>
      </c>
      <c r="B11" s="1" t="s">
        <v>784</v>
      </c>
      <c r="C11" s="1" t="s">
        <v>765</v>
      </c>
      <c r="D11" s="1" t="str">
        <f>VLOOKUP(RIGHT(C11,8),'[6]Export shipment'!B$8:J$1256,9,0)</f>
        <v>FedEx</v>
      </c>
      <c r="E11" s="1">
        <f>VLOOKUP(RIGHT(C11,8),'[6]Export shipment'!B$8:E$1256,4,0)</f>
        <v>5.0999999999999996</v>
      </c>
      <c r="F11" s="1"/>
      <c r="G11" s="59">
        <v>15.146351622552917</v>
      </c>
      <c r="H11" s="59"/>
      <c r="I11" s="139">
        <f t="shared" si="0"/>
        <v>20.246351622552915</v>
      </c>
      <c r="J11" s="140"/>
      <c r="K11" s="140"/>
      <c r="L11"/>
    </row>
    <row r="12" spans="1:12" hidden="1" outlineLevel="2">
      <c r="A12" s="137">
        <v>45962</v>
      </c>
      <c r="B12" s="1" t="s">
        <v>780</v>
      </c>
      <c r="C12" s="1" t="s">
        <v>766</v>
      </c>
      <c r="D12" s="1" t="str">
        <f>VLOOKUP(RIGHT(C12,8),'[6]Export shipment'!B$8:J$1256,9,0)</f>
        <v>FedEx</v>
      </c>
      <c r="E12" s="1">
        <f>VLOOKUP(RIGHT(C12,8),'[6]Export shipment'!B$8:E$1256,4,0)</f>
        <v>21.9</v>
      </c>
      <c r="F12" s="1"/>
      <c r="G12" s="59">
        <v>15.146351622552917</v>
      </c>
      <c r="H12" s="59"/>
      <c r="I12" s="139">
        <f t="shared" si="0"/>
        <v>37.046351622552919</v>
      </c>
      <c r="J12" s="140"/>
      <c r="K12" s="140"/>
      <c r="L12"/>
    </row>
    <row r="13" spans="1:12" hidden="1" outlineLevel="2">
      <c r="A13" s="137">
        <v>45962</v>
      </c>
      <c r="B13" s="1" t="s">
        <v>785</v>
      </c>
      <c r="C13" s="1" t="s">
        <v>767</v>
      </c>
      <c r="D13" s="1" t="str">
        <f>VLOOKUP(RIGHT(C13,8),'[6]Export shipment'!B$8:J$1256,9,0)</f>
        <v>FedEx</v>
      </c>
      <c r="E13" s="1">
        <f>VLOOKUP(RIGHT(C13,8),'[6]Export shipment'!B$8:E$1256,4,0)</f>
        <v>16.5</v>
      </c>
      <c r="F13" s="1"/>
      <c r="G13" s="59">
        <v>15.146351622552917</v>
      </c>
      <c r="H13" s="59"/>
      <c r="I13" s="139">
        <f t="shared" si="0"/>
        <v>31.646351622552917</v>
      </c>
      <c r="J13" s="140"/>
      <c r="K13" s="140"/>
      <c r="L13"/>
    </row>
    <row r="14" spans="1:12" hidden="1" outlineLevel="2">
      <c r="A14" s="137">
        <v>45962</v>
      </c>
      <c r="B14" s="1" t="s">
        <v>785</v>
      </c>
      <c r="C14" s="1" t="s">
        <v>768</v>
      </c>
      <c r="D14" s="1" t="str">
        <f>VLOOKUP(RIGHT(C14,8),'[6]Export shipment'!B$8:J$1256,9,0)</f>
        <v>FedEx</v>
      </c>
      <c r="E14" s="1">
        <f>VLOOKUP(RIGHT(C14,8),'[6]Export shipment'!B$8:E$1256,4,0)</f>
        <v>24.599999999999998</v>
      </c>
      <c r="F14" s="1"/>
      <c r="G14" s="59">
        <v>15.146351622552917</v>
      </c>
      <c r="H14" s="59"/>
      <c r="I14" s="139">
        <f t="shared" si="0"/>
        <v>39.746351622552915</v>
      </c>
      <c r="J14" s="140"/>
      <c r="K14" s="140"/>
      <c r="L14"/>
    </row>
    <row r="15" spans="1:12" hidden="1" outlineLevel="2">
      <c r="A15" s="137">
        <v>45962</v>
      </c>
      <c r="B15" s="1" t="s">
        <v>784</v>
      </c>
      <c r="C15" s="1" t="s">
        <v>769</v>
      </c>
      <c r="D15" s="1" t="str">
        <f>VLOOKUP(RIGHT(C15,8),'[6]Export shipment'!B$8:J$1256,9,0)</f>
        <v>FedEx</v>
      </c>
      <c r="E15" s="1">
        <f>VLOOKUP(RIGHT(C15,8),'[6]Export shipment'!B$8:E$1256,4,0)</f>
        <v>13.5</v>
      </c>
      <c r="F15" s="1"/>
      <c r="G15" s="59">
        <v>15.146351622552917</v>
      </c>
      <c r="H15" s="59"/>
      <c r="I15" s="139">
        <f t="shared" si="0"/>
        <v>28.646351622552917</v>
      </c>
      <c r="J15" s="140"/>
      <c r="K15" s="140"/>
      <c r="L15"/>
    </row>
    <row r="16" spans="1:12" hidden="1" outlineLevel="2">
      <c r="A16" s="137">
        <v>45962</v>
      </c>
      <c r="B16" s="1" t="s">
        <v>782</v>
      </c>
      <c r="C16" s="1" t="s">
        <v>770</v>
      </c>
      <c r="D16" s="1" t="str">
        <f>VLOOKUP(RIGHT(C16,8),'[6]Export shipment'!B$8:J$1256,9,0)</f>
        <v>FedEx</v>
      </c>
      <c r="E16" s="1">
        <f>VLOOKUP(RIGHT(C16,8),'[6]Export shipment'!B$8:E$1256,4,0)</f>
        <v>19.600000000000001</v>
      </c>
      <c r="F16" s="1"/>
      <c r="G16" s="59">
        <v>15.146351622552917</v>
      </c>
      <c r="H16" s="59"/>
      <c r="I16" s="139">
        <f t="shared" si="0"/>
        <v>34.746351622552922</v>
      </c>
      <c r="J16" s="140"/>
      <c r="K16" s="140"/>
      <c r="L16"/>
    </row>
    <row r="17" spans="1:12" hidden="1" outlineLevel="2">
      <c r="A17" s="137">
        <v>45962</v>
      </c>
      <c r="B17" s="1" t="s">
        <v>785</v>
      </c>
      <c r="C17" s="1" t="s">
        <v>771</v>
      </c>
      <c r="D17" s="1" t="str">
        <f>VLOOKUP(RIGHT(C17,8),'[6]Export shipment'!B$8:J$1256,9,0)</f>
        <v>FedEx</v>
      </c>
      <c r="E17" s="1">
        <f>VLOOKUP(RIGHT(C17,8),'[6]Export shipment'!B$8:E$1256,4,0)</f>
        <v>27.799999999999997</v>
      </c>
      <c r="F17" s="1"/>
      <c r="G17" s="59">
        <v>15.146351622552917</v>
      </c>
      <c r="H17" s="59"/>
      <c r="I17" s="139">
        <f t="shared" si="0"/>
        <v>42.94635162255291</v>
      </c>
      <c r="J17" s="140"/>
      <c r="K17" s="140"/>
      <c r="L17"/>
    </row>
    <row r="18" spans="1:12" hidden="1" outlineLevel="2">
      <c r="A18" s="137">
        <v>45962</v>
      </c>
      <c r="B18" s="1" t="s">
        <v>785</v>
      </c>
      <c r="C18" s="1" t="s">
        <v>772</v>
      </c>
      <c r="D18" s="1" t="str">
        <f>VLOOKUP(RIGHT(C18,8),'[6]Export shipment'!B$8:J$1256,9,0)</f>
        <v>FedEx</v>
      </c>
      <c r="E18" s="1">
        <f>VLOOKUP(RIGHT(C18,8),'[6]Export shipment'!B$8:E$1256,4,0)</f>
        <v>32</v>
      </c>
      <c r="F18" s="1"/>
      <c r="G18" s="59">
        <v>15.146351622552917</v>
      </c>
      <c r="H18" s="59"/>
      <c r="I18" s="139">
        <f t="shared" si="0"/>
        <v>47.146351622552913</v>
      </c>
      <c r="J18" s="140"/>
      <c r="K18" s="140"/>
      <c r="L18"/>
    </row>
    <row r="19" spans="1:12" hidden="1" outlineLevel="2">
      <c r="A19" s="137">
        <v>45962</v>
      </c>
      <c r="B19" s="1" t="s">
        <v>366</v>
      </c>
      <c r="C19" s="1" t="s">
        <v>773</v>
      </c>
      <c r="D19" s="1" t="str">
        <f>VLOOKUP(RIGHT(C19,8),'[6]Export shipment'!B$8:J$1256,9,0)</f>
        <v>FedEx</v>
      </c>
      <c r="E19" s="1">
        <f>VLOOKUP(RIGHT(C19,8),'[6]Export shipment'!B$8:E$1256,4,0)</f>
        <v>1.9</v>
      </c>
      <c r="F19" s="1"/>
      <c r="G19" s="59">
        <v>15.146351622552917</v>
      </c>
      <c r="H19" s="59"/>
      <c r="I19" s="139">
        <f t="shared" si="0"/>
        <v>17.046351622552915</v>
      </c>
      <c r="J19" s="140"/>
      <c r="K19" s="140"/>
      <c r="L19"/>
    </row>
    <row r="20" spans="1:12" hidden="1" outlineLevel="2">
      <c r="A20" s="137">
        <v>45962</v>
      </c>
      <c r="B20" s="1" t="s">
        <v>786</v>
      </c>
      <c r="C20" s="1" t="s">
        <v>774</v>
      </c>
      <c r="D20" s="1" t="str">
        <f>VLOOKUP(RIGHT(C20,8),'[6]Export shipment'!B$8:J$1256,9,0)</f>
        <v>FedEx</v>
      </c>
      <c r="E20" s="1">
        <f>VLOOKUP(RIGHT(C20,8),'[6]Export shipment'!B$8:E$1256,4,0)</f>
        <v>1.6</v>
      </c>
      <c r="F20" s="1"/>
      <c r="G20" s="59">
        <v>15.146351622552917</v>
      </c>
      <c r="H20" s="59"/>
      <c r="I20" s="139">
        <f t="shared" si="0"/>
        <v>16.746351622552918</v>
      </c>
      <c r="J20" s="140"/>
      <c r="K20" s="140"/>
      <c r="L20"/>
    </row>
    <row r="21" spans="1:12" hidden="1" outlineLevel="2">
      <c r="A21" s="137">
        <v>45962</v>
      </c>
      <c r="B21" s="1" t="s">
        <v>782</v>
      </c>
      <c r="C21" s="1" t="s">
        <v>775</v>
      </c>
      <c r="D21" s="1" t="str">
        <f>VLOOKUP(RIGHT(C21,8),'[6]Export shipment'!B$8:J$1256,9,0)</f>
        <v>FedEx</v>
      </c>
      <c r="E21" s="1">
        <f>VLOOKUP(RIGHT(C21,8),'[6]Export shipment'!B$8:E$1256,4,0)</f>
        <v>23.4</v>
      </c>
      <c r="F21" s="1"/>
      <c r="G21" s="59">
        <v>15.146351622552917</v>
      </c>
      <c r="H21" s="59"/>
      <c r="I21" s="139">
        <f t="shared" si="0"/>
        <v>38.546351622552919</v>
      </c>
      <c r="J21" s="140"/>
      <c r="K21" s="140"/>
      <c r="L21"/>
    </row>
    <row r="22" spans="1:12" hidden="1" outlineLevel="2">
      <c r="A22" s="137">
        <v>45962</v>
      </c>
      <c r="B22" s="1" t="s">
        <v>782</v>
      </c>
      <c r="C22" s="1" t="s">
        <v>776</v>
      </c>
      <c r="D22" s="1" t="str">
        <f>VLOOKUP(RIGHT(C22,8),'[6]Export shipment'!B$8:J$1256,9,0)</f>
        <v>FedEx</v>
      </c>
      <c r="E22" s="1">
        <f>VLOOKUP(RIGHT(C22,8),'[6]Export shipment'!B$8:E$1256,4,0)</f>
        <v>26.9</v>
      </c>
      <c r="F22" s="1"/>
      <c r="G22" s="59">
        <v>15.146351622552917</v>
      </c>
      <c r="H22" s="1"/>
      <c r="I22" s="139">
        <f t="shared" si="0"/>
        <v>42.046351622552919</v>
      </c>
      <c r="J22" s="140"/>
      <c r="K22" s="140"/>
      <c r="L22"/>
    </row>
    <row r="23" spans="1:12" hidden="1" outlineLevel="2">
      <c r="A23" s="137">
        <v>45962</v>
      </c>
      <c r="B23" s="1" t="s">
        <v>784</v>
      </c>
      <c r="C23" s="1" t="s">
        <v>777</v>
      </c>
      <c r="D23" s="1" t="str">
        <f>VLOOKUP(RIGHT(C23,8),'[6]Export shipment'!B$8:J$1256,9,0)</f>
        <v>FedEx</v>
      </c>
      <c r="E23" s="1">
        <f>VLOOKUP(RIGHT(C23,8),'[6]Export shipment'!B$8:E$1256,4,0)</f>
        <v>3.6</v>
      </c>
      <c r="F23" s="1"/>
      <c r="G23" s="59">
        <v>15.146351622552917</v>
      </c>
      <c r="H23" s="1"/>
      <c r="I23" s="139">
        <f t="shared" si="0"/>
        <v>18.746351622552918</v>
      </c>
      <c r="J23" s="140"/>
      <c r="K23" s="140"/>
      <c r="L23"/>
    </row>
    <row r="24" spans="1:12" hidden="1" outlineLevel="2">
      <c r="A24" s="137">
        <v>45962</v>
      </c>
      <c r="B24" s="1" t="s">
        <v>787</v>
      </c>
      <c r="C24" s="1" t="s">
        <v>778</v>
      </c>
      <c r="D24" s="1" t="str">
        <f>VLOOKUP(RIGHT(C24,8),'[6]Export shipment'!B$8:J$1256,9,0)</f>
        <v>FedEx</v>
      </c>
      <c r="E24" s="1">
        <f>VLOOKUP(RIGHT(C24,8),'[6]Export shipment'!B$8:E$1256,4,0)</f>
        <v>0.8</v>
      </c>
      <c r="F24" s="1"/>
      <c r="G24" s="59">
        <v>15.146351622552917</v>
      </c>
      <c r="H24" s="1"/>
      <c r="I24" s="139">
        <f t="shared" si="0"/>
        <v>15.946351622552918</v>
      </c>
      <c r="J24" s="140"/>
      <c r="K24" s="140"/>
      <c r="L24"/>
    </row>
    <row r="25" spans="1:12" hidden="1" outlineLevel="2">
      <c r="A25" s="137">
        <v>45962</v>
      </c>
      <c r="B25" s="1" t="s">
        <v>788</v>
      </c>
      <c r="C25" s="1" t="s">
        <v>790</v>
      </c>
      <c r="D25" s="1" t="str">
        <f>VLOOKUP(RIGHT(C25,8),'[6]Export shipment'!B$8:J$1256,9,0)</f>
        <v>FedEx</v>
      </c>
      <c r="E25" s="1">
        <f>VLOOKUP(RIGHT(C25,8),'[6]Export shipment'!B$8:E$1256,4,0)</f>
        <v>1.5</v>
      </c>
      <c r="F25" s="1"/>
      <c r="G25" s="59">
        <v>15.146351622552917</v>
      </c>
      <c r="H25" s="1"/>
      <c r="I25" s="139">
        <f t="shared" si="0"/>
        <v>16.646351622552917</v>
      </c>
      <c r="J25" s="140"/>
      <c r="K25" s="140"/>
      <c r="L25"/>
    </row>
    <row r="26" spans="1:12" hidden="1" outlineLevel="2">
      <c r="A26" s="137">
        <v>45962</v>
      </c>
      <c r="B26" s="1" t="s">
        <v>789</v>
      </c>
      <c r="C26" s="1" t="s">
        <v>791</v>
      </c>
      <c r="D26" s="1" t="str">
        <f>VLOOKUP(RIGHT(C26,8),'[6]Export shipment'!B$8:J$1256,9,0)</f>
        <v>FedEx</v>
      </c>
      <c r="E26" s="1">
        <f>VLOOKUP(RIGHT(C26,8),'[6]Export shipment'!B$8:E$1256,4,0)</f>
        <v>16.5</v>
      </c>
      <c r="F26" s="1"/>
      <c r="G26" s="59">
        <v>15.146351622552917</v>
      </c>
      <c r="H26" s="1"/>
      <c r="I26" s="139">
        <f t="shared" si="0"/>
        <v>31.646351622552917</v>
      </c>
      <c r="J26" s="140"/>
      <c r="K26" s="140"/>
      <c r="L26"/>
    </row>
    <row r="27" spans="1:12" hidden="1" outlineLevel="2">
      <c r="A27" s="137">
        <v>45962</v>
      </c>
      <c r="B27" s="1" t="s">
        <v>788</v>
      </c>
      <c r="C27" s="1" t="s">
        <v>792</v>
      </c>
      <c r="D27" s="1" t="str">
        <f>VLOOKUP(RIGHT(C27,8),'[6]Export shipment'!B$8:J$1256,9,0)</f>
        <v>FedEx</v>
      </c>
      <c r="E27" s="1">
        <f>VLOOKUP(RIGHT(C27,8),'[6]Export shipment'!B$8:E$1256,4,0)</f>
        <v>2.7</v>
      </c>
      <c r="F27" s="1"/>
      <c r="G27" s="59">
        <v>15.146351622552917</v>
      </c>
      <c r="H27" s="1"/>
      <c r="I27" s="139">
        <f t="shared" si="0"/>
        <v>17.846351622552916</v>
      </c>
      <c r="J27" s="140"/>
      <c r="K27" s="140"/>
      <c r="L27"/>
    </row>
    <row r="28" spans="1:12" hidden="1" outlineLevel="2">
      <c r="A28" s="137">
        <v>45962</v>
      </c>
      <c r="B28" s="1" t="s">
        <v>796</v>
      </c>
      <c r="C28" s="1" t="s">
        <v>793</v>
      </c>
      <c r="D28" s="1" t="str">
        <f>VLOOKUP(RIGHT(C28,8),'[6]Export shipment'!B$8:J$1256,9,0)</f>
        <v>FedEx</v>
      </c>
      <c r="E28" s="1">
        <f>VLOOKUP(RIGHT(C28,8),'[6]Export shipment'!B$8:E$1256,4,0)</f>
        <v>0.7</v>
      </c>
      <c r="F28" s="1"/>
      <c r="G28" s="59"/>
      <c r="H28" s="59">
        <v>27.18</v>
      </c>
      <c r="I28" s="139">
        <f t="shared" si="0"/>
        <v>27.88</v>
      </c>
      <c r="J28" s="140"/>
      <c r="K28" s="140"/>
      <c r="L28"/>
    </row>
    <row r="29" spans="1:12" hidden="1" outlineLevel="2">
      <c r="A29" s="137">
        <v>45962</v>
      </c>
      <c r="B29" s="1" t="s">
        <v>796</v>
      </c>
      <c r="C29" s="1" t="s">
        <v>794</v>
      </c>
      <c r="D29" s="1" t="str">
        <f>VLOOKUP(RIGHT(C29,8),'[6]Export shipment'!B$8:J$1256,9,0)</f>
        <v>FedEx</v>
      </c>
      <c r="E29" s="1">
        <f>VLOOKUP(RIGHT(C29,8),'[6]Export shipment'!B$8:E$1256,4,0)</f>
        <v>0.7</v>
      </c>
      <c r="F29" s="1"/>
      <c r="G29" s="59"/>
      <c r="H29" s="59">
        <v>27.18</v>
      </c>
      <c r="I29" s="139">
        <f t="shared" si="0"/>
        <v>27.88</v>
      </c>
      <c r="J29" s="140"/>
      <c r="K29" s="140"/>
      <c r="L29"/>
    </row>
    <row r="30" spans="1:12" hidden="1" outlineLevel="2">
      <c r="A30" s="137">
        <v>45962</v>
      </c>
      <c r="B30" s="1" t="s">
        <v>786</v>
      </c>
      <c r="C30" s="1" t="s">
        <v>795</v>
      </c>
      <c r="D30" s="1" t="str">
        <f>VLOOKUP(RIGHT(C30,8),'[6]Export shipment'!B$8:J$1256,9,0)</f>
        <v>FedEx</v>
      </c>
      <c r="E30" s="1">
        <f>VLOOKUP(RIGHT(C30,8),'[6]Export shipment'!B$8:E$1256,4,0)</f>
        <v>0.5</v>
      </c>
      <c r="F30" s="1"/>
      <c r="G30" s="59"/>
      <c r="H30" s="59">
        <v>15.879999999999995</v>
      </c>
      <c r="I30" s="139">
        <f t="shared" si="0"/>
        <v>16.379999999999995</v>
      </c>
      <c r="J30" s="140"/>
      <c r="K30" s="140"/>
      <c r="L30"/>
    </row>
    <row r="31" spans="1:12" outlineLevel="1" collapsed="1">
      <c r="A31" s="725" t="s">
        <v>892</v>
      </c>
      <c r="B31" s="1"/>
      <c r="C31" s="1"/>
      <c r="D31" s="1"/>
      <c r="E31" s="1">
        <f>SUBTOTAL(9,E3:E30)</f>
        <v>401</v>
      </c>
      <c r="F31" s="1">
        <f>SUBTOTAL(9,F3:F30)</f>
        <v>0</v>
      </c>
      <c r="G31" s="59">
        <f>SUBTOTAL(9,G3:G30)</f>
        <v>378.65879056382289</v>
      </c>
      <c r="H31" s="59">
        <f>SUBTOTAL(9,H3:H30)</f>
        <v>70.239999999999995</v>
      </c>
      <c r="I31" s="139">
        <f>SUBTOTAL(9,I3:I30)</f>
        <v>849.89879056382301</v>
      </c>
      <c r="J31" s="140"/>
      <c r="K31" s="140"/>
      <c r="L31"/>
    </row>
    <row r="32" spans="1:12" hidden="1" outlineLevel="2">
      <c r="A32" s="137">
        <v>45992</v>
      </c>
      <c r="B32" s="1" t="s">
        <v>992</v>
      </c>
      <c r="C32" s="1" t="s">
        <v>991</v>
      </c>
      <c r="D32" s="1" t="str">
        <f>VLOOKUP(RIGHT(C32,8),'[6]Export shipment'!B$8:J$1256,9,0)</f>
        <v>DHL</v>
      </c>
      <c r="E32" s="1">
        <f>VLOOKUP(RIGHT(C32,8),'[6]Export shipment'!B$8:E$1256,4,0)</f>
        <v>3.1</v>
      </c>
      <c r="F32" s="1"/>
      <c r="G32" s="59">
        <v>15.16300227445034</v>
      </c>
      <c r="H32" s="1"/>
      <c r="I32" s="139">
        <f t="shared" ref="I32:I46" si="1">SUM(G32:H32)</f>
        <v>15.16300227445034</v>
      </c>
      <c r="J32" s="140"/>
      <c r="K32" s="140"/>
      <c r="L32"/>
    </row>
    <row r="33" spans="1:11" customFormat="1" hidden="1" outlineLevel="2">
      <c r="A33" s="137">
        <v>45992</v>
      </c>
      <c r="B33" s="1" t="s">
        <v>994</v>
      </c>
      <c r="C33" s="1" t="s">
        <v>993</v>
      </c>
      <c r="D33" s="1" t="str">
        <f>VLOOKUP(RIGHT(C33,8),'[6]Export shipment'!B$8:J$1256,9,0)</f>
        <v>FedEx</v>
      </c>
      <c r="E33" s="1">
        <f>VLOOKUP(RIGHT(C33,8),'[6]Export shipment'!B$8:E$1256,4,0)</f>
        <v>1.8</v>
      </c>
      <c r="F33" s="1"/>
      <c r="G33" s="59">
        <v>15.16300227445034</v>
      </c>
      <c r="H33" s="1"/>
      <c r="I33" s="139">
        <f t="shared" si="1"/>
        <v>15.16300227445034</v>
      </c>
      <c r="J33" s="140"/>
      <c r="K33" s="140"/>
    </row>
    <row r="34" spans="1:11" customFormat="1" hidden="1" outlineLevel="2">
      <c r="A34" s="137">
        <v>45992</v>
      </c>
      <c r="B34" s="1" t="s">
        <v>999</v>
      </c>
      <c r="C34" s="1" t="s">
        <v>998</v>
      </c>
      <c r="D34" s="1" t="str">
        <f>VLOOKUP(RIGHT(C34,8),'[6]Export shipment'!B$8:J$1256,9,0)</f>
        <v>FedEx</v>
      </c>
      <c r="E34" s="1">
        <f>VLOOKUP(RIGHT(C34,8),'[6]Export shipment'!B$8:E$1256,4,0)</f>
        <v>0.8</v>
      </c>
      <c r="F34" s="1"/>
      <c r="G34" s="59">
        <v>15.16300227445034</v>
      </c>
      <c r="H34" s="59">
        <v>55.22935442001517</v>
      </c>
      <c r="I34" s="139">
        <f t="shared" si="1"/>
        <v>70.392356694465505</v>
      </c>
      <c r="J34" s="140"/>
      <c r="K34" s="140"/>
    </row>
    <row r="35" spans="1:11" customFormat="1" hidden="1" outlineLevel="2">
      <c r="A35" s="137">
        <v>45992</v>
      </c>
      <c r="B35" s="1" t="s">
        <v>1001</v>
      </c>
      <c r="C35" s="1" t="s">
        <v>1000</v>
      </c>
      <c r="D35" s="1" t="str">
        <f>VLOOKUP(RIGHT(C35,8),'[6]Export shipment'!B$8:J$1256,9,0)</f>
        <v>FedEx</v>
      </c>
      <c r="E35" s="1">
        <f>VLOOKUP(RIGHT(C35,8),'[6]Export shipment'!B$8:E$1256,4,0)</f>
        <v>7.1</v>
      </c>
      <c r="F35" s="1"/>
      <c r="G35" s="59">
        <v>15.16300227445034</v>
      </c>
      <c r="H35" s="1"/>
      <c r="I35" s="139">
        <f t="shared" si="1"/>
        <v>15.16300227445034</v>
      </c>
      <c r="J35" s="140"/>
      <c r="K35" s="140"/>
    </row>
    <row r="36" spans="1:11" customFormat="1" hidden="1" outlineLevel="2">
      <c r="A36" s="137">
        <v>45992</v>
      </c>
      <c r="B36" s="1" t="s">
        <v>82</v>
      </c>
      <c r="C36" s="1" t="s">
        <v>1003</v>
      </c>
      <c r="D36" s="1" t="str">
        <f>VLOOKUP(RIGHT(C36,8),'[6]Export shipment'!B$8:J$1256,9,0)</f>
        <v>DHL</v>
      </c>
      <c r="E36" s="1">
        <f>VLOOKUP(RIGHT(C36,8),'[6]Export shipment'!B$8:E$1256,4,0)</f>
        <v>7</v>
      </c>
      <c r="F36" s="1"/>
      <c r="G36" s="59">
        <v>15.16300227445034</v>
      </c>
      <c r="H36" s="1"/>
      <c r="I36" s="139">
        <f t="shared" si="1"/>
        <v>15.16300227445034</v>
      </c>
      <c r="J36" s="140"/>
      <c r="K36" s="140"/>
    </row>
    <row r="37" spans="1:11" customFormat="1" hidden="1" outlineLevel="2">
      <c r="A37" s="137">
        <v>45992</v>
      </c>
      <c r="B37" s="1" t="s">
        <v>1005</v>
      </c>
      <c r="C37" s="1" t="s">
        <v>1004</v>
      </c>
      <c r="D37" s="1" t="str">
        <f>VLOOKUP(RIGHT(C37,8),'[6]Export shipment'!B$8:J$1256,9,0)</f>
        <v>FedEx</v>
      </c>
      <c r="E37" s="1">
        <f>VLOOKUP(RIGHT(C37,8),'[6]Export shipment'!B$8:E$1256,4,0)</f>
        <v>31.2</v>
      </c>
      <c r="F37" s="1"/>
      <c r="G37" s="59">
        <v>15.16300227445034</v>
      </c>
      <c r="H37" s="1"/>
      <c r="I37" s="139">
        <f t="shared" si="1"/>
        <v>15.16300227445034</v>
      </c>
      <c r="J37" s="140"/>
      <c r="K37" s="140"/>
    </row>
    <row r="38" spans="1:11" customFormat="1" hidden="1" outlineLevel="2">
      <c r="A38" s="137">
        <v>45992</v>
      </c>
      <c r="B38" s="1" t="s">
        <v>997</v>
      </c>
      <c r="C38" s="1" t="s">
        <v>1006</v>
      </c>
      <c r="D38" s="1" t="str">
        <f>VLOOKUP(RIGHT(C38,8),'[6]Export shipment'!B$8:J$1256,9,0)</f>
        <v>FedEx</v>
      </c>
      <c r="E38" s="1">
        <f>VLOOKUP(RIGHT(C38,8),'[6]Export shipment'!B$8:E$1256,4,0)</f>
        <v>2.6</v>
      </c>
      <c r="F38" s="1"/>
      <c r="G38" s="59">
        <v>15.16300227445034</v>
      </c>
      <c r="H38" s="1"/>
      <c r="I38" s="139">
        <f t="shared" si="1"/>
        <v>15.16300227445034</v>
      </c>
      <c r="J38" s="140"/>
      <c r="K38" s="140"/>
    </row>
    <row r="39" spans="1:11" customFormat="1" hidden="1" outlineLevel="2">
      <c r="A39" s="137">
        <v>45992</v>
      </c>
      <c r="B39" s="1" t="s">
        <v>1005</v>
      </c>
      <c r="C39" s="1" t="s">
        <v>1010</v>
      </c>
      <c r="D39" s="1" t="str">
        <f>VLOOKUP(RIGHT(C39,8),'[6]Export shipment'!B$8:J$1256,9,0)</f>
        <v>FedEx</v>
      </c>
      <c r="E39" s="1">
        <f>VLOOKUP(RIGHT(C39,8),'[6]Export shipment'!B$8:E$1256,4,0)</f>
        <v>14.4</v>
      </c>
      <c r="F39" s="1"/>
      <c r="G39" s="59">
        <v>15.16300227445034</v>
      </c>
      <c r="H39" s="1"/>
      <c r="I39" s="139">
        <f t="shared" si="1"/>
        <v>15.16300227445034</v>
      </c>
      <c r="J39" s="140"/>
      <c r="K39" s="140"/>
    </row>
    <row r="40" spans="1:11" customFormat="1" hidden="1" outlineLevel="2">
      <c r="A40" s="137">
        <v>45992</v>
      </c>
      <c r="B40" s="1" t="s">
        <v>1005</v>
      </c>
      <c r="C40" s="1" t="s">
        <v>1034</v>
      </c>
      <c r="D40" s="1" t="str">
        <f>VLOOKUP(RIGHT(C40,8),'[6]Export shipment'!B$8:J$1256,9,0)</f>
        <v>FedEx</v>
      </c>
      <c r="E40" s="1">
        <f>VLOOKUP(RIGHT(C40,8),'[6]Export shipment'!B$8:E$1256,4,0)</f>
        <v>14.299999999999999</v>
      </c>
      <c r="F40" s="1"/>
      <c r="G40" s="59">
        <v>15.16300227445034</v>
      </c>
      <c r="H40" s="1"/>
      <c r="I40" s="139">
        <f t="shared" si="1"/>
        <v>15.16300227445034</v>
      </c>
      <c r="J40" s="140"/>
      <c r="K40" s="140"/>
    </row>
    <row r="41" spans="1:11" customFormat="1" hidden="1" outlineLevel="2">
      <c r="A41" s="137">
        <v>45992</v>
      </c>
      <c r="B41" s="1" t="s">
        <v>1038</v>
      </c>
      <c r="C41" s="1" t="s">
        <v>1037</v>
      </c>
      <c r="D41" s="1" t="str">
        <f>VLOOKUP(RIGHT(C41,8),'[6]Export shipment'!B$8:J$1256,9,0)</f>
        <v>FedEx</v>
      </c>
      <c r="E41" s="1">
        <f>VLOOKUP(RIGHT(C41,8),'[6]Export shipment'!B$8:E$1256,4,0)</f>
        <v>12.6</v>
      </c>
      <c r="F41" s="1"/>
      <c r="G41" s="59">
        <v>15.16300227445034</v>
      </c>
      <c r="H41" s="1"/>
      <c r="I41" s="139">
        <f t="shared" si="1"/>
        <v>15.16300227445034</v>
      </c>
      <c r="J41" s="140"/>
      <c r="K41" s="140"/>
    </row>
    <row r="42" spans="1:11" customFormat="1" hidden="1" outlineLevel="2">
      <c r="A42" s="137">
        <v>45992</v>
      </c>
      <c r="B42" s="1" t="s">
        <v>1051</v>
      </c>
      <c r="C42" s="1" t="s">
        <v>1050</v>
      </c>
      <c r="D42" s="1" t="str">
        <f>VLOOKUP(RIGHT(C42,8),'[6]Export shipment'!B$8:J$1256,9,0)</f>
        <v>FedEx</v>
      </c>
      <c r="E42" s="1">
        <f>VLOOKUP(RIGHT(C42,8),'[6]Export shipment'!B$8:E$1256,4,0)</f>
        <v>24.599999999999998</v>
      </c>
      <c r="F42" s="1"/>
      <c r="G42" s="59">
        <v>15.16300227445034</v>
      </c>
      <c r="H42" s="1"/>
      <c r="I42" s="139">
        <f t="shared" si="1"/>
        <v>15.16300227445034</v>
      </c>
      <c r="J42" s="140"/>
      <c r="K42" s="140"/>
    </row>
    <row r="43" spans="1:11" customFormat="1" hidden="1" outlineLevel="2">
      <c r="A43" s="137">
        <v>45992</v>
      </c>
      <c r="B43" s="1" t="s">
        <v>1051</v>
      </c>
      <c r="C43" s="1" t="s">
        <v>1052</v>
      </c>
      <c r="D43" s="1" t="str">
        <f>VLOOKUP(RIGHT(C43,8),'[6]Export shipment'!B$8:J$1256,9,0)</f>
        <v>FedEx</v>
      </c>
      <c r="E43" s="1">
        <f>VLOOKUP(RIGHT(C43,8),'[6]Export shipment'!B$8:E$1256,4,0)</f>
        <v>9.7999999999999989</v>
      </c>
      <c r="F43" s="1"/>
      <c r="G43" s="59">
        <v>15.16300227445034</v>
      </c>
      <c r="H43" s="1"/>
      <c r="I43" s="139">
        <f t="shared" si="1"/>
        <v>15.16300227445034</v>
      </c>
      <c r="J43" s="140"/>
      <c r="K43" s="140"/>
    </row>
    <row r="44" spans="1:11" customFormat="1" hidden="1" outlineLevel="2">
      <c r="A44" s="137">
        <v>45992</v>
      </c>
      <c r="B44" s="1" t="s">
        <v>1038</v>
      </c>
      <c r="C44" s="1" t="s">
        <v>1062</v>
      </c>
      <c r="D44" s="1" t="str">
        <f>VLOOKUP(RIGHT(C44,8),'[6]Export shipment'!B$8:J$1256,9,0)</f>
        <v>FedEx</v>
      </c>
      <c r="E44" s="1">
        <f>VLOOKUP(RIGHT(C44,8),'[6]Export shipment'!B$8:E$1256,4,0)</f>
        <v>2.6</v>
      </c>
      <c r="F44" s="1"/>
      <c r="G44" s="59">
        <v>15.16300227445034</v>
      </c>
      <c r="H44" s="1"/>
      <c r="I44" s="139">
        <f t="shared" si="1"/>
        <v>15.16300227445034</v>
      </c>
      <c r="J44" s="140"/>
      <c r="K44" s="140"/>
    </row>
    <row r="45" spans="1:11" customFormat="1" hidden="1" outlineLevel="2">
      <c r="A45" s="137">
        <v>45992</v>
      </c>
      <c r="B45" s="1" t="s">
        <v>1084</v>
      </c>
      <c r="C45" s="1" t="s">
        <v>1083</v>
      </c>
      <c r="D45" s="1" t="str">
        <f>VLOOKUP(RIGHT(C45,8),'[6]Export shipment'!B$8:J$1256,9,0)</f>
        <v>FedEx</v>
      </c>
      <c r="E45" s="1">
        <f>VLOOKUP(RIGHT(C45,8),'[6]Export shipment'!B$8:E$1256,4,0)</f>
        <v>9.8000000000000007</v>
      </c>
      <c r="F45" s="1"/>
      <c r="G45" s="59">
        <v>15.16300227445034</v>
      </c>
      <c r="H45" s="1"/>
      <c r="I45" s="139">
        <f t="shared" si="1"/>
        <v>15.16300227445034</v>
      </c>
      <c r="J45" s="140"/>
      <c r="K45" s="140"/>
    </row>
    <row r="46" spans="1:11" customFormat="1" hidden="1" outlineLevel="2">
      <c r="A46" s="137">
        <v>45992</v>
      </c>
      <c r="B46" s="1" t="s">
        <v>1051</v>
      </c>
      <c r="C46" s="1" t="s">
        <v>1085</v>
      </c>
      <c r="D46" s="1" t="str">
        <f>VLOOKUP(RIGHT(C46,8),'[6]Export shipment'!B$8:J$1256,9,0)</f>
        <v>FedEx</v>
      </c>
      <c r="E46" s="1">
        <f>VLOOKUP(RIGHT(C46,8),'[6]Export shipment'!B$8:E$1256,4,0)</f>
        <v>20.5</v>
      </c>
      <c r="F46" s="1"/>
      <c r="G46" s="59">
        <v>15.16300227445034</v>
      </c>
      <c r="H46" s="1"/>
      <c r="I46" s="139">
        <f t="shared" si="1"/>
        <v>15.16300227445034</v>
      </c>
      <c r="J46" s="140"/>
      <c r="K46" s="140"/>
    </row>
    <row r="47" spans="1:11" customFormat="1" outlineLevel="1" collapsed="1">
      <c r="A47" s="138" t="s">
        <v>1265</v>
      </c>
      <c r="B47" s="1"/>
      <c r="C47" s="1"/>
      <c r="D47" s="1"/>
      <c r="E47" s="1">
        <f>SUBTOTAL(9,E32:E46)</f>
        <v>162.19999999999999</v>
      </c>
      <c r="F47" s="1">
        <f>SUBTOTAL(9,F32:F46)</f>
        <v>0</v>
      </c>
      <c r="G47" s="59">
        <f>SUBTOTAL(9,G32:G46)</f>
        <v>227.44503411675515</v>
      </c>
      <c r="H47" s="1">
        <f>SUBTOTAL(9,H32:H46)</f>
        <v>55.22935442001517</v>
      </c>
      <c r="I47" s="139">
        <f>SUBTOTAL(9,I32:I46)</f>
        <v>282.67438853677032</v>
      </c>
      <c r="J47" s="140"/>
      <c r="K47" s="140"/>
    </row>
    <row r="48" spans="1:11" customFormat="1" hidden="1" outlineLevel="2">
      <c r="A48" s="138">
        <v>46048</v>
      </c>
      <c r="B48" s="1" t="s">
        <v>1318</v>
      </c>
      <c r="C48" s="1" t="s">
        <v>1343</v>
      </c>
      <c r="D48" s="1" t="str">
        <f>VLOOKUP(RIGHT(C48,8),'[6]Export shipment'!B$8:J$1256,9,0)</f>
        <v>FedEx</v>
      </c>
      <c r="E48" s="1">
        <f>VLOOKUP(RIGHT(C48,8),'[6]Export shipment'!B$8:E$1256,4,0)</f>
        <v>1.3</v>
      </c>
      <c r="F48" s="1"/>
      <c r="G48" s="59">
        <v>15.30221882172915</v>
      </c>
      <c r="H48" s="1"/>
      <c r="I48" s="139">
        <f>SUM(G48:H48)</f>
        <v>15.30221882172915</v>
      </c>
      <c r="J48" s="140"/>
      <c r="K48" s="140"/>
    </row>
    <row r="49" spans="1:11" customFormat="1" hidden="1" outlineLevel="2">
      <c r="A49" s="138">
        <v>46048</v>
      </c>
      <c r="B49" s="1" t="s">
        <v>1051</v>
      </c>
      <c r="C49" s="1" t="s">
        <v>1349</v>
      </c>
      <c r="D49" s="1" t="str">
        <f>VLOOKUP(RIGHT(C49,8),'[6]Export shipment'!B$8:J$1256,9,0)</f>
        <v>FedEx</v>
      </c>
      <c r="E49" s="1">
        <f>VLOOKUP(RIGHT(C49,8),'[6]Export shipment'!B$8:E$1256,4,0)</f>
        <v>32.799999999999997</v>
      </c>
      <c r="F49" s="1"/>
      <c r="G49" s="59">
        <v>15.30221882172915</v>
      </c>
      <c r="H49" s="1"/>
      <c r="I49" s="139">
        <f>SUM(G49:H49)</f>
        <v>15.30221882172915</v>
      </c>
      <c r="J49" s="140"/>
      <c r="K49" s="140"/>
    </row>
    <row r="50" spans="1:11" customFormat="1" hidden="1" outlineLevel="2">
      <c r="A50" s="138">
        <v>46048</v>
      </c>
      <c r="B50" s="1" t="s">
        <v>1051</v>
      </c>
      <c r="C50" s="1" t="s">
        <v>1350</v>
      </c>
      <c r="D50" s="1" t="str">
        <f>VLOOKUP(RIGHT(C50,8),'[6]Export shipment'!B$8:J$1256,9,0)</f>
        <v>FedEx</v>
      </c>
      <c r="E50" s="1">
        <f>VLOOKUP(RIGHT(C50,8),'[6]Export shipment'!B$8:E$1256,4,0)</f>
        <v>26.2</v>
      </c>
      <c r="F50" s="1"/>
      <c r="G50" s="59">
        <v>15.30221882172915</v>
      </c>
      <c r="H50" s="1"/>
      <c r="I50" s="139">
        <f>SUM(G50:H50)</f>
        <v>15.30221882172915</v>
      </c>
      <c r="J50" s="140"/>
      <c r="K50" s="140"/>
    </row>
    <row r="51" spans="1:11" customFormat="1" outlineLevel="1" collapsed="1">
      <c r="A51" s="138" t="s">
        <v>1407</v>
      </c>
      <c r="B51" s="1"/>
      <c r="C51" s="1"/>
      <c r="D51" s="1"/>
      <c r="E51" s="1">
        <f>SUBTOTAL(9,E48:E50)</f>
        <v>60.3</v>
      </c>
      <c r="F51" s="1">
        <f>SUBTOTAL(9,F48:F50)</f>
        <v>0</v>
      </c>
      <c r="G51" s="59">
        <f>SUBTOTAL(9,G48:G50)</f>
        <v>45.906656465187453</v>
      </c>
      <c r="H51" s="1">
        <f>SUBTOTAL(9,H48:H50)</f>
        <v>0</v>
      </c>
      <c r="I51" s="139">
        <f>SUBTOTAL(9,I48:I50)</f>
        <v>45.906656465187453</v>
      </c>
      <c r="J51" s="140"/>
      <c r="K51" s="140"/>
    </row>
    <row r="52" spans="1:11" customFormat="1" hidden="1" outlineLevel="2">
      <c r="A52" s="137">
        <v>46054</v>
      </c>
      <c r="B52" s="1" t="s">
        <v>110</v>
      </c>
      <c r="C52" s="1" t="s">
        <v>1529</v>
      </c>
      <c r="D52" s="1" t="s">
        <v>655</v>
      </c>
      <c r="E52" s="1">
        <v>0.8</v>
      </c>
      <c r="F52" s="59">
        <v>18.246094195461286</v>
      </c>
      <c r="G52" s="59">
        <v>24.708252556353823</v>
      </c>
      <c r="H52" s="59">
        <v>60.670505948986964</v>
      </c>
      <c r="I52" s="139">
        <f>SUM(G52:H52)</f>
        <v>85.378758505340784</v>
      </c>
      <c r="J52" s="140"/>
      <c r="K52" s="140"/>
    </row>
    <row r="53" spans="1:11" customFormat="1" hidden="1" outlineLevel="2">
      <c r="A53" s="137">
        <v>46054</v>
      </c>
      <c r="B53" s="1" t="s">
        <v>1587</v>
      </c>
      <c r="C53" s="1" t="s">
        <v>1584</v>
      </c>
      <c r="D53" s="1" t="s">
        <v>85</v>
      </c>
      <c r="E53" s="1">
        <v>626</v>
      </c>
      <c r="F53" s="59"/>
      <c r="G53" s="59"/>
      <c r="H53" s="59">
        <v>1268.7800000000002</v>
      </c>
      <c r="I53" s="139">
        <f t="shared" ref="I53:I74" si="2">SUM(G53:H53)</f>
        <v>1268.7800000000002</v>
      </c>
      <c r="J53" s="140"/>
      <c r="K53" s="140"/>
    </row>
    <row r="54" spans="1:11" customFormat="1" hidden="1" outlineLevel="2">
      <c r="A54" s="137">
        <v>46054</v>
      </c>
      <c r="B54" s="1" t="s">
        <v>1588</v>
      </c>
      <c r="C54" s="1" t="s">
        <v>1585</v>
      </c>
      <c r="D54" s="1" t="s">
        <v>85</v>
      </c>
      <c r="E54" s="1">
        <v>1069</v>
      </c>
      <c r="F54" s="59">
        <v>28.509522180408258</v>
      </c>
      <c r="G54" s="59">
        <v>24.708252556353823</v>
      </c>
      <c r="H54" s="59">
        <v>1968.7</v>
      </c>
      <c r="I54" s="139">
        <f t="shared" si="2"/>
        <v>1993.4082525563538</v>
      </c>
      <c r="J54" s="140"/>
      <c r="K54" s="140"/>
    </row>
    <row r="55" spans="1:11" customFormat="1" outlineLevel="1" collapsed="1">
      <c r="A55" s="138" t="s">
        <v>1609</v>
      </c>
      <c r="B55" s="1"/>
      <c r="C55" s="1"/>
      <c r="D55" s="1"/>
      <c r="E55" s="1">
        <f>SUBTOTAL(9,E52:E54)</f>
        <v>1695.8</v>
      </c>
      <c r="F55" s="59">
        <f>SUBTOTAL(9,F52:F54)</f>
        <v>46.755616375869543</v>
      </c>
      <c r="G55" s="59">
        <f>SUBTOTAL(9,G52:G54)</f>
        <v>49.416505112707647</v>
      </c>
      <c r="H55" s="59">
        <f>SUBTOTAL(9,H52:H54)</f>
        <v>3298.1505059489873</v>
      </c>
      <c r="I55" s="139">
        <f>SUBTOTAL(9,I52:I54)</f>
        <v>3347.5670110616948</v>
      </c>
      <c r="J55" s="140"/>
      <c r="K55" s="140"/>
    </row>
    <row r="56" spans="1:11" customFormat="1" hidden="1" outlineLevel="2">
      <c r="A56" s="137">
        <v>46082</v>
      </c>
      <c r="B56" s="1" t="s">
        <v>1727</v>
      </c>
      <c r="C56" s="1" t="s">
        <v>1667</v>
      </c>
      <c r="D56" s="1" t="s">
        <v>655</v>
      </c>
      <c r="E56" s="1"/>
      <c r="F56" s="59">
        <v>0</v>
      </c>
      <c r="G56" s="59">
        <v>24.655767553009902</v>
      </c>
      <c r="H56" s="59">
        <v>30.824640594772976</v>
      </c>
      <c r="I56" s="139">
        <f t="shared" si="2"/>
        <v>55.480408147782882</v>
      </c>
      <c r="J56" s="140"/>
      <c r="K56" s="140"/>
    </row>
    <row r="57" spans="1:11" customFormat="1" hidden="1" outlineLevel="2">
      <c r="A57" s="137">
        <v>46082</v>
      </c>
      <c r="B57" s="1" t="s">
        <v>1727</v>
      </c>
      <c r="C57" s="1" t="s">
        <v>1667</v>
      </c>
      <c r="D57" s="1" t="s">
        <v>655</v>
      </c>
      <c r="E57" s="1"/>
      <c r="F57" s="59">
        <v>18.207336039145773</v>
      </c>
      <c r="G57" s="59">
        <v>24.655767553009902</v>
      </c>
      <c r="H57" s="59"/>
      <c r="I57" s="139">
        <f t="shared" si="2"/>
        <v>24.655767553009902</v>
      </c>
      <c r="J57" s="140"/>
      <c r="K57" s="140"/>
    </row>
    <row r="58" spans="1:11" customFormat="1" hidden="1" outlineLevel="2">
      <c r="A58" s="137">
        <v>46082</v>
      </c>
      <c r="B58" s="1" t="s">
        <v>1318</v>
      </c>
      <c r="C58" s="1" t="s">
        <v>1668</v>
      </c>
      <c r="D58" s="1" t="s">
        <v>655</v>
      </c>
      <c r="E58" s="1"/>
      <c r="F58" s="59">
        <v>0</v>
      </c>
      <c r="G58" s="59">
        <v>24.655767553009902</v>
      </c>
      <c r="H58" s="59">
        <v>40.518340097864431</v>
      </c>
      <c r="I58" s="139">
        <f t="shared" si="2"/>
        <v>65.174107650874333</v>
      </c>
      <c r="J58" s="140"/>
      <c r="K58" s="140"/>
    </row>
    <row r="59" spans="1:11" customFormat="1" hidden="1" outlineLevel="2">
      <c r="A59" s="137">
        <v>46082</v>
      </c>
      <c r="B59" s="1" t="s">
        <v>1729</v>
      </c>
      <c r="C59" s="1" t="s">
        <v>1679</v>
      </c>
      <c r="D59" s="1" t="s">
        <v>655</v>
      </c>
      <c r="E59" s="1"/>
      <c r="F59" s="59">
        <v>0</v>
      </c>
      <c r="G59" s="59">
        <v>24.655767553009902</v>
      </c>
      <c r="H59" s="59">
        <v>44.503470773432461</v>
      </c>
      <c r="I59" s="139">
        <f t="shared" si="2"/>
        <v>69.159238326442363</v>
      </c>
      <c r="J59" s="140"/>
      <c r="K59" s="140"/>
    </row>
    <row r="60" spans="1:11" customFormat="1" hidden="1" outlineLevel="2">
      <c r="A60" s="137">
        <v>46082</v>
      </c>
      <c r="B60" s="1" t="s">
        <v>1318</v>
      </c>
      <c r="C60" s="1" t="s">
        <v>1684</v>
      </c>
      <c r="D60" s="1" t="s">
        <v>655</v>
      </c>
      <c r="E60" s="1"/>
      <c r="F60" s="59">
        <v>18.207336039145773</v>
      </c>
      <c r="G60" s="59">
        <v>24.655767553009902</v>
      </c>
      <c r="H60" s="59"/>
      <c r="I60" s="139">
        <f t="shared" si="2"/>
        <v>24.655767553009902</v>
      </c>
      <c r="J60" s="140"/>
      <c r="K60" s="140"/>
    </row>
    <row r="61" spans="1:11" customFormat="1" outlineLevel="1" collapsed="1">
      <c r="A61" s="138" t="s">
        <v>1750</v>
      </c>
      <c r="B61" s="1"/>
      <c r="C61" s="1"/>
      <c r="D61" s="1"/>
      <c r="E61" s="693">
        <f>SUBTOTAL(9,E56:E60)</f>
        <v>0</v>
      </c>
      <c r="F61" s="59">
        <f>SUBTOTAL(9,F56:F60)</f>
        <v>36.414672078291545</v>
      </c>
      <c r="G61" s="59">
        <f>SUBTOTAL(9,G56:G60)</f>
        <v>123.2788377650495</v>
      </c>
      <c r="H61" s="59">
        <f>SUBTOTAL(9,H56:H60)</f>
        <v>115.84645146606988</v>
      </c>
      <c r="I61" s="139">
        <f>SUBTOTAL(9,I56:I60)</f>
        <v>239.12528923111938</v>
      </c>
      <c r="J61" s="140"/>
      <c r="K61" s="140"/>
    </row>
    <row r="62" spans="1:11" customFormat="1" hidden="1" outlineLevel="2">
      <c r="A62" s="138">
        <v>46113</v>
      </c>
      <c r="B62" s="1" t="s">
        <v>1318</v>
      </c>
      <c r="C62" s="1" t="s">
        <v>1888</v>
      </c>
      <c r="D62" s="1" t="s">
        <v>655</v>
      </c>
      <c r="E62" s="693"/>
      <c r="F62" s="59"/>
      <c r="G62" s="59">
        <v>0</v>
      </c>
      <c r="H62" s="59">
        <v>42.913490347783217</v>
      </c>
      <c r="I62" s="139">
        <f t="shared" si="2"/>
        <v>42.913490347783217</v>
      </c>
      <c r="J62" s="140"/>
      <c r="K62" s="140"/>
    </row>
    <row r="63" spans="1:11" customFormat="1" hidden="1" outlineLevel="2">
      <c r="A63" s="138">
        <v>46113</v>
      </c>
      <c r="B63" s="1" t="s">
        <v>110</v>
      </c>
      <c r="C63" s="1" t="s">
        <v>1889</v>
      </c>
      <c r="D63" s="1" t="s">
        <v>655</v>
      </c>
      <c r="E63" s="693"/>
      <c r="F63" s="59"/>
      <c r="G63" s="59">
        <v>15.170478249326811</v>
      </c>
      <c r="H63" s="59">
        <v>57.143057609891152</v>
      </c>
      <c r="I63" s="139">
        <f t="shared" si="2"/>
        <v>72.313535859217964</v>
      </c>
      <c r="J63" s="140"/>
      <c r="K63" s="140"/>
    </row>
    <row r="64" spans="1:11" customFormat="1" hidden="1" outlineLevel="2">
      <c r="A64" s="138">
        <v>46113</v>
      </c>
      <c r="B64" s="1" t="s">
        <v>110</v>
      </c>
      <c r="C64" s="1" t="s">
        <v>1829</v>
      </c>
      <c r="D64" s="1" t="s">
        <v>655</v>
      </c>
      <c r="E64" s="693"/>
      <c r="F64" s="59">
        <v>0</v>
      </c>
      <c r="G64" s="59">
        <v>15.170478249326811</v>
      </c>
      <c r="H64" s="59">
        <v>0</v>
      </c>
      <c r="I64" s="139">
        <f t="shared" si="2"/>
        <v>15.170478249326811</v>
      </c>
      <c r="J64" s="140"/>
      <c r="K64" s="140"/>
    </row>
    <row r="65" spans="1:12" hidden="1" outlineLevel="2">
      <c r="A65" s="138">
        <v>46113</v>
      </c>
      <c r="B65" s="1" t="s">
        <v>110</v>
      </c>
      <c r="C65" s="1" t="s">
        <v>1864</v>
      </c>
      <c r="D65" s="1" t="s">
        <v>655</v>
      </c>
      <c r="E65" s="693"/>
      <c r="F65" s="59">
        <v>0</v>
      </c>
      <c r="G65" s="59">
        <v>15.170478249326811</v>
      </c>
      <c r="H65" s="59">
        <v>0</v>
      </c>
      <c r="I65" s="139">
        <f t="shared" si="2"/>
        <v>15.170478249326811</v>
      </c>
      <c r="J65" s="140"/>
      <c r="K65" s="140"/>
      <c r="L65"/>
    </row>
    <row r="66" spans="1:12" outlineLevel="1" collapsed="1">
      <c r="A66" s="138" t="s">
        <v>1885</v>
      </c>
      <c r="B66" s="1"/>
      <c r="C66" s="1"/>
      <c r="D66" s="1"/>
      <c r="E66" s="693">
        <f>SUBTOTAL(9,E62:E65)</f>
        <v>0</v>
      </c>
      <c r="F66" s="59">
        <f>SUBTOTAL(9,F62:F65)</f>
        <v>0</v>
      </c>
      <c r="G66" s="59">
        <f>SUBTOTAL(9,G62:G65)</f>
        <v>45.511434747980431</v>
      </c>
      <c r="H66" s="59">
        <f>SUBTOTAL(9,H62:H65)</f>
        <v>100.05654795767437</v>
      </c>
      <c r="I66" s="139">
        <f>SUBTOTAL(9,I62:I65)</f>
        <v>145.5679827056548</v>
      </c>
      <c r="J66" s="140"/>
      <c r="K66" s="140"/>
      <c r="L66"/>
    </row>
    <row r="67" spans="1:12" hidden="1" outlineLevel="2">
      <c r="A67" s="138">
        <v>46143</v>
      </c>
      <c r="B67" s="1" t="s">
        <v>110</v>
      </c>
      <c r="C67" s="1" t="s">
        <v>2097</v>
      </c>
      <c r="D67" s="1" t="s">
        <v>655</v>
      </c>
      <c r="E67" s="1"/>
      <c r="F67" s="59"/>
      <c r="G67" s="59">
        <v>0</v>
      </c>
      <c r="H67" s="59">
        <v>39.111195273443421</v>
      </c>
      <c r="I67" s="139">
        <f t="shared" si="2"/>
        <v>39.111195273443421</v>
      </c>
      <c r="J67" s="140"/>
      <c r="K67" s="140"/>
      <c r="L67"/>
    </row>
    <row r="68" spans="1:12" hidden="1" outlineLevel="2">
      <c r="A68" s="138">
        <v>46143</v>
      </c>
      <c r="B68" s="1" t="s">
        <v>110</v>
      </c>
      <c r="C68" s="1" t="s">
        <v>2098</v>
      </c>
      <c r="D68" s="1" t="s">
        <v>655</v>
      </c>
      <c r="E68" s="1"/>
      <c r="F68" s="59"/>
      <c r="G68" s="59">
        <v>15.149219815179519</v>
      </c>
      <c r="H68" s="59">
        <v>87.689971216482348</v>
      </c>
      <c r="I68" s="139">
        <f t="shared" si="2"/>
        <v>102.83919103166187</v>
      </c>
      <c r="J68" s="140"/>
      <c r="K68" s="140"/>
      <c r="L68"/>
    </row>
    <row r="69" spans="1:12" hidden="1" outlineLevel="2">
      <c r="A69" s="138">
        <v>46143</v>
      </c>
      <c r="B69" s="1" t="s">
        <v>1894</v>
      </c>
      <c r="C69" s="1" t="s">
        <v>2099</v>
      </c>
      <c r="D69" s="1" t="s">
        <v>655</v>
      </c>
      <c r="E69" s="1"/>
      <c r="F69" s="59"/>
      <c r="G69" s="59">
        <v>24.617482199666718</v>
      </c>
      <c r="H69" s="59">
        <v>34.719474322072415</v>
      </c>
      <c r="I69" s="139">
        <f t="shared" si="2"/>
        <v>59.336956521739133</v>
      </c>
      <c r="J69" s="140"/>
      <c r="K69" s="140"/>
      <c r="L69"/>
    </row>
    <row r="70" spans="1:12" hidden="1" outlineLevel="2">
      <c r="A70" s="138">
        <v>46143</v>
      </c>
      <c r="B70" s="1" t="s">
        <v>1318</v>
      </c>
      <c r="C70" s="1" t="s">
        <v>2100</v>
      </c>
      <c r="D70" s="1" t="str">
        <f>VLOOKUP(RIGHT(C70,8),'[2]Export shipment'!B$8:J$1256,9,0)</f>
        <v>FedEx</v>
      </c>
      <c r="E70" s="1">
        <f>VLOOKUP(RIGHT(C70,8),'[2]Export shipment'!B$8:E$1256,4,0)</f>
        <v>8</v>
      </c>
      <c r="F70" s="59"/>
      <c r="G70" s="59">
        <v>15.149219815179519</v>
      </c>
      <c r="H70" s="59"/>
      <c r="I70" s="139">
        <f t="shared" si="2"/>
        <v>15.149219815179519</v>
      </c>
      <c r="J70" s="140"/>
      <c r="K70" s="140"/>
      <c r="L70"/>
    </row>
    <row r="71" spans="1:12" hidden="1" outlineLevel="2">
      <c r="A71" s="138">
        <v>46143</v>
      </c>
      <c r="B71" s="1" t="s">
        <v>110</v>
      </c>
      <c r="C71" s="1">
        <v>5377659383</v>
      </c>
      <c r="D71" s="1" t="s">
        <v>897</v>
      </c>
      <c r="E71" s="1">
        <v>11.5</v>
      </c>
      <c r="F71" s="59"/>
      <c r="G71" s="59"/>
      <c r="H71" s="698">
        <v>251.83432964702317</v>
      </c>
      <c r="I71" s="139">
        <f t="shared" si="2"/>
        <v>251.83432964702317</v>
      </c>
      <c r="J71" s="140"/>
      <c r="K71" s="140"/>
      <c r="L71"/>
    </row>
    <row r="72" spans="1:12" outlineLevel="1" collapsed="1">
      <c r="A72" s="138" t="s">
        <v>2095</v>
      </c>
      <c r="B72" s="1"/>
      <c r="C72" s="1"/>
      <c r="D72" s="1"/>
      <c r="E72" s="1">
        <f>SUBTOTAL(9,E67:E71)</f>
        <v>19.5</v>
      </c>
      <c r="F72" s="59">
        <f>SUBTOTAL(9,F67:F71)</f>
        <v>0</v>
      </c>
      <c r="G72" s="59">
        <f>SUBTOTAL(9,G67:G71)</f>
        <v>54.915921830025759</v>
      </c>
      <c r="H72" s="698">
        <f>SUBTOTAL(9,H67:H71)</f>
        <v>413.35497045902139</v>
      </c>
      <c r="I72" s="139">
        <f>SUBTOTAL(9,I67:I71)</f>
        <v>468.27089228904708</v>
      </c>
      <c r="J72" s="140"/>
      <c r="K72" s="140"/>
      <c r="L72"/>
    </row>
    <row r="73" spans="1:12" outlineLevel="2">
      <c r="A73" s="138">
        <v>46174</v>
      </c>
      <c r="B73" s="1" t="s">
        <v>1318</v>
      </c>
      <c r="C73" s="722" t="s">
        <v>2100</v>
      </c>
      <c r="D73" s="1" t="s">
        <v>655</v>
      </c>
      <c r="E73" s="1">
        <v>11.8</v>
      </c>
      <c r="F73" s="59">
        <v>0</v>
      </c>
      <c r="G73" s="59">
        <v>0</v>
      </c>
      <c r="H73" s="59">
        <v>106.00120928123347</v>
      </c>
      <c r="I73" s="139">
        <f t="shared" si="2"/>
        <v>106.00120928123347</v>
      </c>
      <c r="J73" s="140"/>
      <c r="K73" s="140"/>
      <c r="L73"/>
    </row>
    <row r="74" spans="1:12" outlineLevel="2">
      <c r="A74" s="138">
        <v>46174</v>
      </c>
      <c r="B74" s="1" t="s">
        <v>2143</v>
      </c>
      <c r="C74" s="722" t="s">
        <v>2153</v>
      </c>
      <c r="D74" s="1" t="s">
        <v>655</v>
      </c>
      <c r="E74" s="1">
        <v>4.5999999999999996</v>
      </c>
      <c r="F74" s="59">
        <v>22.674023127503592</v>
      </c>
      <c r="G74" s="59">
        <v>24.563525054795555</v>
      </c>
      <c r="H74" s="59">
        <v>45.288413574181845</v>
      </c>
      <c r="I74" s="139">
        <f t="shared" si="2"/>
        <v>69.851938628977393</v>
      </c>
      <c r="J74" s="140"/>
      <c r="K74" s="140"/>
      <c r="L74"/>
    </row>
    <row r="75" spans="1:12" outlineLevel="1">
      <c r="A75" s="138" t="s">
        <v>3046</v>
      </c>
      <c r="B75" s="1"/>
      <c r="C75" s="722"/>
      <c r="D75" s="722"/>
      <c r="E75" s="721">
        <f>SUBTOTAL(9,E73:E74)</f>
        <v>16.399999999999999</v>
      </c>
      <c r="F75" s="59">
        <f>SUBTOTAL(9,F73:F74)</f>
        <v>22.674023127503592</v>
      </c>
      <c r="G75" s="59">
        <f>SUBTOTAL(9,G73:G74)</f>
        <v>24.563525054795555</v>
      </c>
      <c r="H75" s="59">
        <f>SUBTOTAL(9,H73:H74)</f>
        <v>151.2896228554153</v>
      </c>
      <c r="I75" s="139">
        <f>SUBTOTAL(9,I73:I74)</f>
        <v>175.85314791021085</v>
      </c>
      <c r="J75" s="140"/>
      <c r="K75" s="140"/>
      <c r="L75"/>
    </row>
    <row r="76" spans="1:12">
      <c r="A76" s="138" t="s">
        <v>893</v>
      </c>
      <c r="B76" s="1"/>
      <c r="C76" s="722"/>
      <c r="D76" s="722"/>
      <c r="E76" s="721">
        <f>SUBTOTAL(9,E3:E74)</f>
        <v>2355.2000000000003</v>
      </c>
      <c r="F76" s="59">
        <f>SUBTOTAL(9,F3:F74)</f>
        <v>105.84431158166467</v>
      </c>
      <c r="G76" s="59">
        <f>SUBTOTAL(9,G3:G74)</f>
        <v>949.69670565632487</v>
      </c>
      <c r="H76" s="59">
        <f>SUBTOTAL(9,H3:H74)</f>
        <v>4204.1674531071831</v>
      </c>
      <c r="I76" s="139">
        <f>SUBTOTAL(9,I3:I74)</f>
        <v>5554.8641587635084</v>
      </c>
      <c r="J76" s="140"/>
      <c r="K76" s="140"/>
      <c r="L76"/>
    </row>
    <row r="77" spans="1:12">
      <c r="A77" s="573"/>
    </row>
    <row r="82" spans="1:13" ht="23.25">
      <c r="A82" s="886" t="s">
        <v>882</v>
      </c>
      <c r="B82" s="887"/>
      <c r="C82" s="887"/>
      <c r="D82" s="887"/>
      <c r="E82" s="887"/>
      <c r="F82" s="887"/>
      <c r="G82" s="887"/>
      <c r="H82" s="887"/>
      <c r="I82" s="887"/>
      <c r="J82" s="887"/>
      <c r="K82" s="887"/>
      <c r="L82" s="887"/>
      <c r="M82" s="888"/>
    </row>
    <row r="83" spans="1:13" ht="30.75" customHeight="1">
      <c r="A83" s="230" t="s">
        <v>33</v>
      </c>
      <c r="B83" s="231" t="s">
        <v>175</v>
      </c>
      <c r="C83" s="231" t="s">
        <v>40</v>
      </c>
      <c r="D83" s="231" t="s">
        <v>27</v>
      </c>
      <c r="E83" s="231" t="s">
        <v>896</v>
      </c>
      <c r="F83" s="231" t="s">
        <v>29</v>
      </c>
      <c r="G83" s="231" t="s">
        <v>177</v>
      </c>
      <c r="H83" s="231" t="s">
        <v>37</v>
      </c>
      <c r="I83" s="231" t="s">
        <v>43</v>
      </c>
      <c r="J83" s="231" t="s">
        <v>42</v>
      </c>
      <c r="K83" s="231" t="s">
        <v>30</v>
      </c>
      <c r="L83" s="231" t="s">
        <v>903</v>
      </c>
      <c r="M83" s="231" t="s">
        <v>35</v>
      </c>
    </row>
    <row r="84" spans="1:13" hidden="1" outlineLevel="2">
      <c r="A84" s="137">
        <v>45931</v>
      </c>
      <c r="B84" s="1" t="s">
        <v>649</v>
      </c>
      <c r="C84" s="379">
        <v>884557277770</v>
      </c>
      <c r="D84" s="1" t="s">
        <v>339</v>
      </c>
      <c r="E84" s="1">
        <v>8.5</v>
      </c>
      <c r="F84" s="1"/>
      <c r="G84" s="59"/>
      <c r="H84" s="59"/>
      <c r="I84" s="59">
        <v>41.434894649082914</v>
      </c>
      <c r="J84" s="59"/>
      <c r="K84" s="59"/>
      <c r="L84" s="59"/>
      <c r="M84" s="59">
        <v>41.434894649082914</v>
      </c>
    </row>
    <row r="85" spans="1:13" hidden="1" outlineLevel="2">
      <c r="A85" s="137">
        <v>45931</v>
      </c>
      <c r="B85" s="1" t="s">
        <v>649</v>
      </c>
      <c r="C85" s="379">
        <v>884741410896</v>
      </c>
      <c r="D85" s="1" t="s">
        <v>339</v>
      </c>
      <c r="E85" s="1">
        <v>4.5999999999999996</v>
      </c>
      <c r="F85" s="1"/>
      <c r="G85" s="59"/>
      <c r="H85" s="59"/>
      <c r="I85" s="59">
        <v>32.006366530241017</v>
      </c>
      <c r="J85" s="59"/>
      <c r="K85" s="59"/>
      <c r="L85" s="59"/>
      <c r="M85" s="59">
        <v>32.006366530241017</v>
      </c>
    </row>
    <row r="86" spans="1:13" hidden="1" outlineLevel="2">
      <c r="A86" s="137">
        <v>45931</v>
      </c>
      <c r="B86" s="1" t="s">
        <v>649</v>
      </c>
      <c r="C86" s="379">
        <v>884992359916</v>
      </c>
      <c r="D86" s="1" t="s">
        <v>339</v>
      </c>
      <c r="E86" s="1">
        <v>7.2</v>
      </c>
      <c r="F86" s="1"/>
      <c r="G86" s="59"/>
      <c r="H86" s="59"/>
      <c r="I86" s="59">
        <v>38.9247764135213</v>
      </c>
      <c r="J86" s="59"/>
      <c r="K86" s="59"/>
      <c r="L86" s="59"/>
      <c r="M86" s="59">
        <v>38.9247764135213</v>
      </c>
    </row>
    <row r="87" spans="1:13" hidden="1" outlineLevel="2">
      <c r="A87" s="137">
        <v>45931</v>
      </c>
      <c r="B87" s="1" t="s">
        <v>649</v>
      </c>
      <c r="C87" s="379">
        <v>885152303097</v>
      </c>
      <c r="D87" s="1" t="s">
        <v>339</v>
      </c>
      <c r="E87" s="1">
        <v>2.2000000000000002</v>
      </c>
      <c r="F87" s="1"/>
      <c r="G87" s="59"/>
      <c r="H87" s="59"/>
      <c r="I87" s="59">
        <v>21.364370168258301</v>
      </c>
      <c r="J87" s="59"/>
      <c r="K87" s="59"/>
      <c r="L87" s="59"/>
      <c r="M87" s="59">
        <v>21.364370168258301</v>
      </c>
    </row>
    <row r="88" spans="1:13" hidden="1" outlineLevel="2">
      <c r="A88" s="137">
        <v>45931</v>
      </c>
      <c r="B88" s="1" t="s">
        <v>650</v>
      </c>
      <c r="C88" s="379">
        <v>884876074610</v>
      </c>
      <c r="D88" s="1" t="s">
        <v>339</v>
      </c>
      <c r="E88" s="1">
        <v>3.1</v>
      </c>
      <c r="F88" s="1"/>
      <c r="G88" s="59"/>
      <c r="H88" s="59"/>
      <c r="I88" s="59">
        <v>26.875322116113384</v>
      </c>
      <c r="J88" s="59"/>
      <c r="K88" s="59"/>
      <c r="L88" s="59"/>
      <c r="M88" s="59">
        <v>26.875322116113384</v>
      </c>
    </row>
    <row r="89" spans="1:13" hidden="1" outlineLevel="2">
      <c r="A89" s="137">
        <v>45931</v>
      </c>
      <c r="B89" s="1" t="s">
        <v>650</v>
      </c>
      <c r="C89" s="379">
        <v>884993155050</v>
      </c>
      <c r="D89" s="1" t="s">
        <v>339</v>
      </c>
      <c r="E89" s="1">
        <v>26</v>
      </c>
      <c r="F89" s="1"/>
      <c r="G89" s="59"/>
      <c r="H89" s="59"/>
      <c r="I89" s="59">
        <v>81.568061239957558</v>
      </c>
      <c r="J89" s="59"/>
      <c r="K89" s="59"/>
      <c r="L89" s="59"/>
      <c r="M89" s="59">
        <v>81.568061239957558</v>
      </c>
    </row>
    <row r="90" spans="1:13" hidden="1" outlineLevel="2">
      <c r="A90" s="137">
        <v>45931</v>
      </c>
      <c r="B90" s="1" t="s">
        <v>650</v>
      </c>
      <c r="C90" s="379">
        <v>885115805879</v>
      </c>
      <c r="D90" s="1" t="s">
        <v>339</v>
      </c>
      <c r="E90" s="1">
        <v>6.6</v>
      </c>
      <c r="F90" s="1"/>
      <c r="G90" s="59"/>
      <c r="H90" s="59"/>
      <c r="I90" s="59">
        <v>37.334204941640138</v>
      </c>
      <c r="J90" s="59"/>
      <c r="K90" s="59"/>
      <c r="L90" s="59"/>
      <c r="M90" s="59">
        <v>37.334204941640138</v>
      </c>
    </row>
    <row r="91" spans="1:13" hidden="1" outlineLevel="2">
      <c r="A91" s="137">
        <v>45931</v>
      </c>
      <c r="B91" s="1" t="s">
        <v>651</v>
      </c>
      <c r="C91" s="379" t="s">
        <v>652</v>
      </c>
      <c r="D91" s="1" t="s">
        <v>333</v>
      </c>
      <c r="E91" s="1">
        <v>1461</v>
      </c>
      <c r="F91" s="1">
        <v>8.7799999999999994</v>
      </c>
      <c r="G91" s="59"/>
      <c r="H91" s="59"/>
      <c r="I91" s="59">
        <v>1125.2189176898592</v>
      </c>
      <c r="J91" s="59"/>
      <c r="K91" s="59"/>
      <c r="L91" s="59"/>
      <c r="M91" s="59">
        <v>1125.2189176898592</v>
      </c>
    </row>
    <row r="92" spans="1:13" hidden="1" outlineLevel="2">
      <c r="A92" s="137">
        <v>45931</v>
      </c>
      <c r="B92" s="1" t="s">
        <v>653</v>
      </c>
      <c r="C92" s="379" t="s">
        <v>654</v>
      </c>
      <c r="D92" s="1" t="s">
        <v>333</v>
      </c>
      <c r="E92" s="1">
        <v>792</v>
      </c>
      <c r="F92" s="1">
        <v>3.2069999999999999</v>
      </c>
      <c r="G92" s="59"/>
      <c r="H92" s="59"/>
      <c r="I92" s="59">
        <v>212.55236850083372</v>
      </c>
      <c r="J92" s="59"/>
      <c r="K92" s="59"/>
      <c r="L92" s="59"/>
      <c r="M92" s="59">
        <v>212.55236850083372</v>
      </c>
    </row>
    <row r="93" spans="1:13" outlineLevel="1" collapsed="1">
      <c r="A93" s="725" t="s">
        <v>891</v>
      </c>
      <c r="B93" s="1"/>
      <c r="C93" s="379"/>
      <c r="D93" s="1"/>
      <c r="E93" s="1">
        <f t="shared" ref="E93:M93" si="3">SUBTOTAL(9,E84:E92)</f>
        <v>2311.1999999999998</v>
      </c>
      <c r="F93" s="1">
        <f t="shared" si="3"/>
        <v>11.986999999999998</v>
      </c>
      <c r="G93" s="59">
        <f t="shared" si="3"/>
        <v>0</v>
      </c>
      <c r="H93" s="59">
        <f t="shared" si="3"/>
        <v>0</v>
      </c>
      <c r="I93" s="59">
        <f t="shared" si="3"/>
        <v>1617.2792822495076</v>
      </c>
      <c r="J93" s="59">
        <f t="shared" si="3"/>
        <v>0</v>
      </c>
      <c r="K93" s="59">
        <f t="shared" si="3"/>
        <v>0</v>
      </c>
      <c r="L93" s="59">
        <f t="shared" si="3"/>
        <v>0</v>
      </c>
      <c r="M93" s="59">
        <f t="shared" si="3"/>
        <v>1617.2792822495076</v>
      </c>
    </row>
    <row r="94" spans="1:13" hidden="1" outlineLevel="2">
      <c r="A94" s="137">
        <v>45986</v>
      </c>
      <c r="B94" s="1" t="s">
        <v>818</v>
      </c>
      <c r="C94" s="346">
        <v>885341469356</v>
      </c>
      <c r="D94" s="1" t="s">
        <v>339</v>
      </c>
      <c r="E94" s="1">
        <v>1.1000000000000001</v>
      </c>
      <c r="F94" s="1"/>
      <c r="G94" s="59"/>
      <c r="H94" s="59">
        <v>15.158405335758678</v>
      </c>
      <c r="I94" s="59">
        <v>24.242530955356127</v>
      </c>
      <c r="J94" s="59"/>
      <c r="K94" s="59"/>
      <c r="L94" s="59"/>
      <c r="M94" s="59">
        <f t="shared" ref="M94:M109" si="4">SUM(G94:L94)</f>
        <v>39.400936291114803</v>
      </c>
    </row>
    <row r="95" spans="1:13" hidden="1" outlineLevel="2">
      <c r="A95" s="137">
        <v>45986</v>
      </c>
      <c r="B95" s="1" t="s">
        <v>810</v>
      </c>
      <c r="C95" s="346">
        <v>471783769939</v>
      </c>
      <c r="D95" s="1" t="s">
        <v>339</v>
      </c>
      <c r="E95" s="1">
        <v>49.1</v>
      </c>
      <c r="F95" s="1"/>
      <c r="G95" s="59"/>
      <c r="H95" s="59">
        <v>15.158405335758678</v>
      </c>
      <c r="I95" s="59">
        <v>164.54693475709038</v>
      </c>
      <c r="J95" s="59"/>
      <c r="K95" s="59"/>
      <c r="L95" s="59"/>
      <c r="M95" s="59">
        <f t="shared" si="4"/>
        <v>179.70534009284907</v>
      </c>
    </row>
    <row r="96" spans="1:13" hidden="1" outlineLevel="2">
      <c r="A96" s="137">
        <v>45986</v>
      </c>
      <c r="B96" s="1" t="s">
        <v>801</v>
      </c>
      <c r="C96" s="346">
        <v>416886361887</v>
      </c>
      <c r="D96" s="1" t="s">
        <v>339</v>
      </c>
      <c r="E96" s="1">
        <v>1</v>
      </c>
      <c r="F96" s="1"/>
      <c r="G96" s="59"/>
      <c r="H96" s="59">
        <v>15.158405335758678</v>
      </c>
      <c r="I96" s="59">
        <v>18.219205573857398</v>
      </c>
      <c r="J96" s="59"/>
      <c r="K96" s="59"/>
      <c r="L96" s="59"/>
      <c r="M96" s="59">
        <f t="shared" si="4"/>
        <v>33.377610909616074</v>
      </c>
    </row>
    <row r="97" spans="1:13" hidden="1" outlineLevel="2">
      <c r="A97" s="137">
        <v>45986</v>
      </c>
      <c r="B97" s="1" t="s">
        <v>847</v>
      </c>
      <c r="C97" s="346">
        <v>885639862280</v>
      </c>
      <c r="D97" s="1" t="s">
        <v>339</v>
      </c>
      <c r="E97" s="1">
        <v>18.3</v>
      </c>
      <c r="F97" s="1"/>
      <c r="G97" s="59"/>
      <c r="H97" s="59">
        <v>15.158405335758678</v>
      </c>
      <c r="I97" s="59">
        <v>86.518497481919042</v>
      </c>
      <c r="J97" s="59"/>
      <c r="K97" s="59"/>
      <c r="L97" s="59"/>
      <c r="M97" s="59">
        <f t="shared" si="4"/>
        <v>101.67690281767771</v>
      </c>
    </row>
    <row r="98" spans="1:13" hidden="1" outlineLevel="2">
      <c r="A98" s="137">
        <v>45986</v>
      </c>
      <c r="B98" s="1" t="s">
        <v>819</v>
      </c>
      <c r="C98" s="346">
        <v>469369181814</v>
      </c>
      <c r="D98" s="1" t="s">
        <v>339</v>
      </c>
      <c r="E98" s="1">
        <v>2.2999999999999998</v>
      </c>
      <c r="F98" s="1"/>
      <c r="G98" s="59"/>
      <c r="H98" s="59">
        <v>15.158405335758678</v>
      </c>
      <c r="I98" s="59">
        <v>30.27873073573403</v>
      </c>
      <c r="J98" s="59"/>
      <c r="K98" s="59"/>
      <c r="L98" s="59"/>
      <c r="M98" s="59">
        <f t="shared" si="4"/>
        <v>45.437136071492709</v>
      </c>
    </row>
    <row r="99" spans="1:13" hidden="1" outlineLevel="2">
      <c r="A99" s="137">
        <v>45986</v>
      </c>
      <c r="B99" s="1" t="s">
        <v>818</v>
      </c>
      <c r="C99" s="346">
        <v>885764104683</v>
      </c>
      <c r="D99" s="1" t="s">
        <v>339</v>
      </c>
      <c r="E99" s="1">
        <v>1.1000000000000001</v>
      </c>
      <c r="F99" s="1"/>
      <c r="G99" s="59"/>
      <c r="H99" s="59">
        <v>15.158405335758678</v>
      </c>
      <c r="I99" s="59">
        <v>24.288954523079255</v>
      </c>
      <c r="J99" s="59"/>
      <c r="K99" s="59"/>
      <c r="L99" s="59"/>
      <c r="M99" s="59">
        <f t="shared" si="4"/>
        <v>39.447359858837935</v>
      </c>
    </row>
    <row r="100" spans="1:13" hidden="1" outlineLevel="2">
      <c r="A100" s="137">
        <v>45986</v>
      </c>
      <c r="B100" s="1" t="s">
        <v>820</v>
      </c>
      <c r="C100" s="346">
        <v>885761076820</v>
      </c>
      <c r="D100" s="1" t="s">
        <v>339</v>
      </c>
      <c r="E100" s="1">
        <v>2.4</v>
      </c>
      <c r="F100" s="1"/>
      <c r="G100" s="59"/>
      <c r="H100" s="59">
        <v>15.158405335758678</v>
      </c>
      <c r="I100" s="59">
        <v>31.016660986784807</v>
      </c>
      <c r="J100" s="59"/>
      <c r="K100" s="59"/>
      <c r="L100" s="59"/>
      <c r="M100" s="59">
        <f t="shared" si="4"/>
        <v>46.175066322543486</v>
      </c>
    </row>
    <row r="101" spans="1:13" hidden="1" outlineLevel="2">
      <c r="A101" s="137">
        <v>45986</v>
      </c>
      <c r="B101" s="1" t="s">
        <v>821</v>
      </c>
      <c r="C101" s="346">
        <v>415080628776</v>
      </c>
      <c r="D101" s="1" t="s">
        <v>339</v>
      </c>
      <c r="E101" s="1">
        <v>12.4</v>
      </c>
      <c r="F101" s="1"/>
      <c r="G101" s="59"/>
      <c r="H101" s="59">
        <v>15.158405335758678</v>
      </c>
      <c r="I101" s="59">
        <v>80.758983679806121</v>
      </c>
      <c r="J101" s="59"/>
      <c r="K101" s="59"/>
      <c r="L101" s="59"/>
      <c r="M101" s="59">
        <f t="shared" si="4"/>
        <v>95.917389015564794</v>
      </c>
    </row>
    <row r="102" spans="1:13" hidden="1" outlineLevel="2">
      <c r="A102" s="137">
        <v>45986</v>
      </c>
      <c r="B102" s="1" t="s">
        <v>822</v>
      </c>
      <c r="C102" s="346">
        <v>719546663015</v>
      </c>
      <c r="D102" s="1" t="s">
        <v>339</v>
      </c>
      <c r="E102" s="1">
        <v>5.9</v>
      </c>
      <c r="F102" s="1"/>
      <c r="G102" s="59"/>
      <c r="H102" s="59">
        <v>15.158405335758678</v>
      </c>
      <c r="I102" s="59">
        <v>39.952970578211975</v>
      </c>
      <c r="J102" s="59"/>
      <c r="K102" s="59"/>
      <c r="L102" s="59"/>
      <c r="M102" s="59">
        <f t="shared" si="4"/>
        <v>55.111375913970654</v>
      </c>
    </row>
    <row r="103" spans="1:13" hidden="1" outlineLevel="2">
      <c r="A103" s="137">
        <v>45986</v>
      </c>
      <c r="B103" s="1" t="s">
        <v>823</v>
      </c>
      <c r="C103" s="346">
        <v>4914968265</v>
      </c>
      <c r="D103" s="1" t="s">
        <v>826</v>
      </c>
      <c r="E103" s="1">
        <v>213</v>
      </c>
      <c r="F103" s="1"/>
      <c r="G103" s="59"/>
      <c r="H103" s="59">
        <v>15.158405335758678</v>
      </c>
      <c r="I103" s="59">
        <v>516.41785339077035</v>
      </c>
      <c r="J103" s="59"/>
      <c r="K103" s="59"/>
      <c r="L103" s="59"/>
      <c r="M103" s="59">
        <f t="shared" si="4"/>
        <v>531.57625872652898</v>
      </c>
    </row>
    <row r="104" spans="1:13" hidden="1" outlineLevel="2">
      <c r="A104" s="137">
        <v>45986</v>
      </c>
      <c r="B104" s="1" t="s">
        <v>824</v>
      </c>
      <c r="C104" s="346">
        <v>4914968271</v>
      </c>
      <c r="D104" s="1" t="s">
        <v>826</v>
      </c>
      <c r="E104" s="1">
        <v>796</v>
      </c>
      <c r="F104" s="1"/>
      <c r="G104" s="59"/>
      <c r="H104" s="59">
        <v>15.158405335758678</v>
      </c>
      <c r="I104" s="59">
        <v>1537.8378533907703</v>
      </c>
      <c r="J104" s="59"/>
      <c r="K104" s="59"/>
      <c r="L104" s="59"/>
      <c r="M104" s="59">
        <f t="shared" si="4"/>
        <v>1552.996258726529</v>
      </c>
    </row>
    <row r="105" spans="1:13" hidden="1" outlineLevel="2">
      <c r="A105" s="137">
        <v>45986</v>
      </c>
      <c r="B105" s="1" t="s">
        <v>824</v>
      </c>
      <c r="C105" s="346">
        <v>4914980768</v>
      </c>
      <c r="D105" s="1" t="s">
        <v>826</v>
      </c>
      <c r="E105" s="1">
        <v>177</v>
      </c>
      <c r="F105" s="1"/>
      <c r="G105" s="59"/>
      <c r="H105" s="59">
        <v>15.158405335758678</v>
      </c>
      <c r="I105" s="59">
        <v>420.6678531476586</v>
      </c>
      <c r="J105" s="59"/>
      <c r="K105" s="59"/>
      <c r="L105" s="59"/>
      <c r="M105" s="59">
        <f t="shared" si="4"/>
        <v>435.82625848341729</v>
      </c>
    </row>
    <row r="106" spans="1:13" hidden="1" outlineLevel="2">
      <c r="A106" s="137">
        <v>45986</v>
      </c>
      <c r="B106" s="1" t="s">
        <v>825</v>
      </c>
      <c r="C106" s="346">
        <v>4914980774</v>
      </c>
      <c r="D106" s="1" t="s">
        <v>826</v>
      </c>
      <c r="E106" s="1">
        <v>226</v>
      </c>
      <c r="F106" s="1"/>
      <c r="G106" s="59"/>
      <c r="H106" s="59">
        <v>15.158405335758678</v>
      </c>
      <c r="I106" s="59">
        <v>356.57785314765863</v>
      </c>
      <c r="J106" s="59"/>
      <c r="K106" s="59"/>
      <c r="L106" s="59"/>
      <c r="M106" s="59">
        <f t="shared" si="4"/>
        <v>371.73625848341732</v>
      </c>
    </row>
    <row r="107" spans="1:13" hidden="1" outlineLevel="2">
      <c r="A107" s="137">
        <v>45986</v>
      </c>
      <c r="B107" s="1" t="s">
        <v>651</v>
      </c>
      <c r="C107" s="346" t="s">
        <v>872</v>
      </c>
      <c r="D107" s="1" t="s">
        <v>61</v>
      </c>
      <c r="E107" s="1">
        <v>324</v>
      </c>
      <c r="F107" s="1">
        <v>2.2200000000000002</v>
      </c>
      <c r="G107" s="59">
        <v>37.86587905638229</v>
      </c>
      <c r="H107" s="59">
        <v>15.146351622552917</v>
      </c>
      <c r="I107" s="59">
        <v>446.84936195993794</v>
      </c>
      <c r="J107" s="59"/>
      <c r="K107" s="59"/>
      <c r="L107" s="59">
        <v>62.876292173122799</v>
      </c>
      <c r="M107" s="59">
        <f t="shared" si="4"/>
        <v>562.73788481199597</v>
      </c>
    </row>
    <row r="108" spans="1:13" hidden="1" outlineLevel="2">
      <c r="A108" s="137">
        <v>45986</v>
      </c>
      <c r="B108" s="1" t="s">
        <v>871</v>
      </c>
      <c r="C108" s="346" t="s">
        <v>869</v>
      </c>
      <c r="D108" s="1" t="s">
        <v>61</v>
      </c>
      <c r="E108" s="1">
        <v>264.52</v>
      </c>
      <c r="F108" s="1">
        <v>0.30000000000000004</v>
      </c>
      <c r="G108" s="59">
        <v>37.86587905638229</v>
      </c>
      <c r="H108" s="59">
        <v>15.146351622552917</v>
      </c>
      <c r="I108" s="59">
        <v>208.53307584535574</v>
      </c>
      <c r="J108" s="59"/>
      <c r="K108" s="59"/>
      <c r="L108" s="59">
        <v>35.578779961376803</v>
      </c>
      <c r="M108" s="59">
        <f t="shared" si="4"/>
        <v>297.12408648566776</v>
      </c>
    </row>
    <row r="109" spans="1:13" hidden="1" outlineLevel="2">
      <c r="A109" s="137">
        <v>45986</v>
      </c>
      <c r="B109" s="1" t="s">
        <v>653</v>
      </c>
      <c r="C109" s="346" t="s">
        <v>870</v>
      </c>
      <c r="D109" s="1"/>
      <c r="E109" s="1">
        <v>1105.2</v>
      </c>
      <c r="F109" s="1">
        <v>9.2889999999999997</v>
      </c>
      <c r="G109" s="59">
        <v>58.692112537392553</v>
      </c>
      <c r="H109" s="59">
        <v>15.146351622552917</v>
      </c>
      <c r="I109" s="59">
        <v>323.06945359536519</v>
      </c>
      <c r="J109" s="59"/>
      <c r="K109" s="59"/>
      <c r="L109" s="59">
        <v>134.09000719451703</v>
      </c>
      <c r="M109" s="59">
        <f t="shared" si="4"/>
        <v>530.99792494982773</v>
      </c>
    </row>
    <row r="110" spans="1:13" outlineLevel="1" collapsed="1">
      <c r="A110" s="138" t="s">
        <v>892</v>
      </c>
      <c r="B110" s="1"/>
      <c r="C110" s="346"/>
      <c r="D110" s="1"/>
      <c r="E110" s="1">
        <f t="shared" ref="E110:M110" si="5">SUBTOTAL(9,E94:E109)</f>
        <v>3199.3199999999997</v>
      </c>
      <c r="F110" s="1">
        <f t="shared" si="5"/>
        <v>11.809000000000001</v>
      </c>
      <c r="G110" s="59">
        <f t="shared" si="5"/>
        <v>134.42387065015714</v>
      </c>
      <c r="H110" s="59">
        <f t="shared" si="5"/>
        <v>242.49832423252158</v>
      </c>
      <c r="I110" s="59">
        <f t="shared" si="5"/>
        <v>4309.7767737493559</v>
      </c>
      <c r="J110" s="59">
        <f t="shared" si="5"/>
        <v>0</v>
      </c>
      <c r="K110" s="59">
        <f t="shared" si="5"/>
        <v>0</v>
      </c>
      <c r="L110" s="59">
        <f t="shared" si="5"/>
        <v>232.54507932901663</v>
      </c>
      <c r="M110" s="59">
        <f t="shared" si="5"/>
        <v>4919.2440479610514</v>
      </c>
    </row>
    <row r="111" spans="1:13" hidden="1" outlineLevel="2">
      <c r="A111" s="137">
        <v>45992</v>
      </c>
      <c r="B111" s="1"/>
      <c r="C111" s="346"/>
      <c r="D111" s="1" t="s">
        <v>655</v>
      </c>
      <c r="E111" s="1">
        <v>484.2</v>
      </c>
      <c r="F111" s="1"/>
      <c r="G111" s="59"/>
      <c r="H111" s="59"/>
      <c r="I111" s="563">
        <v>2604.2199999999998</v>
      </c>
      <c r="J111" s="563"/>
      <c r="K111" s="563"/>
      <c r="L111" s="59"/>
      <c r="M111" s="59">
        <f>SUM(G111:L111)</f>
        <v>2604.2199999999998</v>
      </c>
    </row>
    <row r="112" spans="1:13" hidden="1" outlineLevel="2">
      <c r="A112" s="137">
        <v>45992</v>
      </c>
      <c r="B112" s="1"/>
      <c r="C112" s="346"/>
      <c r="D112" s="1" t="s">
        <v>61</v>
      </c>
      <c r="E112" s="1"/>
      <c r="F112" s="1"/>
      <c r="G112" s="563">
        <v>54.59</v>
      </c>
      <c r="H112" s="563">
        <v>443.52</v>
      </c>
      <c r="I112" s="59"/>
      <c r="J112" s="59"/>
      <c r="K112" s="59"/>
      <c r="L112" s="563">
        <v>47.77</v>
      </c>
      <c r="M112" s="59">
        <f>SUM(G112:L112)</f>
        <v>545.88</v>
      </c>
    </row>
    <row r="113" spans="1:13" hidden="1" outlineLevel="2">
      <c r="A113" s="137">
        <v>45992</v>
      </c>
      <c r="B113" s="1"/>
      <c r="C113" s="346"/>
      <c r="D113" s="1" t="s">
        <v>85</v>
      </c>
      <c r="E113" s="1"/>
      <c r="F113" s="1"/>
      <c r="G113" s="1"/>
      <c r="H113" s="1"/>
      <c r="I113" s="563">
        <v>252.8</v>
      </c>
      <c r="J113" s="563"/>
      <c r="K113" s="563"/>
      <c r="L113" s="563">
        <v>33.33</v>
      </c>
      <c r="M113" s="59">
        <f>SUM(G113:L113)</f>
        <v>286.13</v>
      </c>
    </row>
    <row r="114" spans="1:13" outlineLevel="1" collapsed="1">
      <c r="A114" s="138" t="s">
        <v>1265</v>
      </c>
      <c r="B114" s="1"/>
      <c r="C114" s="346"/>
      <c r="D114" s="1"/>
      <c r="E114" s="1">
        <f t="shared" ref="E114:M114" si="6">SUBTOTAL(9,E111:E113)</f>
        <v>484.2</v>
      </c>
      <c r="F114" s="1">
        <f t="shared" si="6"/>
        <v>0</v>
      </c>
      <c r="G114" s="1">
        <f t="shared" si="6"/>
        <v>54.59</v>
      </c>
      <c r="H114" s="1">
        <f t="shared" si="6"/>
        <v>443.52</v>
      </c>
      <c r="I114" s="563">
        <f t="shared" si="6"/>
        <v>2857.02</v>
      </c>
      <c r="J114" s="563">
        <f t="shared" si="6"/>
        <v>0</v>
      </c>
      <c r="K114" s="563">
        <f t="shared" si="6"/>
        <v>0</v>
      </c>
      <c r="L114" s="563">
        <f t="shared" si="6"/>
        <v>81.099999999999994</v>
      </c>
      <c r="M114" s="59">
        <f t="shared" si="6"/>
        <v>3436.23</v>
      </c>
    </row>
    <row r="115" spans="1:13" hidden="1" outlineLevel="2">
      <c r="A115" s="137">
        <v>46048</v>
      </c>
      <c r="B115" s="1"/>
      <c r="C115" s="346"/>
      <c r="D115" s="1" t="s">
        <v>655</v>
      </c>
      <c r="E115" s="1">
        <v>92.9</v>
      </c>
      <c r="F115" s="693"/>
      <c r="G115" s="694"/>
      <c r="H115" s="694"/>
      <c r="I115" s="695">
        <v>467.05302218821726</v>
      </c>
      <c r="J115" s="59"/>
      <c r="K115" s="59"/>
      <c r="L115" s="563"/>
      <c r="M115" s="59">
        <f>SUM(G115:L115)</f>
        <v>467.05302218821726</v>
      </c>
    </row>
    <row r="116" spans="1:13" hidden="1" outlineLevel="2">
      <c r="A116" s="137">
        <v>46048</v>
      </c>
      <c r="B116" s="1"/>
      <c r="C116" s="346"/>
      <c r="D116" s="1" t="s">
        <v>61</v>
      </c>
      <c r="E116" s="1">
        <v>248.42000000000002</v>
      </c>
      <c r="F116" s="693">
        <v>0</v>
      </c>
      <c r="G116" s="694">
        <v>0</v>
      </c>
      <c r="H116" s="694">
        <v>221.88217291507272</v>
      </c>
      <c r="I116" s="695">
        <v>0</v>
      </c>
      <c r="J116" s="59">
        <v>0</v>
      </c>
      <c r="K116" s="59"/>
      <c r="L116" s="563">
        <f>SUMIFS(VVMV!M:M,VVMV!E:E,"import",VVMV!F:F,"raw materials",VVMV!G:G,"oem")</f>
        <v>55.691293175119043</v>
      </c>
      <c r="M116" s="59">
        <f>SUM(G116:L116)</f>
        <v>277.57346609019174</v>
      </c>
    </row>
    <row r="117" spans="1:13" outlineLevel="1" collapsed="1">
      <c r="A117" s="138" t="s">
        <v>1407</v>
      </c>
      <c r="B117" s="1"/>
      <c r="C117" s="346"/>
      <c r="D117" s="1"/>
      <c r="E117" s="1">
        <f t="shared" ref="E117:M117" si="7">SUBTOTAL(9,E115:E116)</f>
        <v>341.32000000000005</v>
      </c>
      <c r="F117" s="693">
        <f t="shared" si="7"/>
        <v>0</v>
      </c>
      <c r="G117" s="694">
        <f t="shared" si="7"/>
        <v>0</v>
      </c>
      <c r="H117" s="694">
        <f t="shared" si="7"/>
        <v>221.88217291507272</v>
      </c>
      <c r="I117" s="695">
        <f t="shared" si="7"/>
        <v>467.05302218821726</v>
      </c>
      <c r="J117" s="59">
        <f t="shared" si="7"/>
        <v>0</v>
      </c>
      <c r="K117" s="59">
        <f t="shared" si="7"/>
        <v>0</v>
      </c>
      <c r="L117" s="563">
        <f t="shared" si="7"/>
        <v>55.691293175119043</v>
      </c>
      <c r="M117" s="59">
        <f t="shared" si="7"/>
        <v>744.62648827840894</v>
      </c>
    </row>
    <row r="118" spans="1:13" hidden="1" outlineLevel="2">
      <c r="A118" s="137">
        <v>46054</v>
      </c>
      <c r="B118" s="1" t="s">
        <v>1474</v>
      </c>
      <c r="C118" s="346">
        <v>888261788314</v>
      </c>
      <c r="D118" s="1" t="str">
        <f>VLOOKUP(C118,[1]Material!F:J,5,0)</f>
        <v>Fedex</v>
      </c>
      <c r="E118" s="1">
        <f>_xlfn.XLOOKUP(C118,[1]Material!$F:$F,[1]Material!$D:$D)</f>
        <v>0.6</v>
      </c>
      <c r="F118" s="693"/>
      <c r="G118" s="694"/>
      <c r="H118" s="694">
        <v>15.205078496217737</v>
      </c>
      <c r="I118" s="695">
        <v>32.369711483635534</v>
      </c>
      <c r="J118" s="59"/>
      <c r="K118" s="59"/>
      <c r="L118" s="563"/>
      <c r="M118" s="59">
        <f t="shared" ref="M118:M127" si="8">SUM(G118:L118)</f>
        <v>47.574789979853271</v>
      </c>
    </row>
    <row r="119" spans="1:13" hidden="1" outlineLevel="2">
      <c r="A119" s="137">
        <v>46054</v>
      </c>
      <c r="B119" s="1" t="s">
        <v>1332</v>
      </c>
      <c r="C119" s="346">
        <v>888465794343</v>
      </c>
      <c r="D119" s="1" t="str">
        <f>VLOOKUP(C119,[1]Material!F:J,5,0)</f>
        <v>Fedex</v>
      </c>
      <c r="E119" s="1">
        <f>_xlfn.XLOOKUP(C119,[1]Material!$F:$F,[1]Material!$D:$D)</f>
        <v>5</v>
      </c>
      <c r="F119" s="693"/>
      <c r="G119" s="694"/>
      <c r="H119" s="694">
        <v>15.205078496217737</v>
      </c>
      <c r="I119" s="695">
        <v>0</v>
      </c>
      <c r="J119" s="59"/>
      <c r="K119" s="59"/>
      <c r="L119" s="563"/>
      <c r="M119" s="59">
        <f t="shared" si="8"/>
        <v>15.205078496217737</v>
      </c>
    </row>
    <row r="120" spans="1:13" hidden="1" outlineLevel="2">
      <c r="A120" s="137">
        <v>46054</v>
      </c>
      <c r="B120" s="1" t="s">
        <v>1474</v>
      </c>
      <c r="C120" s="346">
        <v>888469800120</v>
      </c>
      <c r="D120" s="1" t="str">
        <f>VLOOKUP(C120,[1]Material!F:J,5,0)</f>
        <v>Fedex</v>
      </c>
      <c r="E120" s="1">
        <f>_xlfn.XLOOKUP(C120,[1]Material!$F:$F,[1]Material!$D:$D)</f>
        <v>1</v>
      </c>
      <c r="F120" s="693"/>
      <c r="G120" s="694"/>
      <c r="H120" s="694">
        <v>15.205078496217737</v>
      </c>
      <c r="I120" s="695">
        <v>22.682746037176418</v>
      </c>
      <c r="J120" s="59"/>
      <c r="K120" s="59"/>
      <c r="L120" s="563"/>
      <c r="M120" s="59">
        <f t="shared" si="8"/>
        <v>37.887824533394152</v>
      </c>
    </row>
    <row r="121" spans="1:13" hidden="1" outlineLevel="2">
      <c r="A121" s="137">
        <v>46054</v>
      </c>
      <c r="B121" s="1" t="s">
        <v>1492</v>
      </c>
      <c r="C121" s="346">
        <v>474258659572</v>
      </c>
      <c r="D121" s="1" t="str">
        <f>VLOOKUP(C121,[1]Material!F:J,5,0)</f>
        <v>Fedex</v>
      </c>
      <c r="E121" s="1">
        <f>_xlfn.XLOOKUP(C121,[1]Material!$F:$F,[1]Material!$D:$D)</f>
        <v>12</v>
      </c>
      <c r="F121" s="693"/>
      <c r="G121" s="694"/>
      <c r="H121" s="694">
        <v>15.205078496217737</v>
      </c>
      <c r="I121" s="695">
        <v>0</v>
      </c>
      <c r="J121" s="59"/>
      <c r="K121" s="59"/>
      <c r="L121" s="563"/>
      <c r="M121" s="59">
        <f t="shared" si="8"/>
        <v>15.205078496217737</v>
      </c>
    </row>
    <row r="122" spans="1:13" hidden="1" outlineLevel="2">
      <c r="A122" s="137">
        <v>46054</v>
      </c>
      <c r="B122" s="1" t="s">
        <v>980</v>
      </c>
      <c r="C122" s="346">
        <v>398627170959</v>
      </c>
      <c r="D122" s="1" t="str">
        <f>VLOOKUP(C122,[1]Material!F:J,5,0)</f>
        <v>Fedex</v>
      </c>
      <c r="E122" s="1">
        <f>_xlfn.XLOOKUP(C122,[1]Material!$F:$F,[1]Material!$D:$D)</f>
        <v>1</v>
      </c>
      <c r="F122" s="693"/>
      <c r="G122" s="694"/>
      <c r="H122" s="694">
        <v>15.205078496217737</v>
      </c>
      <c r="I122" s="695">
        <v>0</v>
      </c>
      <c r="J122" s="59"/>
      <c r="K122" s="59"/>
      <c r="L122" s="563"/>
      <c r="M122" s="59">
        <f t="shared" si="8"/>
        <v>15.205078496217737</v>
      </c>
    </row>
    <row r="123" spans="1:13" hidden="1" outlineLevel="2">
      <c r="A123" s="137">
        <v>46054</v>
      </c>
      <c r="B123" s="1" t="s">
        <v>1495</v>
      </c>
      <c r="C123" s="346">
        <v>660122996283</v>
      </c>
      <c r="D123" s="1" t="str">
        <f>VLOOKUP(C123,[1]Material!F:J,5,0)</f>
        <v>Fedex</v>
      </c>
      <c r="E123" s="1">
        <f>_xlfn.XLOOKUP(C123,[1]Material!$F:$F,[1]Material!$D:$D)</f>
        <v>10</v>
      </c>
      <c r="F123" s="693"/>
      <c r="G123" s="694"/>
      <c r="H123" s="694">
        <v>15.205078496217737</v>
      </c>
      <c r="I123" s="695">
        <v>0</v>
      </c>
      <c r="J123" s="59"/>
      <c r="K123" s="59"/>
      <c r="L123" s="563"/>
      <c r="M123" s="59">
        <f t="shared" si="8"/>
        <v>15.205078496217737</v>
      </c>
    </row>
    <row r="124" spans="1:13" hidden="1" outlineLevel="2">
      <c r="A124" s="137">
        <v>46054</v>
      </c>
      <c r="B124" s="1" t="s">
        <v>1497</v>
      </c>
      <c r="C124" s="346">
        <v>888744986649</v>
      </c>
      <c r="D124" s="1" t="str">
        <f>VLOOKUP(C124,[1]Material!F:J,5,0)</f>
        <v>Fedex</v>
      </c>
      <c r="E124" s="1">
        <f>_xlfn.XLOOKUP(C124,[1]Material!$F:$F,[1]Material!$D:$D)</f>
        <v>4</v>
      </c>
      <c r="F124" s="693"/>
      <c r="G124" s="694"/>
      <c r="H124" s="694">
        <v>15.205078496217737</v>
      </c>
      <c r="I124" s="695">
        <v>0</v>
      </c>
      <c r="J124" s="59"/>
      <c r="K124" s="59"/>
      <c r="L124" s="563"/>
      <c r="M124" s="59">
        <f t="shared" si="8"/>
        <v>15.205078496217737</v>
      </c>
    </row>
    <row r="125" spans="1:13" hidden="1" outlineLevel="2">
      <c r="A125" s="137">
        <v>46054</v>
      </c>
      <c r="B125" s="1" t="s">
        <v>1502</v>
      </c>
      <c r="C125" s="346">
        <v>5163639622</v>
      </c>
      <c r="D125" s="1" t="s">
        <v>897</v>
      </c>
      <c r="E125" s="1">
        <v>1</v>
      </c>
      <c r="F125" s="693"/>
      <c r="G125" s="694"/>
      <c r="H125" s="694">
        <v>15.205078496217737</v>
      </c>
      <c r="I125" s="695">
        <v>0</v>
      </c>
      <c r="J125" s="59"/>
      <c r="K125" s="59"/>
      <c r="L125" s="563"/>
      <c r="M125" s="59">
        <f t="shared" si="8"/>
        <v>15.205078496217737</v>
      </c>
    </row>
    <row r="126" spans="1:13" hidden="1" outlineLevel="2">
      <c r="A126" s="137">
        <v>46054</v>
      </c>
      <c r="B126" s="1" t="s">
        <v>1502</v>
      </c>
      <c r="C126" s="346">
        <v>5163639622</v>
      </c>
      <c r="D126" s="1" t="s">
        <v>897</v>
      </c>
      <c r="E126" s="1">
        <v>1</v>
      </c>
      <c r="F126" s="693"/>
      <c r="G126" s="694"/>
      <c r="H126" s="694">
        <v>15.205078496217737</v>
      </c>
      <c r="I126" s="695">
        <v>0</v>
      </c>
      <c r="J126" s="59"/>
      <c r="K126" s="59"/>
      <c r="L126" s="563"/>
      <c r="M126" s="59">
        <f t="shared" si="8"/>
        <v>15.205078496217737</v>
      </c>
    </row>
    <row r="127" spans="1:13" hidden="1" outlineLevel="2">
      <c r="A127" s="137">
        <v>46054</v>
      </c>
      <c r="B127" s="1" t="s">
        <v>1505</v>
      </c>
      <c r="C127" s="346" t="s">
        <v>1333</v>
      </c>
      <c r="D127" s="1" t="s">
        <v>1333</v>
      </c>
      <c r="E127" s="1"/>
      <c r="F127" s="693"/>
      <c r="G127" s="694"/>
      <c r="H127" s="694">
        <v>15.205078496217737</v>
      </c>
      <c r="I127" s="695">
        <v>0</v>
      </c>
      <c r="J127" s="59"/>
      <c r="K127" s="59"/>
      <c r="L127" s="563"/>
      <c r="M127" s="59">
        <f t="shared" si="8"/>
        <v>15.205078496217737</v>
      </c>
    </row>
    <row r="128" spans="1:13" outlineLevel="1" collapsed="1">
      <c r="A128" s="138" t="s">
        <v>1609</v>
      </c>
      <c r="B128" s="1"/>
      <c r="C128" s="346"/>
      <c r="D128" s="1"/>
      <c r="E128" s="1">
        <f t="shared" ref="E128:M128" si="9">SUBTOTAL(9,E118:E127)</f>
        <v>35.6</v>
      </c>
      <c r="F128" s="693">
        <f t="shared" si="9"/>
        <v>0</v>
      </c>
      <c r="G128" s="694">
        <f t="shared" si="9"/>
        <v>0</v>
      </c>
      <c r="H128" s="694">
        <f t="shared" si="9"/>
        <v>152.05078496217737</v>
      </c>
      <c r="I128" s="695">
        <f t="shared" si="9"/>
        <v>55.052457520811956</v>
      </c>
      <c r="J128" s="59">
        <f t="shared" si="9"/>
        <v>0</v>
      </c>
      <c r="K128" s="59">
        <f t="shared" si="9"/>
        <v>0</v>
      </c>
      <c r="L128" s="563">
        <f t="shared" si="9"/>
        <v>0</v>
      </c>
      <c r="M128" s="59">
        <f t="shared" si="9"/>
        <v>207.10324248298932</v>
      </c>
    </row>
    <row r="129" spans="1:13" hidden="1" outlineLevel="2">
      <c r="A129" s="137">
        <v>46082</v>
      </c>
      <c r="B129" s="1" t="s">
        <v>810</v>
      </c>
      <c r="C129" s="346">
        <v>510007312619</v>
      </c>
      <c r="D129" s="1" t="s">
        <v>339</v>
      </c>
      <c r="E129" s="1">
        <v>25.4</v>
      </c>
      <c r="F129" s="693"/>
      <c r="G129" s="694">
        <v>15.172780032621477</v>
      </c>
      <c r="H129" s="694"/>
      <c r="I129" s="695">
        <v>73.808064332587335</v>
      </c>
      <c r="J129" s="59"/>
      <c r="K129" s="59"/>
      <c r="L129" s="563"/>
      <c r="M129" s="59">
        <f t="shared" ref="M129:M145" si="10">SUM(G129:L129)</f>
        <v>88.98084436520881</v>
      </c>
    </row>
    <row r="130" spans="1:13" hidden="1" outlineLevel="2">
      <c r="A130" s="137">
        <v>46082</v>
      </c>
      <c r="B130" s="1" t="s">
        <v>800</v>
      </c>
      <c r="C130" s="346">
        <v>678845983653</v>
      </c>
      <c r="D130" s="1" t="s">
        <v>339</v>
      </c>
      <c r="E130" s="1">
        <v>0.9</v>
      </c>
      <c r="F130" s="693"/>
      <c r="G130" s="694">
        <v>15.172780032621477</v>
      </c>
      <c r="H130" s="694"/>
      <c r="I130" s="695">
        <v>24.473201077267383</v>
      </c>
      <c r="J130" s="59"/>
      <c r="K130" s="59"/>
      <c r="L130" s="563"/>
      <c r="M130" s="59">
        <f t="shared" si="10"/>
        <v>39.645981109888858</v>
      </c>
    </row>
    <row r="131" spans="1:13" hidden="1" outlineLevel="2">
      <c r="A131" s="137">
        <v>46082</v>
      </c>
      <c r="B131" s="1" t="s">
        <v>980</v>
      </c>
      <c r="C131" s="346">
        <v>398911685130</v>
      </c>
      <c r="D131" s="1" t="s">
        <v>339</v>
      </c>
      <c r="E131" s="1"/>
      <c r="F131" s="693"/>
      <c r="G131" s="694">
        <v>15.172780032621477</v>
      </c>
      <c r="H131" s="694"/>
      <c r="I131" s="695"/>
      <c r="J131" s="59"/>
      <c r="K131" s="59"/>
      <c r="L131" s="563"/>
      <c r="M131" s="59">
        <f t="shared" si="10"/>
        <v>15.172780032621477</v>
      </c>
    </row>
    <row r="132" spans="1:13" hidden="1" outlineLevel="2">
      <c r="A132" s="137">
        <v>46082</v>
      </c>
      <c r="B132" s="1" t="s">
        <v>1332</v>
      </c>
      <c r="C132" s="346">
        <v>889186282993</v>
      </c>
      <c r="D132" s="1" t="s">
        <v>339</v>
      </c>
      <c r="E132" s="1"/>
      <c r="F132" s="693"/>
      <c r="G132" s="694">
        <v>15.172780032621477</v>
      </c>
      <c r="H132" s="694"/>
      <c r="I132" s="695"/>
      <c r="J132" s="59"/>
      <c r="K132" s="59"/>
      <c r="L132" s="563"/>
      <c r="M132" s="59">
        <f t="shared" si="10"/>
        <v>15.172780032621477</v>
      </c>
    </row>
    <row r="133" spans="1:13" hidden="1" outlineLevel="2">
      <c r="A133" s="137">
        <v>46082</v>
      </c>
      <c r="B133" s="1" t="s">
        <v>1701</v>
      </c>
      <c r="C133" s="346">
        <v>5166369154</v>
      </c>
      <c r="D133" s="1" t="s">
        <v>897</v>
      </c>
      <c r="E133" s="1"/>
      <c r="F133" s="693"/>
      <c r="G133" s="694">
        <v>15.172780032621477</v>
      </c>
      <c r="H133" s="694"/>
      <c r="I133" s="695"/>
      <c r="J133" s="59"/>
      <c r="K133" s="59"/>
      <c r="L133" s="563"/>
      <c r="M133" s="59">
        <f t="shared" si="10"/>
        <v>15.172780032621477</v>
      </c>
    </row>
    <row r="134" spans="1:13" hidden="1" outlineLevel="2">
      <c r="A134" s="137">
        <v>46082</v>
      </c>
      <c r="B134" s="1" t="s">
        <v>110</v>
      </c>
      <c r="C134" s="346">
        <v>483570643095</v>
      </c>
      <c r="D134" s="1" t="s">
        <v>339</v>
      </c>
      <c r="E134" s="1"/>
      <c r="F134" s="693"/>
      <c r="G134" s="694">
        <v>15.172780032621477</v>
      </c>
      <c r="H134" s="694"/>
      <c r="I134" s="695"/>
      <c r="J134" s="59"/>
      <c r="K134" s="59"/>
      <c r="L134" s="563"/>
      <c r="M134" s="59">
        <f t="shared" si="10"/>
        <v>15.172780032621477</v>
      </c>
    </row>
    <row r="135" spans="1:13" hidden="1" outlineLevel="2">
      <c r="A135" s="137">
        <v>46082</v>
      </c>
      <c r="B135" s="1" t="s">
        <v>1705</v>
      </c>
      <c r="C135" s="346">
        <v>489101254478</v>
      </c>
      <c r="D135" s="1" t="s">
        <v>339</v>
      </c>
      <c r="E135" s="1"/>
      <c r="F135" s="693"/>
      <c r="G135" s="694">
        <v>15.172780032621477</v>
      </c>
      <c r="H135" s="694"/>
      <c r="I135" s="695"/>
      <c r="J135" s="59"/>
      <c r="K135" s="59"/>
      <c r="L135" s="563"/>
      <c r="M135" s="59">
        <f t="shared" si="10"/>
        <v>15.172780032621477</v>
      </c>
    </row>
    <row r="136" spans="1:13" hidden="1" outlineLevel="2">
      <c r="A136" s="137">
        <v>46082</v>
      </c>
      <c r="B136" s="1" t="s">
        <v>957</v>
      </c>
      <c r="C136" s="346">
        <v>517179882924</v>
      </c>
      <c r="D136" s="1" t="s">
        <v>339</v>
      </c>
      <c r="E136" s="1"/>
      <c r="F136" s="693"/>
      <c r="G136" s="694">
        <v>15.172780032621477</v>
      </c>
      <c r="H136" s="694"/>
      <c r="I136" s="695"/>
      <c r="J136" s="59"/>
      <c r="K136" s="59"/>
      <c r="L136" s="563"/>
      <c r="M136" s="59">
        <f t="shared" si="10"/>
        <v>15.172780032621477</v>
      </c>
    </row>
    <row r="137" spans="1:13" hidden="1" outlineLevel="2">
      <c r="A137" s="137">
        <v>46082</v>
      </c>
      <c r="B137" s="1" t="s">
        <v>963</v>
      </c>
      <c r="C137" s="346">
        <v>515918572988</v>
      </c>
      <c r="D137" s="1" t="s">
        <v>339</v>
      </c>
      <c r="E137" s="1"/>
      <c r="F137" s="693"/>
      <c r="G137" s="694">
        <v>15.172780032621477</v>
      </c>
      <c r="H137" s="694"/>
      <c r="I137" s="695"/>
      <c r="J137" s="59"/>
      <c r="K137" s="59"/>
      <c r="L137" s="563"/>
      <c r="M137" s="59">
        <f t="shared" si="10"/>
        <v>15.172780032621477</v>
      </c>
    </row>
    <row r="138" spans="1:13" hidden="1" outlineLevel="2">
      <c r="A138" s="137">
        <v>46082</v>
      </c>
      <c r="B138" s="1" t="s">
        <v>1711</v>
      </c>
      <c r="C138" s="346">
        <v>489101255740</v>
      </c>
      <c r="D138" s="1" t="s">
        <v>339</v>
      </c>
      <c r="E138" s="1"/>
      <c r="F138" s="693"/>
      <c r="G138" s="694">
        <v>15.172780032621477</v>
      </c>
      <c r="H138" s="694"/>
      <c r="I138" s="695"/>
      <c r="J138" s="59"/>
      <c r="K138" s="59"/>
      <c r="L138" s="563"/>
      <c r="M138" s="59">
        <f t="shared" si="10"/>
        <v>15.172780032621477</v>
      </c>
    </row>
    <row r="139" spans="1:13" hidden="1" outlineLevel="2">
      <c r="A139" s="137">
        <v>46082</v>
      </c>
      <c r="B139" s="1" t="s">
        <v>1694</v>
      </c>
      <c r="C139" s="346">
        <v>399580262167</v>
      </c>
      <c r="D139" s="1" t="s">
        <v>339</v>
      </c>
      <c r="E139" s="1"/>
      <c r="F139" s="693"/>
      <c r="G139" s="694">
        <v>15.172780032621477</v>
      </c>
      <c r="H139" s="694"/>
      <c r="I139" s="695"/>
      <c r="J139" s="59"/>
      <c r="K139" s="59"/>
      <c r="L139" s="563"/>
      <c r="M139" s="59">
        <f t="shared" si="10"/>
        <v>15.172780032621477</v>
      </c>
    </row>
    <row r="140" spans="1:13" hidden="1" outlineLevel="2">
      <c r="A140" s="137">
        <v>46082</v>
      </c>
      <c r="B140" s="1" t="s">
        <v>957</v>
      </c>
      <c r="C140" s="346">
        <v>518050344410</v>
      </c>
      <c r="D140" s="1" t="s">
        <v>339</v>
      </c>
      <c r="E140" s="1"/>
      <c r="F140" s="693"/>
      <c r="G140" s="694">
        <v>15.172780032621477</v>
      </c>
      <c r="H140" s="694"/>
      <c r="I140" s="695"/>
      <c r="J140" s="59"/>
      <c r="K140" s="59"/>
      <c r="L140" s="563"/>
      <c r="M140" s="59">
        <f t="shared" si="10"/>
        <v>15.172780032621477</v>
      </c>
    </row>
    <row r="141" spans="1:13" hidden="1" outlineLevel="2">
      <c r="A141" s="137">
        <v>46082</v>
      </c>
      <c r="B141" s="1" t="s">
        <v>1717</v>
      </c>
      <c r="C141" s="346">
        <v>473675011785</v>
      </c>
      <c r="D141" s="1" t="s">
        <v>339</v>
      </c>
      <c r="E141" s="1"/>
      <c r="F141" s="693"/>
      <c r="G141" s="694">
        <v>15.172780032621477</v>
      </c>
      <c r="H141" s="694"/>
      <c r="I141" s="695"/>
      <c r="J141" s="59"/>
      <c r="K141" s="59"/>
      <c r="L141" s="563"/>
      <c r="M141" s="59">
        <f t="shared" si="10"/>
        <v>15.172780032621477</v>
      </c>
    </row>
    <row r="142" spans="1:13" hidden="1" outlineLevel="2">
      <c r="A142" s="137">
        <v>46082</v>
      </c>
      <c r="B142" s="1" t="s">
        <v>1502</v>
      </c>
      <c r="C142" s="346">
        <v>5166821645</v>
      </c>
      <c r="D142" s="1" t="s">
        <v>897</v>
      </c>
      <c r="E142" s="1"/>
      <c r="F142" s="693"/>
      <c r="G142" s="694">
        <v>15.172780032621477</v>
      </c>
      <c r="H142" s="694"/>
      <c r="I142" s="695"/>
      <c r="J142" s="59"/>
      <c r="K142" s="59"/>
      <c r="L142" s="563"/>
      <c r="M142" s="59">
        <f t="shared" si="10"/>
        <v>15.172780032621477</v>
      </c>
    </row>
    <row r="143" spans="1:13" hidden="1" outlineLevel="2">
      <c r="A143" s="137">
        <v>46082</v>
      </c>
      <c r="B143" s="1" t="s">
        <v>110</v>
      </c>
      <c r="C143" s="346">
        <v>483570643100</v>
      </c>
      <c r="D143" s="1" t="s">
        <v>339</v>
      </c>
      <c r="E143" s="1"/>
      <c r="F143" s="693"/>
      <c r="G143" s="694">
        <v>15.172780032621477</v>
      </c>
      <c r="H143" s="694"/>
      <c r="I143" s="695"/>
      <c r="J143" s="59"/>
      <c r="K143" s="59"/>
      <c r="L143" s="563"/>
      <c r="M143" s="59">
        <f t="shared" si="10"/>
        <v>15.172780032621477</v>
      </c>
    </row>
    <row r="144" spans="1:13" hidden="1" outlineLevel="2">
      <c r="A144" s="137">
        <v>46082</v>
      </c>
      <c r="B144" s="1" t="s">
        <v>1335</v>
      </c>
      <c r="C144" s="346" t="s">
        <v>1333</v>
      </c>
      <c r="D144" s="1" t="s">
        <v>1333</v>
      </c>
      <c r="E144" s="1"/>
      <c r="F144" s="693"/>
      <c r="G144" s="694">
        <v>15.172780032621477</v>
      </c>
      <c r="H144" s="694"/>
      <c r="I144" s="695"/>
      <c r="J144" s="59"/>
      <c r="K144" s="59"/>
      <c r="L144" s="563"/>
      <c r="M144" s="59">
        <f t="shared" si="10"/>
        <v>15.172780032621477</v>
      </c>
    </row>
    <row r="145" spans="1:13" hidden="1" outlineLevel="2">
      <c r="A145" s="137">
        <v>46082</v>
      </c>
      <c r="B145" s="1" t="s">
        <v>989</v>
      </c>
      <c r="C145" s="346" t="s">
        <v>1333</v>
      </c>
      <c r="D145" s="1" t="s">
        <v>1333</v>
      </c>
      <c r="E145" s="1"/>
      <c r="F145" s="693"/>
      <c r="G145" s="694">
        <v>15.172780032621477</v>
      </c>
      <c r="H145" s="694"/>
      <c r="I145" s="695"/>
      <c r="J145" s="59"/>
      <c r="K145" s="59"/>
      <c r="L145" s="563"/>
      <c r="M145" s="59">
        <f t="shared" si="10"/>
        <v>15.172780032621477</v>
      </c>
    </row>
    <row r="146" spans="1:13" outlineLevel="1" collapsed="1">
      <c r="A146" s="138" t="s">
        <v>1750</v>
      </c>
      <c r="B146" s="1"/>
      <c r="C146" s="346"/>
      <c r="D146" s="1"/>
      <c r="E146" s="1">
        <f t="shared" ref="E146:M146" si="11">SUBTOTAL(9,E129:E145)</f>
        <v>26.299999999999997</v>
      </c>
      <c r="F146" s="693">
        <f t="shared" si="11"/>
        <v>0</v>
      </c>
      <c r="G146" s="694">
        <f t="shared" si="11"/>
        <v>257.93726055456517</v>
      </c>
      <c r="H146" s="694">
        <f t="shared" si="11"/>
        <v>0</v>
      </c>
      <c r="I146" s="695">
        <f t="shared" si="11"/>
        <v>98.281265409854711</v>
      </c>
      <c r="J146" s="59">
        <f t="shared" si="11"/>
        <v>0</v>
      </c>
      <c r="K146" s="59">
        <f t="shared" si="11"/>
        <v>0</v>
      </c>
      <c r="L146" s="563">
        <f t="shared" si="11"/>
        <v>0</v>
      </c>
      <c r="M146" s="59">
        <f t="shared" si="11"/>
        <v>356.21852596441983</v>
      </c>
    </row>
    <row r="147" spans="1:13" hidden="1" outlineLevel="2">
      <c r="A147" s="137">
        <v>46113</v>
      </c>
      <c r="B147" s="1" t="s">
        <v>1812</v>
      </c>
      <c r="C147" s="346">
        <v>3542666724</v>
      </c>
      <c r="D147" s="1" t="s">
        <v>897</v>
      </c>
      <c r="E147" s="1"/>
      <c r="F147" s="693"/>
      <c r="G147" s="694">
        <v>0</v>
      </c>
      <c r="H147" s="694">
        <v>15.170478249326811</v>
      </c>
      <c r="I147" s="695">
        <v>0</v>
      </c>
      <c r="J147" s="59"/>
      <c r="K147" s="59"/>
      <c r="L147" s="563">
        <v>0</v>
      </c>
      <c r="M147" s="59">
        <f t="shared" ref="M147:M210" si="12">SUM(G147:L147)</f>
        <v>15.170478249326811</v>
      </c>
    </row>
    <row r="148" spans="1:13" hidden="1" outlineLevel="2">
      <c r="A148" s="137">
        <v>46113</v>
      </c>
      <c r="B148" s="1" t="s">
        <v>1816</v>
      </c>
      <c r="C148" s="346">
        <v>9185369233</v>
      </c>
      <c r="D148" s="1" t="s">
        <v>897</v>
      </c>
      <c r="E148" s="1"/>
      <c r="F148" s="693"/>
      <c r="G148" s="694">
        <v>0</v>
      </c>
      <c r="H148" s="694">
        <v>15.170478249326811</v>
      </c>
      <c r="I148" s="695">
        <v>0</v>
      </c>
      <c r="J148" s="59"/>
      <c r="K148" s="59"/>
      <c r="L148" s="563">
        <v>0</v>
      </c>
      <c r="M148" s="59">
        <f t="shared" si="12"/>
        <v>15.170478249326811</v>
      </c>
    </row>
    <row r="149" spans="1:13" hidden="1" outlineLevel="2">
      <c r="A149" s="137">
        <v>46113</v>
      </c>
      <c r="B149" s="1" t="s">
        <v>1694</v>
      </c>
      <c r="C149" s="346">
        <v>380201599669</v>
      </c>
      <c r="D149" s="1" t="s">
        <v>339</v>
      </c>
      <c r="E149" s="1"/>
      <c r="F149" s="693"/>
      <c r="G149" s="694">
        <v>0</v>
      </c>
      <c r="H149" s="694">
        <v>15.170478249326811</v>
      </c>
      <c r="I149" s="695">
        <v>0</v>
      </c>
      <c r="J149" s="59"/>
      <c r="K149" s="59"/>
      <c r="L149" s="563">
        <v>0</v>
      </c>
      <c r="M149" s="59">
        <f t="shared" si="12"/>
        <v>15.170478249326811</v>
      </c>
    </row>
    <row r="150" spans="1:13" hidden="1" outlineLevel="2">
      <c r="A150" s="137">
        <v>46113</v>
      </c>
      <c r="B150" s="1" t="s">
        <v>110</v>
      </c>
      <c r="C150" s="346">
        <v>483570644470</v>
      </c>
      <c r="D150" s="1" t="s">
        <v>339</v>
      </c>
      <c r="E150" s="1"/>
      <c r="F150" s="693"/>
      <c r="G150" s="694">
        <v>0</v>
      </c>
      <c r="H150" s="694">
        <v>60.681912997307244</v>
      </c>
      <c r="I150" s="695">
        <v>0</v>
      </c>
      <c r="J150" s="59"/>
      <c r="K150" s="59"/>
      <c r="L150" s="563">
        <v>0</v>
      </c>
      <c r="M150" s="59">
        <f t="shared" si="12"/>
        <v>60.681912997307244</v>
      </c>
    </row>
    <row r="151" spans="1:13" hidden="1" outlineLevel="2">
      <c r="A151" s="137">
        <v>46113</v>
      </c>
      <c r="B151" s="1" t="s">
        <v>110</v>
      </c>
      <c r="C151" s="346">
        <v>483570645396</v>
      </c>
      <c r="D151" s="1" t="s">
        <v>339</v>
      </c>
      <c r="E151" s="1"/>
      <c r="F151" s="693"/>
      <c r="G151" s="694">
        <v>0</v>
      </c>
      <c r="H151" s="694">
        <v>15.170478249326811</v>
      </c>
      <c r="I151" s="695">
        <v>0</v>
      </c>
      <c r="J151" s="59"/>
      <c r="K151" s="59"/>
      <c r="L151" s="563">
        <v>0</v>
      </c>
      <c r="M151" s="59">
        <f t="shared" si="12"/>
        <v>15.170478249326811</v>
      </c>
    </row>
    <row r="152" spans="1:13" hidden="1" outlineLevel="2">
      <c r="A152" s="137">
        <v>46113</v>
      </c>
      <c r="B152" s="1" t="s">
        <v>1699</v>
      </c>
      <c r="C152" s="346">
        <v>500394744942</v>
      </c>
      <c r="D152" s="1" t="s">
        <v>339</v>
      </c>
      <c r="E152" s="1"/>
      <c r="F152" s="693"/>
      <c r="G152" s="694">
        <v>0</v>
      </c>
      <c r="H152" s="694">
        <v>15.170478249326811</v>
      </c>
      <c r="I152" s="695">
        <v>0</v>
      </c>
      <c r="J152" s="59"/>
      <c r="K152" s="59"/>
      <c r="L152" s="563">
        <v>0</v>
      </c>
      <c r="M152" s="59">
        <f t="shared" si="12"/>
        <v>15.170478249326811</v>
      </c>
    </row>
    <row r="153" spans="1:13" hidden="1" outlineLevel="2">
      <c r="A153" s="137">
        <v>46113</v>
      </c>
      <c r="B153" s="1" t="s">
        <v>1607</v>
      </c>
      <c r="C153" s="346">
        <v>512718299694</v>
      </c>
      <c r="D153" s="1" t="s">
        <v>339</v>
      </c>
      <c r="E153" s="1"/>
      <c r="F153" s="693"/>
      <c r="G153" s="694">
        <v>0</v>
      </c>
      <c r="H153" s="694">
        <v>30.340956498653622</v>
      </c>
      <c r="I153" s="695">
        <v>57.278264497288276</v>
      </c>
      <c r="J153" s="59"/>
      <c r="K153" s="59"/>
      <c r="L153" s="563">
        <v>0</v>
      </c>
      <c r="M153" s="59">
        <f t="shared" si="12"/>
        <v>87.619220995941902</v>
      </c>
    </row>
    <row r="154" spans="1:13" hidden="1" outlineLevel="2">
      <c r="A154" s="137">
        <v>46113</v>
      </c>
      <c r="B154" s="1" t="s">
        <v>1818</v>
      </c>
      <c r="C154" s="346">
        <v>513430025814</v>
      </c>
      <c r="D154" s="1" t="s">
        <v>339</v>
      </c>
      <c r="E154" s="1"/>
      <c r="F154" s="693"/>
      <c r="G154" s="694">
        <v>0</v>
      </c>
      <c r="H154" s="694">
        <v>15.170478249326811</v>
      </c>
      <c r="I154" s="695">
        <v>0</v>
      </c>
      <c r="J154" s="59"/>
      <c r="K154" s="59"/>
      <c r="L154" s="563">
        <v>0</v>
      </c>
      <c r="M154" s="59">
        <f t="shared" si="12"/>
        <v>15.170478249326811</v>
      </c>
    </row>
    <row r="155" spans="1:13" hidden="1" outlineLevel="2">
      <c r="A155" s="137">
        <v>46113</v>
      </c>
      <c r="B155" s="1" t="s">
        <v>963</v>
      </c>
      <c r="C155" s="346">
        <v>517836768052</v>
      </c>
      <c r="D155" s="1" t="s">
        <v>339</v>
      </c>
      <c r="E155" s="1"/>
      <c r="F155" s="693"/>
      <c r="G155" s="694">
        <v>0</v>
      </c>
      <c r="H155" s="694">
        <v>15.170478249326811</v>
      </c>
      <c r="I155" s="695">
        <v>0</v>
      </c>
      <c r="J155" s="59"/>
      <c r="K155" s="59"/>
      <c r="L155" s="563">
        <v>0</v>
      </c>
      <c r="M155" s="59">
        <f t="shared" si="12"/>
        <v>15.170478249326811</v>
      </c>
    </row>
    <row r="156" spans="1:13" hidden="1" outlineLevel="2">
      <c r="A156" s="137">
        <v>46113</v>
      </c>
      <c r="B156" s="1" t="s">
        <v>963</v>
      </c>
      <c r="C156" s="346">
        <v>518989211410</v>
      </c>
      <c r="D156" s="1" t="s">
        <v>339</v>
      </c>
      <c r="E156" s="1"/>
      <c r="F156" s="693"/>
      <c r="G156" s="694">
        <v>0</v>
      </c>
      <c r="H156" s="694">
        <v>15.170478249326811</v>
      </c>
      <c r="I156" s="695">
        <v>0</v>
      </c>
      <c r="J156" s="59"/>
      <c r="K156" s="59"/>
      <c r="L156" s="563">
        <v>0</v>
      </c>
      <c r="M156" s="59">
        <f t="shared" si="12"/>
        <v>15.170478249326811</v>
      </c>
    </row>
    <row r="157" spans="1:13" hidden="1" outlineLevel="2">
      <c r="A157" s="137">
        <v>46113</v>
      </c>
      <c r="B157" s="1" t="s">
        <v>957</v>
      </c>
      <c r="C157" s="346">
        <v>519024603428</v>
      </c>
      <c r="D157" s="1" t="s">
        <v>339</v>
      </c>
      <c r="E157" s="1"/>
      <c r="F157" s="693"/>
      <c r="G157" s="694">
        <v>0</v>
      </c>
      <c r="H157" s="694">
        <v>15.170478249326811</v>
      </c>
      <c r="I157" s="695">
        <v>0</v>
      </c>
      <c r="J157" s="59"/>
      <c r="K157" s="59"/>
      <c r="L157" s="563">
        <v>0</v>
      </c>
      <c r="M157" s="59">
        <f t="shared" si="12"/>
        <v>15.170478249326811</v>
      </c>
    </row>
    <row r="158" spans="1:13" hidden="1" outlineLevel="2">
      <c r="A158" s="137">
        <v>46113</v>
      </c>
      <c r="B158" s="1" t="s">
        <v>957</v>
      </c>
      <c r="C158" s="346">
        <v>519784472714</v>
      </c>
      <c r="D158" s="1" t="s">
        <v>339</v>
      </c>
      <c r="E158" s="1"/>
      <c r="F158" s="693"/>
      <c r="G158" s="694">
        <v>0</v>
      </c>
      <c r="H158" s="694">
        <v>15.170478249326811</v>
      </c>
      <c r="I158" s="695">
        <v>0</v>
      </c>
      <c r="J158" s="59"/>
      <c r="K158" s="59"/>
      <c r="L158" s="563">
        <v>0</v>
      </c>
      <c r="M158" s="59">
        <f t="shared" si="12"/>
        <v>15.170478249326811</v>
      </c>
    </row>
    <row r="159" spans="1:13" hidden="1" outlineLevel="2">
      <c r="A159" s="137">
        <v>46113</v>
      </c>
      <c r="B159" s="1" t="s">
        <v>963</v>
      </c>
      <c r="C159" s="346">
        <v>519884049453</v>
      </c>
      <c r="D159" s="1" t="s">
        <v>339</v>
      </c>
      <c r="E159" s="1"/>
      <c r="F159" s="693"/>
      <c r="G159" s="694">
        <v>0</v>
      </c>
      <c r="H159" s="694">
        <v>15.170478249326811</v>
      </c>
      <c r="I159" s="695">
        <v>0</v>
      </c>
      <c r="J159" s="59"/>
      <c r="K159" s="59"/>
      <c r="L159" s="563">
        <v>0</v>
      </c>
      <c r="M159" s="59">
        <f t="shared" si="12"/>
        <v>15.170478249326811</v>
      </c>
    </row>
    <row r="160" spans="1:13" hidden="1" outlineLevel="2">
      <c r="A160" s="137">
        <v>46113</v>
      </c>
      <c r="B160" s="1" t="s">
        <v>957</v>
      </c>
      <c r="C160" s="346">
        <v>520634230763</v>
      </c>
      <c r="D160" s="1" t="s">
        <v>339</v>
      </c>
      <c r="E160" s="1"/>
      <c r="F160" s="693"/>
      <c r="G160" s="694">
        <v>0</v>
      </c>
      <c r="H160" s="694">
        <v>15.170478249326811</v>
      </c>
      <c r="I160" s="695">
        <v>0</v>
      </c>
      <c r="J160" s="59"/>
      <c r="K160" s="59"/>
      <c r="L160" s="563">
        <v>0</v>
      </c>
      <c r="M160" s="59">
        <f t="shared" si="12"/>
        <v>15.170478249326811</v>
      </c>
    </row>
    <row r="161" spans="1:13" hidden="1" outlineLevel="2">
      <c r="A161" s="137">
        <v>46113</v>
      </c>
      <c r="B161" s="1" t="s">
        <v>963</v>
      </c>
      <c r="C161" s="346">
        <v>520857533701</v>
      </c>
      <c r="D161" s="1" t="s">
        <v>339</v>
      </c>
      <c r="E161" s="1"/>
      <c r="F161" s="693"/>
      <c r="G161" s="694">
        <v>0</v>
      </c>
      <c r="H161" s="694">
        <v>15.170478249326811</v>
      </c>
      <c r="I161" s="695">
        <v>0</v>
      </c>
      <c r="J161" s="59"/>
      <c r="K161" s="59"/>
      <c r="L161" s="563">
        <v>0</v>
      </c>
      <c r="M161" s="59">
        <f t="shared" si="12"/>
        <v>15.170478249326811</v>
      </c>
    </row>
    <row r="162" spans="1:13" hidden="1" outlineLevel="2">
      <c r="A162" s="137">
        <v>46113</v>
      </c>
      <c r="B162" s="1" t="s">
        <v>963</v>
      </c>
      <c r="C162" s="346">
        <v>520857759578</v>
      </c>
      <c r="D162" s="1" t="s">
        <v>339</v>
      </c>
      <c r="E162" s="1"/>
      <c r="F162" s="693"/>
      <c r="G162" s="694">
        <v>0</v>
      </c>
      <c r="H162" s="694">
        <v>15.170478249326811</v>
      </c>
      <c r="I162" s="695">
        <v>0</v>
      </c>
      <c r="J162" s="59"/>
      <c r="K162" s="59"/>
      <c r="L162" s="563">
        <v>0</v>
      </c>
      <c r="M162" s="59">
        <f t="shared" si="12"/>
        <v>15.170478249326811</v>
      </c>
    </row>
    <row r="163" spans="1:13" hidden="1" outlineLevel="2">
      <c r="A163" s="137">
        <v>46113</v>
      </c>
      <c r="B163" s="1" t="s">
        <v>649</v>
      </c>
      <c r="C163" s="346">
        <v>870241789475</v>
      </c>
      <c r="D163" s="1" t="s">
        <v>339</v>
      </c>
      <c r="E163" s="1"/>
      <c r="F163" s="693"/>
      <c r="G163" s="694">
        <v>0</v>
      </c>
      <c r="H163" s="694">
        <v>15.170478249326811</v>
      </c>
      <c r="I163" s="695">
        <v>0</v>
      </c>
      <c r="J163" s="59"/>
      <c r="K163" s="59"/>
      <c r="L163" s="563">
        <v>0</v>
      </c>
      <c r="M163" s="59">
        <f t="shared" si="12"/>
        <v>15.170478249326811</v>
      </c>
    </row>
    <row r="164" spans="1:13" hidden="1" outlineLevel="2">
      <c r="A164" s="137">
        <v>46113</v>
      </c>
      <c r="B164" s="1" t="s">
        <v>650</v>
      </c>
      <c r="C164" s="346">
        <v>870425859290</v>
      </c>
      <c r="D164" s="1" t="s">
        <v>339</v>
      </c>
      <c r="E164" s="1"/>
      <c r="F164" s="693"/>
      <c r="G164" s="694">
        <v>0</v>
      </c>
      <c r="H164" s="694">
        <v>30.340956498653622</v>
      </c>
      <c r="I164" s="695">
        <v>34.420980771418819</v>
      </c>
      <c r="J164" s="59"/>
      <c r="K164" s="59"/>
      <c r="L164" s="563">
        <v>0</v>
      </c>
      <c r="M164" s="59">
        <f t="shared" si="12"/>
        <v>64.761937270072437</v>
      </c>
    </row>
    <row r="165" spans="1:13" hidden="1" outlineLevel="2">
      <c r="A165" s="137">
        <v>46113</v>
      </c>
      <c r="B165" s="1" t="s">
        <v>844</v>
      </c>
      <c r="C165" s="346">
        <v>870434019223</v>
      </c>
      <c r="D165" s="1" t="s">
        <v>339</v>
      </c>
      <c r="E165" s="1"/>
      <c r="F165" s="693"/>
      <c r="G165" s="694">
        <v>0</v>
      </c>
      <c r="H165" s="694">
        <v>30.340956498653622</v>
      </c>
      <c r="I165" s="695">
        <v>18.581181021731709</v>
      </c>
      <c r="J165" s="59"/>
      <c r="K165" s="59"/>
      <c r="L165" s="563">
        <v>0</v>
      </c>
      <c r="M165" s="59">
        <f t="shared" si="12"/>
        <v>48.922137520385334</v>
      </c>
    </row>
    <row r="166" spans="1:13" hidden="1" outlineLevel="2">
      <c r="A166" s="137">
        <v>46113</v>
      </c>
      <c r="B166" s="1" t="s">
        <v>1820</v>
      </c>
      <c r="C166" s="346">
        <v>870467066518</v>
      </c>
      <c r="D166" s="1" t="s">
        <v>339</v>
      </c>
      <c r="E166" s="1"/>
      <c r="F166" s="693"/>
      <c r="G166" s="694">
        <v>0</v>
      </c>
      <c r="H166" s="694">
        <v>30.340956498653622</v>
      </c>
      <c r="I166" s="695">
        <v>24.085409792543711</v>
      </c>
      <c r="J166" s="59"/>
      <c r="K166" s="59"/>
      <c r="L166" s="563">
        <v>0</v>
      </c>
      <c r="M166" s="59">
        <f t="shared" si="12"/>
        <v>54.426366291197333</v>
      </c>
    </row>
    <row r="167" spans="1:13" hidden="1" outlineLevel="2">
      <c r="A167" s="137">
        <v>46113</v>
      </c>
      <c r="B167" s="1" t="s">
        <v>1474</v>
      </c>
      <c r="C167" s="346">
        <v>870516807979</v>
      </c>
      <c r="D167" s="1" t="s">
        <v>339</v>
      </c>
      <c r="E167" s="1"/>
      <c r="F167" s="693"/>
      <c r="G167" s="694">
        <v>0</v>
      </c>
      <c r="H167" s="694">
        <v>30.340956498653622</v>
      </c>
      <c r="I167" s="695">
        <v>40.210831721470022</v>
      </c>
      <c r="J167" s="59"/>
      <c r="K167" s="59"/>
      <c r="L167" s="563">
        <v>0</v>
      </c>
      <c r="M167" s="59">
        <f t="shared" si="12"/>
        <v>70.55178822012364</v>
      </c>
    </row>
    <row r="168" spans="1:13" hidden="1" outlineLevel="2">
      <c r="A168" s="137">
        <v>46113</v>
      </c>
      <c r="B168" s="1" t="s">
        <v>844</v>
      </c>
      <c r="C168" s="346">
        <v>870587680626</v>
      </c>
      <c r="D168" s="1" t="s">
        <v>339</v>
      </c>
      <c r="E168" s="1"/>
      <c r="F168" s="693"/>
      <c r="G168" s="694">
        <v>0</v>
      </c>
      <c r="H168" s="694">
        <v>30.340956498653622</v>
      </c>
      <c r="I168" s="695">
        <v>37.694163158493573</v>
      </c>
      <c r="J168" s="59"/>
      <c r="K168" s="59"/>
      <c r="L168" s="563">
        <v>0</v>
      </c>
      <c r="M168" s="59">
        <f t="shared" si="12"/>
        <v>68.035119657147192</v>
      </c>
    </row>
    <row r="169" spans="1:13" hidden="1" outlineLevel="2">
      <c r="A169" s="137">
        <v>46113</v>
      </c>
      <c r="B169" s="1" t="s">
        <v>650</v>
      </c>
      <c r="C169" s="346">
        <v>870632083603</v>
      </c>
      <c r="D169" s="1" t="s">
        <v>339</v>
      </c>
      <c r="E169" s="1"/>
      <c r="F169" s="693"/>
      <c r="G169" s="694">
        <v>0</v>
      </c>
      <c r="H169" s="694">
        <v>30.340956498653622</v>
      </c>
      <c r="I169" s="695">
        <v>25.929684833314369</v>
      </c>
      <c r="J169" s="59"/>
      <c r="K169" s="59"/>
      <c r="L169" s="563">
        <v>0</v>
      </c>
      <c r="M169" s="59">
        <f t="shared" si="12"/>
        <v>56.270641331967994</v>
      </c>
    </row>
    <row r="170" spans="1:13" hidden="1" outlineLevel="2">
      <c r="A170" s="137">
        <v>46113</v>
      </c>
      <c r="B170" s="1" t="s">
        <v>844</v>
      </c>
      <c r="C170" s="346">
        <v>870726969119</v>
      </c>
      <c r="D170" s="1" t="s">
        <v>339</v>
      </c>
      <c r="E170" s="1"/>
      <c r="F170" s="693"/>
      <c r="G170" s="694">
        <v>0</v>
      </c>
      <c r="H170" s="694">
        <v>30.340956498653622</v>
      </c>
      <c r="I170" s="695">
        <v>18.571737399021504</v>
      </c>
      <c r="J170" s="59"/>
      <c r="K170" s="59"/>
      <c r="L170" s="563">
        <v>0</v>
      </c>
      <c r="M170" s="59">
        <f t="shared" si="12"/>
        <v>48.912693897675126</v>
      </c>
    </row>
    <row r="171" spans="1:13" outlineLevel="1" collapsed="1">
      <c r="A171" s="138" t="s">
        <v>1885</v>
      </c>
      <c r="B171" s="1"/>
      <c r="C171" s="346"/>
      <c r="D171" s="1"/>
      <c r="E171" s="1">
        <f t="shared" ref="E171:M171" si="13">SUBTOTAL(9,E147:E170)</f>
        <v>0</v>
      </c>
      <c r="F171" s="693">
        <f t="shared" si="13"/>
        <v>0</v>
      </c>
      <c r="G171" s="694">
        <f t="shared" si="13"/>
        <v>0</v>
      </c>
      <c r="H171" s="694">
        <f t="shared" si="13"/>
        <v>530.96673872643839</v>
      </c>
      <c r="I171" s="695">
        <f t="shared" si="13"/>
        <v>256.77225319528202</v>
      </c>
      <c r="J171" s="59">
        <f t="shared" si="13"/>
        <v>0</v>
      </c>
      <c r="K171" s="59">
        <f t="shared" si="13"/>
        <v>0</v>
      </c>
      <c r="L171" s="563">
        <f t="shared" si="13"/>
        <v>0</v>
      </c>
      <c r="M171" s="59">
        <f t="shared" si="13"/>
        <v>787.73899192172053</v>
      </c>
    </row>
    <row r="172" spans="1:13" hidden="1" outlineLevel="2">
      <c r="A172" s="138">
        <v>46143</v>
      </c>
      <c r="B172" s="1" t="s">
        <v>1474</v>
      </c>
      <c r="C172" s="346">
        <v>870942188710</v>
      </c>
      <c r="D172" s="341" t="str">
        <f>VLOOKUP(C172,[1]Material!F:J,5,0)</f>
        <v>Fedex</v>
      </c>
      <c r="E172" s="367">
        <f>_xlfn.XLOOKUP(C172,[1]Material!$F:$F,[1]Material!$D:$D)</f>
        <v>1</v>
      </c>
      <c r="F172" s="1"/>
      <c r="G172" s="563"/>
      <c r="H172" s="563">
        <v>15.149219815179519</v>
      </c>
      <c r="I172" s="59">
        <v>30.329798515376456</v>
      </c>
      <c r="J172" s="59"/>
      <c r="K172" s="59"/>
      <c r="L172" s="563"/>
      <c r="M172" s="59">
        <f t="shared" si="12"/>
        <v>45.479018330555974</v>
      </c>
    </row>
    <row r="173" spans="1:13" hidden="1" outlineLevel="2">
      <c r="A173" s="138">
        <v>46143</v>
      </c>
      <c r="B173" s="1" t="s">
        <v>1332</v>
      </c>
      <c r="C173" s="346">
        <v>870984625484</v>
      </c>
      <c r="D173" s="341" t="str">
        <f>VLOOKUP(C173,[1]Equipment!F:J,5,0)</f>
        <v>Fedex</v>
      </c>
      <c r="E173" s="367">
        <f>_xlfn.XLOOKUP(C173,[1]Equipment!$F:$F,[1]Equipment!$D:$D)</f>
        <v>0.5</v>
      </c>
      <c r="F173" s="1"/>
      <c r="G173" s="563"/>
      <c r="H173" s="563">
        <v>15.149219815179519</v>
      </c>
      <c r="I173" s="59">
        <v>17.446030904408424</v>
      </c>
      <c r="J173" s="59"/>
      <c r="K173" s="59"/>
      <c r="L173" s="563"/>
      <c r="M173" s="59">
        <f t="shared" si="12"/>
        <v>32.595250719587945</v>
      </c>
    </row>
    <row r="174" spans="1:13" hidden="1" outlineLevel="2">
      <c r="A174" s="138">
        <v>46143</v>
      </c>
      <c r="B174" s="1" t="s">
        <v>806</v>
      </c>
      <c r="C174" s="346">
        <v>522040218878</v>
      </c>
      <c r="D174" s="341" t="str">
        <f>VLOOKUP(C174,[1]Material!F:J,5,0)</f>
        <v>Fedex</v>
      </c>
      <c r="E174" s="367">
        <f>_xlfn.XLOOKUP(C174,[1]Material!$F:$F,[1]Material!$D:$D)</f>
        <v>9.5</v>
      </c>
      <c r="F174" s="1"/>
      <c r="G174" s="563"/>
      <c r="H174" s="563">
        <v>0</v>
      </c>
      <c r="I174" s="59">
        <v>66.671148310861994</v>
      </c>
      <c r="J174" s="59"/>
      <c r="K174" s="59"/>
      <c r="L174" s="563"/>
      <c r="M174" s="59">
        <f t="shared" si="12"/>
        <v>66.671148310861994</v>
      </c>
    </row>
    <row r="175" spans="1:13" hidden="1" outlineLevel="2">
      <c r="A175" s="138">
        <v>46143</v>
      </c>
      <c r="B175" s="1" t="s">
        <v>1898</v>
      </c>
      <c r="C175" s="346">
        <v>871358463221</v>
      </c>
      <c r="D175" s="341" t="str">
        <f>VLOOKUP(C175,[1]Material!F:J,5,0)</f>
        <v>Fedex</v>
      </c>
      <c r="E175" s="367">
        <f>_xlfn.XLOOKUP(C175,[1]Material!$F:$F,[1]Material!$D:$D)</f>
        <v>0.4</v>
      </c>
      <c r="F175" s="1"/>
      <c r="G175" s="563"/>
      <c r="H175" s="563">
        <v>15.149219815179519</v>
      </c>
      <c r="I175" s="59">
        <v>15.278518406302075</v>
      </c>
      <c r="J175" s="59"/>
      <c r="K175" s="59"/>
      <c r="L175" s="563"/>
      <c r="M175" s="59">
        <f t="shared" si="12"/>
        <v>30.427738221481594</v>
      </c>
    </row>
    <row r="176" spans="1:13" hidden="1" outlineLevel="2">
      <c r="A176" s="138">
        <v>46143</v>
      </c>
      <c r="B176" s="1" t="s">
        <v>813</v>
      </c>
      <c r="C176" s="346">
        <v>481663285283</v>
      </c>
      <c r="D176" s="341" t="str">
        <f>VLOOKUP(C176,[1]Material!F:J,5,0)</f>
        <v>Fedex</v>
      </c>
      <c r="E176" s="367">
        <f>_xlfn.XLOOKUP(C176,[1]Material!$F:$F,[1]Material!$D:$D)</f>
        <v>2.5</v>
      </c>
      <c r="F176" s="1"/>
      <c r="G176" s="563"/>
      <c r="H176" s="563">
        <v>15.149219815179519</v>
      </c>
      <c r="I176" s="59">
        <v>36.723678230571124</v>
      </c>
      <c r="J176" s="59"/>
      <c r="K176" s="59"/>
      <c r="L176" s="563"/>
      <c r="M176" s="59">
        <f t="shared" si="12"/>
        <v>51.872898045750645</v>
      </c>
    </row>
    <row r="177" spans="1:13" hidden="1" outlineLevel="2">
      <c r="A177" s="138">
        <v>46143</v>
      </c>
      <c r="B177" s="1" t="s">
        <v>1474</v>
      </c>
      <c r="C177" s="346">
        <v>871555159672</v>
      </c>
      <c r="D177" s="341" t="str">
        <f>VLOOKUP(C177,[1]Material!F:J,5,0)</f>
        <v>Fedex</v>
      </c>
      <c r="E177" s="367">
        <f>_xlfn.XLOOKUP(C177,[1]Material!$F:$F,[1]Material!$D:$D)</f>
        <v>0.8</v>
      </c>
      <c r="F177" s="1"/>
      <c r="G177" s="563"/>
      <c r="H177" s="563">
        <v>15.149219815179519</v>
      </c>
      <c r="I177" s="59">
        <v>23.928079078927436</v>
      </c>
      <c r="J177" s="59"/>
      <c r="K177" s="59"/>
      <c r="L177" s="563"/>
      <c r="M177" s="59">
        <f t="shared" si="12"/>
        <v>39.077298894106953</v>
      </c>
    </row>
    <row r="178" spans="1:13" hidden="1" outlineLevel="2">
      <c r="A178" s="138">
        <v>46143</v>
      </c>
      <c r="B178" s="1" t="s">
        <v>1983</v>
      </c>
      <c r="C178" s="346" t="s">
        <v>1982</v>
      </c>
      <c r="D178" s="341" t="str">
        <f>VLOOKUP(C178,[1]Material!F:J,5,0)</f>
        <v>UPS</v>
      </c>
      <c r="E178" s="367">
        <f>_xlfn.XLOOKUP(C178,[1]Material!$F:$F,[1]Material!$D:$D)</f>
        <v>1</v>
      </c>
      <c r="F178" s="1"/>
      <c r="G178" s="563"/>
      <c r="H178" s="563">
        <v>15.149219815179519</v>
      </c>
      <c r="I178" s="59"/>
      <c r="J178" s="59"/>
      <c r="K178" s="59"/>
      <c r="L178" s="563"/>
      <c r="M178" s="59">
        <f t="shared" si="12"/>
        <v>15.149219815179519</v>
      </c>
    </row>
    <row r="179" spans="1:13" hidden="1" outlineLevel="2">
      <c r="A179" s="138">
        <v>46143</v>
      </c>
      <c r="B179" s="1" t="s">
        <v>1712</v>
      </c>
      <c r="C179" s="346">
        <v>615498856118</v>
      </c>
      <c r="D179" s="341" t="str">
        <f>VLOOKUP(C179,[1]Material!F:J,5,0)</f>
        <v>Fedex</v>
      </c>
      <c r="E179" s="367">
        <f>_xlfn.XLOOKUP(C179,[1]Material!$F:$F,[1]Material!$D:$D)</f>
        <v>0.4</v>
      </c>
      <c r="F179" s="1"/>
      <c r="G179" s="563"/>
      <c r="H179" s="563">
        <v>15.149219815179519</v>
      </c>
      <c r="I179" s="59"/>
      <c r="J179" s="59"/>
      <c r="K179" s="59"/>
      <c r="L179" s="563"/>
      <c r="M179" s="59">
        <f t="shared" si="12"/>
        <v>15.149219815179519</v>
      </c>
    </row>
    <row r="180" spans="1:13" hidden="1" outlineLevel="2">
      <c r="A180" s="138">
        <v>46143</v>
      </c>
      <c r="B180" s="1" t="s">
        <v>934</v>
      </c>
      <c r="C180" s="346">
        <v>2009881031</v>
      </c>
      <c r="D180" s="341" t="str">
        <f>VLOOKUP(C180,[1]Material!F:J,5,0)</f>
        <v>DHL</v>
      </c>
      <c r="E180" s="367">
        <f>_xlfn.XLOOKUP(C180,[1]Material!$F:$F,[1]Material!$D:$D)</f>
        <v>0.6</v>
      </c>
      <c r="F180" s="1"/>
      <c r="G180" s="563"/>
      <c r="H180" s="563">
        <v>15.149219815179519</v>
      </c>
      <c r="I180" s="59"/>
      <c r="J180" s="59"/>
      <c r="K180" s="59"/>
      <c r="L180" s="563"/>
      <c r="M180" s="59">
        <f t="shared" si="12"/>
        <v>15.149219815179519</v>
      </c>
    </row>
    <row r="181" spans="1:13" hidden="1" outlineLevel="2">
      <c r="A181" s="138">
        <v>46143</v>
      </c>
      <c r="B181" s="1" t="s">
        <v>1987</v>
      </c>
      <c r="C181" s="346">
        <v>492522503025</v>
      </c>
      <c r="D181" s="341" t="str">
        <f>VLOOKUP(C181,[1]Material!F:J,5,0)</f>
        <v>Fedex</v>
      </c>
      <c r="E181" s="367">
        <f>_xlfn.XLOOKUP(C181,[1]Material!$F:$F,[1]Material!$D:$D)</f>
        <v>1</v>
      </c>
      <c r="F181" s="1"/>
      <c r="G181" s="563"/>
      <c r="H181" s="563">
        <v>15.149219815179519</v>
      </c>
      <c r="I181" s="59"/>
      <c r="J181" s="59"/>
      <c r="K181" s="59"/>
      <c r="L181" s="563"/>
      <c r="M181" s="59">
        <f t="shared" si="12"/>
        <v>15.149219815179519</v>
      </c>
    </row>
    <row r="182" spans="1:13" hidden="1" outlineLevel="2">
      <c r="A182" s="138">
        <v>46143</v>
      </c>
      <c r="B182" s="1" t="s">
        <v>957</v>
      </c>
      <c r="C182" s="346">
        <v>524725886104</v>
      </c>
      <c r="D182" s="341" t="str">
        <f>VLOOKUP(C182,[1]Material!F:J,5,0)</f>
        <v>Fedex</v>
      </c>
      <c r="E182" s="367">
        <f>_xlfn.XLOOKUP(C182,[1]Material!$F:$F,[1]Material!$D:$D)</f>
        <v>1.3</v>
      </c>
      <c r="F182" s="1"/>
      <c r="G182" s="563"/>
      <c r="H182" s="563">
        <v>15.149219815179519</v>
      </c>
      <c r="I182" s="59"/>
      <c r="J182" s="59"/>
      <c r="K182" s="59"/>
      <c r="L182" s="563"/>
      <c r="M182" s="59">
        <f t="shared" si="12"/>
        <v>15.149219815179519</v>
      </c>
    </row>
    <row r="183" spans="1:13" hidden="1" outlineLevel="2">
      <c r="A183" s="138">
        <v>46143</v>
      </c>
      <c r="B183" s="1" t="s">
        <v>942</v>
      </c>
      <c r="C183" s="346">
        <v>524130727881</v>
      </c>
      <c r="D183" s="341" t="str">
        <f>VLOOKUP(C183,[1]Material!F:J,5,0)</f>
        <v>Fedex</v>
      </c>
      <c r="E183" s="367">
        <f>_xlfn.XLOOKUP(C183,[1]Material!$F:$F,[1]Material!$D:$D)</f>
        <v>7.7</v>
      </c>
      <c r="F183" s="1"/>
      <c r="G183" s="563"/>
      <c r="H183" s="563">
        <v>15.149219815179519</v>
      </c>
      <c r="I183" s="59"/>
      <c r="J183" s="59"/>
      <c r="K183" s="59"/>
      <c r="L183" s="563"/>
      <c r="M183" s="59">
        <f t="shared" si="12"/>
        <v>15.149219815179519</v>
      </c>
    </row>
    <row r="184" spans="1:13" hidden="1" outlineLevel="2">
      <c r="A184" s="138">
        <v>46143</v>
      </c>
      <c r="B184" s="1" t="s">
        <v>2025</v>
      </c>
      <c r="C184" s="346">
        <v>5336036462</v>
      </c>
      <c r="D184" s="341" t="str">
        <f>VLOOKUP(C184,[1]Material!F:J,5,0)</f>
        <v>DHL</v>
      </c>
      <c r="E184" s="367">
        <f>_xlfn.XLOOKUP(C184,[1]Material!$F:$F,[1]Material!$D:$D)</f>
        <v>1.3</v>
      </c>
      <c r="F184" s="1"/>
      <c r="G184" s="563"/>
      <c r="H184" s="563">
        <v>15.149219815179519</v>
      </c>
      <c r="I184" s="59"/>
      <c r="J184" s="59"/>
      <c r="K184" s="59"/>
      <c r="L184" s="563"/>
      <c r="M184" s="59">
        <f t="shared" si="12"/>
        <v>15.149219815179519</v>
      </c>
    </row>
    <row r="185" spans="1:13" hidden="1" outlineLevel="2">
      <c r="A185" s="138">
        <v>46143</v>
      </c>
      <c r="B185" s="1" t="s">
        <v>963</v>
      </c>
      <c r="C185" s="346">
        <v>525457924282</v>
      </c>
      <c r="D185" s="341" t="str">
        <f>VLOOKUP(C185,[1]Material!F:J,5,0)</f>
        <v>Fedex</v>
      </c>
      <c r="E185" s="367">
        <f>_xlfn.XLOOKUP(C185,[1]Material!$F:$F,[1]Material!$D:$D)</f>
        <v>0.1</v>
      </c>
      <c r="F185" s="1"/>
      <c r="G185" s="563"/>
      <c r="H185" s="563">
        <v>15.149219815179519</v>
      </c>
      <c r="I185" s="59"/>
      <c r="J185" s="59"/>
      <c r="K185" s="59"/>
      <c r="L185" s="563"/>
      <c r="M185" s="59">
        <f t="shared" si="12"/>
        <v>15.149219815179519</v>
      </c>
    </row>
    <row r="186" spans="1:13" hidden="1" outlineLevel="2">
      <c r="A186" s="138">
        <v>46143</v>
      </c>
      <c r="B186" s="1" t="s">
        <v>1989</v>
      </c>
      <c r="C186" s="346">
        <v>871832889351</v>
      </c>
      <c r="D186" s="341" t="str">
        <f>VLOOKUP(C186,[1]Material!F:J,5,0)</f>
        <v>Fedex</v>
      </c>
      <c r="E186" s="367">
        <f>_xlfn.XLOOKUP(C186,[1]Material!$F:$F,[1]Material!$D:$D)</f>
        <v>8</v>
      </c>
      <c r="F186" s="1"/>
      <c r="G186" s="563"/>
      <c r="H186" s="563">
        <v>15.149219815179519</v>
      </c>
      <c r="I186" s="59"/>
      <c r="J186" s="59"/>
      <c r="K186" s="59"/>
      <c r="L186" s="563"/>
      <c r="M186" s="59">
        <f t="shared" si="12"/>
        <v>15.149219815179519</v>
      </c>
    </row>
    <row r="187" spans="1:13" hidden="1" outlineLevel="2">
      <c r="A187" s="138">
        <v>46143</v>
      </c>
      <c r="B187" s="1" t="s">
        <v>981</v>
      </c>
      <c r="C187" s="346">
        <v>871858109171</v>
      </c>
      <c r="D187" s="341" t="str">
        <f>VLOOKUP(C187,[1]Material!F:J,5,0)</f>
        <v>Fedex</v>
      </c>
      <c r="E187" s="367">
        <f>_xlfn.XLOOKUP(C187,[1]Material!$F:$F,[1]Material!$D:$D)</f>
        <v>25.2</v>
      </c>
      <c r="F187" s="1"/>
      <c r="G187" s="563"/>
      <c r="H187" s="563">
        <v>15.149219815179519</v>
      </c>
      <c r="I187" s="59"/>
      <c r="J187" s="59"/>
      <c r="K187" s="59"/>
      <c r="L187" s="563"/>
      <c r="M187" s="59">
        <f t="shared" si="12"/>
        <v>15.149219815179519</v>
      </c>
    </row>
    <row r="188" spans="1:13" hidden="1" outlineLevel="2">
      <c r="A188" s="138">
        <v>46143</v>
      </c>
      <c r="B188" s="1" t="s">
        <v>2037</v>
      </c>
      <c r="C188" s="346">
        <v>4688805310</v>
      </c>
      <c r="D188" s="341" t="str">
        <f>VLOOKUP(C188,[1]Material!F:J,5,0)</f>
        <v>DHL</v>
      </c>
      <c r="E188" s="367">
        <f>_xlfn.XLOOKUP(C188,[1]Material!$F:$F,[1]Material!$D:$D)</f>
        <v>0.9</v>
      </c>
      <c r="F188" s="1"/>
      <c r="G188" s="563"/>
      <c r="H188" s="563">
        <v>15.149219815179519</v>
      </c>
      <c r="I188" s="59"/>
      <c r="J188" s="59"/>
      <c r="K188" s="59"/>
      <c r="L188" s="563"/>
      <c r="M188" s="59">
        <f t="shared" si="12"/>
        <v>15.149219815179519</v>
      </c>
    </row>
    <row r="189" spans="1:13" hidden="1" outlineLevel="2">
      <c r="A189" s="138">
        <v>46143</v>
      </c>
      <c r="B189" s="1" t="s">
        <v>1977</v>
      </c>
      <c r="C189" s="346">
        <v>4915119417</v>
      </c>
      <c r="D189" s="341" t="str">
        <f>VLOOKUP(C189,[1]Material!F:J,5,0)</f>
        <v>Expeditors</v>
      </c>
      <c r="E189" s="367">
        <f>_xlfn.XLOOKUP(C189,[1]Material!$F:$F,[1]Material!$D:$D)</f>
        <v>162</v>
      </c>
      <c r="F189" s="1"/>
      <c r="G189" s="563">
        <v>18.179063778215422</v>
      </c>
      <c r="H189" s="563">
        <v>49.23</v>
      </c>
      <c r="I189" s="59">
        <v>438.08</v>
      </c>
      <c r="J189" s="59"/>
      <c r="K189" s="59">
        <v>33.347228357821763</v>
      </c>
      <c r="L189" s="563">
        <v>29.472163308589607</v>
      </c>
      <c r="M189" s="59">
        <f t="shared" si="12"/>
        <v>568.30845544462682</v>
      </c>
    </row>
    <row r="190" spans="1:13" hidden="1" outlineLevel="2">
      <c r="A190" s="138">
        <v>46143</v>
      </c>
      <c r="B190" s="1" t="s">
        <v>1979</v>
      </c>
      <c r="C190" s="346">
        <v>9198224560</v>
      </c>
      <c r="D190" s="341" t="str">
        <f>VLOOKUP(C190,[1]Material!F:J,5,0)</f>
        <v>DHL</v>
      </c>
      <c r="E190" s="367">
        <f>_xlfn.XLOOKUP(C190,[1]Material!$F:$F,[1]Material!$D:$D)</f>
        <v>0.4</v>
      </c>
      <c r="F190" s="1"/>
      <c r="G190" s="563"/>
      <c r="H190" s="563">
        <v>15.149219815179519</v>
      </c>
      <c r="I190" s="59"/>
      <c r="J190" s="59"/>
      <c r="K190" s="59"/>
      <c r="L190" s="563"/>
      <c r="M190" s="59">
        <f t="shared" si="12"/>
        <v>15.149219815179519</v>
      </c>
    </row>
    <row r="191" spans="1:13" hidden="1" outlineLevel="2">
      <c r="A191" s="138">
        <v>46143</v>
      </c>
      <c r="B191" s="1" t="s">
        <v>2043</v>
      </c>
      <c r="C191" s="346">
        <v>871686783285</v>
      </c>
      <c r="D191" s="341" t="str">
        <f>VLOOKUP(C191,[1]Equipment!F:J,5,0)</f>
        <v>Fedex</v>
      </c>
      <c r="E191" s="367">
        <f>_xlfn.XLOOKUP(C191,[1]Equipment!$F:$F,[1]Equipment!$D:$D)</f>
        <v>1</v>
      </c>
      <c r="F191" s="1"/>
      <c r="G191" s="563"/>
      <c r="H191" s="563">
        <v>15.149219815179519</v>
      </c>
      <c r="I191" s="59"/>
      <c r="J191" s="59"/>
      <c r="K191" s="59"/>
      <c r="L191" s="563"/>
      <c r="M191" s="59">
        <f t="shared" si="12"/>
        <v>15.149219815179519</v>
      </c>
    </row>
    <row r="192" spans="1:13" hidden="1" outlineLevel="2">
      <c r="A192" s="138">
        <v>46143</v>
      </c>
      <c r="B192" s="1" t="s">
        <v>1727</v>
      </c>
      <c r="C192" s="346">
        <v>871503182022</v>
      </c>
      <c r="D192" s="341" t="str">
        <f>VLOOKUP(C192,[1]Equipment!F:J,5,0)</f>
        <v>Fedex</v>
      </c>
      <c r="E192" s="367">
        <f>_xlfn.XLOOKUP(C192,[1]Equipment!$F:$F,[1]Equipment!$D:$D)</f>
        <v>1.8</v>
      </c>
      <c r="F192" s="1"/>
      <c r="G192" s="563"/>
      <c r="H192" s="563">
        <v>15.149219815179519</v>
      </c>
      <c r="I192" s="59"/>
      <c r="J192" s="59"/>
      <c r="K192" s="59"/>
      <c r="L192" s="563"/>
      <c r="M192" s="59">
        <f t="shared" si="12"/>
        <v>15.149219815179519</v>
      </c>
    </row>
    <row r="193" spans="1:13" hidden="1" outlineLevel="2">
      <c r="A193" s="138">
        <v>46143</v>
      </c>
      <c r="B193" s="1" t="s">
        <v>2123</v>
      </c>
      <c r="C193" s="346">
        <v>9779973022</v>
      </c>
      <c r="D193" s="341" t="s">
        <v>897</v>
      </c>
      <c r="E193" s="367"/>
      <c r="F193" s="1"/>
      <c r="G193" s="563"/>
      <c r="H193" s="563"/>
      <c r="I193" s="698">
        <v>293.01609907589761</v>
      </c>
      <c r="J193" s="59"/>
      <c r="K193" s="59"/>
      <c r="L193" s="563"/>
      <c r="M193" s="59">
        <f t="shared" si="12"/>
        <v>293.01609907589761</v>
      </c>
    </row>
    <row r="194" spans="1:13" hidden="1" outlineLevel="2">
      <c r="A194" s="138">
        <v>46143</v>
      </c>
      <c r="B194" s="1" t="s">
        <v>989</v>
      </c>
      <c r="C194" s="346" t="s">
        <v>2045</v>
      </c>
      <c r="D194" s="341" t="s">
        <v>1333</v>
      </c>
      <c r="E194" s="367"/>
      <c r="F194" s="1"/>
      <c r="G194" s="563"/>
      <c r="H194" s="563">
        <v>15.149219815179519</v>
      </c>
      <c r="I194" s="59"/>
      <c r="J194" s="59"/>
      <c r="K194" s="59"/>
      <c r="L194" s="563"/>
      <c r="M194" s="59">
        <f t="shared" si="12"/>
        <v>15.149219815179519</v>
      </c>
    </row>
    <row r="195" spans="1:13" outlineLevel="1" collapsed="1">
      <c r="A195" s="138" t="s">
        <v>2095</v>
      </c>
      <c r="B195" s="1"/>
      <c r="C195" s="346"/>
      <c r="D195" s="1"/>
      <c r="E195" s="1">
        <f t="shared" ref="E195:M195" si="14">SUBTOTAL(9,E172:E194)</f>
        <v>227.40000000000003</v>
      </c>
      <c r="F195" s="693">
        <f t="shared" si="14"/>
        <v>0</v>
      </c>
      <c r="G195" s="694">
        <f t="shared" si="14"/>
        <v>18.179063778215422</v>
      </c>
      <c r="H195" s="694">
        <f t="shared" si="14"/>
        <v>352.21439630359026</v>
      </c>
      <c r="I195" s="695">
        <f t="shared" si="14"/>
        <v>921.47335252234507</v>
      </c>
      <c r="J195" s="59">
        <f t="shared" si="14"/>
        <v>0</v>
      </c>
      <c r="K195" s="59">
        <f t="shared" si="14"/>
        <v>33.347228357821763</v>
      </c>
      <c r="L195" s="563">
        <f t="shared" si="14"/>
        <v>29.472163308589607</v>
      </c>
      <c r="M195" s="59">
        <f t="shared" si="14"/>
        <v>1354.686204270562</v>
      </c>
    </row>
    <row r="196" spans="1:13" outlineLevel="2">
      <c r="A196" s="138">
        <v>46174</v>
      </c>
      <c r="B196" s="1" t="s">
        <v>3037</v>
      </c>
      <c r="C196" s="346">
        <v>3774718220</v>
      </c>
      <c r="D196" s="341" t="s">
        <v>897</v>
      </c>
      <c r="E196" s="367">
        <v>55</v>
      </c>
      <c r="F196" s="38"/>
      <c r="G196" s="563">
        <v>0</v>
      </c>
      <c r="H196" s="563">
        <v>15.116015418335726</v>
      </c>
      <c r="I196" s="59">
        <v>248.74395359383266</v>
      </c>
      <c r="J196" s="59">
        <v>0</v>
      </c>
      <c r="K196" s="59">
        <v>0</v>
      </c>
      <c r="L196" s="563">
        <v>0</v>
      </c>
      <c r="M196" s="59">
        <f t="shared" si="12"/>
        <v>263.85996901216839</v>
      </c>
    </row>
    <row r="197" spans="1:13" outlineLevel="2">
      <c r="A197" s="138">
        <v>46174</v>
      </c>
      <c r="B197" s="1" t="s">
        <v>2037</v>
      </c>
      <c r="C197" s="346">
        <v>4689943985</v>
      </c>
      <c r="D197" s="341" t="s">
        <v>897</v>
      </c>
      <c r="E197" s="367">
        <v>0.2</v>
      </c>
      <c r="F197" s="38"/>
      <c r="G197" s="563">
        <v>0</v>
      </c>
      <c r="H197" s="563">
        <v>15.116015418335726</v>
      </c>
      <c r="I197" s="59">
        <v>0</v>
      </c>
      <c r="J197" s="59">
        <v>0</v>
      </c>
      <c r="K197" s="59">
        <v>0</v>
      </c>
      <c r="L197" s="563">
        <v>0</v>
      </c>
      <c r="M197" s="59">
        <f t="shared" si="12"/>
        <v>15.116015418335726</v>
      </c>
    </row>
    <row r="198" spans="1:13" outlineLevel="2">
      <c r="A198" s="138">
        <v>46174</v>
      </c>
      <c r="B198" s="1" t="s">
        <v>801</v>
      </c>
      <c r="C198" s="346">
        <v>8056639732</v>
      </c>
      <c r="D198" s="341" t="s">
        <v>897</v>
      </c>
      <c r="E198" s="367">
        <v>4.5</v>
      </c>
      <c r="F198" s="38"/>
      <c r="G198" s="563">
        <v>0</v>
      </c>
      <c r="H198" s="563">
        <v>15.116015418335726</v>
      </c>
      <c r="I198" s="59">
        <v>99.670833648250323</v>
      </c>
      <c r="J198" s="59">
        <v>0</v>
      </c>
      <c r="K198" s="59">
        <v>0</v>
      </c>
      <c r="L198" s="563">
        <v>0</v>
      </c>
      <c r="M198" s="59">
        <f t="shared" si="12"/>
        <v>114.78684906658604</v>
      </c>
    </row>
    <row r="199" spans="1:13" outlineLevel="2">
      <c r="A199" s="138">
        <v>46174</v>
      </c>
      <c r="B199" s="1" t="s">
        <v>2297</v>
      </c>
      <c r="C199" s="346">
        <v>9779973022</v>
      </c>
      <c r="D199" s="341" t="s">
        <v>897</v>
      </c>
      <c r="E199" s="367">
        <v>46.1</v>
      </c>
      <c r="F199" s="38"/>
      <c r="G199" s="563">
        <v>0</v>
      </c>
      <c r="H199" s="563">
        <v>15.116015418335726</v>
      </c>
      <c r="I199" s="59">
        <v>0</v>
      </c>
      <c r="J199" s="59">
        <v>0</v>
      </c>
      <c r="K199" s="59">
        <v>0</v>
      </c>
      <c r="L199" s="563">
        <v>0</v>
      </c>
      <c r="M199" s="59">
        <f t="shared" si="12"/>
        <v>15.116015418335726</v>
      </c>
    </row>
    <row r="200" spans="1:13" outlineLevel="2">
      <c r="A200" s="138">
        <v>46174</v>
      </c>
      <c r="B200" s="1" t="s">
        <v>944</v>
      </c>
      <c r="C200" s="346">
        <v>119209725257</v>
      </c>
      <c r="D200" s="341" t="s">
        <v>45</v>
      </c>
      <c r="E200" s="367">
        <v>2.2999999999999998</v>
      </c>
      <c r="F200" s="38"/>
      <c r="G200" s="563">
        <v>0</v>
      </c>
      <c r="H200" s="563">
        <v>15.116015418335726</v>
      </c>
      <c r="I200" s="59">
        <v>0</v>
      </c>
      <c r="J200" s="59">
        <v>0</v>
      </c>
      <c r="K200" s="59">
        <v>0</v>
      </c>
      <c r="L200" s="563">
        <v>0</v>
      </c>
      <c r="M200" s="59">
        <f t="shared" si="12"/>
        <v>15.116015418335726</v>
      </c>
    </row>
    <row r="201" spans="1:13" outlineLevel="2">
      <c r="A201" s="138">
        <v>46174</v>
      </c>
      <c r="B201" s="1" t="s">
        <v>1493</v>
      </c>
      <c r="C201" s="346">
        <v>381228856071</v>
      </c>
      <c r="D201" s="341" t="s">
        <v>45</v>
      </c>
      <c r="E201" s="367">
        <v>0.60000000000000009</v>
      </c>
      <c r="F201" s="38"/>
      <c r="G201" s="563">
        <v>0</v>
      </c>
      <c r="H201" s="563">
        <v>15.116015418335726</v>
      </c>
      <c r="I201" s="59">
        <v>0</v>
      </c>
      <c r="J201" s="59">
        <v>0</v>
      </c>
      <c r="K201" s="59">
        <v>0</v>
      </c>
      <c r="L201" s="563">
        <v>0</v>
      </c>
      <c r="M201" s="59">
        <f t="shared" si="12"/>
        <v>15.116015418335726</v>
      </c>
    </row>
    <row r="202" spans="1:13" outlineLevel="2">
      <c r="A202" s="138">
        <v>46174</v>
      </c>
      <c r="B202" s="1" t="s">
        <v>1694</v>
      </c>
      <c r="C202" s="346">
        <v>381602185584</v>
      </c>
      <c r="D202" s="341" t="s">
        <v>45</v>
      </c>
      <c r="E202" s="367">
        <v>0.5</v>
      </c>
      <c r="F202" s="38"/>
      <c r="G202" s="563">
        <v>0</v>
      </c>
      <c r="H202" s="563">
        <v>15.116015418335726</v>
      </c>
      <c r="I202" s="59">
        <v>0</v>
      </c>
      <c r="J202" s="59">
        <v>0</v>
      </c>
      <c r="K202" s="59">
        <v>0</v>
      </c>
      <c r="L202" s="563">
        <v>0</v>
      </c>
      <c r="M202" s="59">
        <f t="shared" si="12"/>
        <v>15.116015418335726</v>
      </c>
    </row>
    <row r="203" spans="1:13" outlineLevel="2">
      <c r="A203" s="138">
        <v>46174</v>
      </c>
      <c r="B203" s="1" t="s">
        <v>802</v>
      </c>
      <c r="C203" s="346">
        <v>381606778459</v>
      </c>
      <c r="D203" s="341" t="s">
        <v>655</v>
      </c>
      <c r="E203" s="367">
        <v>8.3000000000000007</v>
      </c>
      <c r="F203" s="38"/>
      <c r="G203" s="563">
        <v>0</v>
      </c>
      <c r="H203" s="563">
        <v>15.116015418335726</v>
      </c>
      <c r="I203" s="59">
        <v>33.861348348575319</v>
      </c>
      <c r="J203" s="59">
        <v>0</v>
      </c>
      <c r="K203" s="59">
        <v>0</v>
      </c>
      <c r="L203" s="563">
        <v>0</v>
      </c>
      <c r="M203" s="59">
        <f t="shared" si="12"/>
        <v>48.977363766911047</v>
      </c>
    </row>
    <row r="204" spans="1:13" outlineLevel="2">
      <c r="A204" s="138">
        <v>46174</v>
      </c>
      <c r="B204" s="1" t="s">
        <v>802</v>
      </c>
      <c r="C204" s="346">
        <v>381751868559</v>
      </c>
      <c r="D204" s="341" t="s">
        <v>655</v>
      </c>
      <c r="E204" s="367">
        <v>3.4</v>
      </c>
      <c r="F204" s="38"/>
      <c r="G204" s="563">
        <v>0</v>
      </c>
      <c r="H204" s="563">
        <v>15.116015418335726</v>
      </c>
      <c r="I204" s="59">
        <v>22.773184188647871</v>
      </c>
      <c r="J204" s="59">
        <v>0</v>
      </c>
      <c r="K204" s="59">
        <v>0</v>
      </c>
      <c r="L204" s="563">
        <v>0</v>
      </c>
      <c r="M204" s="59">
        <f t="shared" si="12"/>
        <v>37.889199606983595</v>
      </c>
    </row>
    <row r="205" spans="1:13" outlineLevel="2">
      <c r="A205" s="138">
        <v>46174</v>
      </c>
      <c r="B205" s="1" t="s">
        <v>802</v>
      </c>
      <c r="C205" s="346">
        <v>381800914174</v>
      </c>
      <c r="D205" s="341" t="s">
        <v>655</v>
      </c>
      <c r="E205" s="367">
        <v>1.1000000000000001</v>
      </c>
      <c r="F205" s="38"/>
      <c r="G205" s="563">
        <v>0</v>
      </c>
      <c r="H205" s="563">
        <v>15.116015418335726</v>
      </c>
      <c r="I205" s="59">
        <v>19.360932658151313</v>
      </c>
      <c r="J205" s="59">
        <v>0</v>
      </c>
      <c r="K205" s="59">
        <v>0</v>
      </c>
      <c r="L205" s="563">
        <v>0</v>
      </c>
      <c r="M205" s="59">
        <f t="shared" si="12"/>
        <v>34.476948076487041</v>
      </c>
    </row>
    <row r="206" spans="1:13" outlineLevel="2">
      <c r="A206" s="138">
        <v>46174</v>
      </c>
      <c r="B206" s="1" t="s">
        <v>1495</v>
      </c>
      <c r="C206" s="346">
        <v>456732849001</v>
      </c>
      <c r="D206" s="341" t="s">
        <v>45</v>
      </c>
      <c r="E206" s="367">
        <v>7.7</v>
      </c>
      <c r="F206" s="38"/>
      <c r="G206" s="563">
        <v>0</v>
      </c>
      <c r="H206" s="563">
        <v>15.116015418335726</v>
      </c>
      <c r="I206" s="59">
        <v>0</v>
      </c>
      <c r="J206" s="59">
        <v>0</v>
      </c>
      <c r="K206" s="59">
        <v>0</v>
      </c>
      <c r="L206" s="563">
        <v>0</v>
      </c>
      <c r="M206" s="59">
        <f t="shared" si="12"/>
        <v>15.116015418335726</v>
      </c>
    </row>
    <row r="207" spans="1:13" outlineLevel="2">
      <c r="A207" s="138">
        <v>46174</v>
      </c>
      <c r="B207" s="1" t="s">
        <v>1495</v>
      </c>
      <c r="C207" s="346">
        <v>456732849192</v>
      </c>
      <c r="D207" s="341" t="s">
        <v>45</v>
      </c>
      <c r="E207" s="367">
        <v>22.1</v>
      </c>
      <c r="F207" s="38"/>
      <c r="G207" s="563">
        <v>0</v>
      </c>
      <c r="H207" s="563">
        <v>15.116015418335726</v>
      </c>
      <c r="I207" s="59">
        <v>0</v>
      </c>
      <c r="J207" s="59">
        <v>0</v>
      </c>
      <c r="K207" s="59">
        <v>0</v>
      </c>
      <c r="L207" s="563">
        <v>0</v>
      </c>
      <c r="M207" s="59">
        <f t="shared" si="12"/>
        <v>15.116015418335726</v>
      </c>
    </row>
    <row r="208" spans="1:13" outlineLevel="2">
      <c r="A208" s="138">
        <v>46174</v>
      </c>
      <c r="B208" s="1" t="s">
        <v>968</v>
      </c>
      <c r="C208" s="346">
        <v>462303563016</v>
      </c>
      <c r="D208" s="341" t="s">
        <v>45</v>
      </c>
      <c r="E208" s="367">
        <v>0.5</v>
      </c>
      <c r="F208" s="38"/>
      <c r="G208" s="563">
        <v>0</v>
      </c>
      <c r="H208" s="563">
        <v>15.116015418335726</v>
      </c>
      <c r="I208" s="59">
        <v>0</v>
      </c>
      <c r="J208" s="59">
        <v>0</v>
      </c>
      <c r="K208" s="59">
        <v>0</v>
      </c>
      <c r="L208" s="563">
        <v>0</v>
      </c>
      <c r="M208" s="59">
        <f t="shared" si="12"/>
        <v>15.116015418335726</v>
      </c>
    </row>
    <row r="209" spans="1:13" outlineLevel="2">
      <c r="A209" s="138">
        <v>46174</v>
      </c>
      <c r="B209" s="1" t="s">
        <v>110</v>
      </c>
      <c r="C209" s="346">
        <v>483570646131</v>
      </c>
      <c r="D209" s="341" t="s">
        <v>45</v>
      </c>
      <c r="E209" s="367">
        <v>50.3</v>
      </c>
      <c r="F209" s="38"/>
      <c r="G209" s="563">
        <v>0</v>
      </c>
      <c r="H209" s="563">
        <v>15.116015418335726</v>
      </c>
      <c r="I209" s="59">
        <v>0</v>
      </c>
      <c r="J209" s="59">
        <v>0</v>
      </c>
      <c r="K209" s="59">
        <v>0</v>
      </c>
      <c r="L209" s="563">
        <v>0</v>
      </c>
      <c r="M209" s="59">
        <f t="shared" si="12"/>
        <v>15.116015418335726</v>
      </c>
    </row>
    <row r="210" spans="1:13" outlineLevel="2">
      <c r="A210" s="138">
        <v>46174</v>
      </c>
      <c r="B210" s="1" t="s">
        <v>110</v>
      </c>
      <c r="C210" s="346">
        <v>483570646131</v>
      </c>
      <c r="D210" s="341" t="s">
        <v>45</v>
      </c>
      <c r="E210" s="367">
        <v>50.3</v>
      </c>
      <c r="F210" s="38"/>
      <c r="G210" s="563">
        <v>0</v>
      </c>
      <c r="H210" s="563">
        <v>15.116015418335726</v>
      </c>
      <c r="I210" s="59">
        <v>0</v>
      </c>
      <c r="J210" s="59">
        <v>0</v>
      </c>
      <c r="K210" s="59">
        <v>0</v>
      </c>
      <c r="L210" s="563">
        <v>0</v>
      </c>
      <c r="M210" s="59">
        <f t="shared" si="12"/>
        <v>15.116015418335726</v>
      </c>
    </row>
    <row r="211" spans="1:13" outlineLevel="2">
      <c r="A211" s="138">
        <v>46174</v>
      </c>
      <c r="B211" s="1" t="s">
        <v>110</v>
      </c>
      <c r="C211" s="346">
        <v>483570646289</v>
      </c>
      <c r="D211" s="341" t="s">
        <v>45</v>
      </c>
      <c r="E211" s="367">
        <v>0.9</v>
      </c>
      <c r="F211" s="38"/>
      <c r="G211" s="563">
        <v>0</v>
      </c>
      <c r="H211" s="563">
        <v>15.116015418335726</v>
      </c>
      <c r="I211" s="59">
        <v>0</v>
      </c>
      <c r="J211" s="59">
        <v>0</v>
      </c>
      <c r="K211" s="59">
        <v>0</v>
      </c>
      <c r="L211" s="563">
        <v>0</v>
      </c>
      <c r="M211" s="59">
        <f t="shared" ref="M211:M259" si="15">SUM(G211:L211)</f>
        <v>15.116015418335726</v>
      </c>
    </row>
    <row r="212" spans="1:13" outlineLevel="2">
      <c r="A212" s="138">
        <v>46174</v>
      </c>
      <c r="B212" s="1" t="s">
        <v>110</v>
      </c>
      <c r="C212" s="346">
        <v>483570646749</v>
      </c>
      <c r="D212" s="341" t="s">
        <v>45</v>
      </c>
      <c r="E212" s="367">
        <v>4.0999999999999996</v>
      </c>
      <c r="F212" s="38"/>
      <c r="G212" s="563">
        <v>0</v>
      </c>
      <c r="H212" s="563">
        <v>15.116015418335726</v>
      </c>
      <c r="I212" s="59">
        <v>0</v>
      </c>
      <c r="J212" s="59">
        <v>0</v>
      </c>
      <c r="K212" s="59">
        <v>0</v>
      </c>
      <c r="L212" s="563">
        <v>0</v>
      </c>
      <c r="M212" s="59">
        <f t="shared" si="15"/>
        <v>15.116015418335726</v>
      </c>
    </row>
    <row r="213" spans="1:13" outlineLevel="2">
      <c r="A213" s="138">
        <v>46174</v>
      </c>
      <c r="B213" s="1" t="s">
        <v>110</v>
      </c>
      <c r="C213" s="346">
        <v>483570647561</v>
      </c>
      <c r="D213" s="341" t="s">
        <v>45</v>
      </c>
      <c r="E213" s="367">
        <v>1</v>
      </c>
      <c r="F213" s="38"/>
      <c r="G213" s="563">
        <v>0</v>
      </c>
      <c r="H213" s="563">
        <v>15.116015418335726</v>
      </c>
      <c r="I213" s="59">
        <v>0</v>
      </c>
      <c r="J213" s="59">
        <v>0</v>
      </c>
      <c r="K213" s="59">
        <v>0</v>
      </c>
      <c r="L213" s="563">
        <v>0</v>
      </c>
      <c r="M213" s="59">
        <f t="shared" si="15"/>
        <v>15.116015418335726</v>
      </c>
    </row>
    <row r="214" spans="1:13" outlineLevel="2">
      <c r="A214" s="138">
        <v>46174</v>
      </c>
      <c r="B214" s="1" t="s">
        <v>1711</v>
      </c>
      <c r="C214" s="346">
        <v>489101280280</v>
      </c>
      <c r="D214" s="341" t="s">
        <v>45</v>
      </c>
      <c r="E214" s="367">
        <v>1.3</v>
      </c>
      <c r="F214" s="38"/>
      <c r="G214" s="563">
        <v>0</v>
      </c>
      <c r="H214" s="563">
        <v>15.116015418335726</v>
      </c>
      <c r="I214" s="59">
        <v>0</v>
      </c>
      <c r="J214" s="59">
        <v>0</v>
      </c>
      <c r="K214" s="59">
        <v>0</v>
      </c>
      <c r="L214" s="563">
        <v>0</v>
      </c>
      <c r="M214" s="59">
        <f t="shared" si="15"/>
        <v>15.116015418335726</v>
      </c>
    </row>
    <row r="215" spans="1:13" outlineLevel="2">
      <c r="A215" s="138">
        <v>46174</v>
      </c>
      <c r="B215" s="1" t="s">
        <v>968</v>
      </c>
      <c r="C215" s="346">
        <v>492830072680</v>
      </c>
      <c r="D215" s="341" t="s">
        <v>45</v>
      </c>
      <c r="E215" s="367">
        <v>0.5</v>
      </c>
      <c r="F215" s="38"/>
      <c r="G215" s="563">
        <v>0</v>
      </c>
      <c r="H215" s="563">
        <v>15.116015418335726</v>
      </c>
      <c r="I215" s="59">
        <v>0</v>
      </c>
      <c r="J215" s="59">
        <v>0</v>
      </c>
      <c r="K215" s="59">
        <v>0</v>
      </c>
      <c r="L215" s="563">
        <v>0</v>
      </c>
      <c r="M215" s="59">
        <f t="shared" si="15"/>
        <v>15.116015418335726</v>
      </c>
    </row>
    <row r="216" spans="1:13" outlineLevel="2">
      <c r="A216" s="138">
        <v>46174</v>
      </c>
      <c r="B216" s="1" t="s">
        <v>2427</v>
      </c>
      <c r="C216" s="346">
        <v>492830094147</v>
      </c>
      <c r="D216" s="341" t="s">
        <v>45</v>
      </c>
      <c r="E216" s="367">
        <v>0.5</v>
      </c>
      <c r="F216" s="38"/>
      <c r="G216" s="563">
        <v>0</v>
      </c>
      <c r="H216" s="563">
        <v>15.116015418335726</v>
      </c>
      <c r="I216" s="59">
        <v>0</v>
      </c>
      <c r="J216" s="59">
        <v>0</v>
      </c>
      <c r="K216" s="59">
        <v>0</v>
      </c>
      <c r="L216" s="563">
        <v>0</v>
      </c>
      <c r="M216" s="59">
        <f t="shared" si="15"/>
        <v>15.116015418335726</v>
      </c>
    </row>
    <row r="217" spans="1:13" outlineLevel="2">
      <c r="A217" s="138">
        <v>46174</v>
      </c>
      <c r="B217" s="1" t="s">
        <v>1699</v>
      </c>
      <c r="C217" s="346">
        <v>500395153215</v>
      </c>
      <c r="D217" s="341" t="s">
        <v>45</v>
      </c>
      <c r="E217" s="367">
        <v>3.8</v>
      </c>
      <c r="F217" s="38"/>
      <c r="G217" s="563">
        <v>0</v>
      </c>
      <c r="H217" s="563">
        <v>15.116015418335726</v>
      </c>
      <c r="I217" s="59">
        <v>0</v>
      </c>
      <c r="J217" s="59">
        <v>0</v>
      </c>
      <c r="K217" s="59">
        <v>0</v>
      </c>
      <c r="L217" s="563">
        <v>0</v>
      </c>
      <c r="M217" s="59">
        <f t="shared" si="15"/>
        <v>15.116015418335726</v>
      </c>
    </row>
    <row r="218" spans="1:13" outlineLevel="2">
      <c r="A218" s="138">
        <v>46174</v>
      </c>
      <c r="B218" s="1" t="s">
        <v>810</v>
      </c>
      <c r="C218" s="346">
        <v>510007355769</v>
      </c>
      <c r="D218" s="341" t="s">
        <v>655</v>
      </c>
      <c r="E218" s="367">
        <v>45.4</v>
      </c>
      <c r="F218" s="38"/>
      <c r="G218" s="563">
        <v>0</v>
      </c>
      <c r="H218" s="563">
        <v>26.45</v>
      </c>
      <c r="I218" s="59">
        <v>143.93292268158115</v>
      </c>
      <c r="J218" s="59">
        <v>0</v>
      </c>
      <c r="K218" s="59">
        <v>0</v>
      </c>
      <c r="L218" s="563">
        <v>0</v>
      </c>
      <c r="M218" s="59">
        <f t="shared" si="15"/>
        <v>170.38292268158114</v>
      </c>
    </row>
    <row r="219" spans="1:13" outlineLevel="2">
      <c r="A219" s="138">
        <v>46174</v>
      </c>
      <c r="B219" s="1" t="s">
        <v>810</v>
      </c>
      <c r="C219" s="346">
        <v>510007366917</v>
      </c>
      <c r="D219" s="341" t="s">
        <v>655</v>
      </c>
      <c r="E219" s="367">
        <v>52.3</v>
      </c>
      <c r="F219" s="38"/>
      <c r="G219" s="563">
        <v>0</v>
      </c>
      <c r="H219" s="563">
        <v>15.116015418335726</v>
      </c>
      <c r="I219" s="59">
        <v>177.77276849822385</v>
      </c>
      <c r="J219" s="59">
        <v>0</v>
      </c>
      <c r="K219" s="59">
        <v>0</v>
      </c>
      <c r="L219" s="563">
        <v>0</v>
      </c>
      <c r="M219" s="59">
        <f t="shared" si="15"/>
        <v>192.88878391655959</v>
      </c>
    </row>
    <row r="220" spans="1:13" outlineLevel="2">
      <c r="A220" s="138">
        <v>46174</v>
      </c>
      <c r="B220" s="1" t="s">
        <v>2880</v>
      </c>
      <c r="C220" s="346">
        <v>510007371283</v>
      </c>
      <c r="D220" s="341" t="s">
        <v>45</v>
      </c>
      <c r="E220" s="367">
        <v>48.9</v>
      </c>
      <c r="F220" s="38"/>
      <c r="G220" s="563">
        <v>0</v>
      </c>
      <c r="H220" s="563">
        <v>26.45</v>
      </c>
      <c r="I220" s="59">
        <v>0</v>
      </c>
      <c r="J220" s="59">
        <v>0</v>
      </c>
      <c r="K220" s="59">
        <v>0</v>
      </c>
      <c r="L220" s="563">
        <v>0</v>
      </c>
      <c r="M220" s="59">
        <f t="shared" si="15"/>
        <v>26.45</v>
      </c>
    </row>
    <row r="221" spans="1:13" outlineLevel="2">
      <c r="A221" s="138">
        <v>46174</v>
      </c>
      <c r="B221" s="1" t="s">
        <v>1994</v>
      </c>
      <c r="C221" s="346">
        <v>522040218878</v>
      </c>
      <c r="D221" s="341" t="s">
        <v>45</v>
      </c>
      <c r="E221" s="367">
        <v>9.5</v>
      </c>
      <c r="F221" s="38"/>
      <c r="G221" s="563">
        <v>0</v>
      </c>
      <c r="H221" s="563">
        <v>15.116015418335726</v>
      </c>
      <c r="I221" s="59">
        <v>0</v>
      </c>
      <c r="J221" s="59">
        <v>0</v>
      </c>
      <c r="K221" s="59">
        <v>0</v>
      </c>
      <c r="L221" s="563">
        <v>0</v>
      </c>
      <c r="M221" s="59">
        <f t="shared" si="15"/>
        <v>15.116015418335726</v>
      </c>
    </row>
    <row r="222" spans="1:13" outlineLevel="2">
      <c r="A222" s="138">
        <v>46174</v>
      </c>
      <c r="B222" s="1" t="s">
        <v>945</v>
      </c>
      <c r="C222" s="346">
        <v>525688601553</v>
      </c>
      <c r="D222" s="341" t="s">
        <v>45</v>
      </c>
      <c r="E222" s="367">
        <v>0.5</v>
      </c>
      <c r="F222" s="38"/>
      <c r="G222" s="563">
        <v>0</v>
      </c>
      <c r="H222" s="563">
        <v>15.116015418335726</v>
      </c>
      <c r="I222" s="59">
        <v>0</v>
      </c>
      <c r="J222" s="59">
        <v>0</v>
      </c>
      <c r="K222" s="59">
        <v>0</v>
      </c>
      <c r="L222" s="563">
        <v>0</v>
      </c>
      <c r="M222" s="59">
        <f t="shared" si="15"/>
        <v>15.116015418335726</v>
      </c>
    </row>
    <row r="223" spans="1:13" outlineLevel="2">
      <c r="A223" s="138">
        <v>46174</v>
      </c>
      <c r="B223" s="1" t="s">
        <v>950</v>
      </c>
      <c r="C223" s="346">
        <v>526433759854</v>
      </c>
      <c r="D223" s="341" t="s">
        <v>45</v>
      </c>
      <c r="E223" s="367">
        <v>8.3000000000000007</v>
      </c>
      <c r="F223" s="38"/>
      <c r="G223" s="563">
        <v>0</v>
      </c>
      <c r="H223" s="563">
        <v>15.116015418335726</v>
      </c>
      <c r="I223" s="59">
        <v>0</v>
      </c>
      <c r="J223" s="59">
        <v>0</v>
      </c>
      <c r="K223" s="59">
        <v>0</v>
      </c>
      <c r="L223" s="563">
        <v>0</v>
      </c>
      <c r="M223" s="59">
        <f t="shared" si="15"/>
        <v>15.116015418335726</v>
      </c>
    </row>
    <row r="224" spans="1:13" outlineLevel="2">
      <c r="A224" s="138">
        <v>46174</v>
      </c>
      <c r="B224" s="1" t="s">
        <v>942</v>
      </c>
      <c r="C224" s="346">
        <v>527158900676</v>
      </c>
      <c r="D224" s="341" t="s">
        <v>45</v>
      </c>
      <c r="E224" s="367">
        <v>0.5</v>
      </c>
      <c r="F224" s="38"/>
      <c r="G224" s="563">
        <v>0</v>
      </c>
      <c r="H224" s="563">
        <v>15.116015418335726</v>
      </c>
      <c r="I224" s="59">
        <v>0</v>
      </c>
      <c r="J224" s="59">
        <v>0</v>
      </c>
      <c r="K224" s="59">
        <v>0</v>
      </c>
      <c r="L224" s="563">
        <v>0</v>
      </c>
      <c r="M224" s="59">
        <f t="shared" si="15"/>
        <v>15.116015418335726</v>
      </c>
    </row>
    <row r="225" spans="1:13" outlineLevel="2">
      <c r="A225" s="138">
        <v>46174</v>
      </c>
      <c r="B225" s="1" t="s">
        <v>968</v>
      </c>
      <c r="C225" s="346">
        <v>527158975034</v>
      </c>
      <c r="D225" s="341" t="s">
        <v>45</v>
      </c>
      <c r="E225" s="367">
        <v>1.2</v>
      </c>
      <c r="F225" s="38"/>
      <c r="G225" s="563">
        <v>0</v>
      </c>
      <c r="H225" s="563">
        <v>15.116015418335726</v>
      </c>
      <c r="I225" s="59">
        <v>0</v>
      </c>
      <c r="J225" s="59">
        <v>0</v>
      </c>
      <c r="K225" s="59">
        <v>0</v>
      </c>
      <c r="L225" s="563">
        <v>0</v>
      </c>
      <c r="M225" s="59">
        <f t="shared" si="15"/>
        <v>15.116015418335726</v>
      </c>
    </row>
    <row r="226" spans="1:13" outlineLevel="2">
      <c r="A226" s="138">
        <v>46174</v>
      </c>
      <c r="B226" s="1" t="s">
        <v>963</v>
      </c>
      <c r="C226" s="346">
        <v>528824607316</v>
      </c>
      <c r="D226" s="341" t="s">
        <v>45</v>
      </c>
      <c r="E226" s="367">
        <v>4.0999999999999996</v>
      </c>
      <c r="F226" s="38"/>
      <c r="G226" s="563">
        <v>0</v>
      </c>
      <c r="H226" s="563">
        <v>15.116015418335726</v>
      </c>
      <c r="I226" s="59">
        <v>0</v>
      </c>
      <c r="J226" s="59">
        <v>0</v>
      </c>
      <c r="K226" s="59">
        <v>0</v>
      </c>
      <c r="L226" s="563">
        <v>0</v>
      </c>
      <c r="M226" s="59">
        <f t="shared" si="15"/>
        <v>15.116015418335726</v>
      </c>
    </row>
    <row r="227" spans="1:13" outlineLevel="2">
      <c r="A227" s="138">
        <v>46174</v>
      </c>
      <c r="B227" s="1" t="s">
        <v>963</v>
      </c>
      <c r="C227" s="346">
        <v>528825561442</v>
      </c>
      <c r="D227" s="341" t="s">
        <v>45</v>
      </c>
      <c r="E227" s="367">
        <v>3.9</v>
      </c>
      <c r="F227" s="38"/>
      <c r="G227" s="563">
        <v>0</v>
      </c>
      <c r="H227" s="563">
        <v>15.116015418335726</v>
      </c>
      <c r="I227" s="59">
        <v>0</v>
      </c>
      <c r="J227" s="59">
        <v>0</v>
      </c>
      <c r="K227" s="59">
        <v>0</v>
      </c>
      <c r="L227" s="563">
        <v>0</v>
      </c>
      <c r="M227" s="59">
        <f t="shared" si="15"/>
        <v>15.116015418335726</v>
      </c>
    </row>
    <row r="228" spans="1:13" outlineLevel="2">
      <c r="A228" s="138">
        <v>46174</v>
      </c>
      <c r="B228" s="1" t="s">
        <v>968</v>
      </c>
      <c r="C228" s="346">
        <v>530217677873</v>
      </c>
      <c r="D228" s="341" t="s">
        <v>45</v>
      </c>
      <c r="E228" s="367">
        <v>0.60000000000000009</v>
      </c>
      <c r="F228" s="38"/>
      <c r="G228" s="563">
        <v>0</v>
      </c>
      <c r="H228" s="563">
        <v>15.116015418335726</v>
      </c>
      <c r="I228" s="59">
        <v>0</v>
      </c>
      <c r="J228" s="59">
        <v>0</v>
      </c>
      <c r="K228" s="59">
        <v>0</v>
      </c>
      <c r="L228" s="563">
        <v>0</v>
      </c>
      <c r="M228" s="59">
        <f t="shared" si="15"/>
        <v>15.116015418335726</v>
      </c>
    </row>
    <row r="229" spans="1:13" outlineLevel="2">
      <c r="A229" s="138">
        <v>46174</v>
      </c>
      <c r="B229" s="1" t="s">
        <v>1712</v>
      </c>
      <c r="C229" s="346">
        <v>615498867354</v>
      </c>
      <c r="D229" s="341" t="s">
        <v>45</v>
      </c>
      <c r="E229" s="367">
        <v>8.5</v>
      </c>
      <c r="F229" s="38"/>
      <c r="G229" s="563">
        <v>0</v>
      </c>
      <c r="H229" s="563">
        <v>15.116015418335726</v>
      </c>
      <c r="I229" s="59">
        <v>0</v>
      </c>
      <c r="J229" s="59">
        <v>0</v>
      </c>
      <c r="K229" s="59">
        <v>0</v>
      </c>
      <c r="L229" s="563">
        <v>0</v>
      </c>
      <c r="M229" s="59">
        <f t="shared" si="15"/>
        <v>15.116015418335726</v>
      </c>
    </row>
    <row r="230" spans="1:13" outlineLevel="2">
      <c r="A230" s="138">
        <v>46174</v>
      </c>
      <c r="B230" s="1" t="s">
        <v>2162</v>
      </c>
      <c r="C230" s="346">
        <v>809262197260</v>
      </c>
      <c r="D230" s="341" t="s">
        <v>655</v>
      </c>
      <c r="E230" s="367">
        <v>31.8</v>
      </c>
      <c r="F230" s="38"/>
      <c r="G230" s="563">
        <v>0</v>
      </c>
      <c r="H230" s="563">
        <v>15.116015418335726</v>
      </c>
      <c r="I230" s="59">
        <v>113.82643035295897</v>
      </c>
      <c r="J230" s="59">
        <v>0</v>
      </c>
      <c r="K230" s="59">
        <v>0</v>
      </c>
      <c r="L230" s="563">
        <v>0</v>
      </c>
      <c r="M230" s="59">
        <f t="shared" si="15"/>
        <v>128.9424457712947</v>
      </c>
    </row>
    <row r="231" spans="1:13" outlineLevel="2">
      <c r="A231" s="138">
        <v>46174</v>
      </c>
      <c r="B231" s="1" t="s">
        <v>2169</v>
      </c>
      <c r="C231" s="346">
        <v>809262197638</v>
      </c>
      <c r="D231" s="341" t="s">
        <v>655</v>
      </c>
      <c r="E231" s="367">
        <v>52.6</v>
      </c>
      <c r="F231" s="38"/>
      <c r="G231" s="563">
        <v>0</v>
      </c>
      <c r="H231" s="563">
        <v>15.116015418335726</v>
      </c>
      <c r="I231" s="59">
        <v>186.19359836747034</v>
      </c>
      <c r="J231" s="59">
        <v>0</v>
      </c>
      <c r="K231" s="59">
        <v>0</v>
      </c>
      <c r="L231" s="563">
        <v>0</v>
      </c>
      <c r="M231" s="59">
        <f t="shared" si="15"/>
        <v>201.30961378580608</v>
      </c>
    </row>
    <row r="232" spans="1:13" outlineLevel="2">
      <c r="A232" s="138">
        <v>46174</v>
      </c>
      <c r="B232" s="1" t="s">
        <v>2043</v>
      </c>
      <c r="C232" s="346">
        <v>871686783285</v>
      </c>
      <c r="D232" s="341" t="s">
        <v>655</v>
      </c>
      <c r="E232" s="367">
        <v>0.5</v>
      </c>
      <c r="F232" s="38"/>
      <c r="G232" s="563">
        <v>0</v>
      </c>
      <c r="H232" s="563">
        <v>0</v>
      </c>
      <c r="I232" s="59">
        <v>20.145756178671302</v>
      </c>
      <c r="J232" s="59">
        <v>0</v>
      </c>
      <c r="K232" s="59">
        <v>0</v>
      </c>
      <c r="L232" s="563">
        <v>0</v>
      </c>
      <c r="M232" s="59">
        <f t="shared" si="15"/>
        <v>20.145756178671302</v>
      </c>
    </row>
    <row r="233" spans="1:13" outlineLevel="2">
      <c r="A233" s="138">
        <v>46174</v>
      </c>
      <c r="B233" s="1" t="s">
        <v>648</v>
      </c>
      <c r="C233" s="346">
        <v>871831431473</v>
      </c>
      <c r="D233" s="341" t="s">
        <v>655</v>
      </c>
      <c r="E233" s="367">
        <v>36.4</v>
      </c>
      <c r="F233" s="38"/>
      <c r="G233" s="563">
        <v>0</v>
      </c>
      <c r="H233" s="563">
        <v>15.116015418335726</v>
      </c>
      <c r="I233" s="59">
        <v>115.83213664877938</v>
      </c>
      <c r="J233" s="59">
        <v>0</v>
      </c>
      <c r="K233" s="59">
        <v>0</v>
      </c>
      <c r="L233" s="563">
        <v>0</v>
      </c>
      <c r="M233" s="59">
        <f t="shared" si="15"/>
        <v>130.9481520671151</v>
      </c>
    </row>
    <row r="234" spans="1:13" outlineLevel="2">
      <c r="A234" s="138">
        <v>46174</v>
      </c>
      <c r="B234" s="1" t="s">
        <v>805</v>
      </c>
      <c r="C234" s="346">
        <v>871832889351</v>
      </c>
      <c r="D234" s="341" t="s">
        <v>655</v>
      </c>
      <c r="E234" s="367">
        <v>7.7</v>
      </c>
      <c r="F234" s="38"/>
      <c r="G234" s="563">
        <v>0</v>
      </c>
      <c r="H234" s="563">
        <v>0</v>
      </c>
      <c r="I234" s="59">
        <v>40.441576600408133</v>
      </c>
      <c r="J234" s="59">
        <v>0</v>
      </c>
      <c r="K234" s="59">
        <v>0</v>
      </c>
      <c r="L234" s="563">
        <v>0</v>
      </c>
      <c r="M234" s="59">
        <f t="shared" si="15"/>
        <v>40.441576600408133</v>
      </c>
    </row>
    <row r="235" spans="1:13" outlineLevel="2">
      <c r="A235" s="138">
        <v>46174</v>
      </c>
      <c r="B235" s="1" t="s">
        <v>650</v>
      </c>
      <c r="C235" s="346">
        <v>872208878165</v>
      </c>
      <c r="D235" s="341" t="s">
        <v>655</v>
      </c>
      <c r="E235" s="367">
        <v>6.2</v>
      </c>
      <c r="F235" s="38"/>
      <c r="G235" s="563">
        <v>0</v>
      </c>
      <c r="H235" s="563">
        <v>15.116015418335726</v>
      </c>
      <c r="I235" s="59">
        <v>35.119605471997581</v>
      </c>
      <c r="J235" s="59">
        <v>0</v>
      </c>
      <c r="K235" s="59">
        <v>0</v>
      </c>
      <c r="L235" s="563">
        <v>0</v>
      </c>
      <c r="M235" s="59">
        <f t="shared" si="15"/>
        <v>50.235620890333308</v>
      </c>
    </row>
    <row r="236" spans="1:13" outlineLevel="2">
      <c r="A236" s="138">
        <v>46174</v>
      </c>
      <c r="B236" s="1" t="s">
        <v>2384</v>
      </c>
      <c r="C236" s="346">
        <v>872373630265</v>
      </c>
      <c r="D236" s="341" t="s">
        <v>45</v>
      </c>
      <c r="E236" s="367">
        <v>9.6999999999999993</v>
      </c>
      <c r="F236" s="38"/>
      <c r="G236" s="563">
        <v>0</v>
      </c>
      <c r="H236" s="563">
        <v>15.116015418335726</v>
      </c>
      <c r="I236" s="59">
        <v>0</v>
      </c>
      <c r="J236" s="59">
        <v>0</v>
      </c>
      <c r="K236" s="59">
        <v>0</v>
      </c>
      <c r="L236" s="563">
        <v>0</v>
      </c>
      <c r="M236" s="59">
        <f t="shared" si="15"/>
        <v>15.116015418335726</v>
      </c>
    </row>
    <row r="237" spans="1:13" outlineLevel="2">
      <c r="A237" s="138">
        <v>46174</v>
      </c>
      <c r="B237" s="1" t="s">
        <v>1332</v>
      </c>
      <c r="C237" s="346">
        <v>872375217260</v>
      </c>
      <c r="D237" s="341" t="s">
        <v>655</v>
      </c>
      <c r="E237" s="367">
        <v>0.5</v>
      </c>
      <c r="F237" s="38"/>
      <c r="G237" s="563">
        <v>0</v>
      </c>
      <c r="H237" s="563">
        <v>15.116015418335726</v>
      </c>
      <c r="I237" s="59">
        <v>17.886365354092661</v>
      </c>
      <c r="J237" s="59">
        <v>0</v>
      </c>
      <c r="K237" s="59">
        <v>0</v>
      </c>
      <c r="L237" s="563">
        <v>0</v>
      </c>
      <c r="M237" s="59">
        <f t="shared" si="15"/>
        <v>33.002380772428388</v>
      </c>
    </row>
    <row r="238" spans="1:13" outlineLevel="2">
      <c r="A238" s="138">
        <v>46174</v>
      </c>
      <c r="B238" s="1" t="s">
        <v>2384</v>
      </c>
      <c r="C238" s="346">
        <v>872572349713</v>
      </c>
      <c r="D238" s="341" t="s">
        <v>45</v>
      </c>
      <c r="E238" s="367">
        <v>42.6</v>
      </c>
      <c r="F238" s="38"/>
      <c r="G238" s="563">
        <v>0</v>
      </c>
      <c r="H238" s="563">
        <v>15.116015418335726</v>
      </c>
      <c r="I238" s="59">
        <v>0</v>
      </c>
      <c r="J238" s="59">
        <v>0</v>
      </c>
      <c r="K238" s="59">
        <v>0</v>
      </c>
      <c r="L238" s="563">
        <v>0</v>
      </c>
      <c r="M238" s="59">
        <f t="shared" si="15"/>
        <v>15.116015418335726</v>
      </c>
    </row>
    <row r="239" spans="1:13" outlineLevel="2">
      <c r="A239" s="138">
        <v>46174</v>
      </c>
      <c r="B239" s="1" t="s">
        <v>2167</v>
      </c>
      <c r="C239" s="346">
        <v>872577301890</v>
      </c>
      <c r="D239" s="341" t="s">
        <v>655</v>
      </c>
      <c r="E239" s="367">
        <v>0.6</v>
      </c>
      <c r="F239" s="38"/>
      <c r="G239" s="563">
        <v>0</v>
      </c>
      <c r="H239" s="563">
        <v>0</v>
      </c>
      <c r="I239" s="59">
        <v>17.535333686040364</v>
      </c>
      <c r="J239" s="59">
        <v>0</v>
      </c>
      <c r="K239" s="59">
        <v>0</v>
      </c>
      <c r="L239" s="563">
        <v>0</v>
      </c>
      <c r="M239" s="59">
        <f t="shared" si="15"/>
        <v>17.535333686040364</v>
      </c>
    </row>
    <row r="240" spans="1:13" outlineLevel="2">
      <c r="A240" s="138">
        <v>46174</v>
      </c>
      <c r="B240" s="1" t="s">
        <v>1820</v>
      </c>
      <c r="C240" s="346">
        <v>872628217295</v>
      </c>
      <c r="D240" s="341" t="s">
        <v>655</v>
      </c>
      <c r="E240" s="367">
        <v>1.9</v>
      </c>
      <c r="F240" s="38"/>
      <c r="G240" s="563">
        <v>0</v>
      </c>
      <c r="H240" s="563">
        <v>15.116015418335726</v>
      </c>
      <c r="I240" s="59">
        <v>24.533141863804701</v>
      </c>
      <c r="J240" s="59">
        <v>0</v>
      </c>
      <c r="K240" s="59">
        <v>0</v>
      </c>
      <c r="L240" s="563">
        <v>0</v>
      </c>
      <c r="M240" s="59">
        <f t="shared" si="15"/>
        <v>39.649157282140429</v>
      </c>
    </row>
    <row r="241" spans="1:13" outlineLevel="2">
      <c r="A241" s="138">
        <v>46174</v>
      </c>
      <c r="B241" s="1" t="s">
        <v>650</v>
      </c>
      <c r="C241" s="346">
        <v>872631660330</v>
      </c>
      <c r="D241" s="341" t="s">
        <v>655</v>
      </c>
      <c r="E241" s="367">
        <v>12.4</v>
      </c>
      <c r="F241" s="38"/>
      <c r="G241" s="563">
        <v>0</v>
      </c>
      <c r="H241" s="563">
        <v>15.116015418335726</v>
      </c>
      <c r="I241" s="59">
        <v>50.834744161439048</v>
      </c>
      <c r="J241" s="59">
        <v>0</v>
      </c>
      <c r="K241" s="59">
        <v>0</v>
      </c>
      <c r="L241" s="563">
        <v>0</v>
      </c>
      <c r="M241" s="59">
        <f t="shared" si="15"/>
        <v>65.950759579774768</v>
      </c>
    </row>
    <row r="242" spans="1:13" outlineLevel="2">
      <c r="A242" s="138">
        <v>46174</v>
      </c>
      <c r="B242" s="1" t="s">
        <v>799</v>
      </c>
      <c r="C242" s="346">
        <v>872690078492</v>
      </c>
      <c r="D242" s="341" t="s">
        <v>655</v>
      </c>
      <c r="E242" s="367">
        <v>40.9</v>
      </c>
      <c r="F242" s="38"/>
      <c r="G242" s="563">
        <v>0</v>
      </c>
      <c r="H242" s="563">
        <v>15.116015418335726</v>
      </c>
      <c r="I242" s="59">
        <v>117.23263547728818</v>
      </c>
      <c r="J242" s="59">
        <v>0</v>
      </c>
      <c r="K242" s="59">
        <v>0</v>
      </c>
      <c r="L242" s="563">
        <v>0</v>
      </c>
      <c r="M242" s="59">
        <f t="shared" si="15"/>
        <v>132.3486508956239</v>
      </c>
    </row>
    <row r="243" spans="1:13" outlineLevel="2">
      <c r="A243" s="138">
        <v>46174</v>
      </c>
      <c r="B243" s="1" t="s">
        <v>2522</v>
      </c>
      <c r="C243" s="346">
        <v>872752862534</v>
      </c>
      <c r="D243" s="341" t="s">
        <v>45</v>
      </c>
      <c r="E243" s="367">
        <v>37</v>
      </c>
      <c r="F243" s="38"/>
      <c r="G243" s="563">
        <v>0</v>
      </c>
      <c r="H243" s="563">
        <v>15.116015418335726</v>
      </c>
      <c r="I243" s="59">
        <v>0</v>
      </c>
      <c r="J243" s="59">
        <v>0</v>
      </c>
      <c r="K243" s="59">
        <v>0</v>
      </c>
      <c r="L243" s="563">
        <v>0</v>
      </c>
      <c r="M243" s="59">
        <f t="shared" si="15"/>
        <v>15.116015418335726</v>
      </c>
    </row>
    <row r="244" spans="1:13" outlineLevel="2">
      <c r="A244" s="138">
        <v>46174</v>
      </c>
      <c r="B244" s="1" t="s">
        <v>2170</v>
      </c>
      <c r="C244" s="346">
        <v>872753640780</v>
      </c>
      <c r="D244" s="341" t="s">
        <v>655</v>
      </c>
      <c r="E244" s="367">
        <v>65.900000000000006</v>
      </c>
      <c r="F244" s="38"/>
      <c r="G244" s="563">
        <v>0</v>
      </c>
      <c r="H244" s="563">
        <v>15.116015418335726</v>
      </c>
      <c r="I244" s="59">
        <v>238.51768573803946</v>
      </c>
      <c r="J244" s="59">
        <v>0</v>
      </c>
      <c r="K244" s="59">
        <v>0</v>
      </c>
      <c r="L244" s="563">
        <v>0</v>
      </c>
      <c r="M244" s="59">
        <f t="shared" si="15"/>
        <v>253.6337011563752</v>
      </c>
    </row>
    <row r="245" spans="1:13" outlineLevel="2">
      <c r="A245" s="138">
        <v>46174</v>
      </c>
      <c r="B245" s="1" t="s">
        <v>2877</v>
      </c>
      <c r="C245" s="346">
        <v>872817900426</v>
      </c>
      <c r="D245" s="341" t="s">
        <v>45</v>
      </c>
      <c r="E245" s="367">
        <v>1</v>
      </c>
      <c r="F245" s="38"/>
      <c r="G245" s="563">
        <v>0</v>
      </c>
      <c r="H245" s="563">
        <v>15.116015418335726</v>
      </c>
      <c r="I245" s="59">
        <v>0</v>
      </c>
      <c r="J245" s="59">
        <v>0</v>
      </c>
      <c r="K245" s="59">
        <v>0</v>
      </c>
      <c r="L245" s="563">
        <v>0</v>
      </c>
      <c r="M245" s="59">
        <f t="shared" si="15"/>
        <v>15.116015418335726</v>
      </c>
    </row>
    <row r="246" spans="1:13" outlineLevel="2">
      <c r="A246" s="138">
        <v>46174</v>
      </c>
      <c r="B246" s="1" t="s">
        <v>805</v>
      </c>
      <c r="C246" s="346">
        <v>872881089343</v>
      </c>
      <c r="D246" s="341" t="s">
        <v>655</v>
      </c>
      <c r="E246" s="367">
        <v>2.6</v>
      </c>
      <c r="F246" s="38"/>
      <c r="G246" s="563">
        <v>0</v>
      </c>
      <c r="H246" s="563">
        <v>15.116015418335726</v>
      </c>
      <c r="I246" s="59">
        <v>24.002569722621118</v>
      </c>
      <c r="J246" s="59">
        <v>0</v>
      </c>
      <c r="K246" s="59">
        <v>0</v>
      </c>
      <c r="L246" s="563">
        <v>0</v>
      </c>
      <c r="M246" s="59">
        <f t="shared" si="15"/>
        <v>39.118585140956846</v>
      </c>
    </row>
    <row r="247" spans="1:13" outlineLevel="2">
      <c r="A247" s="138">
        <v>46174</v>
      </c>
      <c r="B247" s="1" t="s">
        <v>2175</v>
      </c>
      <c r="C247" s="346">
        <v>872881246346</v>
      </c>
      <c r="D247" s="341" t="s">
        <v>655</v>
      </c>
      <c r="E247" s="367">
        <v>1</v>
      </c>
      <c r="F247" s="38"/>
      <c r="G247" s="563">
        <v>0</v>
      </c>
      <c r="H247" s="563">
        <v>15.116015418335726</v>
      </c>
      <c r="I247" s="59">
        <v>16.742271937117376</v>
      </c>
      <c r="J247" s="59">
        <v>0</v>
      </c>
      <c r="K247" s="59">
        <v>0</v>
      </c>
      <c r="L247" s="563">
        <v>0</v>
      </c>
      <c r="M247" s="59">
        <f t="shared" si="15"/>
        <v>31.858287355453101</v>
      </c>
    </row>
    <row r="248" spans="1:13" outlineLevel="2">
      <c r="A248" s="138">
        <v>46174</v>
      </c>
      <c r="B248" s="1" t="s">
        <v>649</v>
      </c>
      <c r="C248" s="346">
        <v>872883162342</v>
      </c>
      <c r="D248" s="341" t="s">
        <v>45</v>
      </c>
      <c r="E248" s="367">
        <v>29</v>
      </c>
      <c r="F248" s="38"/>
      <c r="G248" s="563">
        <v>0</v>
      </c>
      <c r="H248" s="563">
        <v>15.116015418335726</v>
      </c>
      <c r="I248" s="59">
        <v>0</v>
      </c>
      <c r="J248" s="59">
        <v>0</v>
      </c>
      <c r="K248" s="59">
        <v>0</v>
      </c>
      <c r="L248" s="563">
        <v>0</v>
      </c>
      <c r="M248" s="59">
        <f t="shared" si="15"/>
        <v>15.116015418335726</v>
      </c>
    </row>
    <row r="249" spans="1:13" outlineLevel="2">
      <c r="A249" s="138">
        <v>46174</v>
      </c>
      <c r="B249" s="1" t="s">
        <v>2172</v>
      </c>
      <c r="C249" s="346">
        <v>872931345031</v>
      </c>
      <c r="D249" s="341" t="s">
        <v>655</v>
      </c>
      <c r="E249" s="367">
        <v>0.9</v>
      </c>
      <c r="F249" s="38"/>
      <c r="G249" s="563">
        <v>0</v>
      </c>
      <c r="H249" s="563">
        <v>15.116015418335726</v>
      </c>
      <c r="I249" s="59">
        <v>14.791436777265513</v>
      </c>
      <c r="J249" s="59">
        <v>0</v>
      </c>
      <c r="K249" s="59">
        <v>0</v>
      </c>
      <c r="L249" s="563">
        <v>0</v>
      </c>
      <c r="M249" s="59">
        <f t="shared" si="15"/>
        <v>29.907452195601238</v>
      </c>
    </row>
    <row r="250" spans="1:13" outlineLevel="2">
      <c r="A250" s="138">
        <v>46174</v>
      </c>
      <c r="B250" s="1" t="s">
        <v>1898</v>
      </c>
      <c r="C250" s="346">
        <v>872979130829</v>
      </c>
      <c r="D250" s="341" t="s">
        <v>655</v>
      </c>
      <c r="E250" s="367">
        <v>0.5</v>
      </c>
      <c r="F250" s="38"/>
      <c r="G250" s="563">
        <v>0</v>
      </c>
      <c r="H250" s="563">
        <v>15.116015418335726</v>
      </c>
      <c r="I250" s="59">
        <v>17.969125538508049</v>
      </c>
      <c r="J250" s="59">
        <v>0</v>
      </c>
      <c r="K250" s="59">
        <v>0</v>
      </c>
      <c r="L250" s="563">
        <v>0</v>
      </c>
      <c r="M250" s="59">
        <f t="shared" si="15"/>
        <v>33.085140956843773</v>
      </c>
    </row>
    <row r="251" spans="1:13" outlineLevel="2">
      <c r="A251" s="138">
        <v>46174</v>
      </c>
      <c r="B251" s="1" t="s">
        <v>844</v>
      </c>
      <c r="C251" s="346">
        <v>873074376995</v>
      </c>
      <c r="D251" s="341" t="s">
        <v>655</v>
      </c>
      <c r="E251" s="367">
        <v>3.8</v>
      </c>
      <c r="F251" s="38"/>
      <c r="G251" s="563">
        <v>0</v>
      </c>
      <c r="H251" s="563">
        <v>15.116015418335726</v>
      </c>
      <c r="I251" s="59">
        <v>26.740344645151538</v>
      </c>
      <c r="J251" s="59">
        <v>0</v>
      </c>
      <c r="K251" s="59">
        <v>0</v>
      </c>
      <c r="L251" s="563">
        <v>0</v>
      </c>
      <c r="M251" s="59">
        <f t="shared" si="15"/>
        <v>41.856360063487266</v>
      </c>
    </row>
    <row r="252" spans="1:13" outlineLevel="2">
      <c r="A252" s="138">
        <v>46174</v>
      </c>
      <c r="B252" s="1" t="s">
        <v>2796</v>
      </c>
      <c r="C252" s="346">
        <v>873182840602</v>
      </c>
      <c r="D252" s="341" t="s">
        <v>45</v>
      </c>
      <c r="E252" s="367">
        <v>2</v>
      </c>
      <c r="F252" s="38"/>
      <c r="G252" s="563">
        <v>0</v>
      </c>
      <c r="H252" s="563">
        <v>15.116015418335726</v>
      </c>
      <c r="I252" s="59">
        <v>0</v>
      </c>
      <c r="J252" s="59">
        <v>0</v>
      </c>
      <c r="K252" s="59">
        <v>0</v>
      </c>
      <c r="L252" s="563">
        <v>0</v>
      </c>
      <c r="M252" s="59">
        <f t="shared" si="15"/>
        <v>15.116015418335726</v>
      </c>
    </row>
    <row r="253" spans="1:13" outlineLevel="2">
      <c r="A253" s="138">
        <v>46174</v>
      </c>
      <c r="B253" s="1" t="s">
        <v>2522</v>
      </c>
      <c r="C253" s="346">
        <v>873230263370</v>
      </c>
      <c r="D253" s="341" t="s">
        <v>45</v>
      </c>
      <c r="E253" s="367">
        <v>85.4</v>
      </c>
      <c r="F253" s="38"/>
      <c r="G253" s="563">
        <v>0</v>
      </c>
      <c r="H253" s="563">
        <v>15.116015418335726</v>
      </c>
      <c r="I253" s="59">
        <v>0</v>
      </c>
      <c r="J253" s="59">
        <v>0</v>
      </c>
      <c r="K253" s="59">
        <v>0</v>
      </c>
      <c r="L253" s="563">
        <v>0</v>
      </c>
      <c r="M253" s="59">
        <f t="shared" si="15"/>
        <v>15.116015418335726</v>
      </c>
    </row>
    <row r="254" spans="1:13" outlineLevel="2">
      <c r="A254" s="138">
        <v>46174</v>
      </c>
      <c r="B254" s="1" t="s">
        <v>2877</v>
      </c>
      <c r="C254" s="346">
        <v>873287538252</v>
      </c>
      <c r="D254" s="341" t="s">
        <v>45</v>
      </c>
      <c r="E254" s="367">
        <v>1</v>
      </c>
      <c r="F254" s="38"/>
      <c r="G254" s="563">
        <v>0</v>
      </c>
      <c r="H254" s="563">
        <v>15.116015418335726</v>
      </c>
      <c r="I254" s="59">
        <v>0</v>
      </c>
      <c r="J254" s="59">
        <v>0</v>
      </c>
      <c r="K254" s="59">
        <v>0</v>
      </c>
      <c r="L254" s="563">
        <v>0</v>
      </c>
      <c r="M254" s="59">
        <f t="shared" si="15"/>
        <v>15.116015418335726</v>
      </c>
    </row>
    <row r="255" spans="1:13" outlineLevel="2">
      <c r="A255" s="138">
        <v>46174</v>
      </c>
      <c r="B255" s="1" t="s">
        <v>2942</v>
      </c>
      <c r="C255" s="346" t="s">
        <v>2941</v>
      </c>
      <c r="D255" s="341" t="s">
        <v>1333</v>
      </c>
      <c r="E255" s="367">
        <v>123.28</v>
      </c>
      <c r="F255" s="38"/>
      <c r="G255" s="563">
        <v>0</v>
      </c>
      <c r="H255" s="563">
        <v>15.116015418335726</v>
      </c>
      <c r="I255" s="59">
        <v>0</v>
      </c>
      <c r="J255" s="59">
        <v>0</v>
      </c>
      <c r="K255" s="59">
        <v>0</v>
      </c>
      <c r="L255" s="563">
        <v>0</v>
      </c>
      <c r="M255" s="59">
        <f t="shared" si="15"/>
        <v>15.116015418335726</v>
      </c>
    </row>
    <row r="256" spans="1:13" outlineLevel="2">
      <c r="A256" s="138">
        <v>46174</v>
      </c>
      <c r="B256" s="1" t="s">
        <v>968</v>
      </c>
      <c r="C256" s="346" t="s">
        <v>2403</v>
      </c>
      <c r="D256" s="341" t="s">
        <v>1785</v>
      </c>
      <c r="E256" s="367">
        <v>0.9</v>
      </c>
      <c r="F256" s="38"/>
      <c r="G256" s="563">
        <v>0</v>
      </c>
      <c r="H256" s="563">
        <v>15.116015418335726</v>
      </c>
      <c r="I256" s="59">
        <v>0</v>
      </c>
      <c r="J256" s="59">
        <v>0</v>
      </c>
      <c r="K256" s="59">
        <v>0</v>
      </c>
      <c r="L256" s="563">
        <v>0</v>
      </c>
      <c r="M256" s="59">
        <f t="shared" si="15"/>
        <v>15.116015418335726</v>
      </c>
    </row>
    <row r="257" spans="1:13" outlineLevel="2">
      <c r="A257" s="138">
        <v>46174</v>
      </c>
      <c r="B257" s="1" t="s">
        <v>2181</v>
      </c>
      <c r="C257" s="346" t="s">
        <v>2179</v>
      </c>
      <c r="D257" s="341" t="s">
        <v>65</v>
      </c>
      <c r="E257" s="367">
        <v>37</v>
      </c>
      <c r="F257" s="38"/>
      <c r="G257" s="563">
        <v>22.674023127503592</v>
      </c>
      <c r="H257" s="563">
        <v>15.116015418335726</v>
      </c>
      <c r="I257" s="59">
        <v>214.11325674552188</v>
      </c>
      <c r="J257" s="59">
        <v>0</v>
      </c>
      <c r="K257" s="59">
        <v>18.304738870833649</v>
      </c>
      <c r="L257" s="563">
        <v>0</v>
      </c>
      <c r="M257" s="59">
        <f t="shared" si="15"/>
        <v>270.20803416219485</v>
      </c>
    </row>
    <row r="258" spans="1:13" outlineLevel="2">
      <c r="A258" s="138">
        <v>46174</v>
      </c>
      <c r="B258" s="1" t="s">
        <v>2483</v>
      </c>
      <c r="C258" s="346" t="s">
        <v>2481</v>
      </c>
      <c r="D258" s="341" t="s">
        <v>65</v>
      </c>
      <c r="E258" s="367">
        <v>464</v>
      </c>
      <c r="F258" s="38"/>
      <c r="G258" s="563">
        <v>22.674023127503592</v>
      </c>
      <c r="H258" s="563">
        <v>15.116015418335726</v>
      </c>
      <c r="I258" s="59">
        <v>713.1415614843927</v>
      </c>
      <c r="J258" s="59">
        <v>0</v>
      </c>
      <c r="K258" s="59">
        <v>37.38655430428539</v>
      </c>
      <c r="L258" s="563">
        <v>0</v>
      </c>
      <c r="M258" s="59">
        <f t="shared" si="15"/>
        <v>788.31815433451743</v>
      </c>
    </row>
    <row r="259" spans="1:13" outlineLevel="2">
      <c r="A259" s="138">
        <v>46174</v>
      </c>
      <c r="B259" s="1" t="s">
        <v>2314</v>
      </c>
      <c r="C259" s="346" t="s">
        <v>2312</v>
      </c>
      <c r="D259" s="341" t="s">
        <v>3073</v>
      </c>
      <c r="E259" s="367">
        <v>5.7</v>
      </c>
      <c r="F259" s="38"/>
      <c r="G259" s="563">
        <v>0</v>
      </c>
      <c r="H259" s="563">
        <v>15.116015418335726</v>
      </c>
      <c r="I259" s="59">
        <v>0</v>
      </c>
      <c r="J259" s="59">
        <v>0</v>
      </c>
      <c r="K259" s="59">
        <v>0</v>
      </c>
      <c r="L259" s="563">
        <v>0</v>
      </c>
      <c r="M259" s="59">
        <f t="shared" si="15"/>
        <v>15.116015418335726</v>
      </c>
    </row>
    <row r="260" spans="1:13" outlineLevel="1">
      <c r="A260" s="138" t="s">
        <v>3046</v>
      </c>
      <c r="B260" s="1"/>
      <c r="C260" s="346"/>
      <c r="D260" s="1"/>
      <c r="E260" s="1">
        <f t="shared" ref="E260:M260" si="16">SUBTOTAL(9,E196:E259)</f>
        <v>1553.4800000000002</v>
      </c>
      <c r="F260" s="693">
        <f t="shared" si="16"/>
        <v>0</v>
      </c>
      <c r="G260" s="694">
        <f t="shared" si="16"/>
        <v>45.348046255007183</v>
      </c>
      <c r="H260" s="694">
        <f t="shared" si="16"/>
        <v>944.74490968180658</v>
      </c>
      <c r="I260" s="695">
        <f t="shared" si="16"/>
        <v>2751.7155203688303</v>
      </c>
      <c r="J260" s="59">
        <f t="shared" si="16"/>
        <v>0</v>
      </c>
      <c r="K260" s="59">
        <f t="shared" si="16"/>
        <v>55.691293175119043</v>
      </c>
      <c r="L260" s="563">
        <f t="shared" si="16"/>
        <v>0</v>
      </c>
      <c r="M260" s="59">
        <f t="shared" si="16"/>
        <v>3797.4997694807648</v>
      </c>
    </row>
    <row r="261" spans="1:13" outlineLevel="1">
      <c r="A261" s="138" t="s">
        <v>893</v>
      </c>
      <c r="B261" s="1"/>
      <c r="C261" s="346"/>
      <c r="D261" s="1"/>
      <c r="E261" s="1">
        <f t="shared" ref="E261:M261" si="17">SUBTOTAL(9,E84:E259)</f>
        <v>8178.8199999999979</v>
      </c>
      <c r="F261" s="693">
        <f t="shared" si="17"/>
        <v>23.795999999999999</v>
      </c>
      <c r="G261" s="694">
        <f t="shared" si="17"/>
        <v>510.4782412379447</v>
      </c>
      <c r="H261" s="694">
        <f t="shared" si="17"/>
        <v>2887.8773268216132</v>
      </c>
      <c r="I261" s="695">
        <f t="shared" si="17"/>
        <v>13334.4239272042</v>
      </c>
      <c r="J261" s="59">
        <f t="shared" si="17"/>
        <v>0</v>
      </c>
      <c r="K261" s="59">
        <f t="shared" si="17"/>
        <v>89.038521532940791</v>
      </c>
      <c r="L261" s="563">
        <f t="shared" si="17"/>
        <v>398.80853581272521</v>
      </c>
      <c r="M261" s="59">
        <f t="shared" si="17"/>
        <v>17220.626552609421</v>
      </c>
    </row>
  </sheetData>
  <mergeCells count="2">
    <mergeCell ref="A1:I1"/>
    <mergeCell ref="A82:M82"/>
  </mergeCells>
  <conditionalFormatting sqref="A4:M30 A173:E261 A2:I2 A3:C3 A31:C76 A77:I78 A79:M81 A83:M110 A111:L111 B112:E112 B113:F114 B115:E128 A129:E171 A172:C172 A262:M1048576 A1 J1:M2 F3:M3 F31:I76 A82 M111:M112 G112:L112 A112:A128 I113:M114 G115:M261">
    <cfRule type="expression" dxfId="27" priority="17">
      <formula>ISNUMBER(SEARCH("Total",$A1))</formula>
    </cfRule>
  </conditionalFormatting>
  <conditionalFormatting sqref="B2">
    <cfRule type="duplicateValues" dxfId="26" priority="18" stopIfTrue="1"/>
  </conditionalFormatting>
  <conditionalFormatting sqref="C1:C1048576">
    <cfRule type="duplicateValues" dxfId="25" priority="10"/>
  </conditionalFormatting>
  <conditionalFormatting sqref="D31:D72">
    <cfRule type="duplicateValues" dxfId="24" priority="5"/>
    <cfRule type="expression" dxfId="23" priority="6">
      <formula>ISNUMBER(SEARCH("Total",$A31))</formula>
    </cfRule>
  </conditionalFormatting>
  <conditionalFormatting sqref="D172:D194 D196:D259">
    <cfRule type="expression" dxfId="22" priority="9">
      <formula>ISNUMBER(SEARCH("Total",$A172))</formula>
    </cfRule>
  </conditionalFormatting>
  <conditionalFormatting sqref="D75:E76">
    <cfRule type="duplicateValues" dxfId="21" priority="1"/>
    <cfRule type="expression" dxfId="20" priority="2">
      <formula>ISNUMBER(SEARCH("Total",$A75))</formula>
    </cfRule>
  </conditionalFormatting>
  <conditionalFormatting sqref="D172:E194 D196:E259 D3:E30">
    <cfRule type="expression" dxfId="19" priority="16">
      <formula>ISNUMBER(SEARCH("Total",$A3))</formula>
    </cfRule>
  </conditionalFormatting>
  <conditionalFormatting sqref="E31:E60 E67:E72">
    <cfRule type="duplicateValues" dxfId="18" priority="3"/>
    <cfRule type="expression" dxfId="17" priority="4">
      <formula>ISNUMBER(SEARCH("Total",$A31))</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N1162"/>
  <sheetViews>
    <sheetView topLeftCell="A127" zoomScaleNormal="100" workbookViewId="0">
      <selection sqref="A1:I1"/>
    </sheetView>
  </sheetViews>
  <sheetFormatPr defaultRowHeight="15" outlineLevelRow="2"/>
  <cols>
    <col min="1" max="1" width="13.140625" style="21" customWidth="1"/>
    <col min="2" max="2" width="38.42578125" customWidth="1"/>
    <col min="3" max="3" width="16.140625" style="92" bestFit="1" customWidth="1"/>
    <col min="4" max="4" width="9.5703125" bestFit="1" customWidth="1"/>
    <col min="5" max="5" width="12.140625" customWidth="1"/>
    <col min="6" max="8" width="12" bestFit="1" customWidth="1"/>
    <col min="9" max="9" width="13.140625" bestFit="1" customWidth="1"/>
    <col min="10" max="10" width="13.42578125" customWidth="1"/>
    <col min="11" max="11" width="11.28515625" style="5" customWidth="1"/>
    <col min="12" max="12" width="10.5703125" bestFit="1" customWidth="1"/>
    <col min="13" max="13" width="17.5703125" customWidth="1"/>
    <col min="14" max="14" width="11.5703125" bestFit="1" customWidth="1"/>
    <col min="15" max="15" width="14.28515625" bestFit="1" customWidth="1"/>
  </cols>
  <sheetData>
    <row r="1" spans="1:11" ht="37.5" customHeight="1">
      <c r="A1" s="892" t="s">
        <v>881</v>
      </c>
      <c r="B1" s="892"/>
      <c r="C1" s="892"/>
      <c r="D1" s="892"/>
      <c r="E1" s="892"/>
      <c r="F1" s="892"/>
      <c r="G1" s="892"/>
      <c r="H1" s="892"/>
      <c r="I1" s="892"/>
      <c r="K1"/>
    </row>
    <row r="2" spans="1:11" ht="28.5" customHeight="1">
      <c r="A2" s="155" t="s">
        <v>44</v>
      </c>
      <c r="B2" s="156" t="s">
        <v>38</v>
      </c>
      <c r="C2" s="678" t="s">
        <v>39</v>
      </c>
      <c r="D2" s="155" t="s">
        <v>27</v>
      </c>
      <c r="E2" s="155" t="s">
        <v>896</v>
      </c>
      <c r="F2" s="157" t="s">
        <v>36</v>
      </c>
      <c r="G2" s="157" t="s">
        <v>37</v>
      </c>
      <c r="H2" s="157" t="s">
        <v>3</v>
      </c>
      <c r="I2" s="145" t="s">
        <v>35</v>
      </c>
      <c r="K2"/>
    </row>
    <row r="3" spans="1:11" hidden="1" outlineLevel="2">
      <c r="A3" s="137">
        <v>45870</v>
      </c>
      <c r="B3" s="1" t="s">
        <v>75</v>
      </c>
      <c r="C3" s="144" t="s">
        <v>340</v>
      </c>
      <c r="D3" s="1" t="s">
        <v>45</v>
      </c>
      <c r="E3" s="1">
        <v>22.3</v>
      </c>
      <c r="F3" s="59">
        <v>18.142646558566732</v>
      </c>
      <c r="G3" s="59">
        <v>24.568167214725783</v>
      </c>
      <c r="H3" s="1"/>
      <c r="I3" s="139">
        <f t="shared" ref="I3:I28" si="0">SUM(F3:H3)</f>
        <v>42.710813773292514</v>
      </c>
      <c r="K3"/>
    </row>
    <row r="4" spans="1:11" hidden="1" outlineLevel="2">
      <c r="A4" s="137">
        <f t="shared" ref="A4:A28" si="1">A3</f>
        <v>45870</v>
      </c>
      <c r="B4" s="1" t="s">
        <v>364</v>
      </c>
      <c r="C4" s="144" t="s">
        <v>341</v>
      </c>
      <c r="D4" s="1" t="s">
        <v>655</v>
      </c>
      <c r="E4" s="1">
        <v>212.4</v>
      </c>
      <c r="F4" s="59">
        <v>0</v>
      </c>
      <c r="G4" s="59">
        <v>15.118872132138943</v>
      </c>
      <c r="H4" s="1"/>
      <c r="I4" s="139">
        <f t="shared" si="0"/>
        <v>15.118872132138943</v>
      </c>
      <c r="K4"/>
    </row>
    <row r="5" spans="1:11" hidden="1" outlineLevel="2">
      <c r="A5" s="137">
        <f t="shared" si="1"/>
        <v>45870</v>
      </c>
      <c r="B5" s="1" t="s">
        <v>364</v>
      </c>
      <c r="C5" s="144" t="s">
        <v>342</v>
      </c>
      <c r="D5" s="1" t="s">
        <v>655</v>
      </c>
      <c r="E5" s="1">
        <v>212.4</v>
      </c>
      <c r="F5" s="59">
        <v>0</v>
      </c>
      <c r="G5" s="59">
        <v>15.118872132138943</v>
      </c>
      <c r="H5" s="1"/>
      <c r="I5" s="139">
        <f t="shared" si="0"/>
        <v>15.118872132138943</v>
      </c>
      <c r="K5"/>
    </row>
    <row r="6" spans="1:11" hidden="1" outlineLevel="2">
      <c r="A6" s="137">
        <f t="shared" si="1"/>
        <v>45870</v>
      </c>
      <c r="B6" s="1" t="s">
        <v>364</v>
      </c>
      <c r="C6" s="144" t="s">
        <v>343</v>
      </c>
      <c r="D6" s="1" t="s">
        <v>655</v>
      </c>
      <c r="E6" s="1">
        <v>212.4</v>
      </c>
      <c r="F6" s="59">
        <v>0</v>
      </c>
      <c r="G6" s="59">
        <v>15.118872132138943</v>
      </c>
      <c r="H6" s="1"/>
      <c r="I6" s="139">
        <f t="shared" si="0"/>
        <v>15.118872132138943</v>
      </c>
      <c r="K6"/>
    </row>
    <row r="7" spans="1:11" hidden="1" outlineLevel="2">
      <c r="A7" s="137">
        <f t="shared" si="1"/>
        <v>45870</v>
      </c>
      <c r="B7" s="1" t="s">
        <v>364</v>
      </c>
      <c r="C7" s="144" t="s">
        <v>344</v>
      </c>
      <c r="D7" s="1" t="s">
        <v>655</v>
      </c>
      <c r="E7" s="1">
        <v>212.4</v>
      </c>
      <c r="F7" s="59">
        <v>0</v>
      </c>
      <c r="G7" s="59">
        <v>15.118872132138943</v>
      </c>
      <c r="H7" s="1"/>
      <c r="I7" s="139">
        <f t="shared" si="0"/>
        <v>15.118872132138943</v>
      </c>
      <c r="K7"/>
    </row>
    <row r="8" spans="1:11" hidden="1" outlineLevel="2">
      <c r="A8" s="137">
        <f t="shared" si="1"/>
        <v>45870</v>
      </c>
      <c r="B8" s="1" t="s">
        <v>364</v>
      </c>
      <c r="C8" s="144" t="s">
        <v>345</v>
      </c>
      <c r="D8" s="1" t="s">
        <v>655</v>
      </c>
      <c r="E8" s="1">
        <v>212.4</v>
      </c>
      <c r="F8" s="59">
        <v>0</v>
      </c>
      <c r="G8" s="59">
        <v>15.118872132138943</v>
      </c>
      <c r="H8" s="1"/>
      <c r="I8" s="139">
        <f t="shared" si="0"/>
        <v>15.118872132138943</v>
      </c>
      <c r="K8"/>
    </row>
    <row r="9" spans="1:11" hidden="1" outlineLevel="2">
      <c r="A9" s="137">
        <f t="shared" si="1"/>
        <v>45870</v>
      </c>
      <c r="B9" s="1" t="s">
        <v>365</v>
      </c>
      <c r="C9" s="144" t="s">
        <v>346</v>
      </c>
      <c r="D9" s="1" t="s">
        <v>45</v>
      </c>
      <c r="E9" s="1">
        <v>6</v>
      </c>
      <c r="F9" s="59">
        <v>18.142646558566732</v>
      </c>
      <c r="G9" s="59">
        <v>24.568167214725783</v>
      </c>
      <c r="H9" s="1"/>
      <c r="I9" s="139">
        <f t="shared" si="0"/>
        <v>42.710813773292514</v>
      </c>
      <c r="K9"/>
    </row>
    <row r="10" spans="1:11" hidden="1" outlineLevel="2">
      <c r="A10" s="137">
        <f t="shared" si="1"/>
        <v>45870</v>
      </c>
      <c r="B10" s="1" t="s">
        <v>366</v>
      </c>
      <c r="C10" s="144" t="s">
        <v>347</v>
      </c>
      <c r="D10" s="1" t="s">
        <v>655</v>
      </c>
      <c r="E10" s="1">
        <v>7</v>
      </c>
      <c r="F10" s="59">
        <v>0</v>
      </c>
      <c r="G10" s="59">
        <v>15.118872132138943</v>
      </c>
      <c r="H10" s="1"/>
      <c r="I10" s="139">
        <f t="shared" si="0"/>
        <v>15.118872132138943</v>
      </c>
      <c r="K10"/>
    </row>
    <row r="11" spans="1:11" hidden="1" outlineLevel="2">
      <c r="A11" s="137">
        <f t="shared" si="1"/>
        <v>45870</v>
      </c>
      <c r="B11" s="1" t="s">
        <v>367</v>
      </c>
      <c r="C11" s="144" t="s">
        <v>348</v>
      </c>
      <c r="D11" s="1" t="s">
        <v>655</v>
      </c>
      <c r="E11" s="1">
        <v>3.6</v>
      </c>
      <c r="F11" s="59">
        <v>18.142646558566732</v>
      </c>
      <c r="G11" s="59">
        <v>24.568167214725783</v>
      </c>
      <c r="H11" s="1"/>
      <c r="I11" s="139">
        <f t="shared" si="0"/>
        <v>42.710813773292514</v>
      </c>
      <c r="K11"/>
    </row>
    <row r="12" spans="1:11" hidden="1" outlineLevel="2">
      <c r="A12" s="137">
        <f t="shared" si="1"/>
        <v>45870</v>
      </c>
      <c r="B12" s="1" t="s">
        <v>364</v>
      </c>
      <c r="C12" s="144" t="s">
        <v>349</v>
      </c>
      <c r="D12" s="1" t="s">
        <v>655</v>
      </c>
      <c r="E12" s="1">
        <v>438.8</v>
      </c>
      <c r="F12" s="59">
        <v>0</v>
      </c>
      <c r="G12" s="59">
        <v>15.118872132138943</v>
      </c>
      <c r="H12" s="1"/>
      <c r="I12" s="139">
        <f t="shared" si="0"/>
        <v>15.118872132138943</v>
      </c>
      <c r="K12"/>
    </row>
    <row r="13" spans="1:11" hidden="1" outlineLevel="2">
      <c r="A13" s="137">
        <f t="shared" si="1"/>
        <v>45870</v>
      </c>
      <c r="B13" s="1" t="s">
        <v>364</v>
      </c>
      <c r="C13" s="144" t="s">
        <v>350</v>
      </c>
      <c r="D13" s="1" t="s">
        <v>655</v>
      </c>
      <c r="E13" s="1">
        <v>438.8</v>
      </c>
      <c r="F13" s="59">
        <v>0</v>
      </c>
      <c r="G13" s="59">
        <v>15.118872132138943</v>
      </c>
      <c r="H13" s="1"/>
      <c r="I13" s="139">
        <f t="shared" si="0"/>
        <v>15.118872132138943</v>
      </c>
      <c r="K13"/>
    </row>
    <row r="14" spans="1:11" hidden="1" outlineLevel="2">
      <c r="A14" s="137">
        <f t="shared" si="1"/>
        <v>45870</v>
      </c>
      <c r="B14" s="1" t="s">
        <v>364</v>
      </c>
      <c r="C14" s="144" t="s">
        <v>351</v>
      </c>
      <c r="D14" s="1" t="s">
        <v>655</v>
      </c>
      <c r="E14" s="1">
        <v>98.4</v>
      </c>
      <c r="F14" s="59">
        <v>0</v>
      </c>
      <c r="G14" s="59">
        <v>15.118872132138943</v>
      </c>
      <c r="H14" s="1"/>
      <c r="I14" s="139">
        <f t="shared" si="0"/>
        <v>15.118872132138943</v>
      </c>
      <c r="K14"/>
    </row>
    <row r="15" spans="1:11" hidden="1" outlineLevel="2">
      <c r="A15" s="137">
        <f t="shared" si="1"/>
        <v>45870</v>
      </c>
      <c r="B15" s="1" t="s">
        <v>75</v>
      </c>
      <c r="C15" s="144" t="s">
        <v>352</v>
      </c>
      <c r="D15" s="1" t="s">
        <v>655</v>
      </c>
      <c r="E15" s="1">
        <v>14.6</v>
      </c>
      <c r="F15" s="59">
        <v>0</v>
      </c>
      <c r="G15" s="59">
        <v>15.118872132138943</v>
      </c>
      <c r="H15" s="1"/>
      <c r="I15" s="139">
        <f t="shared" si="0"/>
        <v>15.118872132138943</v>
      </c>
      <c r="K15"/>
    </row>
    <row r="16" spans="1:11" hidden="1" outlineLevel="2">
      <c r="A16" s="137">
        <f t="shared" si="1"/>
        <v>45870</v>
      </c>
      <c r="B16" s="1" t="s">
        <v>364</v>
      </c>
      <c r="C16" s="144" t="s">
        <v>353</v>
      </c>
      <c r="D16" s="1" t="s">
        <v>655</v>
      </c>
      <c r="E16" s="1">
        <v>438.8</v>
      </c>
      <c r="F16" s="59">
        <v>0</v>
      </c>
      <c r="G16" s="59">
        <v>15.118872132138943</v>
      </c>
      <c r="H16" s="1"/>
      <c r="I16" s="139">
        <f t="shared" si="0"/>
        <v>15.118872132138943</v>
      </c>
      <c r="K16"/>
    </row>
    <row r="17" spans="1:11" hidden="1" outlineLevel="2">
      <c r="A17" s="137">
        <f t="shared" si="1"/>
        <v>45870</v>
      </c>
      <c r="B17" s="1" t="s">
        <v>367</v>
      </c>
      <c r="C17" s="144" t="s">
        <v>354</v>
      </c>
      <c r="D17" s="1" t="s">
        <v>45</v>
      </c>
      <c r="E17" s="1">
        <v>4.4000000000000004</v>
      </c>
      <c r="F17" s="154">
        <v>18.142646558566732</v>
      </c>
      <c r="G17" s="154">
        <v>24.568167214725783</v>
      </c>
      <c r="H17" s="1"/>
      <c r="I17" s="139">
        <f t="shared" si="0"/>
        <v>42.710813773292514</v>
      </c>
      <c r="K17"/>
    </row>
    <row r="18" spans="1:11" hidden="1" outlineLevel="2">
      <c r="A18" s="137">
        <f t="shared" si="1"/>
        <v>45870</v>
      </c>
      <c r="B18" s="1" t="s">
        <v>368</v>
      </c>
      <c r="C18" s="144" t="s">
        <v>355</v>
      </c>
      <c r="D18" s="1" t="s">
        <v>655</v>
      </c>
      <c r="E18" s="1">
        <v>13</v>
      </c>
      <c r="F18" s="154">
        <v>0</v>
      </c>
      <c r="G18" s="154">
        <v>15.118872132138943</v>
      </c>
      <c r="H18" s="1"/>
      <c r="I18" s="139">
        <f t="shared" si="0"/>
        <v>15.118872132138943</v>
      </c>
      <c r="K18"/>
    </row>
    <row r="19" spans="1:11" hidden="1" outlineLevel="2">
      <c r="A19" s="137">
        <f t="shared" si="1"/>
        <v>45870</v>
      </c>
      <c r="B19" s="1" t="s">
        <v>364</v>
      </c>
      <c r="C19" s="144" t="s">
        <v>356</v>
      </c>
      <c r="D19" s="1" t="s">
        <v>655</v>
      </c>
      <c r="E19" s="1">
        <v>355.4</v>
      </c>
      <c r="F19" s="154">
        <v>0</v>
      </c>
      <c r="G19" s="154">
        <v>15.118872132138943</v>
      </c>
      <c r="H19" s="1"/>
      <c r="I19" s="139">
        <f t="shared" si="0"/>
        <v>15.118872132138943</v>
      </c>
      <c r="K19"/>
    </row>
    <row r="20" spans="1:11" hidden="1" outlineLevel="2">
      <c r="A20" s="137">
        <f t="shared" si="1"/>
        <v>45870</v>
      </c>
      <c r="B20" s="1" t="s">
        <v>364</v>
      </c>
      <c r="C20" s="144" t="s">
        <v>357</v>
      </c>
      <c r="D20" s="1" t="s">
        <v>655</v>
      </c>
      <c r="E20" s="1">
        <v>436.8</v>
      </c>
      <c r="F20" s="154">
        <v>0</v>
      </c>
      <c r="G20" s="154">
        <v>15.118872132138943</v>
      </c>
      <c r="H20" s="1"/>
      <c r="I20" s="139">
        <f t="shared" si="0"/>
        <v>15.118872132138943</v>
      </c>
      <c r="K20"/>
    </row>
    <row r="21" spans="1:11" hidden="1" outlineLevel="2">
      <c r="A21" s="137">
        <f t="shared" si="1"/>
        <v>45870</v>
      </c>
      <c r="B21" s="1" t="s">
        <v>364</v>
      </c>
      <c r="C21" s="144" t="s">
        <v>358</v>
      </c>
      <c r="D21" s="1" t="s">
        <v>655</v>
      </c>
      <c r="E21" s="1">
        <v>436.8</v>
      </c>
      <c r="F21" s="154">
        <v>0</v>
      </c>
      <c r="G21" s="154">
        <v>15.118872132138943</v>
      </c>
      <c r="H21" s="1"/>
      <c r="I21" s="139">
        <f t="shared" si="0"/>
        <v>15.118872132138943</v>
      </c>
      <c r="K21"/>
    </row>
    <row r="22" spans="1:11" hidden="1" outlineLevel="2">
      <c r="A22" s="137">
        <f t="shared" si="1"/>
        <v>45870</v>
      </c>
      <c r="B22" s="1" t="s">
        <v>75</v>
      </c>
      <c r="C22" s="144" t="s">
        <v>359</v>
      </c>
      <c r="D22" s="1" t="s">
        <v>655</v>
      </c>
      <c r="E22" s="1">
        <v>9.3000000000000007</v>
      </c>
      <c r="F22" s="154">
        <v>0</v>
      </c>
      <c r="G22" s="154">
        <v>15.118872132138943</v>
      </c>
      <c r="H22" s="1"/>
      <c r="I22" s="139">
        <f t="shared" si="0"/>
        <v>15.118872132138943</v>
      </c>
      <c r="K22"/>
    </row>
    <row r="23" spans="1:11" hidden="1" outlineLevel="2">
      <c r="A23" s="137">
        <f t="shared" si="1"/>
        <v>45870</v>
      </c>
      <c r="B23" s="1" t="s">
        <v>75</v>
      </c>
      <c r="C23" s="144" t="s">
        <v>360</v>
      </c>
      <c r="D23" s="1" t="s">
        <v>655</v>
      </c>
      <c r="E23" s="1">
        <v>1.3</v>
      </c>
      <c r="F23" s="154">
        <v>18.142646558566732</v>
      </c>
      <c r="G23" s="154">
        <v>24.568167214725783</v>
      </c>
      <c r="H23" s="1"/>
      <c r="I23" s="139">
        <f t="shared" si="0"/>
        <v>42.710813773292514</v>
      </c>
      <c r="K23"/>
    </row>
    <row r="24" spans="1:11" hidden="1" outlineLevel="2">
      <c r="A24" s="137">
        <f t="shared" si="1"/>
        <v>45870</v>
      </c>
      <c r="B24" s="1" t="s">
        <v>364</v>
      </c>
      <c r="C24" s="144" t="s">
        <v>361</v>
      </c>
      <c r="D24" s="1" t="s">
        <v>655</v>
      </c>
      <c r="E24" s="1">
        <v>436.8</v>
      </c>
      <c r="F24" s="154">
        <v>0</v>
      </c>
      <c r="G24" s="154">
        <v>15.118872132138943</v>
      </c>
      <c r="H24" s="1"/>
      <c r="I24" s="139">
        <f t="shared" si="0"/>
        <v>15.118872132138943</v>
      </c>
      <c r="K24"/>
    </row>
    <row r="25" spans="1:11" hidden="1" outlineLevel="2">
      <c r="A25" s="137">
        <f t="shared" si="1"/>
        <v>45870</v>
      </c>
      <c r="B25" s="1" t="s">
        <v>364</v>
      </c>
      <c r="C25" s="144" t="s">
        <v>362</v>
      </c>
      <c r="D25" s="1" t="s">
        <v>655</v>
      </c>
      <c r="E25" s="1">
        <v>436.8</v>
      </c>
      <c r="F25" s="154">
        <v>0</v>
      </c>
      <c r="G25" s="154">
        <v>15.118872132138943</v>
      </c>
      <c r="H25" s="1"/>
      <c r="I25" s="139">
        <f t="shared" si="0"/>
        <v>15.118872132138943</v>
      </c>
      <c r="K25"/>
    </row>
    <row r="26" spans="1:11" hidden="1" outlineLevel="2">
      <c r="A26" s="137">
        <f t="shared" si="1"/>
        <v>45870</v>
      </c>
      <c r="B26" s="1" t="s">
        <v>364</v>
      </c>
      <c r="C26" s="144" t="s">
        <v>363</v>
      </c>
      <c r="D26" s="1" t="s">
        <v>655</v>
      </c>
      <c r="E26" s="1">
        <v>436.8</v>
      </c>
      <c r="F26" s="154">
        <v>0</v>
      </c>
      <c r="G26" s="154">
        <v>15.118872132138943</v>
      </c>
      <c r="H26" s="1"/>
      <c r="I26" s="139">
        <f t="shared" si="0"/>
        <v>15.118872132138943</v>
      </c>
      <c r="K26"/>
    </row>
    <row r="27" spans="1:11" hidden="1" outlineLevel="2">
      <c r="A27" s="137">
        <f t="shared" si="1"/>
        <v>45870</v>
      </c>
      <c r="B27" s="1" t="s">
        <v>369</v>
      </c>
      <c r="C27" s="144" t="s">
        <v>370</v>
      </c>
      <c r="D27" s="1" t="s">
        <v>655</v>
      </c>
      <c r="E27" s="1">
        <v>3.6</v>
      </c>
      <c r="F27" s="154"/>
      <c r="G27" s="154"/>
      <c r="H27" s="59">
        <v>90.249612578901619</v>
      </c>
      <c r="I27" s="139">
        <f t="shared" si="0"/>
        <v>90.249612578901619</v>
      </c>
      <c r="K27"/>
    </row>
    <row r="28" spans="1:11" hidden="1" outlineLevel="2">
      <c r="A28" s="137">
        <f t="shared" si="1"/>
        <v>45870</v>
      </c>
      <c r="B28" s="1" t="s">
        <v>369</v>
      </c>
      <c r="C28" s="144" t="s">
        <v>371</v>
      </c>
      <c r="D28" s="1" t="s">
        <v>655</v>
      </c>
      <c r="E28" s="1">
        <v>4.4000000000000004</v>
      </c>
      <c r="F28" s="154"/>
      <c r="G28" s="154"/>
      <c r="H28" s="59">
        <v>89.744150886343874</v>
      </c>
      <c r="I28" s="139">
        <f t="shared" si="0"/>
        <v>89.744150886343874</v>
      </c>
      <c r="K28"/>
    </row>
    <row r="29" spans="1:11" outlineLevel="1" collapsed="1">
      <c r="A29" s="725" t="s">
        <v>889</v>
      </c>
      <c r="B29" s="1"/>
      <c r="C29" s="144"/>
      <c r="D29" s="1"/>
      <c r="E29" s="1">
        <f>SUBTOTAL(9,E3:E28)</f>
        <v>5105.7000000000007</v>
      </c>
      <c r="F29" s="154">
        <f>SUBTOTAL(9,F3:F28)</f>
        <v>90.713232792833651</v>
      </c>
      <c r="G29" s="19">
        <f>SUBTOTAL(9,G3:G28)</f>
        <v>410.09940658426893</v>
      </c>
      <c r="H29" s="59">
        <f>SUBTOTAL(9,H3:H28)</f>
        <v>179.99376346524548</v>
      </c>
      <c r="I29" s="139">
        <f>SUBTOTAL(9,I3:I28)</f>
        <v>680.80640284234812</v>
      </c>
      <c r="K29"/>
    </row>
    <row r="30" spans="1:11" hidden="1" outlineLevel="2">
      <c r="A30" s="141">
        <v>45901</v>
      </c>
      <c r="B30" s="1" t="s">
        <v>467</v>
      </c>
      <c r="C30" s="144" t="s">
        <v>434</v>
      </c>
      <c r="D30" s="1" t="s">
        <v>655</v>
      </c>
      <c r="E30" s="1">
        <v>1.3</v>
      </c>
      <c r="F30" s="1"/>
      <c r="G30" s="59">
        <v>42.853350525237971</v>
      </c>
      <c r="H30" s="19"/>
      <c r="I30" s="139">
        <f t="shared" ref="I30:I66" si="2">SUM(F30:H30)</f>
        <v>42.853350525237971</v>
      </c>
      <c r="K30"/>
    </row>
    <row r="31" spans="1:11" hidden="1" outlineLevel="2">
      <c r="A31" s="141">
        <f t="shared" ref="A31:A66" si="3">A30</f>
        <v>45901</v>
      </c>
      <c r="B31" s="1" t="s">
        <v>468</v>
      </c>
      <c r="C31" s="144" t="s">
        <v>435</v>
      </c>
      <c r="D31" s="1" t="s">
        <v>655</v>
      </c>
      <c r="E31" s="1">
        <v>0.6</v>
      </c>
      <c r="F31" s="1"/>
      <c r="G31" s="59">
        <v>42.853350525237971</v>
      </c>
      <c r="H31" s="19"/>
      <c r="I31" s="139">
        <f t="shared" si="2"/>
        <v>42.853350525237971</v>
      </c>
      <c r="K31"/>
    </row>
    <row r="32" spans="1:11" hidden="1" outlineLevel="2">
      <c r="A32" s="141">
        <f t="shared" si="3"/>
        <v>45901</v>
      </c>
      <c r="B32" s="1" t="s">
        <v>367</v>
      </c>
      <c r="C32" s="144" t="s">
        <v>436</v>
      </c>
      <c r="D32" s="1" t="s">
        <v>655</v>
      </c>
      <c r="E32" s="1">
        <v>8.1999999999999993</v>
      </c>
      <c r="F32" s="1"/>
      <c r="G32" s="59">
        <v>42.853350525237971</v>
      </c>
      <c r="H32" s="19"/>
      <c r="I32" s="139">
        <f t="shared" si="2"/>
        <v>42.853350525237971</v>
      </c>
      <c r="K32"/>
    </row>
    <row r="33" spans="1:11" hidden="1" outlineLevel="2">
      <c r="A33" s="141">
        <f t="shared" si="3"/>
        <v>45901</v>
      </c>
      <c r="B33" s="1" t="s">
        <v>364</v>
      </c>
      <c r="C33" s="144" t="s">
        <v>437</v>
      </c>
      <c r="D33" s="1" t="s">
        <v>655</v>
      </c>
      <c r="E33" s="1">
        <v>443.8</v>
      </c>
      <c r="F33" s="1"/>
      <c r="G33" s="59">
        <v>15.169327619553263</v>
      </c>
      <c r="H33" s="19"/>
      <c r="I33" s="139">
        <f t="shared" si="2"/>
        <v>15.169327619553263</v>
      </c>
      <c r="K33"/>
    </row>
    <row r="34" spans="1:11" hidden="1" outlineLevel="2">
      <c r="A34" s="141">
        <f t="shared" si="3"/>
        <v>45901</v>
      </c>
      <c r="B34" s="1" t="s">
        <v>364</v>
      </c>
      <c r="C34" s="144" t="s">
        <v>438</v>
      </c>
      <c r="D34" s="1" t="s">
        <v>655</v>
      </c>
      <c r="E34" s="1">
        <v>443.8</v>
      </c>
      <c r="F34" s="1"/>
      <c r="G34" s="59">
        <v>15.169327619553263</v>
      </c>
      <c r="H34" s="19"/>
      <c r="I34" s="139">
        <f t="shared" si="2"/>
        <v>15.169327619553263</v>
      </c>
      <c r="K34"/>
    </row>
    <row r="35" spans="1:11" hidden="1" outlineLevel="2">
      <c r="A35" s="141">
        <f t="shared" si="3"/>
        <v>45901</v>
      </c>
      <c r="B35" s="1" t="s">
        <v>204</v>
      </c>
      <c r="C35" s="144" t="s">
        <v>439</v>
      </c>
      <c r="D35" s="1" t="s">
        <v>899</v>
      </c>
      <c r="E35" s="1">
        <v>620</v>
      </c>
      <c r="F35" s="1"/>
      <c r="G35" s="59">
        <v>15.169327619553263</v>
      </c>
      <c r="H35" s="19"/>
      <c r="I35" s="139">
        <f t="shared" si="2"/>
        <v>15.169327619553263</v>
      </c>
      <c r="K35"/>
    </row>
    <row r="36" spans="1:11" hidden="1" outlineLevel="2">
      <c r="A36" s="141">
        <f t="shared" si="3"/>
        <v>45901</v>
      </c>
      <c r="B36" s="1" t="s">
        <v>204</v>
      </c>
      <c r="C36" s="144" t="s">
        <v>439</v>
      </c>
      <c r="D36" s="1" t="s">
        <v>899</v>
      </c>
      <c r="E36" s="1">
        <v>620</v>
      </c>
      <c r="F36" s="1"/>
      <c r="G36" s="59">
        <v>11.376995714664947</v>
      </c>
      <c r="H36" s="19"/>
      <c r="I36" s="139">
        <f t="shared" si="2"/>
        <v>11.376995714664947</v>
      </c>
      <c r="K36"/>
    </row>
    <row r="37" spans="1:11" hidden="1" outlineLevel="2">
      <c r="A37" s="141">
        <f t="shared" si="3"/>
        <v>45901</v>
      </c>
      <c r="B37" s="1" t="s">
        <v>366</v>
      </c>
      <c r="C37" s="144" t="s">
        <v>440</v>
      </c>
      <c r="D37" s="1" t="s">
        <v>655</v>
      </c>
      <c r="E37" s="1">
        <v>6.8</v>
      </c>
      <c r="F37" s="1"/>
      <c r="G37" s="59">
        <v>37.923319048883158</v>
      </c>
      <c r="H37" s="19"/>
      <c r="I37" s="139">
        <f t="shared" si="2"/>
        <v>37.923319048883158</v>
      </c>
      <c r="K37"/>
    </row>
    <row r="38" spans="1:11" hidden="1" outlineLevel="2">
      <c r="A38" s="141">
        <f t="shared" si="3"/>
        <v>45901</v>
      </c>
      <c r="B38" s="1" t="s">
        <v>364</v>
      </c>
      <c r="C38" s="144" t="s">
        <v>441</v>
      </c>
      <c r="D38" s="1" t="s">
        <v>655</v>
      </c>
      <c r="E38" s="1">
        <v>449.8</v>
      </c>
      <c r="F38" s="1"/>
      <c r="G38" s="59">
        <v>15.169327619553263</v>
      </c>
      <c r="H38" s="19"/>
      <c r="I38" s="139">
        <f t="shared" si="2"/>
        <v>15.169327619553263</v>
      </c>
      <c r="K38"/>
    </row>
    <row r="39" spans="1:11" hidden="1" outlineLevel="2">
      <c r="A39" s="141">
        <f t="shared" si="3"/>
        <v>45901</v>
      </c>
      <c r="B39" s="1" t="s">
        <v>367</v>
      </c>
      <c r="C39" s="144" t="s">
        <v>442</v>
      </c>
      <c r="D39" s="1" t="s">
        <v>655</v>
      </c>
      <c r="E39" s="1">
        <v>0.9</v>
      </c>
      <c r="F39" s="1"/>
      <c r="G39" s="59">
        <v>42.853350525237971</v>
      </c>
      <c r="H39" s="19"/>
      <c r="I39" s="139">
        <f t="shared" si="2"/>
        <v>42.853350525237971</v>
      </c>
      <c r="K39"/>
    </row>
    <row r="40" spans="1:11" hidden="1" outlineLevel="2">
      <c r="A40" s="141">
        <f t="shared" si="3"/>
        <v>45901</v>
      </c>
      <c r="B40" s="1" t="s">
        <v>364</v>
      </c>
      <c r="C40" s="144" t="s">
        <v>443</v>
      </c>
      <c r="D40" s="1" t="s">
        <v>655</v>
      </c>
      <c r="E40" s="1">
        <v>449.8</v>
      </c>
      <c r="F40" s="1"/>
      <c r="G40" s="59">
        <v>15.169327619553263</v>
      </c>
      <c r="H40" s="19"/>
      <c r="I40" s="139">
        <f t="shared" si="2"/>
        <v>15.169327619553263</v>
      </c>
      <c r="K40"/>
    </row>
    <row r="41" spans="1:11" hidden="1" outlineLevel="2">
      <c r="A41" s="141">
        <f t="shared" si="3"/>
        <v>45901</v>
      </c>
      <c r="B41" s="1" t="s">
        <v>469</v>
      </c>
      <c r="C41" s="144" t="s">
        <v>444</v>
      </c>
      <c r="D41" s="1" t="s">
        <v>897</v>
      </c>
      <c r="E41" s="1">
        <v>0.2</v>
      </c>
      <c r="F41" s="1"/>
      <c r="G41" s="59">
        <v>24.650157381774054</v>
      </c>
      <c r="H41" s="19"/>
      <c r="I41" s="139">
        <f t="shared" si="2"/>
        <v>24.650157381774054</v>
      </c>
      <c r="K41"/>
    </row>
    <row r="42" spans="1:11" hidden="1" outlineLevel="2">
      <c r="A42" s="141">
        <f t="shared" si="3"/>
        <v>45901</v>
      </c>
      <c r="B42" s="1" t="s">
        <v>364</v>
      </c>
      <c r="C42" s="144" t="s">
        <v>445</v>
      </c>
      <c r="D42" s="1" t="s">
        <v>655</v>
      </c>
      <c r="E42" s="1">
        <v>449.8</v>
      </c>
      <c r="F42" s="1"/>
      <c r="G42" s="59">
        <v>15.169327619553263</v>
      </c>
      <c r="H42" s="19"/>
      <c r="I42" s="139">
        <f t="shared" si="2"/>
        <v>15.169327619553263</v>
      </c>
      <c r="K42"/>
    </row>
    <row r="43" spans="1:11" hidden="1" outlineLevel="2">
      <c r="A43" s="141">
        <f t="shared" si="3"/>
        <v>45901</v>
      </c>
      <c r="B43" s="1" t="s">
        <v>364</v>
      </c>
      <c r="C43" s="144" t="s">
        <v>446</v>
      </c>
      <c r="D43" s="1" t="s">
        <v>655</v>
      </c>
      <c r="E43" s="1">
        <v>449.8</v>
      </c>
      <c r="F43" s="1"/>
      <c r="G43" s="59">
        <v>15.169327619553263</v>
      </c>
      <c r="H43" s="19"/>
      <c r="I43" s="139">
        <f t="shared" si="2"/>
        <v>15.169327619553263</v>
      </c>
      <c r="K43"/>
    </row>
    <row r="44" spans="1:11" hidden="1" outlineLevel="2">
      <c r="A44" s="141">
        <f t="shared" si="3"/>
        <v>45901</v>
      </c>
      <c r="B44" s="1" t="s">
        <v>364</v>
      </c>
      <c r="C44" s="144" t="s">
        <v>447</v>
      </c>
      <c r="D44" s="1" t="s">
        <v>655</v>
      </c>
      <c r="E44" s="1">
        <v>449.8</v>
      </c>
      <c r="F44" s="1"/>
      <c r="G44" s="59">
        <v>15.169327619553263</v>
      </c>
      <c r="H44" s="19"/>
      <c r="I44" s="139">
        <f t="shared" si="2"/>
        <v>15.169327619553263</v>
      </c>
      <c r="K44"/>
    </row>
    <row r="45" spans="1:11" hidden="1" outlineLevel="2">
      <c r="A45" s="141">
        <f t="shared" si="3"/>
        <v>45901</v>
      </c>
      <c r="B45" s="1" t="s">
        <v>364</v>
      </c>
      <c r="C45" s="144" t="s">
        <v>448</v>
      </c>
      <c r="D45" s="1" t="s">
        <v>655</v>
      </c>
      <c r="E45" s="1">
        <v>449.8</v>
      </c>
      <c r="F45" s="1"/>
      <c r="G45" s="59">
        <v>15.169327619553263</v>
      </c>
      <c r="H45" s="19"/>
      <c r="I45" s="139">
        <f t="shared" si="2"/>
        <v>15.169327619553263</v>
      </c>
      <c r="K45"/>
    </row>
    <row r="46" spans="1:11" hidden="1" outlineLevel="2">
      <c r="A46" s="141">
        <f t="shared" si="3"/>
        <v>45901</v>
      </c>
      <c r="B46" s="1" t="s">
        <v>75</v>
      </c>
      <c r="C46" s="144" t="s">
        <v>449</v>
      </c>
      <c r="D46" s="1" t="s">
        <v>655</v>
      </c>
      <c r="E46" s="1">
        <v>22.5</v>
      </c>
      <c r="F46" s="1"/>
      <c r="G46" s="59">
        <v>42.853350525237971</v>
      </c>
      <c r="H46" s="19"/>
      <c r="I46" s="139">
        <f t="shared" si="2"/>
        <v>42.853350525237971</v>
      </c>
      <c r="K46"/>
    </row>
    <row r="47" spans="1:11" hidden="1" outlineLevel="2">
      <c r="A47" s="141">
        <f t="shared" si="3"/>
        <v>45901</v>
      </c>
      <c r="B47" s="1" t="s">
        <v>75</v>
      </c>
      <c r="C47" s="144" t="s">
        <v>450</v>
      </c>
      <c r="D47" s="1" t="s">
        <v>655</v>
      </c>
      <c r="E47" s="1">
        <v>9.5</v>
      </c>
      <c r="F47" s="1"/>
      <c r="G47" s="59">
        <v>15.169327619553263</v>
      </c>
      <c r="H47" s="19"/>
      <c r="I47" s="139">
        <f t="shared" si="2"/>
        <v>15.169327619553263</v>
      </c>
      <c r="K47"/>
    </row>
    <row r="48" spans="1:11" hidden="1" outlineLevel="2">
      <c r="A48" s="141">
        <f t="shared" si="3"/>
        <v>45901</v>
      </c>
      <c r="B48" s="1" t="s">
        <v>364</v>
      </c>
      <c r="C48" s="144" t="s">
        <v>451</v>
      </c>
      <c r="D48" s="1" t="s">
        <v>655</v>
      </c>
      <c r="E48" s="1">
        <v>446.8</v>
      </c>
      <c r="F48" s="1"/>
      <c r="G48" s="59">
        <v>15.169327619553263</v>
      </c>
      <c r="H48" s="19"/>
      <c r="I48" s="139">
        <f t="shared" si="2"/>
        <v>15.169327619553263</v>
      </c>
      <c r="K48"/>
    </row>
    <row r="49" spans="1:11" hidden="1" outlineLevel="2">
      <c r="A49" s="141">
        <f t="shared" si="3"/>
        <v>45901</v>
      </c>
      <c r="B49" s="1" t="s">
        <v>364</v>
      </c>
      <c r="C49" s="144" t="s">
        <v>452</v>
      </c>
      <c r="D49" s="1" t="s">
        <v>655</v>
      </c>
      <c r="E49" s="1">
        <v>446.8</v>
      </c>
      <c r="F49" s="1"/>
      <c r="G49" s="59">
        <v>15.169327619553263</v>
      </c>
      <c r="H49" s="19"/>
      <c r="I49" s="139">
        <f t="shared" si="2"/>
        <v>15.169327619553263</v>
      </c>
      <c r="K49"/>
    </row>
    <row r="50" spans="1:11" hidden="1" outlineLevel="2">
      <c r="A50" s="141">
        <f t="shared" si="3"/>
        <v>45901</v>
      </c>
      <c r="B50" s="1" t="s">
        <v>364</v>
      </c>
      <c r="C50" s="144" t="s">
        <v>453</v>
      </c>
      <c r="D50" s="1" t="s">
        <v>655</v>
      </c>
      <c r="E50" s="1">
        <v>446.8</v>
      </c>
      <c r="F50" s="1"/>
      <c r="G50" s="59">
        <v>15.169327619553263</v>
      </c>
      <c r="H50" s="19"/>
      <c r="I50" s="139">
        <f t="shared" si="2"/>
        <v>15.169327619553263</v>
      </c>
      <c r="K50"/>
    </row>
    <row r="51" spans="1:11" hidden="1" outlineLevel="2">
      <c r="A51" s="141">
        <f t="shared" si="3"/>
        <v>45901</v>
      </c>
      <c r="B51" s="1" t="s">
        <v>364</v>
      </c>
      <c r="C51" s="144" t="s">
        <v>454</v>
      </c>
      <c r="D51" s="1" t="s">
        <v>655</v>
      </c>
      <c r="E51" s="1">
        <v>446.8</v>
      </c>
      <c r="F51" s="1"/>
      <c r="G51" s="59">
        <v>15.169327619553263</v>
      </c>
      <c r="H51" s="19"/>
      <c r="I51" s="139">
        <f t="shared" si="2"/>
        <v>15.169327619553263</v>
      </c>
      <c r="K51"/>
    </row>
    <row r="52" spans="1:11" hidden="1" outlineLevel="2">
      <c r="A52" s="141">
        <f t="shared" si="3"/>
        <v>45901</v>
      </c>
      <c r="B52" s="1" t="s">
        <v>364</v>
      </c>
      <c r="C52" s="144" t="s">
        <v>455</v>
      </c>
      <c r="D52" s="1" t="s">
        <v>655</v>
      </c>
      <c r="E52" s="1">
        <v>446.8</v>
      </c>
      <c r="F52" s="1"/>
      <c r="G52" s="59">
        <v>15.169327619553263</v>
      </c>
      <c r="H52" s="19"/>
      <c r="I52" s="139">
        <f t="shared" si="2"/>
        <v>15.169327619553263</v>
      </c>
      <c r="K52"/>
    </row>
    <row r="53" spans="1:11" hidden="1" outlineLevel="2">
      <c r="A53" s="141">
        <f t="shared" si="3"/>
        <v>45901</v>
      </c>
      <c r="B53" s="1" t="s">
        <v>364</v>
      </c>
      <c r="C53" s="144" t="s">
        <v>456</v>
      </c>
      <c r="D53" s="1" t="s">
        <v>655</v>
      </c>
      <c r="E53" s="1">
        <v>446.8</v>
      </c>
      <c r="F53" s="1"/>
      <c r="G53" s="59">
        <v>15.169327619553263</v>
      </c>
      <c r="H53" s="19"/>
      <c r="I53" s="139">
        <f t="shared" si="2"/>
        <v>15.169327619553263</v>
      </c>
      <c r="K53"/>
    </row>
    <row r="54" spans="1:11" hidden="1" outlineLevel="2">
      <c r="A54" s="141">
        <f t="shared" si="3"/>
        <v>45901</v>
      </c>
      <c r="B54" s="1" t="s">
        <v>365</v>
      </c>
      <c r="C54" s="144" t="s">
        <v>457</v>
      </c>
      <c r="D54" s="1" t="s">
        <v>655</v>
      </c>
      <c r="E54" s="1">
        <v>1.8</v>
      </c>
      <c r="F54" s="1"/>
      <c r="G54" s="59">
        <v>24.650157381774054</v>
      </c>
      <c r="H54" s="19"/>
      <c r="I54" s="139">
        <f t="shared" si="2"/>
        <v>24.650157381774054</v>
      </c>
      <c r="K54"/>
    </row>
    <row r="55" spans="1:11" hidden="1" outlineLevel="2">
      <c r="A55" s="141">
        <f t="shared" si="3"/>
        <v>45901</v>
      </c>
      <c r="B55" s="1" t="s">
        <v>364</v>
      </c>
      <c r="C55" s="144" t="s">
        <v>458</v>
      </c>
      <c r="D55" s="1" t="s">
        <v>655</v>
      </c>
      <c r="E55" s="1">
        <v>451.8</v>
      </c>
      <c r="F55" s="1"/>
      <c r="G55" s="59">
        <v>15.169327619553263</v>
      </c>
      <c r="H55" s="19"/>
      <c r="I55" s="139">
        <f t="shared" si="2"/>
        <v>15.169327619553263</v>
      </c>
      <c r="K55"/>
    </row>
    <row r="56" spans="1:11" hidden="1" outlineLevel="2">
      <c r="A56" s="141">
        <f t="shared" si="3"/>
        <v>45901</v>
      </c>
      <c r="B56" s="1" t="s">
        <v>364</v>
      </c>
      <c r="C56" s="144" t="s">
        <v>459</v>
      </c>
      <c r="D56" s="1" t="s">
        <v>655</v>
      </c>
      <c r="E56" s="1">
        <v>451.8</v>
      </c>
      <c r="F56" s="1"/>
      <c r="G56" s="59">
        <v>15.169327619553263</v>
      </c>
      <c r="H56" s="19"/>
      <c r="I56" s="139">
        <f t="shared" si="2"/>
        <v>15.169327619553263</v>
      </c>
      <c r="K56"/>
    </row>
    <row r="57" spans="1:11" hidden="1" outlineLevel="2">
      <c r="A57" s="141">
        <f t="shared" si="3"/>
        <v>45901</v>
      </c>
      <c r="B57" s="1" t="s">
        <v>364</v>
      </c>
      <c r="C57" s="144" t="s">
        <v>460</v>
      </c>
      <c r="D57" s="1" t="s">
        <v>655</v>
      </c>
      <c r="E57" s="1">
        <v>451.8</v>
      </c>
      <c r="F57" s="1"/>
      <c r="G57" s="59">
        <v>15.169327619553263</v>
      </c>
      <c r="H57" s="19"/>
      <c r="I57" s="139">
        <f t="shared" si="2"/>
        <v>15.169327619553263</v>
      </c>
      <c r="K57"/>
    </row>
    <row r="58" spans="1:11" hidden="1" outlineLevel="2">
      <c r="A58" s="141">
        <f t="shared" si="3"/>
        <v>45901</v>
      </c>
      <c r="B58" s="1" t="s">
        <v>364</v>
      </c>
      <c r="C58" s="144" t="s">
        <v>461</v>
      </c>
      <c r="D58" s="1" t="s">
        <v>655</v>
      </c>
      <c r="E58" s="1">
        <v>451.8</v>
      </c>
      <c r="F58" s="1"/>
      <c r="G58" s="59">
        <v>15.169327619553263</v>
      </c>
      <c r="H58" s="19"/>
      <c r="I58" s="139">
        <f t="shared" si="2"/>
        <v>15.169327619553263</v>
      </c>
      <c r="K58"/>
    </row>
    <row r="59" spans="1:11" hidden="1" outlineLevel="2">
      <c r="A59" s="141">
        <f t="shared" si="3"/>
        <v>45901</v>
      </c>
      <c r="B59" s="1" t="s">
        <v>364</v>
      </c>
      <c r="C59" s="144" t="s">
        <v>462</v>
      </c>
      <c r="D59" s="1" t="s">
        <v>655</v>
      </c>
      <c r="E59" s="1">
        <v>451.8</v>
      </c>
      <c r="F59" s="1"/>
      <c r="G59" s="59">
        <v>15.169327619553263</v>
      </c>
      <c r="H59" s="19"/>
      <c r="I59" s="139">
        <f t="shared" si="2"/>
        <v>15.169327619553263</v>
      </c>
      <c r="K59"/>
    </row>
    <row r="60" spans="1:11" hidden="1" outlineLevel="2">
      <c r="A60" s="141">
        <f t="shared" si="3"/>
        <v>45901</v>
      </c>
      <c r="B60" s="1" t="s">
        <v>467</v>
      </c>
      <c r="C60" s="144" t="s">
        <v>463</v>
      </c>
      <c r="D60" s="1" t="s">
        <v>655</v>
      </c>
      <c r="E60" s="1">
        <v>1</v>
      </c>
      <c r="F60" s="1"/>
      <c r="G60" s="59">
        <v>42.853350525237971</v>
      </c>
      <c r="H60" s="19"/>
      <c r="I60" s="139">
        <f t="shared" si="2"/>
        <v>42.853350525237971</v>
      </c>
      <c r="K60"/>
    </row>
    <row r="61" spans="1:11" hidden="1" outlineLevel="2">
      <c r="A61" s="141">
        <f t="shared" si="3"/>
        <v>45901</v>
      </c>
      <c r="B61" s="1" t="s">
        <v>364</v>
      </c>
      <c r="C61" s="144" t="s">
        <v>464</v>
      </c>
      <c r="D61" s="1" t="s">
        <v>655</v>
      </c>
      <c r="E61" s="1">
        <v>451.8</v>
      </c>
      <c r="F61" s="1"/>
      <c r="G61" s="59">
        <v>15.169327619553263</v>
      </c>
      <c r="H61" s="19"/>
      <c r="I61" s="139">
        <f t="shared" si="2"/>
        <v>15.169327619553263</v>
      </c>
      <c r="K61"/>
    </row>
    <row r="62" spans="1:11" hidden="1" outlineLevel="2">
      <c r="A62" s="141">
        <f t="shared" si="3"/>
        <v>45901</v>
      </c>
      <c r="B62" s="1" t="s">
        <v>364</v>
      </c>
      <c r="C62" s="144" t="s">
        <v>465</v>
      </c>
      <c r="D62" s="1" t="s">
        <v>655</v>
      </c>
      <c r="E62" s="1">
        <v>451.8</v>
      </c>
      <c r="F62" s="1"/>
      <c r="G62" s="59">
        <v>15.169327619553263</v>
      </c>
      <c r="H62" s="19"/>
      <c r="I62" s="139">
        <f t="shared" si="2"/>
        <v>15.169327619553263</v>
      </c>
      <c r="K62"/>
    </row>
    <row r="63" spans="1:11" hidden="1" outlineLevel="2">
      <c r="A63" s="141">
        <f t="shared" si="3"/>
        <v>45901</v>
      </c>
      <c r="B63" s="1" t="s">
        <v>364</v>
      </c>
      <c r="C63" s="144" t="s">
        <v>466</v>
      </c>
      <c r="D63" s="1" t="s">
        <v>655</v>
      </c>
      <c r="E63" s="1">
        <v>451.8</v>
      </c>
      <c r="F63" s="1"/>
      <c r="G63" s="59">
        <v>15.169327619553263</v>
      </c>
      <c r="H63" s="19"/>
      <c r="I63" s="139">
        <f t="shared" si="2"/>
        <v>15.169327619553263</v>
      </c>
      <c r="K63"/>
    </row>
    <row r="64" spans="1:11" hidden="1" outlineLevel="2">
      <c r="A64" s="141">
        <f t="shared" si="3"/>
        <v>45901</v>
      </c>
      <c r="B64" s="1" t="s">
        <v>472</v>
      </c>
      <c r="C64" s="144" t="s">
        <v>434</v>
      </c>
      <c r="D64" s="1" t="s">
        <v>45</v>
      </c>
      <c r="E64" s="1">
        <v>1.3</v>
      </c>
      <c r="F64" s="1"/>
      <c r="G64" s="19"/>
      <c r="H64" s="59">
        <v>19.222192726307405</v>
      </c>
      <c r="I64" s="139">
        <f t="shared" si="2"/>
        <v>19.222192726307405</v>
      </c>
      <c r="K64"/>
    </row>
    <row r="65" spans="1:11" hidden="1" outlineLevel="2">
      <c r="A65" s="141">
        <f t="shared" si="3"/>
        <v>45901</v>
      </c>
      <c r="B65" s="1" t="s">
        <v>369</v>
      </c>
      <c r="C65" s="144" t="s">
        <v>436</v>
      </c>
      <c r="D65" s="1" t="s">
        <v>45</v>
      </c>
      <c r="E65" s="1">
        <v>8.1999999999999993</v>
      </c>
      <c r="F65" s="1"/>
      <c r="G65" s="19"/>
      <c r="H65" s="59">
        <v>137.74875801130116</v>
      </c>
      <c r="I65" s="139">
        <f t="shared" si="2"/>
        <v>137.74875801130116</v>
      </c>
      <c r="K65"/>
    </row>
    <row r="66" spans="1:11" hidden="1" outlineLevel="2">
      <c r="A66" s="141">
        <f t="shared" si="3"/>
        <v>45901</v>
      </c>
      <c r="B66" s="1" t="s">
        <v>369</v>
      </c>
      <c r="C66" s="144" t="s">
        <v>442</v>
      </c>
      <c r="D66" s="1" t="s">
        <v>45</v>
      </c>
      <c r="E66" s="1">
        <v>0.9</v>
      </c>
      <c r="F66" s="1"/>
      <c r="G66" s="19"/>
      <c r="H66" s="59">
        <v>41.91235920967803</v>
      </c>
      <c r="I66" s="139">
        <f t="shared" si="2"/>
        <v>41.91235920967803</v>
      </c>
      <c r="K66"/>
    </row>
    <row r="67" spans="1:11" outlineLevel="1" collapsed="1">
      <c r="A67" s="146" t="s">
        <v>890</v>
      </c>
      <c r="B67" s="1"/>
      <c r="C67" s="144"/>
      <c r="D67" s="1"/>
      <c r="E67" s="1">
        <f>SUBTOTAL(9,E30:E66)</f>
        <v>11184.799999999997</v>
      </c>
      <c r="F67" s="1">
        <f>SUBTOTAL(9,F30:F66)</f>
        <v>0</v>
      </c>
      <c r="G67" s="19">
        <f>SUBTOTAL(9,G30:G66)</f>
        <v>719.78459554780284</v>
      </c>
      <c r="H67" s="59">
        <f>SUBTOTAL(9,H30:H66)</f>
        <v>198.88330994728659</v>
      </c>
      <c r="I67" s="139">
        <f>SUBTOTAL(9,I30:I66)</f>
        <v>918.66790549508937</v>
      </c>
      <c r="K67"/>
    </row>
    <row r="68" spans="1:11" hidden="1" outlineLevel="2">
      <c r="A68" s="142">
        <v>45931</v>
      </c>
      <c r="B68" s="1" t="s">
        <v>364</v>
      </c>
      <c r="C68" s="144" t="s">
        <v>595</v>
      </c>
      <c r="D68" s="1" t="s">
        <v>655</v>
      </c>
      <c r="E68" s="1">
        <v>449.8</v>
      </c>
      <c r="F68" s="1"/>
      <c r="G68" s="59">
        <v>15.158405335758678</v>
      </c>
      <c r="H68" s="19"/>
      <c r="I68" s="139">
        <f t="shared" ref="I68:I85" si="4">SUM(F68:H68)</f>
        <v>15.158405335758678</v>
      </c>
      <c r="K68"/>
    </row>
    <row r="69" spans="1:11" hidden="1" outlineLevel="2">
      <c r="A69" s="142">
        <v>45931</v>
      </c>
      <c r="B69" s="1" t="s">
        <v>364</v>
      </c>
      <c r="C69" s="144" t="s">
        <v>596</v>
      </c>
      <c r="D69" s="1" t="s">
        <v>655</v>
      </c>
      <c r="E69" s="1">
        <v>449.8</v>
      </c>
      <c r="F69" s="1"/>
      <c r="G69" s="59">
        <v>15.158405335758678</v>
      </c>
      <c r="H69" s="19"/>
      <c r="I69" s="139">
        <f t="shared" si="4"/>
        <v>15.158405335758678</v>
      </c>
      <c r="K69"/>
    </row>
    <row r="70" spans="1:11" hidden="1" outlineLevel="2">
      <c r="A70" s="142">
        <v>45931</v>
      </c>
      <c r="B70" s="1" t="s">
        <v>364</v>
      </c>
      <c r="C70" s="144" t="s">
        <v>597</v>
      </c>
      <c r="D70" s="1" t="s">
        <v>655</v>
      </c>
      <c r="E70" s="1">
        <v>449.8</v>
      </c>
      <c r="F70" s="1"/>
      <c r="G70" s="59">
        <v>15.158405335758678</v>
      </c>
      <c r="H70" s="19"/>
      <c r="I70" s="139">
        <f t="shared" si="4"/>
        <v>15.158405335758678</v>
      </c>
      <c r="K70"/>
    </row>
    <row r="71" spans="1:11" hidden="1" outlineLevel="2">
      <c r="A71" s="142">
        <v>45931</v>
      </c>
      <c r="B71" s="1" t="s">
        <v>364</v>
      </c>
      <c r="C71" s="144" t="s">
        <v>598</v>
      </c>
      <c r="D71" s="1" t="s">
        <v>655</v>
      </c>
      <c r="E71" s="1">
        <v>439.8</v>
      </c>
      <c r="F71" s="1"/>
      <c r="G71" s="59">
        <v>15.158405335758678</v>
      </c>
      <c r="H71" s="19"/>
      <c r="I71" s="139">
        <f t="shared" si="4"/>
        <v>15.158405335758678</v>
      </c>
      <c r="K71"/>
    </row>
    <row r="72" spans="1:11" hidden="1" outlineLevel="2">
      <c r="A72" s="142">
        <v>45931</v>
      </c>
      <c r="B72" s="1" t="s">
        <v>610</v>
      </c>
      <c r="C72" s="144" t="s">
        <v>599</v>
      </c>
      <c r="D72" s="1" t="s">
        <v>655</v>
      </c>
      <c r="E72" s="1">
        <v>11.5</v>
      </c>
      <c r="F72" s="1"/>
      <c r="G72" s="59">
        <v>24.632408670607852</v>
      </c>
      <c r="H72" s="19"/>
      <c r="I72" s="139">
        <f t="shared" si="4"/>
        <v>24.632408670607852</v>
      </c>
      <c r="K72"/>
    </row>
    <row r="73" spans="1:11" hidden="1" outlineLevel="2">
      <c r="A73" s="142">
        <v>45931</v>
      </c>
      <c r="B73" s="1" t="s">
        <v>364</v>
      </c>
      <c r="C73" s="144" t="s">
        <v>600</v>
      </c>
      <c r="D73" s="1" t="s">
        <v>655</v>
      </c>
      <c r="E73" s="1">
        <v>445.8</v>
      </c>
      <c r="F73" s="1"/>
      <c r="G73" s="59">
        <v>15.158405335758678</v>
      </c>
      <c r="H73" s="19"/>
      <c r="I73" s="139">
        <f t="shared" si="4"/>
        <v>15.158405335758678</v>
      </c>
      <c r="K73"/>
    </row>
    <row r="74" spans="1:11" hidden="1" outlineLevel="2">
      <c r="A74" s="142">
        <v>45931</v>
      </c>
      <c r="B74" s="1" t="s">
        <v>364</v>
      </c>
      <c r="C74" s="144" t="s">
        <v>601</v>
      </c>
      <c r="D74" s="1" t="s">
        <v>655</v>
      </c>
      <c r="E74" s="1">
        <v>445.8</v>
      </c>
      <c r="F74" s="1"/>
      <c r="G74" s="59">
        <v>15.158405335758678</v>
      </c>
      <c r="H74" s="19"/>
      <c r="I74" s="139">
        <f t="shared" si="4"/>
        <v>15.158405335758678</v>
      </c>
      <c r="K74"/>
    </row>
    <row r="75" spans="1:11" hidden="1" outlineLevel="2">
      <c r="A75" s="142">
        <v>45931</v>
      </c>
      <c r="B75" s="1" t="s">
        <v>364</v>
      </c>
      <c r="C75" s="144" t="s">
        <v>602</v>
      </c>
      <c r="D75" s="1" t="s">
        <v>655</v>
      </c>
      <c r="E75" s="1">
        <v>445.8</v>
      </c>
      <c r="F75" s="1"/>
      <c r="G75" s="59">
        <v>15.158405335758678</v>
      </c>
      <c r="H75" s="19"/>
      <c r="I75" s="139">
        <f t="shared" si="4"/>
        <v>15.158405335758678</v>
      </c>
      <c r="K75"/>
    </row>
    <row r="76" spans="1:11" hidden="1" outlineLevel="2">
      <c r="A76" s="142">
        <v>45931</v>
      </c>
      <c r="B76" s="1" t="s">
        <v>364</v>
      </c>
      <c r="C76" s="144" t="s">
        <v>603</v>
      </c>
      <c r="D76" s="1" t="s">
        <v>655</v>
      </c>
      <c r="E76" s="1">
        <v>445.8</v>
      </c>
      <c r="F76" s="1"/>
      <c r="G76" s="59">
        <v>15.158405335758678</v>
      </c>
      <c r="H76" s="19"/>
      <c r="I76" s="139">
        <f t="shared" si="4"/>
        <v>15.158405335758678</v>
      </c>
      <c r="K76"/>
    </row>
    <row r="77" spans="1:11" hidden="1" outlineLevel="2">
      <c r="A77" s="142">
        <v>45931</v>
      </c>
      <c r="B77" s="1" t="s">
        <v>364</v>
      </c>
      <c r="C77" s="144" t="s">
        <v>604</v>
      </c>
      <c r="D77" s="1" t="s">
        <v>655</v>
      </c>
      <c r="E77" s="1">
        <v>13.6</v>
      </c>
      <c r="F77" s="1"/>
      <c r="G77" s="59">
        <v>15.158405335758678</v>
      </c>
      <c r="H77" s="19"/>
      <c r="I77" s="139">
        <f t="shared" si="4"/>
        <v>15.158405335758678</v>
      </c>
      <c r="K77"/>
    </row>
    <row r="78" spans="1:11" hidden="1" outlineLevel="2">
      <c r="A78" s="142">
        <v>45931</v>
      </c>
      <c r="B78" s="1" t="s">
        <v>611</v>
      </c>
      <c r="C78" s="144" t="s">
        <v>550</v>
      </c>
      <c r="D78" s="1" t="s">
        <v>655</v>
      </c>
      <c r="E78" s="1">
        <v>2.2000000000000002</v>
      </c>
      <c r="F78" s="1"/>
      <c r="G78" s="59">
        <v>42.822495073518269</v>
      </c>
      <c r="H78" s="19"/>
      <c r="I78" s="139">
        <f t="shared" si="4"/>
        <v>42.822495073518269</v>
      </c>
      <c r="K78"/>
    </row>
    <row r="79" spans="1:11" hidden="1" outlineLevel="2">
      <c r="A79" s="142">
        <v>45931</v>
      </c>
      <c r="B79" s="1" t="s">
        <v>364</v>
      </c>
      <c r="C79" s="144" t="s">
        <v>605</v>
      </c>
      <c r="D79" s="1" t="s">
        <v>655</v>
      </c>
      <c r="E79" s="1">
        <v>439.8</v>
      </c>
      <c r="F79" s="1"/>
      <c r="G79" s="59">
        <v>15.158405335758678</v>
      </c>
      <c r="H79" s="19"/>
      <c r="I79" s="139">
        <f t="shared" si="4"/>
        <v>15.158405335758678</v>
      </c>
      <c r="K79"/>
    </row>
    <row r="80" spans="1:11" hidden="1" outlineLevel="2">
      <c r="A80" s="142">
        <v>45931</v>
      </c>
      <c r="B80" s="1" t="s">
        <v>364</v>
      </c>
      <c r="C80" s="144" t="s">
        <v>606</v>
      </c>
      <c r="D80" s="1" t="s">
        <v>655</v>
      </c>
      <c r="E80" s="1">
        <v>111.7</v>
      </c>
      <c r="F80" s="1"/>
      <c r="G80" s="59">
        <v>15.158405335758678</v>
      </c>
      <c r="H80" s="19"/>
      <c r="I80" s="139">
        <f t="shared" si="4"/>
        <v>15.158405335758678</v>
      </c>
      <c r="K80"/>
    </row>
    <row r="81" spans="1:11" hidden="1" outlineLevel="2">
      <c r="A81" s="142">
        <v>45931</v>
      </c>
      <c r="B81" s="1" t="s">
        <v>364</v>
      </c>
      <c r="C81" s="144" t="s">
        <v>607</v>
      </c>
      <c r="D81" s="1" t="s">
        <v>655</v>
      </c>
      <c r="E81" s="1">
        <v>439.8</v>
      </c>
      <c r="F81" s="1"/>
      <c r="G81" s="59">
        <v>15.158405335758678</v>
      </c>
      <c r="H81" s="19"/>
      <c r="I81" s="139">
        <f t="shared" si="4"/>
        <v>15.158405335758678</v>
      </c>
      <c r="K81"/>
    </row>
    <row r="82" spans="1:11" hidden="1" outlineLevel="2">
      <c r="A82" s="142">
        <v>45931</v>
      </c>
      <c r="B82" s="1" t="s">
        <v>364</v>
      </c>
      <c r="C82" s="144" t="s">
        <v>608</v>
      </c>
      <c r="D82" s="1" t="s">
        <v>655</v>
      </c>
      <c r="E82" s="1">
        <v>439.8</v>
      </c>
      <c r="F82" s="1"/>
      <c r="G82" s="59">
        <v>15.158405335758678</v>
      </c>
      <c r="H82" s="19"/>
      <c r="I82" s="139">
        <f t="shared" si="4"/>
        <v>15.158405335758678</v>
      </c>
      <c r="K82"/>
    </row>
    <row r="83" spans="1:11" hidden="1" outlineLevel="2">
      <c r="A83" s="142">
        <v>45931</v>
      </c>
      <c r="B83" s="1" t="s">
        <v>364</v>
      </c>
      <c r="C83" s="144" t="s">
        <v>609</v>
      </c>
      <c r="D83" s="1" t="s">
        <v>655</v>
      </c>
      <c r="E83" s="1">
        <v>439.8</v>
      </c>
      <c r="F83" s="1"/>
      <c r="G83" s="59">
        <v>15.158405335758678</v>
      </c>
      <c r="H83" s="19"/>
      <c r="I83" s="139">
        <f t="shared" si="4"/>
        <v>15.158405335758678</v>
      </c>
      <c r="K83"/>
    </row>
    <row r="84" spans="1:11" hidden="1" outlineLevel="2">
      <c r="A84" s="142">
        <v>45931</v>
      </c>
      <c r="B84" s="1" t="s">
        <v>612</v>
      </c>
      <c r="C84" s="144" t="s">
        <v>551</v>
      </c>
      <c r="D84" s="1" t="s">
        <v>655</v>
      </c>
      <c r="E84" s="1">
        <v>5</v>
      </c>
      <c r="F84" s="1"/>
      <c r="G84" s="59">
        <v>42.822495073518269</v>
      </c>
      <c r="H84" s="19"/>
      <c r="I84" s="139">
        <f t="shared" si="4"/>
        <v>42.822495073518269</v>
      </c>
      <c r="K84"/>
    </row>
    <row r="85" spans="1:11" hidden="1" outlineLevel="2">
      <c r="A85" s="142">
        <v>45931</v>
      </c>
      <c r="B85" s="1" t="s">
        <v>613</v>
      </c>
      <c r="C85" s="144" t="s">
        <v>552</v>
      </c>
      <c r="D85" s="1" t="s">
        <v>655</v>
      </c>
      <c r="E85" s="1">
        <v>1</v>
      </c>
      <c r="F85" s="1"/>
      <c r="G85" s="59">
        <v>24.632408670607852</v>
      </c>
      <c r="H85" s="19"/>
      <c r="I85" s="139">
        <f t="shared" si="4"/>
        <v>24.632408670607852</v>
      </c>
      <c r="K85"/>
    </row>
    <row r="86" spans="1:11" outlineLevel="1" collapsed="1">
      <c r="A86" s="147" t="s">
        <v>891</v>
      </c>
      <c r="B86" s="1"/>
      <c r="C86" s="144"/>
      <c r="D86" s="1"/>
      <c r="E86" s="1">
        <f>SUBTOTAL(9,E68:E85)</f>
        <v>5476.6000000000013</v>
      </c>
      <c r="F86" s="1">
        <f>SUBTOTAL(9,F68:F85)</f>
        <v>0</v>
      </c>
      <c r="G86" s="59">
        <f>SUBTOTAL(9,G68:G85)</f>
        <v>347.12748218887378</v>
      </c>
      <c r="H86" s="19">
        <f>SUBTOTAL(9,H68:H85)</f>
        <v>0</v>
      </c>
      <c r="I86" s="139">
        <f>SUBTOTAL(9,I68:I85)</f>
        <v>347.12748218887378</v>
      </c>
      <c r="K86"/>
    </row>
    <row r="87" spans="1:11" hidden="1" outlineLevel="2">
      <c r="A87" s="142">
        <v>45962</v>
      </c>
      <c r="B87" s="1" t="s">
        <v>364</v>
      </c>
      <c r="C87" s="144" t="s">
        <v>738</v>
      </c>
      <c r="D87" s="1" t="s">
        <v>655</v>
      </c>
      <c r="E87" s="1">
        <v>445.8</v>
      </c>
      <c r="F87" s="1"/>
      <c r="G87" s="59">
        <v>15.146351622552917</v>
      </c>
      <c r="H87" s="19"/>
      <c r="I87" s="139">
        <f t="shared" ref="I87:I105" si="5">SUM(F87:H87)</f>
        <v>15.146351622552917</v>
      </c>
      <c r="K87"/>
    </row>
    <row r="88" spans="1:11" hidden="1" outlineLevel="2">
      <c r="A88" s="142">
        <v>45962</v>
      </c>
      <c r="B88" s="1" t="s">
        <v>364</v>
      </c>
      <c r="C88" s="144" t="s">
        <v>739</v>
      </c>
      <c r="D88" s="1" t="s">
        <v>655</v>
      </c>
      <c r="E88" s="1">
        <v>445.8</v>
      </c>
      <c r="F88" s="1"/>
      <c r="G88" s="59">
        <v>15.146351622552917</v>
      </c>
      <c r="H88" s="19"/>
      <c r="I88" s="139">
        <f t="shared" si="5"/>
        <v>15.146351622552917</v>
      </c>
      <c r="K88"/>
    </row>
    <row r="89" spans="1:11" hidden="1" outlineLevel="2">
      <c r="A89" s="142">
        <v>45962</v>
      </c>
      <c r="B89" s="1" t="s">
        <v>364</v>
      </c>
      <c r="C89" s="144" t="s">
        <v>740</v>
      </c>
      <c r="D89" s="1" t="s">
        <v>655</v>
      </c>
      <c r="E89" s="1">
        <v>445.8</v>
      </c>
      <c r="F89" s="1"/>
      <c r="G89" s="59">
        <v>15.146351622552917</v>
      </c>
      <c r="H89" s="19"/>
      <c r="I89" s="139">
        <f t="shared" si="5"/>
        <v>15.146351622552917</v>
      </c>
      <c r="K89"/>
    </row>
    <row r="90" spans="1:11" hidden="1" outlineLevel="2">
      <c r="A90" s="142">
        <v>45962</v>
      </c>
      <c r="B90" s="1" t="s">
        <v>364</v>
      </c>
      <c r="C90" s="144" t="s">
        <v>741</v>
      </c>
      <c r="D90" s="1" t="s">
        <v>655</v>
      </c>
      <c r="E90" s="1">
        <v>445.8</v>
      </c>
      <c r="F90" s="1"/>
      <c r="G90" s="59">
        <v>15.146351622552917</v>
      </c>
      <c r="H90" s="19"/>
      <c r="I90" s="139">
        <f t="shared" si="5"/>
        <v>15.146351622552917</v>
      </c>
      <c r="K90"/>
    </row>
    <row r="91" spans="1:11" hidden="1" outlineLevel="2">
      <c r="A91" s="142">
        <v>45962</v>
      </c>
      <c r="B91" s="1" t="s">
        <v>364</v>
      </c>
      <c r="C91" s="144" t="s">
        <v>742</v>
      </c>
      <c r="D91" s="1" t="s">
        <v>655</v>
      </c>
      <c r="E91" s="1">
        <v>445.8</v>
      </c>
      <c r="F91" s="1"/>
      <c r="G91" s="59">
        <v>15.146351622552917</v>
      </c>
      <c r="H91" s="19"/>
      <c r="I91" s="139">
        <f t="shared" si="5"/>
        <v>15.146351622552917</v>
      </c>
      <c r="K91"/>
    </row>
    <row r="92" spans="1:11" hidden="1" outlineLevel="2">
      <c r="A92" s="142">
        <v>45962</v>
      </c>
      <c r="B92" s="1" t="s">
        <v>364</v>
      </c>
      <c r="C92" s="144" t="s">
        <v>743</v>
      </c>
      <c r="D92" s="1" t="s">
        <v>655</v>
      </c>
      <c r="E92" s="1">
        <v>451.8</v>
      </c>
      <c r="F92" s="1"/>
      <c r="G92" s="59">
        <v>15.146351622552917</v>
      </c>
      <c r="H92" s="19"/>
      <c r="I92" s="139">
        <f t="shared" si="5"/>
        <v>15.146351622552917</v>
      </c>
      <c r="K92"/>
    </row>
    <row r="93" spans="1:11" hidden="1" outlineLevel="2">
      <c r="A93" s="142">
        <v>45962</v>
      </c>
      <c r="B93" s="1" t="s">
        <v>364</v>
      </c>
      <c r="C93" s="144" t="s">
        <v>744</v>
      </c>
      <c r="D93" s="1" t="s">
        <v>655</v>
      </c>
      <c r="E93" s="1">
        <v>451.8</v>
      </c>
      <c r="F93" s="1"/>
      <c r="G93" s="59">
        <v>15.146351622552917</v>
      </c>
      <c r="H93" s="19"/>
      <c r="I93" s="139">
        <f t="shared" si="5"/>
        <v>15.146351622552917</v>
      </c>
      <c r="K93"/>
    </row>
    <row r="94" spans="1:11" hidden="1" outlineLevel="2">
      <c r="A94" s="142">
        <v>45962</v>
      </c>
      <c r="B94" s="1" t="s">
        <v>364</v>
      </c>
      <c r="C94" s="144" t="s">
        <v>745</v>
      </c>
      <c r="D94" s="1" t="s">
        <v>655</v>
      </c>
      <c r="E94" s="1">
        <v>451.8</v>
      </c>
      <c r="F94" s="1"/>
      <c r="G94" s="59">
        <v>15.146351622552917</v>
      </c>
      <c r="H94" s="19"/>
      <c r="I94" s="139">
        <f t="shared" si="5"/>
        <v>15.146351622552917</v>
      </c>
      <c r="K94"/>
    </row>
    <row r="95" spans="1:11" hidden="1" outlineLevel="2">
      <c r="A95" s="142">
        <v>45962</v>
      </c>
      <c r="B95" s="1" t="s">
        <v>365</v>
      </c>
      <c r="C95" s="144" t="s">
        <v>746</v>
      </c>
      <c r="D95" s="1" t="s">
        <v>655</v>
      </c>
      <c r="E95" s="1">
        <v>0.7</v>
      </c>
      <c r="F95" s="1"/>
      <c r="G95" s="59">
        <v>42.788443333711989</v>
      </c>
      <c r="H95" s="19"/>
      <c r="I95" s="139">
        <f t="shared" si="5"/>
        <v>42.788443333711989</v>
      </c>
      <c r="K95"/>
    </row>
    <row r="96" spans="1:11" hidden="1" outlineLevel="2">
      <c r="A96" s="142">
        <v>45962</v>
      </c>
      <c r="B96" s="1" t="s">
        <v>75</v>
      </c>
      <c r="C96" s="144" t="s">
        <v>747</v>
      </c>
      <c r="D96" s="1" t="s">
        <v>655</v>
      </c>
      <c r="E96" s="1">
        <v>12</v>
      </c>
      <c r="F96" s="1"/>
      <c r="G96" s="59">
        <v>15.146351622552917</v>
      </c>
      <c r="H96" s="19"/>
      <c r="I96" s="139">
        <f t="shared" si="5"/>
        <v>15.146351622552917</v>
      </c>
      <c r="K96"/>
    </row>
    <row r="97" spans="1:11" hidden="1" outlineLevel="2">
      <c r="A97" s="142">
        <v>45962</v>
      </c>
      <c r="B97" s="1" t="s">
        <v>364</v>
      </c>
      <c r="C97" s="144" t="s">
        <v>748</v>
      </c>
      <c r="D97" s="1" t="s">
        <v>655</v>
      </c>
      <c r="E97" s="1">
        <v>440.8</v>
      </c>
      <c r="F97" s="1"/>
      <c r="G97" s="59">
        <v>15.146351622552917</v>
      </c>
      <c r="H97" s="19"/>
      <c r="I97" s="139">
        <f t="shared" si="5"/>
        <v>15.146351622552917</v>
      </c>
      <c r="K97"/>
    </row>
    <row r="98" spans="1:11" hidden="1" outlineLevel="2">
      <c r="A98" s="142">
        <v>45962</v>
      </c>
      <c r="B98" s="1" t="s">
        <v>364</v>
      </c>
      <c r="C98" s="144" t="s">
        <v>749</v>
      </c>
      <c r="D98" s="1" t="s">
        <v>655</v>
      </c>
      <c r="E98" s="1">
        <v>440.8</v>
      </c>
      <c r="F98" s="1"/>
      <c r="G98" s="59">
        <v>15.146351622552917</v>
      </c>
      <c r="H98" s="19"/>
      <c r="I98" s="139">
        <f t="shared" si="5"/>
        <v>15.146351622552917</v>
      </c>
      <c r="K98"/>
    </row>
    <row r="99" spans="1:11" hidden="1" outlineLevel="2">
      <c r="A99" s="142">
        <v>45962</v>
      </c>
      <c r="B99" s="1" t="s">
        <v>364</v>
      </c>
      <c r="C99" s="144" t="s">
        <v>750</v>
      </c>
      <c r="D99" s="1" t="s">
        <v>655</v>
      </c>
      <c r="E99" s="1">
        <v>440.8</v>
      </c>
      <c r="F99" s="1"/>
      <c r="G99" s="59">
        <v>15.146351622552917</v>
      </c>
      <c r="H99" s="19"/>
      <c r="I99" s="139">
        <f t="shared" si="5"/>
        <v>15.146351622552917</v>
      </c>
      <c r="K99"/>
    </row>
    <row r="100" spans="1:11" hidden="1" outlineLevel="2">
      <c r="A100" s="142">
        <v>45962</v>
      </c>
      <c r="B100" s="1" t="s">
        <v>364</v>
      </c>
      <c r="C100" s="144" t="s">
        <v>751</v>
      </c>
      <c r="D100" s="1" t="s">
        <v>655</v>
      </c>
      <c r="E100" s="1">
        <v>439.8</v>
      </c>
      <c r="F100" s="1"/>
      <c r="G100" s="59">
        <v>15.146351622552917</v>
      </c>
      <c r="H100" s="19"/>
      <c r="I100" s="139">
        <f t="shared" si="5"/>
        <v>15.146351622552917</v>
      </c>
      <c r="K100"/>
    </row>
    <row r="101" spans="1:11" hidden="1" outlineLevel="2">
      <c r="A101" s="142">
        <v>45962</v>
      </c>
      <c r="B101" s="1" t="s">
        <v>364</v>
      </c>
      <c r="C101" s="144" t="s">
        <v>752</v>
      </c>
      <c r="D101" s="1" t="s">
        <v>655</v>
      </c>
      <c r="E101" s="1">
        <v>439.8</v>
      </c>
      <c r="F101" s="1"/>
      <c r="G101" s="59">
        <v>15.146351622552917</v>
      </c>
      <c r="H101" s="19"/>
      <c r="I101" s="139">
        <f t="shared" si="5"/>
        <v>15.146351622552917</v>
      </c>
      <c r="K101"/>
    </row>
    <row r="102" spans="1:11" hidden="1" outlineLevel="2">
      <c r="A102" s="142">
        <v>45962</v>
      </c>
      <c r="B102" s="1" t="s">
        <v>364</v>
      </c>
      <c r="C102" s="144" t="s">
        <v>753</v>
      </c>
      <c r="D102" s="1" t="s">
        <v>655</v>
      </c>
      <c r="E102" s="1">
        <v>439.8</v>
      </c>
      <c r="F102" s="1"/>
      <c r="G102" s="59">
        <v>15.146351622552917</v>
      </c>
      <c r="H102" s="19"/>
      <c r="I102" s="139">
        <f t="shared" si="5"/>
        <v>15.146351622552917</v>
      </c>
      <c r="K102"/>
    </row>
    <row r="103" spans="1:11" hidden="1" outlineLevel="2">
      <c r="A103" s="142">
        <v>45962</v>
      </c>
      <c r="B103" s="1" t="s">
        <v>467</v>
      </c>
      <c r="C103" s="144" t="s">
        <v>754</v>
      </c>
      <c r="D103" s="1" t="s">
        <v>655</v>
      </c>
      <c r="E103" s="1">
        <v>0.9</v>
      </c>
      <c r="F103" s="1"/>
      <c r="G103" s="59">
        <v>42.788443333711989</v>
      </c>
      <c r="H103" s="19"/>
      <c r="I103" s="139">
        <f t="shared" si="5"/>
        <v>42.788443333711989</v>
      </c>
      <c r="K103"/>
    </row>
    <row r="104" spans="1:11" hidden="1" outlineLevel="2">
      <c r="A104" s="142">
        <v>45962</v>
      </c>
      <c r="B104" s="1" t="s">
        <v>365</v>
      </c>
      <c r="C104" s="144" t="s">
        <v>755</v>
      </c>
      <c r="D104" s="1" t="s">
        <v>655</v>
      </c>
      <c r="E104" s="1">
        <v>6.2</v>
      </c>
      <c r="F104" s="1"/>
      <c r="G104" s="59">
        <v>15.146351622552917</v>
      </c>
      <c r="H104" s="59">
        <v>83.395927081676703</v>
      </c>
      <c r="I104" s="139">
        <f t="shared" si="5"/>
        <v>98.542278704229616</v>
      </c>
      <c r="K104"/>
    </row>
    <row r="105" spans="1:11" hidden="1" outlineLevel="2">
      <c r="A105" s="142">
        <v>45962</v>
      </c>
      <c r="B105" s="1" t="s">
        <v>75</v>
      </c>
      <c r="C105" s="144" t="s">
        <v>756</v>
      </c>
      <c r="D105" s="1" t="s">
        <v>655</v>
      </c>
      <c r="E105" s="1">
        <v>10.7</v>
      </c>
      <c r="F105" s="1"/>
      <c r="G105" s="59">
        <v>15.146351622552917</v>
      </c>
      <c r="H105" s="19"/>
      <c r="I105" s="139">
        <f t="shared" si="5"/>
        <v>15.146351622552917</v>
      </c>
      <c r="K105"/>
    </row>
    <row r="106" spans="1:11" outlineLevel="1" collapsed="1">
      <c r="A106" s="147" t="s">
        <v>892</v>
      </c>
      <c r="B106" s="1"/>
      <c r="C106" s="144"/>
      <c r="D106" s="1"/>
      <c r="E106" s="1">
        <f>SUBTOTAL(9,E87:E105)</f>
        <v>6256.7000000000007</v>
      </c>
      <c r="F106" s="1">
        <f>SUBTOTAL(9,F87:F105)</f>
        <v>0</v>
      </c>
      <c r="G106" s="59">
        <f>SUBTOTAL(9,G87:G105)</f>
        <v>343.06486425082352</v>
      </c>
      <c r="H106" s="19">
        <f>SUBTOTAL(9,H87:H105)</f>
        <v>83.395927081676703</v>
      </c>
      <c r="I106" s="139">
        <f>SUBTOTAL(9,I87:I105)</f>
        <v>426.46079133250021</v>
      </c>
      <c r="K106"/>
    </row>
    <row r="107" spans="1:11" hidden="1" outlineLevel="2">
      <c r="A107" s="142">
        <v>45992</v>
      </c>
      <c r="B107" s="1" t="s">
        <v>1014</v>
      </c>
      <c r="C107" s="144" t="s">
        <v>1013</v>
      </c>
      <c r="D107" s="1" t="str">
        <f>VLOOKUP(RIGHT(C107,8),'[6]Export shipment'!B$8:J$1256,9,0)</f>
        <v>FedEx</v>
      </c>
      <c r="E107" s="1">
        <f>VLOOKUP(RIGHT(C107,8),'[6]Export shipment'!B$8:E$1256,4,0)</f>
        <v>0.2</v>
      </c>
      <c r="F107" s="59">
        <v>18.195602729340408</v>
      </c>
      <c r="G107" s="59">
        <v>24.639878695981803</v>
      </c>
      <c r="H107" s="19"/>
      <c r="I107" s="139">
        <f t="shared" ref="I107:I126" si="6">SUM(F107:H107)</f>
        <v>42.835481425322214</v>
      </c>
      <c r="K107"/>
    </row>
    <row r="108" spans="1:11" hidden="1" outlineLevel="2">
      <c r="A108" s="142">
        <v>45992</v>
      </c>
      <c r="B108" s="1" t="s">
        <v>1016</v>
      </c>
      <c r="C108" s="144" t="s">
        <v>1015</v>
      </c>
      <c r="D108" s="1" t="str">
        <f>VLOOKUP(RIGHT(C108,8),'[6]Export shipment'!B$8:J$1256,9,0)</f>
        <v>FedEx</v>
      </c>
      <c r="E108" s="1">
        <f>VLOOKUP(RIGHT(C108,8),'[6]Export shipment'!B$8:E$1256,4,0)</f>
        <v>2.8</v>
      </c>
      <c r="F108" s="59">
        <v>18.195602729340408</v>
      </c>
      <c r="G108" s="59">
        <v>24.639878695981803</v>
      </c>
      <c r="H108" s="19"/>
      <c r="I108" s="139">
        <f t="shared" si="6"/>
        <v>42.835481425322214</v>
      </c>
      <c r="K108"/>
    </row>
    <row r="109" spans="1:11" hidden="1" outlineLevel="2">
      <c r="A109" s="142">
        <v>45992</v>
      </c>
      <c r="B109" s="1" t="s">
        <v>1030</v>
      </c>
      <c r="C109" s="144" t="s">
        <v>1029</v>
      </c>
      <c r="D109" s="1" t="str">
        <f>VLOOKUP(RIGHT(C109,8),'[6]Export shipment'!B$8:J$1256,9,0)</f>
        <v>FedEx</v>
      </c>
      <c r="E109" s="1">
        <f>VLOOKUP(RIGHT(C109,8),'[6]Export shipment'!B$8:E$1256,4,0)</f>
        <v>284.40000000000003</v>
      </c>
      <c r="F109" s="59">
        <v>0</v>
      </c>
      <c r="G109" s="59">
        <v>15.16300227445034</v>
      </c>
      <c r="H109" s="19"/>
      <c r="I109" s="139">
        <f t="shared" si="6"/>
        <v>15.16300227445034</v>
      </c>
      <c r="K109"/>
    </row>
    <row r="110" spans="1:11" hidden="1" outlineLevel="2">
      <c r="A110" s="142">
        <v>45992</v>
      </c>
      <c r="B110" s="1" t="s">
        <v>1030</v>
      </c>
      <c r="C110" s="144" t="s">
        <v>1031</v>
      </c>
      <c r="D110" s="1" t="str">
        <f>VLOOKUP(RIGHT(C110,8),'[6]Export shipment'!B$8:J$1256,9,0)</f>
        <v>FedEx</v>
      </c>
      <c r="E110" s="1">
        <f>VLOOKUP(RIGHT(C110,8),'[6]Export shipment'!B$8:E$1256,4,0)</f>
        <v>284.40000000000003</v>
      </c>
      <c r="F110" s="59">
        <v>0</v>
      </c>
      <c r="G110" s="59">
        <v>15.16300227445034</v>
      </c>
      <c r="H110" s="19"/>
      <c r="I110" s="139">
        <f t="shared" si="6"/>
        <v>15.16300227445034</v>
      </c>
      <c r="K110"/>
    </row>
    <row r="111" spans="1:11" hidden="1" outlineLevel="2">
      <c r="A111" s="142">
        <v>45992</v>
      </c>
      <c r="B111" s="1" t="s">
        <v>1033</v>
      </c>
      <c r="C111" s="144" t="s">
        <v>1032</v>
      </c>
      <c r="D111" s="1" t="str">
        <f>VLOOKUP(RIGHT(C111,8),'[6]Export shipment'!B$8:J$1256,9,0)</f>
        <v>FedEx</v>
      </c>
      <c r="E111" s="1">
        <f>VLOOKUP(RIGHT(C111,8),'[6]Export shipment'!B$8:E$1256,4,0)</f>
        <v>284.40000000000003</v>
      </c>
      <c r="F111" s="59">
        <v>0</v>
      </c>
      <c r="G111" s="59">
        <v>15.16300227445034</v>
      </c>
      <c r="H111" s="19"/>
      <c r="I111" s="139">
        <f t="shared" si="6"/>
        <v>15.16300227445034</v>
      </c>
      <c r="K111"/>
    </row>
    <row r="112" spans="1:11" hidden="1" outlineLevel="2">
      <c r="A112" s="142">
        <v>45992</v>
      </c>
      <c r="B112" s="1" t="s">
        <v>1036</v>
      </c>
      <c r="C112" s="144" t="s">
        <v>1035</v>
      </c>
      <c r="D112" s="1" t="str">
        <f>VLOOKUP(RIGHT(C112,8),'[6]Export shipment'!B$8:J$1256,9,0)</f>
        <v>FedEx</v>
      </c>
      <c r="E112" s="1">
        <f>VLOOKUP(RIGHT(C112,8),'[6]Export shipment'!B$8:E$1256,4,0)</f>
        <v>284.40000000000003</v>
      </c>
      <c r="F112" s="59">
        <v>0</v>
      </c>
      <c r="G112" s="59">
        <v>15.16300227445034</v>
      </c>
      <c r="H112" s="19"/>
      <c r="I112" s="139">
        <f t="shared" si="6"/>
        <v>15.16300227445034</v>
      </c>
      <c r="K112"/>
    </row>
    <row r="113" spans="1:11" hidden="1" outlineLevel="2">
      <c r="A113" s="142">
        <v>45992</v>
      </c>
      <c r="B113" s="1" t="s">
        <v>1030</v>
      </c>
      <c r="C113" s="144" t="s">
        <v>1039</v>
      </c>
      <c r="D113" s="1" t="str">
        <f>VLOOKUP(RIGHT(C113,8),'[6]Export shipment'!B$8:J$1256,9,0)</f>
        <v>FedEx</v>
      </c>
      <c r="E113" s="1">
        <f>VLOOKUP(RIGHT(C113,8),'[6]Export shipment'!B$8:E$1256,4,0)</f>
        <v>173.4</v>
      </c>
      <c r="F113" s="59">
        <v>0</v>
      </c>
      <c r="G113" s="59">
        <v>15.16300227445034</v>
      </c>
      <c r="H113" s="19"/>
      <c r="I113" s="139">
        <f t="shared" si="6"/>
        <v>15.16300227445034</v>
      </c>
      <c r="K113"/>
    </row>
    <row r="114" spans="1:11" hidden="1" outlineLevel="2">
      <c r="A114" s="142">
        <v>45992</v>
      </c>
      <c r="B114" s="1" t="s">
        <v>1036</v>
      </c>
      <c r="C114" s="144" t="s">
        <v>1041</v>
      </c>
      <c r="D114" s="1" t="str">
        <f>VLOOKUP(RIGHT(C114,8),'[6]Export shipment'!B$8:J$1256,9,0)</f>
        <v>FedEx</v>
      </c>
      <c r="E114" s="1">
        <f>VLOOKUP(RIGHT(C114,8),'[6]Export shipment'!B$8:E$1256,4,0)</f>
        <v>173.4</v>
      </c>
      <c r="F114" s="59">
        <v>0</v>
      </c>
      <c r="G114" s="59">
        <v>15.16300227445034</v>
      </c>
      <c r="H114" s="19"/>
      <c r="I114" s="139">
        <f t="shared" si="6"/>
        <v>15.16300227445034</v>
      </c>
      <c r="K114"/>
    </row>
    <row r="115" spans="1:11" hidden="1" outlineLevel="2">
      <c r="A115" s="142">
        <v>45992</v>
      </c>
      <c r="B115" s="1" t="s">
        <v>1036</v>
      </c>
      <c r="C115" s="144" t="s">
        <v>1043</v>
      </c>
      <c r="D115" s="1" t="str">
        <f>VLOOKUP(RIGHT(C115,8),'[6]Export shipment'!B$8:J$1256,9,0)</f>
        <v>FedEx</v>
      </c>
      <c r="E115" s="1">
        <f>VLOOKUP(RIGHT(C115,8),'[6]Export shipment'!B$8:E$1256,4,0)</f>
        <v>173.4</v>
      </c>
      <c r="F115" s="59">
        <v>0</v>
      </c>
      <c r="G115" s="59">
        <v>15.16300227445034</v>
      </c>
      <c r="H115" s="19"/>
      <c r="I115" s="139">
        <f t="shared" si="6"/>
        <v>15.16300227445034</v>
      </c>
      <c r="K115"/>
    </row>
    <row r="116" spans="1:11" hidden="1" outlineLevel="2">
      <c r="A116" s="142">
        <v>45992</v>
      </c>
      <c r="B116" s="1" t="s">
        <v>1033</v>
      </c>
      <c r="C116" s="144" t="s">
        <v>1047</v>
      </c>
      <c r="D116" s="1" t="str">
        <f>VLOOKUP(RIGHT(C116,8),'[6]Export shipment'!B$8:J$1256,9,0)</f>
        <v>FedEx</v>
      </c>
      <c r="E116" s="1">
        <f>VLOOKUP(RIGHT(C116,8),'[6]Export shipment'!B$8:E$1256,4,0)</f>
        <v>173.4</v>
      </c>
      <c r="F116" s="59">
        <v>0</v>
      </c>
      <c r="G116" s="59">
        <v>15.16300227445034</v>
      </c>
      <c r="H116" s="19"/>
      <c r="I116" s="139">
        <f t="shared" si="6"/>
        <v>15.16300227445034</v>
      </c>
      <c r="K116"/>
    </row>
    <row r="117" spans="1:11" hidden="1" outlineLevel="2">
      <c r="A117" s="142">
        <v>45992</v>
      </c>
      <c r="B117" s="1" t="s">
        <v>1030</v>
      </c>
      <c r="C117" s="144" t="s">
        <v>1048</v>
      </c>
      <c r="D117" s="1" t="str">
        <f>VLOOKUP(RIGHT(C117,8),'[6]Export shipment'!B$8:J$1256,9,0)</f>
        <v>FedEx</v>
      </c>
      <c r="E117" s="1">
        <f>VLOOKUP(RIGHT(C117,8),'[6]Export shipment'!B$8:E$1256,4,0)</f>
        <v>173.4</v>
      </c>
      <c r="F117" s="59">
        <v>0</v>
      </c>
      <c r="G117" s="59">
        <v>15.16300227445034</v>
      </c>
      <c r="H117" s="19"/>
      <c r="I117" s="139">
        <f t="shared" si="6"/>
        <v>15.16300227445034</v>
      </c>
      <c r="K117"/>
    </row>
    <row r="118" spans="1:11" hidden="1" outlineLevel="2">
      <c r="A118" s="142">
        <v>45992</v>
      </c>
      <c r="B118" s="1" t="s">
        <v>1033</v>
      </c>
      <c r="C118" s="144" t="s">
        <v>1049</v>
      </c>
      <c r="D118" s="1" t="str">
        <f>VLOOKUP(RIGHT(C118,8),'[6]Export shipment'!B$8:J$1256,9,0)</f>
        <v>FedEx</v>
      </c>
      <c r="E118" s="1">
        <f>VLOOKUP(RIGHT(C118,8),'[6]Export shipment'!B$8:E$1256,4,0)</f>
        <v>173.4</v>
      </c>
      <c r="F118" s="59">
        <v>0</v>
      </c>
      <c r="G118" s="59">
        <v>15.16300227445034</v>
      </c>
      <c r="H118" s="19"/>
      <c r="I118" s="139">
        <f t="shared" si="6"/>
        <v>15.16300227445034</v>
      </c>
      <c r="K118"/>
    </row>
    <row r="119" spans="1:11" hidden="1" outlineLevel="2">
      <c r="A119" s="142">
        <v>45992</v>
      </c>
      <c r="B119" s="1" t="s">
        <v>1030</v>
      </c>
      <c r="C119" s="144" t="s">
        <v>1069</v>
      </c>
      <c r="D119" s="1" t="str">
        <f>VLOOKUP(RIGHT(C119,8),'[6]Export shipment'!B$8:J$1256,9,0)</f>
        <v>FedEx</v>
      </c>
      <c r="E119" s="1">
        <f>VLOOKUP(RIGHT(C119,8),'[6]Export shipment'!B$8:E$1256,4,0)</f>
        <v>445.8</v>
      </c>
      <c r="F119" s="59">
        <v>0</v>
      </c>
      <c r="G119" s="59">
        <v>15.16300227445034</v>
      </c>
      <c r="H119" s="19"/>
      <c r="I119" s="139">
        <f t="shared" si="6"/>
        <v>15.16300227445034</v>
      </c>
      <c r="K119"/>
    </row>
    <row r="120" spans="1:11" hidden="1" outlineLevel="2">
      <c r="A120" s="142">
        <v>45992</v>
      </c>
      <c r="B120" s="1" t="s">
        <v>1033</v>
      </c>
      <c r="C120" s="144" t="s">
        <v>1073</v>
      </c>
      <c r="D120" s="1" t="str">
        <f>VLOOKUP(RIGHT(C120,8),'[6]Export shipment'!B$8:J$1256,9,0)</f>
        <v>FedEx</v>
      </c>
      <c r="E120" s="1">
        <f>VLOOKUP(RIGHT(C120,8),'[6]Export shipment'!B$8:E$1256,4,0)</f>
        <v>439.8</v>
      </c>
      <c r="F120" s="59">
        <v>0</v>
      </c>
      <c r="G120" s="59">
        <v>15.16300227445034</v>
      </c>
      <c r="H120" s="19"/>
      <c r="I120" s="139">
        <f t="shared" si="6"/>
        <v>15.16300227445034</v>
      </c>
      <c r="K120"/>
    </row>
    <row r="121" spans="1:11" hidden="1" outlineLevel="2">
      <c r="A121" s="142">
        <v>45992</v>
      </c>
      <c r="B121" s="1" t="s">
        <v>1082</v>
      </c>
      <c r="C121" s="144" t="s">
        <v>1081</v>
      </c>
      <c r="D121" s="1" t="str">
        <f>VLOOKUP(RIGHT(C121,8),'[6]Export shipment'!B$8:J$1256,9,0)</f>
        <v>FedEx</v>
      </c>
      <c r="E121" s="1">
        <f>VLOOKUP(RIGHT(C121,8),'[6]Export shipment'!B$8:E$1256,4,0)</f>
        <v>1.9</v>
      </c>
      <c r="F121" s="59">
        <v>18.195602729340408</v>
      </c>
      <c r="G121" s="59">
        <v>24.639878695981803</v>
      </c>
      <c r="H121" s="19"/>
      <c r="I121" s="139">
        <f t="shared" si="6"/>
        <v>42.835481425322214</v>
      </c>
      <c r="K121"/>
    </row>
    <row r="122" spans="1:11" hidden="1" outlineLevel="2">
      <c r="A122" s="142">
        <v>45992</v>
      </c>
      <c r="B122" s="1" t="s">
        <v>110</v>
      </c>
      <c r="C122" s="144" t="s">
        <v>1088</v>
      </c>
      <c r="D122" s="1" t="str">
        <f>VLOOKUP(RIGHT(C122,8),'[6]Export shipment'!B$8:J$1256,9,0)</f>
        <v>FedEx</v>
      </c>
      <c r="E122" s="1">
        <f>VLOOKUP(RIGHT(C122,8),'[6]Export shipment'!B$8:E$1256,4,0)</f>
        <v>4.2</v>
      </c>
      <c r="F122" s="59">
        <v>18.195602729340408</v>
      </c>
      <c r="G122" s="59">
        <v>24.639878695981803</v>
      </c>
      <c r="H122" s="19"/>
      <c r="I122" s="139">
        <f t="shared" si="6"/>
        <v>42.835481425322214</v>
      </c>
      <c r="K122"/>
    </row>
    <row r="123" spans="1:11" hidden="1" outlineLevel="2">
      <c r="A123" s="142">
        <v>45992</v>
      </c>
      <c r="B123" s="1" t="s">
        <v>1030</v>
      </c>
      <c r="C123" s="144" t="s">
        <v>1096</v>
      </c>
      <c r="D123" s="1" t="str">
        <f>VLOOKUP(RIGHT(C123,8),'[6]Export shipment'!B$8:J$1256,9,0)</f>
        <v>FedEx</v>
      </c>
      <c r="E123" s="1">
        <f>VLOOKUP(RIGHT(C123,8),'[6]Export shipment'!B$8:E$1256,4,0)</f>
        <v>439.8</v>
      </c>
      <c r="F123" s="59">
        <v>0</v>
      </c>
      <c r="G123" s="59">
        <v>15.16300227445034</v>
      </c>
      <c r="H123" s="19"/>
      <c r="I123" s="139">
        <f t="shared" si="6"/>
        <v>15.16300227445034</v>
      </c>
      <c r="K123"/>
    </row>
    <row r="124" spans="1:11" hidden="1" outlineLevel="2">
      <c r="A124" s="142">
        <v>45992</v>
      </c>
      <c r="B124" s="1" t="s">
        <v>1033</v>
      </c>
      <c r="C124" s="144" t="s">
        <v>1098</v>
      </c>
      <c r="D124" s="1" t="str">
        <f>VLOOKUP(RIGHT(C124,8),'[6]Export shipment'!B$8:J$1256,9,0)</f>
        <v>FedEx</v>
      </c>
      <c r="E124" s="1">
        <f>VLOOKUP(RIGHT(C124,8),'[6]Export shipment'!B$8:E$1256,4,0)</f>
        <v>439.8</v>
      </c>
      <c r="F124" s="59">
        <v>0</v>
      </c>
      <c r="G124" s="59">
        <v>15.16300227445034</v>
      </c>
      <c r="H124" s="19"/>
      <c r="I124" s="139">
        <f t="shared" si="6"/>
        <v>15.16300227445034</v>
      </c>
      <c r="K124"/>
    </row>
    <row r="125" spans="1:11" hidden="1" outlineLevel="2">
      <c r="A125" s="142">
        <v>45992</v>
      </c>
      <c r="B125" s="1" t="s">
        <v>319</v>
      </c>
      <c r="C125" s="144" t="s">
        <v>1267</v>
      </c>
      <c r="D125" s="1" t="str">
        <f>VLOOKUP(RIGHT(C125,15),'[6]Export shipment'!B$8:J$1256,9,0)</f>
        <v>FedEx</v>
      </c>
      <c r="E125" s="1">
        <f>VLOOKUP(RIGHT(C125,15),'[6]Export shipment'!B$8:E$1256,4,0)</f>
        <v>0.3</v>
      </c>
      <c r="F125" s="59"/>
      <c r="G125" s="59"/>
      <c r="H125" s="59">
        <v>20.569589112964369</v>
      </c>
      <c r="I125" s="139">
        <f t="shared" si="6"/>
        <v>20.569589112964369</v>
      </c>
      <c r="K125"/>
    </row>
    <row r="126" spans="1:11" hidden="1" outlineLevel="2">
      <c r="A126" s="142">
        <v>45992</v>
      </c>
      <c r="B126" s="1" t="s">
        <v>1139</v>
      </c>
      <c r="C126" s="144" t="s">
        <v>1268</v>
      </c>
      <c r="D126" s="1" t="str">
        <f>VLOOKUP(RIGHT(C126,15),'[6]Export shipment'!B$8:J$1256,9,0)</f>
        <v>FedEx</v>
      </c>
      <c r="E126" s="1">
        <f>VLOOKUP(RIGHT(C126,15),'[6]Export shipment'!B$8:E$1256,4,0)</f>
        <v>0.3</v>
      </c>
      <c r="F126" s="59"/>
      <c r="G126" s="59"/>
      <c r="H126" s="59">
        <v>23.187235633055344</v>
      </c>
      <c r="I126" s="139">
        <f t="shared" si="6"/>
        <v>23.187235633055344</v>
      </c>
      <c r="K126"/>
    </row>
    <row r="127" spans="1:11" outlineLevel="1" collapsed="1">
      <c r="A127" s="147" t="s">
        <v>1265</v>
      </c>
      <c r="B127" s="1"/>
      <c r="C127" s="144"/>
      <c r="D127" s="1"/>
      <c r="E127" s="1">
        <f>SUBTOTAL(9,E107:E126)</f>
        <v>3952.9000000000015</v>
      </c>
      <c r="F127" s="19">
        <f>SUBTOTAL(9,F107:F126)</f>
        <v>72.782410917361631</v>
      </c>
      <c r="G127" s="59">
        <f>SUBTOTAL(9,G107:G126)</f>
        <v>310.84154662623195</v>
      </c>
      <c r="H127" s="19">
        <f>SUBTOTAL(9,H107:H126)</f>
        <v>43.756824746019717</v>
      </c>
      <c r="I127" s="139">
        <f>SUBTOTAL(9,I107:I126)</f>
        <v>427.38078228961336</v>
      </c>
      <c r="K127"/>
    </row>
    <row r="128" spans="1:11" hidden="1" outlineLevel="2">
      <c r="A128" s="142">
        <v>46048</v>
      </c>
      <c r="B128" s="1" t="s">
        <v>1030</v>
      </c>
      <c r="C128" s="144" t="s">
        <v>1337</v>
      </c>
      <c r="D128" s="1" t="str">
        <f>VLOOKUP(RIGHT(C128,8),'[6]Export shipment'!B$8:J$1256,9,0)</f>
        <v>FedEx</v>
      </c>
      <c r="E128" s="1">
        <f>VLOOKUP(RIGHT(C128,8),'[6]Export shipment'!B$8:E$1256,4,0)</f>
        <v>439.8</v>
      </c>
      <c r="F128" s="59">
        <v>0</v>
      </c>
      <c r="G128" s="59">
        <v>15.30221882172915</v>
      </c>
      <c r="H128" s="59">
        <v>0</v>
      </c>
      <c r="I128" s="139">
        <f t="shared" ref="I128:I191" si="7">SUM(F128:H128)</f>
        <v>15.30221882172915</v>
      </c>
      <c r="K128"/>
    </row>
    <row r="129" spans="1:11" hidden="1" outlineLevel="2">
      <c r="A129" s="142">
        <v>46048</v>
      </c>
      <c r="B129" s="1" t="s">
        <v>1033</v>
      </c>
      <c r="C129" s="144" t="s">
        <v>1338</v>
      </c>
      <c r="D129" s="1" t="str">
        <f>VLOOKUP(RIGHT(C129,8),'[6]Export shipment'!B$8:J$1256,9,0)</f>
        <v>FedEx</v>
      </c>
      <c r="E129" s="1">
        <f>VLOOKUP(RIGHT(C129,8),'[6]Export shipment'!B$8:E$1256,4,0)</f>
        <v>439.8</v>
      </c>
      <c r="F129" s="59">
        <v>0</v>
      </c>
      <c r="G129" s="59">
        <v>15.30221882172915</v>
      </c>
      <c r="H129" s="59">
        <v>0</v>
      </c>
      <c r="I129" s="139">
        <f t="shared" si="7"/>
        <v>15.30221882172915</v>
      </c>
      <c r="K129"/>
    </row>
    <row r="130" spans="1:11" hidden="1" outlineLevel="2">
      <c r="A130" s="142">
        <v>46048</v>
      </c>
      <c r="B130" s="1" t="s">
        <v>1345</v>
      </c>
      <c r="C130" s="144" t="s">
        <v>1344</v>
      </c>
      <c r="D130" s="1" t="str">
        <f>VLOOKUP(RIGHT(C130,8),'[6]Export shipment'!B$8:J$1256,9,0)</f>
        <v>FedEx</v>
      </c>
      <c r="E130" s="1">
        <f>VLOOKUP(RIGHT(C130,8),'[6]Export shipment'!B$8:E$1256,4,0)</f>
        <v>0.5</v>
      </c>
      <c r="F130" s="59">
        <v>0</v>
      </c>
      <c r="G130" s="59">
        <v>15.30221882172915</v>
      </c>
      <c r="H130" s="59">
        <v>0</v>
      </c>
      <c r="I130" s="139">
        <f t="shared" si="7"/>
        <v>15.30221882172915</v>
      </c>
      <c r="K130"/>
    </row>
    <row r="131" spans="1:11" hidden="1" outlineLevel="2">
      <c r="A131" s="142">
        <v>46048</v>
      </c>
      <c r="B131" s="1" t="s">
        <v>1347</v>
      </c>
      <c r="C131" s="144" t="s">
        <v>1346</v>
      </c>
      <c r="D131" s="1" t="str">
        <f>VLOOKUP(RIGHT(C131,8),'[6]Export shipment'!B$8:J$1256,9,0)</f>
        <v>FedEx</v>
      </c>
      <c r="E131" s="1">
        <f>VLOOKUP(RIGHT(C131,8),'[6]Export shipment'!B$8:E$1256,4,0)</f>
        <v>0.9</v>
      </c>
      <c r="F131" s="59">
        <v>0</v>
      </c>
      <c r="G131" s="59">
        <v>15.30221882172915</v>
      </c>
      <c r="H131" s="59">
        <v>0</v>
      </c>
      <c r="I131" s="139">
        <f t="shared" si="7"/>
        <v>15.30221882172915</v>
      </c>
      <c r="K131"/>
    </row>
    <row r="132" spans="1:11" hidden="1" outlineLevel="2">
      <c r="A132" s="142">
        <v>46048</v>
      </c>
      <c r="B132" s="1" t="s">
        <v>1356</v>
      </c>
      <c r="C132" s="144" t="s">
        <v>1355</v>
      </c>
      <c r="D132" s="1" t="str">
        <f>VLOOKUP(RIGHT(C132,8),'[6]Export shipment'!B$8:J$1256,9,0)</f>
        <v>FedEx</v>
      </c>
      <c r="E132" s="1">
        <f>VLOOKUP(RIGHT(C132,8),'[6]Export shipment'!B$8:E$1256,4,0)</f>
        <v>13.8</v>
      </c>
      <c r="F132" s="59">
        <v>0</v>
      </c>
      <c r="G132" s="59">
        <v>15.30221882172915</v>
      </c>
      <c r="H132" s="59">
        <v>0</v>
      </c>
      <c r="I132" s="139">
        <f t="shared" si="7"/>
        <v>15.30221882172915</v>
      </c>
      <c r="K132"/>
    </row>
    <row r="133" spans="1:11" hidden="1" outlineLevel="2">
      <c r="A133" s="142">
        <v>46048</v>
      </c>
      <c r="B133" s="1" t="s">
        <v>1356</v>
      </c>
      <c r="C133" s="144" t="s">
        <v>1361</v>
      </c>
      <c r="D133" s="1" t="str">
        <f>VLOOKUP(RIGHT(C133,8),'[2]Export shipment'!B$8:J$1256,9,0)</f>
        <v>FedEx</v>
      </c>
      <c r="E133" s="1">
        <f>VLOOKUP(RIGHT(C133,8),'[2]Export shipment'!B$8:E$1256,4,0)</f>
        <v>16.2</v>
      </c>
      <c r="F133" s="59">
        <v>0</v>
      </c>
      <c r="G133" s="59">
        <v>15.30221882172915</v>
      </c>
      <c r="H133" s="59">
        <v>0</v>
      </c>
      <c r="I133" s="139">
        <f t="shared" si="7"/>
        <v>15.30221882172915</v>
      </c>
      <c r="K133"/>
    </row>
    <row r="134" spans="1:11" hidden="1" outlineLevel="2">
      <c r="A134" s="142">
        <v>46048</v>
      </c>
      <c r="B134" s="1" t="s">
        <v>1036</v>
      </c>
      <c r="C134" s="144" t="s">
        <v>1365</v>
      </c>
      <c r="D134" s="1" t="str">
        <f>VLOOKUP(RIGHT(C134,8),'[2]Export shipment'!B$8:J$1256,9,0)</f>
        <v>FedEx</v>
      </c>
      <c r="E134" s="1">
        <f>VLOOKUP(RIGHT(C134,8),'[2]Export shipment'!B$8:E$1256,4,0)</f>
        <v>439.8</v>
      </c>
      <c r="F134" s="59">
        <v>0</v>
      </c>
      <c r="G134" s="59">
        <v>15.30221882172915</v>
      </c>
      <c r="H134" s="59">
        <v>0</v>
      </c>
      <c r="I134" s="139">
        <f t="shared" si="7"/>
        <v>15.30221882172915</v>
      </c>
      <c r="K134"/>
    </row>
    <row r="135" spans="1:11" hidden="1" outlineLevel="2">
      <c r="A135" s="142">
        <v>46048</v>
      </c>
      <c r="B135" s="1" t="s">
        <v>1036</v>
      </c>
      <c r="C135" s="144" t="s">
        <v>1366</v>
      </c>
      <c r="D135" s="1" t="str">
        <f>VLOOKUP(RIGHT(C135,8),'[2]Export shipment'!B$8:J$1256,9,0)</f>
        <v>FedEx</v>
      </c>
      <c r="E135" s="1">
        <f>VLOOKUP(RIGHT(C135,8),'[2]Export shipment'!B$8:E$1256,4,0)</f>
        <v>439.8</v>
      </c>
      <c r="F135" s="59">
        <v>0</v>
      </c>
      <c r="G135" s="59">
        <v>15.30221882172915</v>
      </c>
      <c r="H135" s="59">
        <v>0</v>
      </c>
      <c r="I135" s="139">
        <f t="shared" si="7"/>
        <v>15.30221882172915</v>
      </c>
      <c r="K135"/>
    </row>
    <row r="136" spans="1:11" hidden="1" outlineLevel="2">
      <c r="A136" s="142">
        <v>46048</v>
      </c>
      <c r="B136" s="1" t="s">
        <v>1036</v>
      </c>
      <c r="C136" s="144" t="s">
        <v>1367</v>
      </c>
      <c r="D136" s="1" t="str">
        <f>VLOOKUP(RIGHT(C136,8),'[2]Export shipment'!B$8:J$1256,9,0)</f>
        <v>FedEx</v>
      </c>
      <c r="E136" s="1">
        <f>VLOOKUP(RIGHT(C136,8),'[2]Export shipment'!B$8:E$1256,4,0)</f>
        <v>439.8</v>
      </c>
      <c r="F136" s="59">
        <v>0</v>
      </c>
      <c r="G136" s="59">
        <v>15.30221882172915</v>
      </c>
      <c r="H136" s="59">
        <v>0</v>
      </c>
      <c r="I136" s="139">
        <f t="shared" si="7"/>
        <v>15.30221882172915</v>
      </c>
      <c r="K136"/>
    </row>
    <row r="137" spans="1:11" hidden="1" outlineLevel="2">
      <c r="A137" s="142">
        <v>46048</v>
      </c>
      <c r="B137" s="1" t="s">
        <v>1356</v>
      </c>
      <c r="C137" s="144" t="s">
        <v>1371</v>
      </c>
      <c r="D137" s="1" t="str">
        <f>VLOOKUP(RIGHT(C137,8),'[2]Export shipment'!B$8:J$1256,9,0)</f>
        <v>FedEx</v>
      </c>
      <c r="E137" s="1">
        <f>VLOOKUP(RIGHT(C137,8),'[2]Export shipment'!B$8:E$1256,4,0)</f>
        <v>40.799999999999997</v>
      </c>
      <c r="F137" s="59">
        <v>0</v>
      </c>
      <c r="G137" s="59">
        <v>15.30221882172915</v>
      </c>
      <c r="H137" s="59">
        <v>0</v>
      </c>
      <c r="I137" s="139">
        <f t="shared" si="7"/>
        <v>15.30221882172915</v>
      </c>
      <c r="K137"/>
    </row>
    <row r="138" spans="1:11" hidden="1" outlineLevel="2">
      <c r="A138" s="142">
        <v>46048</v>
      </c>
      <c r="B138" s="1" t="s">
        <v>1036</v>
      </c>
      <c r="C138" s="144" t="s">
        <v>1382</v>
      </c>
      <c r="D138" s="1" t="str">
        <f>VLOOKUP(RIGHT(C138,8),'[2]Export shipment'!B$8:J$1256,9,0)</f>
        <v>FedEx</v>
      </c>
      <c r="E138" s="1">
        <f>VLOOKUP(RIGHT(C138,8),'[2]Export shipment'!B$8:E$1256,4,0)</f>
        <v>439.8</v>
      </c>
      <c r="F138" s="59">
        <v>0</v>
      </c>
      <c r="G138" s="59">
        <v>15.30221882172915</v>
      </c>
      <c r="H138" s="59">
        <v>0</v>
      </c>
      <c r="I138" s="139">
        <f t="shared" si="7"/>
        <v>15.30221882172915</v>
      </c>
      <c r="K138"/>
    </row>
    <row r="139" spans="1:11" hidden="1" outlineLevel="2">
      <c r="A139" s="142">
        <v>46048</v>
      </c>
      <c r="B139" s="1" t="s">
        <v>1036</v>
      </c>
      <c r="C139" s="144" t="s">
        <v>1383</v>
      </c>
      <c r="D139" s="1" t="str">
        <f>VLOOKUP(RIGHT(C139,8),'[2]Export shipment'!B$8:J$1256,9,0)</f>
        <v>FedEx</v>
      </c>
      <c r="E139" s="1">
        <f>VLOOKUP(RIGHT(C139,8),'[2]Export shipment'!B$8:E$1256,4,0)</f>
        <v>439.8</v>
      </c>
      <c r="F139" s="59">
        <v>0</v>
      </c>
      <c r="G139" s="59">
        <v>15.30221882172915</v>
      </c>
      <c r="H139" s="59">
        <v>0</v>
      </c>
      <c r="I139" s="139">
        <f t="shared" si="7"/>
        <v>15.30221882172915</v>
      </c>
      <c r="K139"/>
    </row>
    <row r="140" spans="1:11" hidden="1" outlineLevel="2">
      <c r="A140" s="142">
        <v>46048</v>
      </c>
      <c r="B140" s="1" t="s">
        <v>1036</v>
      </c>
      <c r="C140" s="144" t="s">
        <v>1393</v>
      </c>
      <c r="D140" s="1" t="str">
        <f>VLOOKUP(RIGHT(C140,8),'[2]Export shipment'!B$8:J$1256,9,0)</f>
        <v>FedEx</v>
      </c>
      <c r="E140" s="1">
        <f>VLOOKUP(RIGHT(C140,8),'[2]Export shipment'!B$8:E$1256,4,0)</f>
        <v>439.8</v>
      </c>
      <c r="F140" s="59">
        <v>0</v>
      </c>
      <c r="G140" s="59">
        <v>15.30221882172915</v>
      </c>
      <c r="H140" s="59">
        <v>0</v>
      </c>
      <c r="I140" s="139">
        <f t="shared" si="7"/>
        <v>15.30221882172915</v>
      </c>
      <c r="K140"/>
    </row>
    <row r="141" spans="1:11" hidden="1" outlineLevel="2">
      <c r="A141" s="142">
        <v>46048</v>
      </c>
      <c r="B141" s="1" t="s">
        <v>1036</v>
      </c>
      <c r="C141" s="144" t="s">
        <v>1395</v>
      </c>
      <c r="D141" s="1" t="str">
        <f>VLOOKUP(RIGHT(C141,8),'[2]Export shipment'!B$8:J$1256,9,0)</f>
        <v>FedEx</v>
      </c>
      <c r="E141" s="1">
        <f>VLOOKUP(RIGHT(C141,8),'[2]Export shipment'!B$8:E$1256,4,0)</f>
        <v>439.8</v>
      </c>
      <c r="F141" s="59">
        <v>0</v>
      </c>
      <c r="G141" s="59">
        <v>15.30221882172915</v>
      </c>
      <c r="H141" s="59">
        <v>0</v>
      </c>
      <c r="I141" s="139">
        <f t="shared" si="7"/>
        <v>15.30221882172915</v>
      </c>
      <c r="K141"/>
    </row>
    <row r="142" spans="1:11" hidden="1" outlineLevel="2">
      <c r="A142" s="142">
        <v>46048</v>
      </c>
      <c r="B142" s="1" t="s">
        <v>1036</v>
      </c>
      <c r="C142" s="144" t="s">
        <v>1396</v>
      </c>
      <c r="D142" s="1" t="str">
        <f>VLOOKUP(RIGHT(C142,8),'[2]Export shipment'!B$8:J$1256,9,0)</f>
        <v>FedEx</v>
      </c>
      <c r="E142" s="1">
        <f>VLOOKUP(RIGHT(C142,8),'[2]Export shipment'!B$8:E$1256,4,0)</f>
        <v>439.8</v>
      </c>
      <c r="F142" s="59">
        <v>0</v>
      </c>
      <c r="G142" s="59">
        <v>15.30221882172915</v>
      </c>
      <c r="H142" s="59">
        <v>0</v>
      </c>
      <c r="I142" s="139">
        <f t="shared" si="7"/>
        <v>15.30221882172915</v>
      </c>
      <c r="K142"/>
    </row>
    <row r="143" spans="1:11" outlineLevel="1" collapsed="1">
      <c r="A143" s="147" t="s">
        <v>1407</v>
      </c>
      <c r="B143" s="1"/>
      <c r="C143" s="144"/>
      <c r="D143" s="1"/>
      <c r="E143" s="1">
        <f>SUBTOTAL(9,E128:E142)</f>
        <v>4470.2000000000007</v>
      </c>
      <c r="F143" s="19">
        <f>SUBTOTAL(9,F128:F142)</f>
        <v>0</v>
      </c>
      <c r="G143" s="59">
        <f>SUBTOTAL(9,G128:G142)</f>
        <v>229.53328232593731</v>
      </c>
      <c r="H143" s="19">
        <f>SUBTOTAL(9,H128:H142)</f>
        <v>0</v>
      </c>
      <c r="I143" s="139">
        <f>SUBTOTAL(9,I128:I142)</f>
        <v>229.53328232593731</v>
      </c>
      <c r="K143"/>
    </row>
    <row r="144" spans="1:11" hidden="1" outlineLevel="2">
      <c r="A144" s="147">
        <v>46054</v>
      </c>
      <c r="B144" s="1" t="s">
        <v>1356</v>
      </c>
      <c r="C144" s="144" t="s">
        <v>1514</v>
      </c>
      <c r="D144" s="1" t="e">
        <f>VLOOKUP(RIGHT(C144,8),'[2]Export shipment'!B$8:J$1256,9,0)</f>
        <v>#N/A</v>
      </c>
      <c r="E144" s="1">
        <f>VLOOKUP(RIGHT(C144,8),'[2]Export shipment'!B$8:E$1256,4,0)</f>
        <v>1.8</v>
      </c>
      <c r="F144" s="139">
        <v>0</v>
      </c>
      <c r="G144" s="59">
        <v>15.205078496217737</v>
      </c>
      <c r="H144" s="59">
        <v>0</v>
      </c>
      <c r="I144" s="139">
        <f t="shared" si="7"/>
        <v>15.205078496217737</v>
      </c>
      <c r="K144"/>
    </row>
    <row r="145" spans="1:11" hidden="1" outlineLevel="2">
      <c r="A145" s="147">
        <v>46054</v>
      </c>
      <c r="B145" s="1" t="s">
        <v>1516</v>
      </c>
      <c r="C145" s="144" t="s">
        <v>1515</v>
      </c>
      <c r="D145" s="1" t="str">
        <f>VLOOKUP(RIGHT(C145,8),'[2]Export shipment'!B$8:J$1256,9,0)</f>
        <v>Fedex</v>
      </c>
      <c r="E145" s="1">
        <f>VLOOKUP(RIGHT(C145,8),'[2]Export shipment'!B$8:E$1256,4,0)</f>
        <v>2.7</v>
      </c>
      <c r="F145" s="139">
        <v>18.246094195461286</v>
      </c>
      <c r="G145" s="59">
        <v>24.708252556353823</v>
      </c>
      <c r="H145" s="59">
        <v>0</v>
      </c>
      <c r="I145" s="139">
        <f t="shared" si="7"/>
        <v>42.954346751815109</v>
      </c>
      <c r="K145"/>
    </row>
    <row r="146" spans="1:11" hidden="1" outlineLevel="2">
      <c r="A146" s="147">
        <v>46054</v>
      </c>
      <c r="B146" s="1" t="s">
        <v>1030</v>
      </c>
      <c r="C146" s="144" t="s">
        <v>1526</v>
      </c>
      <c r="D146" s="1" t="str">
        <f>VLOOKUP(RIGHT(C146,8),'[2]Export shipment'!B$8:J$1256,9,0)</f>
        <v>FedEx</v>
      </c>
      <c r="E146" s="1">
        <f>VLOOKUP(RIGHT(C146,8),'[2]Export shipment'!B$8:E$1256,4,0)</f>
        <v>439.8</v>
      </c>
      <c r="F146" s="139">
        <v>0</v>
      </c>
      <c r="G146" s="59">
        <v>15.205078496217737</v>
      </c>
      <c r="H146" s="59">
        <v>0</v>
      </c>
      <c r="I146" s="139">
        <f t="shared" si="7"/>
        <v>15.205078496217737</v>
      </c>
      <c r="K146"/>
    </row>
    <row r="147" spans="1:11" hidden="1" outlineLevel="2">
      <c r="A147" s="147">
        <v>46054</v>
      </c>
      <c r="B147" s="1" t="s">
        <v>1033</v>
      </c>
      <c r="C147" s="144" t="s">
        <v>1527</v>
      </c>
      <c r="D147" s="1" t="str">
        <f>VLOOKUP(RIGHT(C147,8),'[2]Export shipment'!B$8:J$1256,9,0)</f>
        <v>FedEx</v>
      </c>
      <c r="E147" s="1">
        <f>VLOOKUP(RIGHT(C147,8),'[2]Export shipment'!B$8:E$1256,4,0)</f>
        <v>439.8</v>
      </c>
      <c r="F147" s="139">
        <v>0</v>
      </c>
      <c r="G147" s="59">
        <v>15.205078496217737</v>
      </c>
      <c r="H147" s="59">
        <v>0</v>
      </c>
      <c r="I147" s="139">
        <f t="shared" si="7"/>
        <v>15.205078496217737</v>
      </c>
      <c r="K147"/>
    </row>
    <row r="148" spans="1:11" hidden="1" outlineLevel="2">
      <c r="A148" s="147">
        <v>46054</v>
      </c>
      <c r="B148" s="1" t="s">
        <v>1356</v>
      </c>
      <c r="C148" s="144" t="s">
        <v>1531</v>
      </c>
      <c r="D148" s="1" t="str">
        <f>VLOOKUP(RIGHT(C148,8),'[2]Export shipment'!B$8:J$1256,9,0)</f>
        <v>FedEx</v>
      </c>
      <c r="E148" s="1">
        <f>VLOOKUP(RIGHT(C148,8),'[2]Export shipment'!B$8:E$1256,4,0)</f>
        <v>22.3</v>
      </c>
      <c r="F148" s="139">
        <v>0</v>
      </c>
      <c r="G148" s="59">
        <v>15.205078496217737</v>
      </c>
      <c r="H148" s="59">
        <v>0</v>
      </c>
      <c r="I148" s="139">
        <f t="shared" si="7"/>
        <v>15.205078496217737</v>
      </c>
      <c r="K148"/>
    </row>
    <row r="149" spans="1:11" hidden="1" outlineLevel="2">
      <c r="A149" s="147">
        <v>46054</v>
      </c>
      <c r="B149" s="1" t="s">
        <v>1543</v>
      </c>
      <c r="C149" s="144" t="s">
        <v>1542</v>
      </c>
      <c r="D149" s="1" t="str">
        <f>VLOOKUP(RIGHT(C149,8),'[2]Export shipment'!B$8:J$1256,9,0)</f>
        <v>FedEx</v>
      </c>
      <c r="E149" s="1">
        <f>VLOOKUP(RIGHT(C149,8),'[2]Export shipment'!B$8:E$1256,4,0)</f>
        <v>0.6</v>
      </c>
      <c r="F149" s="139">
        <v>18.246094195461286</v>
      </c>
      <c r="G149" s="59">
        <v>24.708252556353823</v>
      </c>
      <c r="H149" s="59">
        <v>0</v>
      </c>
      <c r="I149" s="139">
        <f t="shared" si="7"/>
        <v>42.954346751815109</v>
      </c>
      <c r="K149"/>
    </row>
    <row r="150" spans="1:11" hidden="1" outlineLevel="2">
      <c r="A150" s="147">
        <v>46054</v>
      </c>
      <c r="B150" s="1" t="s">
        <v>1030</v>
      </c>
      <c r="C150" s="144" t="s">
        <v>1544</v>
      </c>
      <c r="D150" s="1" t="str">
        <f>VLOOKUP(RIGHT(C150,8),'[2]Export shipment'!B$8:J$1256,9,0)</f>
        <v>FedEx</v>
      </c>
      <c r="E150" s="1">
        <f>VLOOKUP(RIGHT(C150,8),'[2]Export shipment'!B$8:E$1256,4,0)</f>
        <v>439.8</v>
      </c>
      <c r="F150" s="139">
        <v>0</v>
      </c>
      <c r="G150" s="59">
        <v>15.205078496217737</v>
      </c>
      <c r="H150" s="59">
        <v>0</v>
      </c>
      <c r="I150" s="139">
        <f t="shared" si="7"/>
        <v>15.205078496217737</v>
      </c>
      <c r="K150"/>
    </row>
    <row r="151" spans="1:11" hidden="1" outlineLevel="2">
      <c r="A151" s="147">
        <v>46054</v>
      </c>
      <c r="B151" s="1" t="s">
        <v>1036</v>
      </c>
      <c r="C151" s="144" t="s">
        <v>1545</v>
      </c>
      <c r="D151" s="1" t="str">
        <f>VLOOKUP(RIGHT(C151,8),'[2]Export shipment'!B$8:J$1256,9,0)</f>
        <v>FedEx</v>
      </c>
      <c r="E151" s="1">
        <f>VLOOKUP(RIGHT(C151,8),'[2]Export shipment'!B$8:E$1256,4,0)</f>
        <v>439.8</v>
      </c>
      <c r="F151" s="139">
        <v>0</v>
      </c>
      <c r="G151" s="59">
        <v>15.205078496217737</v>
      </c>
      <c r="H151" s="59">
        <v>0</v>
      </c>
      <c r="I151" s="139">
        <f t="shared" si="7"/>
        <v>15.205078496217737</v>
      </c>
      <c r="K151"/>
    </row>
    <row r="152" spans="1:11" hidden="1" outlineLevel="2">
      <c r="A152" s="147">
        <v>46054</v>
      </c>
      <c r="B152" s="1" t="s">
        <v>1036</v>
      </c>
      <c r="C152" s="144" t="s">
        <v>1554</v>
      </c>
      <c r="D152" s="1" t="str">
        <f>VLOOKUP(RIGHT(C152,8),'[2]Export shipment'!B$8:J$1256,9,0)</f>
        <v>FedEx</v>
      </c>
      <c r="E152" s="1">
        <f>VLOOKUP(RIGHT(C152,8),'[2]Export shipment'!B$8:E$1256,4,0)</f>
        <v>439.8</v>
      </c>
      <c r="F152" s="139">
        <v>0</v>
      </c>
      <c r="G152" s="59">
        <v>15.205078496217737</v>
      </c>
      <c r="H152" s="59">
        <v>0</v>
      </c>
      <c r="I152" s="139">
        <f t="shared" si="7"/>
        <v>15.205078496217737</v>
      </c>
      <c r="K152"/>
    </row>
    <row r="153" spans="1:11" hidden="1" outlineLevel="2">
      <c r="A153" s="147">
        <v>46054</v>
      </c>
      <c r="B153" s="1" t="s">
        <v>1036</v>
      </c>
      <c r="C153" s="144" t="s">
        <v>1557</v>
      </c>
      <c r="D153" s="1" t="str">
        <f>VLOOKUP(RIGHT(C153,8),'[2]Export shipment'!B$8:J$1256,9,0)</f>
        <v>FedEx</v>
      </c>
      <c r="E153" s="1">
        <f>VLOOKUP(RIGHT(C153,8),'[2]Export shipment'!B$8:E$1256,4,0)</f>
        <v>439.8</v>
      </c>
      <c r="F153" s="139">
        <v>0</v>
      </c>
      <c r="G153" s="59">
        <v>15.205078496217737</v>
      </c>
      <c r="H153" s="59">
        <v>0</v>
      </c>
      <c r="I153" s="139">
        <f t="shared" si="7"/>
        <v>15.205078496217737</v>
      </c>
      <c r="K153"/>
    </row>
    <row r="154" spans="1:11" hidden="1" outlineLevel="2">
      <c r="A154" s="147">
        <v>46054</v>
      </c>
      <c r="B154" s="1" t="s">
        <v>1033</v>
      </c>
      <c r="C154" s="144" t="s">
        <v>1568</v>
      </c>
      <c r="D154" s="1" t="str">
        <f>VLOOKUP(RIGHT(C154,8),'[2]Export shipment'!B$8:J$1256,9,0)</f>
        <v>FedEx</v>
      </c>
      <c r="E154" s="1">
        <f>VLOOKUP(RIGHT(C154,8),'[2]Export shipment'!B$8:E$1256,4,0)</f>
        <v>82.5</v>
      </c>
      <c r="F154" s="139">
        <v>0</v>
      </c>
      <c r="G154" s="59">
        <v>15.205078496217737</v>
      </c>
      <c r="H154" s="59">
        <v>0</v>
      </c>
      <c r="I154" s="139">
        <f t="shared" si="7"/>
        <v>15.205078496217737</v>
      </c>
      <c r="K154"/>
    </row>
    <row r="155" spans="1:11" hidden="1" outlineLevel="2">
      <c r="A155" s="147">
        <v>46054</v>
      </c>
      <c r="B155" s="1" t="s">
        <v>1030</v>
      </c>
      <c r="C155" s="144" t="s">
        <v>1569</v>
      </c>
      <c r="D155" s="1" t="str">
        <f>VLOOKUP(RIGHT(C155,8),'[2]Export shipment'!B$8:J$1256,9,0)</f>
        <v>FedEx</v>
      </c>
      <c r="E155" s="1">
        <f>VLOOKUP(RIGHT(C155,8),'[2]Export shipment'!B$8:E$1256,4,0)</f>
        <v>287.60000000000002</v>
      </c>
      <c r="F155" s="139">
        <v>0</v>
      </c>
      <c r="G155" s="59">
        <v>15.205078496217737</v>
      </c>
      <c r="H155" s="59">
        <v>0</v>
      </c>
      <c r="I155" s="139">
        <f t="shared" si="7"/>
        <v>15.205078496217737</v>
      </c>
      <c r="K155"/>
    </row>
    <row r="156" spans="1:11" hidden="1" outlineLevel="2">
      <c r="A156" s="147">
        <v>46054</v>
      </c>
      <c r="B156" s="1" t="s">
        <v>1413</v>
      </c>
      <c r="C156" s="144" t="s">
        <v>1412</v>
      </c>
      <c r="D156" s="1" t="s">
        <v>655</v>
      </c>
      <c r="E156" s="1">
        <v>0.7</v>
      </c>
      <c r="F156" s="139">
        <v>0</v>
      </c>
      <c r="G156" s="139">
        <v>0</v>
      </c>
      <c r="H156" s="59">
        <v>25.91971718553997</v>
      </c>
      <c r="I156" s="139">
        <f t="shared" si="7"/>
        <v>25.91971718553997</v>
      </c>
      <c r="K156"/>
    </row>
    <row r="157" spans="1:11" hidden="1" outlineLevel="2">
      <c r="A157" s="147">
        <v>46054</v>
      </c>
      <c r="B157" s="1" t="s">
        <v>1415</v>
      </c>
      <c r="C157" s="144" t="s">
        <v>1414</v>
      </c>
      <c r="D157" s="1" t="s">
        <v>655</v>
      </c>
      <c r="E157" s="1">
        <v>0.7</v>
      </c>
      <c r="F157" s="139">
        <v>0</v>
      </c>
      <c r="G157" s="139">
        <v>0</v>
      </c>
      <c r="H157" s="59">
        <v>21.917094309499372</v>
      </c>
      <c r="I157" s="139">
        <f t="shared" si="7"/>
        <v>21.917094309499372</v>
      </c>
      <c r="K157"/>
    </row>
    <row r="158" spans="1:11" hidden="1" outlineLevel="2">
      <c r="A158" s="147">
        <v>46054</v>
      </c>
      <c r="B158" s="1" t="s">
        <v>1413</v>
      </c>
      <c r="C158" s="144" t="s">
        <v>1416</v>
      </c>
      <c r="D158" s="1" t="s">
        <v>655</v>
      </c>
      <c r="E158" s="1">
        <v>0.6</v>
      </c>
      <c r="F158" s="139">
        <v>0</v>
      </c>
      <c r="G158" s="139">
        <v>0</v>
      </c>
      <c r="H158" s="59">
        <v>22.019386475082676</v>
      </c>
      <c r="I158" s="139">
        <f t="shared" si="7"/>
        <v>22.019386475082676</v>
      </c>
      <c r="K158"/>
    </row>
    <row r="159" spans="1:11" outlineLevel="1" collapsed="1">
      <c r="A159" s="147" t="s">
        <v>1609</v>
      </c>
      <c r="B159" s="1"/>
      <c r="C159" s="144"/>
      <c r="D159" s="1"/>
      <c r="E159" s="1">
        <f>SUBTOTAL(9,E144:E158)</f>
        <v>3038.2999999999997</v>
      </c>
      <c r="F159" s="19">
        <f>SUBTOTAL(9,F144:F158)</f>
        <v>36.492188390922571</v>
      </c>
      <c r="G159" s="59">
        <f>SUBTOTAL(9,G144:G158)</f>
        <v>201.46729007488503</v>
      </c>
      <c r="H159" s="19">
        <f>SUBTOTAL(9,H144:H158)</f>
        <v>69.856197970122025</v>
      </c>
      <c r="I159" s="139">
        <f>SUBTOTAL(9,I144:I158)</f>
        <v>307.81567643592962</v>
      </c>
      <c r="K159"/>
    </row>
    <row r="160" spans="1:11" hidden="1" outlineLevel="2">
      <c r="A160" s="147">
        <v>46082</v>
      </c>
      <c r="B160" s="1" t="s">
        <v>1613</v>
      </c>
      <c r="C160" s="144" t="s">
        <v>1612</v>
      </c>
      <c r="D160" s="1" t="s">
        <v>655</v>
      </c>
      <c r="E160" s="1">
        <v>0.3</v>
      </c>
      <c r="F160" s="59"/>
      <c r="G160" s="59">
        <v>0</v>
      </c>
      <c r="H160" s="59">
        <v>31.10768880628153</v>
      </c>
      <c r="I160" s="139">
        <f t="shared" si="7"/>
        <v>31.10768880628153</v>
      </c>
      <c r="K160"/>
    </row>
    <row r="161" spans="1:11" hidden="1" outlineLevel="2">
      <c r="A161" s="147">
        <v>46082</v>
      </c>
      <c r="B161" s="1" t="s">
        <v>369</v>
      </c>
      <c r="C161" s="144" t="s">
        <v>1614</v>
      </c>
      <c r="D161" s="1" t="s">
        <v>655</v>
      </c>
      <c r="E161" s="1">
        <v>1.4</v>
      </c>
      <c r="F161" s="59"/>
      <c r="G161" s="59">
        <v>24.655767553009902</v>
      </c>
      <c r="H161" s="59">
        <v>41.324431969047531</v>
      </c>
      <c r="I161" s="139">
        <f t="shared" si="7"/>
        <v>65.980199522057433</v>
      </c>
      <c r="K161"/>
    </row>
    <row r="162" spans="1:11" hidden="1" outlineLevel="2">
      <c r="A162" s="147">
        <v>46082</v>
      </c>
      <c r="B162" s="1" t="s">
        <v>1415</v>
      </c>
      <c r="C162" s="144" t="s">
        <v>1615</v>
      </c>
      <c r="D162" s="1" t="s">
        <v>655</v>
      </c>
      <c r="E162" s="1">
        <v>1.1000000000000001</v>
      </c>
      <c r="F162" s="59"/>
      <c r="G162" s="59">
        <v>0</v>
      </c>
      <c r="H162" s="59">
        <v>25.069263740848918</v>
      </c>
      <c r="I162" s="139">
        <f t="shared" si="7"/>
        <v>25.069263740848918</v>
      </c>
      <c r="K162"/>
    </row>
    <row r="163" spans="1:11" hidden="1" outlineLevel="2">
      <c r="A163" s="147">
        <v>46082</v>
      </c>
      <c r="B163" s="1" t="s">
        <v>1030</v>
      </c>
      <c r="C163" s="144" t="s">
        <v>1669</v>
      </c>
      <c r="D163" s="1" t="str">
        <f>VLOOKUP(RIGHT(C163,8),'[2]Export shipment'!B$8:J$1256,9,0)</f>
        <v>FedEx</v>
      </c>
      <c r="E163" s="1">
        <f>VLOOKUP(RIGHT(C163,8),'[2]Export shipment'!B$8:E$1256,4,0)</f>
        <v>439.8</v>
      </c>
      <c r="F163" s="59">
        <v>0</v>
      </c>
      <c r="G163" s="59">
        <v>15.172780032621477</v>
      </c>
      <c r="H163" s="59"/>
      <c r="I163" s="139">
        <f t="shared" si="7"/>
        <v>15.172780032621477</v>
      </c>
      <c r="K163"/>
    </row>
    <row r="164" spans="1:11" hidden="1" outlineLevel="2">
      <c r="A164" s="147">
        <v>46082</v>
      </c>
      <c r="B164" s="1" t="s">
        <v>1033</v>
      </c>
      <c r="C164" s="144" t="s">
        <v>1670</v>
      </c>
      <c r="D164" s="1" t="str">
        <f>VLOOKUP(RIGHT(C164,8),'[2]Export shipment'!B$8:J$1256,9,0)</f>
        <v>FedEx</v>
      </c>
      <c r="E164" s="1">
        <f>VLOOKUP(RIGHT(C164,8),'[2]Export shipment'!B$8:E$1256,4,0)</f>
        <v>439.8</v>
      </c>
      <c r="F164" s="59">
        <v>0</v>
      </c>
      <c r="G164" s="59">
        <v>15.172780032621477</v>
      </c>
      <c r="H164" s="59"/>
      <c r="I164" s="139">
        <f t="shared" si="7"/>
        <v>15.172780032621477</v>
      </c>
      <c r="K164"/>
    </row>
    <row r="165" spans="1:11" hidden="1" outlineLevel="2">
      <c r="A165" s="147">
        <v>46082</v>
      </c>
      <c r="B165" s="1" t="s">
        <v>1030</v>
      </c>
      <c r="C165" s="144" t="s">
        <v>1671</v>
      </c>
      <c r="D165" s="1" t="str">
        <f>VLOOKUP(RIGHT(C165,8),'[2]Export shipment'!B$8:J$1256,9,0)</f>
        <v>FedEx</v>
      </c>
      <c r="E165" s="1">
        <f>VLOOKUP(RIGHT(C165,8),'[2]Export shipment'!B$8:E$1256,4,0)</f>
        <v>439.8</v>
      </c>
      <c r="F165" s="59">
        <v>0</v>
      </c>
      <c r="G165" s="59">
        <v>15.172780032621477</v>
      </c>
      <c r="H165" s="59"/>
      <c r="I165" s="139">
        <f t="shared" si="7"/>
        <v>15.172780032621477</v>
      </c>
      <c r="K165"/>
    </row>
    <row r="166" spans="1:11" hidden="1" outlineLevel="2">
      <c r="A166" s="147">
        <v>46082</v>
      </c>
      <c r="B166" s="1" t="s">
        <v>1356</v>
      </c>
      <c r="C166" s="144" t="s">
        <v>1672</v>
      </c>
      <c r="D166" s="1" t="str">
        <f>VLOOKUP(RIGHT(C166,8),'[2]Export shipment'!B$8:J$1256,9,0)</f>
        <v>FedEx</v>
      </c>
      <c r="E166" s="1">
        <f>VLOOKUP(RIGHT(C166,8),'[2]Export shipment'!B$8:E$1256,4,0)</f>
        <v>10</v>
      </c>
      <c r="F166" s="59">
        <v>0</v>
      </c>
      <c r="G166" s="59">
        <v>15.172780032621477</v>
      </c>
      <c r="H166" s="59"/>
      <c r="I166" s="139">
        <f t="shared" si="7"/>
        <v>15.172780032621477</v>
      </c>
      <c r="K166"/>
    </row>
    <row r="167" spans="1:11" hidden="1" outlineLevel="2">
      <c r="A167" s="147">
        <v>46082</v>
      </c>
      <c r="B167" s="1" t="s">
        <v>1030</v>
      </c>
      <c r="C167" s="144" t="s">
        <v>1673</v>
      </c>
      <c r="D167" s="1" t="str">
        <f>VLOOKUP(RIGHT(C167,8),'[2]Export shipment'!B$8:J$1256,9,0)</f>
        <v>FedEx</v>
      </c>
      <c r="E167" s="1">
        <f>VLOOKUP(RIGHT(C167,8),'[2]Export shipment'!B$8:E$1256,4,0)</f>
        <v>12</v>
      </c>
      <c r="F167" s="59">
        <v>0</v>
      </c>
      <c r="G167" s="59">
        <v>15.172780032621477</v>
      </c>
      <c r="H167" s="59"/>
      <c r="I167" s="139">
        <f t="shared" si="7"/>
        <v>15.172780032621477</v>
      </c>
      <c r="K167"/>
    </row>
    <row r="168" spans="1:11" hidden="1" outlineLevel="2">
      <c r="A168" s="147">
        <v>46082</v>
      </c>
      <c r="B168" s="1" t="s">
        <v>1030</v>
      </c>
      <c r="C168" s="144" t="s">
        <v>1675</v>
      </c>
      <c r="D168" s="1" t="str">
        <f>VLOOKUP(RIGHT(C168,8),'[2]Export shipment'!B$8:J$1256,9,0)</f>
        <v>FedEx</v>
      </c>
      <c r="E168" s="1">
        <f>VLOOKUP(RIGHT(C168,8),'[2]Export shipment'!B$8:E$1256,4,0)</f>
        <v>38.1</v>
      </c>
      <c r="F168" s="59">
        <v>18.207336039145773</v>
      </c>
      <c r="G168" s="59">
        <v>24.655767553009902</v>
      </c>
      <c r="H168" s="59"/>
      <c r="I168" s="139">
        <f t="shared" si="7"/>
        <v>42.863103592155674</v>
      </c>
      <c r="K168"/>
    </row>
    <row r="169" spans="1:11" hidden="1" outlineLevel="2">
      <c r="A169" s="147">
        <v>46082</v>
      </c>
      <c r="B169" s="1" t="s">
        <v>1082</v>
      </c>
      <c r="C169" s="144" t="s">
        <v>1676</v>
      </c>
      <c r="D169" s="1" t="str">
        <f>VLOOKUP(RIGHT(C169,8),'[2]Export shipment'!B$8:J$1256,9,0)</f>
        <v>FedEx</v>
      </c>
      <c r="E169" s="1">
        <f>VLOOKUP(RIGHT(C169,8),'[2]Export shipment'!B$8:E$1256,4,0)</f>
        <v>9.4</v>
      </c>
      <c r="F169" s="59">
        <v>18.207336039145773</v>
      </c>
      <c r="G169" s="59">
        <v>24.655767553009902</v>
      </c>
      <c r="H169" s="59"/>
      <c r="I169" s="139">
        <f t="shared" si="7"/>
        <v>42.863103592155674</v>
      </c>
      <c r="K169"/>
    </row>
    <row r="170" spans="1:11" hidden="1" outlineLevel="2">
      <c r="A170" s="147">
        <v>46082</v>
      </c>
      <c r="B170" s="1" t="s">
        <v>1030</v>
      </c>
      <c r="C170" s="144" t="s">
        <v>1677</v>
      </c>
      <c r="D170" s="1" t="str">
        <f>VLOOKUP(RIGHT(C170,8),'[2]Export shipment'!B$8:J$1256,9,0)</f>
        <v>FedEx</v>
      </c>
      <c r="E170" s="1">
        <f>VLOOKUP(RIGHT(C170,8),'[2]Export shipment'!B$8:E$1256,4,0)</f>
        <v>439.8</v>
      </c>
      <c r="F170" s="59">
        <v>0</v>
      </c>
      <c r="G170" s="59">
        <v>15.172780032621477</v>
      </c>
      <c r="H170" s="59"/>
      <c r="I170" s="139">
        <f t="shared" si="7"/>
        <v>15.172780032621477</v>
      </c>
      <c r="K170"/>
    </row>
    <row r="171" spans="1:11" hidden="1" outlineLevel="2">
      <c r="A171" s="147">
        <v>46082</v>
      </c>
      <c r="B171" s="1" t="s">
        <v>1036</v>
      </c>
      <c r="C171" s="144" t="s">
        <v>1678</v>
      </c>
      <c r="D171" s="1" t="str">
        <f>VLOOKUP(RIGHT(C171,8),'[2]Export shipment'!B$8:J$1256,9,0)</f>
        <v>FedEx</v>
      </c>
      <c r="E171" s="1">
        <f>VLOOKUP(RIGHT(C171,8),'[2]Export shipment'!B$8:E$1256,4,0)</f>
        <v>439.8</v>
      </c>
      <c r="F171" s="59">
        <v>0</v>
      </c>
      <c r="G171" s="59">
        <v>15.172780032621477</v>
      </c>
      <c r="H171" s="59"/>
      <c r="I171" s="139">
        <f t="shared" si="7"/>
        <v>15.172780032621477</v>
      </c>
      <c r="K171"/>
    </row>
    <row r="172" spans="1:11" hidden="1" outlineLevel="2">
      <c r="A172" s="147">
        <v>46082</v>
      </c>
      <c r="B172" s="1" t="s">
        <v>1030</v>
      </c>
      <c r="C172" s="144" t="s">
        <v>1680</v>
      </c>
      <c r="D172" s="1" t="str">
        <f>VLOOKUP(RIGHT(C172,8),'[2]Export shipment'!B$8:J$1256,9,0)</f>
        <v>FedEx</v>
      </c>
      <c r="E172" s="1">
        <f>VLOOKUP(RIGHT(C172,8),'[2]Export shipment'!B$8:E$1256,4,0)</f>
        <v>13.1</v>
      </c>
      <c r="F172" s="59">
        <v>18.207336039145773</v>
      </c>
      <c r="G172" s="59">
        <v>24.655767553009902</v>
      </c>
      <c r="H172" s="59"/>
      <c r="I172" s="139">
        <f t="shared" si="7"/>
        <v>42.863103592155674</v>
      </c>
      <c r="K172"/>
    </row>
    <row r="173" spans="1:11" hidden="1" outlineLevel="2">
      <c r="A173" s="147">
        <v>46082</v>
      </c>
      <c r="B173" s="1" t="s">
        <v>319</v>
      </c>
      <c r="C173" s="144" t="s">
        <v>1681</v>
      </c>
      <c r="D173" s="1" t="str">
        <f>VLOOKUP(RIGHT(C173,8),'[2]Export shipment'!B$8:J$1256,9,0)</f>
        <v>Fedex</v>
      </c>
      <c r="E173" s="1">
        <f>VLOOKUP(RIGHT(C173,8),'[2]Export shipment'!B$8:E$1256,4,0)</f>
        <v>0.5</v>
      </c>
      <c r="F173" s="59">
        <v>18.207336039145773</v>
      </c>
      <c r="G173" s="59">
        <v>24.655767553009902</v>
      </c>
      <c r="H173" s="59"/>
      <c r="I173" s="139">
        <f t="shared" si="7"/>
        <v>42.863103592155674</v>
      </c>
      <c r="K173"/>
    </row>
    <row r="174" spans="1:11" hidden="1" outlineLevel="2">
      <c r="A174" s="147">
        <v>46082</v>
      </c>
      <c r="B174" s="1" t="s">
        <v>1030</v>
      </c>
      <c r="C174" s="144" t="s">
        <v>1682</v>
      </c>
      <c r="D174" s="1" t="str">
        <f>VLOOKUP(RIGHT(C174,8),'[2]Export shipment'!B$8:J$1256,9,0)</f>
        <v>FedEx</v>
      </c>
      <c r="E174" s="1">
        <f>VLOOKUP(RIGHT(C174,8),'[2]Export shipment'!B$8:E$1256,4,0)</f>
        <v>439.8</v>
      </c>
      <c r="F174" s="59">
        <v>0</v>
      </c>
      <c r="G174" s="59">
        <v>15.172780032621477</v>
      </c>
      <c r="H174" s="59"/>
      <c r="I174" s="139">
        <f t="shared" si="7"/>
        <v>15.172780032621477</v>
      </c>
      <c r="K174"/>
    </row>
    <row r="175" spans="1:11" hidden="1" outlineLevel="2">
      <c r="A175" s="147">
        <v>46082</v>
      </c>
      <c r="B175" s="1" t="s">
        <v>1033</v>
      </c>
      <c r="C175" s="144" t="s">
        <v>1683</v>
      </c>
      <c r="D175" s="1" t="str">
        <f>VLOOKUP(RIGHT(C175,8),'[2]Export shipment'!B$8:J$1256,9,0)</f>
        <v>FedEx</v>
      </c>
      <c r="E175" s="1">
        <f>VLOOKUP(RIGHT(C175,8),'[2]Export shipment'!B$8:E$1256,4,0)</f>
        <v>439.8</v>
      </c>
      <c r="F175" s="59">
        <v>0</v>
      </c>
      <c r="G175" s="59">
        <v>15.172780032621477</v>
      </c>
      <c r="H175" s="59"/>
      <c r="I175" s="139">
        <f t="shared" si="7"/>
        <v>15.172780032621477</v>
      </c>
      <c r="K175"/>
    </row>
    <row r="176" spans="1:11" hidden="1" outlineLevel="2">
      <c r="A176" s="147">
        <v>46082</v>
      </c>
      <c r="B176" s="1" t="s">
        <v>1730</v>
      </c>
      <c r="C176" s="144" t="s">
        <v>1685</v>
      </c>
      <c r="D176" s="1" t="str">
        <f>VLOOKUP(RIGHT(C176,8),'[2]Export shipment'!B$8:J$1256,9,0)</f>
        <v>DHL</v>
      </c>
      <c r="E176" s="1">
        <f>VLOOKUP(RIGHT(C176,8),'[2]Export shipment'!B$8:E$1256,4,0)</f>
        <v>1.1000000000000001</v>
      </c>
      <c r="F176" s="59">
        <v>0</v>
      </c>
      <c r="G176" s="59">
        <v>24.655767553009902</v>
      </c>
      <c r="H176" s="59"/>
      <c r="I176" s="139">
        <f t="shared" si="7"/>
        <v>24.655767553009902</v>
      </c>
      <c r="K176"/>
    </row>
    <row r="177" spans="1:11" hidden="1" outlineLevel="2">
      <c r="A177" s="147">
        <v>46082</v>
      </c>
      <c r="B177" s="1" t="s">
        <v>1347</v>
      </c>
      <c r="C177" s="144" t="s">
        <v>1686</v>
      </c>
      <c r="D177" s="1" t="str">
        <f>VLOOKUP(RIGHT(C177,8),'[2]Export shipment'!B$8:J$1256,9,0)</f>
        <v>FedEx</v>
      </c>
      <c r="E177" s="1">
        <f>VLOOKUP(RIGHT(C177,8),'[2]Export shipment'!B$8:E$1256,4,0)</f>
        <v>0.8</v>
      </c>
      <c r="F177" s="59">
        <v>0</v>
      </c>
      <c r="G177" s="59">
        <v>24.655767553009902</v>
      </c>
      <c r="H177" s="59"/>
      <c r="I177" s="139">
        <f t="shared" si="7"/>
        <v>24.655767553009902</v>
      </c>
      <c r="K177"/>
    </row>
    <row r="178" spans="1:11" hidden="1" outlineLevel="2">
      <c r="A178" s="147">
        <v>46082</v>
      </c>
      <c r="B178" s="1" t="s">
        <v>1036</v>
      </c>
      <c r="C178" s="144" t="s">
        <v>1688</v>
      </c>
      <c r="D178" s="1" t="str">
        <f>VLOOKUP(RIGHT(C178,8),'[2]Export shipment'!B$8:J$1256,9,0)</f>
        <v>FedEx</v>
      </c>
      <c r="E178" s="1">
        <f>VLOOKUP(RIGHT(C178,8),'[2]Export shipment'!B$8:E$1256,4,0)</f>
        <v>439.8</v>
      </c>
      <c r="F178" s="59">
        <v>0</v>
      </c>
      <c r="G178" s="59">
        <v>15.172780032621477</v>
      </c>
      <c r="H178" s="59"/>
      <c r="I178" s="139">
        <f t="shared" si="7"/>
        <v>15.172780032621477</v>
      </c>
      <c r="K178"/>
    </row>
    <row r="179" spans="1:11" hidden="1" outlineLevel="2">
      <c r="A179" s="147">
        <v>46082</v>
      </c>
      <c r="B179" s="1" t="s">
        <v>1740</v>
      </c>
      <c r="C179" s="144" t="s">
        <v>1739</v>
      </c>
      <c r="D179" s="1" t="str">
        <f>VLOOKUP(RIGHT(C179,8),'[2]Export shipment'!B$8:J$1256,9,0)</f>
        <v>Dolphin</v>
      </c>
      <c r="E179" s="1">
        <f>VLOOKUP(RIGHT(C179,8),'[2]Export shipment'!B$8:E$1256,4,0)</f>
        <v>338</v>
      </c>
      <c r="F179" s="59">
        <v>43.621742593786749</v>
      </c>
      <c r="G179" s="59">
        <v>39.449228084815843</v>
      </c>
      <c r="H179" s="59">
        <v>589.73098661002166</v>
      </c>
      <c r="I179" s="139">
        <f t="shared" si="7"/>
        <v>672.80195728862429</v>
      </c>
      <c r="K179"/>
    </row>
    <row r="180" spans="1:11" outlineLevel="1" collapsed="1">
      <c r="A180" s="147" t="s">
        <v>1750</v>
      </c>
      <c r="B180" s="1"/>
      <c r="C180" s="144"/>
      <c r="D180" s="1"/>
      <c r="E180" s="1">
        <f>SUBTOTAL(9,E160:E179)</f>
        <v>3944.2000000000007</v>
      </c>
      <c r="F180" s="19">
        <f>SUBTOTAL(9,F160:F179)</f>
        <v>116.45108675036984</v>
      </c>
      <c r="G180" s="59">
        <f>SUBTOTAL(9,G160:G179)</f>
        <v>363.76740128209997</v>
      </c>
      <c r="H180" s="19">
        <f>SUBTOTAL(9,H160:H179)</f>
        <v>687.23237112619961</v>
      </c>
      <c r="I180" s="139">
        <f>SUBTOTAL(9,I160:I179)</f>
        <v>1167.4508591586693</v>
      </c>
      <c r="K180"/>
    </row>
    <row r="181" spans="1:11" hidden="1" outlineLevel="2">
      <c r="A181" s="147">
        <v>46113</v>
      </c>
      <c r="B181" s="1" t="s">
        <v>1871</v>
      </c>
      <c r="C181" s="144" t="s">
        <v>1890</v>
      </c>
      <c r="D181" s="1" t="s">
        <v>655</v>
      </c>
      <c r="E181" s="1"/>
      <c r="F181" s="59"/>
      <c r="G181" s="59">
        <v>0</v>
      </c>
      <c r="H181" s="59">
        <v>34.543141047521523</v>
      </c>
      <c r="I181" s="139">
        <f t="shared" si="7"/>
        <v>34.543141047521523</v>
      </c>
      <c r="K181"/>
    </row>
    <row r="182" spans="1:11" hidden="1" outlineLevel="2">
      <c r="A182" s="147">
        <v>46113</v>
      </c>
      <c r="B182" s="1" t="s">
        <v>1413</v>
      </c>
      <c r="C182" s="144" t="s">
        <v>1891</v>
      </c>
      <c r="D182" s="1" t="s">
        <v>655</v>
      </c>
      <c r="E182" s="1"/>
      <c r="F182" s="59"/>
      <c r="G182" s="59">
        <v>0</v>
      </c>
      <c r="H182" s="59">
        <v>26.785072249402663</v>
      </c>
      <c r="I182" s="139">
        <f t="shared" si="7"/>
        <v>26.785072249402663</v>
      </c>
      <c r="K182"/>
    </row>
    <row r="183" spans="1:11" hidden="1" outlineLevel="2">
      <c r="A183" s="147">
        <v>46113</v>
      </c>
      <c r="B183" s="1" t="s">
        <v>1356</v>
      </c>
      <c r="C183" s="144" t="s">
        <v>1828</v>
      </c>
      <c r="D183" s="1" t="str">
        <f>VLOOKUP(RIGHT(C183,8),'[2]Export shipment'!B$8:J$1256,9,0)</f>
        <v>FedEx</v>
      </c>
      <c r="E183" s="1">
        <f>VLOOKUP(RIGHT(C183,8),'[2]Export shipment'!B$8:E$1256,4,0)</f>
        <v>27.9</v>
      </c>
      <c r="F183" s="59">
        <v>0</v>
      </c>
      <c r="G183" s="59">
        <v>15.170478249326811</v>
      </c>
      <c r="H183" s="59">
        <v>0</v>
      </c>
      <c r="I183" s="139">
        <f t="shared" si="7"/>
        <v>15.170478249326811</v>
      </c>
      <c r="K183"/>
    </row>
    <row r="184" spans="1:11" hidden="1" outlineLevel="2">
      <c r="A184" s="147">
        <v>46113</v>
      </c>
      <c r="B184" s="1" t="s">
        <v>1036</v>
      </c>
      <c r="C184" s="144" t="s">
        <v>1831</v>
      </c>
      <c r="D184" s="1" t="str">
        <f>VLOOKUP(RIGHT(C184,8),'[2]Export shipment'!B$8:J$1256,9,0)</f>
        <v>FedEx</v>
      </c>
      <c r="E184" s="1">
        <f>VLOOKUP(RIGHT(C184,8),'[2]Export shipment'!B$8:E$1256,4,0)</f>
        <v>567.1</v>
      </c>
      <c r="F184" s="59">
        <v>0</v>
      </c>
      <c r="G184" s="59">
        <v>15.170478249326811</v>
      </c>
      <c r="H184" s="59">
        <v>0</v>
      </c>
      <c r="I184" s="139">
        <f t="shared" si="7"/>
        <v>15.170478249326811</v>
      </c>
      <c r="K184"/>
    </row>
    <row r="185" spans="1:11" hidden="1" outlineLevel="2">
      <c r="A185" s="147">
        <v>46113</v>
      </c>
      <c r="B185" s="1" t="s">
        <v>1030</v>
      </c>
      <c r="C185" s="144" t="s">
        <v>1834</v>
      </c>
      <c r="D185" s="1" t="str">
        <f>VLOOKUP(RIGHT(C185,8),'[2]Export shipment'!B$8:J$1256,9,0)</f>
        <v>FedEx</v>
      </c>
      <c r="E185" s="1">
        <f>VLOOKUP(RIGHT(C185,8),'[2]Export shipment'!B$8:E$1256,4,0)</f>
        <v>36.299999999999997</v>
      </c>
      <c r="F185" s="59">
        <v>18.204573899192173</v>
      </c>
      <c r="G185" s="59">
        <v>123.26</v>
      </c>
      <c r="H185" s="59">
        <v>0</v>
      </c>
      <c r="I185" s="139">
        <f t="shared" si="7"/>
        <v>141.46457389919217</v>
      </c>
      <c r="K185"/>
    </row>
    <row r="186" spans="1:11" hidden="1" outlineLevel="2">
      <c r="A186" s="147">
        <v>46113</v>
      </c>
      <c r="B186" s="1" t="s">
        <v>110</v>
      </c>
      <c r="C186" s="144" t="s">
        <v>1835</v>
      </c>
      <c r="D186" s="1" t="str">
        <f>VLOOKUP(RIGHT(C186,8),'[2]Export shipment'!B$8:J$1256,9,0)</f>
        <v>FedEx</v>
      </c>
      <c r="E186" s="1">
        <f>VLOOKUP(RIGHT(C186,8),'[2]Export shipment'!B$8:E$1256,4,0)</f>
        <v>1.8</v>
      </c>
      <c r="F186" s="59">
        <v>18.204573899192173</v>
      </c>
      <c r="G186" s="59">
        <v>24.652027155156066</v>
      </c>
      <c r="H186" s="59">
        <v>0</v>
      </c>
      <c r="I186" s="139">
        <f t="shared" si="7"/>
        <v>42.856601054348239</v>
      </c>
      <c r="K186"/>
    </row>
    <row r="187" spans="1:11" hidden="1" outlineLevel="2">
      <c r="A187" s="147">
        <v>46113</v>
      </c>
      <c r="B187" s="1" t="s">
        <v>1356</v>
      </c>
      <c r="C187" s="144" t="s">
        <v>1845</v>
      </c>
      <c r="D187" s="1" t="str">
        <f>VLOOKUP(RIGHT(C187,8),'[2]Export shipment'!B$8:J$1256,9,0)</f>
        <v>FedEx</v>
      </c>
      <c r="E187" s="1">
        <f>VLOOKUP(RIGHT(C187,8),'[2]Export shipment'!B$8:E$1256,4,0)</f>
        <v>10.4</v>
      </c>
      <c r="F187" s="59">
        <v>0</v>
      </c>
      <c r="G187" s="59">
        <v>15.170478249326811</v>
      </c>
      <c r="H187" s="59">
        <v>0</v>
      </c>
      <c r="I187" s="139">
        <f t="shared" si="7"/>
        <v>15.170478249326811</v>
      </c>
      <c r="K187"/>
    </row>
    <row r="188" spans="1:11" hidden="1" outlineLevel="2">
      <c r="A188" s="147">
        <v>46113</v>
      </c>
      <c r="B188" s="1" t="s">
        <v>1849</v>
      </c>
      <c r="C188" s="144" t="s">
        <v>1848</v>
      </c>
      <c r="D188" s="1" t="str">
        <f>VLOOKUP(RIGHT(C188,8),'[2]Export shipment'!B$8:J$1256,9,0)</f>
        <v>DHL</v>
      </c>
      <c r="E188" s="1">
        <f>VLOOKUP(RIGHT(C188,8),'[2]Export shipment'!B$8:E$1256,4,0)</f>
        <v>3.6</v>
      </c>
      <c r="F188" s="59">
        <v>0</v>
      </c>
      <c r="G188" s="59">
        <v>24.652027155156066</v>
      </c>
      <c r="H188" s="59">
        <v>0</v>
      </c>
      <c r="I188" s="139">
        <f t="shared" si="7"/>
        <v>24.652027155156066</v>
      </c>
      <c r="K188"/>
    </row>
    <row r="189" spans="1:11" hidden="1" outlineLevel="2">
      <c r="A189" s="147">
        <v>46113</v>
      </c>
      <c r="B189" s="1" t="s">
        <v>1851</v>
      </c>
      <c r="C189" s="144" t="s">
        <v>1850</v>
      </c>
      <c r="D189" s="1" t="str">
        <f>VLOOKUP(RIGHT(C189,8),'[2]Export shipment'!B$8:J$1256,9,0)</f>
        <v>FedEx</v>
      </c>
      <c r="E189" s="1">
        <f>VLOOKUP(RIGHT(C189,8),'[2]Export shipment'!B$8:E$1256,4,0)</f>
        <v>0.1</v>
      </c>
      <c r="F189" s="59">
        <v>0</v>
      </c>
      <c r="G189" s="59">
        <v>24.652027155156066</v>
      </c>
      <c r="H189" s="59">
        <v>0</v>
      </c>
      <c r="I189" s="139">
        <f t="shared" si="7"/>
        <v>24.652027155156066</v>
      </c>
      <c r="K189"/>
    </row>
    <row r="190" spans="1:11" hidden="1" outlineLevel="2">
      <c r="A190" s="147">
        <v>46113</v>
      </c>
      <c r="B190" s="1" t="s">
        <v>1356</v>
      </c>
      <c r="C190" s="144" t="s">
        <v>1856</v>
      </c>
      <c r="D190" s="1" t="str">
        <f>VLOOKUP(RIGHT(C190,8),'[2]Export shipment'!B$8:J$1256,9,0)</f>
        <v>FedEx</v>
      </c>
      <c r="E190" s="1">
        <f>VLOOKUP(RIGHT(C190,8),'[2]Export shipment'!B$8:E$1256,4,0)</f>
        <v>15.6</v>
      </c>
      <c r="F190" s="59">
        <v>0</v>
      </c>
      <c r="G190" s="59">
        <v>15.170478249326811</v>
      </c>
      <c r="H190" s="59">
        <v>0</v>
      </c>
      <c r="I190" s="139">
        <f t="shared" si="7"/>
        <v>15.170478249326811</v>
      </c>
      <c r="K190"/>
    </row>
    <row r="191" spans="1:11" hidden="1" outlineLevel="2">
      <c r="A191" s="147">
        <v>46113</v>
      </c>
      <c r="B191" s="1" t="s">
        <v>1730</v>
      </c>
      <c r="C191" s="144" t="s">
        <v>1858</v>
      </c>
      <c r="D191" s="1" t="str">
        <f>VLOOKUP(RIGHT(C191,8),'[2]Export shipment'!B$8:J$1256,9,0)</f>
        <v>DHL</v>
      </c>
      <c r="E191" s="1">
        <f>VLOOKUP(RIGHT(C191,8),'[2]Export shipment'!B$8:E$1256,4,0)</f>
        <v>1.5</v>
      </c>
      <c r="F191" s="59">
        <v>18.204573899192173</v>
      </c>
      <c r="G191" s="59">
        <v>24.652027155156066</v>
      </c>
      <c r="H191" s="59">
        <v>0</v>
      </c>
      <c r="I191" s="139">
        <f t="shared" si="7"/>
        <v>42.856601054348239</v>
      </c>
      <c r="K191"/>
    </row>
    <row r="192" spans="1:11" hidden="1" outlineLevel="2">
      <c r="A192" s="147">
        <v>46113</v>
      </c>
      <c r="B192" s="1" t="s">
        <v>1001</v>
      </c>
      <c r="C192" s="144" t="s">
        <v>1863</v>
      </c>
      <c r="D192" s="1" t="str">
        <f>VLOOKUP(RIGHT(C192,8),'[2]Export shipment'!B$8:J$1256,9,0)</f>
        <v>FedEx</v>
      </c>
      <c r="E192" s="1">
        <f>VLOOKUP(RIGHT(C192,8),'[2]Export shipment'!B$8:E$1256,4,0)</f>
        <v>13.9</v>
      </c>
      <c r="F192" s="59">
        <v>18.204573899192173</v>
      </c>
      <c r="G192" s="59">
        <v>123.26</v>
      </c>
      <c r="H192" s="59">
        <v>0</v>
      </c>
      <c r="I192" s="139">
        <f t="shared" ref="I192:I220" si="8">SUM(F192:H192)</f>
        <v>141.46457389919217</v>
      </c>
      <c r="K192"/>
    </row>
    <row r="193" spans="1:11" outlineLevel="1" collapsed="1">
      <c r="A193" s="147" t="s">
        <v>1885</v>
      </c>
      <c r="B193" s="1"/>
      <c r="C193" s="144"/>
      <c r="D193" s="1"/>
      <c r="E193" s="1">
        <f>SUBTOTAL(9,E181:E192)</f>
        <v>678.19999999999993</v>
      </c>
      <c r="F193" s="19">
        <f>SUBTOTAL(9,F181:F192)</f>
        <v>72.818295596768692</v>
      </c>
      <c r="G193" s="59">
        <f>SUBTOTAL(9,G181:G192)</f>
        <v>405.81002161793157</v>
      </c>
      <c r="H193" s="19">
        <f>SUBTOTAL(9,H181:H192)</f>
        <v>61.32821329692419</v>
      </c>
      <c r="I193" s="139">
        <f>SUBTOTAL(9,I181:I192)</f>
        <v>539.95653051162446</v>
      </c>
      <c r="K193"/>
    </row>
    <row r="194" spans="1:11" hidden="1" outlineLevel="2">
      <c r="A194" s="147">
        <v>46143</v>
      </c>
      <c r="B194" s="1" t="s">
        <v>369</v>
      </c>
      <c r="C194" s="144" t="s">
        <v>2061</v>
      </c>
      <c r="D194" s="1" t="str">
        <f>VLOOKUP(RIGHT(C194,8),'[2]Export shipment'!B$8:J$1256,9,0)</f>
        <v>FedEx</v>
      </c>
      <c r="E194" s="1">
        <f>VLOOKUP(RIGHT(C194,8),'[2]Export shipment'!B$8:E$1256,4,0)</f>
        <v>1.4</v>
      </c>
      <c r="F194" s="59"/>
      <c r="G194" s="59">
        <v>24.617482199666718</v>
      </c>
      <c r="H194" s="59">
        <v>45.194326617179215</v>
      </c>
      <c r="I194" s="139">
        <f t="shared" si="8"/>
        <v>69.811808816845939</v>
      </c>
      <c r="K194"/>
    </row>
    <row r="195" spans="1:11" hidden="1" outlineLevel="2">
      <c r="A195" s="147">
        <v>46143</v>
      </c>
      <c r="B195" s="1" t="s">
        <v>1892</v>
      </c>
      <c r="C195" s="144" t="s">
        <v>2101</v>
      </c>
      <c r="D195" s="1" t="s">
        <v>655</v>
      </c>
      <c r="E195" s="1"/>
      <c r="F195" s="59"/>
      <c r="G195" s="59">
        <v>0</v>
      </c>
      <c r="H195" s="59">
        <v>64.516777760945317</v>
      </c>
      <c r="I195" s="139">
        <f t="shared" si="8"/>
        <v>64.516777760945317</v>
      </c>
      <c r="K195"/>
    </row>
    <row r="196" spans="1:11" hidden="1" outlineLevel="2">
      <c r="A196" s="147">
        <v>46143</v>
      </c>
      <c r="B196" s="1" t="s">
        <v>1893</v>
      </c>
      <c r="C196" s="144" t="s">
        <v>2102</v>
      </c>
      <c r="D196" s="1" t="s">
        <v>655</v>
      </c>
      <c r="E196" s="1"/>
      <c r="F196" s="59"/>
      <c r="G196" s="59">
        <v>0</v>
      </c>
      <c r="H196" s="59">
        <v>33.931790637782157</v>
      </c>
      <c r="I196" s="139">
        <f t="shared" si="8"/>
        <v>33.931790637782157</v>
      </c>
      <c r="K196"/>
    </row>
    <row r="197" spans="1:11" hidden="1" outlineLevel="2">
      <c r="A197" s="147">
        <v>46143</v>
      </c>
      <c r="B197" s="1" t="s">
        <v>2055</v>
      </c>
      <c r="C197" s="144" t="s">
        <v>2103</v>
      </c>
      <c r="D197" s="1" t="str">
        <f>VLOOKUP(RIGHT(C197,8),'[2]Export shipment'!B$8:J$1256,9,0)</f>
        <v>FedEx</v>
      </c>
      <c r="E197" s="1">
        <f>VLOOKUP(RIGHT(C197,8),'[2]Export shipment'!B$8:E$1256,4,0)</f>
        <v>26.8</v>
      </c>
      <c r="F197" s="59">
        <v>18.179063778215422</v>
      </c>
      <c r="G197" s="59">
        <v>98.47</v>
      </c>
      <c r="H197" s="59">
        <v>0</v>
      </c>
      <c r="I197" s="139">
        <f t="shared" si="8"/>
        <v>116.64906377821542</v>
      </c>
      <c r="K197"/>
    </row>
    <row r="198" spans="1:11" hidden="1" outlineLevel="2">
      <c r="A198" s="147">
        <v>46143</v>
      </c>
      <c r="B198" s="1" t="s">
        <v>2057</v>
      </c>
      <c r="C198" s="144" t="s">
        <v>2056</v>
      </c>
      <c r="D198" s="1" t="str">
        <f>VLOOKUP(RIGHT(C198,8),'[2]Export shipment'!B$8:J$1256,9,0)</f>
        <v>FedEx</v>
      </c>
      <c r="E198" s="1">
        <f>VLOOKUP(RIGHT(C198,8),'[2]Export shipment'!B$8:E$1256,4,0)</f>
        <v>10.4</v>
      </c>
      <c r="F198" s="59">
        <v>0</v>
      </c>
      <c r="G198" s="59">
        <v>24.617482199666718</v>
      </c>
      <c r="H198" s="59">
        <v>0</v>
      </c>
      <c r="I198" s="139">
        <f t="shared" si="8"/>
        <v>24.617482199666718</v>
      </c>
      <c r="K198"/>
    </row>
    <row r="199" spans="1:11" hidden="1" outlineLevel="2">
      <c r="A199" s="147">
        <v>46143</v>
      </c>
      <c r="B199" s="1" t="s">
        <v>1356</v>
      </c>
      <c r="C199" s="144" t="s">
        <v>2104</v>
      </c>
      <c r="D199" s="1" t="str">
        <f>VLOOKUP(RIGHT(C199,8),'[2]Export shipment'!B$8:J$1256,9,0)</f>
        <v>FedEx</v>
      </c>
      <c r="E199" s="1">
        <f>VLOOKUP(RIGHT(C199,8),'[2]Export shipment'!B$8:E$1256,4,0)</f>
        <v>19.2</v>
      </c>
      <c r="F199" s="59">
        <v>0</v>
      </c>
      <c r="G199" s="59">
        <v>15.149219815179519</v>
      </c>
      <c r="H199" s="59">
        <v>0</v>
      </c>
      <c r="I199" s="139">
        <f t="shared" si="8"/>
        <v>15.149219815179519</v>
      </c>
      <c r="K199"/>
    </row>
    <row r="200" spans="1:11" hidden="1" outlineLevel="2">
      <c r="A200" s="147">
        <v>46143</v>
      </c>
      <c r="B200" s="1" t="s">
        <v>2055</v>
      </c>
      <c r="C200" s="144" t="s">
        <v>2105</v>
      </c>
      <c r="D200" s="1" t="str">
        <f>VLOOKUP(RIGHT(C200,8),'[2]Export shipment'!B$8:J$1256,9,0)</f>
        <v>FedEx</v>
      </c>
      <c r="E200" s="1">
        <f>VLOOKUP(RIGHT(C200,8),'[2]Export shipment'!B$8:E$1256,4,0)</f>
        <v>30.6</v>
      </c>
      <c r="F200" s="59">
        <v>18.179063778215422</v>
      </c>
      <c r="G200" s="59">
        <v>123.09</v>
      </c>
      <c r="H200" s="59">
        <v>0</v>
      </c>
      <c r="I200" s="139">
        <f t="shared" si="8"/>
        <v>141.26906377821541</v>
      </c>
      <c r="K200"/>
    </row>
    <row r="201" spans="1:11" hidden="1" outlineLevel="2">
      <c r="A201" s="147">
        <v>46143</v>
      </c>
      <c r="B201" s="1" t="s">
        <v>1356</v>
      </c>
      <c r="C201" s="144" t="s">
        <v>2106</v>
      </c>
      <c r="D201" s="1" t="str">
        <f>VLOOKUP(RIGHT(C201,8),'[2]Export shipment'!B$8:J$1256,9,0)</f>
        <v>FedEx</v>
      </c>
      <c r="E201" s="1">
        <f>VLOOKUP(RIGHT(C201,8),'[2]Export shipment'!B$8:E$1256,4,0)</f>
        <v>31.8</v>
      </c>
      <c r="F201" s="59">
        <v>0</v>
      </c>
      <c r="G201" s="59">
        <v>15.149219815179519</v>
      </c>
      <c r="H201" s="59">
        <v>0</v>
      </c>
      <c r="I201" s="139">
        <f t="shared" si="8"/>
        <v>15.149219815179519</v>
      </c>
      <c r="K201"/>
    </row>
    <row r="202" spans="1:11" hidden="1" outlineLevel="2">
      <c r="A202" s="147">
        <v>46143</v>
      </c>
      <c r="B202" s="1" t="s">
        <v>1356</v>
      </c>
      <c r="C202" s="144" t="s">
        <v>2107</v>
      </c>
      <c r="D202" s="1" t="str">
        <f>VLOOKUP(RIGHT(C202,8),'[2]Export shipment'!B$8:J$1256,9,0)</f>
        <v>FedEx</v>
      </c>
      <c r="E202" s="1">
        <f>VLOOKUP(RIGHT(C202,8),'[2]Export shipment'!B$8:E$1256,4,0)</f>
        <v>29.4</v>
      </c>
      <c r="F202" s="59">
        <v>0</v>
      </c>
      <c r="G202" s="59">
        <v>15.149219815179519</v>
      </c>
      <c r="H202" s="59">
        <v>0</v>
      </c>
      <c r="I202" s="139">
        <f t="shared" si="8"/>
        <v>15.149219815179519</v>
      </c>
      <c r="K202"/>
    </row>
    <row r="203" spans="1:11" hidden="1" outlineLevel="2">
      <c r="A203" s="147">
        <v>46143</v>
      </c>
      <c r="B203" s="1" t="s">
        <v>1356</v>
      </c>
      <c r="C203" s="144" t="s">
        <v>2108</v>
      </c>
      <c r="D203" s="1" t="str">
        <f>VLOOKUP(RIGHT(C203,8),'[2]Export shipment'!B$8:J$1256,9,0)</f>
        <v>FedEx</v>
      </c>
      <c r="E203" s="1">
        <f>VLOOKUP(RIGHT(C203,8),'[2]Export shipment'!B$8:E$1256,4,0)</f>
        <v>11.8</v>
      </c>
      <c r="F203" s="59">
        <v>18.179063778215422</v>
      </c>
      <c r="G203" s="59">
        <v>49.23</v>
      </c>
      <c r="H203" s="59">
        <v>0</v>
      </c>
      <c r="I203" s="139">
        <f t="shared" si="8"/>
        <v>67.409063778215426</v>
      </c>
      <c r="K203"/>
    </row>
    <row r="204" spans="1:11" hidden="1" outlineLevel="2">
      <c r="A204" s="147">
        <v>46143</v>
      </c>
      <c r="B204" s="1" t="s">
        <v>2041</v>
      </c>
      <c r="C204" s="144" t="s">
        <v>2109</v>
      </c>
      <c r="D204" s="1" t="str">
        <f>VLOOKUP(RIGHT(C204,8),'[2]Export shipment'!B$8:J$1256,9,0)</f>
        <v>FedEx</v>
      </c>
      <c r="E204" s="1">
        <f>VLOOKUP(RIGHT(C204,8),'[2]Export shipment'!B$8:E$1256,4,0)</f>
        <v>36.200000000000003</v>
      </c>
      <c r="F204" s="59">
        <v>0</v>
      </c>
      <c r="G204" s="59">
        <v>15.149219815179519</v>
      </c>
      <c r="H204" s="59">
        <v>0</v>
      </c>
      <c r="I204" s="139">
        <f t="shared" si="8"/>
        <v>15.149219815179519</v>
      </c>
      <c r="K204"/>
    </row>
    <row r="205" spans="1:11" hidden="1" outlineLevel="2">
      <c r="A205" s="147">
        <v>46143</v>
      </c>
      <c r="B205" s="1" t="s">
        <v>1001</v>
      </c>
      <c r="C205" s="144" t="s">
        <v>2110</v>
      </c>
      <c r="D205" s="1" t="str">
        <f>VLOOKUP(RIGHT(C205,8),'[2]Export shipment'!B$8:J$1256,9,0)</f>
        <v>FedEx</v>
      </c>
      <c r="E205" s="1">
        <f>VLOOKUP(RIGHT(C205,8),'[2]Export shipment'!B$8:E$1256,4,0)</f>
        <v>14.4</v>
      </c>
      <c r="F205" s="59">
        <v>18.179063778215422</v>
      </c>
      <c r="G205" s="59">
        <v>98.47</v>
      </c>
      <c r="H205" s="59">
        <v>0</v>
      </c>
      <c r="I205" s="139">
        <f t="shared" si="8"/>
        <v>116.64906377821542</v>
      </c>
      <c r="K205"/>
    </row>
    <row r="206" spans="1:11" hidden="1" outlineLevel="2">
      <c r="A206" s="147">
        <v>46143</v>
      </c>
      <c r="B206" s="1" t="s">
        <v>1356</v>
      </c>
      <c r="C206" s="144" t="s">
        <v>2111</v>
      </c>
      <c r="D206" s="1" t="str">
        <f>VLOOKUP(RIGHT(C206,8),'[2]Export shipment'!B$8:J$1256,9,0)</f>
        <v>FedEx</v>
      </c>
      <c r="E206" s="1">
        <f>VLOOKUP(RIGHT(C206,8),'[2]Export shipment'!B$8:E$1256,4,0)</f>
        <v>60.9</v>
      </c>
      <c r="F206" s="59">
        <v>0</v>
      </c>
      <c r="G206" s="59">
        <v>15.149219815179519</v>
      </c>
      <c r="H206" s="59">
        <v>0</v>
      </c>
      <c r="I206" s="139">
        <f t="shared" si="8"/>
        <v>15.149219815179519</v>
      </c>
      <c r="K206"/>
    </row>
    <row r="207" spans="1:11" hidden="1" outlineLevel="2">
      <c r="A207" s="147">
        <v>46143</v>
      </c>
      <c r="B207" s="1" t="s">
        <v>2072</v>
      </c>
      <c r="C207" s="144" t="s">
        <v>2112</v>
      </c>
      <c r="D207" s="1" t="str">
        <f>VLOOKUP(RIGHT(C207,8),'[2]Export shipment'!B$8:J$1256,9,0)</f>
        <v>FedEx</v>
      </c>
      <c r="E207" s="1">
        <f>VLOOKUP(RIGHT(C207,8),'[2]Export shipment'!B$8:E$1256,4,0)</f>
        <v>58.5</v>
      </c>
      <c r="F207" s="59">
        <v>0</v>
      </c>
      <c r="G207" s="59">
        <v>15.149219815179519</v>
      </c>
      <c r="H207" s="59">
        <v>0</v>
      </c>
      <c r="I207" s="139">
        <f t="shared" si="8"/>
        <v>15.149219815179519</v>
      </c>
      <c r="K207"/>
    </row>
    <row r="208" spans="1:11" hidden="1" outlineLevel="2">
      <c r="A208" s="147">
        <v>46143</v>
      </c>
      <c r="B208" s="1" t="s">
        <v>2073</v>
      </c>
      <c r="C208" s="144" t="s">
        <v>2113</v>
      </c>
      <c r="D208" s="1" t="str">
        <f>VLOOKUP(RIGHT(C208,8),'[2]Export shipment'!B$8:J$1256,9,0)</f>
        <v>FedEx</v>
      </c>
      <c r="E208" s="1">
        <f>VLOOKUP(RIGHT(C208,8),'[2]Export shipment'!B$8:E$1256,4,0)</f>
        <v>12.3</v>
      </c>
      <c r="F208" s="59">
        <v>0</v>
      </c>
      <c r="G208" s="59">
        <v>15.149219815179519</v>
      </c>
      <c r="H208" s="59">
        <v>0</v>
      </c>
      <c r="I208" s="139">
        <f t="shared" si="8"/>
        <v>15.149219815179519</v>
      </c>
      <c r="K208"/>
    </row>
    <row r="209" spans="1:14" hidden="1" outlineLevel="2">
      <c r="A209" s="147">
        <v>46143</v>
      </c>
      <c r="B209" s="1" t="s">
        <v>2074</v>
      </c>
      <c r="C209" s="144" t="s">
        <v>2114</v>
      </c>
      <c r="D209" s="1" t="str">
        <f>VLOOKUP(RIGHT(C209,8),'[2]Export shipment'!B$8:J$1256,9,0)</f>
        <v>FedEx</v>
      </c>
      <c r="E209" s="1">
        <f>VLOOKUP(RIGHT(C209,8),'[2]Export shipment'!B$8:E$1256,4,0)</f>
        <v>44.6</v>
      </c>
      <c r="F209" s="59">
        <v>0</v>
      </c>
      <c r="G209" s="59">
        <v>15.149219815179519</v>
      </c>
      <c r="H209" s="59">
        <v>0</v>
      </c>
      <c r="I209" s="139">
        <f t="shared" si="8"/>
        <v>15.149219815179519</v>
      </c>
      <c r="K209"/>
    </row>
    <row r="210" spans="1:14" hidden="1" outlineLevel="2">
      <c r="A210" s="696">
        <v>46143</v>
      </c>
      <c r="B210" s="1" t="s">
        <v>1356</v>
      </c>
      <c r="C210" s="144" t="s">
        <v>2115</v>
      </c>
      <c r="D210" s="1" t="str">
        <f>VLOOKUP(RIGHT(C210,8),'[2]Export shipment'!B$8:J$1256,9,0)</f>
        <v>FedEx</v>
      </c>
      <c r="E210" s="1">
        <f>VLOOKUP(RIGHT(C210,8),'[2]Export shipment'!B$8:E$1256,4,0)</f>
        <v>8.4</v>
      </c>
      <c r="F210" s="59">
        <v>0</v>
      </c>
      <c r="G210" s="59">
        <v>15.149219815179519</v>
      </c>
      <c r="H210" s="59">
        <v>0</v>
      </c>
      <c r="I210" s="139">
        <f t="shared" si="8"/>
        <v>15.149219815179519</v>
      </c>
      <c r="K210"/>
    </row>
    <row r="211" spans="1:14" hidden="1" outlineLevel="2">
      <c r="A211" s="147">
        <v>46143</v>
      </c>
      <c r="B211" s="1" t="s">
        <v>110</v>
      </c>
      <c r="C211" s="144">
        <v>2869707912</v>
      </c>
      <c r="D211" s="1" t="s">
        <v>897</v>
      </c>
      <c r="E211" s="1"/>
      <c r="F211" s="59"/>
      <c r="G211" s="59"/>
      <c r="H211" s="698">
        <v>158.87943644902288</v>
      </c>
      <c r="I211" s="139">
        <f t="shared" si="8"/>
        <v>158.87943644902288</v>
      </c>
      <c r="K211"/>
    </row>
    <row r="212" spans="1:14" outlineLevel="1" collapsed="1">
      <c r="A212" s="147" t="s">
        <v>2095</v>
      </c>
      <c r="B212" s="1"/>
      <c r="C212" s="144"/>
      <c r="D212" s="1"/>
      <c r="E212" s="1">
        <f>SUBTOTAL(9,E194:E211)</f>
        <v>396.70000000000005</v>
      </c>
      <c r="F212" s="19">
        <f>SUBTOTAL(9,F194:F211)</f>
        <v>72.716255112861688</v>
      </c>
      <c r="G212" s="59">
        <f>SUBTOTAL(9,G194:G211)</f>
        <v>554.83794273594901</v>
      </c>
      <c r="H212" s="19">
        <f>SUBTOTAL(9,H194:H211)</f>
        <v>302.52233146492955</v>
      </c>
      <c r="I212" s="139">
        <f>SUBTOTAL(9,I194:I211)</f>
        <v>930.07652931374059</v>
      </c>
      <c r="K212"/>
    </row>
    <row r="213" spans="1:14" outlineLevel="2">
      <c r="A213" s="147">
        <v>46174</v>
      </c>
      <c r="B213" s="1" t="s">
        <v>2137</v>
      </c>
      <c r="C213" s="144" t="s">
        <v>2146</v>
      </c>
      <c r="D213" s="1" t="s">
        <v>655</v>
      </c>
      <c r="E213" s="1">
        <v>0.6</v>
      </c>
      <c r="F213" s="59">
        <v>0</v>
      </c>
      <c r="G213" s="59">
        <v>0</v>
      </c>
      <c r="H213" s="59">
        <v>40.021691482125313</v>
      </c>
      <c r="I213" s="139">
        <f t="shared" si="8"/>
        <v>40.021691482125313</v>
      </c>
      <c r="K213"/>
    </row>
    <row r="214" spans="1:14" outlineLevel="2">
      <c r="A214" s="147">
        <v>46174</v>
      </c>
      <c r="B214" s="1" t="s">
        <v>1001</v>
      </c>
      <c r="C214" s="144" t="s">
        <v>3067</v>
      </c>
      <c r="D214" s="1" t="s">
        <v>655</v>
      </c>
      <c r="E214" s="1">
        <v>10.8</v>
      </c>
      <c r="F214" s="59">
        <v>22.674023127503592</v>
      </c>
      <c r="G214" s="59">
        <v>49.127050109591202</v>
      </c>
      <c r="H214" s="59">
        <v>0</v>
      </c>
      <c r="I214" s="139">
        <f t="shared" si="8"/>
        <v>71.801073237094798</v>
      </c>
      <c r="K214"/>
    </row>
    <row r="215" spans="1:14" outlineLevel="2">
      <c r="A215" s="147">
        <v>46174</v>
      </c>
      <c r="B215" s="1" t="s">
        <v>1036</v>
      </c>
      <c r="C215" s="144" t="s">
        <v>3068</v>
      </c>
      <c r="D215" s="1" t="s">
        <v>655</v>
      </c>
      <c r="E215" s="1">
        <v>87</v>
      </c>
      <c r="F215" s="59">
        <v>0</v>
      </c>
      <c r="G215" s="59">
        <v>15.116015418335726</v>
      </c>
      <c r="H215" s="59">
        <v>0</v>
      </c>
      <c r="I215" s="139">
        <f t="shared" si="8"/>
        <v>15.116015418335726</v>
      </c>
      <c r="K215"/>
    </row>
    <row r="216" spans="1:14" outlineLevel="2">
      <c r="A216" s="147">
        <v>46174</v>
      </c>
      <c r="B216" s="1" t="s">
        <v>1036</v>
      </c>
      <c r="C216" s="144" t="s">
        <v>3069</v>
      </c>
      <c r="D216" s="1" t="s">
        <v>655</v>
      </c>
      <c r="E216" s="1">
        <v>207</v>
      </c>
      <c r="F216" s="59">
        <v>0</v>
      </c>
      <c r="G216" s="59">
        <v>15.116015418335726</v>
      </c>
      <c r="H216" s="59">
        <v>0</v>
      </c>
      <c r="I216" s="139">
        <f t="shared" si="8"/>
        <v>15.116015418335726</v>
      </c>
      <c r="K216"/>
    </row>
    <row r="217" spans="1:14" outlineLevel="2">
      <c r="A217" s="147">
        <v>46174</v>
      </c>
      <c r="B217" s="1" t="s">
        <v>2141</v>
      </c>
      <c r="C217" s="144" t="s">
        <v>2152</v>
      </c>
      <c r="D217" s="1" t="s">
        <v>655</v>
      </c>
      <c r="E217" s="1">
        <v>1.7</v>
      </c>
      <c r="F217" s="59">
        <v>0</v>
      </c>
      <c r="G217" s="59">
        <v>0</v>
      </c>
      <c r="H217" s="59">
        <v>38.987075806817316</v>
      </c>
      <c r="I217" s="139">
        <f t="shared" si="8"/>
        <v>38.987075806817316</v>
      </c>
      <c r="K217"/>
    </row>
    <row r="218" spans="1:14" outlineLevel="2">
      <c r="A218" s="147">
        <v>46174</v>
      </c>
      <c r="B218" s="1" t="s">
        <v>1036</v>
      </c>
      <c r="C218" s="144" t="s">
        <v>3070</v>
      </c>
      <c r="D218" s="1" t="s">
        <v>655</v>
      </c>
      <c r="E218" s="1">
        <v>207.4</v>
      </c>
      <c r="F218" s="59">
        <v>0</v>
      </c>
      <c r="G218" s="59">
        <v>15.116015418335726</v>
      </c>
      <c r="H218" s="59">
        <v>0</v>
      </c>
      <c r="I218" s="139">
        <f t="shared" si="8"/>
        <v>15.116015418335726</v>
      </c>
      <c r="K218"/>
    </row>
    <row r="219" spans="1:14" outlineLevel="2">
      <c r="A219" s="147">
        <v>46174</v>
      </c>
      <c r="B219" s="1" t="s">
        <v>1001</v>
      </c>
      <c r="C219" s="144" t="s">
        <v>3071</v>
      </c>
      <c r="D219" s="1" t="s">
        <v>655</v>
      </c>
      <c r="E219" s="1">
        <v>10.6</v>
      </c>
      <c r="F219" s="59">
        <v>22.674023127503592</v>
      </c>
      <c r="G219" s="59">
        <v>24.563525054795555</v>
      </c>
      <c r="H219" s="59">
        <v>0</v>
      </c>
      <c r="I219" s="139">
        <f t="shared" si="8"/>
        <v>47.23754818229915</v>
      </c>
      <c r="K219"/>
    </row>
    <row r="220" spans="1:14" outlineLevel="2">
      <c r="A220" s="147">
        <v>46174</v>
      </c>
      <c r="B220" s="1" t="s">
        <v>2994</v>
      </c>
      <c r="C220" s="144" t="s">
        <v>3072</v>
      </c>
      <c r="D220" s="1" t="s">
        <v>655</v>
      </c>
      <c r="E220" s="1">
        <v>15.5</v>
      </c>
      <c r="F220" s="59">
        <v>0</v>
      </c>
      <c r="G220" s="59">
        <v>49.127050109591202</v>
      </c>
      <c r="H220" s="59">
        <v>0</v>
      </c>
      <c r="I220" s="139">
        <f t="shared" si="8"/>
        <v>49.127050109591202</v>
      </c>
      <c r="K220"/>
    </row>
    <row r="221" spans="1:14" outlineLevel="1">
      <c r="A221" s="147" t="s">
        <v>3046</v>
      </c>
      <c r="B221" s="1"/>
      <c r="C221" s="144"/>
      <c r="D221" s="1"/>
      <c r="E221" s="1">
        <f>SUBTOTAL(9,E213:E220)</f>
        <v>540.6</v>
      </c>
      <c r="F221" s="19">
        <f>SUBTOTAL(9,F213:F220)</f>
        <v>45.348046255007183</v>
      </c>
      <c r="G221" s="59">
        <f>SUBTOTAL(9,G213:G220)</f>
        <v>168.16567152898514</v>
      </c>
      <c r="H221" s="19">
        <f>SUBTOTAL(9,H213:H220)</f>
        <v>79.008767288942636</v>
      </c>
      <c r="I221" s="139">
        <f>SUBTOTAL(9,I213:I220)</f>
        <v>292.52248507293496</v>
      </c>
      <c r="K221"/>
    </row>
    <row r="222" spans="1:14" outlineLevel="1" collapsed="1">
      <c r="A222" s="147" t="s">
        <v>893</v>
      </c>
      <c r="B222" s="1"/>
      <c r="C222" s="144"/>
      <c r="D222" s="1"/>
      <c r="E222" s="1">
        <f>SUBTOTAL(9,E3:E220)</f>
        <v>45044.900000000067</v>
      </c>
      <c r="F222" s="19">
        <f>SUBTOTAL(9,F3:F220)</f>
        <v>507.32151581612527</v>
      </c>
      <c r="G222" s="59">
        <f>SUBTOTAL(9,G3:G220)</f>
        <v>4054.4995047637885</v>
      </c>
      <c r="H222" s="19">
        <f>SUBTOTAL(9,H3:H220)</f>
        <v>1705.9777063873464</v>
      </c>
      <c r="I222" s="139">
        <f>SUBTOTAL(9,I3:I220)</f>
        <v>6267.7987269672576</v>
      </c>
      <c r="K222"/>
    </row>
    <row r="224" spans="1:14" ht="37.5" customHeight="1">
      <c r="A224" s="889" t="s">
        <v>882</v>
      </c>
      <c r="B224" s="890"/>
      <c r="C224" s="890"/>
      <c r="D224" s="890"/>
      <c r="E224" s="890"/>
      <c r="F224" s="890"/>
      <c r="G224" s="890"/>
      <c r="H224" s="890"/>
      <c r="I224" s="890"/>
      <c r="J224" s="890"/>
      <c r="K224" s="890"/>
      <c r="L224" s="890"/>
      <c r="M224" s="891"/>
      <c r="N224" s="27"/>
    </row>
    <row r="225" spans="1:13" s="27" customFormat="1" ht="57" customHeight="1">
      <c r="A225" s="165" t="s">
        <v>44</v>
      </c>
      <c r="B225" s="166" t="s">
        <v>175</v>
      </c>
      <c r="C225" s="679" t="s">
        <v>40</v>
      </c>
      <c r="D225" s="167" t="s">
        <v>27</v>
      </c>
      <c r="E225" s="168" t="s">
        <v>176</v>
      </c>
      <c r="F225" s="169" t="s">
        <v>29</v>
      </c>
      <c r="G225" s="170" t="s">
        <v>177</v>
      </c>
      <c r="H225" s="170" t="s">
        <v>37</v>
      </c>
      <c r="I225" s="170" t="s">
        <v>43</v>
      </c>
      <c r="J225" s="171" t="s">
        <v>42</v>
      </c>
      <c r="K225" s="170" t="s">
        <v>30</v>
      </c>
      <c r="L225" s="170" t="s">
        <v>906</v>
      </c>
      <c r="M225" s="164" t="s">
        <v>35</v>
      </c>
    </row>
    <row r="226" spans="1:13" hidden="1" outlineLevel="2">
      <c r="A226" s="163">
        <v>45870</v>
      </c>
      <c r="B226" s="1" t="s">
        <v>318</v>
      </c>
      <c r="C226" s="144">
        <v>4914939500</v>
      </c>
      <c r="D226" s="158" t="s">
        <v>332</v>
      </c>
      <c r="E226" s="1">
        <v>123</v>
      </c>
      <c r="F226" s="159"/>
      <c r="G226" s="59"/>
      <c r="H226" s="59">
        <v>15.067615926470035</v>
      </c>
      <c r="I226" s="59">
        <v>339</v>
      </c>
      <c r="J226" s="59"/>
      <c r="K226" s="59"/>
      <c r="L226" s="59"/>
      <c r="M226" s="29">
        <f t="shared" ref="M226:M244" si="9">SUM(G226:L226)</f>
        <v>354.06761592647001</v>
      </c>
    </row>
    <row r="227" spans="1:13" hidden="1" outlineLevel="2">
      <c r="A227" s="163">
        <v>45870</v>
      </c>
      <c r="B227" s="1" t="s">
        <v>319</v>
      </c>
      <c r="C227" s="144">
        <v>4812833436</v>
      </c>
      <c r="D227" s="158" t="s">
        <v>332</v>
      </c>
      <c r="E227" s="1">
        <v>1032</v>
      </c>
      <c r="F227" s="159"/>
      <c r="G227" s="59"/>
      <c r="H227" s="59">
        <v>15.067615926470035</v>
      </c>
      <c r="I227" s="59">
        <v>993</v>
      </c>
      <c r="J227" s="59"/>
      <c r="K227" s="59"/>
      <c r="L227" s="59"/>
      <c r="M227" s="29">
        <f t="shared" si="9"/>
        <v>1008.06761592647</v>
      </c>
    </row>
    <row r="228" spans="1:13" hidden="1" outlineLevel="2">
      <c r="A228" s="163">
        <v>45870</v>
      </c>
      <c r="B228" s="1" t="s">
        <v>318</v>
      </c>
      <c r="C228" s="144">
        <v>4914928093</v>
      </c>
      <c r="D228" s="158" t="s">
        <v>332</v>
      </c>
      <c r="E228" s="160">
        <v>744</v>
      </c>
      <c r="F228" s="159"/>
      <c r="G228" s="59"/>
      <c r="H228" s="59">
        <v>15.067615926469999</v>
      </c>
      <c r="I228" s="59">
        <v>1439.5</v>
      </c>
      <c r="J228" s="59"/>
      <c r="K228" s="59"/>
      <c r="L228" s="59"/>
      <c r="M228" s="29">
        <f t="shared" si="9"/>
        <v>1454.5676159264699</v>
      </c>
    </row>
    <row r="229" spans="1:13" hidden="1" outlineLevel="2">
      <c r="A229" s="163">
        <v>45870</v>
      </c>
      <c r="B229" s="1" t="s">
        <v>381</v>
      </c>
      <c r="C229" s="144">
        <v>4914928094</v>
      </c>
      <c r="D229" s="158" t="s">
        <v>332</v>
      </c>
      <c r="E229" s="160">
        <v>152</v>
      </c>
      <c r="F229" s="159"/>
      <c r="G229" s="59"/>
      <c r="H229" s="59">
        <v>15.067615926469999</v>
      </c>
      <c r="I229" s="59">
        <v>383</v>
      </c>
      <c r="J229" s="59"/>
      <c r="K229" s="59"/>
      <c r="L229" s="59"/>
      <c r="M229" s="29">
        <f t="shared" si="9"/>
        <v>398.06761592647001</v>
      </c>
    </row>
    <row r="230" spans="1:13" hidden="1" outlineLevel="2">
      <c r="A230" s="163">
        <v>45870</v>
      </c>
      <c r="B230" s="161" t="s">
        <v>327</v>
      </c>
      <c r="C230" s="161" t="s">
        <v>320</v>
      </c>
      <c r="D230" s="158" t="s">
        <v>333</v>
      </c>
      <c r="E230" s="160">
        <v>1345.2</v>
      </c>
      <c r="F230" s="159">
        <v>7.75</v>
      </c>
      <c r="G230" s="59">
        <v>132.29013115621575</v>
      </c>
      <c r="H230" s="59">
        <v>15.067615926469999</v>
      </c>
      <c r="I230" s="59">
        <v>1134.7765808670674</v>
      </c>
      <c r="J230" s="59"/>
      <c r="K230" s="59">
        <v>87.353932796613378</v>
      </c>
      <c r="L230" s="59"/>
      <c r="M230" s="29">
        <f t="shared" si="9"/>
        <v>1369.4882607463667</v>
      </c>
    </row>
    <row r="231" spans="1:13" hidden="1" outlineLevel="2">
      <c r="A231" s="163">
        <v>45870</v>
      </c>
      <c r="B231" s="161" t="s">
        <v>328</v>
      </c>
      <c r="C231" s="161" t="s">
        <v>321</v>
      </c>
      <c r="D231" s="158" t="s">
        <v>333</v>
      </c>
      <c r="E231" s="160">
        <v>280</v>
      </c>
      <c r="F231" s="159">
        <v>1.34</v>
      </c>
      <c r="G231" s="59">
        <v>0</v>
      </c>
      <c r="H231" s="59">
        <v>15.067615926469999</v>
      </c>
      <c r="I231" s="59">
        <v>602.493933552557</v>
      </c>
      <c r="J231" s="59"/>
      <c r="K231" s="59">
        <v>37.963487923800884</v>
      </c>
      <c r="L231" s="59"/>
      <c r="M231" s="29">
        <f t="shared" si="9"/>
        <v>655.52503740282793</v>
      </c>
    </row>
    <row r="232" spans="1:13" hidden="1" outlineLevel="2">
      <c r="A232" s="163">
        <v>45870</v>
      </c>
      <c r="B232" s="161" t="s">
        <v>329</v>
      </c>
      <c r="C232" s="161" t="s">
        <v>322</v>
      </c>
      <c r="D232" s="158" t="s">
        <v>333</v>
      </c>
      <c r="E232" s="160">
        <v>1546.713</v>
      </c>
      <c r="F232" s="159">
        <v>6</v>
      </c>
      <c r="G232" s="59">
        <v>117.1712590240768</v>
      </c>
      <c r="H232" s="59">
        <v>15.067615926469999</v>
      </c>
      <c r="I232" s="59">
        <v>251.68991193256983</v>
      </c>
      <c r="J232" s="59"/>
      <c r="K232" s="59">
        <v>84.863249801564805</v>
      </c>
      <c r="L232" s="59"/>
      <c r="M232" s="29">
        <f t="shared" si="9"/>
        <v>468.79203668468142</v>
      </c>
    </row>
    <row r="233" spans="1:13" hidden="1" outlineLevel="2">
      <c r="A233" s="163">
        <v>45870</v>
      </c>
      <c r="B233" s="161" t="s">
        <v>327</v>
      </c>
      <c r="C233" s="161" t="s">
        <v>323</v>
      </c>
      <c r="D233" s="158" t="s">
        <v>333</v>
      </c>
      <c r="E233" s="160">
        <v>837.6</v>
      </c>
      <c r="F233" s="159">
        <v>4.95</v>
      </c>
      <c r="G233" s="59">
        <v>0</v>
      </c>
      <c r="H233" s="59">
        <v>15.067615926469999</v>
      </c>
      <c r="I233" s="59">
        <v>900.18932607627471</v>
      </c>
      <c r="J233" s="59"/>
      <c r="K233" s="59">
        <v>62.251956004082096</v>
      </c>
      <c r="L233" s="59"/>
      <c r="M233" s="29">
        <f t="shared" si="9"/>
        <v>977.50889800682683</v>
      </c>
    </row>
    <row r="234" spans="1:13" hidden="1" outlineLevel="2">
      <c r="A234" s="163">
        <v>45870</v>
      </c>
      <c r="B234" s="161" t="s">
        <v>330</v>
      </c>
      <c r="C234" s="161" t="s">
        <v>324</v>
      </c>
      <c r="D234" s="158" t="s">
        <v>333</v>
      </c>
      <c r="E234" s="160">
        <v>1840.9369999999999</v>
      </c>
      <c r="F234" s="159">
        <v>6.07</v>
      </c>
      <c r="G234" s="59">
        <v>117.1712590240768</v>
      </c>
      <c r="H234" s="59">
        <v>15.067615926469999</v>
      </c>
      <c r="I234" s="59">
        <v>255.30246059643952</v>
      </c>
      <c r="J234" s="59"/>
      <c r="K234" s="59">
        <v>80.816192312053516</v>
      </c>
      <c r="L234" s="59"/>
      <c r="M234" s="29">
        <f t="shared" si="9"/>
        <v>468.35752785903981</v>
      </c>
    </row>
    <row r="235" spans="1:13" hidden="1" outlineLevel="2">
      <c r="A235" s="163">
        <v>45870</v>
      </c>
      <c r="B235" s="161" t="s">
        <v>331</v>
      </c>
      <c r="C235" s="161" t="s">
        <v>325</v>
      </c>
      <c r="D235" s="158" t="s">
        <v>333</v>
      </c>
      <c r="E235" s="160">
        <v>321.73</v>
      </c>
      <c r="F235" s="159">
        <v>2.262</v>
      </c>
      <c r="G235" s="59">
        <v>37.797180330347359</v>
      </c>
      <c r="H235" s="59">
        <v>15.067615926469999</v>
      </c>
      <c r="I235" s="59">
        <v>112.70216577843294</v>
      </c>
      <c r="J235" s="59"/>
      <c r="K235" s="59">
        <v>41.637373851910645</v>
      </c>
      <c r="L235" s="59"/>
      <c r="M235" s="29">
        <f t="shared" si="9"/>
        <v>207.20433588716094</v>
      </c>
    </row>
    <row r="236" spans="1:13" hidden="1" outlineLevel="2">
      <c r="A236" s="163">
        <v>45870</v>
      </c>
      <c r="B236" s="161" t="s">
        <v>327</v>
      </c>
      <c r="C236" s="161" t="s">
        <v>326</v>
      </c>
      <c r="D236" s="158" t="s">
        <v>333</v>
      </c>
      <c r="E236" s="160">
        <v>649</v>
      </c>
      <c r="F236" s="159">
        <v>3.68</v>
      </c>
      <c r="G236" s="59">
        <v>58.585629512038402</v>
      </c>
      <c r="H236" s="59">
        <v>15.067615926469999</v>
      </c>
      <c r="I236" s="59">
        <v>811.67863325395922</v>
      </c>
      <c r="J236" s="59"/>
      <c r="K236" s="59">
        <v>45.719469327588165</v>
      </c>
      <c r="L236" s="59"/>
      <c r="M236" s="29">
        <f t="shared" si="9"/>
        <v>931.0513480200558</v>
      </c>
    </row>
    <row r="237" spans="1:13" hidden="1" outlineLevel="2">
      <c r="A237" s="163">
        <v>45870</v>
      </c>
      <c r="B237" s="161" t="s">
        <v>270</v>
      </c>
      <c r="C237" s="161" t="s">
        <v>263</v>
      </c>
      <c r="D237" s="158" t="s">
        <v>334</v>
      </c>
      <c r="E237" s="160">
        <v>250.89</v>
      </c>
      <c r="F237" s="159">
        <v>1.38</v>
      </c>
      <c r="G237" s="59">
        <v>51.026193445968929</v>
      </c>
      <c r="H237" s="59">
        <v>20.410477378387572</v>
      </c>
      <c r="I237" s="59">
        <v>94.548059114790036</v>
      </c>
      <c r="J237" s="59"/>
      <c r="K237" s="59">
        <v>27.840647087727255</v>
      </c>
      <c r="L237" s="59"/>
      <c r="M237" s="29">
        <f t="shared" si="9"/>
        <v>193.82537702687378</v>
      </c>
    </row>
    <row r="238" spans="1:13" hidden="1" outlineLevel="2">
      <c r="A238" s="163">
        <v>45870</v>
      </c>
      <c r="B238" s="161" t="s">
        <v>336</v>
      </c>
      <c r="C238" s="161">
        <v>883050600628</v>
      </c>
      <c r="D238" s="158" t="s">
        <v>339</v>
      </c>
      <c r="E238" s="160">
        <v>72.599999999999994</v>
      </c>
      <c r="F238" s="159"/>
      <c r="G238" s="59">
        <v>37.797180330347359</v>
      </c>
      <c r="H238" s="59">
        <v>0</v>
      </c>
      <c r="I238" s="59">
        <v>225.80613826208565</v>
      </c>
      <c r="J238" s="59"/>
      <c r="K238" s="59">
        <v>0</v>
      </c>
      <c r="L238" s="59"/>
      <c r="M238" s="29">
        <f t="shared" si="9"/>
        <v>263.60331859243303</v>
      </c>
    </row>
    <row r="239" spans="1:13" hidden="1" outlineLevel="2">
      <c r="A239" s="163">
        <v>45870</v>
      </c>
      <c r="B239" s="161" t="s">
        <v>337</v>
      </c>
      <c r="C239" s="161">
        <v>883165404038</v>
      </c>
      <c r="D239" s="158" t="s">
        <v>339</v>
      </c>
      <c r="E239" s="160">
        <v>55.5</v>
      </c>
      <c r="F239" s="159"/>
      <c r="G239" s="59">
        <v>37.797180330347359</v>
      </c>
      <c r="H239" s="59">
        <v>0</v>
      </c>
      <c r="I239" s="59">
        <v>177.93740786937295</v>
      </c>
      <c r="J239" s="59"/>
      <c r="K239" s="59">
        <v>0</v>
      </c>
      <c r="L239" s="59"/>
      <c r="M239" s="29">
        <f t="shared" si="9"/>
        <v>215.73458819972029</v>
      </c>
    </row>
    <row r="240" spans="1:13" hidden="1" outlineLevel="2">
      <c r="A240" s="163">
        <v>45870</v>
      </c>
      <c r="B240" s="161" t="s">
        <v>335</v>
      </c>
      <c r="C240" s="161">
        <v>453074978535</v>
      </c>
      <c r="D240" s="158" t="s">
        <v>339</v>
      </c>
      <c r="E240" s="160">
        <v>15.8</v>
      </c>
      <c r="F240" s="159"/>
      <c r="G240" s="59">
        <v>37.797180330347359</v>
      </c>
      <c r="H240" s="59">
        <v>0</v>
      </c>
      <c r="I240" s="59">
        <v>53.34852779982613</v>
      </c>
      <c r="J240" s="59"/>
      <c r="K240" s="59">
        <v>0</v>
      </c>
      <c r="L240" s="59"/>
      <c r="M240" s="29">
        <f t="shared" si="9"/>
        <v>91.145708130173489</v>
      </c>
    </row>
    <row r="241" spans="1:13" hidden="1" outlineLevel="2">
      <c r="A241" s="163">
        <v>45870</v>
      </c>
      <c r="B241" s="161" t="s">
        <v>338</v>
      </c>
      <c r="C241" s="161">
        <v>883164830371</v>
      </c>
      <c r="D241" s="158" t="s">
        <v>339</v>
      </c>
      <c r="E241" s="160">
        <v>21.2</v>
      </c>
      <c r="F241" s="159"/>
      <c r="G241" s="59">
        <v>37.797180330347359</v>
      </c>
      <c r="H241" s="59">
        <v>0</v>
      </c>
      <c r="I241" s="59">
        <v>80.895528593566922</v>
      </c>
      <c r="J241" s="59"/>
      <c r="K241" s="59">
        <v>0</v>
      </c>
      <c r="L241" s="59"/>
      <c r="M241" s="29">
        <f t="shared" si="9"/>
        <v>118.69270892391428</v>
      </c>
    </row>
    <row r="242" spans="1:13" hidden="1" outlineLevel="2">
      <c r="A242" s="163">
        <v>45870</v>
      </c>
      <c r="B242" s="161" t="s">
        <v>380</v>
      </c>
      <c r="C242" s="161">
        <v>474594085570</v>
      </c>
      <c r="D242" s="158" t="s">
        <v>339</v>
      </c>
      <c r="E242" s="160"/>
      <c r="F242" s="159"/>
      <c r="G242" s="59"/>
      <c r="H242" s="59">
        <v>15.067615926469999</v>
      </c>
      <c r="I242" s="59">
        <v>247.25581131647601</v>
      </c>
      <c r="J242" s="59"/>
      <c r="K242" s="59"/>
      <c r="L242" s="59"/>
      <c r="M242" s="29">
        <f t="shared" si="9"/>
        <v>262.32342724294602</v>
      </c>
    </row>
    <row r="243" spans="1:13" hidden="1" outlineLevel="2">
      <c r="A243" s="163">
        <v>45870</v>
      </c>
      <c r="B243" s="161" t="s">
        <v>380</v>
      </c>
      <c r="C243" s="161">
        <v>476474777947</v>
      </c>
      <c r="D243" s="158" t="s">
        <v>339</v>
      </c>
      <c r="E243" s="160"/>
      <c r="F243" s="159"/>
      <c r="G243" s="59"/>
      <c r="H243" s="59">
        <v>15.067615926469999</v>
      </c>
      <c r="I243" s="59">
        <v>206.07869372944799</v>
      </c>
      <c r="J243" s="59"/>
      <c r="K243" s="59"/>
      <c r="L243" s="59"/>
      <c r="M243" s="29">
        <f t="shared" si="9"/>
        <v>221.146309655918</v>
      </c>
    </row>
    <row r="244" spans="1:13" hidden="1" outlineLevel="2">
      <c r="A244" s="163">
        <v>45870</v>
      </c>
      <c r="B244" s="161" t="s">
        <v>382</v>
      </c>
      <c r="C244" s="161">
        <v>4914933958</v>
      </c>
      <c r="D244" s="158" t="s">
        <v>332</v>
      </c>
      <c r="E244" s="160">
        <v>525.5</v>
      </c>
      <c r="F244" s="159"/>
      <c r="G244" s="59"/>
      <c r="H244" s="59">
        <v>15.067615926469999</v>
      </c>
      <c r="I244" s="59">
        <v>1039.5</v>
      </c>
      <c r="J244" s="59"/>
      <c r="K244" s="59"/>
      <c r="L244" s="59"/>
      <c r="M244" s="29">
        <f t="shared" si="9"/>
        <v>1054.5676159264699</v>
      </c>
    </row>
    <row r="245" spans="1:13" outlineLevel="1" collapsed="1">
      <c r="A245" s="172" t="s">
        <v>889</v>
      </c>
      <c r="B245" s="161"/>
      <c r="C245" s="161"/>
      <c r="D245" s="158"/>
      <c r="E245" s="160">
        <f t="shared" ref="E245:M245" si="10">SUBTOTAL(9,E226:E244)</f>
        <v>9813.67</v>
      </c>
      <c r="F245" s="159">
        <f t="shared" si="10"/>
        <v>33.432000000000002</v>
      </c>
      <c r="G245" s="59">
        <f t="shared" si="10"/>
        <v>665.23037381411348</v>
      </c>
      <c r="H245" s="59">
        <f t="shared" si="10"/>
        <v>231.35710034896772</v>
      </c>
      <c r="I245" s="59">
        <f t="shared" si="10"/>
        <v>9348.7031787428659</v>
      </c>
      <c r="J245" s="59">
        <f t="shared" si="10"/>
        <v>0</v>
      </c>
      <c r="K245" s="59">
        <f t="shared" si="10"/>
        <v>468.44630910534067</v>
      </c>
      <c r="L245" s="59">
        <f t="shared" si="10"/>
        <v>0</v>
      </c>
      <c r="M245" s="29">
        <f t="shared" si="10"/>
        <v>10713.736962011288</v>
      </c>
    </row>
    <row r="246" spans="1:13" hidden="1" outlineLevel="2">
      <c r="A246" s="162">
        <v>45901</v>
      </c>
      <c r="B246" s="1" t="s">
        <v>328</v>
      </c>
      <c r="C246" s="144" t="s">
        <v>492</v>
      </c>
      <c r="D246" s="144" t="s">
        <v>333</v>
      </c>
      <c r="E246" s="1">
        <v>280</v>
      </c>
      <c r="F246" s="1">
        <v>1.36</v>
      </c>
      <c r="G246" s="59">
        <v>37.923319048883158</v>
      </c>
      <c r="H246" s="59">
        <v>15.169327619553263</v>
      </c>
      <c r="I246" s="59">
        <v>610.44171565095382</v>
      </c>
      <c r="J246" s="59"/>
      <c r="K246" s="59">
        <v>38.139330274185596</v>
      </c>
      <c r="L246" s="59"/>
      <c r="M246" s="29">
        <f t="shared" ref="M246:M259" si="11">SUM(G246:L246)</f>
        <v>701.67369259357577</v>
      </c>
    </row>
    <row r="247" spans="1:13" hidden="1" outlineLevel="2">
      <c r="A247" s="162">
        <v>45901</v>
      </c>
      <c r="B247" s="1" t="s">
        <v>497</v>
      </c>
      <c r="C247" s="144" t="s">
        <v>493</v>
      </c>
      <c r="D247" s="144" t="s">
        <v>333</v>
      </c>
      <c r="E247" s="1">
        <v>592.83000000000004</v>
      </c>
      <c r="F247" s="1">
        <v>2.14</v>
      </c>
      <c r="G247" s="59">
        <v>0</v>
      </c>
      <c r="H247" s="59">
        <v>15.169327619553263</v>
      </c>
      <c r="I247" s="59">
        <v>106.99334521597332</v>
      </c>
      <c r="J247" s="59"/>
      <c r="K247" s="59">
        <v>30.205923622435435</v>
      </c>
      <c r="L247" s="59"/>
      <c r="M247" s="29">
        <f t="shared" si="11"/>
        <v>152.36859645796201</v>
      </c>
    </row>
    <row r="248" spans="1:13" hidden="1" outlineLevel="2">
      <c r="A248" s="162">
        <v>45901</v>
      </c>
      <c r="B248" s="1" t="s">
        <v>327</v>
      </c>
      <c r="C248" s="144" t="s">
        <v>494</v>
      </c>
      <c r="D248" s="144" t="s">
        <v>333</v>
      </c>
      <c r="E248" s="1">
        <v>811.5</v>
      </c>
      <c r="F248" s="1">
        <v>4.4400000000000004</v>
      </c>
      <c r="G248" s="59">
        <v>91.015965717319574</v>
      </c>
      <c r="H248" s="59">
        <v>15.169327619553263</v>
      </c>
      <c r="I248" s="59">
        <v>870.71973301983394</v>
      </c>
      <c r="J248" s="59"/>
      <c r="K248" s="59">
        <v>51.094087754560277</v>
      </c>
      <c r="L248" s="59"/>
      <c r="M248" s="29">
        <f t="shared" si="11"/>
        <v>1027.9991141112671</v>
      </c>
    </row>
    <row r="249" spans="1:13" hidden="1" outlineLevel="2">
      <c r="A249" s="162">
        <v>45901</v>
      </c>
      <c r="B249" s="1" t="s">
        <v>330</v>
      </c>
      <c r="C249" s="144" t="s">
        <v>495</v>
      </c>
      <c r="D249" s="144" t="s">
        <v>333</v>
      </c>
      <c r="E249" s="1">
        <v>1573.085</v>
      </c>
      <c r="F249" s="1">
        <v>5.1100000000000003</v>
      </c>
      <c r="G249" s="59">
        <v>117.56228905153779</v>
      </c>
      <c r="H249" s="59">
        <v>15.169327619553263</v>
      </c>
      <c r="I249" s="59">
        <v>220.35199666274795</v>
      </c>
      <c r="J249" s="59"/>
      <c r="K249" s="59">
        <v>75.168948386362771</v>
      </c>
      <c r="L249" s="59"/>
      <c r="M249" s="29">
        <f t="shared" si="11"/>
        <v>428.25256172020181</v>
      </c>
    </row>
    <row r="250" spans="1:13" hidden="1" outlineLevel="2">
      <c r="A250" s="162">
        <v>45901</v>
      </c>
      <c r="B250" s="1" t="s">
        <v>497</v>
      </c>
      <c r="C250" s="144" t="s">
        <v>496</v>
      </c>
      <c r="D250" s="144" t="s">
        <v>333</v>
      </c>
      <c r="E250" s="1">
        <v>744.96</v>
      </c>
      <c r="F250" s="1">
        <v>2.93</v>
      </c>
      <c r="G250" s="59">
        <v>132.73161667109105</v>
      </c>
      <c r="H250" s="59">
        <v>15.169327619553263</v>
      </c>
      <c r="I250" s="59">
        <v>136.8622169972316</v>
      </c>
      <c r="J250" s="59"/>
      <c r="K250" s="59">
        <v>37.271037961242371</v>
      </c>
      <c r="L250" s="59"/>
      <c r="M250" s="29">
        <f t="shared" si="11"/>
        <v>322.03419924911827</v>
      </c>
    </row>
    <row r="251" spans="1:13" hidden="1" outlineLevel="2">
      <c r="A251" s="162">
        <v>45901</v>
      </c>
      <c r="B251" s="1" t="s">
        <v>517</v>
      </c>
      <c r="C251" s="144" t="s">
        <v>519</v>
      </c>
      <c r="D251" s="144" t="s">
        <v>334</v>
      </c>
      <c r="E251" s="1">
        <v>1568.73</v>
      </c>
      <c r="F251" s="1">
        <v>8.91</v>
      </c>
      <c r="G251" s="59">
        <v>62.573476430657209</v>
      </c>
      <c r="H251" s="59">
        <v>20.478592286396907</v>
      </c>
      <c r="I251" s="59">
        <v>451.16964996776517</v>
      </c>
      <c r="J251" s="59"/>
      <c r="K251" s="59">
        <v>123.04520459630626</v>
      </c>
      <c r="L251" s="59"/>
      <c r="M251" s="29">
        <f t="shared" si="11"/>
        <v>657.26692328112551</v>
      </c>
    </row>
    <row r="252" spans="1:13" hidden="1" outlineLevel="2">
      <c r="A252" s="162">
        <v>45901</v>
      </c>
      <c r="B252" s="1" t="s">
        <v>518</v>
      </c>
      <c r="C252" s="144" t="s">
        <v>520</v>
      </c>
      <c r="D252" s="144" t="s">
        <v>334</v>
      </c>
      <c r="E252" s="1">
        <v>312</v>
      </c>
      <c r="F252" s="1">
        <v>0.96</v>
      </c>
      <c r="G252" s="59">
        <v>18.961659524441579</v>
      </c>
      <c r="H252" s="59">
        <v>20.478592286396907</v>
      </c>
      <c r="I252" s="59">
        <v>727.38882779020821</v>
      </c>
      <c r="J252" s="59"/>
      <c r="K252" s="59">
        <v>30.840759983313738</v>
      </c>
      <c r="L252" s="59"/>
      <c r="M252" s="29">
        <f t="shared" si="11"/>
        <v>797.66983958436049</v>
      </c>
    </row>
    <row r="253" spans="1:13" hidden="1" outlineLevel="2">
      <c r="A253" s="162">
        <v>45901</v>
      </c>
      <c r="B253" s="1" t="s">
        <v>517</v>
      </c>
      <c r="C253" s="144" t="s">
        <v>521</v>
      </c>
      <c r="D253" s="144" t="s">
        <v>334</v>
      </c>
      <c r="E253" s="1">
        <v>664.67</v>
      </c>
      <c r="F253" s="1">
        <v>4.03</v>
      </c>
      <c r="G253" s="59">
        <v>62.573476430657209</v>
      </c>
      <c r="H253" s="59">
        <v>20.478592286396907</v>
      </c>
      <c r="I253" s="59">
        <v>220.06731389131176</v>
      </c>
      <c r="J253" s="59"/>
      <c r="K253" s="59">
        <v>65.142402063028555</v>
      </c>
      <c r="L253" s="59"/>
      <c r="M253" s="29">
        <f t="shared" si="11"/>
        <v>368.26178467139442</v>
      </c>
    </row>
    <row r="254" spans="1:13" hidden="1" outlineLevel="2">
      <c r="A254" s="162">
        <v>45901</v>
      </c>
      <c r="B254" s="1" t="s">
        <v>381</v>
      </c>
      <c r="C254" s="379">
        <v>4914968251</v>
      </c>
      <c r="D254" s="144" t="s">
        <v>332</v>
      </c>
      <c r="E254" s="1">
        <v>148</v>
      </c>
      <c r="F254" s="1"/>
      <c r="G254" s="59"/>
      <c r="H254" s="59">
        <v>15.169327619553263</v>
      </c>
      <c r="I254" s="59">
        <f>9085390/26369+33.37</f>
        <v>377.91814365353258</v>
      </c>
      <c r="J254" s="59"/>
      <c r="K254" s="59"/>
      <c r="L254" s="59"/>
      <c r="M254" s="29">
        <f t="shared" si="11"/>
        <v>393.08747127308584</v>
      </c>
    </row>
    <row r="255" spans="1:13" hidden="1" outlineLevel="2">
      <c r="A255" s="162">
        <v>45901</v>
      </c>
      <c r="B255" s="1" t="s">
        <v>381</v>
      </c>
      <c r="C255" s="379">
        <v>477859569171</v>
      </c>
      <c r="D255" s="144" t="s">
        <v>339</v>
      </c>
      <c r="E255" s="1">
        <v>93.1</v>
      </c>
      <c r="F255" s="1"/>
      <c r="G255" s="59"/>
      <c r="H255" s="59">
        <v>15.169327619553263</v>
      </c>
      <c r="I255" s="59">
        <v>247.77105692290189</v>
      </c>
      <c r="J255" s="59"/>
      <c r="K255" s="59"/>
      <c r="L255" s="59"/>
      <c r="M255" s="29">
        <f t="shared" si="11"/>
        <v>262.94038454245515</v>
      </c>
    </row>
    <row r="256" spans="1:13" hidden="1" outlineLevel="2">
      <c r="A256" s="162">
        <v>45901</v>
      </c>
      <c r="B256" s="1" t="s">
        <v>522</v>
      </c>
      <c r="C256" s="379">
        <v>421281418262</v>
      </c>
      <c r="D256" s="144" t="s">
        <v>339</v>
      </c>
      <c r="E256" s="1">
        <v>64.2</v>
      </c>
      <c r="F256" s="1"/>
      <c r="G256" s="59"/>
      <c r="H256" s="59">
        <v>15.169327619553263</v>
      </c>
      <c r="I256" s="59">
        <v>204.0032614054382</v>
      </c>
      <c r="J256" s="59"/>
      <c r="K256" s="59"/>
      <c r="L256" s="59"/>
      <c r="M256" s="29">
        <f t="shared" si="11"/>
        <v>219.17258902499145</v>
      </c>
    </row>
    <row r="257" spans="1:13" hidden="1" outlineLevel="2">
      <c r="A257" s="162">
        <v>45901</v>
      </c>
      <c r="B257" s="1" t="s">
        <v>381</v>
      </c>
      <c r="C257" s="379">
        <v>477859571984</v>
      </c>
      <c r="D257" s="144" t="s">
        <v>339</v>
      </c>
      <c r="E257" s="1">
        <v>50</v>
      </c>
      <c r="F257" s="1"/>
      <c r="G257" s="59"/>
      <c r="H257" s="59">
        <v>15.169327619553263</v>
      </c>
      <c r="I257" s="59">
        <v>171.1362205620236</v>
      </c>
      <c r="J257" s="59"/>
      <c r="K257" s="59"/>
      <c r="L257" s="59"/>
      <c r="M257" s="29">
        <f t="shared" si="11"/>
        <v>186.30554818157685</v>
      </c>
    </row>
    <row r="258" spans="1:13" hidden="1" outlineLevel="2">
      <c r="A258" s="162">
        <v>45901</v>
      </c>
      <c r="B258" s="1" t="s">
        <v>381</v>
      </c>
      <c r="C258" s="379">
        <v>477859574354</v>
      </c>
      <c r="D258" s="144" t="s">
        <v>339</v>
      </c>
      <c r="E258" s="1">
        <v>5.9</v>
      </c>
      <c r="F258" s="1"/>
      <c r="G258" s="59"/>
      <c r="H258" s="59">
        <v>15.169327619553263</v>
      </c>
      <c r="I258" s="59">
        <v>33.625090067882738</v>
      </c>
      <c r="J258" s="59"/>
      <c r="K258" s="59"/>
      <c r="L258" s="59"/>
      <c r="M258" s="29">
        <f t="shared" si="11"/>
        <v>48.794417687436002</v>
      </c>
    </row>
    <row r="259" spans="1:13" hidden="1" outlineLevel="2">
      <c r="A259" s="162">
        <v>45901</v>
      </c>
      <c r="B259" s="1" t="s">
        <v>381</v>
      </c>
      <c r="C259" s="379">
        <v>477859581746</v>
      </c>
      <c r="D259" s="144" t="s">
        <v>339</v>
      </c>
      <c r="E259" s="1">
        <v>3.3</v>
      </c>
      <c r="F259" s="1"/>
      <c r="G259" s="59"/>
      <c r="H259" s="59">
        <v>15.169327619553263</v>
      </c>
      <c r="I259" s="59">
        <v>26.283856043080892</v>
      </c>
      <c r="J259" s="59"/>
      <c r="K259" s="59"/>
      <c r="L259" s="59"/>
      <c r="M259" s="29">
        <f t="shared" si="11"/>
        <v>41.453183662634153</v>
      </c>
    </row>
    <row r="260" spans="1:13" outlineLevel="1" collapsed="1">
      <c r="A260" s="173" t="s">
        <v>890</v>
      </c>
      <c r="B260" s="1"/>
      <c r="C260" s="379"/>
      <c r="D260" s="144"/>
      <c r="E260" s="1">
        <f t="shared" ref="E260:M260" si="12">SUBTOTAL(9,E246:E259)</f>
        <v>6912.2749999999996</v>
      </c>
      <c r="F260" s="1">
        <f t="shared" si="12"/>
        <v>29.880000000000003</v>
      </c>
      <c r="G260" s="59">
        <f t="shared" si="12"/>
        <v>523.34180287458753</v>
      </c>
      <c r="H260" s="59">
        <f t="shared" si="12"/>
        <v>228.29838067427659</v>
      </c>
      <c r="I260" s="59">
        <f t="shared" si="12"/>
        <v>4404.7324278508859</v>
      </c>
      <c r="J260" s="59">
        <f t="shared" si="12"/>
        <v>0</v>
      </c>
      <c r="K260" s="59">
        <f t="shared" si="12"/>
        <v>450.907694641435</v>
      </c>
      <c r="L260" s="59">
        <f t="shared" si="12"/>
        <v>0</v>
      </c>
      <c r="M260" s="29">
        <f t="shared" si="12"/>
        <v>5607.2803060411843</v>
      </c>
    </row>
    <row r="261" spans="1:13" hidden="1" outlineLevel="2">
      <c r="A261" s="162">
        <v>45931</v>
      </c>
      <c r="B261" s="1" t="s">
        <v>522</v>
      </c>
      <c r="C261" s="379">
        <v>421281420538</v>
      </c>
      <c r="D261" s="144" t="s">
        <v>339</v>
      </c>
      <c r="E261" s="1"/>
      <c r="F261" s="1"/>
      <c r="G261" s="59"/>
      <c r="H261" s="59"/>
      <c r="I261" s="59">
        <v>121.28766863725936</v>
      </c>
      <c r="J261" s="59"/>
      <c r="K261" s="59"/>
      <c r="L261" s="59"/>
      <c r="M261" s="29">
        <f t="shared" ref="M261:M270" si="13">SUM(G261:L261)</f>
        <v>121.28766863725936</v>
      </c>
    </row>
    <row r="262" spans="1:13" hidden="1" outlineLevel="2">
      <c r="A262" s="162">
        <v>45931</v>
      </c>
      <c r="B262" s="1" t="s">
        <v>381</v>
      </c>
      <c r="C262" s="379">
        <v>477859589379</v>
      </c>
      <c r="D262" s="144" t="s">
        <v>339</v>
      </c>
      <c r="E262" s="1"/>
      <c r="F262" s="1"/>
      <c r="G262" s="59"/>
      <c r="H262" s="59"/>
      <c r="I262" s="59">
        <v>28.585644990147035</v>
      </c>
      <c r="J262" s="59"/>
      <c r="K262" s="59"/>
      <c r="L262" s="59"/>
      <c r="M262" s="29">
        <f t="shared" si="13"/>
        <v>28.585644990147035</v>
      </c>
    </row>
    <row r="263" spans="1:13" hidden="1" outlineLevel="2">
      <c r="A263" s="162">
        <v>45931</v>
      </c>
      <c r="B263" s="1" t="s">
        <v>529</v>
      </c>
      <c r="C263" s="144" t="s">
        <v>530</v>
      </c>
      <c r="D263" s="144" t="s">
        <v>332</v>
      </c>
      <c r="E263" s="1">
        <v>273</v>
      </c>
      <c r="F263" s="1"/>
      <c r="G263" s="59"/>
      <c r="H263" s="59"/>
      <c r="I263" s="59">
        <f>8815172/26388</f>
        <v>334.05987570107624</v>
      </c>
      <c r="J263" s="59"/>
      <c r="K263" s="59"/>
      <c r="L263" s="59"/>
      <c r="M263" s="29">
        <f t="shared" si="13"/>
        <v>334.05987570107624</v>
      </c>
    </row>
    <row r="264" spans="1:13" hidden="1" outlineLevel="2">
      <c r="A264" s="162">
        <v>45931</v>
      </c>
      <c r="B264" s="1" t="s">
        <v>614</v>
      </c>
      <c r="C264" s="144" t="s">
        <v>619</v>
      </c>
      <c r="D264" s="144" t="s">
        <v>333</v>
      </c>
      <c r="E264" s="1">
        <v>500</v>
      </c>
      <c r="F264" s="1"/>
      <c r="G264" s="59"/>
      <c r="H264" s="59"/>
      <c r="I264" s="59">
        <v>1080.1368046081552</v>
      </c>
      <c r="J264" s="59"/>
      <c r="K264" s="59"/>
      <c r="L264" s="59"/>
      <c r="M264" s="29">
        <f t="shared" si="13"/>
        <v>1080.1368046081552</v>
      </c>
    </row>
    <row r="265" spans="1:13" hidden="1" outlineLevel="2">
      <c r="A265" s="162">
        <v>45931</v>
      </c>
      <c r="B265" s="1" t="s">
        <v>615</v>
      </c>
      <c r="C265" s="144" t="s">
        <v>620</v>
      </c>
      <c r="D265" s="144" t="s">
        <v>333</v>
      </c>
      <c r="E265" s="1">
        <v>2705</v>
      </c>
      <c r="F265" s="1">
        <v>14.94</v>
      </c>
      <c r="G265" s="59"/>
      <c r="H265" s="59"/>
      <c r="I265" s="59">
        <v>2009.0894724874943</v>
      </c>
      <c r="J265" s="59"/>
      <c r="K265" s="59"/>
      <c r="L265" s="59"/>
      <c r="M265" s="29">
        <f t="shared" si="13"/>
        <v>2009.0894724874943</v>
      </c>
    </row>
    <row r="266" spans="1:13" hidden="1" outlineLevel="2">
      <c r="A266" s="162">
        <v>45931</v>
      </c>
      <c r="B266" s="1" t="s">
        <v>616</v>
      </c>
      <c r="C266" s="144" t="s">
        <v>621</v>
      </c>
      <c r="D266" s="144" t="s">
        <v>333</v>
      </c>
      <c r="E266" s="1">
        <v>365.26</v>
      </c>
      <c r="F266" s="1">
        <v>1.76</v>
      </c>
      <c r="G266" s="59"/>
      <c r="H266" s="59"/>
      <c r="I266" s="59">
        <v>689.29244353494016</v>
      </c>
      <c r="J266" s="59"/>
      <c r="K266" s="59"/>
      <c r="L266" s="59"/>
      <c r="M266" s="29">
        <f t="shared" si="13"/>
        <v>689.29244353494016</v>
      </c>
    </row>
    <row r="267" spans="1:13" hidden="1" outlineLevel="2">
      <c r="A267" s="162">
        <v>45931</v>
      </c>
      <c r="B267" s="1" t="s">
        <v>617</v>
      </c>
      <c r="C267" s="144" t="s">
        <v>622</v>
      </c>
      <c r="D267" s="144" t="s">
        <v>333</v>
      </c>
      <c r="E267" s="1">
        <v>154.63999999999999</v>
      </c>
      <c r="F267" s="1">
        <v>0.82000000000000006</v>
      </c>
      <c r="G267" s="59"/>
      <c r="H267" s="59"/>
      <c r="I267" s="59">
        <v>114.19205699560406</v>
      </c>
      <c r="J267" s="59"/>
      <c r="K267" s="59"/>
      <c r="L267" s="59"/>
      <c r="M267" s="29">
        <f t="shared" si="13"/>
        <v>114.19205699560406</v>
      </c>
    </row>
    <row r="268" spans="1:13" hidden="1" outlineLevel="2">
      <c r="A268" s="162">
        <v>45931</v>
      </c>
      <c r="B268" s="1" t="s">
        <v>327</v>
      </c>
      <c r="C268" s="144" t="s">
        <v>623</v>
      </c>
      <c r="D268" s="144" t="s">
        <v>333</v>
      </c>
      <c r="E268" s="1">
        <v>1853.8</v>
      </c>
      <c r="F268" s="1">
        <v>11.7</v>
      </c>
      <c r="G268" s="59"/>
      <c r="H268" s="59"/>
      <c r="I268" s="59">
        <v>1703.2044868879793</v>
      </c>
      <c r="J268" s="59"/>
      <c r="K268" s="59"/>
      <c r="L268" s="59"/>
      <c r="M268" s="29">
        <f t="shared" si="13"/>
        <v>1703.2044868879793</v>
      </c>
    </row>
    <row r="269" spans="1:13" hidden="1" outlineLevel="2">
      <c r="A269" s="162">
        <v>45931</v>
      </c>
      <c r="B269" s="1" t="s">
        <v>330</v>
      </c>
      <c r="C269" s="144" t="s">
        <v>624</v>
      </c>
      <c r="D269" s="144" t="s">
        <v>333</v>
      </c>
      <c r="E269" s="1">
        <v>1173.5630000000001</v>
      </c>
      <c r="F269" s="1">
        <v>3.88</v>
      </c>
      <c r="G269" s="59"/>
      <c r="H269" s="59"/>
      <c r="I269" s="59">
        <v>303.78769137486734</v>
      </c>
      <c r="J269" s="59"/>
      <c r="K269" s="59"/>
      <c r="L269" s="59"/>
      <c r="M269" s="29">
        <f t="shared" si="13"/>
        <v>303.78769137486734</v>
      </c>
    </row>
    <row r="270" spans="1:13" hidden="1" outlineLevel="2">
      <c r="A270" s="162">
        <v>45931</v>
      </c>
      <c r="B270" s="1" t="s">
        <v>618</v>
      </c>
      <c r="C270" s="144" t="s">
        <v>625</v>
      </c>
      <c r="D270" s="144" t="s">
        <v>333</v>
      </c>
      <c r="E270" s="1">
        <v>137.21</v>
      </c>
      <c r="F270" s="1">
        <v>0.43000000000000005</v>
      </c>
      <c r="G270" s="59"/>
      <c r="H270" s="59"/>
      <c r="I270" s="59">
        <v>619.84803698650899</v>
      </c>
      <c r="J270" s="59"/>
      <c r="K270" s="59"/>
      <c r="L270" s="59"/>
      <c r="M270" s="29">
        <f t="shared" si="13"/>
        <v>619.84803698650899</v>
      </c>
    </row>
    <row r="271" spans="1:13" outlineLevel="1" collapsed="1">
      <c r="A271" s="173" t="s">
        <v>891</v>
      </c>
      <c r="B271" s="1"/>
      <c r="C271" s="144"/>
      <c r="D271" s="144"/>
      <c r="E271" s="1">
        <f t="shared" ref="E271:M271" si="14">SUBTOTAL(9,E261:E270)</f>
        <v>7162.473</v>
      </c>
      <c r="F271" s="1">
        <f t="shared" si="14"/>
        <v>33.53</v>
      </c>
      <c r="G271" s="59">
        <f t="shared" si="14"/>
        <v>0</v>
      </c>
      <c r="H271" s="59">
        <f t="shared" si="14"/>
        <v>0</v>
      </c>
      <c r="I271" s="59">
        <f t="shared" si="14"/>
        <v>7003.4841822040316</v>
      </c>
      <c r="J271" s="59">
        <f t="shared" si="14"/>
        <v>0</v>
      </c>
      <c r="K271" s="59">
        <f t="shared" si="14"/>
        <v>0</v>
      </c>
      <c r="L271" s="59">
        <f t="shared" si="14"/>
        <v>0</v>
      </c>
      <c r="M271" s="29">
        <f t="shared" si="14"/>
        <v>7003.4841822040316</v>
      </c>
    </row>
    <row r="272" spans="1:13" hidden="1" outlineLevel="2">
      <c r="A272" s="163">
        <v>45986</v>
      </c>
      <c r="B272" s="1" t="s">
        <v>380</v>
      </c>
      <c r="C272" s="379">
        <v>485567277993</v>
      </c>
      <c r="D272" s="144" t="s">
        <v>339</v>
      </c>
      <c r="E272" s="1">
        <v>2.2000000000000002</v>
      </c>
      <c r="F272" s="1"/>
      <c r="G272" s="59"/>
      <c r="H272" s="59">
        <v>15.158405335758678</v>
      </c>
      <c r="I272" s="59">
        <v>27.271157559922752</v>
      </c>
      <c r="J272" s="59"/>
      <c r="K272" s="59"/>
      <c r="L272" s="59"/>
      <c r="M272" s="29">
        <f t="shared" ref="M272:M318" si="15">SUM(G272:L272)</f>
        <v>42.429562895681428</v>
      </c>
    </row>
    <row r="273" spans="1:13" hidden="1" outlineLevel="2">
      <c r="A273" s="163">
        <v>45986</v>
      </c>
      <c r="B273" s="1" t="s">
        <v>805</v>
      </c>
      <c r="C273" s="379">
        <v>885412025992</v>
      </c>
      <c r="D273" s="144" t="s">
        <v>339</v>
      </c>
      <c r="E273" s="1">
        <v>6.5</v>
      </c>
      <c r="F273" s="1"/>
      <c r="G273" s="59"/>
      <c r="H273" s="59">
        <v>15.158405335758678</v>
      </c>
      <c r="I273" s="59">
        <v>40.644439395660569</v>
      </c>
      <c r="J273" s="59"/>
      <c r="K273" s="59"/>
      <c r="L273" s="59"/>
      <c r="M273" s="29">
        <f t="shared" si="15"/>
        <v>55.802844731419249</v>
      </c>
    </row>
    <row r="274" spans="1:13" hidden="1" outlineLevel="2">
      <c r="A274" s="163">
        <v>45986</v>
      </c>
      <c r="B274" s="1" t="s">
        <v>380</v>
      </c>
      <c r="C274" s="379">
        <v>485567340760</v>
      </c>
      <c r="D274" s="144" t="s">
        <v>339</v>
      </c>
      <c r="E274" s="1">
        <v>2.2000000000000002</v>
      </c>
      <c r="F274" s="1"/>
      <c r="G274" s="59"/>
      <c r="H274" s="59">
        <v>15.158405335758678</v>
      </c>
      <c r="I274" s="59">
        <v>27.271157559922752</v>
      </c>
      <c r="J274" s="59"/>
      <c r="K274" s="59"/>
      <c r="L274" s="59"/>
      <c r="M274" s="29">
        <f t="shared" si="15"/>
        <v>42.429562895681428</v>
      </c>
    </row>
    <row r="275" spans="1:13" hidden="1" outlineLevel="2">
      <c r="A275" s="163">
        <v>45986</v>
      </c>
      <c r="B275" s="1" t="s">
        <v>380</v>
      </c>
      <c r="C275" s="379">
        <v>486378471267</v>
      </c>
      <c r="D275" s="144" t="s">
        <v>339</v>
      </c>
      <c r="E275" s="1">
        <v>12.7</v>
      </c>
      <c r="F275" s="1"/>
      <c r="G275" s="59"/>
      <c r="H275" s="59">
        <v>15.158405335758678</v>
      </c>
      <c r="I275" s="59">
        <v>65.838918550494157</v>
      </c>
      <c r="J275" s="59"/>
      <c r="K275" s="59"/>
      <c r="L275" s="59"/>
      <c r="M275" s="29">
        <f t="shared" si="15"/>
        <v>80.997323886252829</v>
      </c>
    </row>
    <row r="276" spans="1:13" hidden="1" outlineLevel="2">
      <c r="A276" s="163">
        <v>45986</v>
      </c>
      <c r="B276" s="1" t="s">
        <v>806</v>
      </c>
      <c r="C276" s="379">
        <v>486378521092</v>
      </c>
      <c r="D276" s="144" t="s">
        <v>339</v>
      </c>
      <c r="E276" s="1">
        <v>8.5</v>
      </c>
      <c r="F276" s="1"/>
      <c r="G276" s="59"/>
      <c r="H276" s="59">
        <v>15.158405335758678</v>
      </c>
      <c r="I276" s="59">
        <v>43.035669658071114</v>
      </c>
      <c r="J276" s="59"/>
      <c r="K276" s="59"/>
      <c r="L276" s="59"/>
      <c r="M276" s="29">
        <f t="shared" si="15"/>
        <v>58.194074993829794</v>
      </c>
    </row>
    <row r="277" spans="1:13" hidden="1" outlineLevel="2">
      <c r="A277" s="163">
        <v>45986</v>
      </c>
      <c r="B277" s="1" t="s">
        <v>806</v>
      </c>
      <c r="C277" s="379">
        <v>486378565312</v>
      </c>
      <c r="D277" s="144" t="s">
        <v>339</v>
      </c>
      <c r="E277" s="1">
        <v>11.7</v>
      </c>
      <c r="F277" s="1"/>
      <c r="G277" s="59"/>
      <c r="H277" s="59">
        <v>15.158405335758678</v>
      </c>
      <c r="I277" s="59">
        <v>49.055927903366275</v>
      </c>
      <c r="J277" s="59"/>
      <c r="K277" s="59"/>
      <c r="L277" s="59"/>
      <c r="M277" s="29">
        <f t="shared" si="15"/>
        <v>64.214333239124954</v>
      </c>
    </row>
    <row r="278" spans="1:13" hidden="1" outlineLevel="2">
      <c r="A278" s="163">
        <v>45986</v>
      </c>
      <c r="B278" s="1" t="s">
        <v>807</v>
      </c>
      <c r="C278" s="379">
        <v>885533231939</v>
      </c>
      <c r="D278" s="144" t="s">
        <v>339</v>
      </c>
      <c r="E278" s="1">
        <v>84.6</v>
      </c>
      <c r="F278" s="1"/>
      <c r="G278" s="59"/>
      <c r="H278" s="59">
        <v>15.158405335758678</v>
      </c>
      <c r="I278" s="59">
        <v>239.8493695331137</v>
      </c>
      <c r="J278" s="59"/>
      <c r="K278" s="59"/>
      <c r="L278" s="59"/>
      <c r="M278" s="29">
        <f t="shared" si="15"/>
        <v>255.00777486887239</v>
      </c>
    </row>
    <row r="279" spans="1:13" hidden="1" outlineLevel="2">
      <c r="A279" s="163">
        <v>45986</v>
      </c>
      <c r="B279" s="1" t="s">
        <v>808</v>
      </c>
      <c r="C279" s="379">
        <v>479730133115</v>
      </c>
      <c r="D279" s="144" t="s">
        <v>339</v>
      </c>
      <c r="E279" s="1">
        <v>3</v>
      </c>
      <c r="F279" s="1"/>
      <c r="G279" s="59"/>
      <c r="H279" s="59">
        <v>15.158405335758678</v>
      </c>
      <c r="I279" s="59">
        <v>39.666363739634214</v>
      </c>
      <c r="J279" s="59"/>
      <c r="K279" s="59"/>
      <c r="L279" s="59"/>
      <c r="M279" s="29">
        <f t="shared" si="15"/>
        <v>54.824769075392894</v>
      </c>
    </row>
    <row r="280" spans="1:13" hidden="1" outlineLevel="2">
      <c r="A280" s="163">
        <v>45986</v>
      </c>
      <c r="B280" s="1" t="s">
        <v>805</v>
      </c>
      <c r="C280" s="379">
        <v>885606372448</v>
      </c>
      <c r="D280" s="144" t="s">
        <v>339</v>
      </c>
      <c r="E280" s="1">
        <v>17</v>
      </c>
      <c r="F280" s="1"/>
      <c r="G280" s="59"/>
      <c r="H280" s="59">
        <v>15.158405335758678</v>
      </c>
      <c r="I280" s="59">
        <v>59.142527168768225</v>
      </c>
      <c r="J280" s="59"/>
      <c r="K280" s="59"/>
      <c r="L280" s="59"/>
      <c r="M280" s="29">
        <f t="shared" si="15"/>
        <v>74.300932504526898</v>
      </c>
    </row>
    <row r="281" spans="1:13" hidden="1" outlineLevel="2">
      <c r="A281" s="163">
        <v>45986</v>
      </c>
      <c r="B281" s="1" t="s">
        <v>806</v>
      </c>
      <c r="C281" s="379">
        <v>486378647680</v>
      </c>
      <c r="D281" s="144" t="s">
        <v>339</v>
      </c>
      <c r="E281" s="1">
        <v>35</v>
      </c>
      <c r="F281" s="1"/>
      <c r="G281" s="59"/>
      <c r="H281" s="59">
        <v>15.158405335758678</v>
      </c>
      <c r="I281" s="59">
        <v>92.137945397402405</v>
      </c>
      <c r="J281" s="59"/>
      <c r="K281" s="59"/>
      <c r="L281" s="59"/>
      <c r="M281" s="29">
        <f t="shared" si="15"/>
        <v>107.29635073316108</v>
      </c>
    </row>
    <row r="282" spans="1:13" hidden="1" outlineLevel="2">
      <c r="A282" s="163">
        <v>45986</v>
      </c>
      <c r="B282" s="1" t="s">
        <v>809</v>
      </c>
      <c r="C282" s="379">
        <v>480820874006</v>
      </c>
      <c r="D282" s="144" t="s">
        <v>339</v>
      </c>
      <c r="E282" s="1">
        <v>0.5</v>
      </c>
      <c r="F282" s="1"/>
      <c r="G282" s="59"/>
      <c r="H282" s="59">
        <v>15.158405335758678</v>
      </c>
      <c r="I282" s="59">
        <v>17.624484077397856</v>
      </c>
      <c r="J282" s="59"/>
      <c r="K282" s="59"/>
      <c r="L282" s="59"/>
      <c r="M282" s="29">
        <f t="shared" si="15"/>
        <v>32.782889413156532</v>
      </c>
    </row>
    <row r="283" spans="1:13" hidden="1" outlineLevel="2">
      <c r="A283" s="163">
        <v>45986</v>
      </c>
      <c r="B283" s="1" t="s">
        <v>810</v>
      </c>
      <c r="C283" s="379">
        <v>471783773070</v>
      </c>
      <c r="D283" s="144" t="s">
        <v>339</v>
      </c>
      <c r="E283" s="1">
        <v>80</v>
      </c>
      <c r="F283" s="1"/>
      <c r="G283" s="59"/>
      <c r="H283" s="59">
        <v>15.158405335758678</v>
      </c>
      <c r="I283" s="59">
        <v>203.16229315763565</v>
      </c>
      <c r="J283" s="59"/>
      <c r="K283" s="59"/>
      <c r="L283" s="59"/>
      <c r="M283" s="29">
        <f t="shared" si="15"/>
        <v>218.32069849339433</v>
      </c>
    </row>
    <row r="284" spans="1:13" hidden="1" outlineLevel="2">
      <c r="A284" s="163">
        <v>45986</v>
      </c>
      <c r="B284" s="1" t="s">
        <v>811</v>
      </c>
      <c r="C284" s="379">
        <v>885730131211</v>
      </c>
      <c r="D284" s="144" t="s">
        <v>339</v>
      </c>
      <c r="E284" s="1">
        <v>10.199999999999999</v>
      </c>
      <c r="F284" s="1"/>
      <c r="G284" s="59"/>
      <c r="H284" s="59">
        <v>15.158405335758678</v>
      </c>
      <c r="I284" s="59">
        <v>50.939414593509788</v>
      </c>
      <c r="J284" s="59"/>
      <c r="K284" s="59"/>
      <c r="L284" s="59"/>
      <c r="M284" s="29">
        <f t="shared" si="15"/>
        <v>66.097819929268468</v>
      </c>
    </row>
    <row r="285" spans="1:13" hidden="1" outlineLevel="2">
      <c r="A285" s="163">
        <v>45986</v>
      </c>
      <c r="B285" s="1" t="s">
        <v>809</v>
      </c>
      <c r="C285" s="379">
        <v>480820882335</v>
      </c>
      <c r="D285" s="144" t="s">
        <v>339</v>
      </c>
      <c r="E285" s="1">
        <v>11.2</v>
      </c>
      <c r="F285" s="1"/>
      <c r="G285" s="59"/>
      <c r="H285" s="59">
        <v>15.158405335758678</v>
      </c>
      <c r="I285" s="59">
        <v>49.861145821500244</v>
      </c>
      <c r="J285" s="59"/>
      <c r="K285" s="59"/>
      <c r="L285" s="59"/>
      <c r="M285" s="29">
        <f t="shared" si="15"/>
        <v>65.019551157258917</v>
      </c>
    </row>
    <row r="286" spans="1:13" hidden="1" outlineLevel="2">
      <c r="A286" s="163">
        <v>45986</v>
      </c>
      <c r="B286" s="1" t="s">
        <v>375</v>
      </c>
      <c r="C286" s="379">
        <v>885766869833</v>
      </c>
      <c r="D286" s="144" t="s">
        <v>339</v>
      </c>
      <c r="E286" s="1">
        <v>65.3</v>
      </c>
      <c r="F286" s="1"/>
      <c r="G286" s="59"/>
      <c r="H286" s="59">
        <v>15.158405335758678</v>
      </c>
      <c r="I286" s="59">
        <v>213.10261653224279</v>
      </c>
      <c r="J286" s="59"/>
      <c r="K286" s="59"/>
      <c r="L286" s="59"/>
      <c r="M286" s="29">
        <f t="shared" si="15"/>
        <v>228.26102186800148</v>
      </c>
    </row>
    <row r="287" spans="1:13" hidden="1" outlineLevel="2">
      <c r="A287" s="163">
        <v>45986</v>
      </c>
      <c r="B287" s="1" t="s">
        <v>812</v>
      </c>
      <c r="C287" s="379">
        <v>430998643989</v>
      </c>
      <c r="D287" s="144" t="s">
        <v>339</v>
      </c>
      <c r="E287" s="1">
        <v>0.7</v>
      </c>
      <c r="F287" s="1"/>
      <c r="G287" s="59"/>
      <c r="H287" s="59">
        <v>15.158405335758678</v>
      </c>
      <c r="I287" s="59">
        <v>18.72020901965239</v>
      </c>
      <c r="J287" s="59"/>
      <c r="K287" s="59"/>
      <c r="L287" s="59"/>
      <c r="M287" s="29">
        <f t="shared" si="15"/>
        <v>33.878614355411067</v>
      </c>
    </row>
    <row r="288" spans="1:13" hidden="1" outlineLevel="2">
      <c r="A288" s="163">
        <v>45986</v>
      </c>
      <c r="B288" s="1" t="s">
        <v>809</v>
      </c>
      <c r="C288" s="379">
        <v>480820892050</v>
      </c>
      <c r="D288" s="144" t="s">
        <v>339</v>
      </c>
      <c r="E288" s="1">
        <v>70</v>
      </c>
      <c r="F288" s="1"/>
      <c r="G288" s="59"/>
      <c r="H288" s="59">
        <v>15.158405335758678</v>
      </c>
      <c r="I288" s="59">
        <v>208.45264871824</v>
      </c>
      <c r="J288" s="59"/>
      <c r="K288" s="59"/>
      <c r="L288" s="59"/>
      <c r="M288" s="29">
        <f t="shared" si="15"/>
        <v>223.61105405399869</v>
      </c>
    </row>
    <row r="289" spans="1:13" hidden="1" outlineLevel="2">
      <c r="A289" s="163">
        <v>45986</v>
      </c>
      <c r="B289" s="1" t="s">
        <v>648</v>
      </c>
      <c r="C289" s="379">
        <v>885835300576</v>
      </c>
      <c r="D289" s="144" t="s">
        <v>339</v>
      </c>
      <c r="E289" s="1">
        <v>12.8</v>
      </c>
      <c r="F289" s="1"/>
      <c r="G289" s="59"/>
      <c r="H289" s="59">
        <v>15.158405335758678</v>
      </c>
      <c r="I289" s="59">
        <v>58.066189556590558</v>
      </c>
      <c r="J289" s="59"/>
      <c r="K289" s="59"/>
      <c r="L289" s="59"/>
      <c r="M289" s="29">
        <f t="shared" si="15"/>
        <v>73.224594892349231</v>
      </c>
    </row>
    <row r="290" spans="1:13" hidden="1" outlineLevel="2">
      <c r="A290" s="163">
        <v>45986</v>
      </c>
      <c r="B290" s="1" t="s">
        <v>813</v>
      </c>
      <c r="C290" s="379">
        <v>481663279943</v>
      </c>
      <c r="D290" s="144" t="s">
        <v>339</v>
      </c>
      <c r="E290" s="1">
        <v>43</v>
      </c>
      <c r="F290" s="1"/>
      <c r="G290" s="59"/>
      <c r="H290" s="59">
        <v>15.158405335758678</v>
      </c>
      <c r="I290" s="59">
        <v>125.39460032564656</v>
      </c>
      <c r="J290" s="59"/>
      <c r="K290" s="59"/>
      <c r="L290" s="59"/>
      <c r="M290" s="29">
        <f t="shared" si="15"/>
        <v>140.55300566140525</v>
      </c>
    </row>
    <row r="291" spans="1:13" hidden="1" outlineLevel="2">
      <c r="A291" s="163">
        <v>45986</v>
      </c>
      <c r="B291" s="1" t="s">
        <v>810</v>
      </c>
      <c r="C291" s="379">
        <v>471783775864</v>
      </c>
      <c r="D291" s="144" t="s">
        <v>339</v>
      </c>
      <c r="E291" s="1">
        <v>74</v>
      </c>
      <c r="F291" s="1"/>
      <c r="G291" s="59"/>
      <c r="H291" s="59">
        <v>15.158405335758678</v>
      </c>
      <c r="I291" s="59">
        <v>188.96255064561325</v>
      </c>
      <c r="J291" s="59"/>
      <c r="K291" s="59"/>
      <c r="L291" s="59"/>
      <c r="M291" s="29">
        <f t="shared" si="15"/>
        <v>204.12095598137194</v>
      </c>
    </row>
    <row r="292" spans="1:13" hidden="1" outlineLevel="2">
      <c r="A292" s="163">
        <v>45986</v>
      </c>
      <c r="B292" s="1" t="s">
        <v>809</v>
      </c>
      <c r="C292" s="379">
        <v>480820909839</v>
      </c>
      <c r="D292" s="144" t="s">
        <v>339</v>
      </c>
      <c r="E292" s="1">
        <v>0.5</v>
      </c>
      <c r="F292" s="1"/>
      <c r="G292" s="59"/>
      <c r="H292" s="59">
        <v>15.158405335758678</v>
      </c>
      <c r="I292" s="59">
        <v>17.72543451096217</v>
      </c>
      <c r="J292" s="59"/>
      <c r="K292" s="59"/>
      <c r="L292" s="59"/>
      <c r="M292" s="29">
        <f t="shared" si="15"/>
        <v>32.883839846720846</v>
      </c>
    </row>
    <row r="293" spans="1:13" hidden="1" outlineLevel="2">
      <c r="A293" s="163">
        <v>45986</v>
      </c>
      <c r="B293" s="1" t="s">
        <v>814</v>
      </c>
      <c r="C293" s="379">
        <v>489673748674</v>
      </c>
      <c r="D293" s="144" t="s">
        <v>339</v>
      </c>
      <c r="E293" s="1">
        <v>2.2000000000000002</v>
      </c>
      <c r="F293" s="1"/>
      <c r="G293" s="59"/>
      <c r="H293" s="59">
        <v>15.158405335758678</v>
      </c>
      <c r="I293" s="59">
        <v>23.660911053050096</v>
      </c>
      <c r="J293" s="59"/>
      <c r="K293" s="59"/>
      <c r="L293" s="59"/>
      <c r="M293" s="29">
        <f t="shared" si="15"/>
        <v>38.819316388808772</v>
      </c>
    </row>
    <row r="294" spans="1:13" hidden="1" outlineLevel="2">
      <c r="A294" s="163">
        <v>45986</v>
      </c>
      <c r="B294" s="1" t="s">
        <v>815</v>
      </c>
      <c r="C294" s="379">
        <v>885996640035</v>
      </c>
      <c r="D294" s="144" t="s">
        <v>339</v>
      </c>
      <c r="E294" s="1">
        <v>7</v>
      </c>
      <c r="F294" s="1"/>
      <c r="G294" s="59"/>
      <c r="H294" s="59">
        <v>15.158405335758678</v>
      </c>
      <c r="I294" s="59">
        <v>36.931462758907948</v>
      </c>
      <c r="J294" s="59"/>
      <c r="K294" s="59"/>
      <c r="L294" s="59"/>
      <c r="M294" s="29">
        <f t="shared" si="15"/>
        <v>52.089868094666627</v>
      </c>
    </row>
    <row r="295" spans="1:13" hidden="1" outlineLevel="2">
      <c r="A295" s="163">
        <v>45986</v>
      </c>
      <c r="B295" s="1" t="s">
        <v>381</v>
      </c>
      <c r="C295" s="379">
        <v>490725490538</v>
      </c>
      <c r="D295" s="144" t="s">
        <v>339</v>
      </c>
      <c r="E295" s="1">
        <v>7.8</v>
      </c>
      <c r="F295" s="1"/>
      <c r="G295" s="59"/>
      <c r="H295" s="59">
        <v>15.158405335758678</v>
      </c>
      <c r="I295" s="59">
        <v>40.65326214548071</v>
      </c>
      <c r="J295" s="59"/>
      <c r="K295" s="59"/>
      <c r="L295" s="59"/>
      <c r="M295" s="29">
        <f t="shared" si="15"/>
        <v>55.81166748123939</v>
      </c>
    </row>
    <row r="296" spans="1:13" hidden="1" outlineLevel="2">
      <c r="A296" s="163">
        <v>45986</v>
      </c>
      <c r="B296" s="1" t="s">
        <v>380</v>
      </c>
      <c r="C296" s="379">
        <v>490900539339</v>
      </c>
      <c r="D296" s="144" t="s">
        <v>339</v>
      </c>
      <c r="E296" s="1">
        <v>2.2000000000000002</v>
      </c>
      <c r="F296" s="1"/>
      <c r="G296" s="59"/>
      <c r="H296" s="59">
        <v>15.158405335758678</v>
      </c>
      <c r="I296" s="59">
        <v>27.532356393653679</v>
      </c>
      <c r="J296" s="59"/>
      <c r="K296" s="59"/>
      <c r="L296" s="59"/>
      <c r="M296" s="29">
        <f t="shared" si="15"/>
        <v>42.690761729412358</v>
      </c>
    </row>
    <row r="297" spans="1:13" hidden="1" outlineLevel="2">
      <c r="A297" s="163">
        <v>45986</v>
      </c>
      <c r="B297" s="1" t="s">
        <v>806</v>
      </c>
      <c r="C297" s="379">
        <v>490900586713</v>
      </c>
      <c r="D297" s="144" t="s">
        <v>339</v>
      </c>
      <c r="E297" s="1">
        <v>31.6</v>
      </c>
      <c r="F297" s="1"/>
      <c r="G297" s="59"/>
      <c r="H297" s="59">
        <v>15.158405335758678</v>
      </c>
      <c r="I297" s="59">
        <v>110.16013480252944</v>
      </c>
      <c r="J297" s="59"/>
      <c r="K297" s="59"/>
      <c r="L297" s="59"/>
      <c r="M297" s="29">
        <f t="shared" si="15"/>
        <v>125.31854013828811</v>
      </c>
    </row>
    <row r="298" spans="1:13" hidden="1" outlineLevel="2">
      <c r="A298" s="163">
        <v>45986</v>
      </c>
      <c r="B298" s="1" t="s">
        <v>816</v>
      </c>
      <c r="C298" s="379">
        <v>471782679437</v>
      </c>
      <c r="D298" s="144" t="s">
        <v>339</v>
      </c>
      <c r="E298" s="1">
        <v>32.299999999999997</v>
      </c>
      <c r="F298" s="1"/>
      <c r="G298" s="59"/>
      <c r="H298" s="59">
        <v>15.158405335758678</v>
      </c>
      <c r="I298" s="59">
        <v>143.37214585936613</v>
      </c>
      <c r="J298" s="59"/>
      <c r="K298" s="59"/>
      <c r="L298" s="59"/>
      <c r="M298" s="29">
        <f t="shared" si="15"/>
        <v>158.53055119512481</v>
      </c>
    </row>
    <row r="299" spans="1:13" hidden="1" outlineLevel="2">
      <c r="A299" s="163">
        <v>45986</v>
      </c>
      <c r="B299" s="1" t="s">
        <v>816</v>
      </c>
      <c r="C299" s="379">
        <v>471782685226</v>
      </c>
      <c r="D299" s="144" t="s">
        <v>339</v>
      </c>
      <c r="E299" s="1">
        <v>62.5</v>
      </c>
      <c r="F299" s="1"/>
      <c r="G299" s="59"/>
      <c r="H299" s="59">
        <v>15.158405335758678</v>
      </c>
      <c r="I299" s="59">
        <v>268.11287818546708</v>
      </c>
      <c r="J299" s="59"/>
      <c r="K299" s="59"/>
      <c r="L299" s="59"/>
      <c r="M299" s="29">
        <f t="shared" si="15"/>
        <v>283.27128352122577</v>
      </c>
    </row>
    <row r="300" spans="1:13" hidden="1" outlineLevel="2">
      <c r="A300" s="163">
        <v>45986</v>
      </c>
      <c r="B300" s="1" t="s">
        <v>817</v>
      </c>
      <c r="C300" s="379">
        <v>885725829288</v>
      </c>
      <c r="D300" s="144" t="s">
        <v>339</v>
      </c>
      <c r="E300" s="1">
        <v>29.4</v>
      </c>
      <c r="F300" s="1"/>
      <c r="G300" s="59"/>
      <c r="H300" s="59">
        <v>15.158405335758678</v>
      </c>
      <c r="I300" s="59">
        <v>122.3182627134689</v>
      </c>
      <c r="J300" s="59"/>
      <c r="K300" s="59"/>
      <c r="L300" s="59"/>
      <c r="M300" s="29">
        <f t="shared" si="15"/>
        <v>137.47666804922758</v>
      </c>
    </row>
    <row r="301" spans="1:13" hidden="1" outlineLevel="2">
      <c r="A301" s="163">
        <v>45986</v>
      </c>
      <c r="B301" s="1" t="s">
        <v>816</v>
      </c>
      <c r="C301" s="379">
        <v>471782690291</v>
      </c>
      <c r="D301" s="144" t="s">
        <v>339</v>
      </c>
      <c r="E301" s="1">
        <v>34.6</v>
      </c>
      <c r="F301" s="1"/>
      <c r="G301" s="59"/>
      <c r="H301" s="59">
        <v>15.158405335758678</v>
      </c>
      <c r="I301" s="59">
        <v>158.30860691430951</v>
      </c>
      <c r="J301" s="59"/>
      <c r="K301" s="59"/>
      <c r="L301" s="59"/>
      <c r="M301" s="29">
        <f t="shared" si="15"/>
        <v>173.46701225006819</v>
      </c>
    </row>
    <row r="302" spans="1:13" hidden="1" outlineLevel="2">
      <c r="A302" s="163">
        <v>45986</v>
      </c>
      <c r="B302" s="1" t="s">
        <v>801</v>
      </c>
      <c r="C302" s="144">
        <v>4711891021</v>
      </c>
      <c r="D302" s="144" t="s">
        <v>826</v>
      </c>
      <c r="E302" s="1">
        <v>362.5</v>
      </c>
      <c r="F302" s="1"/>
      <c r="G302" s="59"/>
      <c r="H302" s="59">
        <v>15.158405335758678</v>
      </c>
      <c r="I302" s="59">
        <v>790.77785127493667</v>
      </c>
      <c r="J302" s="59"/>
      <c r="K302" s="59"/>
      <c r="L302" s="59"/>
      <c r="M302" s="29">
        <f t="shared" si="15"/>
        <v>805.9362566106953</v>
      </c>
    </row>
    <row r="303" spans="1:13" hidden="1" outlineLevel="2">
      <c r="A303" s="163">
        <v>45986</v>
      </c>
      <c r="B303" s="1" t="s">
        <v>828</v>
      </c>
      <c r="C303" s="144">
        <v>4711895779</v>
      </c>
      <c r="D303" s="144" t="s">
        <v>826</v>
      </c>
      <c r="E303" s="1">
        <v>151.5</v>
      </c>
      <c r="F303" s="1"/>
      <c r="G303" s="59"/>
      <c r="H303" s="59">
        <v>15.158405335758678</v>
      </c>
      <c r="I303" s="59">
        <v>387.6995462767801</v>
      </c>
      <c r="J303" s="59"/>
      <c r="K303" s="59"/>
      <c r="L303" s="59"/>
      <c r="M303" s="29">
        <f t="shared" si="15"/>
        <v>402.85795161253878</v>
      </c>
    </row>
    <row r="304" spans="1:13" hidden="1" outlineLevel="2">
      <c r="A304" s="163">
        <v>45986</v>
      </c>
      <c r="B304" s="1" t="s">
        <v>827</v>
      </c>
      <c r="C304" s="144">
        <v>4812860551</v>
      </c>
      <c r="D304" s="144" t="s">
        <v>826</v>
      </c>
      <c r="E304" s="1">
        <v>312</v>
      </c>
      <c r="F304" s="1"/>
      <c r="G304" s="59"/>
      <c r="H304" s="59">
        <v>15.158405335758678</v>
      </c>
      <c r="I304" s="59">
        <v>323.54264756224029</v>
      </c>
      <c r="J304" s="59"/>
      <c r="K304" s="59"/>
      <c r="L304" s="59"/>
      <c r="M304" s="29">
        <f t="shared" si="15"/>
        <v>338.70105289799898</v>
      </c>
    </row>
    <row r="305" spans="1:13" hidden="1" outlineLevel="2">
      <c r="A305" s="163">
        <v>45986</v>
      </c>
      <c r="B305" s="1" t="s">
        <v>382</v>
      </c>
      <c r="C305" s="144">
        <v>4914968269</v>
      </c>
      <c r="D305" s="144" t="s">
        <v>826</v>
      </c>
      <c r="E305" s="1">
        <v>404</v>
      </c>
      <c r="F305" s="1"/>
      <c r="G305" s="59"/>
      <c r="H305" s="59">
        <v>15.158405335758678</v>
      </c>
      <c r="I305" s="59">
        <v>819.63785339077037</v>
      </c>
      <c r="J305" s="59"/>
      <c r="K305" s="59"/>
      <c r="L305" s="59"/>
      <c r="M305" s="29">
        <f t="shared" si="15"/>
        <v>834.796258726529</v>
      </c>
    </row>
    <row r="306" spans="1:13" hidden="1" outlineLevel="2">
      <c r="A306" s="163">
        <v>45986</v>
      </c>
      <c r="B306" s="1" t="s">
        <v>522</v>
      </c>
      <c r="C306" s="144">
        <v>4914968272</v>
      </c>
      <c r="D306" s="144" t="s">
        <v>826</v>
      </c>
      <c r="E306" s="1">
        <v>323</v>
      </c>
      <c r="F306" s="1"/>
      <c r="G306" s="59"/>
      <c r="H306" s="59">
        <v>15.158405335758678</v>
      </c>
      <c r="I306" s="59">
        <v>673.02785165327475</v>
      </c>
      <c r="J306" s="59"/>
      <c r="K306" s="59"/>
      <c r="L306" s="59"/>
      <c r="M306" s="29">
        <f t="shared" si="15"/>
        <v>688.18625698903338</v>
      </c>
    </row>
    <row r="307" spans="1:13" hidden="1" outlineLevel="2">
      <c r="A307" s="163">
        <v>45986</v>
      </c>
      <c r="B307" s="1" t="s">
        <v>381</v>
      </c>
      <c r="C307" s="144">
        <v>4914968277</v>
      </c>
      <c r="D307" s="144" t="s">
        <v>826</v>
      </c>
      <c r="E307" s="1">
        <v>100</v>
      </c>
      <c r="F307" s="1"/>
      <c r="G307" s="59"/>
      <c r="H307" s="59">
        <v>15.158405335758678</v>
      </c>
      <c r="I307" s="59">
        <v>304.39785314765862</v>
      </c>
      <c r="J307" s="59"/>
      <c r="K307" s="59"/>
      <c r="L307" s="59"/>
      <c r="M307" s="29">
        <f t="shared" si="15"/>
        <v>319.55625848341731</v>
      </c>
    </row>
    <row r="308" spans="1:13" hidden="1" outlineLevel="2">
      <c r="A308" s="163">
        <v>45986</v>
      </c>
      <c r="B308" s="1" t="s">
        <v>381</v>
      </c>
      <c r="C308" s="144">
        <v>4914980777</v>
      </c>
      <c r="D308" s="144" t="s">
        <v>826</v>
      </c>
      <c r="E308" s="1">
        <v>240</v>
      </c>
      <c r="F308" s="1"/>
      <c r="G308" s="59"/>
      <c r="H308" s="59">
        <v>15.158405335758678</v>
      </c>
      <c r="I308" s="59">
        <v>522.79785314765854</v>
      </c>
      <c r="J308" s="59"/>
      <c r="K308" s="59"/>
      <c r="L308" s="59"/>
      <c r="M308" s="29">
        <f t="shared" si="15"/>
        <v>537.95625848341717</v>
      </c>
    </row>
    <row r="309" spans="1:13" hidden="1" outlineLevel="2">
      <c r="A309" s="163">
        <v>45986</v>
      </c>
      <c r="B309" s="1" t="s">
        <v>522</v>
      </c>
      <c r="C309" s="144">
        <v>4914988247</v>
      </c>
      <c r="D309" s="144" t="s">
        <v>826</v>
      </c>
      <c r="E309" s="1">
        <v>368</v>
      </c>
      <c r="F309" s="1"/>
      <c r="G309" s="59"/>
      <c r="H309" s="59">
        <v>15.158405335758678</v>
      </c>
      <c r="I309" s="59">
        <v>754.47405006867734</v>
      </c>
      <c r="J309" s="59"/>
      <c r="K309" s="59"/>
      <c r="L309" s="59"/>
      <c r="M309" s="29">
        <f t="shared" si="15"/>
        <v>769.63245540443597</v>
      </c>
    </row>
    <row r="310" spans="1:13" hidden="1" outlineLevel="2">
      <c r="A310" s="163">
        <v>45986</v>
      </c>
      <c r="B310" s="1" t="s">
        <v>381</v>
      </c>
      <c r="C310" s="144">
        <v>4914996539</v>
      </c>
      <c r="D310" s="144" t="s">
        <v>826</v>
      </c>
      <c r="E310" s="1">
        <v>164</v>
      </c>
      <c r="F310" s="1"/>
      <c r="G310" s="59"/>
      <c r="H310" s="59">
        <v>15.158405335758678</v>
      </c>
      <c r="I310" s="59">
        <v>401.0302457727729</v>
      </c>
      <c r="J310" s="59"/>
      <c r="K310" s="59"/>
      <c r="L310" s="59"/>
      <c r="M310" s="29">
        <f t="shared" si="15"/>
        <v>416.18865110853159</v>
      </c>
    </row>
    <row r="311" spans="1:13" hidden="1" outlineLevel="2">
      <c r="A311" s="163">
        <v>45986</v>
      </c>
      <c r="B311" s="1" t="s">
        <v>522</v>
      </c>
      <c r="C311" s="144">
        <v>4915001341</v>
      </c>
      <c r="D311" s="144" t="s">
        <v>826</v>
      </c>
      <c r="E311" s="1">
        <v>244</v>
      </c>
      <c r="F311" s="1"/>
      <c r="G311" s="59"/>
      <c r="H311" s="59">
        <v>15.158405335758678</v>
      </c>
      <c r="I311" s="59">
        <v>530.00366302000464</v>
      </c>
      <c r="J311" s="59"/>
      <c r="K311" s="59"/>
      <c r="L311" s="59"/>
      <c r="M311" s="29">
        <f t="shared" si="15"/>
        <v>545.16206835576327</v>
      </c>
    </row>
    <row r="312" spans="1:13" hidden="1" outlineLevel="2">
      <c r="A312" s="163">
        <v>45986</v>
      </c>
      <c r="B312" s="1" t="s">
        <v>522</v>
      </c>
      <c r="C312" s="144">
        <v>4915009570</v>
      </c>
      <c r="D312" s="144" t="s">
        <v>826</v>
      </c>
      <c r="E312" s="1">
        <v>118.5</v>
      </c>
      <c r="F312" s="1"/>
      <c r="G312" s="59"/>
      <c r="H312" s="59">
        <v>15.158405335758678</v>
      </c>
      <c r="I312" s="59">
        <v>332.25818566382003</v>
      </c>
      <c r="J312" s="59"/>
      <c r="K312" s="59"/>
      <c r="L312" s="59"/>
      <c r="M312" s="29">
        <f t="shared" si="15"/>
        <v>347.41659099957872</v>
      </c>
    </row>
    <row r="313" spans="1:13" hidden="1" outlineLevel="2">
      <c r="A313" s="163">
        <v>45986</v>
      </c>
      <c r="B313" s="1" t="s">
        <v>868</v>
      </c>
      <c r="C313" s="144" t="s">
        <v>862</v>
      </c>
      <c r="D313" s="144" t="s">
        <v>333</v>
      </c>
      <c r="E313" s="1">
        <v>2033.8</v>
      </c>
      <c r="F313" s="1"/>
      <c r="G313" s="59">
        <v>132.53057669733803</v>
      </c>
      <c r="H313" s="59">
        <v>15.146351622552917</v>
      </c>
      <c r="I313" s="59">
        <v>1406.8998258169563</v>
      </c>
      <c r="J313" s="59"/>
      <c r="K313" s="59">
        <v>141.09360445302738</v>
      </c>
      <c r="L313" s="59"/>
      <c r="M313" s="29">
        <f t="shared" si="15"/>
        <v>1695.6703585898747</v>
      </c>
    </row>
    <row r="314" spans="1:13" hidden="1" outlineLevel="2">
      <c r="A314" s="163">
        <v>45986</v>
      </c>
      <c r="B314" s="1" t="s">
        <v>497</v>
      </c>
      <c r="C314" s="144" t="s">
        <v>863</v>
      </c>
      <c r="D314" s="144" t="s">
        <v>333</v>
      </c>
      <c r="E314" s="1">
        <v>429.75</v>
      </c>
      <c r="F314" s="1"/>
      <c r="G314" s="59">
        <v>37.86587905638229</v>
      </c>
      <c r="H314" s="59">
        <v>15.146351622552917</v>
      </c>
      <c r="I314" s="59">
        <v>101.15350827369457</v>
      </c>
      <c r="J314" s="59"/>
      <c r="K314" s="59">
        <v>31.69374077019198</v>
      </c>
      <c r="L314" s="59"/>
      <c r="M314" s="29">
        <f t="shared" si="15"/>
        <v>185.85947972282179</v>
      </c>
    </row>
    <row r="315" spans="1:13" hidden="1" outlineLevel="2">
      <c r="A315" s="163">
        <v>45986</v>
      </c>
      <c r="B315" s="1" t="s">
        <v>330</v>
      </c>
      <c r="C315" s="144" t="s">
        <v>864</v>
      </c>
      <c r="D315" s="144" t="s">
        <v>333</v>
      </c>
      <c r="E315" s="1">
        <v>1019.346</v>
      </c>
      <c r="F315" s="1"/>
      <c r="G315" s="59">
        <v>64.371994395849896</v>
      </c>
      <c r="H315" s="59">
        <v>15.146351622552917</v>
      </c>
      <c r="I315" s="59">
        <v>169.43284107690562</v>
      </c>
      <c r="J315" s="59"/>
      <c r="K315" s="59">
        <v>46.420121928130563</v>
      </c>
      <c r="L315" s="59"/>
      <c r="M315" s="29">
        <f t="shared" si="15"/>
        <v>295.37130902343898</v>
      </c>
    </row>
    <row r="316" spans="1:13" hidden="1" outlineLevel="2">
      <c r="A316" s="163">
        <v>45986</v>
      </c>
      <c r="B316" s="1" t="s">
        <v>337</v>
      </c>
      <c r="C316" s="144" t="s">
        <v>865</v>
      </c>
      <c r="D316" s="144" t="s">
        <v>333</v>
      </c>
      <c r="E316" s="1">
        <v>857.92</v>
      </c>
      <c r="F316" s="1"/>
      <c r="G316" s="59">
        <v>0</v>
      </c>
      <c r="H316" s="59">
        <v>15.146351622552917</v>
      </c>
      <c r="I316" s="59">
        <v>153.15530311636186</v>
      </c>
      <c r="J316" s="59"/>
      <c r="K316" s="59">
        <v>40.588435760536179</v>
      </c>
      <c r="L316" s="59"/>
      <c r="M316" s="29">
        <f t="shared" si="15"/>
        <v>208.89009049945096</v>
      </c>
    </row>
    <row r="317" spans="1:13" hidden="1" outlineLevel="2">
      <c r="A317" s="163">
        <v>45986</v>
      </c>
      <c r="B317" s="1" t="s">
        <v>614</v>
      </c>
      <c r="C317" s="144" t="s">
        <v>866</v>
      </c>
      <c r="D317" s="144" t="s">
        <v>333</v>
      </c>
      <c r="E317" s="1">
        <v>818</v>
      </c>
      <c r="F317" s="1"/>
      <c r="G317" s="59">
        <v>28.39940929228672</v>
      </c>
      <c r="H317" s="59">
        <v>15.146351622552917</v>
      </c>
      <c r="I317" s="59">
        <v>1616.7318186981711</v>
      </c>
      <c r="J317" s="59"/>
      <c r="K317" s="59">
        <v>63.041501003445795</v>
      </c>
      <c r="L317" s="59"/>
      <c r="M317" s="29">
        <f t="shared" si="15"/>
        <v>1723.3190806164564</v>
      </c>
    </row>
    <row r="318" spans="1:13" hidden="1" outlineLevel="2">
      <c r="A318" s="163">
        <v>45986</v>
      </c>
      <c r="B318" s="1" t="s">
        <v>328</v>
      </c>
      <c r="C318" s="144" t="s">
        <v>867</v>
      </c>
      <c r="D318" s="144" t="s">
        <v>333</v>
      </c>
      <c r="E318" s="1">
        <v>183</v>
      </c>
      <c r="F318" s="1"/>
      <c r="G318" s="59">
        <v>37.86587905638229</v>
      </c>
      <c r="H318" s="59">
        <v>15.146351622552917</v>
      </c>
      <c r="I318" s="59">
        <v>583.91457457684885</v>
      </c>
      <c r="J318" s="59"/>
      <c r="K318" s="59">
        <v>32.7161195047143</v>
      </c>
      <c r="L318" s="59"/>
      <c r="M318" s="29">
        <f t="shared" si="15"/>
        <v>669.64292476049832</v>
      </c>
    </row>
    <row r="319" spans="1:13" outlineLevel="1" collapsed="1">
      <c r="A319" s="172" t="s">
        <v>892</v>
      </c>
      <c r="B319" s="1"/>
      <c r="C319" s="144"/>
      <c r="D319" s="144"/>
      <c r="E319" s="1">
        <f t="shared" ref="E319:M319" si="16">SUBTOTAL(9,E272:E318)</f>
        <v>8890.5159999999996</v>
      </c>
      <c r="F319" s="1">
        <f t="shared" si="16"/>
        <v>0</v>
      </c>
      <c r="G319" s="59">
        <f t="shared" si="16"/>
        <v>301.03373849823925</v>
      </c>
      <c r="H319" s="59">
        <f t="shared" si="16"/>
        <v>712.37272850142347</v>
      </c>
      <c r="I319" s="59">
        <f t="shared" si="16"/>
        <v>12637.910556789111</v>
      </c>
      <c r="J319" s="59">
        <f t="shared" si="16"/>
        <v>0</v>
      </c>
      <c r="K319" s="59">
        <f t="shared" si="16"/>
        <v>355.55352342004613</v>
      </c>
      <c r="L319" s="59">
        <f t="shared" si="16"/>
        <v>0</v>
      </c>
      <c r="M319" s="29">
        <f t="shared" si="16"/>
        <v>14006.870547208822</v>
      </c>
    </row>
    <row r="320" spans="1:13" hidden="1" outlineLevel="2">
      <c r="A320" s="172">
        <v>46016</v>
      </c>
      <c r="B320" s="1"/>
      <c r="C320" s="144"/>
      <c r="D320" s="144" t="s">
        <v>655</v>
      </c>
      <c r="E320" s="1"/>
      <c r="F320" s="1"/>
      <c r="G320" s="59"/>
      <c r="H320" s="59"/>
      <c r="I320" s="563">
        <v>2889.4</v>
      </c>
      <c r="J320" s="59"/>
      <c r="K320" s="59"/>
      <c r="L320" s="59"/>
      <c r="M320" s="29">
        <f>SUM(G320:L320)</f>
        <v>2889.4</v>
      </c>
    </row>
    <row r="321" spans="1:13" hidden="1" outlineLevel="2">
      <c r="A321" s="172">
        <v>46016</v>
      </c>
      <c r="B321" s="1"/>
      <c r="C321" s="144"/>
      <c r="D321" s="144" t="s">
        <v>61</v>
      </c>
      <c r="E321" s="1"/>
      <c r="F321" s="1"/>
      <c r="G321" s="563">
        <v>478.39</v>
      </c>
      <c r="H321" s="563">
        <v>2680.06</v>
      </c>
      <c r="I321" s="563">
        <v>3482.49</v>
      </c>
      <c r="J321" s="59"/>
      <c r="K321" s="563">
        <v>1426.15</v>
      </c>
      <c r="L321" s="59"/>
      <c r="M321" s="29">
        <f>SUM(G321:L321)</f>
        <v>8067.09</v>
      </c>
    </row>
    <row r="322" spans="1:13" hidden="1" outlineLevel="2">
      <c r="A322" s="172">
        <v>46016</v>
      </c>
      <c r="B322" s="1"/>
      <c r="C322" s="144"/>
      <c r="D322" s="144" t="s">
        <v>85</v>
      </c>
      <c r="E322" s="1"/>
      <c r="F322" s="1"/>
      <c r="G322" s="59"/>
      <c r="H322" s="59"/>
      <c r="I322" s="563">
        <v>2681.68</v>
      </c>
      <c r="J322" s="59"/>
      <c r="K322" s="563">
        <v>233.35</v>
      </c>
      <c r="L322" s="59"/>
      <c r="M322" s="29">
        <f>SUM(G322:L322)</f>
        <v>2915.0299999999997</v>
      </c>
    </row>
    <row r="323" spans="1:13" outlineLevel="1" collapsed="1">
      <c r="A323" s="172" t="s">
        <v>1265</v>
      </c>
      <c r="B323" s="1"/>
      <c r="C323" s="144"/>
      <c r="D323" s="144"/>
      <c r="E323" s="1">
        <f t="shared" ref="E323:M323" si="17">SUBTOTAL(9,E320:E322)</f>
        <v>0</v>
      </c>
      <c r="F323" s="1">
        <f t="shared" si="17"/>
        <v>0</v>
      </c>
      <c r="G323" s="59">
        <f t="shared" si="17"/>
        <v>478.39</v>
      </c>
      <c r="H323" s="59">
        <f t="shared" si="17"/>
        <v>2680.06</v>
      </c>
      <c r="I323" s="563">
        <f t="shared" si="17"/>
        <v>9053.57</v>
      </c>
      <c r="J323" s="59">
        <f t="shared" si="17"/>
        <v>0</v>
      </c>
      <c r="K323" s="563">
        <f t="shared" si="17"/>
        <v>1659.5</v>
      </c>
      <c r="L323" s="59">
        <f t="shared" si="17"/>
        <v>0</v>
      </c>
      <c r="M323" s="29">
        <f t="shared" si="17"/>
        <v>13871.52</v>
      </c>
    </row>
    <row r="324" spans="1:13" hidden="1" outlineLevel="2">
      <c r="A324" s="172">
        <v>46048</v>
      </c>
      <c r="B324" s="1"/>
      <c r="C324" s="144"/>
      <c r="D324" s="1" t="s">
        <v>655</v>
      </c>
      <c r="E324" s="1">
        <v>770.80000000000007</v>
      </c>
      <c r="F324" s="1"/>
      <c r="G324" s="59"/>
      <c r="H324" s="59">
        <v>3068.6560826319815</v>
      </c>
      <c r="I324" s="59"/>
      <c r="J324" s="59"/>
      <c r="K324" s="59"/>
      <c r="L324" s="59"/>
      <c r="M324" s="29">
        <f>SUM(G324:L324)</f>
        <v>3068.6560826319815</v>
      </c>
    </row>
    <row r="325" spans="1:13" hidden="1" outlineLevel="2">
      <c r="A325" s="172">
        <v>46048</v>
      </c>
      <c r="B325" s="1"/>
      <c r="C325" s="144"/>
      <c r="D325" s="1" t="s">
        <v>61</v>
      </c>
      <c r="E325" s="565">
        <v>14281.300999999998</v>
      </c>
      <c r="F325" s="1">
        <v>21.165000000000006</v>
      </c>
      <c r="G325" s="59">
        <v>429.22723794950275</v>
      </c>
      <c r="H325" s="59">
        <v>3930.4781740627395</v>
      </c>
      <c r="I325" s="59"/>
      <c r="J325" s="59"/>
      <c r="K325" s="59">
        <v>391.17704667176747</v>
      </c>
      <c r="L325" s="59"/>
      <c r="M325" s="29">
        <f>SUM(G325:L325)</f>
        <v>4750.8824586840092</v>
      </c>
    </row>
    <row r="326" spans="1:13" hidden="1" outlineLevel="2">
      <c r="A326" s="172">
        <v>46048</v>
      </c>
      <c r="B326" s="1"/>
      <c r="C326" s="144"/>
      <c r="D326" s="1" t="s">
        <v>85</v>
      </c>
      <c r="E326" s="1">
        <v>630</v>
      </c>
      <c r="F326" s="1"/>
      <c r="G326" s="59">
        <v>1680.94</v>
      </c>
      <c r="H326" s="59"/>
      <c r="I326" s="59"/>
      <c r="J326" s="59"/>
      <c r="K326" s="59">
        <v>100.05306399411405</v>
      </c>
      <c r="L326" s="59"/>
      <c r="M326" s="29">
        <f>SUM(G326:L326)</f>
        <v>1780.9930639941142</v>
      </c>
    </row>
    <row r="327" spans="1:13" outlineLevel="1" collapsed="1">
      <c r="A327" s="172" t="s">
        <v>1407</v>
      </c>
      <c r="B327" s="1"/>
      <c r="C327" s="144"/>
      <c r="D327" s="144"/>
      <c r="E327" s="1">
        <f t="shared" ref="E327:M327" si="18">SUBTOTAL(9,E324:E326)</f>
        <v>15682.100999999997</v>
      </c>
      <c r="F327" s="1">
        <f t="shared" si="18"/>
        <v>21.165000000000006</v>
      </c>
      <c r="G327" s="59">
        <f t="shared" si="18"/>
        <v>2110.167237949503</v>
      </c>
      <c r="H327" s="59">
        <f t="shared" si="18"/>
        <v>6999.1342566947205</v>
      </c>
      <c r="I327" s="563">
        <f t="shared" si="18"/>
        <v>0</v>
      </c>
      <c r="J327" s="59">
        <f t="shared" si="18"/>
        <v>0</v>
      </c>
      <c r="K327" s="563">
        <f t="shared" si="18"/>
        <v>491.23011066588151</v>
      </c>
      <c r="L327" s="59">
        <f t="shared" si="18"/>
        <v>0</v>
      </c>
      <c r="M327" s="29">
        <f t="shared" si="18"/>
        <v>9600.5316053101051</v>
      </c>
    </row>
    <row r="328" spans="1:13" hidden="1" outlineLevel="2">
      <c r="A328" s="172">
        <v>46054</v>
      </c>
      <c r="B328" s="1" t="s">
        <v>1319</v>
      </c>
      <c r="C328" s="379" t="s">
        <v>1419</v>
      </c>
      <c r="D328" s="742" t="str">
        <f>VLOOKUP(C328,[1]Material!F:J,5,0)</f>
        <v>VVMV(sea)</v>
      </c>
      <c r="E328" s="743">
        <f>_xlfn.XLOOKUP(C328,[1]Material!$F:$F,[1]Material!$D:$D)</f>
        <v>1818</v>
      </c>
      <c r="F328" s="741">
        <v>11.484</v>
      </c>
      <c r="G328" s="761">
        <v>117.83935834568746</v>
      </c>
      <c r="H328" s="761">
        <v>15.205078496217737</v>
      </c>
      <c r="I328" s="761">
        <v>1213.7935393621469</v>
      </c>
      <c r="J328" s="761"/>
      <c r="K328" s="761"/>
      <c r="L328" s="29"/>
      <c r="M328" s="29">
        <f t="shared" ref="M328:M359" si="19">SUM(G328:L328)</f>
        <v>1346.8379762040522</v>
      </c>
    </row>
    <row r="329" spans="1:13" hidden="1" outlineLevel="2">
      <c r="A329" s="172">
        <v>46054</v>
      </c>
      <c r="B329" s="1" t="s">
        <v>940</v>
      </c>
      <c r="C329" s="379" t="s">
        <v>1420</v>
      </c>
      <c r="D329" s="742" t="str">
        <f>VLOOKUP(C329,[1]Material!F:J,5,0)</f>
        <v>DHL( global)</v>
      </c>
      <c r="E329" s="743">
        <f>_xlfn.XLOOKUP(C329,[1]Material!$F:$F,[1]Material!$D:$D)</f>
        <v>61.9</v>
      </c>
      <c r="F329" s="761"/>
      <c r="G329" s="761">
        <v>0</v>
      </c>
      <c r="H329" s="761">
        <v>15.205078496217737</v>
      </c>
      <c r="I329" s="761">
        <v>0</v>
      </c>
      <c r="J329" s="761"/>
      <c r="K329" s="761"/>
      <c r="L329" s="29"/>
      <c r="M329" s="29">
        <f t="shared" si="19"/>
        <v>15.205078496217737</v>
      </c>
    </row>
    <row r="330" spans="1:13" hidden="1" outlineLevel="2">
      <c r="A330" s="172">
        <v>46054</v>
      </c>
      <c r="B330" s="1" t="s">
        <v>940</v>
      </c>
      <c r="C330" s="379" t="s">
        <v>1421</v>
      </c>
      <c r="D330" s="742" t="str">
        <f>VLOOKUP(C330,[1]Material!F:J,5,0)</f>
        <v>DHL( global)</v>
      </c>
      <c r="E330" s="743">
        <f>_xlfn.XLOOKUP(C330,[1]Material!$F:$F,[1]Material!$D:$D)</f>
        <v>7.7</v>
      </c>
      <c r="F330" s="761"/>
      <c r="G330" s="761">
        <v>0</v>
      </c>
      <c r="H330" s="761">
        <v>15.205078496217737</v>
      </c>
      <c r="I330" s="761">
        <v>0</v>
      </c>
      <c r="J330" s="761"/>
      <c r="K330" s="761"/>
      <c r="L330" s="29"/>
      <c r="M330" s="29">
        <f t="shared" si="19"/>
        <v>15.205078496217737</v>
      </c>
    </row>
    <row r="331" spans="1:13" hidden="1" outlineLevel="2">
      <c r="A331" s="172">
        <v>46054</v>
      </c>
      <c r="B331" s="1" t="s">
        <v>940</v>
      </c>
      <c r="C331" s="379" t="s">
        <v>1422</v>
      </c>
      <c r="D331" s="742" t="str">
        <f>VLOOKUP(C331,[1]Material!F:J,5,0)</f>
        <v>DHL( global)</v>
      </c>
      <c r="E331" s="743">
        <f>_xlfn.XLOOKUP(C331,[1]Material!$F:$F,[1]Material!$D:$D)</f>
        <v>7.7</v>
      </c>
      <c r="F331" s="761"/>
      <c r="G331" s="761">
        <v>0</v>
      </c>
      <c r="H331" s="761">
        <v>15.205078496217737</v>
      </c>
      <c r="I331" s="761">
        <v>0</v>
      </c>
      <c r="J331" s="761"/>
      <c r="K331" s="761"/>
      <c r="L331" s="29"/>
      <c r="M331" s="29">
        <f t="shared" si="19"/>
        <v>15.205078496217737</v>
      </c>
    </row>
    <row r="332" spans="1:13" hidden="1" outlineLevel="2">
      <c r="A332" s="172">
        <v>46054</v>
      </c>
      <c r="B332" s="1" t="s">
        <v>940</v>
      </c>
      <c r="C332" s="379" t="s">
        <v>1423</v>
      </c>
      <c r="D332" s="742" t="str">
        <f>VLOOKUP(C332,[1]Material!F:J,5,0)</f>
        <v>DHL( global)</v>
      </c>
      <c r="E332" s="743">
        <f>_xlfn.XLOOKUP(C332,[1]Material!$F:$F,[1]Material!$D:$D)</f>
        <v>7.7</v>
      </c>
      <c r="F332" s="761"/>
      <c r="G332" s="761">
        <v>0</v>
      </c>
      <c r="H332" s="761">
        <v>15.205078496217737</v>
      </c>
      <c r="I332" s="761">
        <v>0</v>
      </c>
      <c r="J332" s="761"/>
      <c r="K332" s="761"/>
      <c r="L332" s="29"/>
      <c r="M332" s="29">
        <f t="shared" si="19"/>
        <v>15.205078496217737</v>
      </c>
    </row>
    <row r="333" spans="1:13" hidden="1" outlineLevel="2">
      <c r="A333" s="172">
        <v>46054</v>
      </c>
      <c r="B333" s="1" t="s">
        <v>940</v>
      </c>
      <c r="C333" s="379" t="s">
        <v>1424</v>
      </c>
      <c r="D333" s="742" t="str">
        <f>VLOOKUP(C333,[1]Material!F:J,5,0)</f>
        <v>DHL( global)</v>
      </c>
      <c r="E333" s="743">
        <f>_xlfn.XLOOKUP(C333,[1]Material!$F:$F,[1]Material!$D:$D)</f>
        <v>21.9</v>
      </c>
      <c r="F333" s="761"/>
      <c r="G333" s="761">
        <v>0</v>
      </c>
      <c r="H333" s="761">
        <v>15.205078496217737</v>
      </c>
      <c r="I333" s="761">
        <v>0</v>
      </c>
      <c r="J333" s="761"/>
      <c r="K333" s="761"/>
      <c r="L333" s="29"/>
      <c r="M333" s="29">
        <f t="shared" si="19"/>
        <v>15.205078496217737</v>
      </c>
    </row>
    <row r="334" spans="1:13" hidden="1" outlineLevel="2">
      <c r="A334" s="172">
        <v>46054</v>
      </c>
      <c r="B334" s="1" t="s">
        <v>940</v>
      </c>
      <c r="C334" s="379" t="s">
        <v>1425</v>
      </c>
      <c r="D334" s="742" t="str">
        <f>VLOOKUP(C334,[1]Material!F:J,5,0)</f>
        <v>DHL( global)</v>
      </c>
      <c r="E334" s="743">
        <f>_xlfn.XLOOKUP(C334,[1]Material!$F:$F,[1]Material!$D:$D)</f>
        <v>7.7</v>
      </c>
      <c r="F334" s="761"/>
      <c r="G334" s="761">
        <v>0</v>
      </c>
      <c r="H334" s="761">
        <v>15.205078496217737</v>
      </c>
      <c r="I334" s="761">
        <v>0</v>
      </c>
      <c r="J334" s="761"/>
      <c r="K334" s="761"/>
      <c r="L334" s="29"/>
      <c r="M334" s="29">
        <f t="shared" si="19"/>
        <v>15.205078496217737</v>
      </c>
    </row>
    <row r="335" spans="1:13" hidden="1" outlineLevel="2">
      <c r="A335" s="172">
        <v>46054</v>
      </c>
      <c r="B335" s="1" t="s">
        <v>940</v>
      </c>
      <c r="C335" s="379" t="s">
        <v>1426</v>
      </c>
      <c r="D335" s="742" t="str">
        <f>VLOOKUP(C335,[1]Material!F:J,5,0)</f>
        <v>DHL( global)</v>
      </c>
      <c r="E335" s="743">
        <f>_xlfn.XLOOKUP(C335,[1]Material!$F:$F,[1]Material!$D:$D)</f>
        <v>7.7</v>
      </c>
      <c r="F335" s="761"/>
      <c r="G335" s="761">
        <v>0</v>
      </c>
      <c r="H335" s="761">
        <v>15.205078496217737</v>
      </c>
      <c r="I335" s="761">
        <v>0</v>
      </c>
      <c r="J335" s="761"/>
      <c r="K335" s="761"/>
      <c r="L335" s="29"/>
      <c r="M335" s="29">
        <f t="shared" si="19"/>
        <v>15.205078496217737</v>
      </c>
    </row>
    <row r="336" spans="1:13" hidden="1" outlineLevel="2">
      <c r="A336" s="172">
        <v>46054</v>
      </c>
      <c r="B336" s="1" t="s">
        <v>940</v>
      </c>
      <c r="C336" s="379" t="s">
        <v>1427</v>
      </c>
      <c r="D336" s="742" t="str">
        <f>VLOOKUP(C336,[1]Material!F:J,5,0)</f>
        <v>DHL( global)</v>
      </c>
      <c r="E336" s="743">
        <f>_xlfn.XLOOKUP(C336,[1]Material!$F:$F,[1]Material!$D:$D)</f>
        <v>26.1</v>
      </c>
      <c r="F336" s="761"/>
      <c r="G336" s="761">
        <v>0</v>
      </c>
      <c r="H336" s="761">
        <v>15.205078496217737</v>
      </c>
      <c r="I336" s="761">
        <v>0</v>
      </c>
      <c r="J336" s="761"/>
      <c r="K336" s="761"/>
      <c r="L336" s="29"/>
      <c r="M336" s="29">
        <f t="shared" si="19"/>
        <v>15.205078496217737</v>
      </c>
    </row>
    <row r="337" spans="1:13" hidden="1" outlineLevel="2">
      <c r="A337" s="172">
        <v>46054</v>
      </c>
      <c r="B337" s="1" t="s">
        <v>962</v>
      </c>
      <c r="C337" s="379">
        <v>4915049792</v>
      </c>
      <c r="D337" s="742" t="str">
        <f>VLOOKUP(C337,[1]Material!F:J,5,0)</f>
        <v>Expeditors</v>
      </c>
      <c r="E337" s="743">
        <f>_xlfn.XLOOKUP(C337,[1]Material!$F:$F,[1]Material!$D:$D)</f>
        <v>188</v>
      </c>
      <c r="F337" s="761"/>
      <c r="G337" s="761">
        <v>18.246094195461286</v>
      </c>
      <c r="H337" s="761">
        <v>15.205078496217737</v>
      </c>
      <c r="I337" s="761">
        <v>460.44</v>
      </c>
      <c r="J337" s="761"/>
      <c r="K337" s="761">
        <v>33.37378343898051</v>
      </c>
      <c r="L337" s="29"/>
      <c r="M337" s="29">
        <f t="shared" si="19"/>
        <v>527.26495613065947</v>
      </c>
    </row>
    <row r="338" spans="1:13" hidden="1" outlineLevel="2">
      <c r="A338" s="172">
        <v>46054</v>
      </c>
      <c r="B338" s="1" t="s">
        <v>951</v>
      </c>
      <c r="C338" s="379">
        <v>5973566152</v>
      </c>
      <c r="D338" s="742" t="str">
        <f>VLOOKUP(C338,[1]Material!F:J,5,0)</f>
        <v>DHL</v>
      </c>
      <c r="E338" s="743">
        <f>_xlfn.XLOOKUP(C338,[1]Material!$F:$F,[1]Material!$D:$D)</f>
        <v>0.3</v>
      </c>
      <c r="F338" s="761"/>
      <c r="G338" s="761">
        <v>0</v>
      </c>
      <c r="H338" s="761">
        <v>15.205078496217737</v>
      </c>
      <c r="I338" s="761">
        <v>0</v>
      </c>
      <c r="J338" s="761"/>
      <c r="K338" s="761"/>
      <c r="L338" s="29"/>
      <c r="M338" s="29">
        <f t="shared" si="19"/>
        <v>15.205078496217737</v>
      </c>
    </row>
    <row r="339" spans="1:13" hidden="1" outlineLevel="2">
      <c r="A339" s="172">
        <v>46054</v>
      </c>
      <c r="B339" s="1" t="s">
        <v>372</v>
      </c>
      <c r="C339" s="379">
        <v>472187346038</v>
      </c>
      <c r="D339" s="742" t="str">
        <f>VLOOKUP(C339,[1]Material!F:J,5,0)</f>
        <v>Fedex</v>
      </c>
      <c r="E339" s="743">
        <f>_xlfn.XLOOKUP(C339,[1]Material!$F:$F,[1]Material!$D:$D)</f>
        <v>12</v>
      </c>
      <c r="F339" s="761"/>
      <c r="G339" s="761">
        <v>0</v>
      </c>
      <c r="H339" s="761">
        <v>15.205078496217737</v>
      </c>
      <c r="I339" s="761">
        <v>55.512031018360133</v>
      </c>
      <c r="J339" s="761"/>
      <c r="K339" s="761"/>
      <c r="L339" s="29"/>
      <c r="M339" s="29">
        <f t="shared" si="19"/>
        <v>70.717109514577871</v>
      </c>
    </row>
    <row r="340" spans="1:13" hidden="1" outlineLevel="2">
      <c r="A340" s="172">
        <v>46054</v>
      </c>
      <c r="B340" s="1" t="s">
        <v>940</v>
      </c>
      <c r="C340" s="379" t="s">
        <v>1428</v>
      </c>
      <c r="D340" s="742" t="str">
        <f>VLOOKUP(C340,[1]Material!F:J,5,0)</f>
        <v>DHL( global)</v>
      </c>
      <c r="E340" s="743">
        <f>_xlfn.XLOOKUP(C340,[1]Material!$F:$F,[1]Material!$D:$D)</f>
        <v>7.7</v>
      </c>
      <c r="F340" s="761"/>
      <c r="G340" s="761">
        <v>0</v>
      </c>
      <c r="H340" s="761">
        <v>15.205078496217737</v>
      </c>
      <c r="I340" s="761">
        <v>0</v>
      </c>
      <c r="J340" s="761"/>
      <c r="K340" s="761"/>
      <c r="L340" s="29"/>
      <c r="M340" s="29">
        <f t="shared" si="19"/>
        <v>15.205078496217737</v>
      </c>
    </row>
    <row r="341" spans="1:13" hidden="1" outlineLevel="2">
      <c r="A341" s="172">
        <v>46054</v>
      </c>
      <c r="B341" s="1" t="s">
        <v>940</v>
      </c>
      <c r="C341" s="379" t="s">
        <v>1429</v>
      </c>
      <c r="D341" s="742" t="str">
        <f>VLOOKUP(C341,[1]Material!F:J,5,0)</f>
        <v>DHL( global)</v>
      </c>
      <c r="E341" s="743">
        <f>_xlfn.XLOOKUP(C341,[1]Material!$F:$F,[1]Material!$D:$D)</f>
        <v>21.9</v>
      </c>
      <c r="F341" s="761"/>
      <c r="G341" s="761">
        <v>0</v>
      </c>
      <c r="H341" s="761">
        <v>15.205078496217737</v>
      </c>
      <c r="I341" s="761">
        <v>0</v>
      </c>
      <c r="J341" s="761"/>
      <c r="K341" s="761"/>
      <c r="L341" s="29"/>
      <c r="M341" s="29">
        <f t="shared" si="19"/>
        <v>15.205078496217737</v>
      </c>
    </row>
    <row r="342" spans="1:13" hidden="1" outlineLevel="2">
      <c r="A342" s="172">
        <v>46054</v>
      </c>
      <c r="B342" s="1" t="s">
        <v>801</v>
      </c>
      <c r="C342" s="379">
        <v>416886370138</v>
      </c>
      <c r="D342" s="742" t="str">
        <f>VLOOKUP(C342,[1]Material!F:J,5,0)</f>
        <v>Fedex</v>
      </c>
      <c r="E342" s="743">
        <f>_xlfn.XLOOKUP(C342,[1]Material!$F:$F,[1]Material!$D:$D)</f>
        <v>1</v>
      </c>
      <c r="F342" s="761"/>
      <c r="G342" s="761">
        <v>0</v>
      </c>
      <c r="H342" s="761">
        <v>15.205078496217737</v>
      </c>
      <c r="I342" s="761">
        <v>28.833200288896492</v>
      </c>
      <c r="J342" s="761"/>
      <c r="K342" s="761"/>
      <c r="L342" s="29"/>
      <c r="M342" s="29">
        <f t="shared" si="19"/>
        <v>44.03827878511423</v>
      </c>
    </row>
    <row r="343" spans="1:13" hidden="1" outlineLevel="2">
      <c r="A343" s="172">
        <v>46054</v>
      </c>
      <c r="B343" s="1" t="s">
        <v>947</v>
      </c>
      <c r="C343" s="379">
        <v>479730301652</v>
      </c>
      <c r="D343" s="742" t="str">
        <f>VLOOKUP(C343,[1]Material!F:J,5,0)</f>
        <v>Fedex</v>
      </c>
      <c r="E343" s="743">
        <f>_xlfn.XLOOKUP(C343,[1]Material!$F:$F,[1]Material!$D:$D)</f>
        <v>0.5</v>
      </c>
      <c r="F343" s="761"/>
      <c r="G343" s="761">
        <v>0</v>
      </c>
      <c r="H343" s="761">
        <v>15.205078496217737</v>
      </c>
      <c r="I343" s="761">
        <v>0</v>
      </c>
      <c r="J343" s="761"/>
      <c r="K343" s="761"/>
      <c r="L343" s="29"/>
      <c r="M343" s="29">
        <f t="shared" si="19"/>
        <v>15.205078496217737</v>
      </c>
    </row>
    <row r="344" spans="1:13" hidden="1" outlineLevel="2">
      <c r="A344" s="172">
        <v>46054</v>
      </c>
      <c r="B344" s="1" t="s">
        <v>327</v>
      </c>
      <c r="C344" s="379">
        <v>451399164731</v>
      </c>
      <c r="D344" s="742" t="str">
        <f>VLOOKUP(C344,[1]Material!F:J,5,0)</f>
        <v>Fedex</v>
      </c>
      <c r="E344" s="743">
        <f>_xlfn.XLOOKUP(C344,[1]Material!$F:$F,[1]Material!$D:$D)</f>
        <v>63.5</v>
      </c>
      <c r="F344" s="761"/>
      <c r="G344" s="761">
        <v>0</v>
      </c>
      <c r="H344" s="761">
        <v>15.205078496217737</v>
      </c>
      <c r="I344" s="761">
        <v>362.23161135819362</v>
      </c>
      <c r="J344" s="761"/>
      <c r="K344" s="761"/>
      <c r="L344" s="29"/>
      <c r="M344" s="29">
        <f t="shared" si="19"/>
        <v>377.43668985441138</v>
      </c>
    </row>
    <row r="345" spans="1:13" hidden="1" outlineLevel="2">
      <c r="A345" s="172">
        <v>46054</v>
      </c>
      <c r="B345" s="1" t="s">
        <v>1463</v>
      </c>
      <c r="C345" s="379">
        <v>488209951913</v>
      </c>
      <c r="D345" s="742" t="str">
        <f>VLOOKUP(C345,[1]Material!F:J,5,0)</f>
        <v>Fedex</v>
      </c>
      <c r="E345" s="743">
        <f>_xlfn.XLOOKUP(C345,[1]Material!$F:$F,[1]Material!$D:$D)</f>
        <v>2</v>
      </c>
      <c r="F345" s="761"/>
      <c r="G345" s="761">
        <v>0</v>
      </c>
      <c r="H345" s="761">
        <v>15.205078496217737</v>
      </c>
      <c r="I345" s="761">
        <v>0</v>
      </c>
      <c r="J345" s="761"/>
      <c r="K345" s="761"/>
      <c r="L345" s="29"/>
      <c r="M345" s="29">
        <f t="shared" si="19"/>
        <v>15.205078496217737</v>
      </c>
    </row>
    <row r="346" spans="1:13" hidden="1" outlineLevel="2">
      <c r="A346" s="172">
        <v>46054</v>
      </c>
      <c r="B346" s="1" t="s">
        <v>525</v>
      </c>
      <c r="C346" s="379">
        <v>485149793868</v>
      </c>
      <c r="D346" s="742" t="str">
        <f>VLOOKUP(C346,[1]Material!F:J,5,0)</f>
        <v>Fedex</v>
      </c>
      <c r="E346" s="743">
        <f>_xlfn.XLOOKUP(C346,[1]Material!$F:$F,[1]Material!$D:$D)</f>
        <v>19</v>
      </c>
      <c r="F346" s="761"/>
      <c r="G346" s="761">
        <v>0</v>
      </c>
      <c r="H346" s="761">
        <v>15.205078496217737</v>
      </c>
      <c r="I346" s="761">
        <v>145.03626411221347</v>
      </c>
      <c r="J346" s="761"/>
      <c r="K346" s="761"/>
      <c r="L346" s="29"/>
      <c r="M346" s="29">
        <f t="shared" si="19"/>
        <v>160.24134260843121</v>
      </c>
    </row>
    <row r="347" spans="1:13" hidden="1" outlineLevel="2">
      <c r="A347" s="172">
        <v>46054</v>
      </c>
      <c r="B347" s="1" t="s">
        <v>813</v>
      </c>
      <c r="C347" s="379">
        <v>481663282262</v>
      </c>
      <c r="D347" s="742" t="str">
        <f>VLOOKUP(C347,[1]Material!F:J,5,0)</f>
        <v>Fedex</v>
      </c>
      <c r="E347" s="743">
        <f>_xlfn.XLOOKUP(C347,[1]Material!$F:$F,[1]Material!$D:$D)</f>
        <v>32</v>
      </c>
      <c r="F347" s="761"/>
      <c r="G347" s="761">
        <v>0</v>
      </c>
      <c r="H347" s="761">
        <v>15.205078496217737</v>
      </c>
      <c r="I347" s="761">
        <v>130.58246854449385</v>
      </c>
      <c r="J347" s="761"/>
      <c r="K347" s="761"/>
      <c r="L347" s="29"/>
      <c r="M347" s="29">
        <f t="shared" si="19"/>
        <v>145.78754704071159</v>
      </c>
    </row>
    <row r="348" spans="1:13" hidden="1" outlineLevel="2">
      <c r="A348" s="172">
        <v>46054</v>
      </c>
      <c r="B348" s="1" t="s">
        <v>328</v>
      </c>
      <c r="C348" s="379" t="s">
        <v>1430</v>
      </c>
      <c r="D348" s="742" t="str">
        <f>VLOOKUP(C348,[1]Material!F:J,5,0)</f>
        <v>VVMV(sea)</v>
      </c>
      <c r="E348" s="743">
        <f>_xlfn.XLOOKUP(C348,[1]Material!$F:$F,[1]Material!$D:$D)</f>
        <v>116.2</v>
      </c>
      <c r="F348" s="741">
        <v>0.25300000000000006</v>
      </c>
      <c r="G348" s="761">
        <v>38.012696240544344</v>
      </c>
      <c r="H348" s="761">
        <v>15.205078496217737</v>
      </c>
      <c r="I348" s="761">
        <v>586.64556962025313</v>
      </c>
      <c r="J348" s="761"/>
      <c r="K348" s="761"/>
      <c r="L348" s="29"/>
      <c r="M348" s="29">
        <f t="shared" si="19"/>
        <v>639.86334435701519</v>
      </c>
    </row>
    <row r="349" spans="1:13" hidden="1" outlineLevel="2">
      <c r="A349" s="172">
        <v>46054</v>
      </c>
      <c r="B349" s="1" t="s">
        <v>1465</v>
      </c>
      <c r="C349" s="379">
        <v>888199998013</v>
      </c>
      <c r="D349" s="742" t="str">
        <f>VLOOKUP(C349,[1]Material!F:J,5,0)</f>
        <v>Fedex</v>
      </c>
      <c r="E349" s="743">
        <f>_xlfn.XLOOKUP(C349,[1]Material!$F:$F,[1]Material!$D:$D)</f>
        <v>3</v>
      </c>
      <c r="F349" s="761"/>
      <c r="G349" s="761">
        <v>0</v>
      </c>
      <c r="H349" s="761">
        <v>15.205078496217737</v>
      </c>
      <c r="I349" s="761">
        <v>33.398791196259552</v>
      </c>
      <c r="J349" s="761"/>
      <c r="K349" s="761"/>
      <c r="L349" s="29"/>
      <c r="M349" s="29">
        <f t="shared" si="19"/>
        <v>48.603869692477289</v>
      </c>
    </row>
    <row r="350" spans="1:13" hidden="1" outlineLevel="2">
      <c r="A350" s="172">
        <v>46054</v>
      </c>
      <c r="B350" s="1" t="s">
        <v>951</v>
      </c>
      <c r="C350" s="379">
        <v>5973583361</v>
      </c>
      <c r="D350" s="742" t="str">
        <f>VLOOKUP(C350,[1]Material!F:J,5,0)</f>
        <v>DHL</v>
      </c>
      <c r="E350" s="743">
        <f>_xlfn.XLOOKUP(C350,[1]Material!$F:$F,[1]Material!$D:$D)</f>
        <v>0.7</v>
      </c>
      <c r="F350" s="761"/>
      <c r="G350" s="761">
        <v>0</v>
      </c>
      <c r="H350" s="761">
        <v>15.205078496217737</v>
      </c>
      <c r="I350" s="761">
        <v>0</v>
      </c>
      <c r="J350" s="761"/>
      <c r="K350" s="761"/>
      <c r="L350" s="29"/>
      <c r="M350" s="29">
        <f t="shared" si="19"/>
        <v>15.205078496217737</v>
      </c>
    </row>
    <row r="351" spans="1:13" hidden="1" outlineLevel="2">
      <c r="A351" s="172">
        <v>46054</v>
      </c>
      <c r="B351" s="1" t="s">
        <v>1466</v>
      </c>
      <c r="C351" s="379">
        <v>4812884991</v>
      </c>
      <c r="D351" s="742" t="str">
        <f>VLOOKUP(C351,[1]Material!F:J,5,0)</f>
        <v>Expeditors</v>
      </c>
      <c r="E351" s="743">
        <f>_xlfn.XLOOKUP(C351,[1]Material!$F:$F,[1]Material!$D:$D)</f>
        <v>229</v>
      </c>
      <c r="F351" s="761"/>
      <c r="G351" s="761">
        <v>0</v>
      </c>
      <c r="H351" s="761">
        <v>15.205078496217737</v>
      </c>
      <c r="I351" s="761">
        <v>0</v>
      </c>
      <c r="J351" s="761"/>
      <c r="K351" s="761">
        <v>33.45117269167902</v>
      </c>
      <c r="L351" s="29"/>
      <c r="M351" s="29">
        <f t="shared" si="19"/>
        <v>48.656251187896757</v>
      </c>
    </row>
    <row r="352" spans="1:13" hidden="1" outlineLevel="2">
      <c r="A352" s="172">
        <v>46054</v>
      </c>
      <c r="B352" s="1" t="s">
        <v>1467</v>
      </c>
      <c r="C352" s="379" t="s">
        <v>1431</v>
      </c>
      <c r="D352" s="742" t="str">
        <f>VLOOKUP(C352,[1]Material!F:J,5,0)</f>
        <v>DHL( global)</v>
      </c>
      <c r="E352" s="743">
        <f>_xlfn.XLOOKUP(C352,[1]Material!$F:$F,[1]Material!$D:$D)</f>
        <v>6.5</v>
      </c>
      <c r="F352" s="761"/>
      <c r="G352" s="761">
        <v>0</v>
      </c>
      <c r="H352" s="761">
        <v>15.205078496217737</v>
      </c>
      <c r="I352" s="761">
        <v>0</v>
      </c>
      <c r="J352" s="761"/>
      <c r="K352" s="761"/>
      <c r="L352" s="29"/>
      <c r="M352" s="29">
        <f t="shared" si="19"/>
        <v>15.205078496217737</v>
      </c>
    </row>
    <row r="353" spans="1:13" hidden="1" outlineLevel="2">
      <c r="A353" s="172">
        <v>46054</v>
      </c>
      <c r="B353" s="1" t="s">
        <v>806</v>
      </c>
      <c r="C353" s="379">
        <v>480410528360</v>
      </c>
      <c r="D353" s="742" t="str">
        <f>VLOOKUP(C353,[1]Material!F:J,5,0)</f>
        <v>Fedex</v>
      </c>
      <c r="E353" s="743">
        <f>_xlfn.XLOOKUP(C353,[1]Material!$F:$F,[1]Material!$D:$D)</f>
        <v>18</v>
      </c>
      <c r="F353" s="761"/>
      <c r="G353" s="761">
        <v>0</v>
      </c>
      <c r="H353" s="761">
        <v>15.205078496217737</v>
      </c>
      <c r="I353" s="761">
        <v>0</v>
      </c>
      <c r="J353" s="761"/>
      <c r="K353" s="761"/>
      <c r="L353" s="29"/>
      <c r="M353" s="29">
        <f t="shared" si="19"/>
        <v>15.205078496217737</v>
      </c>
    </row>
    <row r="354" spans="1:13" hidden="1" outlineLevel="2">
      <c r="A354" s="172">
        <v>46054</v>
      </c>
      <c r="B354" s="1" t="s">
        <v>1469</v>
      </c>
      <c r="C354" s="379">
        <v>888228745963</v>
      </c>
      <c r="D354" s="742" t="str">
        <f>VLOOKUP(C354,[1]Material!F:J,5,0)</f>
        <v>Fedex</v>
      </c>
      <c r="E354" s="743">
        <f>_xlfn.XLOOKUP(C354,[1]Material!$F:$F,[1]Material!$D:$D)</f>
        <v>10</v>
      </c>
      <c r="F354" s="761"/>
      <c r="G354" s="761">
        <v>0</v>
      </c>
      <c r="H354" s="761">
        <v>15.205078496217737</v>
      </c>
      <c r="I354" s="761">
        <v>53.07043752613373</v>
      </c>
      <c r="J354" s="761"/>
      <c r="K354" s="761"/>
      <c r="L354" s="29"/>
      <c r="M354" s="29">
        <f t="shared" si="19"/>
        <v>68.275516022351468</v>
      </c>
    </row>
    <row r="355" spans="1:13" hidden="1" outlineLevel="2">
      <c r="A355" s="172">
        <v>46054</v>
      </c>
      <c r="B355" s="1" t="s">
        <v>976</v>
      </c>
      <c r="C355" s="379">
        <v>4915052914</v>
      </c>
      <c r="D355" s="742" t="str">
        <f>VLOOKUP(C355,[1]Material!F:J,5,0)</f>
        <v>Expeditors</v>
      </c>
      <c r="E355" s="743">
        <f>_xlfn.XLOOKUP(C355,[1]Material!$F:$F,[1]Material!$D:$D)</f>
        <v>222</v>
      </c>
      <c r="F355" s="761"/>
      <c r="G355" s="761">
        <v>18.246094195461286</v>
      </c>
      <c r="H355" s="761">
        <v>15.205078496217737</v>
      </c>
      <c r="I355" s="761">
        <v>563.51</v>
      </c>
      <c r="J355" s="761"/>
      <c r="K355" s="761">
        <v>33.613445378151262</v>
      </c>
      <c r="L355" s="29"/>
      <c r="M355" s="29">
        <f t="shared" si="19"/>
        <v>630.57461806983031</v>
      </c>
    </row>
    <row r="356" spans="1:13" hidden="1" outlineLevel="2">
      <c r="A356" s="172">
        <v>46054</v>
      </c>
      <c r="B356" s="1" t="s">
        <v>382</v>
      </c>
      <c r="C356" s="379">
        <v>481663282560</v>
      </c>
      <c r="D356" s="742" t="str">
        <f>VLOOKUP(C356,[1]Material!F:J,5,0)</f>
        <v>Fedex</v>
      </c>
      <c r="E356" s="743">
        <f>_xlfn.XLOOKUP(C356,[1]Material!$F:$F,[1]Material!$D:$D)</f>
        <v>21</v>
      </c>
      <c r="F356" s="761"/>
      <c r="G356" s="761">
        <v>0</v>
      </c>
      <c r="H356" s="761">
        <v>15.205078496217737</v>
      </c>
      <c r="I356" s="761">
        <v>98.552514539856318</v>
      </c>
      <c r="J356" s="761"/>
      <c r="K356" s="761"/>
      <c r="L356" s="29"/>
      <c r="M356" s="29">
        <f t="shared" si="19"/>
        <v>113.75759303607406</v>
      </c>
    </row>
    <row r="357" spans="1:13" hidden="1" outlineLevel="2">
      <c r="A357" s="172">
        <v>46054</v>
      </c>
      <c r="B357" s="1" t="s">
        <v>810</v>
      </c>
      <c r="C357" s="379">
        <v>510007296516</v>
      </c>
      <c r="D357" s="742" t="str">
        <f>VLOOKUP(C357,[1]Material!F:J,5,0)</f>
        <v>Fedex</v>
      </c>
      <c r="E357" s="743">
        <f>_xlfn.XLOOKUP(C357,[1]Material!$F:$F,[1]Material!$D:$D)</f>
        <v>33</v>
      </c>
      <c r="F357" s="761"/>
      <c r="G357" s="761">
        <v>0</v>
      </c>
      <c r="H357" s="761">
        <v>15.205078496217737</v>
      </c>
      <c r="I357" s="761">
        <v>131.56498270422321</v>
      </c>
      <c r="J357" s="761"/>
      <c r="K357" s="761"/>
      <c r="L357" s="29"/>
      <c r="M357" s="29">
        <f t="shared" si="19"/>
        <v>146.77006120044095</v>
      </c>
    </row>
    <row r="358" spans="1:13" hidden="1" outlineLevel="2">
      <c r="A358" s="172">
        <v>46054</v>
      </c>
      <c r="B358" s="1" t="s">
        <v>1323</v>
      </c>
      <c r="C358" s="379">
        <v>888260004496</v>
      </c>
      <c r="D358" s="742" t="str">
        <f>VLOOKUP(C358,[1]Material!F:J,5,0)</f>
        <v>Fedex</v>
      </c>
      <c r="E358" s="743">
        <f>_xlfn.XLOOKUP(C358,[1]Material!$F:$F,[1]Material!$D:$D)</f>
        <v>0.5</v>
      </c>
      <c r="F358" s="761"/>
      <c r="G358" s="761">
        <v>0</v>
      </c>
      <c r="H358" s="761">
        <v>15.205078496217737</v>
      </c>
      <c r="I358" s="761">
        <v>43.102862356026911</v>
      </c>
      <c r="J358" s="761"/>
      <c r="K358" s="761"/>
      <c r="L358" s="29"/>
      <c r="M358" s="29">
        <f t="shared" si="19"/>
        <v>58.307940852244649</v>
      </c>
    </row>
    <row r="359" spans="1:13" hidden="1" outlineLevel="2">
      <c r="A359" s="172">
        <v>46054</v>
      </c>
      <c r="B359" s="1" t="s">
        <v>1323</v>
      </c>
      <c r="C359" s="379">
        <v>8704177646</v>
      </c>
      <c r="D359" s="742" t="str">
        <f>VLOOKUP(C359,[1]Material!F:J,5,0)</f>
        <v>DHL</v>
      </c>
      <c r="E359" s="743">
        <f>_xlfn.XLOOKUP(C359,[1]Material!$F:$F,[1]Material!$D:$D)</f>
        <v>5</v>
      </c>
      <c r="F359" s="761"/>
      <c r="G359" s="761">
        <v>0</v>
      </c>
      <c r="H359" s="761">
        <v>15.205078496217737</v>
      </c>
      <c r="I359" s="761">
        <v>0</v>
      </c>
      <c r="J359" s="761"/>
      <c r="K359" s="761"/>
      <c r="L359" s="29"/>
      <c r="M359" s="29">
        <f t="shared" si="19"/>
        <v>15.205078496217737</v>
      </c>
    </row>
    <row r="360" spans="1:13" hidden="1" outlineLevel="2">
      <c r="A360" s="172">
        <v>46054</v>
      </c>
      <c r="B360" s="1" t="s">
        <v>1470</v>
      </c>
      <c r="C360" s="379">
        <v>480410588712</v>
      </c>
      <c r="D360" s="742" t="str">
        <f>VLOOKUP(C360,[1]Material!F:J,5,0)</f>
        <v>Fedex</v>
      </c>
      <c r="E360" s="743">
        <f>_xlfn.XLOOKUP(C360,[1]Material!$F:$F,[1]Material!$D:$D)</f>
        <v>30</v>
      </c>
      <c r="F360" s="761"/>
      <c r="G360" s="761">
        <v>0</v>
      </c>
      <c r="H360" s="761">
        <v>15.205078496217737</v>
      </c>
      <c r="I360" s="761">
        <v>0</v>
      </c>
      <c r="J360" s="761"/>
      <c r="K360" s="761"/>
      <c r="L360" s="29"/>
      <c r="M360" s="29">
        <f t="shared" ref="M360:M391" si="20">SUM(G360:L360)</f>
        <v>15.205078496217737</v>
      </c>
    </row>
    <row r="361" spans="1:13" hidden="1" outlineLevel="2">
      <c r="A361" s="172">
        <v>46054</v>
      </c>
      <c r="B361" s="1" t="s">
        <v>938</v>
      </c>
      <c r="C361" s="379">
        <v>480410621704</v>
      </c>
      <c r="D361" s="742" t="str">
        <f>VLOOKUP(C361,[1]Material!F:J,5,0)</f>
        <v>Fedex</v>
      </c>
      <c r="E361" s="743">
        <f>_xlfn.XLOOKUP(C361,[1]Material!$F:$F,[1]Material!$D:$D)</f>
        <v>3</v>
      </c>
      <c r="F361" s="761"/>
      <c r="G361" s="761">
        <v>0</v>
      </c>
      <c r="H361" s="761">
        <v>15.205078496217737</v>
      </c>
      <c r="I361" s="761">
        <v>33.76394115634622</v>
      </c>
      <c r="J361" s="761"/>
      <c r="K361" s="761"/>
      <c r="L361" s="29"/>
      <c r="M361" s="29">
        <f t="shared" si="20"/>
        <v>48.969019652563958</v>
      </c>
    </row>
    <row r="362" spans="1:13" hidden="1" outlineLevel="2">
      <c r="A362" s="172">
        <v>46054</v>
      </c>
      <c r="B362" s="1" t="s">
        <v>930</v>
      </c>
      <c r="C362" s="379">
        <v>480410558812</v>
      </c>
      <c r="D362" s="742" t="str">
        <f>VLOOKUP(C362,[1]Material!F:J,5,0)</f>
        <v>Fedex</v>
      </c>
      <c r="E362" s="743">
        <f>_xlfn.XLOOKUP(C362,[1]Material!$F:$F,[1]Material!$D:$D)</f>
        <v>1.5</v>
      </c>
      <c r="F362" s="761"/>
      <c r="G362" s="761">
        <v>0</v>
      </c>
      <c r="H362" s="761">
        <v>15.205078496217737</v>
      </c>
      <c r="I362" s="761">
        <v>29.040179419926254</v>
      </c>
      <c r="J362" s="761"/>
      <c r="K362" s="761"/>
      <c r="L362" s="29"/>
      <c r="M362" s="29">
        <f t="shared" si="20"/>
        <v>44.245257916143991</v>
      </c>
    </row>
    <row r="363" spans="1:13" hidden="1" outlineLevel="2">
      <c r="A363" s="172">
        <v>46054</v>
      </c>
      <c r="B363" s="1" t="s">
        <v>330</v>
      </c>
      <c r="C363" s="379" t="s">
        <v>1433</v>
      </c>
      <c r="D363" s="742" t="str">
        <f>VLOOKUP(C363,[1]Material!F:J,5,0)</f>
        <v>VVMV(sea)</v>
      </c>
      <c r="E363" s="743">
        <f>_xlfn.XLOOKUP(C363,[1]Material!$F:$F,[1]Material!$D:$D)</f>
        <v>1237.6890000000001</v>
      </c>
      <c r="F363" s="741">
        <v>4.51</v>
      </c>
      <c r="G363" s="761">
        <v>91.230470977306425</v>
      </c>
      <c r="H363" s="761">
        <v>15.205078496217737</v>
      </c>
      <c r="I363" s="761">
        <v>195.43195347245981</v>
      </c>
      <c r="J363" s="761"/>
      <c r="K363" s="761"/>
      <c r="L363" s="29"/>
      <c r="M363" s="29">
        <f t="shared" si="20"/>
        <v>301.86750294598397</v>
      </c>
    </row>
    <row r="364" spans="1:13" hidden="1" outlineLevel="2">
      <c r="A364" s="172">
        <v>46054</v>
      </c>
      <c r="B364" s="1" t="s">
        <v>956</v>
      </c>
      <c r="C364" s="379">
        <v>471797722960</v>
      </c>
      <c r="D364" s="742" t="str">
        <f>VLOOKUP(C364,[1]Material!F:J,5,0)</f>
        <v>Fedex</v>
      </c>
      <c r="E364" s="743">
        <f>_xlfn.XLOOKUP(C364,[1]Material!$F:$F,[1]Material!$D:$D)</f>
        <v>29.5</v>
      </c>
      <c r="F364" s="761"/>
      <c r="G364" s="761">
        <v>0</v>
      </c>
      <c r="H364" s="761">
        <v>15.205078496217737</v>
      </c>
      <c r="I364" s="761">
        <v>134.55677196183527</v>
      </c>
      <c r="J364" s="761"/>
      <c r="K364" s="761"/>
      <c r="L364" s="29"/>
      <c r="M364" s="29">
        <f t="shared" si="20"/>
        <v>149.761850458053</v>
      </c>
    </row>
    <row r="365" spans="1:13" hidden="1" outlineLevel="2">
      <c r="A365" s="172">
        <v>46054</v>
      </c>
      <c r="B365" s="1" t="s">
        <v>970</v>
      </c>
      <c r="C365" s="379">
        <v>398192329513</v>
      </c>
      <c r="D365" s="742" t="str">
        <f>VLOOKUP(C365,[1]Material!F:J,5,0)</f>
        <v>Fedex</v>
      </c>
      <c r="E365" s="743">
        <f>_xlfn.XLOOKUP(C365,[1]Material!$F:$F,[1]Material!$D:$D)</f>
        <v>4.5</v>
      </c>
      <c r="F365" s="761"/>
      <c r="G365" s="761">
        <v>0</v>
      </c>
      <c r="H365" s="761">
        <v>15.205078496217737</v>
      </c>
      <c r="I365" s="761">
        <v>58.234690386589122</v>
      </c>
      <c r="J365" s="761"/>
      <c r="K365" s="761"/>
      <c r="L365" s="29"/>
      <c r="M365" s="29">
        <f t="shared" si="20"/>
        <v>73.43976888280686</v>
      </c>
    </row>
    <row r="366" spans="1:13" hidden="1" outlineLevel="2">
      <c r="A366" s="172">
        <v>46054</v>
      </c>
      <c r="B366" s="1" t="s">
        <v>1472</v>
      </c>
      <c r="C366" s="379">
        <v>398278563903</v>
      </c>
      <c r="D366" s="742" t="str">
        <f>VLOOKUP(C366,[1]Material!F:J,5,0)</f>
        <v>Fedex</v>
      </c>
      <c r="E366" s="743">
        <f>_xlfn.XLOOKUP(C366,[1]Material!$F:$F,[1]Material!$D:$D)</f>
        <v>1.5</v>
      </c>
      <c r="F366" s="761"/>
      <c r="G366" s="761">
        <v>0</v>
      </c>
      <c r="H366" s="761">
        <v>15.205078496217737</v>
      </c>
      <c r="I366" s="761">
        <v>38.067814650093133</v>
      </c>
      <c r="J366" s="761"/>
      <c r="K366" s="761"/>
      <c r="L366" s="29"/>
      <c r="M366" s="29">
        <f t="shared" si="20"/>
        <v>53.272893146310871</v>
      </c>
    </row>
    <row r="367" spans="1:13" hidden="1" outlineLevel="2">
      <c r="A367" s="172">
        <v>46054</v>
      </c>
      <c r="B367" s="1" t="s">
        <v>969</v>
      </c>
      <c r="C367" s="379">
        <v>398214200645</v>
      </c>
      <c r="D367" s="742" t="str">
        <f>VLOOKUP(C367,[1]Material!F:J,5,0)</f>
        <v>Fedex</v>
      </c>
      <c r="E367" s="743">
        <f>_xlfn.XLOOKUP(C367,[1]Material!$F:$F,[1]Material!$D:$D)</f>
        <v>4</v>
      </c>
      <c r="F367" s="761"/>
      <c r="G367" s="761">
        <v>0</v>
      </c>
      <c r="H367" s="761">
        <v>15.205078496217737</v>
      </c>
      <c r="I367" s="761">
        <v>49.17550461854259</v>
      </c>
      <c r="J367" s="761"/>
      <c r="K367" s="761"/>
      <c r="L367" s="29"/>
      <c r="M367" s="29">
        <f t="shared" si="20"/>
        <v>64.380583114760327</v>
      </c>
    </row>
    <row r="368" spans="1:13" hidden="1" outlineLevel="2">
      <c r="A368" s="172">
        <v>46054</v>
      </c>
      <c r="B368" s="1" t="s">
        <v>982</v>
      </c>
      <c r="C368" s="379">
        <v>888330374192</v>
      </c>
      <c r="D368" s="742" t="str">
        <f>VLOOKUP(C368,[1]Material!F:J,5,0)</f>
        <v>Fedex</v>
      </c>
      <c r="E368" s="743">
        <f>_xlfn.XLOOKUP(C368,[1]Material!$F:$F,[1]Material!$D:$D)</f>
        <v>0.5</v>
      </c>
      <c r="F368" s="761"/>
      <c r="G368" s="761">
        <v>0</v>
      </c>
      <c r="H368" s="761">
        <v>15.205078496217737</v>
      </c>
      <c r="I368" s="761">
        <v>19.257269928156003</v>
      </c>
      <c r="J368" s="761"/>
      <c r="K368" s="761"/>
      <c r="L368" s="29"/>
      <c r="M368" s="29">
        <f t="shared" si="20"/>
        <v>34.462348424373744</v>
      </c>
    </row>
    <row r="369" spans="1:13" hidden="1" outlineLevel="2">
      <c r="A369" s="172">
        <v>46054</v>
      </c>
      <c r="B369" s="1" t="s">
        <v>945</v>
      </c>
      <c r="C369" s="379">
        <v>479730320691</v>
      </c>
      <c r="D369" s="742" t="str">
        <f>VLOOKUP(C369,[1]Material!F:J,5,0)</f>
        <v>Fedex</v>
      </c>
      <c r="E369" s="743">
        <f>_xlfn.XLOOKUP(C369,[1]Material!$F:$F,[1]Material!$D:$D)</f>
        <v>0.5</v>
      </c>
      <c r="F369" s="761"/>
      <c r="G369" s="761">
        <v>0</v>
      </c>
      <c r="H369" s="761">
        <v>15.205078496217737</v>
      </c>
      <c r="I369" s="761">
        <v>0</v>
      </c>
      <c r="J369" s="761"/>
      <c r="K369" s="761"/>
      <c r="L369" s="29"/>
      <c r="M369" s="29">
        <f t="shared" si="20"/>
        <v>15.205078496217737</v>
      </c>
    </row>
    <row r="370" spans="1:13" hidden="1" outlineLevel="2">
      <c r="A370" s="172">
        <v>46054</v>
      </c>
      <c r="B370" s="1" t="s">
        <v>945</v>
      </c>
      <c r="C370" s="379">
        <v>479730319470</v>
      </c>
      <c r="D370" s="742" t="str">
        <f>VLOOKUP(C370,[1]Material!F:J,5,0)</f>
        <v>Fedex</v>
      </c>
      <c r="E370" s="743">
        <f>_xlfn.XLOOKUP(C370,[1]Material!$F:$F,[1]Material!$D:$D)</f>
        <v>0.5</v>
      </c>
      <c r="F370" s="761"/>
      <c r="G370" s="761">
        <v>0</v>
      </c>
      <c r="H370" s="761">
        <v>15.205078496217737</v>
      </c>
      <c r="I370" s="761">
        <v>0</v>
      </c>
      <c r="J370" s="761"/>
      <c r="K370" s="761"/>
      <c r="L370" s="29"/>
      <c r="M370" s="29">
        <f t="shared" si="20"/>
        <v>15.205078496217737</v>
      </c>
    </row>
    <row r="371" spans="1:13" hidden="1" outlineLevel="2">
      <c r="A371" s="172">
        <v>46054</v>
      </c>
      <c r="B371" s="1" t="s">
        <v>930</v>
      </c>
      <c r="C371" s="379">
        <v>480410613279</v>
      </c>
      <c r="D371" s="742" t="str">
        <f>VLOOKUP(C371,[1]Material!F:J,5,0)</f>
        <v>Fedex</v>
      </c>
      <c r="E371" s="743">
        <f>_xlfn.XLOOKUP(C371,[1]Material!$F:$F,[1]Material!$D:$D)</f>
        <v>9</v>
      </c>
      <c r="F371" s="761"/>
      <c r="G371" s="761">
        <v>0</v>
      </c>
      <c r="H371" s="761">
        <v>15.205078496217737</v>
      </c>
      <c r="I371" s="761">
        <v>73.569658265860795</v>
      </c>
      <c r="J371" s="761"/>
      <c r="K371" s="761"/>
      <c r="L371" s="29"/>
      <c r="M371" s="29">
        <f t="shared" si="20"/>
        <v>88.774736762078533</v>
      </c>
    </row>
    <row r="372" spans="1:13" hidden="1" outlineLevel="2">
      <c r="A372" s="172">
        <v>46054</v>
      </c>
      <c r="B372" s="1" t="s">
        <v>944</v>
      </c>
      <c r="C372" s="379">
        <v>119209677229</v>
      </c>
      <c r="D372" s="742" t="str">
        <f>VLOOKUP(C372,[1]Material!F:J,5,0)</f>
        <v>Fedex</v>
      </c>
      <c r="E372" s="743">
        <f>_xlfn.XLOOKUP(C372,[1]Material!$F:$F,[1]Material!$D:$D)</f>
        <v>21</v>
      </c>
      <c r="F372" s="761"/>
      <c r="G372" s="761">
        <v>0</v>
      </c>
      <c r="H372" s="761">
        <v>15.205078496217737</v>
      </c>
      <c r="I372" s="761">
        <v>0</v>
      </c>
      <c r="J372" s="761"/>
      <c r="K372" s="761"/>
      <c r="L372" s="29"/>
      <c r="M372" s="29">
        <f t="shared" si="20"/>
        <v>15.205078496217737</v>
      </c>
    </row>
    <row r="373" spans="1:13" hidden="1" outlineLevel="2">
      <c r="A373" s="172">
        <v>46054</v>
      </c>
      <c r="B373" s="1" t="s">
        <v>970</v>
      </c>
      <c r="C373" s="379">
        <v>398311095996</v>
      </c>
      <c r="D373" s="742" t="str">
        <f>VLOOKUP(C373,[1]Material!F:J,5,0)</f>
        <v>Fedex</v>
      </c>
      <c r="E373" s="743">
        <f>_xlfn.XLOOKUP(C373,[1]Material!$F:$F,[1]Material!$D:$D)</f>
        <v>2.5</v>
      </c>
      <c r="F373" s="761"/>
      <c r="G373" s="761">
        <v>0</v>
      </c>
      <c r="H373" s="761">
        <v>15.205078496217737</v>
      </c>
      <c r="I373" s="761">
        <v>53.049796632075115</v>
      </c>
      <c r="J373" s="761"/>
      <c r="K373" s="761"/>
      <c r="L373" s="29"/>
      <c r="M373" s="29">
        <f t="shared" si="20"/>
        <v>68.254875128292852</v>
      </c>
    </row>
    <row r="374" spans="1:13" hidden="1" outlineLevel="2">
      <c r="A374" s="172">
        <v>46054</v>
      </c>
      <c r="B374" s="1" t="s">
        <v>956</v>
      </c>
      <c r="C374" s="379">
        <v>471797723267</v>
      </c>
      <c r="D374" s="742" t="str">
        <f>VLOOKUP(C374,[1]Material!F:J,5,0)</f>
        <v>Fedex</v>
      </c>
      <c r="E374" s="743">
        <f>_xlfn.XLOOKUP(C374,[1]Material!$F:$F,[1]Material!$D:$D)</f>
        <v>7</v>
      </c>
      <c r="F374" s="761"/>
      <c r="G374" s="761">
        <v>0</v>
      </c>
      <c r="H374" s="761">
        <v>15.205078496217737</v>
      </c>
      <c r="I374" s="761">
        <v>52.145170486942639</v>
      </c>
      <c r="J374" s="761"/>
      <c r="K374" s="761"/>
      <c r="L374" s="29"/>
      <c r="M374" s="29">
        <f t="shared" si="20"/>
        <v>67.350248983160384</v>
      </c>
    </row>
    <row r="375" spans="1:13" hidden="1" outlineLevel="2">
      <c r="A375" s="172">
        <v>46054</v>
      </c>
      <c r="B375" s="1" t="s">
        <v>805</v>
      </c>
      <c r="C375" s="379">
        <v>888430498688</v>
      </c>
      <c r="D375" s="742" t="str">
        <f>VLOOKUP(C375,[1]Material!F:J,5,0)</f>
        <v>Fedex</v>
      </c>
      <c r="E375" s="743">
        <f>_xlfn.XLOOKUP(C375,[1]Material!$F:$F,[1]Material!$D:$D)</f>
        <v>1</v>
      </c>
      <c r="F375" s="761"/>
      <c r="G375" s="761">
        <v>0</v>
      </c>
      <c r="H375" s="761">
        <v>15.205078496217737</v>
      </c>
      <c r="I375" s="761">
        <v>19.215836089253809</v>
      </c>
      <c r="J375" s="761"/>
      <c r="K375" s="761"/>
      <c r="L375" s="29"/>
      <c r="M375" s="29">
        <f t="shared" si="20"/>
        <v>34.42091458547155</v>
      </c>
    </row>
    <row r="376" spans="1:13" hidden="1" outlineLevel="2">
      <c r="A376" s="172">
        <v>46054</v>
      </c>
      <c r="B376" s="1" t="s">
        <v>957</v>
      </c>
      <c r="C376" s="379">
        <v>511907353355</v>
      </c>
      <c r="D376" s="742" t="str">
        <f>VLOOKUP(C376,[1]Material!F:J,5,0)</f>
        <v>Fedex</v>
      </c>
      <c r="E376" s="743">
        <f>_xlfn.XLOOKUP(C376,[1]Material!$F:$F,[1]Material!$D:$D)</f>
        <v>0.5</v>
      </c>
      <c r="F376" s="761"/>
      <c r="G376" s="761">
        <v>0</v>
      </c>
      <c r="H376" s="761">
        <v>15.205078496217737</v>
      </c>
      <c r="I376" s="761">
        <v>0</v>
      </c>
      <c r="J376" s="761"/>
      <c r="K376" s="761"/>
      <c r="L376" s="29"/>
      <c r="M376" s="29">
        <f t="shared" si="20"/>
        <v>15.205078496217737</v>
      </c>
    </row>
    <row r="377" spans="1:13" hidden="1" outlineLevel="2">
      <c r="A377" s="172">
        <v>46054</v>
      </c>
      <c r="B377" s="1" t="s">
        <v>381</v>
      </c>
      <c r="C377" s="379">
        <v>499553445787</v>
      </c>
      <c r="D377" s="742" t="str">
        <f>VLOOKUP(C377,[1]Material!F:J,5,0)</f>
        <v>Fedex</v>
      </c>
      <c r="E377" s="743">
        <f>_xlfn.XLOOKUP(C377,[1]Material!$F:$F,[1]Material!$D:$D)</f>
        <v>10.5</v>
      </c>
      <c r="F377" s="761"/>
      <c r="G377" s="761">
        <v>0</v>
      </c>
      <c r="H377" s="761">
        <v>15.205078496217737</v>
      </c>
      <c r="I377" s="761">
        <v>54.391340707796402</v>
      </c>
      <c r="J377" s="761"/>
      <c r="K377" s="761"/>
      <c r="L377" s="29"/>
      <c r="M377" s="29">
        <f t="shared" si="20"/>
        <v>69.59641920401414</v>
      </c>
    </row>
    <row r="378" spans="1:13" hidden="1" outlineLevel="2">
      <c r="A378" s="172">
        <v>46054</v>
      </c>
      <c r="B378" s="1" t="s">
        <v>330</v>
      </c>
      <c r="C378" s="379" t="s">
        <v>1437</v>
      </c>
      <c r="D378" s="742" t="str">
        <f>VLOOKUP(C378,[1]Material!F:J,5,0)</f>
        <v>VVMV(sea)</v>
      </c>
      <c r="E378" s="743">
        <f>_xlfn.XLOOKUP(C378,[1]Material!$F:$F,[1]Material!$D:$D)</f>
        <v>417.90899999999999</v>
      </c>
      <c r="F378" s="741">
        <v>1.7100000000000002</v>
      </c>
      <c r="G378" s="761">
        <v>38.012696240544344</v>
      </c>
      <c r="H378" s="761">
        <v>15.205078496217737</v>
      </c>
      <c r="I378" s="761">
        <v>89.545611434219026</v>
      </c>
      <c r="J378" s="761"/>
      <c r="K378" s="761"/>
      <c r="L378" s="29"/>
      <c r="M378" s="29">
        <f t="shared" si="20"/>
        <v>142.76338617098111</v>
      </c>
    </row>
    <row r="379" spans="1:13" hidden="1" outlineLevel="2">
      <c r="A379" s="172">
        <v>46054</v>
      </c>
      <c r="B379" s="1" t="s">
        <v>953</v>
      </c>
      <c r="C379" s="379">
        <v>511467474108</v>
      </c>
      <c r="D379" s="742" t="str">
        <f>VLOOKUP(C379,[1]Material!F:J,5,0)</f>
        <v>Fedex</v>
      </c>
      <c r="E379" s="743">
        <f>_xlfn.XLOOKUP(C379,[1]Material!$F:$F,[1]Material!$D:$D)</f>
        <v>8.5</v>
      </c>
      <c r="F379" s="761"/>
      <c r="G379" s="761">
        <v>0</v>
      </c>
      <c r="H379" s="761">
        <v>15.205078496217737</v>
      </c>
      <c r="I379" s="761">
        <v>53.215836089253813</v>
      </c>
      <c r="J379" s="761"/>
      <c r="K379" s="761"/>
      <c r="L379" s="29"/>
      <c r="M379" s="29">
        <f t="shared" si="20"/>
        <v>68.42091458547155</v>
      </c>
    </row>
    <row r="380" spans="1:13" hidden="1" outlineLevel="2">
      <c r="A380" s="172">
        <v>46054</v>
      </c>
      <c r="B380" s="1" t="s">
        <v>970</v>
      </c>
      <c r="C380" s="379">
        <v>398390607520</v>
      </c>
      <c r="D380" s="742" t="str">
        <f>VLOOKUP(C380,[1]Material!F:J,5,0)</f>
        <v>Fedex</v>
      </c>
      <c r="E380" s="743">
        <f>_xlfn.XLOOKUP(C380,[1]Material!$F:$F,[1]Material!$D:$D)</f>
        <v>2</v>
      </c>
      <c r="F380" s="761"/>
      <c r="G380" s="761">
        <v>0</v>
      </c>
      <c r="H380" s="761">
        <v>15.205078496217737</v>
      </c>
      <c r="I380" s="761">
        <v>38.231877447067319</v>
      </c>
      <c r="J380" s="761"/>
      <c r="K380" s="761"/>
      <c r="L380" s="29"/>
      <c r="M380" s="29">
        <f t="shared" si="20"/>
        <v>53.436955943285056</v>
      </c>
    </row>
    <row r="381" spans="1:13" hidden="1" outlineLevel="2">
      <c r="A381" s="172">
        <v>46054</v>
      </c>
      <c r="B381" s="1" t="s">
        <v>940</v>
      </c>
      <c r="C381" s="379" t="s">
        <v>1438</v>
      </c>
      <c r="D381" s="742" t="str">
        <f>VLOOKUP(C381,[1]Material!F:J,5,0)</f>
        <v>DHL( global)</v>
      </c>
      <c r="E381" s="743">
        <f>_xlfn.XLOOKUP(C381,[1]Material!$F:$F,[1]Material!$D:$D)</f>
        <v>6.2</v>
      </c>
      <c r="F381" s="761"/>
      <c r="G381" s="761">
        <v>0</v>
      </c>
      <c r="H381" s="761">
        <v>15.205078496217737</v>
      </c>
      <c r="I381" s="761">
        <v>0</v>
      </c>
      <c r="J381" s="761"/>
      <c r="K381" s="761"/>
      <c r="L381" s="29"/>
      <c r="M381" s="29">
        <f t="shared" si="20"/>
        <v>15.205078496217737</v>
      </c>
    </row>
    <row r="382" spans="1:13" hidden="1" outlineLevel="2">
      <c r="A382" s="172">
        <v>46054</v>
      </c>
      <c r="B382" s="1" t="s">
        <v>940</v>
      </c>
      <c r="C382" s="379" t="s">
        <v>1439</v>
      </c>
      <c r="D382" s="742" t="str">
        <f>VLOOKUP(C382,[1]Material!F:J,5,0)</f>
        <v>DHL( global)</v>
      </c>
      <c r="E382" s="743">
        <f>_xlfn.XLOOKUP(C382,[1]Material!$F:$F,[1]Material!$D:$D)</f>
        <v>16.7</v>
      </c>
      <c r="F382" s="761"/>
      <c r="G382" s="761">
        <v>0</v>
      </c>
      <c r="H382" s="761">
        <v>15.205078496217737</v>
      </c>
      <c r="I382" s="761">
        <v>0</v>
      </c>
      <c r="J382" s="761"/>
      <c r="K382" s="761"/>
      <c r="L382" s="29"/>
      <c r="M382" s="29">
        <f t="shared" si="20"/>
        <v>15.205078496217737</v>
      </c>
    </row>
    <row r="383" spans="1:13" hidden="1" outlineLevel="2">
      <c r="A383" s="172">
        <v>46054</v>
      </c>
      <c r="B383" s="1" t="s">
        <v>970</v>
      </c>
      <c r="C383" s="379">
        <v>398419690766</v>
      </c>
      <c r="D383" s="742" t="str">
        <f>VLOOKUP(C383,[1]Material!F:J,5,0)</f>
        <v>Fedex</v>
      </c>
      <c r="E383" s="743">
        <f>_xlfn.XLOOKUP(C383,[1]Material!$F:$F,[1]Material!$D:$D)</f>
        <v>1.5</v>
      </c>
      <c r="F383" s="761"/>
      <c r="G383" s="761">
        <v>0</v>
      </c>
      <c r="H383" s="761">
        <v>15.205078496217737</v>
      </c>
      <c r="I383" s="761">
        <v>38.229330596419203</v>
      </c>
      <c r="J383" s="761"/>
      <c r="K383" s="761"/>
      <c r="L383" s="29"/>
      <c r="M383" s="29">
        <f t="shared" si="20"/>
        <v>53.43440909263694</v>
      </c>
    </row>
    <row r="384" spans="1:13" hidden="1" outlineLevel="2">
      <c r="A384" s="172">
        <v>46054</v>
      </c>
      <c r="B384" s="1" t="s">
        <v>813</v>
      </c>
      <c r="C384" s="379">
        <v>481663282972</v>
      </c>
      <c r="D384" s="742" t="str">
        <f>VLOOKUP(C384,[1]Material!F:J,5,0)</f>
        <v>Fedex</v>
      </c>
      <c r="E384" s="743">
        <f>_xlfn.XLOOKUP(C384,[1]Material!$F:$F,[1]Material!$D:$D)</f>
        <v>17</v>
      </c>
      <c r="F384" s="761"/>
      <c r="G384" s="761">
        <v>0</v>
      </c>
      <c r="H384" s="761">
        <v>15.205078496217737</v>
      </c>
      <c r="I384" s="761">
        <v>81.42266316949862</v>
      </c>
      <c r="J384" s="761"/>
      <c r="K384" s="761"/>
      <c r="L384" s="29"/>
      <c r="M384" s="29">
        <f t="shared" si="20"/>
        <v>96.627741665716357</v>
      </c>
    </row>
    <row r="385" spans="1:13" hidden="1" outlineLevel="2">
      <c r="A385" s="172">
        <v>46054</v>
      </c>
      <c r="B385" s="1" t="s">
        <v>1328</v>
      </c>
      <c r="C385" s="379" t="s">
        <v>1440</v>
      </c>
      <c r="D385" s="742" t="str">
        <f>VLOOKUP(C385,[1]Material!F:J,5,0)</f>
        <v>DHL( global)</v>
      </c>
      <c r="E385" s="743">
        <f>_xlfn.XLOOKUP(C385,[1]Material!$F:$F,[1]Material!$D:$D)</f>
        <v>37.799999999999997</v>
      </c>
      <c r="F385" s="761"/>
      <c r="G385" s="761">
        <v>0</v>
      </c>
      <c r="H385" s="761">
        <v>15.205078496217737</v>
      </c>
      <c r="I385" s="761">
        <v>0</v>
      </c>
      <c r="J385" s="761"/>
      <c r="K385" s="761"/>
      <c r="L385" s="29"/>
      <c r="M385" s="29">
        <f t="shared" si="20"/>
        <v>15.205078496217737</v>
      </c>
    </row>
    <row r="386" spans="1:13" hidden="1" outlineLevel="2">
      <c r="A386" s="172">
        <v>46054</v>
      </c>
      <c r="B386" s="1" t="s">
        <v>1328</v>
      </c>
      <c r="C386" s="379" t="s">
        <v>1441</v>
      </c>
      <c r="D386" s="742" t="str">
        <f>VLOOKUP(C386,[1]Material!F:J,5,0)</f>
        <v>DHL( global)</v>
      </c>
      <c r="E386" s="743">
        <f>_xlfn.XLOOKUP(C386,[1]Material!$F:$F,[1]Material!$D:$D)</f>
        <v>7.7</v>
      </c>
      <c r="F386" s="761"/>
      <c r="G386" s="761">
        <v>0</v>
      </c>
      <c r="H386" s="761">
        <v>15.205078496217737</v>
      </c>
      <c r="I386" s="761">
        <v>0</v>
      </c>
      <c r="J386" s="761"/>
      <c r="K386" s="761"/>
      <c r="L386" s="29"/>
      <c r="M386" s="29">
        <f t="shared" si="20"/>
        <v>15.205078496217737</v>
      </c>
    </row>
    <row r="387" spans="1:13" hidden="1" outlineLevel="2">
      <c r="A387" s="172">
        <v>46054</v>
      </c>
      <c r="B387" s="1" t="s">
        <v>940</v>
      </c>
      <c r="C387" s="379" t="s">
        <v>1442</v>
      </c>
      <c r="D387" s="742" t="str">
        <f>VLOOKUP(C387,[1]Material!F:J,5,0)</f>
        <v>DHL( global)</v>
      </c>
      <c r="E387" s="743">
        <f>_xlfn.XLOOKUP(C387,[1]Material!$F:$F,[1]Material!$D:$D)</f>
        <v>7.7</v>
      </c>
      <c r="F387" s="761"/>
      <c r="G387" s="761">
        <v>0</v>
      </c>
      <c r="H387" s="761">
        <v>15.205078496217737</v>
      </c>
      <c r="I387" s="761">
        <v>0</v>
      </c>
      <c r="J387" s="761"/>
      <c r="K387" s="761"/>
      <c r="L387" s="29"/>
      <c r="M387" s="29">
        <f t="shared" si="20"/>
        <v>15.205078496217737</v>
      </c>
    </row>
    <row r="388" spans="1:13" hidden="1" outlineLevel="2">
      <c r="A388" s="172">
        <v>46054</v>
      </c>
      <c r="B388" s="1" t="s">
        <v>940</v>
      </c>
      <c r="C388" s="379" t="s">
        <v>1443</v>
      </c>
      <c r="D388" s="742" t="str">
        <f>VLOOKUP(C388,[1]Material!F:J,5,0)</f>
        <v>DHL( global)</v>
      </c>
      <c r="E388" s="743">
        <f>_xlfn.XLOOKUP(C388,[1]Material!$F:$F,[1]Material!$D:$D)</f>
        <v>52.5</v>
      </c>
      <c r="F388" s="761"/>
      <c r="G388" s="761">
        <v>0</v>
      </c>
      <c r="H388" s="761">
        <v>15.205078496217737</v>
      </c>
      <c r="I388" s="761">
        <v>0</v>
      </c>
      <c r="J388" s="761"/>
      <c r="K388" s="761"/>
      <c r="L388" s="29"/>
      <c r="M388" s="29">
        <f t="shared" si="20"/>
        <v>15.205078496217737</v>
      </c>
    </row>
    <row r="389" spans="1:13" hidden="1" outlineLevel="2">
      <c r="A389" s="172">
        <v>46054</v>
      </c>
      <c r="B389" s="1" t="s">
        <v>940</v>
      </c>
      <c r="C389" s="379" t="s">
        <v>1444</v>
      </c>
      <c r="D389" s="742" t="str">
        <f>VLOOKUP(C389,[1]Material!F:J,5,0)</f>
        <v>DHL( global)</v>
      </c>
      <c r="E389" s="743">
        <f>_xlfn.XLOOKUP(C389,[1]Material!$F:$F,[1]Material!$D:$D)</f>
        <v>52.5</v>
      </c>
      <c r="F389" s="761"/>
      <c r="G389" s="761">
        <v>0</v>
      </c>
      <c r="H389" s="761">
        <v>15.205078496217737</v>
      </c>
      <c r="I389" s="761">
        <v>0</v>
      </c>
      <c r="J389" s="761"/>
      <c r="K389" s="761"/>
      <c r="L389" s="29"/>
      <c r="M389" s="29">
        <f t="shared" si="20"/>
        <v>15.205078496217737</v>
      </c>
    </row>
    <row r="390" spans="1:13" hidden="1" outlineLevel="2">
      <c r="A390" s="172">
        <v>46054</v>
      </c>
      <c r="B390" s="1" t="s">
        <v>1328</v>
      </c>
      <c r="C390" s="379" t="s">
        <v>1445</v>
      </c>
      <c r="D390" s="742" t="str">
        <f>VLOOKUP(C390,[1]Material!F:J,5,0)</f>
        <v>DHL( global)</v>
      </c>
      <c r="E390" s="743">
        <f>_xlfn.XLOOKUP(C390,[1]Material!$F:$F,[1]Material!$D:$D)</f>
        <v>27.9</v>
      </c>
      <c r="F390" s="761"/>
      <c r="G390" s="761">
        <v>0</v>
      </c>
      <c r="H390" s="761">
        <v>15.205078496217737</v>
      </c>
      <c r="I390" s="761">
        <v>0</v>
      </c>
      <c r="J390" s="761"/>
      <c r="K390" s="761"/>
      <c r="L390" s="29"/>
      <c r="M390" s="29">
        <f t="shared" si="20"/>
        <v>15.205078496217737</v>
      </c>
    </row>
    <row r="391" spans="1:13" hidden="1" outlineLevel="2">
      <c r="A391" s="172">
        <v>46054</v>
      </c>
      <c r="B391" s="1" t="s">
        <v>1328</v>
      </c>
      <c r="C391" s="379" t="s">
        <v>1446</v>
      </c>
      <c r="D391" s="742" t="str">
        <f>VLOOKUP(C391,[1]Material!F:J,5,0)</f>
        <v>DHL( global)</v>
      </c>
      <c r="E391" s="743">
        <f>_xlfn.XLOOKUP(C391,[1]Material!$F:$F,[1]Material!$D:$D)</f>
        <v>14.6</v>
      </c>
      <c r="F391" s="761"/>
      <c r="G391" s="761">
        <v>0</v>
      </c>
      <c r="H391" s="761">
        <v>15.205078496217737</v>
      </c>
      <c r="I391" s="761">
        <v>0</v>
      </c>
      <c r="J391" s="761"/>
      <c r="K391" s="761"/>
      <c r="L391" s="29"/>
      <c r="M391" s="29">
        <f t="shared" si="20"/>
        <v>15.205078496217737</v>
      </c>
    </row>
    <row r="392" spans="1:13" hidden="1" outlineLevel="2">
      <c r="A392" s="172">
        <v>46054</v>
      </c>
      <c r="B392" s="1" t="s">
        <v>940</v>
      </c>
      <c r="C392" s="379" t="s">
        <v>1447</v>
      </c>
      <c r="D392" s="742" t="str">
        <f>VLOOKUP(C392,[1]Material!F:J,5,0)</f>
        <v>DHL( global)</v>
      </c>
      <c r="E392" s="743">
        <f>_xlfn.XLOOKUP(C392,[1]Material!$F:$F,[1]Material!$D:$D)</f>
        <v>32.200000000000003</v>
      </c>
      <c r="F392" s="761"/>
      <c r="G392" s="761">
        <v>0</v>
      </c>
      <c r="H392" s="761">
        <v>24.708252556353823</v>
      </c>
      <c r="I392" s="761">
        <v>0</v>
      </c>
      <c r="J392" s="761"/>
      <c r="K392" s="761"/>
      <c r="L392" s="29"/>
      <c r="M392" s="29">
        <f t="shared" ref="M392:M423" si="21">SUM(G392:L392)</f>
        <v>24.708252556353823</v>
      </c>
    </row>
    <row r="393" spans="1:13" hidden="1" outlineLevel="2">
      <c r="A393" s="172">
        <v>46054</v>
      </c>
      <c r="B393" s="1" t="s">
        <v>1328</v>
      </c>
      <c r="C393" s="379" t="s">
        <v>1448</v>
      </c>
      <c r="D393" s="742" t="str">
        <f>VLOOKUP(C393,[1]Material!F:J,5,0)</f>
        <v>DHL( global)</v>
      </c>
      <c r="E393" s="743">
        <f>_xlfn.XLOOKUP(C393,[1]Material!$F:$F,[1]Material!$D:$D)</f>
        <v>52.5</v>
      </c>
      <c r="F393" s="761"/>
      <c r="G393" s="761">
        <v>0</v>
      </c>
      <c r="H393" s="761">
        <v>15.205078496217737</v>
      </c>
      <c r="I393" s="761">
        <v>0</v>
      </c>
      <c r="J393" s="761"/>
      <c r="K393" s="761"/>
      <c r="L393" s="29"/>
      <c r="M393" s="29">
        <f t="shared" si="21"/>
        <v>15.205078496217737</v>
      </c>
    </row>
    <row r="394" spans="1:13" hidden="1" outlineLevel="2">
      <c r="A394" s="172">
        <v>46054</v>
      </c>
      <c r="B394" s="1" t="s">
        <v>940</v>
      </c>
      <c r="C394" s="379" t="s">
        <v>1449</v>
      </c>
      <c r="D394" s="742" t="str">
        <f>VLOOKUP(C394,[1]Material!F:J,5,0)</f>
        <v>DHL( global)</v>
      </c>
      <c r="E394" s="743">
        <f>_xlfn.XLOOKUP(C394,[1]Material!$F:$F,[1]Material!$D:$D)</f>
        <v>1.8</v>
      </c>
      <c r="F394" s="761"/>
      <c r="G394" s="761">
        <v>0</v>
      </c>
      <c r="H394" s="761">
        <v>15.205078496217737</v>
      </c>
      <c r="I394" s="761">
        <v>0</v>
      </c>
      <c r="J394" s="761"/>
      <c r="K394" s="761"/>
      <c r="L394" s="29"/>
      <c r="M394" s="29">
        <f t="shared" si="21"/>
        <v>15.205078496217737</v>
      </c>
    </row>
    <row r="395" spans="1:13" hidden="1" outlineLevel="2">
      <c r="A395" s="172">
        <v>46054</v>
      </c>
      <c r="B395" s="1" t="s">
        <v>940</v>
      </c>
      <c r="C395" s="379" t="s">
        <v>1450</v>
      </c>
      <c r="D395" s="742" t="str">
        <f>VLOOKUP(C395,[1]Material!F:J,5,0)</f>
        <v>DHL( global)</v>
      </c>
      <c r="E395" s="743">
        <f>_xlfn.XLOOKUP(C395,[1]Material!$F:$F,[1]Material!$D:$D)</f>
        <v>21.9</v>
      </c>
      <c r="F395" s="761"/>
      <c r="G395" s="761">
        <v>0</v>
      </c>
      <c r="H395" s="761">
        <v>15.205078496217737</v>
      </c>
      <c r="I395" s="761">
        <v>0</v>
      </c>
      <c r="J395" s="761"/>
      <c r="K395" s="761"/>
      <c r="L395" s="29"/>
      <c r="M395" s="29">
        <f t="shared" si="21"/>
        <v>15.205078496217737</v>
      </c>
    </row>
    <row r="396" spans="1:13" hidden="1" outlineLevel="2">
      <c r="A396" s="172">
        <v>46054</v>
      </c>
      <c r="B396" s="1" t="s">
        <v>1328</v>
      </c>
      <c r="C396" s="379" t="s">
        <v>1451</v>
      </c>
      <c r="D396" s="742" t="str">
        <f>VLOOKUP(C396,[1]Material!F:J,5,0)</f>
        <v>DHL( global)</v>
      </c>
      <c r="E396" s="743">
        <f>_xlfn.XLOOKUP(C396,[1]Material!$F:$F,[1]Material!$D:$D)</f>
        <v>52.5</v>
      </c>
      <c r="F396" s="761"/>
      <c r="G396" s="761">
        <v>0</v>
      </c>
      <c r="H396" s="761">
        <v>15.205078496217737</v>
      </c>
      <c r="I396" s="761">
        <v>0</v>
      </c>
      <c r="J396" s="761"/>
      <c r="K396" s="761"/>
      <c r="L396" s="29"/>
      <c r="M396" s="29">
        <f t="shared" si="21"/>
        <v>15.205078496217737</v>
      </c>
    </row>
    <row r="397" spans="1:13" hidden="1" outlineLevel="2">
      <c r="A397" s="172">
        <v>46054</v>
      </c>
      <c r="B397" s="1" t="s">
        <v>940</v>
      </c>
      <c r="C397" s="379" t="s">
        <v>1452</v>
      </c>
      <c r="D397" s="742" t="str">
        <f>VLOOKUP(C397,[1]Material!F:J,5,0)</f>
        <v>DHL( global)</v>
      </c>
      <c r="E397" s="743">
        <f>_xlfn.XLOOKUP(C397,[1]Material!$F:$F,[1]Material!$D:$D)</f>
        <v>7.8</v>
      </c>
      <c r="F397" s="761"/>
      <c r="G397" s="761">
        <v>0</v>
      </c>
      <c r="H397" s="761">
        <v>15.205078496217737</v>
      </c>
      <c r="I397" s="761">
        <v>0</v>
      </c>
      <c r="J397" s="761"/>
      <c r="K397" s="761"/>
      <c r="L397" s="29"/>
      <c r="M397" s="29">
        <f t="shared" si="21"/>
        <v>15.205078496217737</v>
      </c>
    </row>
    <row r="398" spans="1:13" hidden="1" outlineLevel="2">
      <c r="A398" s="172">
        <v>46054</v>
      </c>
      <c r="B398" s="1" t="s">
        <v>1328</v>
      </c>
      <c r="C398" s="379" t="s">
        <v>1453</v>
      </c>
      <c r="D398" s="742" t="str">
        <f>VLOOKUP(C398,[1]Material!F:J,5,0)</f>
        <v>DHL( global)</v>
      </c>
      <c r="E398" s="743">
        <f>_xlfn.XLOOKUP(C398,[1]Material!$F:$F,[1]Material!$D:$D)</f>
        <v>7.7</v>
      </c>
      <c r="F398" s="761"/>
      <c r="G398" s="761">
        <v>0</v>
      </c>
      <c r="H398" s="761">
        <v>15.205078496217737</v>
      </c>
      <c r="I398" s="761">
        <v>0</v>
      </c>
      <c r="J398" s="761"/>
      <c r="K398" s="761"/>
      <c r="L398" s="29"/>
      <c r="M398" s="29">
        <f t="shared" si="21"/>
        <v>15.205078496217737</v>
      </c>
    </row>
    <row r="399" spans="1:13" hidden="1" outlineLevel="2">
      <c r="A399" s="172">
        <v>46054</v>
      </c>
      <c r="B399" s="1" t="s">
        <v>940</v>
      </c>
      <c r="C399" s="379" t="s">
        <v>1454</v>
      </c>
      <c r="D399" s="742" t="str">
        <f>VLOOKUP(C399,[1]Material!F:J,5,0)</f>
        <v>DHL( global)</v>
      </c>
      <c r="E399" s="743">
        <f>_xlfn.XLOOKUP(C399,[1]Material!$F:$F,[1]Material!$D:$D)</f>
        <v>18.2</v>
      </c>
      <c r="F399" s="761"/>
      <c r="G399" s="761">
        <v>0</v>
      </c>
      <c r="H399" s="761">
        <v>15.205078496217737</v>
      </c>
      <c r="I399" s="761">
        <v>0</v>
      </c>
      <c r="J399" s="761"/>
      <c r="K399" s="761"/>
      <c r="L399" s="29"/>
      <c r="M399" s="29">
        <f t="shared" si="21"/>
        <v>15.205078496217737</v>
      </c>
    </row>
    <row r="400" spans="1:13" hidden="1" outlineLevel="2">
      <c r="A400" s="172">
        <v>46054</v>
      </c>
      <c r="B400" s="1" t="s">
        <v>940</v>
      </c>
      <c r="C400" s="379" t="s">
        <v>1455</v>
      </c>
      <c r="D400" s="742" t="str">
        <f>VLOOKUP(C400,[1]Material!F:J,5,0)</f>
        <v>DHL( global)</v>
      </c>
      <c r="E400" s="743">
        <f>_xlfn.XLOOKUP(C400,[1]Material!$F:$F,[1]Material!$D:$D)</f>
        <v>7.7</v>
      </c>
      <c r="F400" s="761"/>
      <c r="G400" s="761">
        <v>0</v>
      </c>
      <c r="H400" s="761">
        <v>15.205078496217737</v>
      </c>
      <c r="I400" s="761">
        <v>0</v>
      </c>
      <c r="J400" s="761"/>
      <c r="K400" s="761"/>
      <c r="L400" s="29"/>
      <c r="M400" s="29">
        <f t="shared" si="21"/>
        <v>15.205078496217737</v>
      </c>
    </row>
    <row r="401" spans="1:13" hidden="1" outlineLevel="2">
      <c r="A401" s="172">
        <v>46054</v>
      </c>
      <c r="B401" s="1" t="s">
        <v>938</v>
      </c>
      <c r="C401" s="379">
        <v>480410700867</v>
      </c>
      <c r="D401" s="742" t="str">
        <f>VLOOKUP(C401,[1]Material!F:J,5,0)</f>
        <v>Fedex</v>
      </c>
      <c r="E401" s="743">
        <f>_xlfn.XLOOKUP(C401,[1]Material!$F:$F,[1]Material!$D:$D)</f>
        <v>44.5</v>
      </c>
      <c r="F401" s="761"/>
      <c r="G401" s="761">
        <v>0</v>
      </c>
      <c r="H401" s="761">
        <v>15.205078496217737</v>
      </c>
      <c r="I401" s="761">
        <v>0</v>
      </c>
      <c r="J401" s="761"/>
      <c r="K401" s="761"/>
      <c r="L401" s="29"/>
      <c r="M401" s="29">
        <f t="shared" si="21"/>
        <v>15.205078496217737</v>
      </c>
    </row>
    <row r="402" spans="1:13" hidden="1" outlineLevel="2">
      <c r="A402" s="172">
        <v>46054</v>
      </c>
      <c r="B402" s="1" t="s">
        <v>969</v>
      </c>
      <c r="C402" s="379">
        <v>398480521821</v>
      </c>
      <c r="D402" s="742" t="str">
        <f>VLOOKUP(C402,[1]Material!F:J,5,0)</f>
        <v>Fedex</v>
      </c>
      <c r="E402" s="743">
        <f>_xlfn.XLOOKUP(C402,[1]Material!$F:$F,[1]Material!$D:$D)</f>
        <v>3</v>
      </c>
      <c r="F402" s="761"/>
      <c r="G402" s="761">
        <v>0</v>
      </c>
      <c r="H402" s="761">
        <v>15.205078496217737</v>
      </c>
      <c r="I402" s="761">
        <v>44.640095791994526</v>
      </c>
      <c r="J402" s="761"/>
      <c r="K402" s="761"/>
      <c r="L402" s="29"/>
      <c r="M402" s="29">
        <f t="shared" si="21"/>
        <v>59.845174288212263</v>
      </c>
    </row>
    <row r="403" spans="1:13" hidden="1" outlineLevel="2">
      <c r="A403" s="172">
        <v>46054</v>
      </c>
      <c r="B403" s="1" t="s">
        <v>947</v>
      </c>
      <c r="C403" s="379">
        <v>500292438049</v>
      </c>
      <c r="D403" s="742" t="str">
        <f>VLOOKUP(C403,[1]Material!F:J,5,0)</f>
        <v>Fedex</v>
      </c>
      <c r="E403" s="743">
        <f>_xlfn.XLOOKUP(C403,[1]Material!$F:$F,[1]Material!$D:$D)</f>
        <v>0.5</v>
      </c>
      <c r="F403" s="761"/>
      <c r="G403" s="761">
        <v>0</v>
      </c>
      <c r="H403" s="761">
        <v>15.205078496217737</v>
      </c>
      <c r="I403" s="761">
        <v>0</v>
      </c>
      <c r="J403" s="761"/>
      <c r="K403" s="761"/>
      <c r="L403" s="29"/>
      <c r="M403" s="29">
        <f t="shared" si="21"/>
        <v>15.205078496217737</v>
      </c>
    </row>
    <row r="404" spans="1:13" hidden="1" outlineLevel="2">
      <c r="A404" s="172">
        <v>46054</v>
      </c>
      <c r="B404" s="1" t="s">
        <v>970</v>
      </c>
      <c r="C404" s="379">
        <v>398443806777</v>
      </c>
      <c r="D404" s="742" t="str">
        <f>VLOOKUP(C404,[1]Material!F:J,5,0)</f>
        <v>Fedex</v>
      </c>
      <c r="E404" s="743">
        <f>_xlfn.XLOOKUP(C404,[1]Material!$F:$F,[1]Material!$D:$D)</f>
        <v>6.5</v>
      </c>
      <c r="F404" s="761"/>
      <c r="G404" s="761">
        <v>0</v>
      </c>
      <c r="H404" s="761">
        <v>15.205078496217737</v>
      </c>
      <c r="I404" s="761">
        <v>71.218040825635768</v>
      </c>
      <c r="J404" s="761"/>
      <c r="K404" s="761"/>
      <c r="L404" s="29"/>
      <c r="M404" s="29">
        <f t="shared" si="21"/>
        <v>86.423119321853505</v>
      </c>
    </row>
    <row r="405" spans="1:13" hidden="1" outlineLevel="2">
      <c r="A405" s="172">
        <v>46054</v>
      </c>
      <c r="B405" s="1" t="s">
        <v>1486</v>
      </c>
      <c r="C405" s="379" t="s">
        <v>1458</v>
      </c>
      <c r="D405" s="742" t="str">
        <f>VLOOKUP(C405,[1]Material!F:J,5,0)</f>
        <v>VVMV(sea)</v>
      </c>
      <c r="E405" s="743">
        <f>_xlfn.XLOOKUP(C405,[1]Material!$F:$F,[1]Material!$D:$D)</f>
        <v>1125</v>
      </c>
      <c r="F405" s="741">
        <v>7.6559999999999997</v>
      </c>
      <c r="G405" s="761">
        <v>64.621583608925377</v>
      </c>
      <c r="H405" s="761">
        <v>15.205078496217737</v>
      </c>
      <c r="I405" s="761">
        <v>904.20731212224894</v>
      </c>
      <c r="J405" s="761"/>
      <c r="K405" s="761"/>
      <c r="L405" s="29"/>
      <c r="M405" s="29">
        <f t="shared" si="21"/>
        <v>984.03397422739204</v>
      </c>
    </row>
    <row r="406" spans="1:13" hidden="1" outlineLevel="2">
      <c r="A406" s="172">
        <v>46054</v>
      </c>
      <c r="B406" s="1" t="s">
        <v>947</v>
      </c>
      <c r="C406" s="379">
        <v>500292433849</v>
      </c>
      <c r="D406" s="742" t="str">
        <f>VLOOKUP(C406,[1]Material!F:J,5,0)</f>
        <v>Fedex</v>
      </c>
      <c r="E406" s="743">
        <f>_xlfn.XLOOKUP(C406,[1]Material!$F:$F,[1]Material!$D:$D)</f>
        <v>4</v>
      </c>
      <c r="F406" s="761"/>
      <c r="G406" s="761">
        <v>0</v>
      </c>
      <c r="H406" s="761">
        <v>15.205078496217737</v>
      </c>
      <c r="I406" s="761">
        <v>0</v>
      </c>
      <c r="J406" s="761"/>
      <c r="K406" s="761"/>
      <c r="L406" s="29"/>
      <c r="M406" s="29">
        <f t="shared" si="21"/>
        <v>15.205078496217737</v>
      </c>
    </row>
    <row r="407" spans="1:13" hidden="1" outlineLevel="2">
      <c r="A407" s="172">
        <v>46054</v>
      </c>
      <c r="B407" s="1" t="s">
        <v>1488</v>
      </c>
      <c r="C407" s="379">
        <v>888461635015</v>
      </c>
      <c r="D407" s="742" t="str">
        <f>VLOOKUP(C407,[1]Material!F:J,5,0)</f>
        <v>Fedex</v>
      </c>
      <c r="E407" s="743">
        <f>_xlfn.XLOOKUP(C407,[1]Material!$F:$F,[1]Material!$D:$D)</f>
        <v>48.5</v>
      </c>
      <c r="F407" s="761"/>
      <c r="G407" s="761">
        <v>0</v>
      </c>
      <c r="H407" s="761">
        <v>15.205078496217737</v>
      </c>
      <c r="I407" s="761">
        <v>206.25844832173945</v>
      </c>
      <c r="J407" s="761"/>
      <c r="K407" s="761"/>
      <c r="L407" s="29"/>
      <c r="M407" s="29">
        <f t="shared" si="21"/>
        <v>221.46352681795719</v>
      </c>
    </row>
    <row r="408" spans="1:13" hidden="1" outlineLevel="2">
      <c r="A408" s="172">
        <v>46054</v>
      </c>
      <c r="B408" s="1" t="s">
        <v>648</v>
      </c>
      <c r="C408" s="379">
        <v>888502993936</v>
      </c>
      <c r="D408" s="742" t="str">
        <f>VLOOKUP(C408,[1]Material!F:J,5,0)</f>
        <v>Fedex</v>
      </c>
      <c r="E408" s="743">
        <f>_xlfn.XLOOKUP(C408,[1]Material!$F:$F,[1]Material!$D:$D)</f>
        <v>62</v>
      </c>
      <c r="F408" s="761"/>
      <c r="G408" s="761">
        <v>0</v>
      </c>
      <c r="H408" s="761">
        <v>15.205078496217737</v>
      </c>
      <c r="I408" s="761">
        <v>291.08408408408411</v>
      </c>
      <c r="J408" s="761"/>
      <c r="K408" s="761"/>
      <c r="L408" s="29"/>
      <c r="M408" s="29">
        <f t="shared" si="21"/>
        <v>306.28916258030188</v>
      </c>
    </row>
    <row r="409" spans="1:13" hidden="1" outlineLevel="2">
      <c r="A409" s="172">
        <v>46054</v>
      </c>
      <c r="B409" s="1" t="s">
        <v>1489</v>
      </c>
      <c r="C409" s="379">
        <v>5973649765</v>
      </c>
      <c r="D409" s="742" t="str">
        <f>VLOOKUP(C409,[1]Material!F:J,5,0)</f>
        <v>DHL</v>
      </c>
      <c r="E409" s="743">
        <f>_xlfn.XLOOKUP(C409,[1]Material!$F:$F,[1]Material!$D:$D)</f>
        <v>4</v>
      </c>
      <c r="F409" s="761"/>
      <c r="G409" s="761">
        <v>0</v>
      </c>
      <c r="H409" s="761">
        <v>15.205078496217737</v>
      </c>
      <c r="I409" s="761">
        <v>0</v>
      </c>
      <c r="J409" s="761"/>
      <c r="K409" s="761"/>
      <c r="L409" s="29"/>
      <c r="M409" s="29">
        <f t="shared" si="21"/>
        <v>15.205078496217737</v>
      </c>
    </row>
    <row r="410" spans="1:13" hidden="1" outlineLevel="2">
      <c r="A410" s="172">
        <v>46054</v>
      </c>
      <c r="B410" s="1" t="s">
        <v>1472</v>
      </c>
      <c r="C410" s="379">
        <v>398477192297</v>
      </c>
      <c r="D410" s="742" t="str">
        <f>VLOOKUP(C410,[1]Material!F:J,5,0)</f>
        <v>Fedex</v>
      </c>
      <c r="E410" s="743">
        <f>_xlfn.XLOOKUP(C410,[1]Material!$F:$F,[1]Material!$D:$D)</f>
        <v>2.5</v>
      </c>
      <c r="F410" s="761"/>
      <c r="G410" s="761">
        <v>0</v>
      </c>
      <c r="H410" s="761">
        <v>15.205078496217737</v>
      </c>
      <c r="I410" s="761">
        <v>38.229444634507928</v>
      </c>
      <c r="J410" s="761"/>
      <c r="K410" s="761"/>
      <c r="L410" s="29"/>
      <c r="M410" s="29">
        <f t="shared" si="21"/>
        <v>53.434523130725665</v>
      </c>
    </row>
    <row r="411" spans="1:13" hidden="1" outlineLevel="2">
      <c r="A411" s="172">
        <v>46054</v>
      </c>
      <c r="B411" s="1" t="s">
        <v>648</v>
      </c>
      <c r="C411" s="379">
        <v>888539740761</v>
      </c>
      <c r="D411" s="742" t="str">
        <f>VLOOKUP(C411,[1]Material!F:J,5,0)</f>
        <v>Fedex</v>
      </c>
      <c r="E411" s="743">
        <f>_xlfn.XLOOKUP(C411,[1]Material!$F:$F,[1]Material!$D:$D)</f>
        <v>7</v>
      </c>
      <c r="F411" s="761"/>
      <c r="G411" s="761">
        <v>0</v>
      </c>
      <c r="H411" s="761">
        <v>15.205078496217737</v>
      </c>
      <c r="I411" s="761">
        <v>48.44087125099783</v>
      </c>
      <c r="J411" s="761"/>
      <c r="K411" s="761"/>
      <c r="L411" s="29"/>
      <c r="M411" s="29">
        <f t="shared" si="21"/>
        <v>63.645949747215568</v>
      </c>
    </row>
    <row r="412" spans="1:13" hidden="1" outlineLevel="2">
      <c r="A412" s="172">
        <v>46054</v>
      </c>
      <c r="B412" s="1" t="s">
        <v>953</v>
      </c>
      <c r="C412" s="379">
        <v>511467490858</v>
      </c>
      <c r="D412" s="742" t="str">
        <f>VLOOKUP(C412,[1]Material!F:J,5,0)</f>
        <v>Fedex</v>
      </c>
      <c r="E412" s="743">
        <f>_xlfn.XLOOKUP(C412,[1]Material!$F:$F,[1]Material!$D:$D)</f>
        <v>0.5</v>
      </c>
      <c r="F412" s="761"/>
      <c r="G412" s="761">
        <v>0</v>
      </c>
      <c r="H412" s="761">
        <v>15.205078496217737</v>
      </c>
      <c r="I412" s="761">
        <v>18.83091952712206</v>
      </c>
      <c r="J412" s="761"/>
      <c r="K412" s="761"/>
      <c r="L412" s="29"/>
      <c r="M412" s="29">
        <f t="shared" si="21"/>
        <v>34.035998023339801</v>
      </c>
    </row>
    <row r="413" spans="1:13" hidden="1" outlineLevel="2">
      <c r="A413" s="172">
        <v>46054</v>
      </c>
      <c r="B413" s="1" t="s">
        <v>978</v>
      </c>
      <c r="C413" s="379">
        <v>480410731693</v>
      </c>
      <c r="D413" s="742" t="str">
        <f>VLOOKUP(C413,[1]Material!F:J,5,0)</f>
        <v>Fedex</v>
      </c>
      <c r="E413" s="743">
        <f>_xlfn.XLOOKUP(C413,[1]Material!$F:$F,[1]Material!$D:$D)</f>
        <v>11</v>
      </c>
      <c r="F413" s="761"/>
      <c r="G413" s="761">
        <v>0</v>
      </c>
      <c r="H413" s="761">
        <v>15.205078496217737</v>
      </c>
      <c r="I413" s="761">
        <v>0</v>
      </c>
      <c r="J413" s="761"/>
      <c r="K413" s="761"/>
      <c r="L413" s="29"/>
      <c r="M413" s="29">
        <f t="shared" si="21"/>
        <v>15.205078496217737</v>
      </c>
    </row>
    <row r="414" spans="1:13" hidden="1" outlineLevel="2">
      <c r="A414" s="172">
        <v>46054</v>
      </c>
      <c r="B414" s="1" t="s">
        <v>945</v>
      </c>
      <c r="C414" s="379">
        <v>500292434683</v>
      </c>
      <c r="D414" s="742" t="str">
        <f>VLOOKUP(C414,[1]Material!F:J,5,0)</f>
        <v>Fedex</v>
      </c>
      <c r="E414" s="743">
        <f>_xlfn.XLOOKUP(C414,[1]Material!$F:$F,[1]Material!$D:$D)</f>
        <v>0.5</v>
      </c>
      <c r="F414" s="761"/>
      <c r="G414" s="761">
        <v>0</v>
      </c>
      <c r="H414" s="761">
        <v>15.205078496217737</v>
      </c>
      <c r="I414" s="761">
        <v>0</v>
      </c>
      <c r="J414" s="761"/>
      <c r="K414" s="761"/>
      <c r="L414" s="29"/>
      <c r="M414" s="29">
        <f t="shared" si="21"/>
        <v>15.205078496217737</v>
      </c>
    </row>
    <row r="415" spans="1:13" hidden="1" outlineLevel="2">
      <c r="A415" s="172">
        <v>46054</v>
      </c>
      <c r="B415" s="1" t="s">
        <v>938</v>
      </c>
      <c r="C415" s="379">
        <v>480410700249</v>
      </c>
      <c r="D415" s="742" t="str">
        <f>VLOOKUP(C415,[1]Material!F:J,5,0)</f>
        <v>Fedex</v>
      </c>
      <c r="E415" s="743">
        <f>_xlfn.XLOOKUP(C415,[1]Material!$F:$F,[1]Material!$D:$D)</f>
        <v>2</v>
      </c>
      <c r="F415" s="761"/>
      <c r="G415" s="761">
        <v>0</v>
      </c>
      <c r="H415" s="761">
        <v>15.205078496217737</v>
      </c>
      <c r="I415" s="761">
        <v>28.056943018968337</v>
      </c>
      <c r="J415" s="761"/>
      <c r="K415" s="761"/>
      <c r="L415" s="29"/>
      <c r="M415" s="29">
        <f t="shared" si="21"/>
        <v>43.262021515186078</v>
      </c>
    </row>
    <row r="416" spans="1:13" hidden="1" outlineLevel="2">
      <c r="A416" s="172">
        <v>46054</v>
      </c>
      <c r="B416" s="1" t="s">
        <v>1481</v>
      </c>
      <c r="C416" s="379">
        <v>888469710438</v>
      </c>
      <c r="D416" s="742" t="str">
        <f>VLOOKUP(C416,[1]Material!F:J,5,0)</f>
        <v>Fedex</v>
      </c>
      <c r="E416" s="743">
        <f>_xlfn.XLOOKUP(C416,[1]Material!$F:$F,[1]Material!$D:$D)</f>
        <v>18.5</v>
      </c>
      <c r="F416" s="761"/>
      <c r="G416" s="761">
        <v>0</v>
      </c>
      <c r="H416" s="761">
        <v>15.205078496217737</v>
      </c>
      <c r="I416" s="761">
        <v>154.8496977990649</v>
      </c>
      <c r="J416" s="761"/>
      <c r="K416" s="761"/>
      <c r="L416" s="29"/>
      <c r="M416" s="29">
        <f t="shared" si="21"/>
        <v>170.05477629528264</v>
      </c>
    </row>
    <row r="417" spans="1:13" hidden="1" outlineLevel="2">
      <c r="A417" s="172">
        <v>46054</v>
      </c>
      <c r="B417" s="1" t="s">
        <v>957</v>
      </c>
      <c r="C417" s="379">
        <v>495270120832</v>
      </c>
      <c r="D417" s="742" t="str">
        <f>VLOOKUP(C417,[1]Material!F:J,5,0)</f>
        <v>Fedex</v>
      </c>
      <c r="E417" s="743">
        <f>_xlfn.XLOOKUP(C417,[1]Material!$F:$F,[1]Material!$D:$D)</f>
        <v>1</v>
      </c>
      <c r="F417" s="761"/>
      <c r="G417" s="761">
        <v>0</v>
      </c>
      <c r="H417" s="761">
        <v>15.205078496217737</v>
      </c>
      <c r="I417" s="761">
        <v>0</v>
      </c>
      <c r="J417" s="761"/>
      <c r="K417" s="761"/>
      <c r="L417" s="29"/>
      <c r="M417" s="29">
        <f t="shared" si="21"/>
        <v>15.205078496217737</v>
      </c>
    </row>
    <row r="418" spans="1:13" hidden="1" outlineLevel="2">
      <c r="A418" s="172">
        <v>46054</v>
      </c>
      <c r="B418" s="1" t="s">
        <v>805</v>
      </c>
      <c r="C418" s="379">
        <v>888596472191</v>
      </c>
      <c r="D418" s="742" t="str">
        <f>VLOOKUP(C418,[1]Material!F:J,5,0)</f>
        <v>Fedex</v>
      </c>
      <c r="E418" s="743">
        <f>_xlfn.XLOOKUP(C418,[1]Material!$F:$F,[1]Material!$D:$D)</f>
        <v>10</v>
      </c>
      <c r="F418" s="761"/>
      <c r="G418" s="761">
        <v>0</v>
      </c>
      <c r="H418" s="761">
        <v>15.205078496217737</v>
      </c>
      <c r="I418" s="761">
        <v>42.404645151480594</v>
      </c>
      <c r="J418" s="761"/>
      <c r="K418" s="761"/>
      <c r="L418" s="29"/>
      <c r="M418" s="29">
        <f t="shared" si="21"/>
        <v>57.609723647698331</v>
      </c>
    </row>
    <row r="419" spans="1:13" hidden="1" outlineLevel="2">
      <c r="A419" s="172">
        <v>46054</v>
      </c>
      <c r="B419" s="1" t="s">
        <v>815</v>
      </c>
      <c r="C419" s="379">
        <v>888589939139</v>
      </c>
      <c r="D419" s="742" t="str">
        <f>VLOOKUP(C419,[1]Material!F:J,5,0)</f>
        <v>Fedex</v>
      </c>
      <c r="E419" s="743">
        <f>_xlfn.XLOOKUP(C419,[1]Material!$F:$F,[1]Material!$D:$D)</f>
        <v>1</v>
      </c>
      <c r="F419" s="761"/>
      <c r="G419" s="761">
        <v>0</v>
      </c>
      <c r="H419" s="761">
        <v>15.205078496217737</v>
      </c>
      <c r="I419" s="761">
        <v>40.020602881362372</v>
      </c>
      <c r="J419" s="761"/>
      <c r="K419" s="761"/>
      <c r="L419" s="29"/>
      <c r="M419" s="29">
        <f t="shared" si="21"/>
        <v>55.225681377580109</v>
      </c>
    </row>
    <row r="420" spans="1:13" hidden="1" outlineLevel="2">
      <c r="A420" s="172">
        <v>46054</v>
      </c>
      <c r="B420" s="1" t="s">
        <v>375</v>
      </c>
      <c r="C420" s="379">
        <v>888505311870</v>
      </c>
      <c r="D420" s="742" t="str">
        <f>VLOOKUP(C420,[1]Material!F:J,5,0)</f>
        <v>Fedex</v>
      </c>
      <c r="E420" s="743">
        <f>_xlfn.XLOOKUP(C420,[1]Material!$F:$F,[1]Material!$D:$D)</f>
        <v>13</v>
      </c>
      <c r="F420" s="761"/>
      <c r="G420" s="761">
        <v>0</v>
      </c>
      <c r="H420" s="761">
        <v>15.205078496217737</v>
      </c>
      <c r="I420" s="761">
        <v>67.271752765423656</v>
      </c>
      <c r="J420" s="761"/>
      <c r="K420" s="761"/>
      <c r="L420" s="29"/>
      <c r="M420" s="29">
        <f t="shared" si="21"/>
        <v>82.476831261641394</v>
      </c>
    </row>
    <row r="421" spans="1:13" hidden="1" outlineLevel="2">
      <c r="A421" s="172">
        <v>46054</v>
      </c>
      <c r="B421" s="1" t="s">
        <v>945</v>
      </c>
      <c r="C421" s="379">
        <v>500292443910</v>
      </c>
      <c r="D421" s="742" t="str">
        <f>VLOOKUP(C421,[1]Material!F:J,5,0)</f>
        <v>Fedex</v>
      </c>
      <c r="E421" s="743">
        <f>_xlfn.XLOOKUP(C421,[1]Material!$F:$F,[1]Material!$D:$D)</f>
        <v>1</v>
      </c>
      <c r="F421" s="761"/>
      <c r="G421" s="761">
        <v>0</v>
      </c>
      <c r="H421" s="761">
        <v>15.205078496217737</v>
      </c>
      <c r="I421" s="761">
        <v>0</v>
      </c>
      <c r="J421" s="761"/>
      <c r="K421" s="761"/>
      <c r="L421" s="29"/>
      <c r="M421" s="29">
        <f t="shared" si="21"/>
        <v>15.205078496217737</v>
      </c>
    </row>
    <row r="422" spans="1:13" hidden="1" outlineLevel="2">
      <c r="A422" s="172">
        <v>46054</v>
      </c>
      <c r="B422" s="1" t="s">
        <v>938</v>
      </c>
      <c r="C422" s="379">
        <v>513464614009</v>
      </c>
      <c r="D422" s="742" t="str">
        <f>VLOOKUP(C422,[1]Material!F:J,5,0)</f>
        <v>Fedex</v>
      </c>
      <c r="E422" s="743">
        <f>_xlfn.XLOOKUP(C422,[1]Material!$F:$F,[1]Material!$D:$D)</f>
        <v>3</v>
      </c>
      <c r="F422" s="761"/>
      <c r="G422" s="761">
        <v>0</v>
      </c>
      <c r="H422" s="761">
        <v>15.205078496217737</v>
      </c>
      <c r="I422" s="761">
        <v>0</v>
      </c>
      <c r="J422" s="761"/>
      <c r="K422" s="761"/>
      <c r="L422" s="29"/>
      <c r="M422" s="29">
        <f t="shared" si="21"/>
        <v>15.205078496217737</v>
      </c>
    </row>
    <row r="423" spans="1:13" hidden="1" outlineLevel="2">
      <c r="A423" s="172">
        <v>46054</v>
      </c>
      <c r="B423" s="1" t="s">
        <v>810</v>
      </c>
      <c r="C423" s="379">
        <v>510007302489</v>
      </c>
      <c r="D423" s="742" t="str">
        <f>VLOOKUP(C423,[1]Material!F:J,5,0)</f>
        <v>Fedex</v>
      </c>
      <c r="E423" s="743">
        <f>_xlfn.XLOOKUP(C423,[1]Material!$F:$F,[1]Material!$D:$D)</f>
        <v>26.5</v>
      </c>
      <c r="F423" s="761"/>
      <c r="G423" s="761">
        <v>0</v>
      </c>
      <c r="H423" s="761">
        <v>15.205078496217737</v>
      </c>
      <c r="I423" s="761">
        <v>88.30626829361006</v>
      </c>
      <c r="J423" s="761"/>
      <c r="K423" s="761"/>
      <c r="L423" s="29"/>
      <c r="M423" s="29">
        <f t="shared" si="21"/>
        <v>103.5113467898278</v>
      </c>
    </row>
    <row r="424" spans="1:13" hidden="1" outlineLevel="2">
      <c r="A424" s="172">
        <v>46054</v>
      </c>
      <c r="B424" s="1" t="s">
        <v>930</v>
      </c>
      <c r="C424" s="379">
        <v>480410700054</v>
      </c>
      <c r="D424" s="742" t="str">
        <f>VLOOKUP(C424,[1]Material!F:J,5,0)</f>
        <v>Fedex</v>
      </c>
      <c r="E424" s="743">
        <f>_xlfn.XLOOKUP(C424,[1]Material!$F:$F,[1]Material!$D:$D)</f>
        <v>2</v>
      </c>
      <c r="F424" s="761"/>
      <c r="G424" s="761">
        <v>0</v>
      </c>
      <c r="H424" s="761">
        <v>15.205078496217737</v>
      </c>
      <c r="I424" s="761">
        <v>29.208347588094423</v>
      </c>
      <c r="J424" s="761"/>
      <c r="K424" s="761"/>
      <c r="L424" s="29"/>
      <c r="M424" s="29">
        <f t="shared" ref="M424:M453" si="22">SUM(G424:L424)</f>
        <v>44.413426084312164</v>
      </c>
    </row>
    <row r="425" spans="1:13" hidden="1" outlineLevel="2">
      <c r="A425" s="172">
        <v>46054</v>
      </c>
      <c r="B425" s="1" t="s">
        <v>811</v>
      </c>
      <c r="C425" s="379">
        <v>888600116969</v>
      </c>
      <c r="D425" s="742" t="str">
        <f>VLOOKUP(C425,[1]Material!F:J,5,0)</f>
        <v>Fedex</v>
      </c>
      <c r="E425" s="743">
        <f>_xlfn.XLOOKUP(C425,[1]Material!$F:$F,[1]Material!$D:$D)</f>
        <v>11</v>
      </c>
      <c r="F425" s="761"/>
      <c r="G425" s="761">
        <v>0</v>
      </c>
      <c r="H425" s="761">
        <v>15.205078496217737</v>
      </c>
      <c r="I425" s="761">
        <v>45.126734329265972</v>
      </c>
      <c r="J425" s="761"/>
      <c r="K425" s="761"/>
      <c r="L425" s="29"/>
      <c r="M425" s="29">
        <f t="shared" si="22"/>
        <v>60.331812825483709</v>
      </c>
    </row>
    <row r="426" spans="1:13" hidden="1" outlineLevel="2">
      <c r="A426" s="172">
        <v>46054</v>
      </c>
      <c r="B426" s="1" t="s">
        <v>957</v>
      </c>
      <c r="C426" s="379">
        <v>513116883221</v>
      </c>
      <c r="D426" s="742" t="str">
        <f>VLOOKUP(C426,[1]Material!F:J,5,0)</f>
        <v>Fedex</v>
      </c>
      <c r="E426" s="743">
        <f>_xlfn.XLOOKUP(C426,[1]Material!$F:$F,[1]Material!$D:$D)</f>
        <v>2.5</v>
      </c>
      <c r="F426" s="761"/>
      <c r="G426" s="761">
        <v>0</v>
      </c>
      <c r="H426" s="761">
        <v>15.205078496217737</v>
      </c>
      <c r="I426" s="761">
        <v>0</v>
      </c>
      <c r="J426" s="761"/>
      <c r="K426" s="761"/>
      <c r="L426" s="29"/>
      <c r="M426" s="29">
        <f t="shared" si="22"/>
        <v>15.205078496217737</v>
      </c>
    </row>
    <row r="427" spans="1:13" hidden="1" outlineLevel="2">
      <c r="A427" s="172">
        <v>46054</v>
      </c>
      <c r="B427" s="1" t="s">
        <v>938</v>
      </c>
      <c r="C427" s="379">
        <v>513464651492</v>
      </c>
      <c r="D427" s="742" t="str">
        <f>VLOOKUP(C427,[1]Material!F:J,5,0)</f>
        <v>Fedex</v>
      </c>
      <c r="E427" s="743">
        <f>_xlfn.XLOOKUP(C427,[1]Material!$F:$F,[1]Material!$D:$D)</f>
        <v>22.5</v>
      </c>
      <c r="F427" s="761"/>
      <c r="G427" s="761">
        <v>0</v>
      </c>
      <c r="H427" s="761">
        <v>15.205078496217737</v>
      </c>
      <c r="I427" s="761">
        <v>0</v>
      </c>
      <c r="J427" s="761"/>
      <c r="K427" s="761"/>
      <c r="L427" s="29"/>
      <c r="M427" s="29">
        <f t="shared" si="22"/>
        <v>15.205078496217737</v>
      </c>
    </row>
    <row r="428" spans="1:13" hidden="1" outlineLevel="2">
      <c r="A428" s="172">
        <v>46054</v>
      </c>
      <c r="B428" s="1" t="s">
        <v>938</v>
      </c>
      <c r="C428" s="379">
        <v>513464654550</v>
      </c>
      <c r="D428" s="742" t="str">
        <f>VLOOKUP(C428,[1]Material!F:J,5,0)</f>
        <v>Fedex</v>
      </c>
      <c r="E428" s="743">
        <f>_xlfn.XLOOKUP(C428,[1]Material!$F:$F,[1]Material!$D:$D)</f>
        <v>24.5</v>
      </c>
      <c r="F428" s="761"/>
      <c r="G428" s="761">
        <v>0</v>
      </c>
      <c r="H428" s="761">
        <v>15.205078496217737</v>
      </c>
      <c r="I428" s="761">
        <v>0</v>
      </c>
      <c r="J428" s="761"/>
      <c r="K428" s="761"/>
      <c r="L428" s="29"/>
      <c r="M428" s="29">
        <f t="shared" si="22"/>
        <v>15.205078496217737</v>
      </c>
    </row>
    <row r="429" spans="1:13" hidden="1" outlineLevel="2">
      <c r="A429" s="172">
        <v>46054</v>
      </c>
      <c r="B429" s="1" t="s">
        <v>970</v>
      </c>
      <c r="C429" s="379">
        <v>398754976017</v>
      </c>
      <c r="D429" s="742" t="str">
        <f>VLOOKUP(C429,[1]Material!F:J,5,0)</f>
        <v>Fedex</v>
      </c>
      <c r="E429" s="743">
        <f>_xlfn.XLOOKUP(C429,[1]Material!$F:$F,[1]Material!$D:$D)</f>
        <v>1</v>
      </c>
      <c r="F429" s="761"/>
      <c r="G429" s="761">
        <v>0</v>
      </c>
      <c r="H429" s="761">
        <v>15.205078496217737</v>
      </c>
      <c r="I429" s="761">
        <v>0</v>
      </c>
      <c r="J429" s="761"/>
      <c r="K429" s="761"/>
      <c r="L429" s="29"/>
      <c r="M429" s="29">
        <f t="shared" si="22"/>
        <v>15.205078496217737</v>
      </c>
    </row>
    <row r="430" spans="1:13" hidden="1" outlineLevel="2">
      <c r="A430" s="172">
        <v>46054</v>
      </c>
      <c r="B430" s="1" t="s">
        <v>938</v>
      </c>
      <c r="C430" s="379">
        <v>513464717239</v>
      </c>
      <c r="D430" s="742" t="str">
        <f>VLOOKUP(C430,[1]Material!F:J,5,0)</f>
        <v>Fedex</v>
      </c>
      <c r="E430" s="743">
        <f>_xlfn.XLOOKUP(C430,[1]Material!$F:$F,[1]Material!$D:$D)</f>
        <v>23.5</v>
      </c>
      <c r="F430" s="761"/>
      <c r="G430" s="761">
        <v>0</v>
      </c>
      <c r="H430" s="761">
        <v>15.205078496217737</v>
      </c>
      <c r="I430" s="761">
        <v>0</v>
      </c>
      <c r="J430" s="761"/>
      <c r="K430" s="761"/>
      <c r="L430" s="29"/>
      <c r="M430" s="29">
        <f t="shared" si="22"/>
        <v>15.205078496217737</v>
      </c>
    </row>
    <row r="431" spans="1:13" hidden="1" outlineLevel="2">
      <c r="A431" s="172">
        <v>46054</v>
      </c>
      <c r="B431" s="1" t="s">
        <v>944</v>
      </c>
      <c r="C431" s="379">
        <v>119209685146</v>
      </c>
      <c r="D431" s="742" t="str">
        <f>VLOOKUP(C431,[1]Material!F:J,5,0)</f>
        <v>Fedex</v>
      </c>
      <c r="E431" s="743">
        <f>_xlfn.XLOOKUP(C431,[1]Material!$F:$F,[1]Material!$D:$D)</f>
        <v>3.5</v>
      </c>
      <c r="F431" s="761"/>
      <c r="G431" s="761">
        <v>0</v>
      </c>
      <c r="H431" s="761">
        <v>15.205078496217737</v>
      </c>
      <c r="I431" s="761">
        <v>0</v>
      </c>
      <c r="J431" s="761"/>
      <c r="K431" s="761"/>
      <c r="L431" s="29"/>
      <c r="M431" s="29">
        <f t="shared" si="22"/>
        <v>15.205078496217737</v>
      </c>
    </row>
    <row r="432" spans="1:13" hidden="1" outlineLevel="2">
      <c r="A432" s="172">
        <v>46054</v>
      </c>
      <c r="B432" s="1" t="s">
        <v>816</v>
      </c>
      <c r="C432" s="379">
        <v>492501400139</v>
      </c>
      <c r="D432" s="742" t="str">
        <f>VLOOKUP(C432,[1]Material!F:J,5,0)</f>
        <v>Fedex</v>
      </c>
      <c r="E432" s="743">
        <f>_xlfn.XLOOKUP(C432,[1]Material!$F:$F,[1]Material!$D:$D)</f>
        <v>2.5</v>
      </c>
      <c r="F432" s="761"/>
      <c r="G432" s="761">
        <v>0</v>
      </c>
      <c r="H432" s="761">
        <v>15.205078496217737</v>
      </c>
      <c r="I432" s="761">
        <v>0</v>
      </c>
      <c r="J432" s="761"/>
      <c r="K432" s="761"/>
      <c r="L432" s="29"/>
      <c r="M432" s="29">
        <f t="shared" si="22"/>
        <v>15.205078496217737</v>
      </c>
    </row>
    <row r="433" spans="1:13" hidden="1" outlineLevel="2">
      <c r="A433" s="172">
        <v>46054</v>
      </c>
      <c r="B433" s="1" t="s">
        <v>938</v>
      </c>
      <c r="C433" s="379">
        <v>513464696487</v>
      </c>
      <c r="D433" s="742" t="str">
        <f>VLOOKUP(C433,[1]Material!F:J,5,0)</f>
        <v>Fedex</v>
      </c>
      <c r="E433" s="743">
        <f>_xlfn.XLOOKUP(C433,[1]Material!$F:$F,[1]Material!$D:$D)</f>
        <v>2.5</v>
      </c>
      <c r="F433" s="761"/>
      <c r="G433" s="761">
        <v>0</v>
      </c>
      <c r="H433" s="761">
        <v>15.205078496217737</v>
      </c>
      <c r="I433" s="761">
        <v>0</v>
      </c>
      <c r="J433" s="761"/>
      <c r="K433" s="761"/>
      <c r="L433" s="29"/>
      <c r="M433" s="29">
        <f t="shared" si="22"/>
        <v>15.205078496217737</v>
      </c>
    </row>
    <row r="434" spans="1:13" hidden="1" outlineLevel="2">
      <c r="A434" s="172">
        <v>46054</v>
      </c>
      <c r="B434" s="1" t="s">
        <v>938</v>
      </c>
      <c r="C434" s="379">
        <v>513464728707</v>
      </c>
      <c r="D434" s="742" t="str">
        <f>VLOOKUP(C434,[1]Material!F:J,5,0)</f>
        <v>Fedex</v>
      </c>
      <c r="E434" s="743">
        <f>_xlfn.XLOOKUP(C434,[1]Material!$F:$F,[1]Material!$D:$D)</f>
        <v>46.5</v>
      </c>
      <c r="F434" s="761"/>
      <c r="G434" s="761">
        <v>0</v>
      </c>
      <c r="H434" s="761">
        <v>15.205078496217737</v>
      </c>
      <c r="I434" s="761">
        <v>0</v>
      </c>
      <c r="J434" s="761"/>
      <c r="K434" s="761"/>
      <c r="L434" s="29"/>
      <c r="M434" s="29">
        <f t="shared" si="22"/>
        <v>15.205078496217737</v>
      </c>
    </row>
    <row r="435" spans="1:13" hidden="1" outlineLevel="2">
      <c r="A435" s="172">
        <v>46054</v>
      </c>
      <c r="B435" s="1" t="s">
        <v>938</v>
      </c>
      <c r="C435" s="379">
        <v>513464704386</v>
      </c>
      <c r="D435" s="742" t="str">
        <f>VLOOKUP(C435,[1]Material!F:J,5,0)</f>
        <v>Fedex</v>
      </c>
      <c r="E435" s="743">
        <f>_xlfn.XLOOKUP(C435,[1]Material!$F:$F,[1]Material!$D:$D)</f>
        <v>2.5</v>
      </c>
      <c r="F435" s="761"/>
      <c r="G435" s="761">
        <v>0</v>
      </c>
      <c r="H435" s="761">
        <v>15.205078496217737</v>
      </c>
      <c r="I435" s="761">
        <v>0</v>
      </c>
      <c r="J435" s="761"/>
      <c r="K435" s="761"/>
      <c r="L435" s="29"/>
      <c r="M435" s="29">
        <f t="shared" si="22"/>
        <v>15.205078496217737</v>
      </c>
    </row>
    <row r="436" spans="1:13" hidden="1" outlineLevel="2">
      <c r="A436" s="172">
        <v>46054</v>
      </c>
      <c r="B436" s="1" t="s">
        <v>1499</v>
      </c>
      <c r="C436" s="379">
        <v>888149096890</v>
      </c>
      <c r="D436" s="742" t="str">
        <f>VLOOKUP(C436,[1]Material!F:J,5,0)</f>
        <v>Fedex</v>
      </c>
      <c r="E436" s="743">
        <f>_xlfn.XLOOKUP(C436,[1]Material!$F:$F,[1]Material!$D:$D)</f>
        <v>2</v>
      </c>
      <c r="F436" s="761"/>
      <c r="G436" s="761">
        <v>0</v>
      </c>
      <c r="H436" s="761">
        <v>15.205078496217737</v>
      </c>
      <c r="I436" s="761">
        <v>0</v>
      </c>
      <c r="J436" s="761"/>
      <c r="K436" s="761"/>
      <c r="L436" s="29"/>
      <c r="M436" s="29">
        <f t="shared" si="22"/>
        <v>15.205078496217737</v>
      </c>
    </row>
    <row r="437" spans="1:13" hidden="1" outlineLevel="2">
      <c r="A437" s="172">
        <v>46054</v>
      </c>
      <c r="B437" s="1" t="s">
        <v>110</v>
      </c>
      <c r="C437" s="379">
        <v>483570642217</v>
      </c>
      <c r="D437" s="742" t="s">
        <v>45</v>
      </c>
      <c r="E437" s="743">
        <v>68.5</v>
      </c>
      <c r="F437" s="761"/>
      <c r="G437" s="761">
        <v>0</v>
      </c>
      <c r="H437" s="761">
        <v>15.205078496217737</v>
      </c>
      <c r="I437" s="761">
        <v>0</v>
      </c>
      <c r="J437" s="761"/>
      <c r="K437" s="761"/>
      <c r="L437" s="29"/>
      <c r="M437" s="29">
        <f t="shared" si="22"/>
        <v>15.205078496217737</v>
      </c>
    </row>
    <row r="438" spans="1:13" hidden="1" outlineLevel="2">
      <c r="A438" s="172">
        <v>46054</v>
      </c>
      <c r="B438" s="1" t="s">
        <v>987</v>
      </c>
      <c r="C438" s="379" t="s">
        <v>1333</v>
      </c>
      <c r="D438" s="742" t="s">
        <v>1333</v>
      </c>
      <c r="E438" s="743"/>
      <c r="F438" s="761"/>
      <c r="G438" s="761">
        <v>0</v>
      </c>
      <c r="H438" s="761">
        <v>15.205078496217737</v>
      </c>
      <c r="I438" s="761">
        <v>0</v>
      </c>
      <c r="J438" s="761"/>
      <c r="K438" s="761"/>
      <c r="L438" s="29"/>
      <c r="M438" s="29">
        <f t="shared" si="22"/>
        <v>15.205078496217737</v>
      </c>
    </row>
    <row r="439" spans="1:13" hidden="1" outlineLevel="2">
      <c r="A439" s="172">
        <v>46054</v>
      </c>
      <c r="B439" s="1" t="s">
        <v>989</v>
      </c>
      <c r="C439" s="379" t="s">
        <v>1333</v>
      </c>
      <c r="D439" s="742" t="s">
        <v>1333</v>
      </c>
      <c r="E439" s="743"/>
      <c r="F439" s="761"/>
      <c r="G439" s="761">
        <v>0</v>
      </c>
      <c r="H439" s="761">
        <v>15.205078496217737</v>
      </c>
      <c r="I439" s="761">
        <v>0</v>
      </c>
      <c r="J439" s="761"/>
      <c r="K439" s="761"/>
      <c r="L439" s="29"/>
      <c r="M439" s="29">
        <f t="shared" si="22"/>
        <v>15.205078496217737</v>
      </c>
    </row>
    <row r="440" spans="1:13" hidden="1" outlineLevel="2">
      <c r="A440" s="172">
        <v>46054</v>
      </c>
      <c r="B440" s="1" t="s">
        <v>1334</v>
      </c>
      <c r="C440" s="379" t="s">
        <v>1333</v>
      </c>
      <c r="D440" s="742" t="s">
        <v>1333</v>
      </c>
      <c r="E440" s="743"/>
      <c r="F440" s="761"/>
      <c r="G440" s="761">
        <v>0</v>
      </c>
      <c r="H440" s="761">
        <v>15.205078496217737</v>
      </c>
      <c r="I440" s="761">
        <v>0</v>
      </c>
      <c r="J440" s="761"/>
      <c r="K440" s="761"/>
      <c r="L440" s="29"/>
      <c r="M440" s="29">
        <f t="shared" si="22"/>
        <v>15.205078496217737</v>
      </c>
    </row>
    <row r="441" spans="1:13" hidden="1" outlineLevel="2">
      <c r="A441" s="172">
        <v>46054</v>
      </c>
      <c r="B441" s="1" t="s">
        <v>1506</v>
      </c>
      <c r="C441" s="379" t="s">
        <v>1333</v>
      </c>
      <c r="D441" s="742" t="s">
        <v>1333</v>
      </c>
      <c r="E441" s="743"/>
      <c r="F441" s="761"/>
      <c r="G441" s="761">
        <v>0</v>
      </c>
      <c r="H441" s="761">
        <v>15.205078496217737</v>
      </c>
      <c r="I441" s="761">
        <v>0</v>
      </c>
      <c r="J441" s="761"/>
      <c r="K441" s="761"/>
      <c r="L441" s="29"/>
      <c r="M441" s="29">
        <f t="shared" si="22"/>
        <v>15.205078496217737</v>
      </c>
    </row>
    <row r="442" spans="1:13" hidden="1" outlineLevel="2">
      <c r="A442" s="172">
        <v>46054</v>
      </c>
      <c r="B442" s="1" t="s">
        <v>1507</v>
      </c>
      <c r="C442" s="379" t="s">
        <v>1333</v>
      </c>
      <c r="D442" s="742" t="s">
        <v>1333</v>
      </c>
      <c r="E442" s="743"/>
      <c r="F442" s="761"/>
      <c r="G442" s="761">
        <v>0</v>
      </c>
      <c r="H442" s="761">
        <v>15.205078496217737</v>
      </c>
      <c r="I442" s="761">
        <v>0</v>
      </c>
      <c r="J442" s="761"/>
      <c r="K442" s="761"/>
      <c r="L442" s="29"/>
      <c r="M442" s="29">
        <f t="shared" si="22"/>
        <v>15.205078496217737</v>
      </c>
    </row>
    <row r="443" spans="1:13" hidden="1" outlineLevel="2">
      <c r="A443" s="172">
        <v>46054</v>
      </c>
      <c r="B443" s="1" t="s">
        <v>1508</v>
      </c>
      <c r="C443" s="379" t="s">
        <v>1333</v>
      </c>
      <c r="D443" s="742" t="s">
        <v>1333</v>
      </c>
      <c r="E443" s="743"/>
      <c r="F443" s="761"/>
      <c r="G443" s="761">
        <v>0</v>
      </c>
      <c r="H443" s="761">
        <v>15.205078496217737</v>
      </c>
      <c r="I443" s="761">
        <v>0</v>
      </c>
      <c r="J443" s="761"/>
      <c r="K443" s="761"/>
      <c r="L443" s="29"/>
      <c r="M443" s="29">
        <f t="shared" si="22"/>
        <v>15.205078496217737</v>
      </c>
    </row>
    <row r="444" spans="1:13" hidden="1" outlineLevel="2">
      <c r="A444" s="172">
        <v>46054</v>
      </c>
      <c r="B444" s="1" t="s">
        <v>1335</v>
      </c>
      <c r="C444" s="379" t="s">
        <v>1333</v>
      </c>
      <c r="D444" s="742" t="s">
        <v>1333</v>
      </c>
      <c r="E444" s="743"/>
      <c r="F444" s="761"/>
      <c r="G444" s="761">
        <v>0</v>
      </c>
      <c r="H444" s="761">
        <v>15.205078496217737</v>
      </c>
      <c r="I444" s="761">
        <v>0</v>
      </c>
      <c r="J444" s="761"/>
      <c r="K444" s="761"/>
      <c r="L444" s="29"/>
      <c r="M444" s="29">
        <f t="shared" si="22"/>
        <v>15.205078496217737</v>
      </c>
    </row>
    <row r="445" spans="1:13" hidden="1" outlineLevel="2">
      <c r="A445" s="172">
        <v>46054</v>
      </c>
      <c r="B445" s="1" t="s">
        <v>1510</v>
      </c>
      <c r="C445" s="379" t="s">
        <v>1333</v>
      </c>
      <c r="D445" s="742" t="s">
        <v>1333</v>
      </c>
      <c r="E445" s="743"/>
      <c r="F445" s="761"/>
      <c r="G445" s="761">
        <v>0</v>
      </c>
      <c r="H445" s="761">
        <v>15.205078496217737</v>
      </c>
      <c r="I445" s="761">
        <v>0</v>
      </c>
      <c r="J445" s="761"/>
      <c r="K445" s="761"/>
      <c r="L445" s="29"/>
      <c r="M445" s="29">
        <f t="shared" si="22"/>
        <v>15.205078496217737</v>
      </c>
    </row>
    <row r="446" spans="1:13" hidden="1" outlineLevel="2">
      <c r="A446" s="172">
        <v>46054</v>
      </c>
      <c r="B446" s="1" t="s">
        <v>988</v>
      </c>
      <c r="C446" s="379" t="s">
        <v>1333</v>
      </c>
      <c r="D446" s="742" t="s">
        <v>1333</v>
      </c>
      <c r="E446" s="743"/>
      <c r="F446" s="761"/>
      <c r="G446" s="761">
        <v>0</v>
      </c>
      <c r="H446" s="761">
        <v>15.205078496217737</v>
      </c>
      <c r="I446" s="761">
        <v>0</v>
      </c>
      <c r="J446" s="761"/>
      <c r="K446" s="761"/>
      <c r="L446" s="29"/>
      <c r="M446" s="29">
        <f t="shared" si="22"/>
        <v>15.205078496217737</v>
      </c>
    </row>
    <row r="447" spans="1:13" hidden="1" outlineLevel="2">
      <c r="A447" s="172">
        <v>46054</v>
      </c>
      <c r="B447" s="1" t="s">
        <v>1511</v>
      </c>
      <c r="C447" s="379" t="s">
        <v>1333</v>
      </c>
      <c r="D447" s="742" t="s">
        <v>1333</v>
      </c>
      <c r="E447" s="743"/>
      <c r="F447" s="761"/>
      <c r="G447" s="761">
        <v>0</v>
      </c>
      <c r="H447" s="761">
        <v>15.205078496217737</v>
      </c>
      <c r="I447" s="761">
        <v>0</v>
      </c>
      <c r="J447" s="761"/>
      <c r="K447" s="761"/>
      <c r="L447" s="29"/>
      <c r="M447" s="29">
        <f t="shared" si="22"/>
        <v>15.205078496217737</v>
      </c>
    </row>
    <row r="448" spans="1:13" hidden="1" outlineLevel="2">
      <c r="A448" s="172">
        <v>46054</v>
      </c>
      <c r="B448" s="1" t="s">
        <v>1571</v>
      </c>
      <c r="C448" s="379" t="s">
        <v>1333</v>
      </c>
      <c r="D448" s="742" t="s">
        <v>1333</v>
      </c>
      <c r="E448" s="743"/>
      <c r="F448" s="761"/>
      <c r="G448" s="761">
        <v>0</v>
      </c>
      <c r="H448" s="761">
        <v>15.205078496217737</v>
      </c>
      <c r="I448" s="761">
        <v>0</v>
      </c>
      <c r="J448" s="761"/>
      <c r="K448" s="761"/>
      <c r="L448" s="29"/>
      <c r="M448" s="29">
        <f t="shared" si="22"/>
        <v>15.205078496217737</v>
      </c>
    </row>
    <row r="449" spans="1:13" hidden="1" outlineLevel="2">
      <c r="A449" s="172">
        <v>46054</v>
      </c>
      <c r="B449" s="1" t="s">
        <v>1504</v>
      </c>
      <c r="C449" s="379" t="s">
        <v>1333</v>
      </c>
      <c r="D449" s="742" t="s">
        <v>1333</v>
      </c>
      <c r="E449" s="743"/>
      <c r="F449" s="761"/>
      <c r="G449" s="761">
        <v>0</v>
      </c>
      <c r="H449" s="761">
        <v>15.205078496217737</v>
      </c>
      <c r="I449" s="761">
        <v>0</v>
      </c>
      <c r="J449" s="761"/>
      <c r="K449" s="761"/>
      <c r="L449" s="29"/>
      <c r="M449" s="29">
        <f t="shared" si="22"/>
        <v>15.205078496217737</v>
      </c>
    </row>
    <row r="450" spans="1:13" hidden="1" outlineLevel="2">
      <c r="A450" s="172">
        <v>46054</v>
      </c>
      <c r="B450" s="1" t="s">
        <v>804</v>
      </c>
      <c r="C450" s="379">
        <v>397818185419</v>
      </c>
      <c r="D450" s="742" t="s">
        <v>45</v>
      </c>
      <c r="E450" s="743"/>
      <c r="F450" s="761"/>
      <c r="G450" s="761"/>
      <c r="H450" s="761"/>
      <c r="I450" s="761">
        <v>44.542935340403695</v>
      </c>
      <c r="J450" s="761"/>
      <c r="K450" s="761"/>
      <c r="L450" s="29"/>
      <c r="M450" s="29">
        <f t="shared" si="22"/>
        <v>44.542935340403695</v>
      </c>
    </row>
    <row r="451" spans="1:13" hidden="1" outlineLevel="2">
      <c r="A451" s="172">
        <v>46054</v>
      </c>
      <c r="B451" s="1" t="s">
        <v>819</v>
      </c>
      <c r="C451" s="379">
        <v>469369306012</v>
      </c>
      <c r="D451" s="742" t="s">
        <v>45</v>
      </c>
      <c r="E451" s="743"/>
      <c r="F451" s="761"/>
      <c r="G451" s="761"/>
      <c r="H451" s="761"/>
      <c r="I451" s="761">
        <v>32.057247120538257</v>
      </c>
      <c r="J451" s="761"/>
      <c r="K451" s="761"/>
      <c r="L451" s="29"/>
      <c r="M451" s="29">
        <f t="shared" si="22"/>
        <v>32.057247120538257</v>
      </c>
    </row>
    <row r="452" spans="1:13" hidden="1" outlineLevel="2">
      <c r="A452" s="172">
        <v>46054</v>
      </c>
      <c r="B452" s="1" t="s">
        <v>804</v>
      </c>
      <c r="C452" s="379">
        <v>397879513640</v>
      </c>
      <c r="D452" s="742" t="s">
        <v>45</v>
      </c>
      <c r="E452" s="743"/>
      <c r="F452" s="761"/>
      <c r="G452" s="761"/>
      <c r="H452" s="761"/>
      <c r="I452" s="761">
        <v>20.856426046299465</v>
      </c>
      <c r="J452" s="761"/>
      <c r="K452" s="761"/>
      <c r="L452" s="29"/>
      <c r="M452" s="29">
        <f t="shared" si="22"/>
        <v>20.856426046299465</v>
      </c>
    </row>
    <row r="453" spans="1:13" hidden="1" outlineLevel="2">
      <c r="A453" s="172">
        <v>46054</v>
      </c>
      <c r="B453" s="1" t="s">
        <v>810</v>
      </c>
      <c r="C453" s="379">
        <v>510007293712</v>
      </c>
      <c r="D453" s="742" t="s">
        <v>45</v>
      </c>
      <c r="E453" s="743"/>
      <c r="F453" s="761"/>
      <c r="G453" s="761"/>
      <c r="H453" s="761"/>
      <c r="I453" s="761">
        <v>130.4387805527046</v>
      </c>
      <c r="J453" s="761"/>
      <c r="K453" s="761"/>
      <c r="L453" s="29"/>
      <c r="M453" s="29">
        <f t="shared" si="22"/>
        <v>130.4387805527046</v>
      </c>
    </row>
    <row r="454" spans="1:13" outlineLevel="1" collapsed="1">
      <c r="A454" s="172" t="s">
        <v>1609</v>
      </c>
      <c r="B454" s="1"/>
      <c r="C454" s="144"/>
      <c r="D454" s="144"/>
      <c r="E454" s="1">
        <f t="shared" ref="E454:M454" si="23">SUBTOTAL(9,E328:E453)</f>
        <v>6827.1979999999985</v>
      </c>
      <c r="F454" s="1">
        <f t="shared" si="23"/>
        <v>25.613</v>
      </c>
      <c r="G454" s="59">
        <f t="shared" si="23"/>
        <v>386.20899380393058</v>
      </c>
      <c r="H454" s="59">
        <f t="shared" si="23"/>
        <v>1864.5227505987029</v>
      </c>
      <c r="I454" s="563">
        <f t="shared" si="23"/>
        <v>7362.8691165849386</v>
      </c>
      <c r="J454" s="59">
        <f t="shared" si="23"/>
        <v>0</v>
      </c>
      <c r="K454" s="563">
        <f t="shared" si="23"/>
        <v>100.43840150881078</v>
      </c>
      <c r="L454" s="59">
        <f t="shared" si="23"/>
        <v>0</v>
      </c>
      <c r="M454" s="29">
        <f t="shared" si="23"/>
        <v>9714.0392624963679</v>
      </c>
    </row>
    <row r="455" spans="1:13" hidden="1" outlineLevel="2">
      <c r="A455" s="172">
        <v>46082</v>
      </c>
      <c r="B455" s="1" t="s">
        <v>816</v>
      </c>
      <c r="C455" s="379">
        <v>492501400139</v>
      </c>
      <c r="D455" s="742" t="s">
        <v>45</v>
      </c>
      <c r="E455" s="743">
        <v>4.4000000000000004</v>
      </c>
      <c r="F455" s="761"/>
      <c r="G455" s="761"/>
      <c r="H455" s="761">
        <v>0</v>
      </c>
      <c r="I455" s="761">
        <v>44.426886166217805</v>
      </c>
      <c r="J455" s="761"/>
      <c r="K455" s="761"/>
      <c r="L455" s="29"/>
      <c r="M455" s="29">
        <f t="shared" ref="M455:M486" si="24">SUM(G455:L455)</f>
        <v>44.426886166217805</v>
      </c>
    </row>
    <row r="456" spans="1:13" hidden="1" outlineLevel="2">
      <c r="A456" s="172">
        <v>46082</v>
      </c>
      <c r="B456" s="1" t="s">
        <v>974</v>
      </c>
      <c r="C456" s="379">
        <v>398754976017</v>
      </c>
      <c r="D456" s="742" t="s">
        <v>45</v>
      </c>
      <c r="E456" s="743">
        <v>2</v>
      </c>
      <c r="F456" s="761"/>
      <c r="G456" s="761"/>
      <c r="H456" s="761">
        <v>0</v>
      </c>
      <c r="I456" s="761">
        <v>33.108295717482832</v>
      </c>
      <c r="J456" s="761"/>
      <c r="K456" s="761"/>
      <c r="L456" s="29"/>
      <c r="M456" s="29">
        <f t="shared" si="24"/>
        <v>33.108295717482832</v>
      </c>
    </row>
    <row r="457" spans="1:13" hidden="1" outlineLevel="2">
      <c r="A457" s="172">
        <v>46082</v>
      </c>
      <c r="B457" s="1" t="s">
        <v>816</v>
      </c>
      <c r="C457" s="379">
        <v>492501417958</v>
      </c>
      <c r="D457" s="742" t="s">
        <v>45</v>
      </c>
      <c r="E457" s="743">
        <v>13.3</v>
      </c>
      <c r="F457" s="761"/>
      <c r="G457" s="761"/>
      <c r="H457" s="761">
        <v>15.172780032621477</v>
      </c>
      <c r="I457" s="761">
        <v>73.059780753328525</v>
      </c>
      <c r="J457" s="761"/>
      <c r="K457" s="761"/>
      <c r="L457" s="29"/>
      <c r="M457" s="29">
        <f t="shared" si="24"/>
        <v>88.23256078595</v>
      </c>
    </row>
    <row r="458" spans="1:13" hidden="1" outlineLevel="2">
      <c r="A458" s="172">
        <v>46082</v>
      </c>
      <c r="B458" s="1" t="s">
        <v>816</v>
      </c>
      <c r="C458" s="379">
        <v>492501426036</v>
      </c>
      <c r="D458" s="742" t="s">
        <v>45</v>
      </c>
      <c r="E458" s="743">
        <v>25.8</v>
      </c>
      <c r="F458" s="761"/>
      <c r="G458" s="761"/>
      <c r="H458" s="761">
        <v>15.172780032621477</v>
      </c>
      <c r="I458" s="761">
        <v>120.46887683495808</v>
      </c>
      <c r="J458" s="761"/>
      <c r="K458" s="761"/>
      <c r="L458" s="29"/>
      <c r="M458" s="29">
        <f t="shared" si="24"/>
        <v>135.64165686757957</v>
      </c>
    </row>
    <row r="459" spans="1:13" hidden="1" outlineLevel="2">
      <c r="A459" s="172">
        <v>46082</v>
      </c>
      <c r="B459" s="1" t="s">
        <v>816</v>
      </c>
      <c r="C459" s="379">
        <v>492501426460</v>
      </c>
      <c r="D459" s="742" t="s">
        <v>45</v>
      </c>
      <c r="E459" s="743">
        <v>15.1</v>
      </c>
      <c r="F459" s="761"/>
      <c r="G459" s="761"/>
      <c r="H459" s="761">
        <v>15.172780032621477</v>
      </c>
      <c r="I459" s="761">
        <v>76.41471001024162</v>
      </c>
      <c r="J459" s="761"/>
      <c r="K459" s="761"/>
      <c r="L459" s="29"/>
      <c r="M459" s="29">
        <f t="shared" si="24"/>
        <v>91.587490042863095</v>
      </c>
    </row>
    <row r="460" spans="1:13" hidden="1" outlineLevel="2">
      <c r="A460" s="172">
        <v>46082</v>
      </c>
      <c r="B460" s="1" t="s">
        <v>974</v>
      </c>
      <c r="C460" s="379">
        <v>399602735095</v>
      </c>
      <c r="D460" s="742" t="s">
        <v>45</v>
      </c>
      <c r="E460" s="743">
        <v>7</v>
      </c>
      <c r="F460" s="761"/>
      <c r="G460" s="761"/>
      <c r="H460" s="761">
        <v>15.172780032621477</v>
      </c>
      <c r="I460" s="761">
        <v>54.891780146417325</v>
      </c>
      <c r="J460" s="761"/>
      <c r="K460" s="761"/>
      <c r="L460" s="29"/>
      <c r="M460" s="29">
        <f t="shared" si="24"/>
        <v>70.064560179038807</v>
      </c>
    </row>
    <row r="461" spans="1:13" hidden="1" outlineLevel="2">
      <c r="A461" s="172">
        <v>46082</v>
      </c>
      <c r="B461" s="1" t="s">
        <v>816</v>
      </c>
      <c r="C461" s="379">
        <v>492501429712</v>
      </c>
      <c r="D461" s="742" t="s">
        <v>45</v>
      </c>
      <c r="E461" s="743">
        <v>26.8</v>
      </c>
      <c r="F461" s="761"/>
      <c r="G461" s="761"/>
      <c r="H461" s="761">
        <v>15.172780032621477</v>
      </c>
      <c r="I461" s="761">
        <v>129.62435989834236</v>
      </c>
      <c r="J461" s="761"/>
      <c r="K461" s="761"/>
      <c r="L461" s="29"/>
      <c r="M461" s="29">
        <f t="shared" si="24"/>
        <v>144.79713993096385</v>
      </c>
    </row>
    <row r="462" spans="1:13" hidden="1" outlineLevel="2">
      <c r="A462" s="172">
        <v>46082</v>
      </c>
      <c r="B462" s="1" t="s">
        <v>974</v>
      </c>
      <c r="C462" s="379">
        <v>399676315863</v>
      </c>
      <c r="D462" s="742" t="s">
        <v>45</v>
      </c>
      <c r="E462" s="743">
        <v>2.6</v>
      </c>
      <c r="F462" s="761"/>
      <c r="G462" s="761"/>
      <c r="H462" s="761">
        <v>15.172780032621477</v>
      </c>
      <c r="I462" s="761">
        <v>39.793650191556345</v>
      </c>
      <c r="J462" s="761"/>
      <c r="K462" s="761"/>
      <c r="L462" s="29"/>
      <c r="M462" s="29">
        <f t="shared" si="24"/>
        <v>54.96643022417782</v>
      </c>
    </row>
    <row r="463" spans="1:13" hidden="1" outlineLevel="2">
      <c r="A463" s="172">
        <v>46082</v>
      </c>
      <c r="B463" s="1" t="s">
        <v>974</v>
      </c>
      <c r="C463" s="379">
        <v>399750877283</v>
      </c>
      <c r="D463" s="742" t="s">
        <v>45</v>
      </c>
      <c r="E463" s="743">
        <v>5.2</v>
      </c>
      <c r="F463" s="761"/>
      <c r="G463" s="761"/>
      <c r="H463" s="761">
        <v>15.172780032621477</v>
      </c>
      <c r="I463" s="761">
        <v>51.265447786670713</v>
      </c>
      <c r="J463" s="761"/>
      <c r="K463" s="761"/>
      <c r="L463" s="29"/>
      <c r="M463" s="29">
        <f t="shared" si="24"/>
        <v>66.438227819292194</v>
      </c>
    </row>
    <row r="464" spans="1:13" hidden="1" outlineLevel="2">
      <c r="A464" s="172">
        <v>46082</v>
      </c>
      <c r="B464" s="1" t="s">
        <v>810</v>
      </c>
      <c r="C464" s="379">
        <v>510007304654</v>
      </c>
      <c r="D464" s="742" t="s">
        <v>45</v>
      </c>
      <c r="E464" s="743">
        <v>29</v>
      </c>
      <c r="F464" s="761"/>
      <c r="G464" s="761"/>
      <c r="H464" s="761">
        <v>15.172780032621477</v>
      </c>
      <c r="I464" s="761">
        <v>85.181428517240064</v>
      </c>
      <c r="J464" s="761"/>
      <c r="K464" s="761"/>
      <c r="L464" s="29"/>
      <c r="M464" s="29">
        <f t="shared" si="24"/>
        <v>100.35420854986154</v>
      </c>
    </row>
    <row r="465" spans="1:13" hidden="1" outlineLevel="2">
      <c r="A465" s="172">
        <v>46082</v>
      </c>
      <c r="B465" s="1" t="s">
        <v>809</v>
      </c>
      <c r="C465" s="379">
        <v>511467535364</v>
      </c>
      <c r="D465" s="742" t="s">
        <v>45</v>
      </c>
      <c r="E465" s="743">
        <v>3.1</v>
      </c>
      <c r="F465" s="761"/>
      <c r="G465" s="761"/>
      <c r="H465" s="761">
        <v>15.172780032621477</v>
      </c>
      <c r="I465" s="761">
        <v>28.443007245002466</v>
      </c>
      <c r="J465" s="761"/>
      <c r="K465" s="761"/>
      <c r="L465" s="29"/>
      <c r="M465" s="29">
        <f t="shared" si="24"/>
        <v>43.615787277623944</v>
      </c>
    </row>
    <row r="466" spans="1:13" hidden="1" outlineLevel="2">
      <c r="A466" s="172">
        <v>46082</v>
      </c>
      <c r="B466" s="1" t="s">
        <v>805</v>
      </c>
      <c r="C466" s="379">
        <v>888979337758</v>
      </c>
      <c r="D466" s="742" t="s">
        <v>45</v>
      </c>
      <c r="E466" s="743">
        <v>6.6</v>
      </c>
      <c r="F466" s="761"/>
      <c r="G466" s="761"/>
      <c r="H466" s="761">
        <v>15.172780032621477</v>
      </c>
      <c r="I466" s="761">
        <v>33.589500436217428</v>
      </c>
      <c r="J466" s="761"/>
      <c r="K466" s="761"/>
      <c r="L466" s="29"/>
      <c r="M466" s="29">
        <f t="shared" si="24"/>
        <v>48.762280468838902</v>
      </c>
    </row>
    <row r="467" spans="1:13" hidden="1" outlineLevel="2">
      <c r="A467" s="172">
        <v>46082</v>
      </c>
      <c r="B467" s="1" t="s">
        <v>809</v>
      </c>
      <c r="C467" s="379">
        <v>511467557336</v>
      </c>
      <c r="D467" s="742" t="s">
        <v>45</v>
      </c>
      <c r="E467" s="743">
        <v>15.8</v>
      </c>
      <c r="F467" s="761"/>
      <c r="G467" s="761"/>
      <c r="H467" s="761">
        <v>15.172780032621477</v>
      </c>
      <c r="I467" s="761">
        <v>56.350377422903314</v>
      </c>
      <c r="J467" s="761"/>
      <c r="K467" s="761"/>
      <c r="L467" s="29"/>
      <c r="M467" s="29">
        <f t="shared" si="24"/>
        <v>71.523157455524796</v>
      </c>
    </row>
    <row r="468" spans="1:13" hidden="1" outlineLevel="2">
      <c r="A468" s="172">
        <v>46082</v>
      </c>
      <c r="B468" s="1" t="s">
        <v>809</v>
      </c>
      <c r="C468" s="379">
        <v>511467561979</v>
      </c>
      <c r="D468" s="742" t="s">
        <v>45</v>
      </c>
      <c r="E468" s="743">
        <v>11.2</v>
      </c>
      <c r="F468" s="761"/>
      <c r="G468" s="761"/>
      <c r="H468" s="761">
        <v>15.172780032621477</v>
      </c>
      <c r="I468" s="761">
        <v>51.535333611500967</v>
      </c>
      <c r="J468" s="761"/>
      <c r="K468" s="761"/>
      <c r="L468" s="29"/>
      <c r="M468" s="29">
        <f t="shared" si="24"/>
        <v>66.708113644122449</v>
      </c>
    </row>
    <row r="469" spans="1:13" hidden="1" outlineLevel="2">
      <c r="A469" s="172">
        <v>46082</v>
      </c>
      <c r="B469" s="1" t="s">
        <v>522</v>
      </c>
      <c r="C469" s="379">
        <v>514097479372</v>
      </c>
      <c r="D469" s="742" t="s">
        <v>45</v>
      </c>
      <c r="E469" s="743">
        <v>152.5</v>
      </c>
      <c r="F469" s="761"/>
      <c r="G469" s="761"/>
      <c r="H469" s="761">
        <v>15.172780032621477</v>
      </c>
      <c r="I469" s="761">
        <v>334.34328414823807</v>
      </c>
      <c r="J469" s="761"/>
      <c r="K469" s="761"/>
      <c r="L469" s="29"/>
      <c r="M469" s="29">
        <f t="shared" si="24"/>
        <v>349.51606418085953</v>
      </c>
    </row>
    <row r="470" spans="1:13" hidden="1" outlineLevel="2">
      <c r="A470" s="172">
        <v>46082</v>
      </c>
      <c r="B470" s="1" t="s">
        <v>372</v>
      </c>
      <c r="C470" s="379">
        <v>472187351070</v>
      </c>
      <c r="D470" s="742" t="s">
        <v>45</v>
      </c>
      <c r="E470" s="743">
        <v>31.8</v>
      </c>
      <c r="F470" s="761"/>
      <c r="G470" s="761"/>
      <c r="H470" s="761">
        <v>15.172780032621477</v>
      </c>
      <c r="I470" s="761">
        <v>86.86568296476122</v>
      </c>
      <c r="J470" s="761"/>
      <c r="K470" s="761"/>
      <c r="L470" s="29"/>
      <c r="M470" s="29">
        <f t="shared" si="24"/>
        <v>102.03846299738269</v>
      </c>
    </row>
    <row r="471" spans="1:13" hidden="1" outlineLevel="2">
      <c r="A471" s="172">
        <v>46082</v>
      </c>
      <c r="B471" s="1" t="s">
        <v>805</v>
      </c>
      <c r="C471" s="379">
        <v>889132290156</v>
      </c>
      <c r="D471" s="742" t="s">
        <v>45</v>
      </c>
      <c r="E471" s="743">
        <v>2.7</v>
      </c>
      <c r="F471" s="761"/>
      <c r="G471" s="761"/>
      <c r="H471" s="761">
        <v>15.172780032621477</v>
      </c>
      <c r="I471" s="761">
        <v>21.670712741342033</v>
      </c>
      <c r="J471" s="761"/>
      <c r="K471" s="761"/>
      <c r="L471" s="29"/>
      <c r="M471" s="29">
        <f t="shared" si="24"/>
        <v>36.843492773963511</v>
      </c>
    </row>
    <row r="472" spans="1:13" hidden="1" outlineLevel="2">
      <c r="A472" s="172">
        <v>46082</v>
      </c>
      <c r="B472" s="1" t="s">
        <v>1616</v>
      </c>
      <c r="C472" s="379">
        <v>889127356555</v>
      </c>
      <c r="D472" s="742" t="s">
        <v>45</v>
      </c>
      <c r="E472" s="743">
        <v>141.9</v>
      </c>
      <c r="F472" s="761"/>
      <c r="G472" s="761"/>
      <c r="H472" s="761">
        <v>15.172780032621477</v>
      </c>
      <c r="I472" s="761">
        <v>461.52342297917534</v>
      </c>
      <c r="J472" s="761"/>
      <c r="K472" s="761"/>
      <c r="L472" s="29"/>
      <c r="M472" s="29">
        <f t="shared" si="24"/>
        <v>476.6962030117968</v>
      </c>
    </row>
    <row r="473" spans="1:13" hidden="1" outlineLevel="2">
      <c r="A473" s="172">
        <v>46082</v>
      </c>
      <c r="B473" s="1" t="s">
        <v>802</v>
      </c>
      <c r="C473" s="379">
        <v>399140641268</v>
      </c>
      <c r="D473" s="742" t="s">
        <v>45</v>
      </c>
      <c r="E473" s="743">
        <v>4.9000000000000004</v>
      </c>
      <c r="F473" s="761"/>
      <c r="G473" s="761"/>
      <c r="H473" s="761">
        <v>15.172780032621477</v>
      </c>
      <c r="I473" s="761">
        <v>35.509160565944697</v>
      </c>
      <c r="J473" s="761"/>
      <c r="K473" s="761"/>
      <c r="L473" s="29"/>
      <c r="M473" s="29">
        <f t="shared" si="24"/>
        <v>50.681940598566172</v>
      </c>
    </row>
    <row r="474" spans="1:13" hidden="1" outlineLevel="2">
      <c r="A474" s="172">
        <v>46082</v>
      </c>
      <c r="B474" s="1" t="s">
        <v>802</v>
      </c>
      <c r="C474" s="379">
        <v>399101025691</v>
      </c>
      <c r="D474" s="742" t="s">
        <v>45</v>
      </c>
      <c r="E474" s="743">
        <v>6.9</v>
      </c>
      <c r="F474" s="761"/>
      <c r="G474" s="761"/>
      <c r="H474" s="761">
        <v>15.172780032621477</v>
      </c>
      <c r="I474" s="761">
        <v>26.854530971437242</v>
      </c>
      <c r="J474" s="761"/>
      <c r="K474" s="761"/>
      <c r="L474" s="29"/>
      <c r="M474" s="29">
        <f t="shared" si="24"/>
        <v>42.027311004058717</v>
      </c>
    </row>
    <row r="475" spans="1:13" hidden="1" outlineLevel="2">
      <c r="A475" s="172">
        <v>46082</v>
      </c>
      <c r="B475" s="1" t="s">
        <v>802</v>
      </c>
      <c r="C475" s="379">
        <v>399138514228</v>
      </c>
      <c r="D475" s="742" t="s">
        <v>45</v>
      </c>
      <c r="E475" s="743">
        <v>76.900000000000006</v>
      </c>
      <c r="F475" s="761"/>
      <c r="G475" s="761"/>
      <c r="H475" s="761">
        <v>15.172780032621477</v>
      </c>
      <c r="I475" s="761">
        <v>227.62435989834236</v>
      </c>
      <c r="J475" s="761"/>
      <c r="K475" s="761"/>
      <c r="L475" s="29"/>
      <c r="M475" s="29">
        <f t="shared" si="24"/>
        <v>242.79713993096385</v>
      </c>
    </row>
    <row r="476" spans="1:13" hidden="1" outlineLevel="2">
      <c r="A476" s="172">
        <v>46082</v>
      </c>
      <c r="B476" s="1" t="s">
        <v>810</v>
      </c>
      <c r="C476" s="379">
        <v>510007307572</v>
      </c>
      <c r="D476" s="742" t="s">
        <v>45</v>
      </c>
      <c r="E476" s="743">
        <v>31.3</v>
      </c>
      <c r="F476" s="761"/>
      <c r="G476" s="761"/>
      <c r="H476" s="761">
        <v>15.172780032621477</v>
      </c>
      <c r="I476" s="761">
        <v>89.988544551075364</v>
      </c>
      <c r="J476" s="761"/>
      <c r="K476" s="761"/>
      <c r="L476" s="29"/>
      <c r="M476" s="29">
        <f t="shared" si="24"/>
        <v>105.16132458369684</v>
      </c>
    </row>
    <row r="477" spans="1:13" hidden="1" outlineLevel="2">
      <c r="A477" s="172">
        <v>46082</v>
      </c>
      <c r="B477" s="1" t="s">
        <v>1619</v>
      </c>
      <c r="C477" s="379">
        <v>494056010010</v>
      </c>
      <c r="D477" s="742" t="s">
        <v>45</v>
      </c>
      <c r="E477" s="743">
        <v>27.4</v>
      </c>
      <c r="F477" s="761"/>
      <c r="G477" s="761"/>
      <c r="H477" s="761">
        <v>15.172780032621477</v>
      </c>
      <c r="I477" s="761">
        <v>84.571520691878774</v>
      </c>
      <c r="J477" s="761"/>
      <c r="K477" s="761"/>
      <c r="L477" s="29"/>
      <c r="M477" s="29">
        <f t="shared" si="24"/>
        <v>99.744300724500249</v>
      </c>
    </row>
    <row r="478" spans="1:13" hidden="1" outlineLevel="2">
      <c r="A478" s="172">
        <v>46082</v>
      </c>
      <c r="B478" s="1" t="s">
        <v>804</v>
      </c>
      <c r="C478" s="379">
        <v>399195056856</v>
      </c>
      <c r="D478" s="742" t="s">
        <v>45</v>
      </c>
      <c r="E478" s="743">
        <v>24</v>
      </c>
      <c r="F478" s="761"/>
      <c r="G478" s="761"/>
      <c r="H478" s="761">
        <v>15.172780032621477</v>
      </c>
      <c r="I478" s="761">
        <v>65.772104843910029</v>
      </c>
      <c r="J478" s="761"/>
      <c r="K478" s="761"/>
      <c r="L478" s="29"/>
      <c r="M478" s="29">
        <f t="shared" si="24"/>
        <v>80.944884876531503</v>
      </c>
    </row>
    <row r="479" spans="1:13" hidden="1" outlineLevel="2">
      <c r="A479" s="172">
        <v>46082</v>
      </c>
      <c r="B479" s="1" t="s">
        <v>813</v>
      </c>
      <c r="C479" s="379">
        <v>481663283258</v>
      </c>
      <c r="D479" s="742" t="s">
        <v>45</v>
      </c>
      <c r="E479" s="743">
        <v>43.4</v>
      </c>
      <c r="F479" s="761"/>
      <c r="G479" s="761"/>
      <c r="H479" s="761">
        <v>15.172780032621477</v>
      </c>
      <c r="I479" s="761">
        <v>104.79896066456777</v>
      </c>
      <c r="J479" s="761"/>
      <c r="K479" s="761"/>
      <c r="L479" s="29"/>
      <c r="M479" s="29">
        <f t="shared" si="24"/>
        <v>119.97174069718925</v>
      </c>
    </row>
    <row r="480" spans="1:13" hidden="1" outlineLevel="2">
      <c r="A480" s="172">
        <v>46082</v>
      </c>
      <c r="B480" s="1" t="s">
        <v>809</v>
      </c>
      <c r="C480" s="379">
        <v>511467597513</v>
      </c>
      <c r="D480" s="742" t="s">
        <v>45</v>
      </c>
      <c r="E480" s="743">
        <v>50</v>
      </c>
      <c r="F480" s="761"/>
      <c r="G480" s="761"/>
      <c r="H480" s="761">
        <v>15.172780032621477</v>
      </c>
      <c r="I480" s="761">
        <v>161.88449721200166</v>
      </c>
      <c r="J480" s="761"/>
      <c r="K480" s="761"/>
      <c r="L480" s="29"/>
      <c r="M480" s="29">
        <f t="shared" si="24"/>
        <v>177.05727724462315</v>
      </c>
    </row>
    <row r="481" spans="1:13" hidden="1" outlineLevel="2">
      <c r="A481" s="172">
        <v>46082</v>
      </c>
      <c r="B481" s="1" t="s">
        <v>805</v>
      </c>
      <c r="C481" s="379">
        <v>889353175250</v>
      </c>
      <c r="D481" s="742" t="s">
        <v>45</v>
      </c>
      <c r="E481" s="743">
        <v>4.0999999999999996</v>
      </c>
      <c r="F481" s="761"/>
      <c r="G481" s="761"/>
      <c r="H481" s="761">
        <v>15.172780032621477</v>
      </c>
      <c r="I481" s="761">
        <v>26.225164055684104</v>
      </c>
      <c r="J481" s="761"/>
      <c r="K481" s="761"/>
      <c r="L481" s="29"/>
      <c r="M481" s="29">
        <f t="shared" si="24"/>
        <v>41.397944088305579</v>
      </c>
    </row>
    <row r="482" spans="1:13" hidden="1" outlineLevel="2">
      <c r="A482" s="172">
        <v>46082</v>
      </c>
      <c r="B482" s="1" t="s">
        <v>648</v>
      </c>
      <c r="C482" s="379">
        <v>889349051614</v>
      </c>
      <c r="D482" s="742" t="s">
        <v>45</v>
      </c>
      <c r="E482" s="743">
        <v>5.4</v>
      </c>
      <c r="F482" s="761"/>
      <c r="G482" s="761"/>
      <c r="H482" s="761">
        <v>15.172780032621477</v>
      </c>
      <c r="I482" s="761">
        <v>30.284944809012632</v>
      </c>
      <c r="J482" s="761"/>
      <c r="K482" s="761"/>
      <c r="L482" s="29"/>
      <c r="M482" s="29">
        <f t="shared" si="24"/>
        <v>45.457724841634111</v>
      </c>
    </row>
    <row r="483" spans="1:13" hidden="1" outlineLevel="2">
      <c r="A483" s="172">
        <v>46082</v>
      </c>
      <c r="B483" s="1" t="s">
        <v>809</v>
      </c>
      <c r="C483" s="379">
        <v>511467604633</v>
      </c>
      <c r="D483" s="742" t="s">
        <v>45</v>
      </c>
      <c r="E483" s="743">
        <v>53.4</v>
      </c>
      <c r="F483" s="761"/>
      <c r="G483" s="761"/>
      <c r="H483" s="761">
        <v>15.172780032621477</v>
      </c>
      <c r="I483" s="761">
        <v>178.4788908697796</v>
      </c>
      <c r="J483" s="761"/>
      <c r="K483" s="761"/>
      <c r="L483" s="29"/>
      <c r="M483" s="29">
        <f t="shared" si="24"/>
        <v>193.65167090240109</v>
      </c>
    </row>
    <row r="484" spans="1:13" hidden="1" outlineLevel="2">
      <c r="A484" s="172">
        <v>46082</v>
      </c>
      <c r="B484" s="1" t="s">
        <v>522</v>
      </c>
      <c r="C484" s="379">
        <v>514097480505</v>
      </c>
      <c r="D484" s="742" t="s">
        <v>45</v>
      </c>
      <c r="E484" s="743">
        <v>16.5</v>
      </c>
      <c r="F484" s="761"/>
      <c r="G484" s="761"/>
      <c r="H484" s="761">
        <v>15.172780032621477</v>
      </c>
      <c r="I484" s="761">
        <v>48.799984827219966</v>
      </c>
      <c r="J484" s="761"/>
      <c r="K484" s="761"/>
      <c r="L484" s="29"/>
      <c r="M484" s="29">
        <f t="shared" si="24"/>
        <v>63.97276485984144</v>
      </c>
    </row>
    <row r="485" spans="1:13" hidden="1" outlineLevel="2">
      <c r="A485" s="172">
        <v>46082</v>
      </c>
      <c r="B485" s="1" t="s">
        <v>804</v>
      </c>
      <c r="C485" s="379">
        <v>399361392378</v>
      </c>
      <c r="D485" s="742" t="s">
        <v>45</v>
      </c>
      <c r="E485" s="743">
        <v>5.4</v>
      </c>
      <c r="F485" s="761"/>
      <c r="G485" s="761"/>
      <c r="H485" s="761">
        <v>15.172780032621477</v>
      </c>
      <c r="I485" s="761">
        <v>30.284944809012632</v>
      </c>
      <c r="J485" s="761"/>
      <c r="K485" s="761"/>
      <c r="L485" s="29"/>
      <c r="M485" s="29">
        <f t="shared" si="24"/>
        <v>45.457724841634111</v>
      </c>
    </row>
    <row r="486" spans="1:13" hidden="1" outlineLevel="2">
      <c r="A486" s="172">
        <v>46082</v>
      </c>
      <c r="B486" s="1" t="s">
        <v>815</v>
      </c>
      <c r="C486" s="379">
        <v>889352828165</v>
      </c>
      <c r="D486" s="742" t="s">
        <v>45</v>
      </c>
      <c r="E486" s="743">
        <v>13.4</v>
      </c>
      <c r="F486" s="761"/>
      <c r="G486" s="761"/>
      <c r="H486" s="761">
        <v>15.172780032621477</v>
      </c>
      <c r="I486" s="761">
        <v>51.106437051928843</v>
      </c>
      <c r="J486" s="761"/>
      <c r="K486" s="761"/>
      <c r="L486" s="29"/>
      <c r="M486" s="29">
        <f t="shared" si="24"/>
        <v>66.279217084550325</v>
      </c>
    </row>
    <row r="487" spans="1:13" hidden="1" outlineLevel="2">
      <c r="A487" s="172">
        <v>46082</v>
      </c>
      <c r="B487" s="1" t="s">
        <v>804</v>
      </c>
      <c r="C487" s="379">
        <v>399377583654</v>
      </c>
      <c r="D487" s="742" t="s">
        <v>45</v>
      </c>
      <c r="E487" s="743">
        <v>24.1</v>
      </c>
      <c r="F487" s="761"/>
      <c r="G487" s="761"/>
      <c r="H487" s="761">
        <v>15.172780032621477</v>
      </c>
      <c r="I487" s="761">
        <v>68.512574441452031</v>
      </c>
      <c r="J487" s="761"/>
      <c r="K487" s="761"/>
      <c r="L487" s="29"/>
      <c r="M487" s="29">
        <f t="shared" ref="M487:M518" si="25">SUM(G487:L487)</f>
        <v>83.685354474073506</v>
      </c>
    </row>
    <row r="488" spans="1:13" hidden="1" outlineLevel="2">
      <c r="A488" s="172">
        <v>46082</v>
      </c>
      <c r="B488" s="1" t="s">
        <v>648</v>
      </c>
      <c r="C488" s="379">
        <v>889403930894</v>
      </c>
      <c r="D488" s="742" t="s">
        <v>45</v>
      </c>
      <c r="E488" s="743">
        <v>51.4</v>
      </c>
      <c r="F488" s="761"/>
      <c r="G488" s="761"/>
      <c r="H488" s="761">
        <v>15.172780032621477</v>
      </c>
      <c r="I488" s="761">
        <v>146.29977620149452</v>
      </c>
      <c r="J488" s="761"/>
      <c r="K488" s="761"/>
      <c r="L488" s="29"/>
      <c r="M488" s="29">
        <f t="shared" si="25"/>
        <v>161.47255623411601</v>
      </c>
    </row>
    <row r="489" spans="1:13" hidden="1" outlineLevel="2">
      <c r="A489" s="172">
        <v>46082</v>
      </c>
      <c r="B489" s="1" t="s">
        <v>813</v>
      </c>
      <c r="C489" s="379">
        <v>481663283523</v>
      </c>
      <c r="D489" s="742" t="s">
        <v>45</v>
      </c>
      <c r="E489" s="743">
        <v>26.4</v>
      </c>
      <c r="F489" s="761"/>
      <c r="G489" s="761"/>
      <c r="H489" s="761">
        <v>15.172780032621477</v>
      </c>
      <c r="I489" s="761">
        <v>76.646815612790647</v>
      </c>
      <c r="J489" s="761"/>
      <c r="K489" s="761"/>
      <c r="L489" s="29"/>
      <c r="M489" s="29">
        <f t="shared" si="25"/>
        <v>91.819595645412122</v>
      </c>
    </row>
    <row r="490" spans="1:13" hidden="1" outlineLevel="2">
      <c r="A490" s="172">
        <v>46082</v>
      </c>
      <c r="B490" s="1" t="s">
        <v>802</v>
      </c>
      <c r="C490" s="379">
        <v>399363032940</v>
      </c>
      <c r="D490" s="742" t="s">
        <v>45</v>
      </c>
      <c r="E490" s="743">
        <v>6.9</v>
      </c>
      <c r="F490" s="761"/>
      <c r="G490" s="761"/>
      <c r="H490" s="761">
        <v>15.172780032621477</v>
      </c>
      <c r="I490" s="761">
        <v>27.111292341539279</v>
      </c>
      <c r="J490" s="761"/>
      <c r="K490" s="761"/>
      <c r="L490" s="29"/>
      <c r="M490" s="29">
        <f t="shared" si="25"/>
        <v>42.284072374160758</v>
      </c>
    </row>
    <row r="491" spans="1:13" hidden="1" outlineLevel="2">
      <c r="A491" s="172">
        <v>46082</v>
      </c>
      <c r="B491" s="1" t="s">
        <v>802</v>
      </c>
      <c r="C491" s="379">
        <v>399403089958</v>
      </c>
      <c r="D491" s="742" t="s">
        <v>45</v>
      </c>
      <c r="E491" s="743">
        <v>2.2000000000000002</v>
      </c>
      <c r="F491" s="761"/>
      <c r="G491" s="761"/>
      <c r="H491" s="761">
        <v>15.172780032621477</v>
      </c>
      <c r="I491" s="761">
        <v>24.050942608959527</v>
      </c>
      <c r="J491" s="761"/>
      <c r="K491" s="761"/>
      <c r="L491" s="29"/>
      <c r="M491" s="29">
        <f t="shared" si="25"/>
        <v>39.223722641581006</v>
      </c>
    </row>
    <row r="492" spans="1:13" hidden="1" outlineLevel="2">
      <c r="A492" s="172">
        <v>46082</v>
      </c>
      <c r="B492" s="1" t="s">
        <v>807</v>
      </c>
      <c r="C492" s="379">
        <v>889499034560</v>
      </c>
      <c r="D492" s="742" t="s">
        <v>45</v>
      </c>
      <c r="E492" s="743">
        <v>12.1</v>
      </c>
      <c r="F492" s="761"/>
      <c r="G492" s="761"/>
      <c r="H492" s="761">
        <v>15.172780032621477</v>
      </c>
      <c r="I492" s="761">
        <v>42.666691954633386</v>
      </c>
      <c r="J492" s="761"/>
      <c r="K492" s="761"/>
      <c r="L492" s="29"/>
      <c r="M492" s="29">
        <f t="shared" si="25"/>
        <v>57.839471987254861</v>
      </c>
    </row>
    <row r="493" spans="1:13" hidden="1" outlineLevel="2">
      <c r="A493" s="172">
        <v>46082</v>
      </c>
      <c r="B493" s="1" t="s">
        <v>802</v>
      </c>
      <c r="C493" s="379">
        <v>399411541381</v>
      </c>
      <c r="D493" s="742" t="s">
        <v>45</v>
      </c>
      <c r="E493" s="743">
        <v>3.8</v>
      </c>
      <c r="F493" s="761"/>
      <c r="G493" s="761"/>
      <c r="H493" s="761">
        <v>15.172780032621477</v>
      </c>
      <c r="I493" s="761">
        <v>31.33323218146645</v>
      </c>
      <c r="J493" s="761"/>
      <c r="K493" s="761"/>
      <c r="L493" s="29"/>
      <c r="M493" s="29">
        <f t="shared" si="25"/>
        <v>46.506012214087924</v>
      </c>
    </row>
    <row r="494" spans="1:13" hidden="1" outlineLevel="2">
      <c r="A494" s="172">
        <v>46082</v>
      </c>
      <c r="B494" s="1" t="s">
        <v>806</v>
      </c>
      <c r="C494" s="379">
        <v>515819752584</v>
      </c>
      <c r="D494" s="742" t="s">
        <v>45</v>
      </c>
      <c r="E494" s="743">
        <v>11.7</v>
      </c>
      <c r="F494" s="761"/>
      <c r="G494" s="761"/>
      <c r="H494" s="761">
        <v>15.172780032621477</v>
      </c>
      <c r="I494" s="761">
        <v>46.906952926449947</v>
      </c>
      <c r="J494" s="761"/>
      <c r="K494" s="761"/>
      <c r="L494" s="29"/>
      <c r="M494" s="29">
        <f t="shared" si="25"/>
        <v>62.079732959071421</v>
      </c>
    </row>
    <row r="495" spans="1:13" hidden="1" outlineLevel="2">
      <c r="A495" s="172">
        <v>46082</v>
      </c>
      <c r="B495" s="1" t="s">
        <v>648</v>
      </c>
      <c r="C495" s="379">
        <v>889499790607</v>
      </c>
      <c r="D495" s="742" t="s">
        <v>45</v>
      </c>
      <c r="E495" s="743">
        <v>49.7</v>
      </c>
      <c r="F495" s="761"/>
      <c r="G495" s="761"/>
      <c r="H495" s="761">
        <v>15.172780032621477</v>
      </c>
      <c r="I495" s="761">
        <v>140.67287486249668</v>
      </c>
      <c r="J495" s="761"/>
      <c r="K495" s="761"/>
      <c r="L495" s="29"/>
      <c r="M495" s="29">
        <f t="shared" si="25"/>
        <v>155.84565489511817</v>
      </c>
    </row>
    <row r="496" spans="1:13" hidden="1" outlineLevel="2">
      <c r="A496" s="172">
        <v>46082</v>
      </c>
      <c r="B496" s="1" t="s">
        <v>804</v>
      </c>
      <c r="C496" s="379">
        <v>399542902160</v>
      </c>
      <c r="D496" s="742" t="s">
        <v>45</v>
      </c>
      <c r="E496" s="743">
        <v>7.8</v>
      </c>
      <c r="F496" s="761"/>
      <c r="G496" s="761"/>
      <c r="H496" s="761">
        <v>15.172780032621477</v>
      </c>
      <c r="I496" s="761">
        <v>36.671661040094072</v>
      </c>
      <c r="J496" s="761"/>
      <c r="K496" s="761"/>
      <c r="L496" s="29"/>
      <c r="M496" s="29">
        <f t="shared" si="25"/>
        <v>51.844441072715547</v>
      </c>
    </row>
    <row r="497" spans="1:13" hidden="1" outlineLevel="2">
      <c r="A497" s="172">
        <v>46082</v>
      </c>
      <c r="B497" s="1" t="s">
        <v>815</v>
      </c>
      <c r="C497" s="379">
        <v>889536923360</v>
      </c>
      <c r="D497" s="742" t="s">
        <v>45</v>
      </c>
      <c r="E497" s="743">
        <v>4.7</v>
      </c>
      <c r="F497" s="761"/>
      <c r="G497" s="761"/>
      <c r="H497" s="761">
        <v>15.172780032621477</v>
      </c>
      <c r="I497" s="761">
        <v>24.695634032545613</v>
      </c>
      <c r="J497" s="761"/>
      <c r="K497" s="761"/>
      <c r="L497" s="29"/>
      <c r="M497" s="29">
        <f t="shared" si="25"/>
        <v>39.868414065167087</v>
      </c>
    </row>
    <row r="498" spans="1:13" hidden="1" outlineLevel="2">
      <c r="A498" s="172">
        <v>46082</v>
      </c>
      <c r="B498" s="1" t="s">
        <v>648</v>
      </c>
      <c r="C498" s="379">
        <v>889572342563</v>
      </c>
      <c r="D498" s="742" t="s">
        <v>45</v>
      </c>
      <c r="E498" s="743">
        <v>2.9</v>
      </c>
      <c r="F498" s="761"/>
      <c r="G498" s="761"/>
      <c r="H498" s="761">
        <v>15.172780032621477</v>
      </c>
      <c r="I498" s="761">
        <v>22.085081364032924</v>
      </c>
      <c r="J498" s="761"/>
      <c r="K498" s="761"/>
      <c r="L498" s="29"/>
      <c r="M498" s="29">
        <f t="shared" si="25"/>
        <v>37.257861396654398</v>
      </c>
    </row>
    <row r="499" spans="1:13" hidden="1" outlineLevel="2">
      <c r="A499" s="172">
        <v>46082</v>
      </c>
      <c r="B499" s="1" t="s">
        <v>956</v>
      </c>
      <c r="C499" s="379">
        <v>471797725763</v>
      </c>
      <c r="D499" s="742" t="s">
        <v>45</v>
      </c>
      <c r="E499" s="743">
        <v>19.7</v>
      </c>
      <c r="F499" s="761"/>
      <c r="G499" s="761"/>
      <c r="H499" s="761">
        <v>15.172780032621477</v>
      </c>
      <c r="I499" s="761">
        <v>59.930736259151082</v>
      </c>
      <c r="J499" s="761"/>
      <c r="K499" s="761"/>
      <c r="L499" s="29"/>
      <c r="M499" s="29">
        <f t="shared" si="25"/>
        <v>75.103516291772564</v>
      </c>
    </row>
    <row r="500" spans="1:13" hidden="1" outlineLevel="2">
      <c r="A500" s="172">
        <v>46082</v>
      </c>
      <c r="B500" s="1" t="s">
        <v>809</v>
      </c>
      <c r="C500" s="379">
        <v>511467654741</v>
      </c>
      <c r="D500" s="742" t="s">
        <v>45</v>
      </c>
      <c r="E500" s="743">
        <v>11.2</v>
      </c>
      <c r="F500" s="761"/>
      <c r="G500" s="761"/>
      <c r="H500" s="761">
        <v>15.172780032621477</v>
      </c>
      <c r="I500" s="761">
        <v>54.589993551568483</v>
      </c>
      <c r="J500" s="761"/>
      <c r="K500" s="761"/>
      <c r="L500" s="29"/>
      <c r="M500" s="29">
        <f t="shared" si="25"/>
        <v>69.762773584189958</v>
      </c>
    </row>
    <row r="501" spans="1:13" hidden="1" outlineLevel="2">
      <c r="A501" s="172">
        <v>46082</v>
      </c>
      <c r="B501" s="1" t="s">
        <v>380</v>
      </c>
      <c r="C501" s="379">
        <v>515819778919</v>
      </c>
      <c r="D501" s="742" t="s">
        <v>45</v>
      </c>
      <c r="E501" s="743">
        <v>2.2000000000000002</v>
      </c>
      <c r="F501" s="761"/>
      <c r="G501" s="761"/>
      <c r="H501" s="761">
        <v>15.172780032621477</v>
      </c>
      <c r="I501" s="761">
        <v>24.998520653946819</v>
      </c>
      <c r="J501" s="761"/>
      <c r="K501" s="761"/>
      <c r="L501" s="29"/>
      <c r="M501" s="29">
        <f t="shared" si="25"/>
        <v>40.171300686568294</v>
      </c>
    </row>
    <row r="502" spans="1:13" hidden="1" outlineLevel="2">
      <c r="A502" s="172">
        <v>46082</v>
      </c>
      <c r="B502" s="1" t="s">
        <v>380</v>
      </c>
      <c r="C502" s="379">
        <v>515819777875</v>
      </c>
      <c r="D502" s="742" t="s">
        <v>45</v>
      </c>
      <c r="E502" s="743">
        <v>2.2000000000000002</v>
      </c>
      <c r="F502" s="761"/>
      <c r="G502" s="761"/>
      <c r="H502" s="761">
        <v>15.172780032621477</v>
      </c>
      <c r="I502" s="761">
        <v>24.998520653946819</v>
      </c>
      <c r="J502" s="761"/>
      <c r="K502" s="761"/>
      <c r="L502" s="29"/>
      <c r="M502" s="29">
        <f t="shared" si="25"/>
        <v>40.171300686568294</v>
      </c>
    </row>
    <row r="503" spans="1:13" hidden="1" outlineLevel="2">
      <c r="A503" s="172">
        <v>46082</v>
      </c>
      <c r="B503" s="1" t="s">
        <v>812</v>
      </c>
      <c r="C503" s="379">
        <v>430998658720</v>
      </c>
      <c r="D503" s="742" t="s">
        <v>45</v>
      </c>
      <c r="E503" s="743">
        <v>1.2</v>
      </c>
      <c r="F503" s="761"/>
      <c r="G503" s="761"/>
      <c r="H503" s="761">
        <v>15.172780032621477</v>
      </c>
      <c r="I503" s="761">
        <v>23.023252285399991</v>
      </c>
      <c r="J503" s="761"/>
      <c r="K503" s="761"/>
      <c r="L503" s="29"/>
      <c r="M503" s="29">
        <f t="shared" si="25"/>
        <v>38.196032318021466</v>
      </c>
    </row>
    <row r="504" spans="1:13" hidden="1" outlineLevel="2">
      <c r="A504" s="172">
        <v>46082</v>
      </c>
      <c r="B504" s="1" t="s">
        <v>810</v>
      </c>
      <c r="C504" s="379">
        <v>510007317632</v>
      </c>
      <c r="D504" s="742" t="s">
        <v>45</v>
      </c>
      <c r="E504" s="743">
        <v>25.2</v>
      </c>
      <c r="F504" s="761"/>
      <c r="G504" s="761"/>
      <c r="H504" s="761">
        <v>15.172780032621477</v>
      </c>
      <c r="I504" s="761">
        <v>76.716041421689482</v>
      </c>
      <c r="J504" s="761"/>
      <c r="K504" s="761"/>
      <c r="L504" s="29"/>
      <c r="M504" s="29">
        <f t="shared" si="25"/>
        <v>91.888821454310957</v>
      </c>
    </row>
    <row r="505" spans="1:13" hidden="1" outlineLevel="2">
      <c r="A505" s="172">
        <v>46082</v>
      </c>
      <c r="B505" s="1" t="s">
        <v>813</v>
      </c>
      <c r="C505" s="379">
        <v>481663283887</v>
      </c>
      <c r="D505" s="742" t="s">
        <v>45</v>
      </c>
      <c r="E505" s="743">
        <v>28.8</v>
      </c>
      <c r="F505" s="761"/>
      <c r="G505" s="761"/>
      <c r="H505" s="761">
        <v>15.172780032621477</v>
      </c>
      <c r="I505" s="761">
        <v>85.567955088571097</v>
      </c>
      <c r="J505" s="761"/>
      <c r="K505" s="761"/>
      <c r="L505" s="29"/>
      <c r="M505" s="29">
        <f t="shared" si="25"/>
        <v>100.74073512119257</v>
      </c>
    </row>
    <row r="506" spans="1:13" hidden="1" outlineLevel="2">
      <c r="A506" s="172">
        <v>46082</v>
      </c>
      <c r="B506" s="1" t="s">
        <v>327</v>
      </c>
      <c r="C506" s="379" t="s">
        <v>1624</v>
      </c>
      <c r="D506" s="742" t="str">
        <f>VLOOKUP(C506,[1]Material!F:J,5,0)</f>
        <v>VVMV(sea)</v>
      </c>
      <c r="E506" s="743">
        <f>_xlfn.XLOOKUP(C506,[1]Material!$F:$F,[1]Material!$D:$D)</f>
        <v>1352.5</v>
      </c>
      <c r="F506" s="761"/>
      <c r="G506" s="761">
        <v>117.58904525281645</v>
      </c>
      <c r="H506" s="761">
        <v>15.172780032621477</v>
      </c>
      <c r="I506" s="761">
        <v>1103.4269696165081</v>
      </c>
      <c r="J506" s="761"/>
      <c r="K506" s="761">
        <v>94.838978871903805</v>
      </c>
      <c r="L506" s="29"/>
      <c r="M506" s="29">
        <f t="shared" si="25"/>
        <v>1331.0277737738497</v>
      </c>
    </row>
    <row r="507" spans="1:13" hidden="1" outlineLevel="2">
      <c r="A507" s="172">
        <v>46082</v>
      </c>
      <c r="B507" s="1" t="s">
        <v>328</v>
      </c>
      <c r="C507" s="379" t="s">
        <v>1625</v>
      </c>
      <c r="D507" s="742" t="str">
        <f>VLOOKUP(C507,[1]Material!F:J,5,0)</f>
        <v>VVMV(sea)</v>
      </c>
      <c r="E507" s="743">
        <f>_xlfn.XLOOKUP(C507,[1]Material!$F:$F,[1]Material!$D:$D)</f>
        <v>123</v>
      </c>
      <c r="F507" s="761"/>
      <c r="G507" s="761">
        <v>37.931950081553694</v>
      </c>
      <c r="H507" s="761">
        <v>15.172780032621477</v>
      </c>
      <c r="I507" s="761">
        <v>580.93919508401927</v>
      </c>
      <c r="J507" s="761"/>
      <c r="K507" s="761">
        <v>34.739597162690131</v>
      </c>
      <c r="L507" s="29"/>
      <c r="M507" s="29">
        <f t="shared" si="25"/>
        <v>668.78352236088449</v>
      </c>
    </row>
    <row r="508" spans="1:13" hidden="1" outlineLevel="2">
      <c r="A508" s="172">
        <v>46082</v>
      </c>
      <c r="B508" s="1" t="s">
        <v>617</v>
      </c>
      <c r="C508" s="379" t="s">
        <v>1626</v>
      </c>
      <c r="D508" s="742" t="str">
        <f>VLOOKUP(C508,[1]Material!F:J,5,0)</f>
        <v>VVMV(sea)</v>
      </c>
      <c r="E508" s="743">
        <f>_xlfn.XLOOKUP(C508,[1]Material!$F:$F,[1]Material!$D:$D)</f>
        <v>251.52</v>
      </c>
      <c r="F508" s="761"/>
      <c r="G508" s="761">
        <v>0</v>
      </c>
      <c r="H508" s="761">
        <v>15.172780032621477</v>
      </c>
      <c r="I508" s="761">
        <v>74.479383985130681</v>
      </c>
      <c r="J508" s="761"/>
      <c r="K508" s="761">
        <v>24.211205098054091</v>
      </c>
      <c r="L508" s="29"/>
      <c r="M508" s="29">
        <f t="shared" si="25"/>
        <v>113.86336911580625</v>
      </c>
    </row>
    <row r="509" spans="1:13" hidden="1" outlineLevel="2">
      <c r="A509" s="172">
        <v>46082</v>
      </c>
      <c r="B509" s="1" t="s">
        <v>1689</v>
      </c>
      <c r="C509" s="379" t="s">
        <v>1627</v>
      </c>
      <c r="D509" s="742" t="str">
        <f>VLOOKUP(C509,[1]Material!F:J,5,0)</f>
        <v>DIMERCO</v>
      </c>
      <c r="E509" s="743">
        <f>_xlfn.XLOOKUP(C509,[1]Material!$F:$F,[1]Material!$D:$D)</f>
        <v>157</v>
      </c>
      <c r="F509" s="761"/>
      <c r="G509" s="761">
        <v>0</v>
      </c>
      <c r="H509" s="761">
        <v>37.93</v>
      </c>
      <c r="I509" s="761">
        <v>0</v>
      </c>
      <c r="J509" s="761"/>
      <c r="K509" s="761">
        <v>0</v>
      </c>
      <c r="L509" s="29"/>
      <c r="M509" s="29">
        <f t="shared" si="25"/>
        <v>37.93</v>
      </c>
    </row>
    <row r="510" spans="1:13" hidden="1" outlineLevel="2">
      <c r="A510" s="172">
        <v>46082</v>
      </c>
      <c r="B510" s="1" t="s">
        <v>947</v>
      </c>
      <c r="C510" s="379">
        <v>500292465318</v>
      </c>
      <c r="D510" s="742" t="str">
        <f>VLOOKUP(C510,[1]Material!F:J,5,0)</f>
        <v>Fedex</v>
      </c>
      <c r="E510" s="743">
        <f>_xlfn.XLOOKUP(C510,[1]Material!$F:$F,[1]Material!$D:$D)</f>
        <v>0.5</v>
      </c>
      <c r="F510" s="761"/>
      <c r="G510" s="761">
        <v>0</v>
      </c>
      <c r="H510" s="761">
        <v>15.172780032621477</v>
      </c>
      <c r="I510" s="761">
        <v>0</v>
      </c>
      <c r="J510" s="761"/>
      <c r="K510" s="761">
        <v>0</v>
      </c>
      <c r="L510" s="29"/>
      <c r="M510" s="29">
        <f t="shared" si="25"/>
        <v>15.172780032621477</v>
      </c>
    </row>
    <row r="511" spans="1:13" hidden="1" outlineLevel="2">
      <c r="A511" s="172">
        <v>46082</v>
      </c>
      <c r="B511" s="1" t="s">
        <v>945</v>
      </c>
      <c r="C511" s="379">
        <v>500292463072</v>
      </c>
      <c r="D511" s="742" t="str">
        <f>VLOOKUP(C511,[1]Material!F:J,5,0)</f>
        <v>Fedex</v>
      </c>
      <c r="E511" s="743">
        <f>_xlfn.XLOOKUP(C511,[1]Material!$F:$F,[1]Material!$D:$D)</f>
        <v>0.5</v>
      </c>
      <c r="F511" s="761"/>
      <c r="G511" s="761">
        <v>0</v>
      </c>
      <c r="H511" s="761">
        <v>15.172780032621477</v>
      </c>
      <c r="I511" s="761">
        <v>0</v>
      </c>
      <c r="J511" s="761"/>
      <c r="K511" s="761">
        <v>0</v>
      </c>
      <c r="L511" s="29"/>
      <c r="M511" s="29">
        <f t="shared" si="25"/>
        <v>15.172780032621477</v>
      </c>
    </row>
    <row r="512" spans="1:13" hidden="1" outlineLevel="2">
      <c r="A512" s="172">
        <v>46082</v>
      </c>
      <c r="B512" s="1" t="s">
        <v>938</v>
      </c>
      <c r="C512" s="379">
        <v>513464788746</v>
      </c>
      <c r="D512" s="742" t="str">
        <f>VLOOKUP(C512,[1]Material!F:J,5,0)</f>
        <v>Fedex</v>
      </c>
      <c r="E512" s="743">
        <f>_xlfn.XLOOKUP(C512,[1]Material!$F:$F,[1]Material!$D:$D)</f>
        <v>129</v>
      </c>
      <c r="F512" s="761"/>
      <c r="G512" s="761">
        <v>0</v>
      </c>
      <c r="H512" s="761">
        <v>15.172780032621477</v>
      </c>
      <c r="I512" s="761">
        <v>0</v>
      </c>
      <c r="J512" s="761"/>
      <c r="K512" s="761">
        <v>0</v>
      </c>
      <c r="L512" s="29"/>
      <c r="M512" s="29">
        <f t="shared" si="25"/>
        <v>15.172780032621477</v>
      </c>
    </row>
    <row r="513" spans="1:13" hidden="1" outlineLevel="2">
      <c r="A513" s="172">
        <v>46082</v>
      </c>
      <c r="B513" s="1" t="s">
        <v>938</v>
      </c>
      <c r="C513" s="379">
        <v>513464803603</v>
      </c>
      <c r="D513" s="742" t="str">
        <f>VLOOKUP(C513,[1]Material!F:J,5,0)</f>
        <v>Fedex</v>
      </c>
      <c r="E513" s="743">
        <f>_xlfn.XLOOKUP(C513,[1]Material!$F:$F,[1]Material!$D:$D)</f>
        <v>7.5</v>
      </c>
      <c r="F513" s="761"/>
      <c r="G513" s="761">
        <v>0</v>
      </c>
      <c r="H513" s="761">
        <v>15.172780032621477</v>
      </c>
      <c r="I513" s="761">
        <v>0</v>
      </c>
      <c r="J513" s="761"/>
      <c r="K513" s="761">
        <v>0</v>
      </c>
      <c r="L513" s="29"/>
      <c r="M513" s="29">
        <f t="shared" si="25"/>
        <v>15.172780032621477</v>
      </c>
    </row>
    <row r="514" spans="1:13" hidden="1" outlineLevel="2">
      <c r="A514" s="172">
        <v>46082</v>
      </c>
      <c r="B514" s="1" t="s">
        <v>947</v>
      </c>
      <c r="C514" s="379">
        <v>500292475444</v>
      </c>
      <c r="D514" s="742" t="str">
        <f>VLOOKUP(C514,[1]Material!F:J,5,0)</f>
        <v>Fedex</v>
      </c>
      <c r="E514" s="743">
        <f>_xlfn.XLOOKUP(C514,[1]Material!$F:$F,[1]Material!$D:$D)</f>
        <v>0.5</v>
      </c>
      <c r="F514" s="761"/>
      <c r="G514" s="761">
        <v>0</v>
      </c>
      <c r="H514" s="761">
        <v>15.172780032621477</v>
      </c>
      <c r="I514" s="761">
        <v>0</v>
      </c>
      <c r="J514" s="761"/>
      <c r="K514" s="761">
        <v>0</v>
      </c>
      <c r="L514" s="29"/>
      <c r="M514" s="29">
        <f t="shared" si="25"/>
        <v>15.172780032621477</v>
      </c>
    </row>
    <row r="515" spans="1:13" hidden="1" outlineLevel="2">
      <c r="A515" s="172">
        <v>46082</v>
      </c>
      <c r="B515" s="1" t="s">
        <v>938</v>
      </c>
      <c r="C515" s="379">
        <v>513464825700</v>
      </c>
      <c r="D515" s="742" t="str">
        <f>VLOOKUP(C515,[1]Material!F:J,5,0)</f>
        <v>Fedex</v>
      </c>
      <c r="E515" s="743">
        <f>_xlfn.XLOOKUP(C515,[1]Material!$F:$F,[1]Material!$D:$D)</f>
        <v>47.5</v>
      </c>
      <c r="F515" s="761"/>
      <c r="G515" s="761">
        <v>0</v>
      </c>
      <c r="H515" s="761">
        <v>15.172780032621477</v>
      </c>
      <c r="I515" s="761">
        <v>0</v>
      </c>
      <c r="J515" s="761"/>
      <c r="K515" s="761">
        <v>0</v>
      </c>
      <c r="L515" s="29"/>
      <c r="M515" s="29">
        <f t="shared" si="25"/>
        <v>15.172780032621477</v>
      </c>
    </row>
    <row r="516" spans="1:13" hidden="1" outlineLevel="2">
      <c r="A516" s="172">
        <v>46082</v>
      </c>
      <c r="B516" s="1" t="s">
        <v>944</v>
      </c>
      <c r="C516" s="379">
        <v>119209687491</v>
      </c>
      <c r="D516" s="742" t="str">
        <f>VLOOKUP(C516,[1]Material!F:J,5,0)</f>
        <v>Fedex</v>
      </c>
      <c r="E516" s="743">
        <f>_xlfn.XLOOKUP(C516,[1]Material!$F:$F,[1]Material!$D:$D)</f>
        <v>2</v>
      </c>
      <c r="F516" s="761"/>
      <c r="G516" s="761">
        <v>0</v>
      </c>
      <c r="H516" s="761">
        <v>15.172780032621477</v>
      </c>
      <c r="I516" s="761">
        <v>0</v>
      </c>
      <c r="J516" s="761"/>
      <c r="K516" s="761">
        <v>0</v>
      </c>
      <c r="L516" s="29"/>
      <c r="M516" s="29">
        <f t="shared" si="25"/>
        <v>15.172780032621477</v>
      </c>
    </row>
    <row r="517" spans="1:13" hidden="1" outlineLevel="2">
      <c r="A517" s="172">
        <v>46082</v>
      </c>
      <c r="B517" s="1" t="s">
        <v>951</v>
      </c>
      <c r="C517" s="379">
        <v>5973705964</v>
      </c>
      <c r="D517" s="742" t="str">
        <f>VLOOKUP(C517,[1]Material!F:J,5,0)</f>
        <v>Fedex</v>
      </c>
      <c r="E517" s="743">
        <f>_xlfn.XLOOKUP(C517,[1]Material!$F:$F,[1]Material!$D:$D)</f>
        <v>0.3</v>
      </c>
      <c r="F517" s="761"/>
      <c r="G517" s="761">
        <v>0</v>
      </c>
      <c r="H517" s="761">
        <v>15.172780032621477</v>
      </c>
      <c r="I517" s="761">
        <v>0</v>
      </c>
      <c r="J517" s="761"/>
      <c r="K517" s="761">
        <v>0</v>
      </c>
      <c r="L517" s="29"/>
      <c r="M517" s="29">
        <f t="shared" si="25"/>
        <v>15.172780032621477</v>
      </c>
    </row>
    <row r="518" spans="1:13" hidden="1" outlineLevel="2">
      <c r="A518" s="172">
        <v>46082</v>
      </c>
      <c r="B518" s="1" t="s">
        <v>337</v>
      </c>
      <c r="C518" s="379" t="s">
        <v>1630</v>
      </c>
      <c r="D518" s="742" t="str">
        <f>VLOOKUP(C518,[1]Material!F:J,5,0)</f>
        <v>VVMV(sea)</v>
      </c>
      <c r="E518" s="743">
        <f>_xlfn.XLOOKUP(C518,[1]Material!$F:$F,[1]Material!$D:$D)</f>
        <v>198.14</v>
      </c>
      <c r="F518" s="761"/>
      <c r="G518" s="761">
        <v>0</v>
      </c>
      <c r="H518" s="761">
        <v>15.172780032621477</v>
      </c>
      <c r="I518" s="761">
        <v>62.844668664416041</v>
      </c>
      <c r="J518" s="761"/>
      <c r="K518" s="761">
        <v>15.321473276941168</v>
      </c>
      <c r="L518" s="29"/>
      <c r="M518" s="29">
        <f t="shared" si="25"/>
        <v>93.338921973978685</v>
      </c>
    </row>
    <row r="519" spans="1:13" hidden="1" outlineLevel="2">
      <c r="A519" s="172">
        <v>46082</v>
      </c>
      <c r="B519" s="1" t="s">
        <v>1698</v>
      </c>
      <c r="C519" s="379">
        <v>496268248710</v>
      </c>
      <c r="D519" s="742" t="str">
        <f>VLOOKUP(C519,[1]Material!F:J,5,0)</f>
        <v>Fedex</v>
      </c>
      <c r="E519" s="743">
        <f>_xlfn.XLOOKUP(C519,[1]Material!$F:$F,[1]Material!$D:$D)</f>
        <v>8.5</v>
      </c>
      <c r="F519" s="761"/>
      <c r="G519" s="761">
        <v>0</v>
      </c>
      <c r="H519" s="761">
        <v>15.172780032621477</v>
      </c>
      <c r="I519" s="761">
        <v>0</v>
      </c>
      <c r="J519" s="761"/>
      <c r="K519" s="761">
        <v>0</v>
      </c>
      <c r="L519" s="29"/>
      <c r="M519" s="29">
        <f t="shared" ref="M519:M550" si="26">SUM(G519:L519)</f>
        <v>15.172780032621477</v>
      </c>
    </row>
    <row r="520" spans="1:13" hidden="1" outlineLevel="2">
      <c r="A520" s="172">
        <v>46082</v>
      </c>
      <c r="B520" s="1" t="s">
        <v>976</v>
      </c>
      <c r="C520" s="379">
        <v>4915061843</v>
      </c>
      <c r="D520" s="742" t="str">
        <f>VLOOKUP(C520,[1]Material!F:J,5,0)</f>
        <v>Expeditors</v>
      </c>
      <c r="E520" s="743">
        <f>_xlfn.XLOOKUP(C520,[1]Material!$F:$F,[1]Material!$D:$D)</f>
        <v>156</v>
      </c>
      <c r="F520" s="761"/>
      <c r="G520" s="761">
        <v>18.207336039145773</v>
      </c>
      <c r="H520" s="761">
        <v>15.172780032621477</v>
      </c>
      <c r="I520" s="761">
        <v>541.65000000000009</v>
      </c>
      <c r="J520" s="761"/>
      <c r="K520" s="761">
        <v>27.125782346470434</v>
      </c>
      <c r="L520" s="29">
        <v>33.451171635265929</v>
      </c>
      <c r="M520" s="29">
        <f t="shared" si="26"/>
        <v>635.60707005350378</v>
      </c>
    </row>
    <row r="521" spans="1:13" hidden="1" outlineLevel="2">
      <c r="A521" s="172">
        <v>46082</v>
      </c>
      <c r="B521" s="1" t="s">
        <v>1700</v>
      </c>
      <c r="C521" s="379">
        <v>479272021740</v>
      </c>
      <c r="D521" s="742" t="str">
        <f>VLOOKUP(C521,[1]Material!F:J,5,0)</f>
        <v>Fedex</v>
      </c>
      <c r="E521" s="743">
        <f>_xlfn.XLOOKUP(C521,[1]Material!$F:$F,[1]Material!$D:$D)</f>
        <v>0.5</v>
      </c>
      <c r="F521" s="761"/>
      <c r="G521" s="761">
        <v>0</v>
      </c>
      <c r="H521" s="761">
        <v>15.172780032621477</v>
      </c>
      <c r="I521" s="761">
        <v>0</v>
      </c>
      <c r="J521" s="761"/>
      <c r="K521" s="761">
        <v>0</v>
      </c>
      <c r="L521" s="29"/>
      <c r="M521" s="29">
        <f t="shared" si="26"/>
        <v>15.172780032621477</v>
      </c>
    </row>
    <row r="522" spans="1:13" hidden="1" outlineLevel="2">
      <c r="A522" s="172">
        <v>46082</v>
      </c>
      <c r="B522" s="1" t="s">
        <v>968</v>
      </c>
      <c r="C522" s="379">
        <v>515282202239</v>
      </c>
      <c r="D522" s="742" t="str">
        <f>VLOOKUP(C522,[1]Material!F:J,5,0)</f>
        <v>Fedex</v>
      </c>
      <c r="E522" s="743">
        <f>_xlfn.XLOOKUP(C522,[1]Material!$F:$F,[1]Material!$D:$D)</f>
        <v>2.5</v>
      </c>
      <c r="F522" s="761"/>
      <c r="G522" s="761">
        <v>0</v>
      </c>
      <c r="H522" s="761">
        <v>15.172780032621477</v>
      </c>
      <c r="I522" s="761">
        <v>0</v>
      </c>
      <c r="J522" s="761"/>
      <c r="K522" s="761">
        <v>0</v>
      </c>
      <c r="L522" s="29"/>
      <c r="M522" s="29">
        <f t="shared" si="26"/>
        <v>15.172780032621477</v>
      </c>
    </row>
    <row r="523" spans="1:13" hidden="1" outlineLevel="2">
      <c r="A523" s="172">
        <v>46082</v>
      </c>
      <c r="B523" s="1" t="s">
        <v>940</v>
      </c>
      <c r="C523" s="379" t="s">
        <v>1632</v>
      </c>
      <c r="D523" s="742" t="str">
        <f>VLOOKUP(C523,[1]Material!F:J,5,0)</f>
        <v>DHL( global)</v>
      </c>
      <c r="E523" s="743">
        <f>_xlfn.XLOOKUP(C523,[1]Material!$F:$F,[1]Material!$D:$D)</f>
        <v>11.2</v>
      </c>
      <c r="F523" s="761"/>
      <c r="G523" s="761">
        <v>0</v>
      </c>
      <c r="H523" s="761">
        <v>15.172780032621477</v>
      </c>
      <c r="I523" s="761">
        <v>0</v>
      </c>
      <c r="J523" s="761"/>
      <c r="K523" s="761">
        <v>0</v>
      </c>
      <c r="L523" s="29"/>
      <c r="M523" s="29">
        <f t="shared" si="26"/>
        <v>15.172780032621477</v>
      </c>
    </row>
    <row r="524" spans="1:13" hidden="1" outlineLevel="2">
      <c r="A524" s="172">
        <v>46082</v>
      </c>
      <c r="B524" s="1" t="s">
        <v>940</v>
      </c>
      <c r="C524" s="379" t="s">
        <v>1633</v>
      </c>
      <c r="D524" s="742" t="str">
        <f>VLOOKUP(C524,[1]Material!F:J,5,0)</f>
        <v>DHL( global)</v>
      </c>
      <c r="E524" s="743">
        <f>_xlfn.XLOOKUP(C524,[1]Material!$F:$F,[1]Material!$D:$D)</f>
        <v>3.2</v>
      </c>
      <c r="F524" s="761"/>
      <c r="G524" s="761">
        <v>0</v>
      </c>
      <c r="H524" s="761">
        <v>15.172780032621477</v>
      </c>
      <c r="I524" s="761">
        <v>0</v>
      </c>
      <c r="J524" s="761"/>
      <c r="K524" s="761">
        <v>0</v>
      </c>
      <c r="L524" s="29"/>
      <c r="M524" s="29">
        <f t="shared" si="26"/>
        <v>15.172780032621477</v>
      </c>
    </row>
    <row r="525" spans="1:13" hidden="1" outlineLevel="2">
      <c r="A525" s="172">
        <v>46082</v>
      </c>
      <c r="B525" s="1" t="s">
        <v>381</v>
      </c>
      <c r="C525" s="379">
        <v>4915074138</v>
      </c>
      <c r="D525" s="742" t="str">
        <f>VLOOKUP(C525,[1]Material!F:J,5,0)</f>
        <v>Expeditors</v>
      </c>
      <c r="E525" s="743">
        <f>_xlfn.XLOOKUP(C525,[1]Material!$F:$F,[1]Material!$D:$D)</f>
        <v>126</v>
      </c>
      <c r="F525" s="761"/>
      <c r="G525" s="761">
        <v>18.207336039145773</v>
      </c>
      <c r="H525" s="761">
        <v>15.172780032621477</v>
      </c>
      <c r="I525" s="761">
        <v>310.26</v>
      </c>
      <c r="J525" s="761"/>
      <c r="K525" s="761">
        <v>18.695482304745287</v>
      </c>
      <c r="L525" s="29">
        <v>33.44608661426679</v>
      </c>
      <c r="M525" s="29">
        <f t="shared" si="26"/>
        <v>395.7816849907793</v>
      </c>
    </row>
    <row r="526" spans="1:13" hidden="1" outlineLevel="2">
      <c r="A526" s="172">
        <v>46082</v>
      </c>
      <c r="B526" s="1" t="s">
        <v>940</v>
      </c>
      <c r="C526" s="379" t="s">
        <v>1634</v>
      </c>
      <c r="D526" s="742" t="str">
        <f>VLOOKUP(C526,[1]Material!F:J,5,0)</f>
        <v>DHL( global)</v>
      </c>
      <c r="E526" s="743">
        <f>_xlfn.XLOOKUP(C526,[1]Material!$F:$F,[1]Material!$D:$D)</f>
        <v>20.3</v>
      </c>
      <c r="F526" s="761"/>
      <c r="G526" s="761">
        <v>0</v>
      </c>
      <c r="H526" s="761">
        <v>15.172780032621477</v>
      </c>
      <c r="I526" s="761">
        <v>0</v>
      </c>
      <c r="J526" s="761"/>
      <c r="K526" s="761">
        <v>0</v>
      </c>
      <c r="L526" s="29"/>
      <c r="M526" s="29">
        <f t="shared" si="26"/>
        <v>15.172780032621477</v>
      </c>
    </row>
    <row r="527" spans="1:13" hidden="1" outlineLevel="2">
      <c r="A527" s="172">
        <v>46082</v>
      </c>
      <c r="B527" s="1" t="s">
        <v>940</v>
      </c>
      <c r="C527" s="379" t="s">
        <v>1635</v>
      </c>
      <c r="D527" s="742" t="str">
        <f>VLOOKUP(C527,[1]Material!F:J,5,0)</f>
        <v>DHL( global)</v>
      </c>
      <c r="E527" s="743">
        <f>_xlfn.XLOOKUP(C527,[1]Material!$F:$F,[1]Material!$D:$D)</f>
        <v>21.9</v>
      </c>
      <c r="F527" s="761"/>
      <c r="G527" s="761">
        <v>0</v>
      </c>
      <c r="H527" s="761">
        <v>15.172780032621477</v>
      </c>
      <c r="I527" s="761">
        <v>0</v>
      </c>
      <c r="J527" s="761"/>
      <c r="K527" s="761">
        <v>0</v>
      </c>
      <c r="L527" s="29"/>
      <c r="M527" s="29">
        <f t="shared" si="26"/>
        <v>15.172780032621477</v>
      </c>
    </row>
    <row r="528" spans="1:13" hidden="1" outlineLevel="2">
      <c r="A528" s="172">
        <v>46082</v>
      </c>
      <c r="B528" s="1" t="s">
        <v>940</v>
      </c>
      <c r="C528" s="379" t="s">
        <v>1636</v>
      </c>
      <c r="D528" s="742" t="str">
        <f>VLOOKUP(C528,[1]Material!F:J,5,0)</f>
        <v>DHL( global)</v>
      </c>
      <c r="E528" s="743">
        <f>_xlfn.XLOOKUP(C528,[1]Material!$F:$F,[1]Material!$D:$D)</f>
        <v>52.5</v>
      </c>
      <c r="F528" s="761"/>
      <c r="G528" s="761">
        <v>0</v>
      </c>
      <c r="H528" s="761">
        <v>15.172780032621477</v>
      </c>
      <c r="I528" s="761">
        <v>0</v>
      </c>
      <c r="J528" s="761"/>
      <c r="K528" s="761">
        <v>0</v>
      </c>
      <c r="L528" s="29"/>
      <c r="M528" s="29">
        <f t="shared" si="26"/>
        <v>15.172780032621477</v>
      </c>
    </row>
    <row r="529" spans="1:13" hidden="1" outlineLevel="2">
      <c r="A529" s="172">
        <v>46082</v>
      </c>
      <c r="B529" s="1" t="s">
        <v>1698</v>
      </c>
      <c r="C529" s="379">
        <v>479272022195</v>
      </c>
      <c r="D529" s="742" t="str">
        <f>VLOOKUP(C529,[1]Material!F:J,5,0)</f>
        <v>Fedex</v>
      </c>
      <c r="E529" s="743">
        <f>_xlfn.XLOOKUP(C529,[1]Material!$F:$F,[1]Material!$D:$D)</f>
        <v>3</v>
      </c>
      <c r="F529" s="761"/>
      <c r="G529" s="761">
        <v>0</v>
      </c>
      <c r="H529" s="761">
        <v>15.172780032621477</v>
      </c>
      <c r="I529" s="761">
        <v>0</v>
      </c>
      <c r="J529" s="761"/>
      <c r="K529" s="761">
        <v>0</v>
      </c>
      <c r="L529" s="29"/>
      <c r="M529" s="29">
        <f t="shared" si="26"/>
        <v>15.172780032621477</v>
      </c>
    </row>
    <row r="530" spans="1:13" hidden="1" outlineLevel="2">
      <c r="A530" s="172">
        <v>46082</v>
      </c>
      <c r="B530" s="1" t="s">
        <v>1619</v>
      </c>
      <c r="C530" s="379">
        <v>494056010053</v>
      </c>
      <c r="D530" s="742" t="str">
        <f>VLOOKUP(C530,[1]Material!F:J,5,0)</f>
        <v>Fedex</v>
      </c>
      <c r="E530" s="743">
        <f>_xlfn.XLOOKUP(C530,[1]Material!$F:$F,[1]Material!$D:$D)</f>
        <v>56</v>
      </c>
      <c r="F530" s="761"/>
      <c r="G530" s="761">
        <v>0</v>
      </c>
      <c r="H530" s="761">
        <v>15.172780032621477</v>
      </c>
      <c r="I530" s="761">
        <v>0</v>
      </c>
      <c r="J530" s="761"/>
      <c r="K530" s="761">
        <v>0</v>
      </c>
      <c r="L530" s="29"/>
      <c r="M530" s="29">
        <f t="shared" si="26"/>
        <v>15.172780032621477</v>
      </c>
    </row>
    <row r="531" spans="1:13" hidden="1" outlineLevel="2">
      <c r="A531" s="172">
        <v>46082</v>
      </c>
      <c r="B531" s="1" t="s">
        <v>944</v>
      </c>
      <c r="C531" s="379">
        <v>119209692685</v>
      </c>
      <c r="D531" s="742" t="str">
        <f>VLOOKUP(C531,[1]Material!F:J,5,0)</f>
        <v>Fedex</v>
      </c>
      <c r="E531" s="743">
        <f>_xlfn.XLOOKUP(C531,[1]Material!$F:$F,[1]Material!$D:$D)</f>
        <v>2</v>
      </c>
      <c r="F531" s="761"/>
      <c r="G531" s="761">
        <v>0</v>
      </c>
      <c r="H531" s="761">
        <v>15.172780032621477</v>
      </c>
      <c r="I531" s="761">
        <v>0</v>
      </c>
      <c r="J531" s="761"/>
      <c r="K531" s="761">
        <v>0</v>
      </c>
      <c r="L531" s="29"/>
      <c r="M531" s="29">
        <f t="shared" si="26"/>
        <v>15.172780032621477</v>
      </c>
    </row>
    <row r="532" spans="1:13" hidden="1" outlineLevel="2">
      <c r="A532" s="172">
        <v>46082</v>
      </c>
      <c r="B532" s="1" t="s">
        <v>938</v>
      </c>
      <c r="C532" s="379">
        <v>515819723842</v>
      </c>
      <c r="D532" s="742" t="str">
        <f>VLOOKUP(C532,[1]Material!F:J,5,0)</f>
        <v>Fedex</v>
      </c>
      <c r="E532" s="743">
        <f>_xlfn.XLOOKUP(C532,[1]Material!$F:$F,[1]Material!$D:$D)</f>
        <v>1.5</v>
      </c>
      <c r="F532" s="761"/>
      <c r="G532" s="761">
        <v>0</v>
      </c>
      <c r="H532" s="761">
        <v>15.172780032621477</v>
      </c>
      <c r="I532" s="761">
        <v>0</v>
      </c>
      <c r="J532" s="761"/>
      <c r="K532" s="761">
        <v>0</v>
      </c>
      <c r="L532" s="29"/>
      <c r="M532" s="29">
        <f t="shared" si="26"/>
        <v>15.172780032621477</v>
      </c>
    </row>
    <row r="533" spans="1:13" hidden="1" outlineLevel="2">
      <c r="A533" s="172">
        <v>46082</v>
      </c>
      <c r="B533" s="1" t="s">
        <v>951</v>
      </c>
      <c r="C533" s="379">
        <v>5973743543</v>
      </c>
      <c r="D533" s="742" t="str">
        <f>VLOOKUP(C533,[1]Material!F:J,5,0)</f>
        <v>DHL</v>
      </c>
      <c r="E533" s="743">
        <f>_xlfn.XLOOKUP(C533,[1]Material!$F:$F,[1]Material!$D:$D)</f>
        <v>2.7</v>
      </c>
      <c r="F533" s="761"/>
      <c r="G533" s="761">
        <v>0</v>
      </c>
      <c r="H533" s="761">
        <v>15.172780032621477</v>
      </c>
      <c r="I533" s="761">
        <v>0</v>
      </c>
      <c r="J533" s="761"/>
      <c r="K533" s="761">
        <v>0</v>
      </c>
      <c r="L533" s="29"/>
      <c r="M533" s="29">
        <f t="shared" si="26"/>
        <v>15.172780032621477</v>
      </c>
    </row>
    <row r="534" spans="1:13" hidden="1" outlineLevel="2">
      <c r="A534" s="172">
        <v>46082</v>
      </c>
      <c r="B534" s="1" t="s">
        <v>319</v>
      </c>
      <c r="C534" s="379" t="s">
        <v>1638</v>
      </c>
      <c r="D534" s="742" t="str">
        <f>VLOOKUP(C534,[1]Material!F:J,5,0)</f>
        <v>VVMV(sea)</v>
      </c>
      <c r="E534" s="743">
        <f>_xlfn.XLOOKUP(C534,[1]Material!$F:$F,[1]Material!$D:$D)</f>
        <v>1407.09</v>
      </c>
      <c r="F534" s="761"/>
      <c r="G534" s="761">
        <v>64.484315138641279</v>
      </c>
      <c r="H534" s="761">
        <v>15.172780032621477</v>
      </c>
      <c r="I534" s="761">
        <v>224.04866669195462</v>
      </c>
      <c r="J534" s="761"/>
      <c r="K534" s="761">
        <v>75.945605583583045</v>
      </c>
      <c r="L534" s="29"/>
      <c r="M534" s="29">
        <f t="shared" si="26"/>
        <v>379.65136744680046</v>
      </c>
    </row>
    <row r="535" spans="1:13" hidden="1" outlineLevel="2">
      <c r="A535" s="172">
        <v>46082</v>
      </c>
      <c r="B535" s="1" t="s">
        <v>940</v>
      </c>
      <c r="C535" s="379" t="s">
        <v>1640</v>
      </c>
      <c r="D535" s="742" t="str">
        <f>VLOOKUP(C535,[1]Material!F:J,5,0)</f>
        <v>DHL( global)</v>
      </c>
      <c r="E535" s="743">
        <f>_xlfn.XLOOKUP(C535,[1]Material!$F:$F,[1]Material!$D:$D)</f>
        <v>7.7</v>
      </c>
      <c r="F535" s="761"/>
      <c r="G535" s="761">
        <v>0</v>
      </c>
      <c r="H535" s="761">
        <v>15.172780032621477</v>
      </c>
      <c r="I535" s="761">
        <v>0</v>
      </c>
      <c r="J535" s="761"/>
      <c r="K535" s="761">
        <v>0</v>
      </c>
      <c r="L535" s="29"/>
      <c r="M535" s="29">
        <f t="shared" si="26"/>
        <v>15.172780032621477</v>
      </c>
    </row>
    <row r="536" spans="1:13" hidden="1" outlineLevel="2">
      <c r="A536" s="172">
        <v>46082</v>
      </c>
      <c r="B536" s="1" t="s">
        <v>940</v>
      </c>
      <c r="C536" s="379" t="s">
        <v>1642</v>
      </c>
      <c r="D536" s="742" t="str">
        <f>VLOOKUP(C536,[1]Material!F:J,5,0)</f>
        <v>DHL( global)</v>
      </c>
      <c r="E536" s="743">
        <f>_xlfn.XLOOKUP(C536,[1]Material!$F:$F,[1]Material!$D:$D)</f>
        <v>7.7</v>
      </c>
      <c r="F536" s="761"/>
      <c r="G536" s="761">
        <v>0</v>
      </c>
      <c r="H536" s="761">
        <v>15.172780032621477</v>
      </c>
      <c r="I536" s="761">
        <v>0</v>
      </c>
      <c r="J536" s="761"/>
      <c r="K536" s="761">
        <v>0</v>
      </c>
      <c r="L536" s="29"/>
      <c r="M536" s="29">
        <f t="shared" si="26"/>
        <v>15.172780032621477</v>
      </c>
    </row>
    <row r="537" spans="1:13" hidden="1" outlineLevel="2">
      <c r="A537" s="172">
        <v>46082</v>
      </c>
      <c r="B537" s="1" t="s">
        <v>940</v>
      </c>
      <c r="C537" s="379" t="s">
        <v>1643</v>
      </c>
      <c r="D537" s="742" t="str">
        <f>VLOOKUP(C537,[1]Material!F:J,5,0)</f>
        <v>DHL( global)</v>
      </c>
      <c r="E537" s="743">
        <f>_xlfn.XLOOKUP(C537,[1]Material!$F:$F,[1]Material!$D:$D)</f>
        <v>45.8</v>
      </c>
      <c r="F537" s="761"/>
      <c r="G537" s="761">
        <v>0</v>
      </c>
      <c r="H537" s="761">
        <v>15.172780032621477</v>
      </c>
      <c r="I537" s="761">
        <v>0</v>
      </c>
      <c r="J537" s="761"/>
      <c r="K537" s="761">
        <v>0</v>
      </c>
      <c r="L537" s="29"/>
      <c r="M537" s="29">
        <f t="shared" si="26"/>
        <v>15.172780032621477</v>
      </c>
    </row>
    <row r="538" spans="1:13" hidden="1" outlineLevel="2">
      <c r="A538" s="172">
        <v>46082</v>
      </c>
      <c r="B538" s="1" t="s">
        <v>940</v>
      </c>
      <c r="C538" s="379" t="s">
        <v>1644</v>
      </c>
      <c r="D538" s="742" t="str">
        <f>VLOOKUP(C538,[1]Material!F:J,5,0)</f>
        <v>DHL( global)</v>
      </c>
      <c r="E538" s="743">
        <f>_xlfn.XLOOKUP(C538,[1]Material!$F:$F,[1]Material!$D:$D)</f>
        <v>7.1</v>
      </c>
      <c r="F538" s="761"/>
      <c r="G538" s="761">
        <v>0</v>
      </c>
      <c r="H538" s="761">
        <v>15.172780032621477</v>
      </c>
      <c r="I538" s="761">
        <v>0</v>
      </c>
      <c r="J538" s="761"/>
      <c r="K538" s="761">
        <v>0</v>
      </c>
      <c r="L538" s="29"/>
      <c r="M538" s="29">
        <f t="shared" si="26"/>
        <v>15.172780032621477</v>
      </c>
    </row>
    <row r="539" spans="1:13" hidden="1" outlineLevel="2">
      <c r="A539" s="172">
        <v>46082</v>
      </c>
      <c r="B539" s="1" t="s">
        <v>940</v>
      </c>
      <c r="C539" s="379" t="s">
        <v>1645</v>
      </c>
      <c r="D539" s="742" t="str">
        <f>VLOOKUP(C539,[1]Material!F:J,5,0)</f>
        <v>DHL( global)</v>
      </c>
      <c r="E539" s="743">
        <f>_xlfn.XLOOKUP(C539,[1]Material!$F:$F,[1]Material!$D:$D)</f>
        <v>7.7</v>
      </c>
      <c r="F539" s="761"/>
      <c r="G539" s="761">
        <v>0</v>
      </c>
      <c r="H539" s="761">
        <v>15.172780032621477</v>
      </c>
      <c r="I539" s="761">
        <v>0</v>
      </c>
      <c r="J539" s="761"/>
      <c r="K539" s="761">
        <v>0</v>
      </c>
      <c r="L539" s="29"/>
      <c r="M539" s="29">
        <f t="shared" si="26"/>
        <v>15.172780032621477</v>
      </c>
    </row>
    <row r="540" spans="1:13" hidden="1" outlineLevel="2">
      <c r="A540" s="172">
        <v>46082</v>
      </c>
      <c r="B540" s="1" t="s">
        <v>940</v>
      </c>
      <c r="C540" s="379" t="s">
        <v>1646</v>
      </c>
      <c r="D540" s="742" t="str">
        <f>VLOOKUP(C540,[1]Material!F:J,5,0)</f>
        <v>DHL( global)</v>
      </c>
      <c r="E540" s="743">
        <f>_xlfn.XLOOKUP(C540,[1]Material!$F:$F,[1]Material!$D:$D)</f>
        <v>7.7</v>
      </c>
      <c r="F540" s="761"/>
      <c r="G540" s="761">
        <v>0</v>
      </c>
      <c r="H540" s="761">
        <v>15.172780032621477</v>
      </c>
      <c r="I540" s="761">
        <v>0</v>
      </c>
      <c r="J540" s="761"/>
      <c r="K540" s="761">
        <v>0</v>
      </c>
      <c r="L540" s="29"/>
      <c r="M540" s="29">
        <f t="shared" si="26"/>
        <v>15.172780032621477</v>
      </c>
    </row>
    <row r="541" spans="1:13" hidden="1" outlineLevel="2">
      <c r="A541" s="172">
        <v>46082</v>
      </c>
      <c r="B541" s="1" t="s">
        <v>934</v>
      </c>
      <c r="C541" s="379">
        <v>6486635610</v>
      </c>
      <c r="D541" s="742" t="str">
        <f>VLOOKUP(C541,[1]Material!F:J,5,0)</f>
        <v>DHL</v>
      </c>
      <c r="E541" s="743">
        <f>_xlfn.XLOOKUP(C541,[1]Material!$F:$F,[1]Material!$D:$D)</f>
        <v>2.6</v>
      </c>
      <c r="F541" s="761"/>
      <c r="G541" s="761">
        <v>0</v>
      </c>
      <c r="H541" s="761">
        <v>15.172780032621477</v>
      </c>
      <c r="I541" s="761">
        <v>0</v>
      </c>
      <c r="J541" s="761"/>
      <c r="K541" s="761">
        <v>0</v>
      </c>
      <c r="L541" s="29"/>
      <c r="M541" s="29">
        <f t="shared" si="26"/>
        <v>15.172780032621477</v>
      </c>
    </row>
    <row r="542" spans="1:13" hidden="1" outlineLevel="2">
      <c r="A542" s="172">
        <v>46082</v>
      </c>
      <c r="B542" s="1" t="s">
        <v>945</v>
      </c>
      <c r="C542" s="379">
        <v>500292500254</v>
      </c>
      <c r="D542" s="742" t="str">
        <f>VLOOKUP(C542,[1]Material!F:J,5,0)</f>
        <v>Fedex</v>
      </c>
      <c r="E542" s="743">
        <f>_xlfn.XLOOKUP(C542,[1]Material!$F:$F,[1]Material!$D:$D)</f>
        <v>1</v>
      </c>
      <c r="F542" s="761"/>
      <c r="G542" s="761">
        <v>0</v>
      </c>
      <c r="H542" s="761">
        <v>15.172780032621477</v>
      </c>
      <c r="I542" s="761">
        <v>0</v>
      </c>
      <c r="J542" s="761"/>
      <c r="K542" s="761">
        <v>0</v>
      </c>
      <c r="L542" s="29"/>
      <c r="M542" s="29">
        <f t="shared" si="26"/>
        <v>15.172780032621477</v>
      </c>
    </row>
    <row r="543" spans="1:13" hidden="1" outlineLevel="2">
      <c r="A543" s="172">
        <v>46082</v>
      </c>
      <c r="B543" s="1" t="s">
        <v>830</v>
      </c>
      <c r="C543" s="379">
        <v>4812893343</v>
      </c>
      <c r="D543" s="742" t="str">
        <f>VLOOKUP(C543,[1]Material!F:J,5,0)</f>
        <v>Expeditors</v>
      </c>
      <c r="E543" s="743">
        <f>_xlfn.XLOOKUP(C543,[1]Material!$F:$F,[1]Material!$D:$D)</f>
        <v>68</v>
      </c>
      <c r="F543" s="761"/>
      <c r="G543" s="761">
        <v>18.207336039145773</v>
      </c>
      <c r="H543" s="761">
        <v>15.172780032621477</v>
      </c>
      <c r="I543" s="761">
        <v>93.28</v>
      </c>
      <c r="J543" s="761"/>
      <c r="K543" s="761">
        <v>15.668854075788037</v>
      </c>
      <c r="L543" s="29">
        <v>33.433378556652492</v>
      </c>
      <c r="M543" s="29">
        <f t="shared" si="26"/>
        <v>175.76234870420777</v>
      </c>
    </row>
    <row r="544" spans="1:13" hidden="1" outlineLevel="2">
      <c r="A544" s="172">
        <v>46082</v>
      </c>
      <c r="B544" s="1" t="s">
        <v>947</v>
      </c>
      <c r="C544" s="379">
        <v>500292500313</v>
      </c>
      <c r="D544" s="742" t="str">
        <f>VLOOKUP(C544,[1]Material!F:J,5,0)</f>
        <v>Fedex</v>
      </c>
      <c r="E544" s="743">
        <f>_xlfn.XLOOKUP(C544,[1]Material!$F:$F,[1]Material!$D:$D)</f>
        <v>1.5</v>
      </c>
      <c r="F544" s="761"/>
      <c r="G544" s="761">
        <v>0</v>
      </c>
      <c r="H544" s="761">
        <v>15.172780032621477</v>
      </c>
      <c r="I544" s="761">
        <v>0</v>
      </c>
      <c r="J544" s="761"/>
      <c r="K544" s="761">
        <v>0</v>
      </c>
      <c r="L544" s="29"/>
      <c r="M544" s="29">
        <f t="shared" si="26"/>
        <v>15.172780032621477</v>
      </c>
    </row>
    <row r="545" spans="1:13" hidden="1" outlineLevel="2">
      <c r="A545" s="172">
        <v>46082</v>
      </c>
      <c r="B545" s="1" t="s">
        <v>940</v>
      </c>
      <c r="C545" s="379" t="s">
        <v>1647</v>
      </c>
      <c r="D545" s="742" t="str">
        <f>VLOOKUP(C545,[1]Material!F:J,5,0)</f>
        <v>DHL( global)</v>
      </c>
      <c r="E545" s="743">
        <f>_xlfn.XLOOKUP(C545,[1]Material!$F:$F,[1]Material!$D:$D)</f>
        <v>2.9</v>
      </c>
      <c r="F545" s="761"/>
      <c r="G545" s="761">
        <v>0</v>
      </c>
      <c r="H545" s="761">
        <v>15.172780032621477</v>
      </c>
      <c r="I545" s="761">
        <v>0</v>
      </c>
      <c r="J545" s="761"/>
      <c r="K545" s="761">
        <v>0</v>
      </c>
      <c r="L545" s="29"/>
      <c r="M545" s="29">
        <f t="shared" si="26"/>
        <v>15.172780032621477</v>
      </c>
    </row>
    <row r="546" spans="1:13" hidden="1" outlineLevel="2">
      <c r="A546" s="172">
        <v>46082</v>
      </c>
      <c r="B546" s="1" t="s">
        <v>944</v>
      </c>
      <c r="C546" s="379">
        <v>119209695560</v>
      </c>
      <c r="D546" s="742" t="str">
        <f>VLOOKUP(C546,[1]Material!F:J,5,0)</f>
        <v>Fedex</v>
      </c>
      <c r="E546" s="743">
        <f>_xlfn.XLOOKUP(C546,[1]Material!$F:$F,[1]Material!$D:$D)</f>
        <v>1</v>
      </c>
      <c r="F546" s="761"/>
      <c r="G546" s="761">
        <v>0</v>
      </c>
      <c r="H546" s="761">
        <v>15.172780032621477</v>
      </c>
      <c r="I546" s="761">
        <v>0</v>
      </c>
      <c r="J546" s="761"/>
      <c r="K546" s="761">
        <v>0</v>
      </c>
      <c r="L546" s="29"/>
      <c r="M546" s="29">
        <f t="shared" si="26"/>
        <v>15.172780032621477</v>
      </c>
    </row>
    <row r="547" spans="1:13" hidden="1" outlineLevel="2">
      <c r="A547" s="172">
        <v>46082</v>
      </c>
      <c r="B547" s="1" t="s">
        <v>963</v>
      </c>
      <c r="C547" s="379">
        <v>516933764227</v>
      </c>
      <c r="D547" s="742" t="str">
        <f>VLOOKUP(C547,[1]Material!F:J,5,0)</f>
        <v>Fedex</v>
      </c>
      <c r="E547" s="743">
        <f>_xlfn.XLOOKUP(C547,[1]Material!$F:$F,[1]Material!$D:$D)</f>
        <v>11.5</v>
      </c>
      <c r="F547" s="761"/>
      <c r="G547" s="761">
        <v>0</v>
      </c>
      <c r="H547" s="761">
        <v>15.172780032621477</v>
      </c>
      <c r="I547" s="761">
        <v>0</v>
      </c>
      <c r="J547" s="761"/>
      <c r="K547" s="761">
        <v>0</v>
      </c>
      <c r="L547" s="29"/>
      <c r="M547" s="29">
        <f t="shared" si="26"/>
        <v>15.172780032621477</v>
      </c>
    </row>
    <row r="548" spans="1:13" hidden="1" outlineLevel="2">
      <c r="A548" s="172">
        <v>46082</v>
      </c>
      <c r="B548" s="1" t="s">
        <v>945</v>
      </c>
      <c r="C548" s="379">
        <v>500292509560</v>
      </c>
      <c r="D548" s="742" t="str">
        <f>VLOOKUP(C548,[1]Material!F:J,5,0)</f>
        <v>Fedex</v>
      </c>
      <c r="E548" s="743">
        <f>_xlfn.XLOOKUP(C548,[1]Material!$F:$F,[1]Material!$D:$D)</f>
        <v>0.5</v>
      </c>
      <c r="F548" s="761"/>
      <c r="G548" s="761">
        <v>0</v>
      </c>
      <c r="H548" s="761">
        <v>15.172780032621477</v>
      </c>
      <c r="I548" s="761">
        <v>0</v>
      </c>
      <c r="J548" s="761"/>
      <c r="K548" s="761">
        <v>0</v>
      </c>
      <c r="L548" s="29"/>
      <c r="M548" s="29">
        <f t="shared" si="26"/>
        <v>15.172780032621477</v>
      </c>
    </row>
    <row r="549" spans="1:13" hidden="1" outlineLevel="2">
      <c r="A549" s="172">
        <v>46082</v>
      </c>
      <c r="B549" s="1" t="s">
        <v>945</v>
      </c>
      <c r="C549" s="379">
        <v>500292509538</v>
      </c>
      <c r="D549" s="742" t="str">
        <f>VLOOKUP(C549,[1]Material!F:J,5,0)</f>
        <v>Fedex</v>
      </c>
      <c r="E549" s="743">
        <f>_xlfn.XLOOKUP(C549,[1]Material!$F:$F,[1]Material!$D:$D)</f>
        <v>1</v>
      </c>
      <c r="F549" s="761"/>
      <c r="G549" s="761">
        <v>0</v>
      </c>
      <c r="H549" s="761">
        <v>15.172780032621477</v>
      </c>
      <c r="I549" s="761">
        <v>0</v>
      </c>
      <c r="J549" s="761"/>
      <c r="K549" s="761">
        <v>0</v>
      </c>
      <c r="L549" s="29"/>
      <c r="M549" s="29">
        <f t="shared" si="26"/>
        <v>15.172780032621477</v>
      </c>
    </row>
    <row r="550" spans="1:13" hidden="1" outlineLevel="2">
      <c r="A550" s="172">
        <v>46082</v>
      </c>
      <c r="B550" s="1" t="s">
        <v>945</v>
      </c>
      <c r="C550" s="379">
        <v>500292519767</v>
      </c>
      <c r="D550" s="742" t="str">
        <f>VLOOKUP(C550,[1]Material!F:J,5,0)</f>
        <v>Fedex</v>
      </c>
      <c r="E550" s="743">
        <f>_xlfn.XLOOKUP(C550,[1]Material!$F:$F,[1]Material!$D:$D)</f>
        <v>0.5</v>
      </c>
      <c r="F550" s="761"/>
      <c r="G550" s="761">
        <v>0</v>
      </c>
      <c r="H550" s="761">
        <v>15.172780032621477</v>
      </c>
      <c r="I550" s="761">
        <v>0</v>
      </c>
      <c r="J550" s="761"/>
      <c r="K550" s="761">
        <v>0</v>
      </c>
      <c r="L550" s="29"/>
      <c r="M550" s="29">
        <f t="shared" si="26"/>
        <v>15.172780032621477</v>
      </c>
    </row>
    <row r="551" spans="1:13" hidden="1" outlineLevel="2">
      <c r="A551" s="172">
        <v>46082</v>
      </c>
      <c r="B551" s="1" t="s">
        <v>1709</v>
      </c>
      <c r="C551" s="379">
        <v>889497662174</v>
      </c>
      <c r="D551" s="742" t="str">
        <f>VLOOKUP(C551,[1]Material!F:J,5,0)</f>
        <v>Fedex</v>
      </c>
      <c r="E551" s="743">
        <f>_xlfn.XLOOKUP(C551,[1]Material!$F:$F,[1]Material!$D:$D)</f>
        <v>314</v>
      </c>
      <c r="F551" s="761"/>
      <c r="G551" s="761">
        <v>0</v>
      </c>
      <c r="H551" s="761">
        <v>15.172780032621477</v>
      </c>
      <c r="I551" s="761">
        <v>0</v>
      </c>
      <c r="J551" s="761"/>
      <c r="K551" s="761">
        <v>0</v>
      </c>
      <c r="L551" s="29"/>
      <c r="M551" s="29">
        <f t="shared" ref="M551:M576" si="27">SUM(G551:L551)</f>
        <v>15.172780032621477</v>
      </c>
    </row>
    <row r="552" spans="1:13" hidden="1" outlineLevel="2">
      <c r="A552" s="172">
        <v>46082</v>
      </c>
      <c r="B552" s="1" t="s">
        <v>1328</v>
      </c>
      <c r="C552" s="379" t="s">
        <v>1649</v>
      </c>
      <c r="D552" s="742" t="str">
        <f>VLOOKUP(C552,[1]Material!F:J,5,0)</f>
        <v>DHL( global)</v>
      </c>
      <c r="E552" s="743">
        <f>_xlfn.XLOOKUP(C552,[1]Material!$F:$F,[1]Material!$D:$D)</f>
        <v>9.4</v>
      </c>
      <c r="F552" s="761"/>
      <c r="G552" s="761">
        <v>0</v>
      </c>
      <c r="H552" s="761">
        <v>15.172780032621477</v>
      </c>
      <c r="I552" s="761">
        <v>0</v>
      </c>
      <c r="J552" s="761"/>
      <c r="K552" s="761">
        <v>0</v>
      </c>
      <c r="L552" s="29"/>
      <c r="M552" s="29">
        <f t="shared" si="27"/>
        <v>15.172780032621477</v>
      </c>
    </row>
    <row r="553" spans="1:13" hidden="1" outlineLevel="2">
      <c r="A553" s="172">
        <v>46082</v>
      </c>
      <c r="B553" s="1" t="s">
        <v>951</v>
      </c>
      <c r="C553" s="379">
        <v>5973778823</v>
      </c>
      <c r="D553" s="742" t="str">
        <f>VLOOKUP(C553,[1]Material!F:J,5,0)</f>
        <v>DHL</v>
      </c>
      <c r="E553" s="743">
        <f>_xlfn.XLOOKUP(C553,[1]Material!$F:$F,[1]Material!$D:$D)</f>
        <v>2</v>
      </c>
      <c r="F553" s="761"/>
      <c r="G553" s="761">
        <v>0</v>
      </c>
      <c r="H553" s="761">
        <v>15.172780032621477</v>
      </c>
      <c r="I553" s="761">
        <v>0</v>
      </c>
      <c r="J553" s="761"/>
      <c r="K553" s="761">
        <v>0</v>
      </c>
      <c r="L553" s="29"/>
      <c r="M553" s="29">
        <f t="shared" si="27"/>
        <v>15.172780032621477</v>
      </c>
    </row>
    <row r="554" spans="1:13" hidden="1" outlineLevel="2">
      <c r="A554" s="172">
        <v>46082</v>
      </c>
      <c r="B554" s="1" t="s">
        <v>938</v>
      </c>
      <c r="C554" s="379">
        <v>515819812778</v>
      </c>
      <c r="D554" s="742" t="str">
        <f>VLOOKUP(C554,[1]Material!F:J,5,0)</f>
        <v>Fedex</v>
      </c>
      <c r="E554" s="743">
        <f>_xlfn.XLOOKUP(C554,[1]Material!$F:$F,[1]Material!$D:$D)</f>
        <v>1.5</v>
      </c>
      <c r="F554" s="761"/>
      <c r="G554" s="761">
        <v>0</v>
      </c>
      <c r="H554" s="761">
        <v>15.172780032621477</v>
      </c>
      <c r="I554" s="761">
        <v>0</v>
      </c>
      <c r="J554" s="761"/>
      <c r="K554" s="761">
        <v>0</v>
      </c>
      <c r="L554" s="29"/>
      <c r="M554" s="29">
        <f t="shared" si="27"/>
        <v>15.172780032621477</v>
      </c>
    </row>
    <row r="555" spans="1:13" hidden="1" outlineLevel="2">
      <c r="A555" s="172">
        <v>46082</v>
      </c>
      <c r="B555" s="1" t="s">
        <v>1715</v>
      </c>
      <c r="C555" s="379" t="s">
        <v>1653</v>
      </c>
      <c r="D555" s="742" t="str">
        <f>VLOOKUP(C555,[1]Material!F:J,5,0)</f>
        <v>LX</v>
      </c>
      <c r="E555" s="743">
        <f>_xlfn.XLOOKUP(C555,[1]Material!$F:$F,[1]Material!$D:$D)</f>
        <v>47.5</v>
      </c>
      <c r="F555" s="761"/>
      <c r="G555" s="761">
        <v>0</v>
      </c>
      <c r="H555" s="761">
        <v>15.172780032621477</v>
      </c>
      <c r="I555" s="761">
        <v>0</v>
      </c>
      <c r="J555" s="761"/>
      <c r="K555" s="761">
        <v>0</v>
      </c>
      <c r="L555" s="29"/>
      <c r="M555" s="29">
        <f t="shared" si="27"/>
        <v>15.172780032621477</v>
      </c>
    </row>
    <row r="556" spans="1:13" hidden="1" outlineLevel="2">
      <c r="A556" s="172">
        <v>46082</v>
      </c>
      <c r="B556" s="1" t="s">
        <v>802</v>
      </c>
      <c r="C556" s="379">
        <v>399719071471</v>
      </c>
      <c r="D556" s="742" t="str">
        <f>VLOOKUP(C556,[1]Material!F:J,5,0)</f>
        <v>Fedex</v>
      </c>
      <c r="E556" s="743">
        <f>_xlfn.XLOOKUP(C556,[1]Material!$F:$F,[1]Material!$D:$D)</f>
        <v>0.5</v>
      </c>
      <c r="F556" s="761"/>
      <c r="G556" s="761">
        <v>0</v>
      </c>
      <c r="H556" s="761">
        <v>15.172780032621477</v>
      </c>
      <c r="I556" s="761">
        <v>0</v>
      </c>
      <c r="J556" s="761"/>
      <c r="K556" s="761">
        <v>0</v>
      </c>
      <c r="L556" s="29"/>
      <c r="M556" s="29">
        <f t="shared" si="27"/>
        <v>15.172780032621477</v>
      </c>
    </row>
    <row r="557" spans="1:13" hidden="1" outlineLevel="2">
      <c r="A557" s="172">
        <v>46082</v>
      </c>
      <c r="B557" s="1" t="s">
        <v>1716</v>
      </c>
      <c r="C557" s="379">
        <v>501415544728</v>
      </c>
      <c r="D557" s="742" t="str">
        <f>VLOOKUP(C557,[1]Material!F:J,5,0)</f>
        <v>Fedex</v>
      </c>
      <c r="E557" s="743">
        <f>_xlfn.XLOOKUP(C557,[1]Material!$F:$F,[1]Material!$D:$D)</f>
        <v>6.2</v>
      </c>
      <c r="F557" s="761"/>
      <c r="G557" s="761">
        <v>0</v>
      </c>
      <c r="H557" s="761">
        <v>15.172780032621477</v>
      </c>
      <c r="I557" s="761">
        <v>0</v>
      </c>
      <c r="J557" s="761"/>
      <c r="K557" s="761">
        <v>0</v>
      </c>
      <c r="L557" s="29"/>
      <c r="M557" s="29">
        <f t="shared" si="27"/>
        <v>15.172780032621477</v>
      </c>
    </row>
    <row r="558" spans="1:13" hidden="1" outlineLevel="2">
      <c r="A558" s="172">
        <v>46082</v>
      </c>
      <c r="B558" s="1" t="s">
        <v>110</v>
      </c>
      <c r="C558" s="379">
        <v>483570642905</v>
      </c>
      <c r="D558" s="742" t="s">
        <v>45</v>
      </c>
      <c r="E558" s="743">
        <v>13.5</v>
      </c>
      <c r="F558" s="761"/>
      <c r="G558" s="761">
        <v>0</v>
      </c>
      <c r="H558" s="761">
        <v>15.172780032621477</v>
      </c>
      <c r="I558" s="761">
        <v>0</v>
      </c>
      <c r="J558" s="761"/>
      <c r="K558" s="761">
        <v>0</v>
      </c>
      <c r="L558" s="29"/>
      <c r="M558" s="29">
        <f t="shared" si="27"/>
        <v>15.172780032621477</v>
      </c>
    </row>
    <row r="559" spans="1:13" hidden="1" outlineLevel="2">
      <c r="A559" s="172">
        <v>46082</v>
      </c>
      <c r="B559" s="1" t="s">
        <v>1718</v>
      </c>
      <c r="C559" s="379">
        <v>5166376891</v>
      </c>
      <c r="D559" s="742" t="str">
        <f>VLOOKUP(C559,[1]Material!F:J,5,0)</f>
        <v>DHL</v>
      </c>
      <c r="E559" s="743">
        <f>_xlfn.XLOOKUP(C559,[1]Material!$F:$F,[1]Material!$D:$D)</f>
        <v>0.7</v>
      </c>
      <c r="F559" s="761"/>
      <c r="G559" s="761">
        <v>0</v>
      </c>
      <c r="H559" s="761">
        <v>15.172780032621477</v>
      </c>
      <c r="I559" s="761">
        <v>0</v>
      </c>
      <c r="J559" s="761"/>
      <c r="K559" s="761">
        <v>0</v>
      </c>
      <c r="L559" s="29"/>
      <c r="M559" s="29">
        <f t="shared" si="27"/>
        <v>15.172780032621477</v>
      </c>
    </row>
    <row r="560" spans="1:13" hidden="1" outlineLevel="2">
      <c r="A560" s="172">
        <v>46082</v>
      </c>
      <c r="B560" s="1" t="s">
        <v>1719</v>
      </c>
      <c r="C560" s="379">
        <v>889133951213</v>
      </c>
      <c r="D560" s="742" t="s">
        <v>45</v>
      </c>
      <c r="E560" s="743">
        <v>2.5</v>
      </c>
      <c r="F560" s="761"/>
      <c r="G560" s="761">
        <v>0</v>
      </c>
      <c r="H560" s="761">
        <v>15.172780032621477</v>
      </c>
      <c r="I560" s="761">
        <v>0</v>
      </c>
      <c r="J560" s="761"/>
      <c r="K560" s="761">
        <v>0</v>
      </c>
      <c r="L560" s="29"/>
      <c r="M560" s="29">
        <f t="shared" si="27"/>
        <v>15.172780032621477</v>
      </c>
    </row>
    <row r="561" spans="1:13" hidden="1" outlineLevel="2">
      <c r="A561" s="172">
        <v>46082</v>
      </c>
      <c r="B561" s="1" t="s">
        <v>110</v>
      </c>
      <c r="C561" s="379">
        <v>483570643496</v>
      </c>
      <c r="D561" s="742" t="s">
        <v>45</v>
      </c>
      <c r="E561" s="743">
        <v>15.5</v>
      </c>
      <c r="F561" s="761"/>
      <c r="G561" s="761">
        <v>0</v>
      </c>
      <c r="H561" s="761">
        <v>15.172780032621477</v>
      </c>
      <c r="I561" s="761">
        <v>0</v>
      </c>
      <c r="J561" s="761"/>
      <c r="K561" s="761">
        <v>0</v>
      </c>
      <c r="L561" s="29"/>
      <c r="M561" s="29">
        <f t="shared" si="27"/>
        <v>15.172780032621477</v>
      </c>
    </row>
    <row r="562" spans="1:13" hidden="1" outlineLevel="2">
      <c r="A562" s="172">
        <v>46082</v>
      </c>
      <c r="B562" s="1" t="s">
        <v>110</v>
      </c>
      <c r="C562" s="379">
        <v>483570643691</v>
      </c>
      <c r="D562" s="742" t="s">
        <v>45</v>
      </c>
      <c r="E562" s="743">
        <v>7.5</v>
      </c>
      <c r="F562" s="761"/>
      <c r="G562" s="761">
        <v>0</v>
      </c>
      <c r="H562" s="761">
        <v>15.172780032621477</v>
      </c>
      <c r="I562" s="761">
        <v>0</v>
      </c>
      <c r="J562" s="761"/>
      <c r="K562" s="761">
        <v>0</v>
      </c>
      <c r="L562" s="29"/>
      <c r="M562" s="29">
        <f t="shared" si="27"/>
        <v>15.172780032621477</v>
      </c>
    </row>
    <row r="563" spans="1:13" hidden="1" outlineLevel="2">
      <c r="A563" s="172">
        <v>46082</v>
      </c>
      <c r="B563" s="1" t="s">
        <v>1720</v>
      </c>
      <c r="C563" s="379">
        <v>889551843186</v>
      </c>
      <c r="D563" s="742" t="s">
        <v>45</v>
      </c>
      <c r="E563" s="743">
        <v>10.5</v>
      </c>
      <c r="F563" s="761"/>
      <c r="G563" s="761">
        <v>0</v>
      </c>
      <c r="H563" s="761">
        <v>15.172780032621477</v>
      </c>
      <c r="I563" s="761">
        <v>0</v>
      </c>
      <c r="J563" s="761"/>
      <c r="K563" s="761">
        <v>0</v>
      </c>
      <c r="L563" s="29"/>
      <c r="M563" s="29">
        <f t="shared" si="27"/>
        <v>15.172780032621477</v>
      </c>
    </row>
    <row r="564" spans="1:13" hidden="1" outlineLevel="2">
      <c r="A564" s="172">
        <v>46082</v>
      </c>
      <c r="B564" s="1" t="s">
        <v>1722</v>
      </c>
      <c r="C564" s="379" t="s">
        <v>1657</v>
      </c>
      <c r="D564" s="742" t="s">
        <v>1333</v>
      </c>
      <c r="E564" s="743"/>
      <c r="F564" s="761"/>
      <c r="G564" s="761">
        <v>0</v>
      </c>
      <c r="H564" s="761">
        <v>15.172780032621477</v>
      </c>
      <c r="I564" s="761">
        <v>0</v>
      </c>
      <c r="J564" s="761"/>
      <c r="K564" s="761">
        <v>0</v>
      </c>
      <c r="L564" s="29"/>
      <c r="M564" s="29">
        <f t="shared" si="27"/>
        <v>15.172780032621477</v>
      </c>
    </row>
    <row r="565" spans="1:13" hidden="1" outlineLevel="2">
      <c r="A565" s="172">
        <v>46082</v>
      </c>
      <c r="B565" s="1" t="s">
        <v>1723</v>
      </c>
      <c r="C565" s="379" t="s">
        <v>1658</v>
      </c>
      <c r="D565" s="742" t="s">
        <v>1333</v>
      </c>
      <c r="E565" s="743"/>
      <c r="F565" s="761"/>
      <c r="G565" s="761">
        <v>0</v>
      </c>
      <c r="H565" s="761">
        <v>15.172780032621477</v>
      </c>
      <c r="I565" s="761">
        <v>0</v>
      </c>
      <c r="J565" s="761"/>
      <c r="K565" s="761">
        <v>0</v>
      </c>
      <c r="L565" s="29"/>
      <c r="M565" s="29">
        <f t="shared" si="27"/>
        <v>15.172780032621477</v>
      </c>
    </row>
    <row r="566" spans="1:13" hidden="1" outlineLevel="2">
      <c r="A566" s="172">
        <v>46082</v>
      </c>
      <c r="B566" s="1" t="s">
        <v>1510</v>
      </c>
      <c r="C566" s="379" t="s">
        <v>1659</v>
      </c>
      <c r="D566" s="742" t="s">
        <v>1333</v>
      </c>
      <c r="E566" s="743"/>
      <c r="F566" s="761"/>
      <c r="G566" s="761">
        <v>0</v>
      </c>
      <c r="H566" s="761">
        <v>15.172780032621477</v>
      </c>
      <c r="I566" s="761">
        <v>0</v>
      </c>
      <c r="J566" s="761"/>
      <c r="K566" s="761">
        <v>0</v>
      </c>
      <c r="L566" s="29"/>
      <c r="M566" s="29">
        <f t="shared" si="27"/>
        <v>15.172780032621477</v>
      </c>
    </row>
    <row r="567" spans="1:13" hidden="1" outlineLevel="2">
      <c r="A567" s="172">
        <v>46082</v>
      </c>
      <c r="B567" s="1" t="s">
        <v>988</v>
      </c>
      <c r="C567" s="379" t="s">
        <v>1660</v>
      </c>
      <c r="D567" s="742" t="s">
        <v>1333</v>
      </c>
      <c r="E567" s="743"/>
      <c r="F567" s="761"/>
      <c r="G567" s="761">
        <v>0</v>
      </c>
      <c r="H567" s="761">
        <v>15.172780032621477</v>
      </c>
      <c r="I567" s="761">
        <v>0</v>
      </c>
      <c r="J567" s="761"/>
      <c r="K567" s="761">
        <v>0</v>
      </c>
      <c r="L567" s="29"/>
      <c r="M567" s="29">
        <f t="shared" si="27"/>
        <v>15.172780032621477</v>
      </c>
    </row>
    <row r="568" spans="1:13" hidden="1" outlineLevel="2">
      <c r="A568" s="172">
        <v>46082</v>
      </c>
      <c r="B568" s="1" t="s">
        <v>1506</v>
      </c>
      <c r="C568" s="379" t="s">
        <v>1661</v>
      </c>
      <c r="D568" s="742" t="s">
        <v>1333</v>
      </c>
      <c r="E568" s="743"/>
      <c r="F568" s="761"/>
      <c r="G568" s="761">
        <v>0</v>
      </c>
      <c r="H568" s="761">
        <v>15.172780032621477</v>
      </c>
      <c r="I568" s="761">
        <v>0</v>
      </c>
      <c r="J568" s="761"/>
      <c r="K568" s="761">
        <v>0</v>
      </c>
      <c r="L568" s="29"/>
      <c r="M568" s="29">
        <f t="shared" si="27"/>
        <v>15.172780032621477</v>
      </c>
    </row>
    <row r="569" spans="1:13" hidden="1" outlineLevel="2">
      <c r="A569" s="172">
        <v>46082</v>
      </c>
      <c r="B569" s="1" t="s">
        <v>1508</v>
      </c>
      <c r="C569" s="379" t="s">
        <v>1662</v>
      </c>
      <c r="D569" s="742" t="s">
        <v>1333</v>
      </c>
      <c r="E569" s="743"/>
      <c r="F569" s="761"/>
      <c r="G569" s="761">
        <v>0</v>
      </c>
      <c r="H569" s="761">
        <v>15.172780032621477</v>
      </c>
      <c r="I569" s="761">
        <v>0</v>
      </c>
      <c r="J569" s="761"/>
      <c r="K569" s="761">
        <v>0</v>
      </c>
      <c r="L569" s="29"/>
      <c r="M569" s="29">
        <f t="shared" si="27"/>
        <v>15.172780032621477</v>
      </c>
    </row>
    <row r="570" spans="1:13" hidden="1" outlineLevel="2">
      <c r="A570" s="172">
        <v>46082</v>
      </c>
      <c r="B570" s="1" t="s">
        <v>987</v>
      </c>
      <c r="C570" s="379" t="s">
        <v>1663</v>
      </c>
      <c r="D570" s="742" t="s">
        <v>1333</v>
      </c>
      <c r="E570" s="743"/>
      <c r="F570" s="761"/>
      <c r="G570" s="761">
        <v>0</v>
      </c>
      <c r="H570" s="761">
        <v>15.172780032621477</v>
      </c>
      <c r="I570" s="761">
        <v>0</v>
      </c>
      <c r="J570" s="761"/>
      <c r="K570" s="761">
        <v>0</v>
      </c>
      <c r="L570" s="29"/>
      <c r="M570" s="29">
        <f t="shared" si="27"/>
        <v>15.172780032621477</v>
      </c>
    </row>
    <row r="571" spans="1:13" hidden="1" outlineLevel="2">
      <c r="A571" s="172">
        <v>46082</v>
      </c>
      <c r="B571" s="1" t="s">
        <v>1724</v>
      </c>
      <c r="C571" s="379" t="s">
        <v>1664</v>
      </c>
      <c r="D571" s="742" t="s">
        <v>1333</v>
      </c>
      <c r="E571" s="743"/>
      <c r="F571" s="761"/>
      <c r="G571" s="761">
        <v>0</v>
      </c>
      <c r="H571" s="761">
        <v>15.172780032621477</v>
      </c>
      <c r="I571" s="761">
        <v>0</v>
      </c>
      <c r="J571" s="761"/>
      <c r="K571" s="761">
        <v>0</v>
      </c>
      <c r="L571" s="29"/>
      <c r="M571" s="29">
        <f t="shared" si="27"/>
        <v>15.172780032621477</v>
      </c>
    </row>
    <row r="572" spans="1:13" hidden="1" outlineLevel="2">
      <c r="A572" s="172">
        <v>46082</v>
      </c>
      <c r="B572" s="1" t="s">
        <v>1725</v>
      </c>
      <c r="C572" s="379" t="s">
        <v>1665</v>
      </c>
      <c r="D572" s="742" t="s">
        <v>1333</v>
      </c>
      <c r="E572" s="743"/>
      <c r="F572" s="761"/>
      <c r="G572" s="761">
        <v>0</v>
      </c>
      <c r="H572" s="761">
        <v>15.172780032621477</v>
      </c>
      <c r="I572" s="761">
        <v>0</v>
      </c>
      <c r="J572" s="761"/>
      <c r="K572" s="761">
        <v>0</v>
      </c>
      <c r="L572" s="29"/>
      <c r="M572" s="29">
        <f t="shared" si="27"/>
        <v>15.172780032621477</v>
      </c>
    </row>
    <row r="573" spans="1:13" hidden="1" outlineLevel="2">
      <c r="A573" s="172">
        <v>46082</v>
      </c>
      <c r="B573" s="1" t="s">
        <v>1726</v>
      </c>
      <c r="C573" s="379" t="s">
        <v>1666</v>
      </c>
      <c r="D573" s="742" t="s">
        <v>1333</v>
      </c>
      <c r="E573" s="743"/>
      <c r="F573" s="761"/>
      <c r="G573" s="761">
        <v>0</v>
      </c>
      <c r="H573" s="761">
        <v>15.172780032621477</v>
      </c>
      <c r="I573" s="761">
        <v>0</v>
      </c>
      <c r="J573" s="761"/>
      <c r="K573" s="761">
        <v>0</v>
      </c>
      <c r="L573" s="29"/>
      <c r="M573" s="29">
        <f t="shared" si="27"/>
        <v>15.172780032621477</v>
      </c>
    </row>
    <row r="574" spans="1:13" hidden="1" outlineLevel="2">
      <c r="A574" s="172">
        <v>46082</v>
      </c>
      <c r="B574" s="1" t="s">
        <v>1586</v>
      </c>
      <c r="C574" s="379">
        <v>4915082647</v>
      </c>
      <c r="D574" s="742"/>
      <c r="E574" s="743"/>
      <c r="F574" s="761"/>
      <c r="G574" s="761"/>
      <c r="H574" s="761"/>
      <c r="I574" s="761">
        <v>305.73</v>
      </c>
      <c r="J574" s="761"/>
      <c r="K574" s="761"/>
      <c r="L574" s="29">
        <v>33.404191205255529</v>
      </c>
      <c r="M574" s="29">
        <f t="shared" si="27"/>
        <v>339.13419120525555</v>
      </c>
    </row>
    <row r="575" spans="1:13" hidden="1" outlineLevel="2">
      <c r="A575" s="172">
        <v>46082</v>
      </c>
      <c r="B575" s="1" t="s">
        <v>1581</v>
      </c>
      <c r="C575" s="379" t="s">
        <v>1734</v>
      </c>
      <c r="D575" s="742" t="s">
        <v>103</v>
      </c>
      <c r="E575" s="743">
        <f>_xlfn.XLOOKUP(C575,[1]Material!$F:$F,[1]Material!$D:$D)</f>
        <v>353.43</v>
      </c>
      <c r="F575" s="761"/>
      <c r="G575" s="761">
        <v>43.621742593786749</v>
      </c>
      <c r="H575" s="761">
        <v>20.483253044038992</v>
      </c>
      <c r="I575" s="761">
        <v>138.2858172438645</v>
      </c>
      <c r="J575" s="761"/>
      <c r="K575" s="761">
        <v>41.888252475059744</v>
      </c>
      <c r="L575" s="29"/>
      <c r="M575" s="29">
        <f t="shared" si="27"/>
        <v>244.27906535674998</v>
      </c>
    </row>
    <row r="576" spans="1:13" hidden="1" outlineLevel="2">
      <c r="A576" s="172">
        <v>46082</v>
      </c>
      <c r="B576" s="1" t="s">
        <v>1581</v>
      </c>
      <c r="C576" s="379" t="s">
        <v>1736</v>
      </c>
      <c r="D576" s="742" t="s">
        <v>103</v>
      </c>
      <c r="E576" s="743">
        <f>_xlfn.XLOOKUP(C576,[1]Material!$F:$F,[1]Material!$D:$D)</f>
        <v>261.48</v>
      </c>
      <c r="F576" s="761"/>
      <c r="G576" s="761">
        <v>43.621742593786749</v>
      </c>
      <c r="H576" s="761">
        <v>20.483253044038992</v>
      </c>
      <c r="I576" s="761">
        <v>104.52342297917536</v>
      </c>
      <c r="J576" s="761"/>
      <c r="K576" s="761">
        <v>33.674468004400104</v>
      </c>
      <c r="L576" s="29"/>
      <c r="M576" s="29">
        <f t="shared" si="27"/>
        <v>202.3028866214012</v>
      </c>
    </row>
    <row r="577" spans="1:13" outlineLevel="1" collapsed="1">
      <c r="A577" s="172" t="s">
        <v>1750</v>
      </c>
      <c r="B577" s="1"/>
      <c r="C577" s="144"/>
      <c r="D577" s="763"/>
      <c r="E577" s="399">
        <f t="shared" ref="E577:M577" si="28">SUBTOTAL(9,E455:E576)</f>
        <v>6519.2599999999984</v>
      </c>
      <c r="F577" s="1">
        <f t="shared" si="28"/>
        <v>0</v>
      </c>
      <c r="G577" s="59">
        <f t="shared" si="28"/>
        <v>361.87080377802221</v>
      </c>
      <c r="H577" s="59">
        <f t="shared" si="28"/>
        <v>1838.9389898721665</v>
      </c>
      <c r="I577" s="563">
        <f t="shared" si="28"/>
        <v>7521.6872571406911</v>
      </c>
      <c r="J577" s="59">
        <f t="shared" si="28"/>
        <v>0</v>
      </c>
      <c r="K577" s="563">
        <f t="shared" si="28"/>
        <v>382.10969919963588</v>
      </c>
      <c r="L577" s="59">
        <f t="shared" si="28"/>
        <v>133.73482801144073</v>
      </c>
      <c r="M577" s="29">
        <f t="shared" si="28"/>
        <v>10238.341578001922</v>
      </c>
    </row>
    <row r="578" spans="1:13" hidden="1" outlineLevel="2">
      <c r="A578" s="172">
        <v>46113</v>
      </c>
      <c r="B578" s="1" t="s">
        <v>934</v>
      </c>
      <c r="C578" s="379">
        <v>1040455032</v>
      </c>
      <c r="D578" s="742" t="str">
        <f>VLOOKUP(C578,[1]Material!F:J,5,0)</f>
        <v>DHL</v>
      </c>
      <c r="E578" s="764">
        <f>_xlfn.XLOOKUP(C578,[1]Material!$F:$F,[1]Material!$D:$D)</f>
        <v>0.4</v>
      </c>
      <c r="F578" s="761"/>
      <c r="G578" s="761">
        <v>0</v>
      </c>
      <c r="H578" s="761">
        <v>15.170478249326811</v>
      </c>
      <c r="I578" s="761">
        <v>0</v>
      </c>
      <c r="J578" s="761"/>
      <c r="K578" s="761"/>
      <c r="L578" s="29">
        <v>0</v>
      </c>
      <c r="M578" s="29">
        <f t="shared" ref="M578:M641" si="29">SUM(G578:L578)</f>
        <v>15.170478249326811</v>
      </c>
    </row>
    <row r="579" spans="1:13" hidden="1" outlineLevel="2">
      <c r="A579" s="172">
        <v>46113</v>
      </c>
      <c r="B579" s="1" t="s">
        <v>934</v>
      </c>
      <c r="C579" s="379">
        <v>1040455905</v>
      </c>
      <c r="D579" s="742" t="str">
        <f>VLOOKUP(C579,[1]Material!F:J,5,0)</f>
        <v>DHL</v>
      </c>
      <c r="E579" s="764">
        <f>_xlfn.XLOOKUP(C579,[1]Material!$F:$F,[1]Material!$D:$D)</f>
        <v>0.3</v>
      </c>
      <c r="F579" s="761"/>
      <c r="G579" s="761">
        <v>0</v>
      </c>
      <c r="H579" s="761">
        <v>15.170478249326811</v>
      </c>
      <c r="I579" s="761">
        <v>0</v>
      </c>
      <c r="J579" s="761"/>
      <c r="K579" s="761"/>
      <c r="L579" s="29">
        <v>0</v>
      </c>
      <c r="M579" s="29">
        <f t="shared" si="29"/>
        <v>15.170478249326811</v>
      </c>
    </row>
    <row r="580" spans="1:13" hidden="1" outlineLevel="2">
      <c r="A580" s="172">
        <v>46113</v>
      </c>
      <c r="B580" s="1" t="s">
        <v>110</v>
      </c>
      <c r="C580" s="379">
        <v>4052798086</v>
      </c>
      <c r="D580" s="742" t="s">
        <v>897</v>
      </c>
      <c r="E580" s="764">
        <v>43.5</v>
      </c>
      <c r="F580" s="761"/>
      <c r="G580" s="761">
        <v>0</v>
      </c>
      <c r="H580" s="761">
        <v>15.170478249326811</v>
      </c>
      <c r="I580" s="761">
        <v>0</v>
      </c>
      <c r="J580" s="761"/>
      <c r="K580" s="761"/>
      <c r="L580" s="29">
        <v>0</v>
      </c>
      <c r="M580" s="29">
        <f t="shared" si="29"/>
        <v>15.170478249326811</v>
      </c>
    </row>
    <row r="581" spans="1:13" hidden="1" outlineLevel="2">
      <c r="A581" s="172">
        <v>46113</v>
      </c>
      <c r="B581" s="1" t="s">
        <v>962</v>
      </c>
      <c r="C581" s="379">
        <v>4915082647</v>
      </c>
      <c r="D581" s="742" t="str">
        <f>VLOOKUP(C581,[1]Material!F:J,5,0)</f>
        <v>Expeditors</v>
      </c>
      <c r="E581" s="764">
        <f>_xlfn.XLOOKUP(C581,[1]Material!$F:$F,[1]Material!$D:$D)</f>
        <v>96</v>
      </c>
      <c r="F581" s="761"/>
      <c r="G581" s="761">
        <v>18.204573899192173</v>
      </c>
      <c r="H581" s="761">
        <v>15.170478249326811</v>
      </c>
      <c r="I581" s="761">
        <v>0</v>
      </c>
      <c r="J581" s="761"/>
      <c r="K581" s="761"/>
      <c r="L581" s="29">
        <v>18.525505366556679</v>
      </c>
      <c r="M581" s="29">
        <f t="shared" si="29"/>
        <v>51.900557515075661</v>
      </c>
    </row>
    <row r="582" spans="1:13" hidden="1" outlineLevel="2">
      <c r="A582" s="172">
        <v>46113</v>
      </c>
      <c r="B582" s="1" t="s">
        <v>522</v>
      </c>
      <c r="C582" s="379">
        <v>4915086786</v>
      </c>
      <c r="D582" s="742" t="str">
        <f>VLOOKUP(C582,[1]Material!F:J,5,0)</f>
        <v>Expeditors</v>
      </c>
      <c r="E582" s="764">
        <f>_xlfn.XLOOKUP(C582,[1]Material!$F:$F,[1]Material!$D:$D)</f>
        <v>98</v>
      </c>
      <c r="F582" s="761"/>
      <c r="G582" s="761">
        <v>18.204573899192173</v>
      </c>
      <c r="H582" s="761">
        <v>15.170478249326811</v>
      </c>
      <c r="I582" s="761">
        <v>310.26</v>
      </c>
      <c r="J582" s="761"/>
      <c r="K582" s="761"/>
      <c r="L582" s="29">
        <v>52.074028403362668</v>
      </c>
      <c r="M582" s="29">
        <f t="shared" si="29"/>
        <v>395.70908055188164</v>
      </c>
    </row>
    <row r="583" spans="1:13" hidden="1" outlineLevel="2">
      <c r="A583" s="172">
        <v>46113</v>
      </c>
      <c r="B583" s="1" t="s">
        <v>951</v>
      </c>
      <c r="C583" s="379">
        <v>5973800814</v>
      </c>
      <c r="D583" s="742" t="str">
        <f>VLOOKUP(C583,[1]Material!F:J,5,0)</f>
        <v>DHL</v>
      </c>
      <c r="E583" s="764">
        <f>_xlfn.XLOOKUP(C583,[1]Material!$F:$F,[1]Material!$D:$D)</f>
        <v>1.4</v>
      </c>
      <c r="F583" s="761"/>
      <c r="G583" s="761">
        <v>0</v>
      </c>
      <c r="H583" s="761">
        <v>15.170478249326811</v>
      </c>
      <c r="I583" s="761">
        <v>0</v>
      </c>
      <c r="J583" s="761"/>
      <c r="K583" s="761"/>
      <c r="L583" s="29">
        <v>0</v>
      </c>
      <c r="M583" s="29">
        <f t="shared" si="29"/>
        <v>15.170478249326811</v>
      </c>
    </row>
    <row r="584" spans="1:13" hidden="1" outlineLevel="2">
      <c r="A584" s="172">
        <v>46113</v>
      </c>
      <c r="B584" s="1" t="s">
        <v>973</v>
      </c>
      <c r="C584" s="379">
        <v>5973828265</v>
      </c>
      <c r="D584" s="742" t="str">
        <f>VLOOKUP(C584,[1]Material!F:J,5,0)</f>
        <v>DHL</v>
      </c>
      <c r="E584" s="764">
        <f>_xlfn.XLOOKUP(C584,[1]Material!$F:$F,[1]Material!$D:$D)</f>
        <v>14.1</v>
      </c>
      <c r="F584" s="761"/>
      <c r="G584" s="761">
        <v>0</v>
      </c>
      <c r="H584" s="761">
        <v>15.170478249326811</v>
      </c>
      <c r="I584" s="761">
        <v>0</v>
      </c>
      <c r="J584" s="761"/>
      <c r="K584" s="761"/>
      <c r="L584" s="29">
        <v>0</v>
      </c>
      <c r="M584" s="29">
        <f t="shared" si="29"/>
        <v>15.170478249326811</v>
      </c>
    </row>
    <row r="585" spans="1:13" hidden="1" outlineLevel="2">
      <c r="A585" s="172">
        <v>46113</v>
      </c>
      <c r="B585" s="1" t="s">
        <v>973</v>
      </c>
      <c r="C585" s="379">
        <v>5973851354</v>
      </c>
      <c r="D585" s="742" t="str">
        <f>VLOOKUP(C585,[1]Material!F:J,5,0)</f>
        <v>DHL</v>
      </c>
      <c r="E585" s="764">
        <f>_xlfn.XLOOKUP(C585,[1]Material!$F:$F,[1]Material!$D:$D)</f>
        <v>125.7</v>
      </c>
      <c r="F585" s="761"/>
      <c r="G585" s="761">
        <v>0</v>
      </c>
      <c r="H585" s="761">
        <v>15.170478249326811</v>
      </c>
      <c r="I585" s="761">
        <v>0</v>
      </c>
      <c r="J585" s="761"/>
      <c r="K585" s="761"/>
      <c r="L585" s="29">
        <v>0</v>
      </c>
      <c r="M585" s="29">
        <f t="shared" si="29"/>
        <v>15.170478249326811</v>
      </c>
    </row>
    <row r="586" spans="1:13" hidden="1" outlineLevel="2">
      <c r="A586" s="172">
        <v>46113</v>
      </c>
      <c r="B586" s="1" t="s">
        <v>951</v>
      </c>
      <c r="C586" s="379">
        <v>5973859371</v>
      </c>
      <c r="D586" s="742" t="str">
        <f>VLOOKUP(C586,[1]Material!F:J,5,0)</f>
        <v>DHL</v>
      </c>
      <c r="E586" s="764">
        <f>_xlfn.XLOOKUP(C586,[1]Material!$F:$F,[1]Material!$D:$D)</f>
        <v>0.3</v>
      </c>
      <c r="F586" s="761"/>
      <c r="G586" s="761">
        <v>0</v>
      </c>
      <c r="H586" s="761">
        <v>15.170478249326811</v>
      </c>
      <c r="I586" s="761">
        <v>0</v>
      </c>
      <c r="J586" s="761"/>
      <c r="K586" s="761"/>
      <c r="L586" s="29">
        <v>0</v>
      </c>
      <c r="M586" s="29">
        <f t="shared" si="29"/>
        <v>15.170478249326811</v>
      </c>
    </row>
    <row r="587" spans="1:13" hidden="1" outlineLevel="2">
      <c r="A587" s="172">
        <v>46113</v>
      </c>
      <c r="B587" s="1" t="s">
        <v>973</v>
      </c>
      <c r="C587" s="379">
        <v>5973860826</v>
      </c>
      <c r="D587" s="742" t="str">
        <f>VLOOKUP(C587,[1]Material!F:J,5,0)</f>
        <v>DHL</v>
      </c>
      <c r="E587" s="764">
        <f>_xlfn.XLOOKUP(C587,[1]Material!$F:$F,[1]Material!$D:$D)</f>
        <v>16.600000000000001</v>
      </c>
      <c r="F587" s="761"/>
      <c r="G587" s="761">
        <v>0</v>
      </c>
      <c r="H587" s="761">
        <v>15.170478249326811</v>
      </c>
      <c r="I587" s="761">
        <v>0</v>
      </c>
      <c r="J587" s="761"/>
      <c r="K587" s="761"/>
      <c r="L587" s="29">
        <v>0</v>
      </c>
      <c r="M587" s="29">
        <f t="shared" si="29"/>
        <v>15.170478249326811</v>
      </c>
    </row>
    <row r="588" spans="1:13" hidden="1" outlineLevel="2">
      <c r="A588" s="172">
        <v>46113</v>
      </c>
      <c r="B588" s="1" t="s">
        <v>944</v>
      </c>
      <c r="C588" s="379">
        <v>119209709629</v>
      </c>
      <c r="D588" s="742" t="str">
        <f>VLOOKUP(C588,[1]Material!F:J,5,0)</f>
        <v>Fedex</v>
      </c>
      <c r="E588" s="764">
        <f>_xlfn.XLOOKUP(C588,[1]Material!$F:$F,[1]Material!$D:$D)</f>
        <v>2.9</v>
      </c>
      <c r="F588" s="761"/>
      <c r="G588" s="761">
        <v>0</v>
      </c>
      <c r="H588" s="761">
        <v>15.170478249326811</v>
      </c>
      <c r="I588" s="761">
        <v>0</v>
      </c>
      <c r="J588" s="761"/>
      <c r="K588" s="761"/>
      <c r="L588" s="29">
        <v>0</v>
      </c>
      <c r="M588" s="29">
        <f t="shared" si="29"/>
        <v>15.170478249326811</v>
      </c>
    </row>
    <row r="589" spans="1:13" hidden="1" outlineLevel="2">
      <c r="A589" s="172">
        <v>46113</v>
      </c>
      <c r="B589" s="1" t="s">
        <v>802</v>
      </c>
      <c r="C589" s="379">
        <v>380030072085</v>
      </c>
      <c r="D589" s="742" t="str">
        <f>VLOOKUP(C589,[1]Material!F:J,5,0)</f>
        <v>Fedex</v>
      </c>
      <c r="E589" s="764">
        <f>_xlfn.XLOOKUP(C589,[1]Material!$F:$F,[1]Material!$D:$D)</f>
        <v>1.3</v>
      </c>
      <c r="F589" s="761"/>
      <c r="G589" s="761">
        <v>0</v>
      </c>
      <c r="H589" s="761">
        <v>30.340956498653622</v>
      </c>
      <c r="I589" s="761">
        <v>34.384950885576664</v>
      </c>
      <c r="J589" s="761"/>
      <c r="K589" s="761"/>
      <c r="L589" s="29">
        <v>0</v>
      </c>
      <c r="M589" s="29">
        <f t="shared" si="29"/>
        <v>64.725907384230283</v>
      </c>
    </row>
    <row r="590" spans="1:13" hidden="1" outlineLevel="2">
      <c r="A590" s="172">
        <v>46113</v>
      </c>
      <c r="B590" s="1" t="s">
        <v>804</v>
      </c>
      <c r="C590" s="379">
        <v>380125791999</v>
      </c>
      <c r="D590" s="742" t="str">
        <f>VLOOKUP(C590,[1]Material!F:J,5,0)</f>
        <v>Fedex</v>
      </c>
      <c r="E590" s="764">
        <f>_xlfn.XLOOKUP(C590,[1]Material!$F:$F,[1]Material!$D:$D)</f>
        <v>1</v>
      </c>
      <c r="F590" s="761"/>
      <c r="G590" s="761">
        <v>0</v>
      </c>
      <c r="H590" s="761">
        <v>30.340956498653622</v>
      </c>
      <c r="I590" s="761">
        <v>17.009140213145219</v>
      </c>
      <c r="J590" s="761"/>
      <c r="K590" s="761"/>
      <c r="L590" s="29">
        <v>0</v>
      </c>
      <c r="M590" s="29">
        <f t="shared" si="29"/>
        <v>47.350096711798841</v>
      </c>
    </row>
    <row r="591" spans="1:13" hidden="1" outlineLevel="2">
      <c r="A591" s="172">
        <v>46113</v>
      </c>
      <c r="B591" s="1" t="s">
        <v>804</v>
      </c>
      <c r="C591" s="379">
        <v>380279569711</v>
      </c>
      <c r="D591" s="742" t="str">
        <f>VLOOKUP(C591,[1]Material!F:J,5,0)</f>
        <v>Fedex</v>
      </c>
      <c r="E591" s="764">
        <f>_xlfn.XLOOKUP(C591,[1]Material!$F:$F,[1]Material!$D:$D)</f>
        <v>4.0999999999999996</v>
      </c>
      <c r="F591" s="761"/>
      <c r="G591" s="761">
        <v>0</v>
      </c>
      <c r="H591" s="761">
        <v>30.340956498653622</v>
      </c>
      <c r="I591" s="761">
        <v>44.18409375355558</v>
      </c>
      <c r="J591" s="761"/>
      <c r="K591" s="761"/>
      <c r="L591" s="29">
        <v>0</v>
      </c>
      <c r="M591" s="29">
        <f t="shared" si="29"/>
        <v>74.525050252209198</v>
      </c>
    </row>
    <row r="592" spans="1:13" hidden="1" outlineLevel="2">
      <c r="A592" s="172">
        <v>46113</v>
      </c>
      <c r="B592" s="1" t="s">
        <v>802</v>
      </c>
      <c r="C592" s="379">
        <v>380289531086</v>
      </c>
      <c r="D592" s="742" t="str">
        <f>VLOOKUP(C592,[1]Material!F:J,5,0)</f>
        <v>Fedex</v>
      </c>
      <c r="E592" s="764">
        <f>_xlfn.XLOOKUP(C592,[1]Material!$F:$F,[1]Material!$D:$D)</f>
        <v>4.3</v>
      </c>
      <c r="F592" s="761"/>
      <c r="G592" s="761">
        <v>0</v>
      </c>
      <c r="H592" s="761">
        <v>30.340956498653622</v>
      </c>
      <c r="I592" s="761">
        <v>63.902453824856828</v>
      </c>
      <c r="J592" s="761"/>
      <c r="K592" s="761"/>
      <c r="L592" s="29">
        <v>0</v>
      </c>
      <c r="M592" s="29">
        <f t="shared" si="29"/>
        <v>94.243410323510446</v>
      </c>
    </row>
    <row r="593" spans="1:13" hidden="1" outlineLevel="2">
      <c r="A593" s="172">
        <v>46113</v>
      </c>
      <c r="B593" s="1" t="s">
        <v>974</v>
      </c>
      <c r="C593" s="379">
        <v>380402668470</v>
      </c>
      <c r="D593" s="742" t="str">
        <f>VLOOKUP(C593,[1]Material!F:J,5,0)</f>
        <v>Fedex</v>
      </c>
      <c r="E593" s="764">
        <f>_xlfn.XLOOKUP(C593,[1]Material!$F:$F,[1]Material!$D:$D)</f>
        <v>0.4</v>
      </c>
      <c r="F593" s="761"/>
      <c r="G593" s="761">
        <v>0</v>
      </c>
      <c r="H593" s="761">
        <v>30.340956498653622</v>
      </c>
      <c r="I593" s="761">
        <v>30.934842795919142</v>
      </c>
      <c r="J593" s="761"/>
      <c r="K593" s="761"/>
      <c r="L593" s="29">
        <v>0</v>
      </c>
      <c r="M593" s="29">
        <f t="shared" si="29"/>
        <v>61.275799294572764</v>
      </c>
    </row>
    <row r="594" spans="1:13" hidden="1" outlineLevel="2">
      <c r="A594" s="172">
        <v>46113</v>
      </c>
      <c r="B594" s="1" t="s">
        <v>804</v>
      </c>
      <c r="C594" s="379">
        <v>380421828098</v>
      </c>
      <c r="D594" s="742" t="str">
        <f>VLOOKUP(C594,[1]Material!F:J,5,0)</f>
        <v>Fedex</v>
      </c>
      <c r="E594" s="764">
        <f>_xlfn.XLOOKUP(C594,[1]Material!$F:$F,[1]Material!$D:$D)</f>
        <v>1.9</v>
      </c>
      <c r="F594" s="761"/>
      <c r="G594" s="761">
        <v>0</v>
      </c>
      <c r="H594" s="761">
        <v>30.340956498653622</v>
      </c>
      <c r="I594" s="761">
        <v>43.067660332991998</v>
      </c>
      <c r="J594" s="761"/>
      <c r="K594" s="761"/>
      <c r="L594" s="29">
        <v>0</v>
      </c>
      <c r="M594" s="29">
        <f t="shared" si="29"/>
        <v>73.408616831645617</v>
      </c>
    </row>
    <row r="595" spans="1:13" hidden="1" outlineLevel="2">
      <c r="A595" s="172">
        <v>46113</v>
      </c>
      <c r="B595" s="1" t="s">
        <v>804</v>
      </c>
      <c r="C595" s="379">
        <v>380432286665</v>
      </c>
      <c r="D595" s="742" t="str">
        <f>VLOOKUP(C595,[1]Material!F:J,5,0)</f>
        <v>Fedex</v>
      </c>
      <c r="E595" s="764">
        <f>_xlfn.XLOOKUP(C595,[1]Material!$F:$F,[1]Material!$D:$D)</f>
        <v>4.5999999999999996</v>
      </c>
      <c r="F595" s="761"/>
      <c r="G595" s="761">
        <v>0</v>
      </c>
      <c r="H595" s="761">
        <v>30.340956498653622</v>
      </c>
      <c r="I595" s="761">
        <v>43.067660332991998</v>
      </c>
      <c r="J595" s="761"/>
      <c r="K595" s="761"/>
      <c r="L595" s="29">
        <v>0</v>
      </c>
      <c r="M595" s="29">
        <f t="shared" si="29"/>
        <v>73.408616831645617</v>
      </c>
    </row>
    <row r="596" spans="1:13" hidden="1" outlineLevel="2">
      <c r="A596" s="172">
        <v>46113</v>
      </c>
      <c r="B596" s="1" t="s">
        <v>974</v>
      </c>
      <c r="C596" s="379">
        <v>380472108764</v>
      </c>
      <c r="D596" s="742" t="str">
        <f>VLOOKUP(C596,[1]Material!F:J,5,0)</f>
        <v>Fedex</v>
      </c>
      <c r="E596" s="764">
        <f>_xlfn.XLOOKUP(C596,[1]Material!$F:$F,[1]Material!$D:$D)</f>
        <v>0.4</v>
      </c>
      <c r="F596" s="761"/>
      <c r="G596" s="761">
        <v>0</v>
      </c>
      <c r="H596" s="761">
        <v>30.340956498653622</v>
      </c>
      <c r="I596" s="761">
        <v>31.051996814199569</v>
      </c>
      <c r="J596" s="761"/>
      <c r="K596" s="761"/>
      <c r="L596" s="29">
        <v>0</v>
      </c>
      <c r="M596" s="29">
        <f t="shared" si="29"/>
        <v>61.392953312853194</v>
      </c>
    </row>
    <row r="597" spans="1:13" hidden="1" outlineLevel="2">
      <c r="A597" s="172">
        <v>46113</v>
      </c>
      <c r="B597" s="1" t="s">
        <v>804</v>
      </c>
      <c r="C597" s="379">
        <v>380475209729</v>
      </c>
      <c r="D597" s="742" t="str">
        <f>VLOOKUP(C597,[1]Material!F:J,5,0)</f>
        <v>Fedex</v>
      </c>
      <c r="E597" s="764">
        <f>_xlfn.XLOOKUP(C597,[1]Material!$F:$F,[1]Material!$D:$D)</f>
        <v>1.7</v>
      </c>
      <c r="F597" s="761"/>
      <c r="G597" s="761">
        <v>0</v>
      </c>
      <c r="H597" s="761">
        <v>30.340956498653622</v>
      </c>
      <c r="I597" s="761">
        <v>37.694163158493573</v>
      </c>
      <c r="J597" s="761"/>
      <c r="K597" s="761"/>
      <c r="L597" s="29">
        <v>0</v>
      </c>
      <c r="M597" s="29">
        <f t="shared" si="29"/>
        <v>68.035119657147192</v>
      </c>
    </row>
    <row r="598" spans="1:13" hidden="1" outlineLevel="2">
      <c r="A598" s="172">
        <v>46113</v>
      </c>
      <c r="B598" s="1" t="s">
        <v>974</v>
      </c>
      <c r="C598" s="379">
        <v>380568832530</v>
      </c>
      <c r="D598" s="742" t="str">
        <f>VLOOKUP(C598,[1]Material!F:J,5,0)</f>
        <v>Fedex</v>
      </c>
      <c r="E598" s="764">
        <f>_xlfn.XLOOKUP(C598,[1]Material!$F:$F,[1]Material!$D:$D)</f>
        <v>0.5</v>
      </c>
      <c r="F598" s="761"/>
      <c r="G598" s="761">
        <v>0</v>
      </c>
      <c r="H598" s="761">
        <v>30.340956498653622</v>
      </c>
      <c r="I598" s="761">
        <v>31.902681382030568</v>
      </c>
      <c r="J598" s="761"/>
      <c r="K598" s="761"/>
      <c r="L598" s="29">
        <v>0</v>
      </c>
      <c r="M598" s="29">
        <f t="shared" si="29"/>
        <v>62.24363788068419</v>
      </c>
    </row>
    <row r="599" spans="1:13" hidden="1" outlineLevel="2">
      <c r="A599" s="172">
        <v>46113</v>
      </c>
      <c r="B599" s="1" t="s">
        <v>804</v>
      </c>
      <c r="C599" s="379">
        <v>380575796470</v>
      </c>
      <c r="D599" s="742" t="str">
        <f>VLOOKUP(C599,[1]Material!F:J,5,0)</f>
        <v>Fedex</v>
      </c>
      <c r="E599" s="764">
        <f>_xlfn.XLOOKUP(C599,[1]Material!$F:$F,[1]Material!$D:$D)</f>
        <v>0.9</v>
      </c>
      <c r="F599" s="761"/>
      <c r="G599" s="761">
        <v>0</v>
      </c>
      <c r="H599" s="761">
        <v>30.340956498653622</v>
      </c>
      <c r="I599" s="761">
        <v>17.067281071035765</v>
      </c>
      <c r="J599" s="761"/>
      <c r="K599" s="761"/>
      <c r="L599" s="29">
        <v>0</v>
      </c>
      <c r="M599" s="29">
        <f t="shared" si="29"/>
        <v>47.408237569689391</v>
      </c>
    </row>
    <row r="600" spans="1:13" hidden="1" outlineLevel="2">
      <c r="A600" s="172">
        <v>46113</v>
      </c>
      <c r="B600" s="1" t="s">
        <v>804</v>
      </c>
      <c r="C600" s="379">
        <v>380623554853</v>
      </c>
      <c r="D600" s="742" t="str">
        <f>VLOOKUP(C600,[1]Material!F:J,5,0)</f>
        <v>Fedex</v>
      </c>
      <c r="E600" s="764">
        <f>_xlfn.XLOOKUP(C600,[1]Material!$F:$F,[1]Material!$D:$D)</f>
        <v>3.1</v>
      </c>
      <c r="F600" s="761"/>
      <c r="G600" s="761"/>
      <c r="H600" s="761">
        <v>0</v>
      </c>
      <c r="I600" s="761">
        <v>40.03694011453711</v>
      </c>
      <c r="J600" s="761"/>
      <c r="K600" s="761"/>
      <c r="L600" s="29"/>
      <c r="M600" s="29">
        <f t="shared" si="29"/>
        <v>40.03694011453711</v>
      </c>
    </row>
    <row r="601" spans="1:13" hidden="1" outlineLevel="2">
      <c r="A601" s="172">
        <v>46113</v>
      </c>
      <c r="B601" s="1" t="s">
        <v>804</v>
      </c>
      <c r="C601" s="379">
        <v>399632439268</v>
      </c>
      <c r="D601" s="742" t="str">
        <f>VLOOKUP(C601,[1]Material!F:J,5,0)</f>
        <v>Fedex</v>
      </c>
      <c r="E601" s="764">
        <f>_xlfn.XLOOKUP(C601,[1]Material!$F:$F,[1]Material!$D:$D)</f>
        <v>1.6</v>
      </c>
      <c r="F601" s="761"/>
      <c r="G601" s="761">
        <v>0</v>
      </c>
      <c r="H601" s="761">
        <v>30.340956498653622</v>
      </c>
      <c r="I601" s="761">
        <v>22.951719952971516</v>
      </c>
      <c r="J601" s="761"/>
      <c r="K601" s="761"/>
      <c r="L601" s="29">
        <v>0</v>
      </c>
      <c r="M601" s="29">
        <f t="shared" si="29"/>
        <v>53.292676451625141</v>
      </c>
    </row>
    <row r="602" spans="1:13" hidden="1" outlineLevel="2">
      <c r="A602" s="172">
        <v>46113</v>
      </c>
      <c r="B602" s="1" t="s">
        <v>802</v>
      </c>
      <c r="C602" s="379">
        <v>399684500338</v>
      </c>
      <c r="D602" s="742" t="str">
        <f>VLOOKUP(C602,[1]Material!F:J,5,0)</f>
        <v>Fedex</v>
      </c>
      <c r="E602" s="764">
        <f>_xlfn.XLOOKUP(C602,[1]Material!$F:$F,[1]Material!$D:$D)</f>
        <v>4.7</v>
      </c>
      <c r="F602" s="761"/>
      <c r="G602" s="761">
        <v>0</v>
      </c>
      <c r="H602" s="761">
        <v>30.340956498653622</v>
      </c>
      <c r="I602" s="761">
        <v>61.435658209125044</v>
      </c>
      <c r="J602" s="761"/>
      <c r="K602" s="761"/>
      <c r="L602" s="29">
        <v>0</v>
      </c>
      <c r="M602" s="29">
        <f t="shared" si="29"/>
        <v>91.776614707778663</v>
      </c>
    </row>
    <row r="603" spans="1:13" hidden="1" outlineLevel="2">
      <c r="A603" s="172">
        <v>46113</v>
      </c>
      <c r="B603" s="1" t="s">
        <v>802</v>
      </c>
      <c r="C603" s="379">
        <v>399719071471</v>
      </c>
      <c r="D603" s="742" t="str">
        <f>VLOOKUP(C603,[1]Material!F:J,5,0)</f>
        <v>Fedex</v>
      </c>
      <c r="E603" s="764">
        <f>_xlfn.XLOOKUP(C603,[1]Material!$F:$F,[1]Material!$D:$D)</f>
        <v>0.5</v>
      </c>
      <c r="F603" s="761"/>
      <c r="G603" s="761"/>
      <c r="H603" s="761">
        <v>0</v>
      </c>
      <c r="I603" s="761">
        <v>18.031137406606742</v>
      </c>
      <c r="J603" s="761"/>
      <c r="K603" s="761"/>
      <c r="L603" s="29"/>
      <c r="M603" s="29">
        <f t="shared" si="29"/>
        <v>18.031137406606742</v>
      </c>
    </row>
    <row r="604" spans="1:13" hidden="1" outlineLevel="2">
      <c r="A604" s="172">
        <v>46113</v>
      </c>
      <c r="B604" s="1" t="s">
        <v>804</v>
      </c>
      <c r="C604" s="379">
        <v>399749875302</v>
      </c>
      <c r="D604" s="742" t="str">
        <f>VLOOKUP(C604,[1]Material!F:J,5,0)</f>
        <v>Fedex</v>
      </c>
      <c r="E604" s="764">
        <f>_xlfn.XLOOKUP(C604,[1]Material!$F:$F,[1]Material!$D:$D)</f>
        <v>20</v>
      </c>
      <c r="F604" s="761"/>
      <c r="G604" s="761">
        <v>0</v>
      </c>
      <c r="H604" s="761">
        <v>30.340956498653622</v>
      </c>
      <c r="I604" s="761">
        <v>130.35555808396859</v>
      </c>
      <c r="J604" s="761"/>
      <c r="K604" s="761"/>
      <c r="L604" s="29">
        <v>0</v>
      </c>
      <c r="M604" s="29">
        <f t="shared" si="29"/>
        <v>160.6965145826222</v>
      </c>
    </row>
    <row r="605" spans="1:13" hidden="1" outlineLevel="2">
      <c r="A605" s="172">
        <v>46113</v>
      </c>
      <c r="B605" s="1" t="s">
        <v>804</v>
      </c>
      <c r="C605" s="379">
        <v>399769939342</v>
      </c>
      <c r="D605" s="742" t="str">
        <f>VLOOKUP(C605,[1]Material!F:J,5,0)</f>
        <v>Fedex</v>
      </c>
      <c r="E605" s="764">
        <f>_xlfn.XLOOKUP(C605,[1]Material!$F:$F,[1]Material!$D:$D)</f>
        <v>0.8</v>
      </c>
      <c r="F605" s="761"/>
      <c r="G605" s="761">
        <v>0</v>
      </c>
      <c r="H605" s="761">
        <v>30.340956498653622</v>
      </c>
      <c r="I605" s="761">
        <v>16.107824174157091</v>
      </c>
      <c r="J605" s="761"/>
      <c r="K605" s="761"/>
      <c r="L605" s="29">
        <v>0</v>
      </c>
      <c r="M605" s="29">
        <f t="shared" si="29"/>
        <v>46.448780672810713</v>
      </c>
    </row>
    <row r="606" spans="1:13" hidden="1" outlineLevel="2">
      <c r="A606" s="172">
        <v>46113</v>
      </c>
      <c r="B606" s="1" t="s">
        <v>802</v>
      </c>
      <c r="C606" s="379">
        <v>399791147925</v>
      </c>
      <c r="D606" s="742" t="str">
        <f>VLOOKUP(C606,[1]Material!F:J,5,0)</f>
        <v>Fedex</v>
      </c>
      <c r="E606" s="764">
        <f>_xlfn.XLOOKUP(C606,[1]Material!$F:$F,[1]Material!$D:$D)</f>
        <v>4.5</v>
      </c>
      <c r="F606" s="761"/>
      <c r="G606" s="761">
        <v>0</v>
      </c>
      <c r="H606" s="761">
        <v>30.340956498653622</v>
      </c>
      <c r="I606" s="761">
        <v>52.630333371259532</v>
      </c>
      <c r="J606" s="761"/>
      <c r="K606" s="761"/>
      <c r="L606" s="29">
        <v>0</v>
      </c>
      <c r="M606" s="29">
        <f t="shared" si="29"/>
        <v>82.97128986991315</v>
      </c>
    </row>
    <row r="607" spans="1:13" hidden="1" outlineLevel="2">
      <c r="A607" s="172">
        <v>46113</v>
      </c>
      <c r="B607" s="1" t="s">
        <v>802</v>
      </c>
      <c r="C607" s="379">
        <v>399793875044</v>
      </c>
      <c r="D607" s="742" t="str">
        <f>VLOOKUP(C607,[1]Material!F:J,5,0)</f>
        <v>Fedex</v>
      </c>
      <c r="E607" s="764">
        <f>_xlfn.XLOOKUP(C607,[1]Material!$F:$F,[1]Material!$D:$D)</f>
        <v>1.3</v>
      </c>
      <c r="F607" s="761"/>
      <c r="G607" s="761">
        <v>0</v>
      </c>
      <c r="H607" s="761">
        <v>30.340956498653622</v>
      </c>
      <c r="I607" s="761">
        <v>32.562824743050022</v>
      </c>
      <c r="J607" s="761"/>
      <c r="K607" s="761"/>
      <c r="L607" s="29">
        <v>0</v>
      </c>
      <c r="M607" s="29">
        <f t="shared" si="29"/>
        <v>62.903781241703641</v>
      </c>
    </row>
    <row r="608" spans="1:13" hidden="1" outlineLevel="2">
      <c r="A608" s="172">
        <v>46113</v>
      </c>
      <c r="B608" s="1" t="s">
        <v>802</v>
      </c>
      <c r="C608" s="379">
        <v>399892935500</v>
      </c>
      <c r="D608" s="742" t="str">
        <f>VLOOKUP(C608,[1]Material!F:J,5,0)</f>
        <v>Fedex</v>
      </c>
      <c r="E608" s="764">
        <f>_xlfn.XLOOKUP(C608,[1]Material!$F:$F,[1]Material!$D:$D)</f>
        <v>4.2</v>
      </c>
      <c r="F608" s="761"/>
      <c r="G608" s="761">
        <v>0</v>
      </c>
      <c r="H608" s="761">
        <v>30.340956498653622</v>
      </c>
      <c r="I608" s="761">
        <v>53.865324079341605</v>
      </c>
      <c r="J608" s="761"/>
      <c r="K608" s="761"/>
      <c r="L608" s="29">
        <v>0</v>
      </c>
      <c r="M608" s="29">
        <f t="shared" si="29"/>
        <v>84.20628057799523</v>
      </c>
    </row>
    <row r="609" spans="1:13" hidden="1" outlineLevel="2">
      <c r="A609" s="172">
        <v>46113</v>
      </c>
      <c r="B609" s="1" t="s">
        <v>804</v>
      </c>
      <c r="C609" s="379">
        <v>399968742136</v>
      </c>
      <c r="D609" s="742" t="str">
        <f>VLOOKUP(C609,[1]Material!F:J,5,0)</f>
        <v>Fedex</v>
      </c>
      <c r="E609" s="764">
        <f>_xlfn.XLOOKUP(C609,[1]Material!$F:$F,[1]Material!$D:$D)</f>
        <v>15.4</v>
      </c>
      <c r="F609" s="761"/>
      <c r="G609" s="761">
        <v>0</v>
      </c>
      <c r="H609" s="761">
        <v>30.340956498653622</v>
      </c>
      <c r="I609" s="761">
        <v>97.101869761444235</v>
      </c>
      <c r="J609" s="761"/>
      <c r="K609" s="761"/>
      <c r="L609" s="29">
        <v>0</v>
      </c>
      <c r="M609" s="29">
        <f t="shared" si="29"/>
        <v>127.44282626009786</v>
      </c>
    </row>
    <row r="610" spans="1:13" hidden="1" outlineLevel="2">
      <c r="A610" s="172">
        <v>46113</v>
      </c>
      <c r="B610" s="1" t="s">
        <v>804</v>
      </c>
      <c r="C610" s="379">
        <v>399997323927</v>
      </c>
      <c r="D610" s="742" t="str">
        <f>VLOOKUP(C610,[1]Material!F:J,5,0)</f>
        <v>Fedex</v>
      </c>
      <c r="E610" s="764">
        <f>_xlfn.XLOOKUP(C610,[1]Material!$F:$F,[1]Material!$D:$D)</f>
        <v>4.5999999999999996</v>
      </c>
      <c r="F610" s="761"/>
      <c r="G610" s="761">
        <v>0</v>
      </c>
      <c r="H610" s="761">
        <v>30.340956498653622</v>
      </c>
      <c r="I610" s="761">
        <v>32.516971972541434</v>
      </c>
      <c r="J610" s="761"/>
      <c r="K610" s="761"/>
      <c r="L610" s="29">
        <v>0</v>
      </c>
      <c r="M610" s="29">
        <f t="shared" si="29"/>
        <v>62.857928471195052</v>
      </c>
    </row>
    <row r="611" spans="1:13" hidden="1" outlineLevel="2">
      <c r="A611" s="172">
        <v>46113</v>
      </c>
      <c r="B611" s="1" t="s">
        <v>812</v>
      </c>
      <c r="C611" s="379">
        <v>430998664082</v>
      </c>
      <c r="D611" s="742" t="str">
        <f>VLOOKUP(C611,[1]Material!F:J,5,0)</f>
        <v>Fedex</v>
      </c>
      <c r="E611" s="764">
        <f>_xlfn.XLOOKUP(C611,[1]Material!$F:$F,[1]Material!$D:$D)</f>
        <v>2.4</v>
      </c>
      <c r="F611" s="761"/>
      <c r="G611" s="761">
        <v>0</v>
      </c>
      <c r="H611" s="761">
        <v>30.340956498653622</v>
      </c>
      <c r="I611" s="761">
        <v>48.448856525201954</v>
      </c>
      <c r="J611" s="761"/>
      <c r="K611" s="761"/>
      <c r="L611" s="29">
        <v>0</v>
      </c>
      <c r="M611" s="29">
        <f t="shared" si="29"/>
        <v>78.789813023855572</v>
      </c>
    </row>
    <row r="612" spans="1:13" hidden="1" outlineLevel="2">
      <c r="A612" s="172">
        <v>46113</v>
      </c>
      <c r="B612" s="1" t="s">
        <v>956</v>
      </c>
      <c r="C612" s="379">
        <v>471797726163</v>
      </c>
      <c r="D612" s="742" t="str">
        <f>VLOOKUP(C612,[1]Material!F:J,5,0)</f>
        <v>Fedex</v>
      </c>
      <c r="E612" s="764">
        <f>_xlfn.XLOOKUP(C612,[1]Material!$F:$F,[1]Material!$D:$D)</f>
        <v>44</v>
      </c>
      <c r="F612" s="761"/>
      <c r="G612" s="761">
        <v>0</v>
      </c>
      <c r="H612" s="761">
        <v>30.340956498653622</v>
      </c>
      <c r="I612" s="761">
        <v>157.16031402889976</v>
      </c>
      <c r="J612" s="761"/>
      <c r="K612" s="761"/>
      <c r="L612" s="29">
        <v>0</v>
      </c>
      <c r="M612" s="29">
        <f t="shared" si="29"/>
        <v>187.50127052755337</v>
      </c>
    </row>
    <row r="613" spans="1:13" hidden="1" outlineLevel="2">
      <c r="A613" s="172">
        <v>46113</v>
      </c>
      <c r="B613" s="1" t="s">
        <v>956</v>
      </c>
      <c r="C613" s="379">
        <v>471797726483</v>
      </c>
      <c r="D613" s="742" t="str">
        <f>VLOOKUP(C613,[1]Material!F:J,5,0)</f>
        <v>Fedex</v>
      </c>
      <c r="E613" s="764">
        <f>_xlfn.XLOOKUP(C613,[1]Material!$F:$F,[1]Material!$D:$D)</f>
        <v>32.4</v>
      </c>
      <c r="F613" s="761"/>
      <c r="G613" s="761">
        <v>0</v>
      </c>
      <c r="H613" s="761">
        <v>30.340956498653622</v>
      </c>
      <c r="I613" s="761">
        <v>113.56858952478477</v>
      </c>
      <c r="J613" s="761"/>
      <c r="K613" s="761"/>
      <c r="L613" s="29">
        <v>0</v>
      </c>
      <c r="M613" s="29">
        <f t="shared" si="29"/>
        <v>143.90954602343839</v>
      </c>
    </row>
    <row r="614" spans="1:13" hidden="1" outlineLevel="2">
      <c r="A614" s="172">
        <v>46113</v>
      </c>
      <c r="B614" s="1" t="s">
        <v>956</v>
      </c>
      <c r="C614" s="379">
        <v>471797726921</v>
      </c>
      <c r="D614" s="742" t="str">
        <f>VLOOKUP(C614,[1]Material!F:J,5,0)</f>
        <v>Fedex</v>
      </c>
      <c r="E614" s="764">
        <f>_xlfn.XLOOKUP(C614,[1]Material!$F:$F,[1]Material!$D:$D)</f>
        <v>29.9</v>
      </c>
      <c r="F614" s="761"/>
      <c r="G614" s="761">
        <v>0</v>
      </c>
      <c r="H614" s="761">
        <v>30.340956498653622</v>
      </c>
      <c r="I614" s="761">
        <v>100.72238024803733</v>
      </c>
      <c r="J614" s="761"/>
      <c r="K614" s="761"/>
      <c r="L614" s="29">
        <v>0</v>
      </c>
      <c r="M614" s="29">
        <f t="shared" si="29"/>
        <v>131.06333674669094</v>
      </c>
    </row>
    <row r="615" spans="1:13" hidden="1" outlineLevel="2">
      <c r="A615" s="172">
        <v>46113</v>
      </c>
      <c r="B615" s="1" t="s">
        <v>956</v>
      </c>
      <c r="C615" s="379">
        <v>471797727229</v>
      </c>
      <c r="D615" s="742" t="str">
        <f>VLOOKUP(C615,[1]Material!F:J,5,0)</f>
        <v>Fedex</v>
      </c>
      <c r="E615" s="764">
        <f>_xlfn.XLOOKUP(C615,[1]Material!$F:$F,[1]Material!$D:$D)</f>
        <v>33.700000000000003</v>
      </c>
      <c r="F615" s="761"/>
      <c r="G615" s="761">
        <v>0</v>
      </c>
      <c r="H615" s="761">
        <v>30.340956498653622</v>
      </c>
      <c r="I615" s="761">
        <v>116.50843857852618</v>
      </c>
      <c r="J615" s="761"/>
      <c r="K615" s="761"/>
      <c r="L615" s="29">
        <v>0</v>
      </c>
      <c r="M615" s="29">
        <f t="shared" si="29"/>
        <v>146.84939507717979</v>
      </c>
    </row>
    <row r="616" spans="1:13" hidden="1" outlineLevel="2">
      <c r="A616" s="172">
        <v>46113</v>
      </c>
      <c r="B616" s="1" t="s">
        <v>961</v>
      </c>
      <c r="C616" s="379">
        <v>479272031112</v>
      </c>
      <c r="D616" s="742" t="str">
        <f>VLOOKUP(C616,[1]Material!F:J,5,0)</f>
        <v>Fedex</v>
      </c>
      <c r="E616" s="764">
        <f>_xlfn.XLOOKUP(C616,[1]Material!$F:$F,[1]Material!$D:$D)</f>
        <v>27.2</v>
      </c>
      <c r="F616" s="761"/>
      <c r="G616" s="761">
        <v>0</v>
      </c>
      <c r="H616" s="761">
        <v>15.170478249326811</v>
      </c>
      <c r="I616" s="761">
        <v>0</v>
      </c>
      <c r="J616" s="761"/>
      <c r="K616" s="761"/>
      <c r="L616" s="29">
        <v>0</v>
      </c>
      <c r="M616" s="29">
        <f t="shared" si="29"/>
        <v>15.170478249326811</v>
      </c>
    </row>
    <row r="617" spans="1:13" hidden="1" outlineLevel="2">
      <c r="A617" s="172">
        <v>46113</v>
      </c>
      <c r="B617" s="1" t="s">
        <v>813</v>
      </c>
      <c r="C617" s="379">
        <v>481663284184</v>
      </c>
      <c r="D617" s="742" t="str">
        <f>VLOOKUP(C617,[1]Material!F:J,5,0)</f>
        <v>Fedex</v>
      </c>
      <c r="E617" s="764">
        <f>_xlfn.XLOOKUP(C617,[1]Material!$F:$F,[1]Material!$D:$D)</f>
        <v>10.6</v>
      </c>
      <c r="F617" s="761"/>
      <c r="G617" s="761">
        <v>0</v>
      </c>
      <c r="H617" s="761">
        <v>30.340956498653622</v>
      </c>
      <c r="I617" s="761">
        <v>50.425380210111122</v>
      </c>
      <c r="J617" s="761"/>
      <c r="K617" s="761"/>
      <c r="L617" s="29">
        <v>0</v>
      </c>
      <c r="M617" s="29">
        <f t="shared" si="29"/>
        <v>80.76633670876474</v>
      </c>
    </row>
    <row r="618" spans="1:13" hidden="1" outlineLevel="2">
      <c r="A618" s="172">
        <v>46113</v>
      </c>
      <c r="B618" s="1" t="s">
        <v>813</v>
      </c>
      <c r="C618" s="379">
        <v>481663284942</v>
      </c>
      <c r="D618" s="742" t="str">
        <f>VLOOKUP(C618,[1]Material!F:J,5,0)</f>
        <v>Fedex</v>
      </c>
      <c r="E618" s="764">
        <f>_xlfn.XLOOKUP(C618,[1]Material!$F:$F,[1]Material!$D:$D)</f>
        <v>42.4</v>
      </c>
      <c r="F618" s="761"/>
      <c r="G618" s="761">
        <v>0</v>
      </c>
      <c r="H618" s="761">
        <v>30.340956498653622</v>
      </c>
      <c r="I618" s="761">
        <v>178.76732278985094</v>
      </c>
      <c r="J618" s="761"/>
      <c r="K618" s="761"/>
      <c r="L618" s="29">
        <v>0</v>
      </c>
      <c r="M618" s="29">
        <f t="shared" si="29"/>
        <v>209.10827928850455</v>
      </c>
    </row>
    <row r="619" spans="1:13" hidden="1" outlineLevel="2">
      <c r="A619" s="172">
        <v>46113</v>
      </c>
      <c r="B619" s="1" t="s">
        <v>813</v>
      </c>
      <c r="C619" s="379">
        <v>481663285044</v>
      </c>
      <c r="D619" s="742" t="str">
        <f>VLOOKUP(C619,[1]Material!F:J,5,0)</f>
        <v>Fedex</v>
      </c>
      <c r="E619" s="764">
        <f>_xlfn.XLOOKUP(C619,[1]Material!$F:$F,[1]Material!$D:$D)</f>
        <v>10.6</v>
      </c>
      <c r="F619" s="761"/>
      <c r="G619" s="761">
        <v>0</v>
      </c>
      <c r="H619" s="761">
        <v>30.340956498653622</v>
      </c>
      <c r="I619" s="761">
        <v>52.204042932453447</v>
      </c>
      <c r="J619" s="761"/>
      <c r="K619" s="761"/>
      <c r="L619" s="29">
        <v>0</v>
      </c>
      <c r="M619" s="29">
        <f t="shared" si="29"/>
        <v>82.544999431107072</v>
      </c>
    </row>
    <row r="620" spans="1:13" hidden="1" outlineLevel="2">
      <c r="A620" s="172">
        <v>46113</v>
      </c>
      <c r="B620" s="1" t="s">
        <v>1698</v>
      </c>
      <c r="C620" s="379">
        <v>496268255928</v>
      </c>
      <c r="D620" s="742" t="str">
        <f>VLOOKUP(C620,[1]Material!F:J,5,0)</f>
        <v>Fedex</v>
      </c>
      <c r="E620" s="764">
        <f>_xlfn.XLOOKUP(C620,[1]Material!$F:$F,[1]Material!$D:$D)</f>
        <v>10.9</v>
      </c>
      <c r="F620" s="761"/>
      <c r="G620" s="761">
        <v>0</v>
      </c>
      <c r="H620" s="761">
        <v>15.170478249326811</v>
      </c>
      <c r="I620" s="761">
        <v>0</v>
      </c>
      <c r="J620" s="761"/>
      <c r="K620" s="761"/>
      <c r="L620" s="29">
        <v>0</v>
      </c>
      <c r="M620" s="29">
        <f t="shared" si="29"/>
        <v>15.170478249326811</v>
      </c>
    </row>
    <row r="621" spans="1:13" hidden="1" outlineLevel="2">
      <c r="A621" s="172">
        <v>46113</v>
      </c>
      <c r="B621" s="1" t="s">
        <v>947</v>
      </c>
      <c r="C621" s="379">
        <v>500292530783</v>
      </c>
      <c r="D621" s="742" t="str">
        <f>VLOOKUP(C621,[1]Material!F:J,5,0)</f>
        <v>Fedex</v>
      </c>
      <c r="E621" s="764">
        <f>_xlfn.XLOOKUP(C621,[1]Material!$F:$F,[1]Material!$D:$D)</f>
        <v>1.4</v>
      </c>
      <c r="F621" s="761"/>
      <c r="G621" s="761">
        <v>0</v>
      </c>
      <c r="H621" s="761">
        <v>15.170478249326811</v>
      </c>
      <c r="I621" s="761">
        <v>0</v>
      </c>
      <c r="J621" s="761"/>
      <c r="K621" s="761"/>
      <c r="L621" s="29">
        <v>0</v>
      </c>
      <c r="M621" s="29">
        <f t="shared" si="29"/>
        <v>15.170478249326811</v>
      </c>
    </row>
    <row r="622" spans="1:13" hidden="1" outlineLevel="2">
      <c r="A622" s="172">
        <v>46113</v>
      </c>
      <c r="B622" s="1" t="s">
        <v>945</v>
      </c>
      <c r="C622" s="379">
        <v>500292533360</v>
      </c>
      <c r="D622" s="742" t="str">
        <f>VLOOKUP(C622,[1]Material!F:J,5,0)</f>
        <v>Fedex</v>
      </c>
      <c r="E622" s="764">
        <f>_xlfn.XLOOKUP(C622,[1]Material!$F:$F,[1]Material!$D:$D)</f>
        <v>1.1000000000000001</v>
      </c>
      <c r="F622" s="761"/>
      <c r="G622" s="761">
        <v>0</v>
      </c>
      <c r="H622" s="761">
        <v>15.170478249326811</v>
      </c>
      <c r="I622" s="761">
        <v>0</v>
      </c>
      <c r="J622" s="761"/>
      <c r="K622" s="761"/>
      <c r="L622" s="29">
        <v>0</v>
      </c>
      <c r="M622" s="29">
        <f t="shared" si="29"/>
        <v>15.170478249326811</v>
      </c>
    </row>
    <row r="623" spans="1:13" hidden="1" outlineLevel="2">
      <c r="A623" s="172">
        <v>46113</v>
      </c>
      <c r="B623" s="1" t="s">
        <v>945</v>
      </c>
      <c r="C623" s="379">
        <v>500292534767</v>
      </c>
      <c r="D623" s="742" t="str">
        <f>VLOOKUP(C623,[1]Material!F:J,5,0)</f>
        <v>Fedex</v>
      </c>
      <c r="E623" s="764">
        <f>_xlfn.XLOOKUP(C623,[1]Material!$F:$F,[1]Material!$D:$D)</f>
        <v>2.2999999999999998</v>
      </c>
      <c r="F623" s="761"/>
      <c r="G623" s="761">
        <v>0</v>
      </c>
      <c r="H623" s="761">
        <v>15.170478249326811</v>
      </c>
      <c r="I623" s="761">
        <v>0</v>
      </c>
      <c r="J623" s="761"/>
      <c r="K623" s="761"/>
      <c r="L623" s="29">
        <v>0</v>
      </c>
      <c r="M623" s="29">
        <f t="shared" si="29"/>
        <v>15.170478249326811</v>
      </c>
    </row>
    <row r="624" spans="1:13" hidden="1" outlineLevel="2">
      <c r="A624" s="172">
        <v>46113</v>
      </c>
      <c r="B624" s="1" t="s">
        <v>947</v>
      </c>
      <c r="C624" s="379">
        <v>500292543680</v>
      </c>
      <c r="D624" s="742" t="str">
        <f>VLOOKUP(C624,[1]Material!F:J,5,0)</f>
        <v>Fedex</v>
      </c>
      <c r="E624" s="764">
        <f>_xlfn.XLOOKUP(C624,[1]Material!$F:$F,[1]Material!$D:$D)</f>
        <v>0.8</v>
      </c>
      <c r="F624" s="761"/>
      <c r="G624" s="761">
        <v>0</v>
      </c>
      <c r="H624" s="761">
        <v>15.170478249326811</v>
      </c>
      <c r="I624" s="761">
        <v>0</v>
      </c>
      <c r="J624" s="761"/>
      <c r="K624" s="761"/>
      <c r="L624" s="29">
        <v>0</v>
      </c>
      <c r="M624" s="29">
        <f t="shared" si="29"/>
        <v>15.170478249326811</v>
      </c>
    </row>
    <row r="625" spans="1:13" hidden="1" outlineLevel="2">
      <c r="A625" s="172">
        <v>46113</v>
      </c>
      <c r="B625" s="1" t="s">
        <v>945</v>
      </c>
      <c r="C625" s="379">
        <v>500292548899</v>
      </c>
      <c r="D625" s="742" t="str">
        <f>VLOOKUP(C625,[1]Material!F:J,5,0)</f>
        <v>Fedex</v>
      </c>
      <c r="E625" s="764">
        <f>_xlfn.XLOOKUP(C625,[1]Material!$F:$F,[1]Material!$D:$D)</f>
        <v>1.3</v>
      </c>
      <c r="F625" s="761"/>
      <c r="G625" s="761">
        <v>0</v>
      </c>
      <c r="H625" s="761">
        <v>15.170478249326811</v>
      </c>
      <c r="I625" s="761">
        <v>0</v>
      </c>
      <c r="J625" s="761"/>
      <c r="K625" s="761"/>
      <c r="L625" s="29">
        <v>0</v>
      </c>
      <c r="M625" s="29">
        <f t="shared" si="29"/>
        <v>15.170478249326811</v>
      </c>
    </row>
    <row r="626" spans="1:13" hidden="1" outlineLevel="2">
      <c r="A626" s="172">
        <v>46113</v>
      </c>
      <c r="B626" s="1" t="s">
        <v>945</v>
      </c>
      <c r="C626" s="379">
        <v>500292549428</v>
      </c>
      <c r="D626" s="742" t="str">
        <f>VLOOKUP(C626,[1]Material!F:J,5,0)</f>
        <v>Fedex</v>
      </c>
      <c r="E626" s="764">
        <f>_xlfn.XLOOKUP(C626,[1]Material!$F:$F,[1]Material!$D:$D)</f>
        <v>0.7</v>
      </c>
      <c r="F626" s="761"/>
      <c r="G626" s="761">
        <v>0</v>
      </c>
      <c r="H626" s="761">
        <v>15.170478249326811</v>
      </c>
      <c r="I626" s="761">
        <v>0</v>
      </c>
      <c r="J626" s="761"/>
      <c r="K626" s="761"/>
      <c r="L626" s="29">
        <v>0</v>
      </c>
      <c r="M626" s="29">
        <f t="shared" si="29"/>
        <v>15.170478249326811</v>
      </c>
    </row>
    <row r="627" spans="1:13" hidden="1" outlineLevel="2">
      <c r="A627" s="172">
        <v>46113</v>
      </c>
      <c r="B627" s="1" t="s">
        <v>945</v>
      </c>
      <c r="C627" s="379">
        <v>500292577829</v>
      </c>
      <c r="D627" s="742" t="str">
        <f>VLOOKUP(C627,[1]Material!F:J,5,0)</f>
        <v>Fedex</v>
      </c>
      <c r="E627" s="764">
        <f>_xlfn.XLOOKUP(C627,[1]Material!$F:$F,[1]Material!$D:$D)</f>
        <v>1.1000000000000001</v>
      </c>
      <c r="F627" s="761"/>
      <c r="G627" s="761">
        <v>0</v>
      </c>
      <c r="H627" s="761">
        <v>15.170478249326811</v>
      </c>
      <c r="I627" s="761">
        <v>0</v>
      </c>
      <c r="J627" s="761"/>
      <c r="K627" s="761"/>
      <c r="L627" s="29">
        <v>0</v>
      </c>
      <c r="M627" s="29">
        <f t="shared" si="29"/>
        <v>15.170478249326811</v>
      </c>
    </row>
    <row r="628" spans="1:13" hidden="1" outlineLevel="2">
      <c r="A628" s="172">
        <v>46113</v>
      </c>
      <c r="B628" s="1" t="s">
        <v>947</v>
      </c>
      <c r="C628" s="379">
        <v>500292583982</v>
      </c>
      <c r="D628" s="742" t="str">
        <f>VLOOKUP(C628,[1]Material!F:J,5,0)</f>
        <v>Fedex</v>
      </c>
      <c r="E628" s="764">
        <f>_xlfn.XLOOKUP(C628,[1]Material!$F:$F,[1]Material!$D:$D)</f>
        <v>0.5</v>
      </c>
      <c r="F628" s="761"/>
      <c r="G628" s="761">
        <v>0</v>
      </c>
      <c r="H628" s="761">
        <v>15.170478249326811</v>
      </c>
      <c r="I628" s="761">
        <v>0</v>
      </c>
      <c r="J628" s="761"/>
      <c r="K628" s="761"/>
      <c r="L628" s="29">
        <v>0</v>
      </c>
      <c r="M628" s="29">
        <f t="shared" si="29"/>
        <v>15.170478249326811</v>
      </c>
    </row>
    <row r="629" spans="1:13" hidden="1" outlineLevel="2">
      <c r="A629" s="172">
        <v>46113</v>
      </c>
      <c r="B629" s="1" t="s">
        <v>947</v>
      </c>
      <c r="C629" s="379">
        <v>500292586330</v>
      </c>
      <c r="D629" s="742" t="str">
        <f>VLOOKUP(C629,[1]Material!F:J,5,0)</f>
        <v>Fedex</v>
      </c>
      <c r="E629" s="764">
        <f>_xlfn.XLOOKUP(C629,[1]Material!$F:$F,[1]Material!$D:$D)</f>
        <v>0.9</v>
      </c>
      <c r="F629" s="761"/>
      <c r="G629" s="761">
        <v>0</v>
      </c>
      <c r="H629" s="761">
        <v>15.170478249326811</v>
      </c>
      <c r="I629" s="761">
        <v>0</v>
      </c>
      <c r="J629" s="761"/>
      <c r="K629" s="761"/>
      <c r="L629" s="29">
        <v>0</v>
      </c>
      <c r="M629" s="29">
        <f t="shared" si="29"/>
        <v>15.170478249326811</v>
      </c>
    </row>
    <row r="630" spans="1:13" hidden="1" outlineLevel="2">
      <c r="A630" s="172">
        <v>46113</v>
      </c>
      <c r="B630" s="1" t="s">
        <v>945</v>
      </c>
      <c r="C630" s="379">
        <v>500292589741</v>
      </c>
      <c r="D630" s="742" t="str">
        <f>VLOOKUP(C630,[1]Material!F:J,5,0)</f>
        <v>Fedex</v>
      </c>
      <c r="E630" s="764">
        <f>_xlfn.XLOOKUP(C630,[1]Material!$F:$F,[1]Material!$D:$D)</f>
        <v>1.4</v>
      </c>
      <c r="F630" s="761"/>
      <c r="G630" s="761">
        <v>0</v>
      </c>
      <c r="H630" s="761">
        <v>15.170478249326811</v>
      </c>
      <c r="I630" s="761">
        <v>0</v>
      </c>
      <c r="J630" s="761"/>
      <c r="K630" s="761"/>
      <c r="L630" s="29">
        <v>0</v>
      </c>
      <c r="M630" s="29">
        <f t="shared" si="29"/>
        <v>15.170478249326811</v>
      </c>
    </row>
    <row r="631" spans="1:13" hidden="1" outlineLevel="2">
      <c r="A631" s="172">
        <v>46113</v>
      </c>
      <c r="B631" s="1" t="s">
        <v>945</v>
      </c>
      <c r="C631" s="379">
        <v>500292591270</v>
      </c>
      <c r="D631" s="742" t="str">
        <f>VLOOKUP(C631,[1]Material!F:J,5,0)</f>
        <v>Fedex</v>
      </c>
      <c r="E631" s="764">
        <f>_xlfn.XLOOKUP(C631,[1]Material!$F:$F,[1]Material!$D:$D)</f>
        <v>0.9</v>
      </c>
      <c r="F631" s="761"/>
      <c r="G631" s="761">
        <v>0</v>
      </c>
      <c r="H631" s="761">
        <v>15.170478249326811</v>
      </c>
      <c r="I631" s="761">
        <v>0</v>
      </c>
      <c r="J631" s="761"/>
      <c r="K631" s="761"/>
      <c r="L631" s="29">
        <v>0</v>
      </c>
      <c r="M631" s="29">
        <f t="shared" si="29"/>
        <v>15.170478249326811</v>
      </c>
    </row>
    <row r="632" spans="1:13" hidden="1" outlineLevel="2">
      <c r="A632" s="172">
        <v>46113</v>
      </c>
      <c r="B632" s="1" t="s">
        <v>945</v>
      </c>
      <c r="C632" s="379">
        <v>500292595390</v>
      </c>
      <c r="D632" s="742" t="str">
        <f>VLOOKUP(C632,[1]Material!F:J,5,0)</f>
        <v>Fedex</v>
      </c>
      <c r="E632" s="764">
        <f>_xlfn.XLOOKUP(C632,[1]Material!$F:$F,[1]Material!$D:$D)</f>
        <v>1.8</v>
      </c>
      <c r="F632" s="761"/>
      <c r="G632" s="761">
        <v>0</v>
      </c>
      <c r="H632" s="761">
        <v>15.170478249326811</v>
      </c>
      <c r="I632" s="761">
        <v>0</v>
      </c>
      <c r="J632" s="761"/>
      <c r="K632" s="761"/>
      <c r="L632" s="29">
        <v>0</v>
      </c>
      <c r="M632" s="29">
        <f t="shared" si="29"/>
        <v>15.170478249326811</v>
      </c>
    </row>
    <row r="633" spans="1:13" hidden="1" outlineLevel="2">
      <c r="A633" s="172">
        <v>46113</v>
      </c>
      <c r="B633" s="1" t="s">
        <v>1716</v>
      </c>
      <c r="C633" s="379">
        <v>501415544728</v>
      </c>
      <c r="D633" s="742" t="str">
        <f>VLOOKUP(C633,[1]Material!F:J,5,0)</f>
        <v>Fedex</v>
      </c>
      <c r="E633" s="764">
        <f>_xlfn.XLOOKUP(C633,[1]Material!$F:$F,[1]Material!$D:$D)</f>
        <v>6.2</v>
      </c>
      <c r="F633" s="761"/>
      <c r="G633" s="761"/>
      <c r="H633" s="761">
        <v>0</v>
      </c>
      <c r="I633" s="761">
        <v>51.557666780445253</v>
      </c>
      <c r="J633" s="761"/>
      <c r="K633" s="761"/>
      <c r="L633" s="29"/>
      <c r="M633" s="29">
        <f t="shared" si="29"/>
        <v>51.557666780445253</v>
      </c>
    </row>
    <row r="634" spans="1:13" hidden="1" outlineLevel="2">
      <c r="A634" s="172">
        <v>46113</v>
      </c>
      <c r="B634" s="1" t="s">
        <v>810</v>
      </c>
      <c r="C634" s="379">
        <v>510007321690</v>
      </c>
      <c r="D634" s="742" t="str">
        <f>VLOOKUP(C634,[1]Material!F:J,5,0)</f>
        <v>Fedex</v>
      </c>
      <c r="E634" s="764">
        <f>_xlfn.XLOOKUP(C634,[1]Material!$F:$F,[1]Material!$D:$D)</f>
        <v>9.5</v>
      </c>
      <c r="F634" s="761"/>
      <c r="G634" s="761">
        <v>0</v>
      </c>
      <c r="H634" s="761">
        <v>30.340956498653622</v>
      </c>
      <c r="I634" s="761">
        <v>46.975803087192325</v>
      </c>
      <c r="J634" s="761"/>
      <c r="K634" s="761"/>
      <c r="L634" s="29">
        <v>0</v>
      </c>
      <c r="M634" s="29">
        <f t="shared" si="29"/>
        <v>77.316759585845944</v>
      </c>
    </row>
    <row r="635" spans="1:13" hidden="1" outlineLevel="2">
      <c r="A635" s="172">
        <v>46113</v>
      </c>
      <c r="B635" s="1" t="s">
        <v>810</v>
      </c>
      <c r="C635" s="379">
        <v>510007326968</v>
      </c>
      <c r="D635" s="742" t="str">
        <f>VLOOKUP(C635,[1]Material!F:J,5,0)</f>
        <v>Fedex</v>
      </c>
      <c r="E635" s="764">
        <f>_xlfn.XLOOKUP(C635,[1]Material!$F:$F,[1]Material!$D:$D)</f>
        <v>9.3000000000000007</v>
      </c>
      <c r="F635" s="761"/>
      <c r="G635" s="761">
        <v>0</v>
      </c>
      <c r="H635" s="761">
        <v>30.340956498653622</v>
      </c>
      <c r="I635" s="761">
        <v>53.043046232032466</v>
      </c>
      <c r="J635" s="761"/>
      <c r="K635" s="761"/>
      <c r="L635" s="29">
        <v>0</v>
      </c>
      <c r="M635" s="29">
        <f t="shared" si="29"/>
        <v>83.384002730686092</v>
      </c>
    </row>
    <row r="636" spans="1:13" hidden="1" outlineLevel="2">
      <c r="A636" s="172">
        <v>46113</v>
      </c>
      <c r="B636" s="1" t="s">
        <v>810</v>
      </c>
      <c r="C636" s="379">
        <v>510007333525</v>
      </c>
      <c r="D636" s="742" t="str">
        <f>VLOOKUP(C636,[1]Material!F:J,5,0)</f>
        <v>Fedex</v>
      </c>
      <c r="E636" s="764">
        <f>_xlfn.XLOOKUP(C636,[1]Material!$F:$F,[1]Material!$D:$D)</f>
        <v>65.2</v>
      </c>
      <c r="F636" s="761"/>
      <c r="G636" s="761">
        <v>0</v>
      </c>
      <c r="H636" s="761">
        <v>30.340956498653622</v>
      </c>
      <c r="I636" s="761">
        <v>202.45685895247848</v>
      </c>
      <c r="J636" s="761"/>
      <c r="K636" s="761"/>
      <c r="L636" s="29">
        <v>0</v>
      </c>
      <c r="M636" s="29">
        <f t="shared" si="29"/>
        <v>232.7978154511321</v>
      </c>
    </row>
    <row r="637" spans="1:13" hidden="1" outlineLevel="2">
      <c r="A637" s="172">
        <v>46113</v>
      </c>
      <c r="B637" s="1" t="s">
        <v>810</v>
      </c>
      <c r="C637" s="379">
        <v>510007337690</v>
      </c>
      <c r="D637" s="742" t="str">
        <f>VLOOKUP(C637,[1]Material!F:J,5,0)</f>
        <v>Fedex</v>
      </c>
      <c r="E637" s="764">
        <f>_xlfn.XLOOKUP(C637,[1]Material!$F:$F,[1]Material!$D:$D)</f>
        <v>14.2</v>
      </c>
      <c r="F637" s="761"/>
      <c r="G637" s="761">
        <v>0</v>
      </c>
      <c r="H637" s="761">
        <v>30.340956498653622</v>
      </c>
      <c r="I637" s="761">
        <v>87.525239883187311</v>
      </c>
      <c r="J637" s="761"/>
      <c r="K637" s="761"/>
      <c r="L637" s="29">
        <v>0</v>
      </c>
      <c r="M637" s="29">
        <f t="shared" si="29"/>
        <v>117.86619638184094</v>
      </c>
    </row>
    <row r="638" spans="1:13" hidden="1" outlineLevel="2">
      <c r="A638" s="172">
        <v>46113</v>
      </c>
      <c r="B638" s="1" t="s">
        <v>522</v>
      </c>
      <c r="C638" s="379">
        <v>514097483618</v>
      </c>
      <c r="D638" s="742" t="str">
        <f>VLOOKUP(C638,[1]Material!F:J,5,0)</f>
        <v>Fedex</v>
      </c>
      <c r="E638" s="764">
        <f>_xlfn.XLOOKUP(C638,[1]Material!$F:$F,[1]Material!$D:$D)</f>
        <v>78</v>
      </c>
      <c r="F638" s="761"/>
      <c r="G638" s="761">
        <v>0</v>
      </c>
      <c r="H638" s="761">
        <v>30.340956498653622</v>
      </c>
      <c r="I638" s="761">
        <v>205.43141047521524</v>
      </c>
      <c r="J638" s="761"/>
      <c r="K638" s="761"/>
      <c r="L638" s="29">
        <v>0</v>
      </c>
      <c r="M638" s="29">
        <f t="shared" si="29"/>
        <v>235.77236697386886</v>
      </c>
    </row>
    <row r="639" spans="1:13" hidden="1" outlineLevel="2">
      <c r="A639" s="172">
        <v>46113</v>
      </c>
      <c r="B639" s="1" t="s">
        <v>522</v>
      </c>
      <c r="C639" s="379">
        <v>514097485242</v>
      </c>
      <c r="D639" s="742" t="str">
        <f>VLOOKUP(C639,[1]Material!F:J,5,0)</f>
        <v>Fedex</v>
      </c>
      <c r="E639" s="764">
        <f>_xlfn.XLOOKUP(C639,[1]Material!$F:$F,[1]Material!$D:$D)</f>
        <v>111</v>
      </c>
      <c r="F639" s="761"/>
      <c r="G639" s="761">
        <v>0</v>
      </c>
      <c r="H639" s="761">
        <v>30.340956498653622</v>
      </c>
      <c r="I639" s="761">
        <v>271.08942996927976</v>
      </c>
      <c r="J639" s="761"/>
      <c r="K639" s="761"/>
      <c r="L639" s="29">
        <v>0</v>
      </c>
      <c r="M639" s="29">
        <f t="shared" si="29"/>
        <v>301.43038646793337</v>
      </c>
    </row>
    <row r="640" spans="1:13" hidden="1" outlineLevel="2">
      <c r="A640" s="172">
        <v>46113</v>
      </c>
      <c r="B640" s="1" t="s">
        <v>801</v>
      </c>
      <c r="C640" s="379">
        <v>515199055641</v>
      </c>
      <c r="D640" s="742" t="str">
        <f>VLOOKUP(C640,[1]Material!F:J,5,0)</f>
        <v>Fedex</v>
      </c>
      <c r="E640" s="764">
        <f>_xlfn.XLOOKUP(C640,[1]Material!$F:$F,[1]Material!$D:$D)</f>
        <v>23</v>
      </c>
      <c r="F640" s="761"/>
      <c r="G640" s="761">
        <v>0</v>
      </c>
      <c r="H640" s="761">
        <v>30.340956498653622</v>
      </c>
      <c r="I640" s="761">
        <v>130.51412750786969</v>
      </c>
      <c r="J640" s="761"/>
      <c r="K640" s="761"/>
      <c r="L640" s="29">
        <v>0</v>
      </c>
      <c r="M640" s="29">
        <f t="shared" si="29"/>
        <v>160.8550840065233</v>
      </c>
    </row>
    <row r="641" spans="1:13" hidden="1" outlineLevel="2">
      <c r="A641" s="172">
        <v>46113</v>
      </c>
      <c r="B641" s="1" t="s">
        <v>381</v>
      </c>
      <c r="C641" s="379">
        <v>517485613999</v>
      </c>
      <c r="D641" s="742" t="str">
        <f>VLOOKUP(C641,[1]Material!F:J,5,0)</f>
        <v>Fedex</v>
      </c>
      <c r="E641" s="764">
        <f>_xlfn.XLOOKUP(C641,[1]Material!$F:$F,[1]Material!$D:$D)</f>
        <v>18.2</v>
      </c>
      <c r="F641" s="761"/>
      <c r="G641" s="761">
        <v>0</v>
      </c>
      <c r="H641" s="761">
        <v>30.340956498653622</v>
      </c>
      <c r="I641" s="761">
        <v>57.496036712557363</v>
      </c>
      <c r="J641" s="761"/>
      <c r="K641" s="761"/>
      <c r="L641" s="29">
        <v>0</v>
      </c>
      <c r="M641" s="29">
        <f t="shared" si="29"/>
        <v>87.836993211210981</v>
      </c>
    </row>
    <row r="642" spans="1:13" hidden="1" outlineLevel="2">
      <c r="A642" s="172">
        <v>46113</v>
      </c>
      <c r="B642" s="1" t="s">
        <v>381</v>
      </c>
      <c r="C642" s="379">
        <v>517485617321</v>
      </c>
      <c r="D642" s="742" t="str">
        <f>VLOOKUP(C642,[1]Material!F:J,5,0)</f>
        <v>Fedex</v>
      </c>
      <c r="E642" s="764">
        <f>_xlfn.XLOOKUP(C642,[1]Material!$F:$F,[1]Material!$D:$D)</f>
        <v>96.8</v>
      </c>
      <c r="F642" s="761"/>
      <c r="G642" s="761">
        <v>0</v>
      </c>
      <c r="H642" s="761">
        <v>30.340956498653622</v>
      </c>
      <c r="I642" s="761">
        <v>239.23821443471004</v>
      </c>
      <c r="J642" s="761"/>
      <c r="K642" s="761"/>
      <c r="L642" s="29">
        <v>0</v>
      </c>
      <c r="M642" s="29">
        <f t="shared" ref="M642:M705" si="30">SUM(G642:L642)</f>
        <v>269.57917093336368</v>
      </c>
    </row>
    <row r="643" spans="1:13" hidden="1" outlineLevel="2">
      <c r="A643" s="172">
        <v>46113</v>
      </c>
      <c r="B643" s="1" t="s">
        <v>381</v>
      </c>
      <c r="C643" s="379">
        <v>517485633372</v>
      </c>
      <c r="D643" s="742" t="str">
        <f>VLOOKUP(C643,[1]Material!F:J,5,0)</f>
        <v>Fedex</v>
      </c>
      <c r="E643" s="764">
        <f>_xlfn.XLOOKUP(C643,[1]Material!$F:$F,[1]Material!$D:$D)</f>
        <v>138.9</v>
      </c>
      <c r="F643" s="761"/>
      <c r="G643" s="761">
        <v>0</v>
      </c>
      <c r="H643" s="761">
        <v>30.340956498653622</v>
      </c>
      <c r="I643" s="761">
        <v>327.63059885462889</v>
      </c>
      <c r="J643" s="761"/>
      <c r="K643" s="761"/>
      <c r="L643" s="29">
        <v>0</v>
      </c>
      <c r="M643" s="29">
        <f t="shared" si="30"/>
        <v>357.9715553532825</v>
      </c>
    </row>
    <row r="644" spans="1:13" hidden="1" outlineLevel="2">
      <c r="A644" s="172">
        <v>46113</v>
      </c>
      <c r="B644" s="1" t="s">
        <v>809</v>
      </c>
      <c r="C644" s="379">
        <v>518027538694</v>
      </c>
      <c r="D644" s="742" t="str">
        <f>VLOOKUP(C644,[1]Material!F:J,5,0)</f>
        <v>Fedex</v>
      </c>
      <c r="E644" s="764">
        <f>_xlfn.XLOOKUP(C644,[1]Material!$F:$F,[1]Material!$D:$D)</f>
        <v>21.6</v>
      </c>
      <c r="F644" s="761"/>
      <c r="G644" s="761">
        <v>0</v>
      </c>
      <c r="H644" s="761">
        <v>30.340956498653622</v>
      </c>
      <c r="I644" s="761">
        <v>96.07903819167899</v>
      </c>
      <c r="J644" s="761"/>
      <c r="K644" s="761"/>
      <c r="L644" s="29">
        <v>0</v>
      </c>
      <c r="M644" s="29">
        <f t="shared" si="30"/>
        <v>126.41999469033262</v>
      </c>
    </row>
    <row r="645" spans="1:13" hidden="1" outlineLevel="2">
      <c r="A645" s="172">
        <v>46113</v>
      </c>
      <c r="B645" s="1" t="s">
        <v>816</v>
      </c>
      <c r="C645" s="379">
        <v>518337552804</v>
      </c>
      <c r="D645" s="742" t="str">
        <f>VLOOKUP(C645,[1]Material!F:J,5,0)</f>
        <v>Fedex</v>
      </c>
      <c r="E645" s="764">
        <f>_xlfn.XLOOKUP(C645,[1]Material!$F:$F,[1]Material!$D:$D)</f>
        <v>47</v>
      </c>
      <c r="F645" s="761"/>
      <c r="G645" s="761">
        <v>0</v>
      </c>
      <c r="H645" s="761">
        <v>30.340956498653622</v>
      </c>
      <c r="I645" s="761">
        <v>229.30871923237379</v>
      </c>
      <c r="J645" s="761"/>
      <c r="K645" s="761"/>
      <c r="L645" s="29">
        <v>0</v>
      </c>
      <c r="M645" s="29">
        <f t="shared" si="30"/>
        <v>259.6496757310274</v>
      </c>
    </row>
    <row r="646" spans="1:13" hidden="1" outlineLevel="2">
      <c r="A646" s="172">
        <v>46113</v>
      </c>
      <c r="B646" s="1" t="s">
        <v>816</v>
      </c>
      <c r="C646" s="379">
        <v>518337558077</v>
      </c>
      <c r="D646" s="742" t="str">
        <f>VLOOKUP(C646,[1]Material!F:J,5,0)</f>
        <v>Fedex</v>
      </c>
      <c r="E646" s="764">
        <f>_xlfn.XLOOKUP(C646,[1]Material!$F:$F,[1]Material!$D:$D)</f>
        <v>66.8</v>
      </c>
      <c r="F646" s="761"/>
      <c r="G646" s="761">
        <v>0</v>
      </c>
      <c r="H646" s="761">
        <v>30.340956498653622</v>
      </c>
      <c r="I646" s="761">
        <v>323.92809193309819</v>
      </c>
      <c r="J646" s="761"/>
      <c r="K646" s="761"/>
      <c r="L646" s="29">
        <v>0</v>
      </c>
      <c r="M646" s="29">
        <f t="shared" si="30"/>
        <v>354.2690484317518</v>
      </c>
    </row>
    <row r="647" spans="1:13" hidden="1" outlineLevel="2">
      <c r="A647" s="172">
        <v>46113</v>
      </c>
      <c r="B647" s="1" t="s">
        <v>816</v>
      </c>
      <c r="C647" s="379">
        <v>518337558695</v>
      </c>
      <c r="D647" s="742" t="str">
        <f>VLOOKUP(C647,[1]Material!F:J,5,0)</f>
        <v>Fedex</v>
      </c>
      <c r="E647" s="764">
        <f>_xlfn.XLOOKUP(C647,[1]Material!$F:$F,[1]Material!$D:$D)</f>
        <v>56.7</v>
      </c>
      <c r="F647" s="761"/>
      <c r="G647" s="761">
        <v>0</v>
      </c>
      <c r="H647" s="761">
        <v>30.340956498653622</v>
      </c>
      <c r="I647" s="761">
        <v>299.9846778169682</v>
      </c>
      <c r="J647" s="761"/>
      <c r="K647" s="761"/>
      <c r="L647" s="29">
        <v>0</v>
      </c>
      <c r="M647" s="29">
        <f t="shared" si="30"/>
        <v>330.32563431562181</v>
      </c>
    </row>
    <row r="648" spans="1:13" hidden="1" outlineLevel="2">
      <c r="A648" s="172">
        <v>46113</v>
      </c>
      <c r="B648" s="1" t="s">
        <v>968</v>
      </c>
      <c r="C648" s="379">
        <v>518717849323</v>
      </c>
      <c r="D648" s="742" t="str">
        <f>VLOOKUP(C648,[1]Material!F:J,5,0)</f>
        <v>Fedex</v>
      </c>
      <c r="E648" s="764">
        <f>_xlfn.XLOOKUP(C648,[1]Material!$F:$F,[1]Material!$D:$D)</f>
        <v>4.5</v>
      </c>
      <c r="F648" s="761"/>
      <c r="G648" s="761">
        <v>0</v>
      </c>
      <c r="H648" s="761">
        <v>15.170478249326811</v>
      </c>
      <c r="I648" s="761">
        <v>0</v>
      </c>
      <c r="J648" s="761"/>
      <c r="K648" s="761"/>
      <c r="L648" s="29">
        <v>0</v>
      </c>
      <c r="M648" s="29">
        <f t="shared" si="30"/>
        <v>15.170478249326811</v>
      </c>
    </row>
    <row r="649" spans="1:13" hidden="1" outlineLevel="2">
      <c r="A649" s="172">
        <v>46113</v>
      </c>
      <c r="B649" s="1" t="s">
        <v>968</v>
      </c>
      <c r="C649" s="379">
        <v>518717900005</v>
      </c>
      <c r="D649" s="742" t="str">
        <f>VLOOKUP(C649,[1]Material!F:J,5,0)</f>
        <v>Fedex</v>
      </c>
      <c r="E649" s="764">
        <f>_xlfn.XLOOKUP(C649,[1]Material!$F:$F,[1]Material!$D:$D)</f>
        <v>1.3</v>
      </c>
      <c r="F649" s="761"/>
      <c r="G649" s="761">
        <v>0</v>
      </c>
      <c r="H649" s="761">
        <v>15.170478249326811</v>
      </c>
      <c r="I649" s="761">
        <v>0</v>
      </c>
      <c r="J649" s="761"/>
      <c r="K649" s="761"/>
      <c r="L649" s="29">
        <v>0</v>
      </c>
      <c r="M649" s="29">
        <f t="shared" si="30"/>
        <v>15.170478249326811</v>
      </c>
    </row>
    <row r="650" spans="1:13" hidden="1" outlineLevel="2">
      <c r="A650" s="172">
        <v>46113</v>
      </c>
      <c r="B650" s="1" t="s">
        <v>942</v>
      </c>
      <c r="C650" s="379">
        <v>518717908440</v>
      </c>
      <c r="D650" s="742" t="str">
        <f>VLOOKUP(C650,[1]Material!F:J,5,0)</f>
        <v>Fedex</v>
      </c>
      <c r="E650" s="764">
        <f>_xlfn.XLOOKUP(C650,[1]Material!$F:$F,[1]Material!$D:$D)</f>
        <v>5.0999999999999996</v>
      </c>
      <c r="F650" s="761"/>
      <c r="G650" s="761">
        <v>0</v>
      </c>
      <c r="H650" s="761">
        <v>15.170478249326811</v>
      </c>
      <c r="I650" s="761">
        <v>0</v>
      </c>
      <c r="J650" s="761"/>
      <c r="K650" s="761"/>
      <c r="L650" s="29">
        <v>0</v>
      </c>
      <c r="M650" s="29">
        <f t="shared" si="30"/>
        <v>15.170478249326811</v>
      </c>
    </row>
    <row r="651" spans="1:13" hidden="1" outlineLevel="2">
      <c r="A651" s="172">
        <v>46113</v>
      </c>
      <c r="B651" s="1" t="s">
        <v>961</v>
      </c>
      <c r="C651" s="379">
        <v>518717992830</v>
      </c>
      <c r="D651" s="742" t="str">
        <f>VLOOKUP(C651,[1]Material!F:J,5,0)</f>
        <v>Fedex</v>
      </c>
      <c r="E651" s="764">
        <f>_xlfn.XLOOKUP(C651,[1]Material!$F:$F,[1]Material!$D:$D)</f>
        <v>7.2</v>
      </c>
      <c r="F651" s="761"/>
      <c r="G651" s="761">
        <v>0</v>
      </c>
      <c r="H651" s="761">
        <v>15.170478249326811</v>
      </c>
      <c r="I651" s="761">
        <v>0</v>
      </c>
      <c r="J651" s="761"/>
      <c r="K651" s="761"/>
      <c r="L651" s="29">
        <v>0</v>
      </c>
      <c r="M651" s="29">
        <f t="shared" si="30"/>
        <v>15.170478249326811</v>
      </c>
    </row>
    <row r="652" spans="1:13" hidden="1" outlineLevel="2">
      <c r="A652" s="172">
        <v>46113</v>
      </c>
      <c r="B652" s="1" t="s">
        <v>978</v>
      </c>
      <c r="C652" s="379">
        <v>518908268312</v>
      </c>
      <c r="D652" s="742" t="str">
        <f>VLOOKUP(C652,[1]Material!F:J,5,0)</f>
        <v>Fedex</v>
      </c>
      <c r="E652" s="764">
        <f>_xlfn.XLOOKUP(C652,[1]Material!$F:$F,[1]Material!$D:$D)</f>
        <v>20.8</v>
      </c>
      <c r="F652" s="761"/>
      <c r="G652" s="761">
        <v>0</v>
      </c>
      <c r="H652" s="761">
        <v>15.170478249326811</v>
      </c>
      <c r="I652" s="761">
        <v>0</v>
      </c>
      <c r="J652" s="761"/>
      <c r="K652" s="761"/>
      <c r="L652" s="29">
        <v>0</v>
      </c>
      <c r="M652" s="29">
        <f t="shared" si="30"/>
        <v>15.170478249326811</v>
      </c>
    </row>
    <row r="653" spans="1:13" hidden="1" outlineLevel="2">
      <c r="A653" s="172">
        <v>46113</v>
      </c>
      <c r="B653" s="1" t="s">
        <v>806</v>
      </c>
      <c r="C653" s="379">
        <v>518908321670</v>
      </c>
      <c r="D653" s="742" t="str">
        <f>VLOOKUP(C653,[1]Material!F:J,5,0)</f>
        <v>Fedex</v>
      </c>
      <c r="E653" s="764">
        <f>_xlfn.XLOOKUP(C653,[1]Material!$F:$F,[1]Material!$D:$D)</f>
        <v>4.5999999999999996</v>
      </c>
      <c r="F653" s="761"/>
      <c r="G653" s="761">
        <v>0</v>
      </c>
      <c r="H653" s="761">
        <v>30.340956498653622</v>
      </c>
      <c r="I653" s="761">
        <v>49.378958546668187</v>
      </c>
      <c r="J653" s="761"/>
      <c r="K653" s="761"/>
      <c r="L653" s="29">
        <v>0</v>
      </c>
      <c r="M653" s="29">
        <f t="shared" si="30"/>
        <v>79.719915045321812</v>
      </c>
    </row>
    <row r="654" spans="1:13" hidden="1" outlineLevel="2">
      <c r="A654" s="172">
        <v>46113</v>
      </c>
      <c r="B654" s="1" t="s">
        <v>938</v>
      </c>
      <c r="C654" s="379">
        <v>518908321740</v>
      </c>
      <c r="D654" s="742" t="str">
        <f>VLOOKUP(C654,[1]Material!F:J,5,0)</f>
        <v>Fedex</v>
      </c>
      <c r="E654" s="764">
        <f>_xlfn.XLOOKUP(C654,[1]Material!$F:$F,[1]Material!$D:$D)</f>
        <v>2.2000000000000002</v>
      </c>
      <c r="F654" s="761"/>
      <c r="G654" s="761">
        <v>0</v>
      </c>
      <c r="H654" s="761">
        <v>15.170478249326811</v>
      </c>
      <c r="I654" s="761">
        <v>0</v>
      </c>
      <c r="J654" s="761"/>
      <c r="K654" s="761"/>
      <c r="L654" s="29">
        <v>0</v>
      </c>
      <c r="M654" s="29">
        <f t="shared" si="30"/>
        <v>15.170478249326811</v>
      </c>
    </row>
    <row r="655" spans="1:13" hidden="1" outlineLevel="2">
      <c r="A655" s="172">
        <v>46113</v>
      </c>
      <c r="B655" s="1" t="s">
        <v>380</v>
      </c>
      <c r="C655" s="379">
        <v>518908377044</v>
      </c>
      <c r="D655" s="742" t="str">
        <f>VLOOKUP(C655,[1]Material!F:J,5,0)</f>
        <v>Fedex</v>
      </c>
      <c r="E655" s="764">
        <f>_xlfn.XLOOKUP(C655,[1]Material!$F:$F,[1]Material!$D:$D)</f>
        <v>1.4</v>
      </c>
      <c r="F655" s="761"/>
      <c r="G655" s="761">
        <v>0</v>
      </c>
      <c r="H655" s="761">
        <v>30.340956498653622</v>
      </c>
      <c r="I655" s="761">
        <v>26.393370501005045</v>
      </c>
      <c r="J655" s="761"/>
      <c r="K655" s="761"/>
      <c r="L655" s="29">
        <v>0</v>
      </c>
      <c r="M655" s="29">
        <f t="shared" si="30"/>
        <v>56.734326999658663</v>
      </c>
    </row>
    <row r="656" spans="1:13" hidden="1" outlineLevel="2">
      <c r="A656" s="172">
        <v>46113</v>
      </c>
      <c r="B656" s="1" t="s">
        <v>938</v>
      </c>
      <c r="C656" s="379">
        <v>518908451735</v>
      </c>
      <c r="D656" s="742" t="str">
        <f>VLOOKUP(C656,[1]Material!F:J,5,0)</f>
        <v>Fedex</v>
      </c>
      <c r="E656" s="764">
        <f>_xlfn.XLOOKUP(C656,[1]Material!$F:$F,[1]Material!$D:$D)</f>
        <v>15.5</v>
      </c>
      <c r="F656" s="761"/>
      <c r="G656" s="761">
        <v>0</v>
      </c>
      <c r="H656" s="761">
        <v>15.170478249326811</v>
      </c>
      <c r="I656" s="761">
        <v>0</v>
      </c>
      <c r="J656" s="761"/>
      <c r="K656" s="761"/>
      <c r="L656" s="29">
        <v>0</v>
      </c>
      <c r="M656" s="29">
        <f t="shared" si="30"/>
        <v>15.170478249326811</v>
      </c>
    </row>
    <row r="657" spans="1:13" hidden="1" outlineLevel="2">
      <c r="A657" s="172">
        <v>46113</v>
      </c>
      <c r="B657" s="1" t="s">
        <v>380</v>
      </c>
      <c r="C657" s="379">
        <v>518908452683</v>
      </c>
      <c r="D657" s="742" t="str">
        <f>VLOOKUP(C657,[1]Material!F:J,5,0)</f>
        <v>Fedex</v>
      </c>
      <c r="E657" s="764">
        <f>_xlfn.XLOOKUP(C657,[1]Material!$F:$F,[1]Material!$D:$D)</f>
        <v>13.6</v>
      </c>
      <c r="F657" s="761"/>
      <c r="G657" s="761">
        <v>0</v>
      </c>
      <c r="H657" s="761">
        <v>30.340956498653622</v>
      </c>
      <c r="I657" s="761">
        <v>79.383320059164859</v>
      </c>
      <c r="J657" s="761"/>
      <c r="K657" s="761"/>
      <c r="L657" s="29">
        <v>0</v>
      </c>
      <c r="M657" s="29">
        <f t="shared" si="30"/>
        <v>109.72427655781848</v>
      </c>
    </row>
    <row r="658" spans="1:13" hidden="1" outlineLevel="2">
      <c r="A658" s="172">
        <v>46113</v>
      </c>
      <c r="B658" s="1" t="s">
        <v>380</v>
      </c>
      <c r="C658" s="379">
        <v>518908487130</v>
      </c>
      <c r="D658" s="742" t="str">
        <f>VLOOKUP(C658,[1]Material!F:J,5,0)</f>
        <v>Fedex</v>
      </c>
      <c r="E658" s="764">
        <f>_xlfn.XLOOKUP(C658,[1]Material!$F:$F,[1]Material!$D:$D)</f>
        <v>1.6</v>
      </c>
      <c r="F658" s="761"/>
      <c r="G658" s="761">
        <v>0</v>
      </c>
      <c r="H658" s="761">
        <v>30.340956498653622</v>
      </c>
      <c r="I658" s="761">
        <v>26.483596920392916</v>
      </c>
      <c r="J658" s="761"/>
      <c r="K658" s="761"/>
      <c r="L658" s="29">
        <v>0</v>
      </c>
      <c r="M658" s="29">
        <f t="shared" si="30"/>
        <v>56.824553419046538</v>
      </c>
    </row>
    <row r="659" spans="1:13" hidden="1" outlineLevel="2">
      <c r="A659" s="172">
        <v>46113</v>
      </c>
      <c r="B659" s="1" t="s">
        <v>957</v>
      </c>
      <c r="C659" s="379">
        <v>521948496970</v>
      </c>
      <c r="D659" s="742" t="str">
        <f>VLOOKUP(C659,[1]Material!F:J,5,0)</f>
        <v>Fedex</v>
      </c>
      <c r="E659" s="764">
        <f>_xlfn.XLOOKUP(C659,[1]Material!$F:$F,[1]Material!$D:$D)</f>
        <v>0.5</v>
      </c>
      <c r="F659" s="761"/>
      <c r="G659" s="761">
        <v>0</v>
      </c>
      <c r="H659" s="761">
        <v>15.170478249326811</v>
      </c>
      <c r="I659" s="761">
        <v>0</v>
      </c>
      <c r="J659" s="761"/>
      <c r="K659" s="761"/>
      <c r="L659" s="29">
        <v>0</v>
      </c>
      <c r="M659" s="29">
        <f t="shared" si="30"/>
        <v>15.170478249326811</v>
      </c>
    </row>
    <row r="660" spans="1:13" hidden="1" outlineLevel="2">
      <c r="A660" s="172">
        <v>46113</v>
      </c>
      <c r="B660" s="1" t="s">
        <v>806</v>
      </c>
      <c r="C660" s="379">
        <v>522040117684</v>
      </c>
      <c r="D660" s="742" t="str">
        <f>VLOOKUP(C660,[1]Material!F:J,5,0)</f>
        <v>Fedex</v>
      </c>
      <c r="E660" s="764">
        <f>_xlfn.XLOOKUP(C660,[1]Material!$F:$F,[1]Material!$D:$D)</f>
        <v>22</v>
      </c>
      <c r="F660" s="761"/>
      <c r="G660" s="761">
        <v>0</v>
      </c>
      <c r="H660" s="761">
        <v>30.340956498653622</v>
      </c>
      <c r="I660" s="761">
        <v>91.035764402472793</v>
      </c>
      <c r="J660" s="761"/>
      <c r="K660" s="761"/>
      <c r="L660" s="29">
        <v>0</v>
      </c>
      <c r="M660" s="29">
        <f t="shared" si="30"/>
        <v>121.37672090112642</v>
      </c>
    </row>
    <row r="661" spans="1:13" hidden="1" outlineLevel="2">
      <c r="A661" s="172">
        <v>46113</v>
      </c>
      <c r="B661" s="1" t="s">
        <v>957</v>
      </c>
      <c r="C661" s="379">
        <v>522511933315</v>
      </c>
      <c r="D661" s="742" t="str">
        <f>VLOOKUP(C661,[1]Material!F:J,5,0)</f>
        <v>Fedex</v>
      </c>
      <c r="E661" s="764">
        <f>_xlfn.XLOOKUP(C661,[1]Material!$F:$F,[1]Material!$D:$D)</f>
        <v>0.1</v>
      </c>
      <c r="F661" s="761"/>
      <c r="G661" s="761">
        <v>0</v>
      </c>
      <c r="H661" s="761">
        <v>15.170478249326811</v>
      </c>
      <c r="I661" s="761">
        <v>0</v>
      </c>
      <c r="J661" s="761"/>
      <c r="K661" s="761"/>
      <c r="L661" s="29">
        <v>0</v>
      </c>
      <c r="M661" s="29">
        <f t="shared" si="30"/>
        <v>15.170478249326811</v>
      </c>
    </row>
    <row r="662" spans="1:13" hidden="1" outlineLevel="2">
      <c r="A662" s="172">
        <v>46113</v>
      </c>
      <c r="B662" s="1" t="s">
        <v>815</v>
      </c>
      <c r="C662" s="379">
        <v>870036640330</v>
      </c>
      <c r="D662" s="742" t="str">
        <f>VLOOKUP(C662,[1]Material!F:J,5,0)</f>
        <v>Fedex</v>
      </c>
      <c r="E662" s="764">
        <f>_xlfn.XLOOKUP(C662,[1]Material!$F:$F,[1]Material!$D:$D)</f>
        <v>4.8</v>
      </c>
      <c r="F662" s="761"/>
      <c r="G662" s="761">
        <v>0</v>
      </c>
      <c r="H662" s="761">
        <v>30.340956498653622</v>
      </c>
      <c r="I662" s="761">
        <v>80.265710926536954</v>
      </c>
      <c r="J662" s="761"/>
      <c r="K662" s="761"/>
      <c r="L662" s="29">
        <v>0</v>
      </c>
      <c r="M662" s="29">
        <f t="shared" si="30"/>
        <v>110.60666742519058</v>
      </c>
    </row>
    <row r="663" spans="1:13" hidden="1" outlineLevel="2">
      <c r="A663" s="172">
        <v>46113</v>
      </c>
      <c r="B663" s="1" t="s">
        <v>1822</v>
      </c>
      <c r="C663" s="379">
        <v>870055651116</v>
      </c>
      <c r="D663" s="742" t="s">
        <v>45</v>
      </c>
      <c r="E663" s="764">
        <f>_xlfn.XLOOKUP(C663,[1]Equipment!$F:$F,[1]Equipment!$D:$D)</f>
        <v>1.4</v>
      </c>
      <c r="F663" s="761"/>
      <c r="G663" s="761">
        <v>0</v>
      </c>
      <c r="H663" s="761">
        <v>15.170478249326811</v>
      </c>
      <c r="I663" s="761">
        <v>0</v>
      </c>
      <c r="J663" s="761"/>
      <c r="K663" s="761"/>
      <c r="L663" s="29">
        <v>0</v>
      </c>
      <c r="M663" s="29">
        <f t="shared" si="30"/>
        <v>15.170478249326811</v>
      </c>
    </row>
    <row r="664" spans="1:13" hidden="1" outlineLevel="2">
      <c r="A664" s="172">
        <v>46113</v>
      </c>
      <c r="B664" s="1" t="s">
        <v>1822</v>
      </c>
      <c r="C664" s="379">
        <v>870055771599</v>
      </c>
      <c r="D664" s="742" t="s">
        <v>45</v>
      </c>
      <c r="E664" s="764">
        <f>_xlfn.XLOOKUP(C664,[1]Equipment!$F:$F,[1]Equipment!$D:$D)</f>
        <v>1.4</v>
      </c>
      <c r="F664" s="761"/>
      <c r="G664" s="761">
        <v>0</v>
      </c>
      <c r="H664" s="761">
        <v>15.170478249326811</v>
      </c>
      <c r="I664" s="761">
        <v>0</v>
      </c>
      <c r="J664" s="761"/>
      <c r="K664" s="761"/>
      <c r="L664" s="29">
        <v>0</v>
      </c>
      <c r="M664" s="29">
        <f t="shared" si="30"/>
        <v>15.170478249326811</v>
      </c>
    </row>
    <row r="665" spans="1:13" hidden="1" outlineLevel="2">
      <c r="A665" s="172">
        <v>46113</v>
      </c>
      <c r="B665" s="1" t="s">
        <v>1709</v>
      </c>
      <c r="C665" s="379">
        <v>870096484719</v>
      </c>
      <c r="D665" s="742" t="str">
        <f>VLOOKUP(C665,[1]Material!F:J,5,0)</f>
        <v>Fedex</v>
      </c>
      <c r="E665" s="764">
        <f>_xlfn.XLOOKUP(C665,[1]Material!$F:$F,[1]Material!$D:$D)</f>
        <v>1.3</v>
      </c>
      <c r="F665" s="761"/>
      <c r="G665" s="761">
        <v>0</v>
      </c>
      <c r="H665" s="761">
        <v>15.170478249326811</v>
      </c>
      <c r="I665" s="761">
        <v>0</v>
      </c>
      <c r="J665" s="761"/>
      <c r="K665" s="761"/>
      <c r="L665" s="29">
        <v>0</v>
      </c>
      <c r="M665" s="29">
        <f t="shared" si="30"/>
        <v>15.170478249326811</v>
      </c>
    </row>
    <row r="666" spans="1:13" hidden="1" outlineLevel="2">
      <c r="A666" s="172">
        <v>46113</v>
      </c>
      <c r="B666" s="1" t="s">
        <v>1823</v>
      </c>
      <c r="C666" s="379">
        <v>870124361270</v>
      </c>
      <c r="D666" s="742" t="s">
        <v>45</v>
      </c>
      <c r="E666" s="764">
        <f>_xlfn.XLOOKUP(C666,[1]Equipment!$F:$F,[1]Equipment!$D:$D)</f>
        <v>4</v>
      </c>
      <c r="F666" s="761"/>
      <c r="G666" s="761">
        <v>0</v>
      </c>
      <c r="H666" s="761">
        <v>15.170478249326811</v>
      </c>
      <c r="I666" s="761">
        <v>0</v>
      </c>
      <c r="J666" s="761"/>
      <c r="K666" s="761"/>
      <c r="L666" s="29">
        <v>0</v>
      </c>
      <c r="M666" s="29">
        <f t="shared" si="30"/>
        <v>15.170478249326811</v>
      </c>
    </row>
    <row r="667" spans="1:13" hidden="1" outlineLevel="2">
      <c r="A667" s="172">
        <v>46113</v>
      </c>
      <c r="B667" s="1" t="s">
        <v>648</v>
      </c>
      <c r="C667" s="379">
        <v>870237846277</v>
      </c>
      <c r="D667" s="742" t="str">
        <f>VLOOKUP(C667,[1]Material!F:J,5,0)</f>
        <v>Fedex</v>
      </c>
      <c r="E667" s="764">
        <f>_xlfn.XLOOKUP(C667,[1]Material!$F:$F,[1]Material!$D:$D)</f>
        <v>14.4</v>
      </c>
      <c r="F667" s="761"/>
      <c r="G667" s="761">
        <v>0</v>
      </c>
      <c r="H667" s="761">
        <v>30.340956498653622</v>
      </c>
      <c r="I667" s="761">
        <v>84.111844350893165</v>
      </c>
      <c r="J667" s="761"/>
      <c r="K667" s="761"/>
      <c r="L667" s="29">
        <v>0</v>
      </c>
      <c r="M667" s="29">
        <f t="shared" si="30"/>
        <v>114.45280084954679</v>
      </c>
    </row>
    <row r="668" spans="1:13" hidden="1" outlineLevel="2">
      <c r="A668" s="172">
        <v>46113</v>
      </c>
      <c r="B668" s="1" t="s">
        <v>648</v>
      </c>
      <c r="C668" s="379">
        <v>870240468152</v>
      </c>
      <c r="D668" s="742" t="str">
        <f>VLOOKUP(C668,[1]Material!F:J,5,0)</f>
        <v>Fedex</v>
      </c>
      <c r="E668" s="764">
        <f>_xlfn.XLOOKUP(C668,[1]Material!$F:$F,[1]Material!$D:$D)</f>
        <v>1.1000000000000001</v>
      </c>
      <c r="F668" s="761"/>
      <c r="G668" s="761">
        <v>0</v>
      </c>
      <c r="H668" s="761">
        <v>30.340956498653622</v>
      </c>
      <c r="I668" s="761">
        <v>18.057344407782455</v>
      </c>
      <c r="J668" s="761"/>
      <c r="K668" s="761"/>
      <c r="L668" s="29">
        <v>0</v>
      </c>
      <c r="M668" s="29">
        <f t="shared" si="30"/>
        <v>48.398300906436077</v>
      </c>
    </row>
    <row r="669" spans="1:13" hidden="1" outlineLevel="2">
      <c r="A669" s="172">
        <v>46113</v>
      </c>
      <c r="B669" s="1" t="s">
        <v>648</v>
      </c>
      <c r="C669" s="379">
        <v>870240935246</v>
      </c>
      <c r="D669" s="742" t="str">
        <f>VLOOKUP(C669,[1]Material!F:J,5,0)</f>
        <v>Fedex</v>
      </c>
      <c r="E669" s="764">
        <f>_xlfn.XLOOKUP(C669,[1]Material!$F:$F,[1]Material!$D:$D)</f>
        <v>4</v>
      </c>
      <c r="F669" s="761"/>
      <c r="G669" s="761">
        <v>0</v>
      </c>
      <c r="H669" s="761">
        <v>30.340956498653622</v>
      </c>
      <c r="I669" s="761">
        <v>30.657185117760836</v>
      </c>
      <c r="J669" s="761"/>
      <c r="K669" s="761"/>
      <c r="L669" s="29">
        <v>0</v>
      </c>
      <c r="M669" s="29">
        <f t="shared" si="30"/>
        <v>60.998141616414458</v>
      </c>
    </row>
    <row r="670" spans="1:13" hidden="1" outlineLevel="2">
      <c r="A670" s="172">
        <v>46113</v>
      </c>
      <c r="B670" s="1" t="s">
        <v>1817</v>
      </c>
      <c r="C670" s="379">
        <v>870242612548</v>
      </c>
      <c r="D670" s="742" t="str">
        <f>VLOOKUP(C670,[1]Material!F:J,5,0)</f>
        <v>Fedex</v>
      </c>
      <c r="E670" s="764">
        <f>_xlfn.XLOOKUP(C670,[1]Material!$F:$F,[1]Material!$D:$D)</f>
        <v>36</v>
      </c>
      <c r="F670" s="761"/>
      <c r="G670" s="761">
        <v>0</v>
      </c>
      <c r="H670" s="761">
        <v>15.170478249326811</v>
      </c>
      <c r="I670" s="761">
        <v>0</v>
      </c>
      <c r="J670" s="761"/>
      <c r="K670" s="761"/>
      <c r="L670" s="29">
        <v>0</v>
      </c>
      <c r="M670" s="29">
        <f t="shared" si="30"/>
        <v>15.170478249326811</v>
      </c>
    </row>
    <row r="671" spans="1:13" hidden="1" outlineLevel="2">
      <c r="A671" s="172">
        <v>46113</v>
      </c>
      <c r="B671" s="1" t="s">
        <v>1824</v>
      </c>
      <c r="C671" s="379">
        <v>870397541768</v>
      </c>
      <c r="D671" s="742" t="s">
        <v>45</v>
      </c>
      <c r="E671" s="764">
        <v>18</v>
      </c>
      <c r="F671" s="761"/>
      <c r="G671" s="761">
        <v>0</v>
      </c>
      <c r="H671" s="761">
        <v>15.170478249326811</v>
      </c>
      <c r="I671" s="761">
        <v>0</v>
      </c>
      <c r="J671" s="761"/>
      <c r="K671" s="761"/>
      <c r="L671" s="29">
        <v>0</v>
      </c>
      <c r="M671" s="29">
        <f t="shared" si="30"/>
        <v>15.170478249326811</v>
      </c>
    </row>
    <row r="672" spans="1:13" hidden="1" outlineLevel="2">
      <c r="A672" s="172">
        <v>46113</v>
      </c>
      <c r="B672" s="1" t="s">
        <v>1823</v>
      </c>
      <c r="C672" s="379">
        <v>870482677670</v>
      </c>
      <c r="D672" s="742" t="s">
        <v>45</v>
      </c>
      <c r="E672" s="764">
        <v>2</v>
      </c>
      <c r="F672" s="761"/>
      <c r="G672" s="761">
        <v>0</v>
      </c>
      <c r="H672" s="761">
        <v>15.170478249326811</v>
      </c>
      <c r="I672" s="761">
        <v>0</v>
      </c>
      <c r="J672" s="761"/>
      <c r="K672" s="761"/>
      <c r="L672" s="29">
        <v>0</v>
      </c>
      <c r="M672" s="29">
        <f t="shared" si="30"/>
        <v>15.170478249326811</v>
      </c>
    </row>
    <row r="673" spans="1:13" hidden="1" outlineLevel="2">
      <c r="A673" s="172">
        <v>46113</v>
      </c>
      <c r="B673" s="1" t="s">
        <v>815</v>
      </c>
      <c r="C673" s="379">
        <v>870512948185</v>
      </c>
      <c r="D673" s="742" t="str">
        <f>VLOOKUP(C673,[1]Material!F:J,5,0)</f>
        <v>Fedex</v>
      </c>
      <c r="E673" s="764">
        <f>_xlfn.XLOOKUP(C673,[1]Material!$F:$F,[1]Material!$D:$D)</f>
        <v>3</v>
      </c>
      <c r="F673" s="761"/>
      <c r="G673" s="761">
        <v>0</v>
      </c>
      <c r="H673" s="761">
        <v>30.340956498653622</v>
      </c>
      <c r="I673" s="761">
        <v>66.600144119543373</v>
      </c>
      <c r="J673" s="761"/>
      <c r="K673" s="761"/>
      <c r="L673" s="29">
        <v>0</v>
      </c>
      <c r="M673" s="29">
        <f t="shared" si="30"/>
        <v>96.941100618196998</v>
      </c>
    </row>
    <row r="674" spans="1:13" hidden="1" outlineLevel="2">
      <c r="A674" s="172">
        <v>46113</v>
      </c>
      <c r="B674" s="1" t="s">
        <v>805</v>
      </c>
      <c r="C674" s="379">
        <v>870582474818</v>
      </c>
      <c r="D674" s="742" t="str">
        <f>VLOOKUP(C674,[1]Material!F:J,5,0)</f>
        <v>Fedex</v>
      </c>
      <c r="E674" s="764">
        <f>_xlfn.XLOOKUP(C674,[1]Material!$F:$F,[1]Material!$D:$D)</f>
        <v>0.8</v>
      </c>
      <c r="F674" s="761"/>
      <c r="G674" s="761">
        <v>0</v>
      </c>
      <c r="H674" s="761">
        <v>30.340956498653622</v>
      </c>
      <c r="I674" s="761">
        <v>17.067281071035765</v>
      </c>
      <c r="J674" s="761"/>
      <c r="K674" s="761"/>
      <c r="L674" s="29">
        <v>0</v>
      </c>
      <c r="M674" s="29">
        <f t="shared" si="30"/>
        <v>47.408237569689391</v>
      </c>
    </row>
    <row r="675" spans="1:13" hidden="1" outlineLevel="2">
      <c r="A675" s="172">
        <v>46113</v>
      </c>
      <c r="B675" s="1" t="s">
        <v>1823</v>
      </c>
      <c r="C675" s="379">
        <v>870598448989</v>
      </c>
      <c r="D675" s="742" t="s">
        <v>45</v>
      </c>
      <c r="E675" s="764">
        <v>2</v>
      </c>
      <c r="F675" s="761"/>
      <c r="G675" s="761">
        <v>0</v>
      </c>
      <c r="H675" s="761">
        <v>15.170478249326811</v>
      </c>
      <c r="I675" s="761">
        <v>0</v>
      </c>
      <c r="J675" s="761"/>
      <c r="K675" s="761"/>
      <c r="L675" s="29">
        <v>0</v>
      </c>
      <c r="M675" s="29">
        <f t="shared" si="30"/>
        <v>15.170478249326811</v>
      </c>
    </row>
    <row r="676" spans="1:13" hidden="1" outlineLevel="2">
      <c r="A676" s="172">
        <v>46113</v>
      </c>
      <c r="B676" s="1" t="s">
        <v>815</v>
      </c>
      <c r="C676" s="379">
        <v>870634834161</v>
      </c>
      <c r="D676" s="742" t="str">
        <f>VLOOKUP(C676,[1]Material!F:J,5,0)</f>
        <v>Fedex</v>
      </c>
      <c r="E676" s="764">
        <f>_xlfn.XLOOKUP(C676,[1]Material!$F:$F,[1]Material!$D:$D)</f>
        <v>2.9</v>
      </c>
      <c r="F676" s="761"/>
      <c r="G676" s="761">
        <v>0</v>
      </c>
      <c r="H676" s="761">
        <v>30.340956498653622</v>
      </c>
      <c r="I676" s="761">
        <v>34.024803731937652</v>
      </c>
      <c r="J676" s="761"/>
      <c r="K676" s="761"/>
      <c r="L676" s="29">
        <v>0</v>
      </c>
      <c r="M676" s="29">
        <f t="shared" si="30"/>
        <v>64.365760230591277</v>
      </c>
    </row>
    <row r="677" spans="1:13" hidden="1" outlineLevel="2">
      <c r="A677" s="172">
        <v>46113</v>
      </c>
      <c r="B677" s="1" t="s">
        <v>1823</v>
      </c>
      <c r="C677" s="379">
        <v>870650025676</v>
      </c>
      <c r="D677" s="742" t="s">
        <v>45</v>
      </c>
      <c r="E677" s="764">
        <v>25</v>
      </c>
      <c r="F677" s="761"/>
      <c r="G677" s="761">
        <v>18.204573899192173</v>
      </c>
      <c r="H677" s="761">
        <v>15.170478249326811</v>
      </c>
      <c r="I677" s="761">
        <v>0</v>
      </c>
      <c r="J677" s="761"/>
      <c r="K677" s="761"/>
      <c r="L677" s="29">
        <v>0</v>
      </c>
      <c r="M677" s="29">
        <f t="shared" si="30"/>
        <v>33.375052148518982</v>
      </c>
    </row>
    <row r="678" spans="1:13" hidden="1" outlineLevel="2">
      <c r="A678" s="172">
        <v>46113</v>
      </c>
      <c r="B678" s="1" t="s">
        <v>1823</v>
      </c>
      <c r="C678" s="379">
        <v>870650353490</v>
      </c>
      <c r="D678" s="742" t="s">
        <v>45</v>
      </c>
      <c r="E678" s="764">
        <v>18</v>
      </c>
      <c r="F678" s="761"/>
      <c r="G678" s="761">
        <v>0</v>
      </c>
      <c r="H678" s="761">
        <v>15.170478249326811</v>
      </c>
      <c r="I678" s="761">
        <v>0</v>
      </c>
      <c r="J678" s="761"/>
      <c r="K678" s="761"/>
      <c r="L678" s="29">
        <v>0</v>
      </c>
      <c r="M678" s="29">
        <f t="shared" si="30"/>
        <v>15.170478249326811</v>
      </c>
    </row>
    <row r="679" spans="1:13" hidden="1" outlineLevel="2">
      <c r="A679" s="172">
        <v>46113</v>
      </c>
      <c r="B679" s="1" t="s">
        <v>648</v>
      </c>
      <c r="C679" s="379">
        <v>870727546157</v>
      </c>
      <c r="D679" s="742" t="str">
        <f>VLOOKUP(C679,[1]Material!F:J,5,0)</f>
        <v>Fedex</v>
      </c>
      <c r="E679" s="764">
        <f>_xlfn.XLOOKUP(C679,[1]Material!$F:$F,[1]Material!$D:$D)</f>
        <v>27.5</v>
      </c>
      <c r="F679" s="761"/>
      <c r="G679" s="761"/>
      <c r="H679" s="761">
        <v>0</v>
      </c>
      <c r="I679" s="761">
        <v>167.29351082792886</v>
      </c>
      <c r="J679" s="761"/>
      <c r="K679" s="761"/>
      <c r="L679" s="29"/>
      <c r="M679" s="29">
        <f t="shared" si="30"/>
        <v>167.29351082792886</v>
      </c>
    </row>
    <row r="680" spans="1:13" hidden="1" outlineLevel="2">
      <c r="A680" s="172">
        <v>46113</v>
      </c>
      <c r="B680" s="1" t="s">
        <v>336</v>
      </c>
      <c r="C680" s="379">
        <v>870763540683</v>
      </c>
      <c r="D680" s="742" t="str">
        <f>VLOOKUP(C680,[1]Material!F:J,5,0)</f>
        <v>Fedex</v>
      </c>
      <c r="E680" s="764">
        <f>_xlfn.XLOOKUP(C680,[1]Material!$F:$F,[1]Material!$D:$D)</f>
        <v>26.1</v>
      </c>
      <c r="F680" s="761"/>
      <c r="G680" s="761">
        <v>0</v>
      </c>
      <c r="H680" s="761">
        <v>15.170478249326811</v>
      </c>
      <c r="I680" s="761">
        <v>0</v>
      </c>
      <c r="J680" s="761"/>
      <c r="K680" s="761"/>
      <c r="L680" s="29">
        <v>0</v>
      </c>
      <c r="M680" s="29">
        <f t="shared" si="30"/>
        <v>15.170478249326811</v>
      </c>
    </row>
    <row r="681" spans="1:13" hidden="1" outlineLevel="2">
      <c r="A681" s="172">
        <v>46113</v>
      </c>
      <c r="B681" s="1" t="s">
        <v>648</v>
      </c>
      <c r="C681" s="379">
        <v>870767118745</v>
      </c>
      <c r="D681" s="742" t="str">
        <f>VLOOKUP(C681,[1]Material!F:J,5,0)</f>
        <v>Fedex</v>
      </c>
      <c r="E681" s="764">
        <f>_xlfn.XLOOKUP(C681,[1]Material!$F:$F,[1]Material!$D:$D)</f>
        <v>1.6</v>
      </c>
      <c r="F681" s="761"/>
      <c r="G681" s="761">
        <v>0</v>
      </c>
      <c r="H681" s="761">
        <v>30.340956498653622</v>
      </c>
      <c r="I681" s="761">
        <v>24.318921378996471</v>
      </c>
      <c r="J681" s="761"/>
      <c r="K681" s="761"/>
      <c r="L681" s="29">
        <v>0</v>
      </c>
      <c r="M681" s="29">
        <f t="shared" si="30"/>
        <v>54.659877877650089</v>
      </c>
    </row>
    <row r="682" spans="1:13" hidden="1" outlineLevel="2">
      <c r="A682" s="172">
        <v>46113</v>
      </c>
      <c r="B682" s="1" t="s">
        <v>815</v>
      </c>
      <c r="C682" s="379">
        <v>870837351555</v>
      </c>
      <c r="D682" s="742" t="str">
        <f>VLOOKUP(C682,[1]Material!F:J,5,0)</f>
        <v>Fedex</v>
      </c>
      <c r="E682" s="764">
        <f>_xlfn.XLOOKUP(C682,[1]Material!$F:$F,[1]Material!$D:$D)</f>
        <v>0.3</v>
      </c>
      <c r="F682" s="761"/>
      <c r="G682" s="761">
        <v>0</v>
      </c>
      <c r="H682" s="761">
        <v>30.340956498653622</v>
      </c>
      <c r="I682" s="761">
        <v>22.967762733720182</v>
      </c>
      <c r="J682" s="761"/>
      <c r="K682" s="761"/>
      <c r="L682" s="29">
        <v>0</v>
      </c>
      <c r="M682" s="29">
        <f t="shared" si="30"/>
        <v>53.308719232373804</v>
      </c>
    </row>
    <row r="683" spans="1:13" hidden="1" outlineLevel="2">
      <c r="A683" s="172">
        <v>46113</v>
      </c>
      <c r="B683" s="1" t="s">
        <v>648</v>
      </c>
      <c r="C683" s="379">
        <v>889804253139</v>
      </c>
      <c r="D683" s="742" t="str">
        <f>VLOOKUP(C683,[1]Material!F:J,5,0)</f>
        <v>Fedex</v>
      </c>
      <c r="E683" s="764">
        <f>_xlfn.XLOOKUP(C683,[1]Material!$F:$F,[1]Material!$D:$D)</f>
        <v>5.2</v>
      </c>
      <c r="F683" s="761"/>
      <c r="G683" s="761">
        <v>0</v>
      </c>
      <c r="H683" s="761">
        <v>30.340956498653622</v>
      </c>
      <c r="I683" s="761">
        <v>33.039329464861382</v>
      </c>
      <c r="J683" s="761"/>
      <c r="K683" s="761"/>
      <c r="L683" s="29">
        <v>0</v>
      </c>
      <c r="M683" s="29">
        <f t="shared" si="30"/>
        <v>63.380285963515007</v>
      </c>
    </row>
    <row r="684" spans="1:13" hidden="1" outlineLevel="2">
      <c r="A684" s="172">
        <v>46113</v>
      </c>
      <c r="B684" s="1" t="s">
        <v>1720</v>
      </c>
      <c r="C684" s="379">
        <v>889819372964</v>
      </c>
      <c r="D684" s="742" t="s">
        <v>45</v>
      </c>
      <c r="E684" s="764">
        <v>1.4</v>
      </c>
      <c r="F684" s="761"/>
      <c r="G684" s="761">
        <v>0</v>
      </c>
      <c r="H684" s="761">
        <v>15.170478249326811</v>
      </c>
      <c r="I684" s="761">
        <v>0</v>
      </c>
      <c r="J684" s="761"/>
      <c r="K684" s="761"/>
      <c r="L684" s="29">
        <v>0</v>
      </c>
      <c r="M684" s="29">
        <f t="shared" si="30"/>
        <v>15.170478249326811</v>
      </c>
    </row>
    <row r="685" spans="1:13" hidden="1" outlineLevel="2">
      <c r="A685" s="172">
        <v>46113</v>
      </c>
      <c r="B685" s="1" t="s">
        <v>815</v>
      </c>
      <c r="C685" s="379">
        <v>889868438455</v>
      </c>
      <c r="D685" s="742" t="str">
        <f>VLOOKUP(C685,[1]Material!F:J,5,0)</f>
        <v>Fedex</v>
      </c>
      <c r="E685" s="764">
        <f>_xlfn.XLOOKUP(C685,[1]Material!$F:$F,[1]Material!$D:$D)</f>
        <v>0.5</v>
      </c>
      <c r="F685" s="761"/>
      <c r="G685" s="761">
        <v>0</v>
      </c>
      <c r="H685" s="761">
        <v>30.340956498653622</v>
      </c>
      <c r="I685" s="761">
        <v>14.480297341373687</v>
      </c>
      <c r="J685" s="761"/>
      <c r="K685" s="761"/>
      <c r="L685" s="29">
        <v>0</v>
      </c>
      <c r="M685" s="29">
        <f t="shared" si="30"/>
        <v>44.82125384002731</v>
      </c>
    </row>
    <row r="686" spans="1:13" hidden="1" outlineLevel="2">
      <c r="A686" s="172">
        <v>46113</v>
      </c>
      <c r="B686" s="1" t="s">
        <v>805</v>
      </c>
      <c r="C686" s="379">
        <v>889912361830</v>
      </c>
      <c r="D686" s="742" t="str">
        <f>VLOOKUP(C686,[1]Material!F:J,5,0)</f>
        <v>Fedex</v>
      </c>
      <c r="E686" s="764">
        <f>_xlfn.XLOOKUP(C686,[1]Material!$F:$F,[1]Material!$D:$D)</f>
        <v>3</v>
      </c>
      <c r="F686" s="761"/>
      <c r="G686" s="761">
        <v>0</v>
      </c>
      <c r="H686" s="761">
        <v>30.340956498653622</v>
      </c>
      <c r="I686" s="761">
        <v>32.516971972541434</v>
      </c>
      <c r="J686" s="761"/>
      <c r="K686" s="761"/>
      <c r="L686" s="29">
        <v>0</v>
      </c>
      <c r="M686" s="29">
        <f t="shared" si="30"/>
        <v>62.857928471195052</v>
      </c>
    </row>
    <row r="687" spans="1:13" hidden="1" outlineLevel="2">
      <c r="A687" s="172">
        <v>46113</v>
      </c>
      <c r="B687" s="1" t="s">
        <v>1868</v>
      </c>
      <c r="C687" s="379">
        <v>889928622185</v>
      </c>
      <c r="D687" s="742" t="s">
        <v>45</v>
      </c>
      <c r="E687" s="764">
        <v>4</v>
      </c>
      <c r="F687" s="761"/>
      <c r="G687" s="761">
        <v>0</v>
      </c>
      <c r="H687" s="761">
        <v>15.170478249326811</v>
      </c>
      <c r="I687" s="761">
        <v>0</v>
      </c>
      <c r="J687" s="761"/>
      <c r="K687" s="761"/>
      <c r="L687" s="29">
        <v>0</v>
      </c>
      <c r="M687" s="29">
        <f t="shared" si="30"/>
        <v>15.170478249326811</v>
      </c>
    </row>
    <row r="688" spans="1:13" hidden="1" outlineLevel="2">
      <c r="A688" s="172">
        <v>46113</v>
      </c>
      <c r="B688" s="1" t="s">
        <v>375</v>
      </c>
      <c r="C688" s="379">
        <v>889954204149</v>
      </c>
      <c r="D688" s="742" t="str">
        <f>VLOOKUP(C688,[1]Material!F:J,5,0)</f>
        <v>Fedex</v>
      </c>
      <c r="E688" s="764">
        <f>_xlfn.XLOOKUP(C688,[1]Material!$F:$F,[1]Material!$D:$D)</f>
        <v>16</v>
      </c>
      <c r="F688" s="761"/>
      <c r="G688" s="761">
        <v>0</v>
      </c>
      <c r="H688" s="761">
        <v>30.340956498653622</v>
      </c>
      <c r="I688" s="761">
        <v>50.920023514904997</v>
      </c>
      <c r="J688" s="761"/>
      <c r="K688" s="761"/>
      <c r="L688" s="29">
        <v>0</v>
      </c>
      <c r="M688" s="29">
        <f t="shared" si="30"/>
        <v>81.260980013558623</v>
      </c>
    </row>
    <row r="689" spans="1:13" hidden="1" outlineLevel="2">
      <c r="A689" s="172">
        <v>46113</v>
      </c>
      <c r="B689" s="1" t="s">
        <v>336</v>
      </c>
      <c r="C689" s="379">
        <v>889994868952</v>
      </c>
      <c r="D689" s="742" t="str">
        <f>VLOOKUP(C689,[1]Material!F:J,5,0)</f>
        <v>Fedex</v>
      </c>
      <c r="E689" s="764">
        <f>_xlfn.XLOOKUP(C689,[1]Material!$F:$F,[1]Material!$D:$D)</f>
        <v>16.2</v>
      </c>
      <c r="F689" s="761"/>
      <c r="G689" s="761">
        <v>0</v>
      </c>
      <c r="H689" s="761">
        <v>30.340956498653622</v>
      </c>
      <c r="I689" s="761">
        <v>59.334395266810787</v>
      </c>
      <c r="J689" s="761"/>
      <c r="K689" s="761"/>
      <c r="L689" s="29">
        <v>0</v>
      </c>
      <c r="M689" s="29">
        <f t="shared" si="30"/>
        <v>89.675351765464413</v>
      </c>
    </row>
    <row r="690" spans="1:13" hidden="1" outlineLevel="2">
      <c r="A690" s="172">
        <v>46113</v>
      </c>
      <c r="B690" s="1" t="s">
        <v>1328</v>
      </c>
      <c r="C690" s="379" t="s">
        <v>1804</v>
      </c>
      <c r="D690" s="742" t="str">
        <f>VLOOKUP(C690,[1]Material!F:J,5,0)</f>
        <v>DHL</v>
      </c>
      <c r="E690" s="764">
        <f>_xlfn.XLOOKUP(C690,[1]Material!$F:$F,[1]Material!$D:$D)</f>
        <v>24.2</v>
      </c>
      <c r="F690" s="761"/>
      <c r="G690" s="761">
        <v>0</v>
      </c>
      <c r="H690" s="761">
        <v>15.170478249326811</v>
      </c>
      <c r="I690" s="761">
        <v>0</v>
      </c>
      <c r="J690" s="761"/>
      <c r="K690" s="761"/>
      <c r="L690" s="29">
        <v>0</v>
      </c>
      <c r="M690" s="29">
        <f t="shared" si="30"/>
        <v>15.170478249326811</v>
      </c>
    </row>
    <row r="691" spans="1:13" hidden="1" outlineLevel="2">
      <c r="A691" s="172">
        <v>46113</v>
      </c>
      <c r="B691" s="1" t="s">
        <v>617</v>
      </c>
      <c r="C691" s="379" t="s">
        <v>1791</v>
      </c>
      <c r="D691" s="742" t="str">
        <f>VLOOKUP(C691,[1]Material!F:J,5,0)</f>
        <v>vvmv(sea)</v>
      </c>
      <c r="E691" s="764">
        <f>_xlfn.XLOOKUP(C691,[1]Material!$F:$F,[1]Material!$D:$D)</f>
        <v>195.57</v>
      </c>
      <c r="F691" s="761"/>
      <c r="G691" s="761">
        <v>37.926195623317028</v>
      </c>
      <c r="H691" s="761">
        <v>15.170478249326811</v>
      </c>
      <c r="I691" s="761">
        <v>74.93742177722153</v>
      </c>
      <c r="J691" s="761"/>
      <c r="K691" s="761"/>
      <c r="L691" s="29">
        <v>22.814882239162589</v>
      </c>
      <c r="M691" s="29">
        <f t="shared" si="30"/>
        <v>150.84897788902796</v>
      </c>
    </row>
    <row r="692" spans="1:13" hidden="1" outlineLevel="2">
      <c r="A692" s="172">
        <v>46113</v>
      </c>
      <c r="B692" s="1" t="s">
        <v>617</v>
      </c>
      <c r="C692" s="379" t="s">
        <v>1800</v>
      </c>
      <c r="D692" s="742" t="str">
        <f>VLOOKUP(C692,[1]Material!F:J,5,0)</f>
        <v>VVMV(sea)</v>
      </c>
      <c r="E692" s="764">
        <f>_xlfn.XLOOKUP(C692,[1]Material!$F:$F,[1]Material!$D:$D)</f>
        <v>141.88</v>
      </c>
      <c r="F692" s="761"/>
      <c r="G692" s="761">
        <v>0</v>
      </c>
      <c r="H692" s="761">
        <v>15.170478249326811</v>
      </c>
      <c r="I692" s="761">
        <v>74.98293321196951</v>
      </c>
      <c r="J692" s="761"/>
      <c r="K692" s="761"/>
      <c r="L692" s="29">
        <v>23.51120719080669</v>
      </c>
      <c r="M692" s="29">
        <f t="shared" si="30"/>
        <v>113.664618652103</v>
      </c>
    </row>
    <row r="693" spans="1:13" hidden="1" outlineLevel="2">
      <c r="A693" s="172">
        <v>46113</v>
      </c>
      <c r="B693" s="1" t="s">
        <v>614</v>
      </c>
      <c r="C693" s="379" t="s">
        <v>1797</v>
      </c>
      <c r="D693" s="742" t="str">
        <f>VLOOKUP(C693,[1]Material!F:J,5,0)</f>
        <v>VVMV(sea)</v>
      </c>
      <c r="E693" s="764">
        <f>_xlfn.XLOOKUP(C693,[1]Material!$F:$F,[1]Material!$D:$D)</f>
        <v>923.31</v>
      </c>
      <c r="F693" s="761"/>
      <c r="G693" s="761">
        <v>91.022869495960862</v>
      </c>
      <c r="H693" s="761">
        <v>15.170478249326811</v>
      </c>
      <c r="I693" s="761">
        <v>591.05084385785256</v>
      </c>
      <c r="J693" s="761"/>
      <c r="K693" s="761"/>
      <c r="L693" s="29">
        <v>80.241210604164294</v>
      </c>
      <c r="M693" s="29">
        <f t="shared" si="30"/>
        <v>777.48540220730456</v>
      </c>
    </row>
    <row r="694" spans="1:13" hidden="1" outlineLevel="2">
      <c r="A694" s="172">
        <v>46113</v>
      </c>
      <c r="B694" s="1" t="s">
        <v>614</v>
      </c>
      <c r="C694" s="379" t="s">
        <v>1803</v>
      </c>
      <c r="D694" s="742" t="str">
        <f>VLOOKUP(C694,[1]Material!F:J,5,0)</f>
        <v>VVMV(sea)</v>
      </c>
      <c r="E694" s="764">
        <f>_xlfn.XLOOKUP(C694,[1]Material!$F:$F,[1]Material!$D:$D)</f>
        <v>705.66</v>
      </c>
      <c r="F694" s="761"/>
      <c r="G694" s="761">
        <v>0</v>
      </c>
      <c r="H694" s="761">
        <v>15.170478249326811</v>
      </c>
      <c r="I694" s="761">
        <v>439.21995373004131</v>
      </c>
      <c r="J694" s="761"/>
      <c r="K694" s="761"/>
      <c r="L694" s="29">
        <v>61.645238366139495</v>
      </c>
      <c r="M694" s="29">
        <f t="shared" si="30"/>
        <v>516.0356703455077</v>
      </c>
    </row>
    <row r="695" spans="1:13" hidden="1" outlineLevel="2">
      <c r="A695" s="172">
        <v>46113</v>
      </c>
      <c r="B695" s="1" t="s">
        <v>328</v>
      </c>
      <c r="C695" s="379" t="s">
        <v>1793</v>
      </c>
      <c r="D695" s="742" t="str">
        <f>VLOOKUP(C695,[1]Material!F:J,5,0)</f>
        <v>VVMV(sea)</v>
      </c>
      <c r="E695" s="764">
        <f>_xlfn.XLOOKUP(C695,[1]Material!$F:$F,[1]Material!$D:$D)</f>
        <v>118</v>
      </c>
      <c r="F695" s="761"/>
      <c r="G695" s="761">
        <v>0</v>
      </c>
      <c r="H695" s="761">
        <v>15.170478249326811</v>
      </c>
      <c r="I695" s="761">
        <v>584.51188986232796</v>
      </c>
      <c r="J695" s="761"/>
      <c r="K695" s="761"/>
      <c r="L695" s="29">
        <v>34.734326999658663</v>
      </c>
      <c r="M695" s="29">
        <f t="shared" si="30"/>
        <v>634.4166951113134</v>
      </c>
    </row>
    <row r="696" spans="1:13" hidden="1" outlineLevel="2">
      <c r="A696" s="172">
        <v>46113</v>
      </c>
      <c r="B696" s="1" t="s">
        <v>1581</v>
      </c>
      <c r="C696" s="379" t="s">
        <v>1878</v>
      </c>
      <c r="D696" s="742" t="s">
        <v>103</v>
      </c>
      <c r="E696" s="764">
        <v>226.86</v>
      </c>
      <c r="F696" s="762">
        <v>1.37</v>
      </c>
      <c r="G696" s="761">
        <v>43.615124966814577</v>
      </c>
      <c r="H696" s="761">
        <v>20.480145636591192</v>
      </c>
      <c r="I696" s="761">
        <v>94.347024689953358</v>
      </c>
      <c r="J696" s="761"/>
      <c r="K696" s="761"/>
      <c r="L696" s="29">
        <v>27.300034133576048</v>
      </c>
      <c r="M696" s="29">
        <f t="shared" si="30"/>
        <v>185.74232942693516</v>
      </c>
    </row>
    <row r="697" spans="1:13" hidden="1" outlineLevel="2">
      <c r="A697" s="172">
        <v>46113</v>
      </c>
      <c r="B697" s="1" t="s">
        <v>1715</v>
      </c>
      <c r="C697" s="379" t="s">
        <v>1801</v>
      </c>
      <c r="D697" s="742" t="str">
        <f>VLOOKUP(C697,[1]Material!F:J,5,0)</f>
        <v>LX PANTOS</v>
      </c>
      <c r="E697" s="764">
        <f>_xlfn.XLOOKUP(C697,[1]Material!$F:$F,[1]Material!$D:$D)</f>
        <v>61.5</v>
      </c>
      <c r="F697" s="762"/>
      <c r="G697" s="761">
        <v>0</v>
      </c>
      <c r="H697" s="761">
        <v>15.170478249326811</v>
      </c>
      <c r="I697" s="761">
        <v>0</v>
      </c>
      <c r="J697" s="761"/>
      <c r="K697" s="761"/>
      <c r="L697" s="29">
        <v>0</v>
      </c>
      <c r="M697" s="29">
        <f t="shared" si="30"/>
        <v>15.170478249326811</v>
      </c>
    </row>
    <row r="698" spans="1:13" hidden="1" outlineLevel="2">
      <c r="A698" s="172">
        <v>46113</v>
      </c>
      <c r="B698" s="1" t="s">
        <v>1715</v>
      </c>
      <c r="C698" s="379" t="s">
        <v>1807</v>
      </c>
      <c r="D698" s="742" t="str">
        <f>VLOOKUP(C698,[1]Material!F:J,5,0)</f>
        <v>LX PANTOS</v>
      </c>
      <c r="E698" s="764">
        <f>_xlfn.XLOOKUP(C698,[1]Material!$F:$F,[1]Material!$D:$D)</f>
        <v>235</v>
      </c>
      <c r="F698" s="762"/>
      <c r="G698" s="761">
        <v>0</v>
      </c>
      <c r="H698" s="761">
        <v>15.170478249326811</v>
      </c>
      <c r="I698" s="761">
        <v>0</v>
      </c>
      <c r="J698" s="761"/>
      <c r="K698" s="761"/>
      <c r="L698" s="29">
        <v>0</v>
      </c>
      <c r="M698" s="29">
        <f t="shared" si="30"/>
        <v>15.170478249326811</v>
      </c>
    </row>
    <row r="699" spans="1:13" hidden="1" outlineLevel="2">
      <c r="A699" s="172">
        <v>46113</v>
      </c>
      <c r="B699" s="1" t="s">
        <v>868</v>
      </c>
      <c r="C699" s="379" t="s">
        <v>1796</v>
      </c>
      <c r="D699" s="742" t="str">
        <f>VLOOKUP(C699,[1]Material!F:J,5,0)</f>
        <v>VVMV(sea)</v>
      </c>
      <c r="E699" s="764">
        <f>_xlfn.XLOOKUP(C699,[1]Material!$F:$F,[1]Material!$D:$D)</f>
        <v>811.5</v>
      </c>
      <c r="F699" s="762"/>
      <c r="G699" s="761">
        <v>0</v>
      </c>
      <c r="H699" s="761">
        <v>15.170478249326811</v>
      </c>
      <c r="I699" s="761">
        <v>867.68494709295715</v>
      </c>
      <c r="J699" s="761"/>
      <c r="K699" s="761"/>
      <c r="L699" s="29">
        <v>66.396632153828648</v>
      </c>
      <c r="M699" s="29">
        <f t="shared" si="30"/>
        <v>949.25205749611268</v>
      </c>
    </row>
    <row r="700" spans="1:13" hidden="1" outlineLevel="2">
      <c r="A700" s="172">
        <v>46113</v>
      </c>
      <c r="B700" s="1" t="s">
        <v>330</v>
      </c>
      <c r="C700" s="379" t="s">
        <v>1802</v>
      </c>
      <c r="D700" s="742" t="str">
        <f>VLOOKUP(C700,[1]Material!F:J,5,0)</f>
        <v>VVMV(sea)</v>
      </c>
      <c r="E700" s="764">
        <f>_xlfn.XLOOKUP(C700,[1]Material!$F:$F,[1]Material!$D:$D)</f>
        <v>1944.0640000000001</v>
      </c>
      <c r="F700" s="762"/>
      <c r="G700" s="761">
        <v>117.57120643228278</v>
      </c>
      <c r="H700" s="761">
        <v>15.170478249326811</v>
      </c>
      <c r="I700" s="761">
        <v>296.25257025827739</v>
      </c>
      <c r="J700" s="761"/>
      <c r="K700" s="761"/>
      <c r="L700" s="29">
        <v>93.954791974817013</v>
      </c>
      <c r="M700" s="29">
        <f t="shared" si="30"/>
        <v>522.94904691470401</v>
      </c>
    </row>
    <row r="701" spans="1:13" outlineLevel="1" collapsed="1">
      <c r="A701" s="172" t="s">
        <v>1885</v>
      </c>
      <c r="B701" s="1"/>
      <c r="C701" s="144"/>
      <c r="D701" s="763"/>
      <c r="E701" s="399">
        <f t="shared" ref="E701:M701" si="31">SUBTOTAL(9,E578:E700)</f>
        <v>7231.5439999999999</v>
      </c>
      <c r="F701" s="1">
        <f t="shared" si="31"/>
        <v>1.37</v>
      </c>
      <c r="G701" s="59">
        <f t="shared" si="31"/>
        <v>344.7491182159518</v>
      </c>
      <c r="H701" s="59">
        <f t="shared" si="31"/>
        <v>2735.9957522660893</v>
      </c>
      <c r="I701" s="563">
        <f t="shared" si="31"/>
        <v>8733.5054924723136</v>
      </c>
      <c r="J701" s="59">
        <f t="shared" si="31"/>
        <v>0</v>
      </c>
      <c r="K701" s="563">
        <f t="shared" si="31"/>
        <v>0</v>
      </c>
      <c r="L701" s="59">
        <f t="shared" si="31"/>
        <v>481.19785743207279</v>
      </c>
      <c r="M701" s="29">
        <f t="shared" si="31"/>
        <v>12295.448220386432</v>
      </c>
    </row>
    <row r="702" spans="1:13" hidden="1" outlineLevel="2">
      <c r="A702" s="172">
        <v>46143</v>
      </c>
      <c r="B702" s="1" t="s">
        <v>806</v>
      </c>
      <c r="C702" s="379">
        <v>522040164955</v>
      </c>
      <c r="D702" s="742" t="str">
        <f>VLOOKUP(C702,[1]Material!F:J,5,0)</f>
        <v>Fedex</v>
      </c>
      <c r="E702" s="764">
        <f>_xlfn.XLOOKUP(C702,[1]Material!$F:$F,[1]Material!$D:$D)</f>
        <v>23.3</v>
      </c>
      <c r="F702" s="762"/>
      <c r="G702" s="761"/>
      <c r="H702" s="761">
        <v>15.149219815179519</v>
      </c>
      <c r="I702" s="761">
        <v>77.257612482957128</v>
      </c>
      <c r="J702" s="761"/>
      <c r="K702" s="761"/>
      <c r="L702" s="29"/>
      <c r="M702" s="29">
        <f t="shared" si="30"/>
        <v>92.406832298136649</v>
      </c>
    </row>
    <row r="703" spans="1:13" hidden="1" outlineLevel="2">
      <c r="A703" s="172">
        <v>46143</v>
      </c>
      <c r="B703" s="1" t="s">
        <v>810</v>
      </c>
      <c r="C703" s="379">
        <v>510007344202</v>
      </c>
      <c r="D703" s="742" t="str">
        <f>VLOOKUP(C703,[1]Material!F:J,5,0)</f>
        <v>Fedex</v>
      </c>
      <c r="E703" s="764">
        <f>_xlfn.XLOOKUP(C703,[1]Material!$F:$F,[1]Material!$D:$D)</f>
        <v>28</v>
      </c>
      <c r="F703" s="762"/>
      <c r="G703" s="761"/>
      <c r="H703" s="761">
        <v>0</v>
      </c>
      <c r="I703" s="761">
        <v>111.41758824420542</v>
      </c>
      <c r="J703" s="761"/>
      <c r="K703" s="761"/>
      <c r="L703" s="29"/>
      <c r="M703" s="29">
        <f t="shared" si="30"/>
        <v>111.41758824420542</v>
      </c>
    </row>
    <row r="704" spans="1:13" hidden="1" outlineLevel="2">
      <c r="A704" s="172">
        <v>46143</v>
      </c>
      <c r="B704" s="1" t="s">
        <v>809</v>
      </c>
      <c r="C704" s="379">
        <v>518027570506</v>
      </c>
      <c r="D704" s="742" t="str">
        <f>VLOOKUP(C704,[1]Material!F:J,5,0)</f>
        <v>Fedex</v>
      </c>
      <c r="E704" s="764">
        <f>_xlfn.XLOOKUP(C704,[1]Material!$F:$F,[1]Material!$D:$D)</f>
        <v>12.1</v>
      </c>
      <c r="F704" s="762"/>
      <c r="G704" s="761"/>
      <c r="H704" s="761">
        <v>15.149219815179519</v>
      </c>
      <c r="I704" s="761">
        <v>57.854415997576126</v>
      </c>
      <c r="J704" s="761"/>
      <c r="K704" s="761"/>
      <c r="L704" s="29"/>
      <c r="M704" s="29">
        <f t="shared" si="30"/>
        <v>73.003635812755647</v>
      </c>
    </row>
    <row r="705" spans="1:13" hidden="1" outlineLevel="2">
      <c r="A705" s="172">
        <v>46143</v>
      </c>
      <c r="B705" s="1" t="s">
        <v>338</v>
      </c>
      <c r="C705" s="379">
        <v>870934353194</v>
      </c>
      <c r="D705" s="742" t="str">
        <f>VLOOKUP(C705,[1]Material!F:J,5,0)</f>
        <v>Fedex</v>
      </c>
      <c r="E705" s="764">
        <f>_xlfn.XLOOKUP(C705,[1]Material!$F:$F,[1]Material!$D:$D)</f>
        <v>36.700000000000003</v>
      </c>
      <c r="F705" s="762"/>
      <c r="G705" s="761"/>
      <c r="H705" s="761">
        <v>15.149219815179519</v>
      </c>
      <c r="I705" s="761">
        <v>140.53480533252537</v>
      </c>
      <c r="J705" s="761"/>
      <c r="K705" s="761"/>
      <c r="L705" s="29"/>
      <c r="M705" s="29">
        <f t="shared" si="30"/>
        <v>155.68402514770489</v>
      </c>
    </row>
    <row r="706" spans="1:13" hidden="1" outlineLevel="2">
      <c r="A706" s="172">
        <v>46143</v>
      </c>
      <c r="B706" s="1" t="s">
        <v>811</v>
      </c>
      <c r="C706" s="379">
        <v>870936243572</v>
      </c>
      <c r="D706" s="742" t="str">
        <f>VLOOKUP(C706,[1]Material!F:J,5,0)</f>
        <v>Fedex</v>
      </c>
      <c r="E706" s="764">
        <f>_xlfn.XLOOKUP(C706,[1]Material!$F:$F,[1]Material!$D:$D)</f>
        <v>12.9</v>
      </c>
      <c r="F706" s="762"/>
      <c r="G706" s="761"/>
      <c r="H706" s="761">
        <v>15.149219815179519</v>
      </c>
      <c r="I706" s="761">
        <v>52.697129222845021</v>
      </c>
      <c r="J706" s="761"/>
      <c r="K706" s="761"/>
      <c r="L706" s="29"/>
      <c r="M706" s="29">
        <f t="shared" ref="M706:M763" si="32">SUM(G706:L706)</f>
        <v>67.846349038024542</v>
      </c>
    </row>
    <row r="707" spans="1:13" hidden="1" outlineLevel="2">
      <c r="A707" s="172">
        <v>46143</v>
      </c>
      <c r="B707" s="1" t="s">
        <v>380</v>
      </c>
      <c r="C707" s="379">
        <v>522040164028</v>
      </c>
      <c r="D707" s="742" t="str">
        <f>VLOOKUP(C707,[1]Material!F:J,5,0)</f>
        <v>Fedex</v>
      </c>
      <c r="E707" s="764">
        <f>_xlfn.XLOOKUP(C707,[1]Material!$F:$F,[1]Material!$D:$D)</f>
        <v>1.6</v>
      </c>
      <c r="F707" s="762"/>
      <c r="G707" s="761"/>
      <c r="H707" s="761">
        <v>15.149219815179519</v>
      </c>
      <c r="I707" s="761">
        <v>26.221178609301621</v>
      </c>
      <c r="J707" s="761"/>
      <c r="K707" s="761"/>
      <c r="L707" s="29"/>
      <c r="M707" s="29">
        <f t="shared" si="32"/>
        <v>41.370398424481138</v>
      </c>
    </row>
    <row r="708" spans="1:13" hidden="1" outlineLevel="2">
      <c r="A708" s="172">
        <v>46143</v>
      </c>
      <c r="B708" s="1" t="s">
        <v>802</v>
      </c>
      <c r="C708" s="379">
        <v>380673836239</v>
      </c>
      <c r="D708" s="742" t="str">
        <f>VLOOKUP(C708,[1]Material!F:J,5,0)</f>
        <v>Fedex</v>
      </c>
      <c r="E708" s="764">
        <f>_xlfn.XLOOKUP(C708,[1]Material!$F:$F,[1]Material!$D:$D)</f>
        <v>2.6</v>
      </c>
      <c r="F708" s="762"/>
      <c r="G708" s="761"/>
      <c r="H708" s="761">
        <v>15.149219815179519</v>
      </c>
      <c r="I708" s="761">
        <v>29.837638236630813</v>
      </c>
      <c r="J708" s="761"/>
      <c r="K708" s="761"/>
      <c r="L708" s="29"/>
      <c r="M708" s="29">
        <f t="shared" si="32"/>
        <v>44.98685805181033</v>
      </c>
    </row>
    <row r="709" spans="1:13" hidden="1" outlineLevel="2">
      <c r="A709" s="172">
        <v>46143</v>
      </c>
      <c r="B709" s="1" t="s">
        <v>806</v>
      </c>
      <c r="C709" s="379">
        <v>522040181189</v>
      </c>
      <c r="D709" s="742" t="str">
        <f>VLOOKUP(C709,[1]Material!F:J,5,0)</f>
        <v>Fedex</v>
      </c>
      <c r="E709" s="764">
        <f>_xlfn.XLOOKUP(C709,[1]Material!$F:$F,[1]Material!$D:$D)</f>
        <v>2.5</v>
      </c>
      <c r="F709" s="762"/>
      <c r="G709" s="761"/>
      <c r="H709" s="761">
        <v>0</v>
      </c>
      <c r="I709" s="761">
        <v>26.358695652173914</v>
      </c>
      <c r="J709" s="761"/>
      <c r="K709" s="761"/>
      <c r="L709" s="29"/>
      <c r="M709" s="29">
        <f t="shared" si="32"/>
        <v>26.358695652173914</v>
      </c>
    </row>
    <row r="710" spans="1:13" hidden="1" outlineLevel="2">
      <c r="A710" s="172">
        <v>46143</v>
      </c>
      <c r="B710" s="1" t="s">
        <v>1481</v>
      </c>
      <c r="C710" s="379">
        <v>871029418886</v>
      </c>
      <c r="D710" s="742" t="str">
        <f>VLOOKUP(C710,[1]Material!F:J,5,0)</f>
        <v>Fedex</v>
      </c>
      <c r="E710" s="764">
        <f>_xlfn.XLOOKUP(C710,[1]Material!$F:$F,[1]Material!$D:$D)</f>
        <v>5.7</v>
      </c>
      <c r="F710" s="762"/>
      <c r="G710" s="761"/>
      <c r="H710" s="761">
        <v>15.149219815179519</v>
      </c>
      <c r="I710" s="761">
        <v>50.77457960915013</v>
      </c>
      <c r="J710" s="761"/>
      <c r="K710" s="761"/>
      <c r="L710" s="29"/>
      <c r="M710" s="29">
        <f t="shared" si="32"/>
        <v>65.923799424329644</v>
      </c>
    </row>
    <row r="711" spans="1:13" hidden="1" outlineLevel="2">
      <c r="A711" s="172">
        <v>46143</v>
      </c>
      <c r="B711" s="1" t="s">
        <v>804</v>
      </c>
      <c r="C711" s="379">
        <v>380737371996</v>
      </c>
      <c r="D711" s="742" t="str">
        <f>VLOOKUP(C711,[1]Material!F:J,5,0)</f>
        <v>Fedex</v>
      </c>
      <c r="E711" s="764">
        <f>_xlfn.XLOOKUP(C711,[1]Material!$F:$F,[1]Material!$D:$D)</f>
        <v>1.5</v>
      </c>
      <c r="F711" s="762"/>
      <c r="G711" s="761"/>
      <c r="H711" s="761">
        <v>15.149219815179519</v>
      </c>
      <c r="I711" s="761">
        <v>20.084911377064081</v>
      </c>
      <c r="J711" s="761"/>
      <c r="K711" s="761"/>
      <c r="L711" s="29"/>
      <c r="M711" s="29">
        <f t="shared" si="32"/>
        <v>35.234131192243602</v>
      </c>
    </row>
    <row r="712" spans="1:13" hidden="1" outlineLevel="2">
      <c r="A712" s="172">
        <v>46143</v>
      </c>
      <c r="B712" s="1" t="s">
        <v>804</v>
      </c>
      <c r="C712" s="379">
        <v>380766564459</v>
      </c>
      <c r="D712" s="742" t="str">
        <f>VLOOKUP(C712,[1]Material!F:J,5,0)</f>
        <v>Fedex</v>
      </c>
      <c r="E712" s="764">
        <f>_xlfn.XLOOKUP(C712,[1]Material!$F:$F,[1]Material!$D:$D)</f>
        <v>0.8</v>
      </c>
      <c r="F712" s="762"/>
      <c r="G712" s="761"/>
      <c r="H712" s="761">
        <v>15.149219815179519</v>
      </c>
      <c r="I712" s="761">
        <v>16.898197242841995</v>
      </c>
      <c r="J712" s="761"/>
      <c r="K712" s="761"/>
      <c r="L712" s="29"/>
      <c r="M712" s="29">
        <f t="shared" si="32"/>
        <v>32.047417058021516</v>
      </c>
    </row>
    <row r="713" spans="1:13" hidden="1" outlineLevel="2">
      <c r="A713" s="172">
        <v>46143</v>
      </c>
      <c r="B713" s="1" t="s">
        <v>648</v>
      </c>
      <c r="C713" s="379">
        <v>871025572115</v>
      </c>
      <c r="D713" s="742" t="str">
        <f>VLOOKUP(C713,[1]Material!F:J,5,0)</f>
        <v>Fedex</v>
      </c>
      <c r="E713" s="764">
        <f>_xlfn.XLOOKUP(C713,[1]Material!$F:$F,[1]Material!$D:$D)</f>
        <v>6.7</v>
      </c>
      <c r="F713" s="762"/>
      <c r="G713" s="761"/>
      <c r="H713" s="761">
        <v>15.149219815179519</v>
      </c>
      <c r="I713" s="761">
        <v>43.971102863202546</v>
      </c>
      <c r="J713" s="761"/>
      <c r="K713" s="761"/>
      <c r="L713" s="29"/>
      <c r="M713" s="29">
        <f t="shared" si="32"/>
        <v>59.120322678382067</v>
      </c>
    </row>
    <row r="714" spans="1:13" hidden="1" outlineLevel="2">
      <c r="A714" s="172">
        <v>46143</v>
      </c>
      <c r="B714" s="1" t="s">
        <v>813</v>
      </c>
      <c r="C714" s="379">
        <v>481663285103</v>
      </c>
      <c r="D714" s="742" t="str">
        <f>VLOOKUP(C714,[1]Material!F:J,5,0)</f>
        <v>Fedex</v>
      </c>
      <c r="E714" s="764">
        <f>_xlfn.XLOOKUP(C714,[1]Material!$F:$F,[1]Material!$D:$D)</f>
        <v>31.8</v>
      </c>
      <c r="F714" s="762"/>
      <c r="G714" s="761"/>
      <c r="H714" s="761">
        <v>15.149219815179519</v>
      </c>
      <c r="I714" s="761">
        <v>115.33763823663081</v>
      </c>
      <c r="J714" s="761"/>
      <c r="K714" s="761"/>
      <c r="L714" s="29"/>
      <c r="M714" s="29">
        <f t="shared" si="32"/>
        <v>130.48685805181032</v>
      </c>
    </row>
    <row r="715" spans="1:13" hidden="1" outlineLevel="2">
      <c r="A715" s="172">
        <v>46143</v>
      </c>
      <c r="B715" s="1" t="s">
        <v>801</v>
      </c>
      <c r="C715" s="379">
        <v>515199058191</v>
      </c>
      <c r="D715" s="742" t="str">
        <f>VLOOKUP(C715,[1]Material!F:J,5,0)</f>
        <v>Fedex</v>
      </c>
      <c r="E715" s="764">
        <f>_xlfn.XLOOKUP(C715,[1]Material!$F:$F,[1]Material!$D:$D)</f>
        <v>53.4</v>
      </c>
      <c r="F715" s="762"/>
      <c r="G715" s="761"/>
      <c r="H715" s="761">
        <v>15.149219815179519</v>
      </c>
      <c r="I715" s="761">
        <v>240.67785184063021</v>
      </c>
      <c r="J715" s="761"/>
      <c r="K715" s="761"/>
      <c r="L715" s="29"/>
      <c r="M715" s="29">
        <f t="shared" si="32"/>
        <v>255.82707165580973</v>
      </c>
    </row>
    <row r="716" spans="1:13" hidden="1" outlineLevel="2">
      <c r="A716" s="172">
        <v>46143</v>
      </c>
      <c r="B716" s="1" t="s">
        <v>648</v>
      </c>
      <c r="C716" s="379">
        <v>871025563224</v>
      </c>
      <c r="D716" s="742" t="str">
        <f>VLOOKUP(C716,[1]Material!F:J,5,0)</f>
        <v>Fedex</v>
      </c>
      <c r="E716" s="764">
        <f>_xlfn.XLOOKUP(C716,[1]Material!$F:$F,[1]Material!$D:$D)</f>
        <v>27</v>
      </c>
      <c r="F716" s="762"/>
      <c r="G716" s="761"/>
      <c r="H716" s="761">
        <v>15.149219815179519</v>
      </c>
      <c r="I716" s="761">
        <v>141.09744735646115</v>
      </c>
      <c r="J716" s="761"/>
      <c r="K716" s="761"/>
      <c r="L716" s="29"/>
      <c r="M716" s="29">
        <f t="shared" si="32"/>
        <v>156.24666717164067</v>
      </c>
    </row>
    <row r="717" spans="1:13" hidden="1" outlineLevel="2">
      <c r="A717" s="172">
        <v>46143</v>
      </c>
      <c r="B717" s="1" t="s">
        <v>804</v>
      </c>
      <c r="C717" s="379">
        <v>380817564887</v>
      </c>
      <c r="D717" s="742" t="str">
        <f>VLOOKUP(C717,[1]Material!F:J,5,0)</f>
        <v>Fedex</v>
      </c>
      <c r="E717" s="764">
        <f>_xlfn.XLOOKUP(C717,[1]Material!$F:$F,[1]Material!$D:$D)</f>
        <v>8.1999999999999993</v>
      </c>
      <c r="F717" s="762"/>
      <c r="G717" s="761"/>
      <c r="H717" s="761">
        <v>0</v>
      </c>
      <c r="I717" s="761">
        <v>74.365853658536579</v>
      </c>
      <c r="J717" s="761"/>
      <c r="K717" s="761"/>
      <c r="L717" s="29"/>
      <c r="M717" s="29">
        <f t="shared" si="32"/>
        <v>74.365853658536579</v>
      </c>
    </row>
    <row r="718" spans="1:13" hidden="1" outlineLevel="2">
      <c r="A718" s="172">
        <v>46143</v>
      </c>
      <c r="B718" s="1" t="s">
        <v>810</v>
      </c>
      <c r="C718" s="379">
        <v>510007345529</v>
      </c>
      <c r="D718" s="742" t="str">
        <f>VLOOKUP(C718,[1]Material!F:J,5,0)</f>
        <v>Fedex</v>
      </c>
      <c r="E718" s="764">
        <f>_xlfn.XLOOKUP(C718,[1]Material!$F:$F,[1]Material!$D:$D)</f>
        <v>21</v>
      </c>
      <c r="F718" s="762"/>
      <c r="G718" s="761"/>
      <c r="H718" s="761">
        <v>15.149219815179519</v>
      </c>
      <c r="I718" s="761">
        <v>85.466936827753372</v>
      </c>
      <c r="J718" s="761"/>
      <c r="K718" s="761"/>
      <c r="L718" s="29"/>
      <c r="M718" s="29">
        <f t="shared" si="32"/>
        <v>100.61615664293289</v>
      </c>
    </row>
    <row r="719" spans="1:13" hidden="1" outlineLevel="2">
      <c r="A719" s="172">
        <v>46143</v>
      </c>
      <c r="B719" s="1" t="s">
        <v>815</v>
      </c>
      <c r="C719" s="379">
        <v>871151009006</v>
      </c>
      <c r="D719" s="742" t="str">
        <f>VLOOKUP(C719,[1]Material!F:J,5,0)</f>
        <v>Fedex</v>
      </c>
      <c r="E719" s="764">
        <f>_xlfn.XLOOKUP(C719,[1]Material!$F:$F,[1]Material!$D:$D)</f>
        <v>0.5</v>
      </c>
      <c r="F719" s="762"/>
      <c r="G719" s="761"/>
      <c r="H719" s="761">
        <v>15.149219815179519</v>
      </c>
      <c r="I719" s="761">
        <v>22.620322678382063</v>
      </c>
      <c r="J719" s="761"/>
      <c r="K719" s="761"/>
      <c r="L719" s="29"/>
      <c r="M719" s="29">
        <f t="shared" si="32"/>
        <v>37.76954249356158</v>
      </c>
    </row>
    <row r="720" spans="1:13" hidden="1" outlineLevel="2">
      <c r="A720" s="172">
        <v>46143</v>
      </c>
      <c r="B720" s="1" t="s">
        <v>375</v>
      </c>
      <c r="C720" s="379">
        <v>871195402262</v>
      </c>
      <c r="D720" s="742" t="str">
        <f>VLOOKUP(C720,[1]Material!F:J,5,0)</f>
        <v>Fedex</v>
      </c>
      <c r="E720" s="764">
        <f>_xlfn.XLOOKUP(C720,[1]Material!$F:$F,[1]Material!$D:$D)</f>
        <v>8</v>
      </c>
      <c r="F720" s="762"/>
      <c r="G720" s="761"/>
      <c r="H720" s="761">
        <v>15.149219815179519</v>
      </c>
      <c r="I720" s="761">
        <v>42.054840175730952</v>
      </c>
      <c r="J720" s="761"/>
      <c r="K720" s="761"/>
      <c r="L720" s="29"/>
      <c r="M720" s="29">
        <f t="shared" si="32"/>
        <v>57.204059990910473</v>
      </c>
    </row>
    <row r="721" spans="1:13" hidden="1" outlineLevel="2">
      <c r="A721" s="172">
        <v>46143</v>
      </c>
      <c r="B721" s="1" t="s">
        <v>522</v>
      </c>
      <c r="C721" s="379">
        <v>514097487657</v>
      </c>
      <c r="D721" s="742" t="str">
        <f>VLOOKUP(C721,[1]Material!F:J,5,0)</f>
        <v>Fedex</v>
      </c>
      <c r="E721" s="764">
        <f>_xlfn.XLOOKUP(C721,[1]Material!$F:$F,[1]Material!$D:$D)</f>
        <v>15.9</v>
      </c>
      <c r="F721" s="762"/>
      <c r="G721" s="761"/>
      <c r="H721" s="761">
        <v>15.149219815179519</v>
      </c>
      <c r="I721" s="761">
        <v>52.470913497954854</v>
      </c>
      <c r="J721" s="761"/>
      <c r="K721" s="761"/>
      <c r="L721" s="29"/>
      <c r="M721" s="29">
        <f t="shared" si="32"/>
        <v>67.620133313134374</v>
      </c>
    </row>
    <row r="722" spans="1:13" hidden="1" outlineLevel="2">
      <c r="A722" s="172">
        <v>46143</v>
      </c>
      <c r="B722" s="1" t="s">
        <v>806</v>
      </c>
      <c r="C722" s="379">
        <v>522040240089</v>
      </c>
      <c r="D722" s="742" t="str">
        <f>VLOOKUP(C722,[1]Material!F:J,5,0)</f>
        <v>Fedex</v>
      </c>
      <c r="E722" s="764">
        <f>_xlfn.XLOOKUP(C722,[1]Material!$F:$F,[1]Material!$D:$D)</f>
        <v>3.9</v>
      </c>
      <c r="F722" s="762"/>
      <c r="G722" s="761"/>
      <c r="H722" s="761">
        <v>15.149219815179519</v>
      </c>
      <c r="I722" s="761">
        <v>25.996364187244357</v>
      </c>
      <c r="J722" s="761"/>
      <c r="K722" s="761"/>
      <c r="L722" s="29"/>
      <c r="M722" s="29">
        <f t="shared" si="32"/>
        <v>41.145584002423874</v>
      </c>
    </row>
    <row r="723" spans="1:13" hidden="1" outlineLevel="2">
      <c r="A723" s="172">
        <v>46143</v>
      </c>
      <c r="B723" s="1" t="s">
        <v>807</v>
      </c>
      <c r="C723" s="379">
        <v>871353982550</v>
      </c>
      <c r="D723" s="742" t="str">
        <f>VLOOKUP(C723,[1]Material!F:J,5,0)</f>
        <v>Fedex</v>
      </c>
      <c r="E723" s="764">
        <f>_xlfn.XLOOKUP(C723,[1]Material!$F:$F,[1]Material!$D:$D)</f>
        <v>27.7</v>
      </c>
      <c r="F723" s="762"/>
      <c r="G723" s="761"/>
      <c r="H723" s="761">
        <v>15.149219815179519</v>
      </c>
      <c r="I723" s="761">
        <v>84.305446144523557</v>
      </c>
      <c r="J723" s="761"/>
      <c r="K723" s="761"/>
      <c r="L723" s="29"/>
      <c r="M723" s="29">
        <f t="shared" si="32"/>
        <v>99.454665959703078</v>
      </c>
    </row>
    <row r="724" spans="1:13" hidden="1" outlineLevel="2">
      <c r="A724" s="172">
        <v>46143</v>
      </c>
      <c r="B724" s="1" t="s">
        <v>802</v>
      </c>
      <c r="C724" s="379">
        <v>380966340315</v>
      </c>
      <c r="D724" s="742" t="str">
        <f>VLOOKUP(C724,[1]Material!F:J,5,0)</f>
        <v>Fedex</v>
      </c>
      <c r="E724" s="764">
        <f>_xlfn.XLOOKUP(C724,[1]Material!$F:$F,[1]Material!$D:$D)</f>
        <v>0.9</v>
      </c>
      <c r="F724" s="762"/>
      <c r="G724" s="761"/>
      <c r="H724" s="761">
        <v>15.149219815179519</v>
      </c>
      <c r="I724" s="761">
        <v>20.589342523860022</v>
      </c>
      <c r="J724" s="761"/>
      <c r="K724" s="761"/>
      <c r="L724" s="29"/>
      <c r="M724" s="29">
        <f t="shared" si="32"/>
        <v>35.738562339039539</v>
      </c>
    </row>
    <row r="725" spans="1:13" hidden="1" outlineLevel="2">
      <c r="A725" s="172">
        <v>46143</v>
      </c>
      <c r="B725" s="1" t="s">
        <v>806</v>
      </c>
      <c r="C725" s="379">
        <v>522040299492</v>
      </c>
      <c r="D725" s="742" t="str">
        <f>VLOOKUP(C725,[1]Material!F:J,5,0)</f>
        <v>Fedex</v>
      </c>
      <c r="E725" s="764">
        <f>_xlfn.XLOOKUP(C725,[1]Material!$F:$F,[1]Material!$D:$D)</f>
        <v>2.1</v>
      </c>
      <c r="F725" s="762"/>
      <c r="G725" s="761"/>
      <c r="H725" s="761">
        <v>15.149219815179519</v>
      </c>
      <c r="I725" s="761">
        <v>26.313399484926528</v>
      </c>
      <c r="J725" s="761"/>
      <c r="K725" s="761"/>
      <c r="L725" s="29"/>
      <c r="M725" s="29">
        <f t="shared" si="32"/>
        <v>41.462619300106049</v>
      </c>
    </row>
    <row r="726" spans="1:13" hidden="1" outlineLevel="2">
      <c r="A726" s="172">
        <v>46143</v>
      </c>
      <c r="B726" s="1" t="s">
        <v>804</v>
      </c>
      <c r="C726" s="379">
        <v>380995720630</v>
      </c>
      <c r="D726" s="742" t="str">
        <f>VLOOKUP(C726,[1]Material!F:J,5,0)</f>
        <v>Fedex</v>
      </c>
      <c r="E726" s="764">
        <f>_xlfn.XLOOKUP(C726,[1]Material!$F:$F,[1]Material!$D:$D)</f>
        <v>2.2000000000000002</v>
      </c>
      <c r="F726" s="762"/>
      <c r="G726" s="761"/>
      <c r="H726" s="761">
        <v>0</v>
      </c>
      <c r="I726" s="761">
        <v>28.812831389183458</v>
      </c>
      <c r="J726" s="761"/>
      <c r="K726" s="761"/>
      <c r="L726" s="29"/>
      <c r="M726" s="29">
        <f t="shared" si="32"/>
        <v>28.812831389183458</v>
      </c>
    </row>
    <row r="727" spans="1:13" hidden="1" outlineLevel="2">
      <c r="A727" s="172">
        <v>46143</v>
      </c>
      <c r="B727" s="1" t="s">
        <v>381</v>
      </c>
      <c r="C727" s="379">
        <v>517485646935</v>
      </c>
      <c r="D727" s="742" t="str">
        <f>VLOOKUP(C727,[1]Material!F:J,5,0)</f>
        <v>Fedex</v>
      </c>
      <c r="E727" s="764">
        <f>_xlfn.XLOOKUP(C727,[1]Material!$F:$F,[1]Material!$D:$D)</f>
        <v>9.9</v>
      </c>
      <c r="F727" s="762"/>
      <c r="G727" s="761"/>
      <c r="H727" s="761">
        <v>15.149219815179519</v>
      </c>
      <c r="I727" s="761">
        <v>43.042455688532037</v>
      </c>
      <c r="J727" s="761"/>
      <c r="K727" s="761"/>
      <c r="L727" s="29"/>
      <c r="M727" s="29">
        <f t="shared" si="32"/>
        <v>58.191675503711558</v>
      </c>
    </row>
    <row r="728" spans="1:13" hidden="1" outlineLevel="2">
      <c r="A728" s="172">
        <v>46143</v>
      </c>
      <c r="B728" s="1" t="s">
        <v>811</v>
      </c>
      <c r="C728" s="379">
        <v>871507065560</v>
      </c>
      <c r="D728" s="742" t="str">
        <f>VLOOKUP(C728,[1]Material!F:J,5,0)</f>
        <v>Fedex</v>
      </c>
      <c r="E728" s="764">
        <f>_xlfn.XLOOKUP(C728,[1]Material!$F:$F,[1]Material!$D:$D)</f>
        <v>34.9</v>
      </c>
      <c r="F728" s="762"/>
      <c r="G728" s="761"/>
      <c r="H728" s="761">
        <v>15.149219815179519</v>
      </c>
      <c r="I728" s="761">
        <v>111.2261399787911</v>
      </c>
      <c r="J728" s="761"/>
      <c r="K728" s="761"/>
      <c r="L728" s="29"/>
      <c r="M728" s="29">
        <f t="shared" si="32"/>
        <v>126.37535979397062</v>
      </c>
    </row>
    <row r="729" spans="1:13" hidden="1" outlineLevel="2">
      <c r="A729" s="172">
        <v>46143</v>
      </c>
      <c r="B729" s="1" t="s">
        <v>813</v>
      </c>
      <c r="C729" s="379">
        <v>481663285294</v>
      </c>
      <c r="D729" s="742" t="str">
        <f>VLOOKUP(C729,[1]Material!F:J,5,0)</f>
        <v>Fedex</v>
      </c>
      <c r="E729" s="764">
        <f>_xlfn.XLOOKUP(C729,[1]Material!$F:$F,[1]Material!$D:$D)</f>
        <v>5.5</v>
      </c>
      <c r="F729" s="762"/>
      <c r="G729" s="761"/>
      <c r="H729" s="761">
        <v>15.149219815179519</v>
      </c>
      <c r="I729" s="761">
        <v>35.459892440539313</v>
      </c>
      <c r="J729" s="761"/>
      <c r="K729" s="761"/>
      <c r="L729" s="29"/>
      <c r="M729" s="29">
        <f t="shared" si="32"/>
        <v>50.609112255718834</v>
      </c>
    </row>
    <row r="730" spans="1:13" hidden="1" outlineLevel="2">
      <c r="A730" s="172">
        <v>46143</v>
      </c>
      <c r="B730" s="1" t="s">
        <v>380</v>
      </c>
      <c r="C730" s="379">
        <v>522040307667</v>
      </c>
      <c r="D730" s="742" t="str">
        <f>VLOOKUP(C730,[1]Material!F:J,5,0)</f>
        <v>Fedex</v>
      </c>
      <c r="E730" s="764">
        <f>_xlfn.XLOOKUP(C730,[1]Material!$F:$F,[1]Material!$D:$D)</f>
        <v>4</v>
      </c>
      <c r="F730" s="762"/>
      <c r="G730" s="761"/>
      <c r="H730" s="761">
        <v>15.149219815179519</v>
      </c>
      <c r="I730" s="761">
        <v>46.102938948644145</v>
      </c>
      <c r="J730" s="761"/>
      <c r="K730" s="761"/>
      <c r="L730" s="29"/>
      <c r="M730" s="29">
        <f t="shared" si="32"/>
        <v>61.252158763823665</v>
      </c>
    </row>
    <row r="731" spans="1:13" hidden="1" outlineLevel="2">
      <c r="A731" s="172">
        <v>46143</v>
      </c>
      <c r="B731" s="1" t="s">
        <v>815</v>
      </c>
      <c r="C731" s="379">
        <v>871462909521</v>
      </c>
      <c r="D731" s="742" t="str">
        <f>VLOOKUP(C731,[1]Material!F:J,5,0)</f>
        <v>Fedex</v>
      </c>
      <c r="E731" s="764">
        <f>_xlfn.XLOOKUP(C731,[1]Material!$F:$F,[1]Material!$D:$D)</f>
        <v>2.5</v>
      </c>
      <c r="F731" s="762"/>
      <c r="G731" s="761"/>
      <c r="H731" s="761">
        <v>15.149219815179519</v>
      </c>
      <c r="I731" s="761">
        <v>57.137630662020904</v>
      </c>
      <c r="J731" s="761"/>
      <c r="K731" s="761"/>
      <c r="L731" s="29"/>
      <c r="M731" s="29">
        <f t="shared" si="32"/>
        <v>72.286850477200417</v>
      </c>
    </row>
    <row r="732" spans="1:13" hidden="1" outlineLevel="2">
      <c r="A732" s="172">
        <v>46143</v>
      </c>
      <c r="B732" s="1" t="s">
        <v>375</v>
      </c>
      <c r="C732" s="379">
        <v>871508538463</v>
      </c>
      <c r="D732" s="742" t="str">
        <f>VLOOKUP(C732,[1]Material!F:J,5,0)</f>
        <v>Fedex</v>
      </c>
      <c r="E732" s="764">
        <f>_xlfn.XLOOKUP(C732,[1]Material!$F:$F,[1]Material!$D:$D)</f>
        <v>24</v>
      </c>
      <c r="F732" s="762"/>
      <c r="G732" s="761"/>
      <c r="H732" s="761">
        <v>15.149219815179519</v>
      </c>
      <c r="I732" s="761">
        <v>81.294538706256631</v>
      </c>
      <c r="J732" s="761"/>
      <c r="K732" s="761"/>
      <c r="L732" s="29"/>
      <c r="M732" s="29">
        <f t="shared" si="32"/>
        <v>96.443758521436152</v>
      </c>
    </row>
    <row r="733" spans="1:13" hidden="1" outlineLevel="2">
      <c r="A733" s="172">
        <v>46143</v>
      </c>
      <c r="B733" s="1" t="s">
        <v>1605</v>
      </c>
      <c r="C733" s="379">
        <v>381146363168</v>
      </c>
      <c r="D733" s="742" t="str">
        <f>VLOOKUP(C733,[1]Material!F:J,5,0)</f>
        <v>Fedex</v>
      </c>
      <c r="E733" s="764">
        <f>_xlfn.XLOOKUP(C733,[1]Material!$F:$F,[1]Material!$D:$D)</f>
        <v>1</v>
      </c>
      <c r="F733" s="762"/>
      <c r="G733" s="761"/>
      <c r="H733" s="761">
        <v>15.149219815179519</v>
      </c>
      <c r="I733" s="761">
        <v>26.381002878351765</v>
      </c>
      <c r="J733" s="761"/>
      <c r="K733" s="761"/>
      <c r="L733" s="29"/>
      <c r="M733" s="29">
        <f t="shared" si="32"/>
        <v>41.530222693531286</v>
      </c>
    </row>
    <row r="734" spans="1:13" hidden="1" outlineLevel="2">
      <c r="A734" s="172">
        <v>46143</v>
      </c>
      <c r="B734" s="1" t="s">
        <v>804</v>
      </c>
      <c r="C734" s="379">
        <v>381174961702</v>
      </c>
      <c r="D734" s="742" t="str">
        <f>VLOOKUP(C734,[1]Material!F:J,5,0)</f>
        <v>Fedex</v>
      </c>
      <c r="E734" s="764">
        <f>_xlfn.XLOOKUP(C734,[1]Material!$F:$F,[1]Material!$D:$D)</f>
        <v>2.1</v>
      </c>
      <c r="F734" s="762"/>
      <c r="G734" s="761"/>
      <c r="H734" s="761">
        <v>15.149219815179519</v>
      </c>
      <c r="I734" s="761">
        <v>25.62869262232995</v>
      </c>
      <c r="J734" s="761"/>
      <c r="K734" s="761"/>
      <c r="L734" s="29"/>
      <c r="M734" s="29">
        <f t="shared" si="32"/>
        <v>40.777912437509471</v>
      </c>
    </row>
    <row r="735" spans="1:13" hidden="1" outlineLevel="2">
      <c r="A735" s="172">
        <v>46143</v>
      </c>
      <c r="B735" s="1" t="s">
        <v>807</v>
      </c>
      <c r="C735" s="379">
        <v>871631953568</v>
      </c>
      <c r="D735" s="742" t="str">
        <f>VLOOKUP(C735,[1]Material!F:J,5,0)</f>
        <v>Fedex</v>
      </c>
      <c r="E735" s="764">
        <f>_xlfn.XLOOKUP(C735,[1]Material!$F:$F,[1]Material!$D:$D)</f>
        <v>40</v>
      </c>
      <c r="F735" s="762"/>
      <c r="G735" s="761"/>
      <c r="H735" s="761">
        <v>15.149219815179519</v>
      </c>
      <c r="I735" s="761">
        <v>113.94447810937737</v>
      </c>
      <c r="J735" s="761"/>
      <c r="K735" s="761"/>
      <c r="L735" s="29"/>
      <c r="M735" s="29">
        <f t="shared" si="32"/>
        <v>129.09369792455689</v>
      </c>
    </row>
    <row r="736" spans="1:13" hidden="1" outlineLevel="2">
      <c r="A736" s="172">
        <v>46143</v>
      </c>
      <c r="B736" s="1" t="s">
        <v>813</v>
      </c>
      <c r="C736" s="379">
        <v>481663285401</v>
      </c>
      <c r="D736" s="742" t="str">
        <f>VLOOKUP(C736,[1]Material!F:J,5,0)</f>
        <v>Fedex</v>
      </c>
      <c r="E736" s="764">
        <f>_xlfn.XLOOKUP(C736,[1]Material!$F:$F,[1]Material!$D:$D)</f>
        <v>42.4</v>
      </c>
      <c r="F736" s="762"/>
      <c r="G736" s="761"/>
      <c r="H736" s="761">
        <v>15.149219815179519</v>
      </c>
      <c r="I736" s="761">
        <v>180.35089380396909</v>
      </c>
      <c r="J736" s="761"/>
      <c r="K736" s="761"/>
      <c r="L736" s="29"/>
      <c r="M736" s="29">
        <f t="shared" si="32"/>
        <v>195.50011361914861</v>
      </c>
    </row>
    <row r="737" spans="1:13" hidden="1" outlineLevel="2">
      <c r="A737" s="172">
        <v>46143</v>
      </c>
      <c r="B737" s="1" t="s">
        <v>816</v>
      </c>
      <c r="C737" s="379">
        <v>518337586515</v>
      </c>
      <c r="D737" s="742" t="str">
        <f>VLOOKUP(C737,[1]Material!F:J,5,0)</f>
        <v>Fedex</v>
      </c>
      <c r="E737" s="764">
        <f>_xlfn.XLOOKUP(C737,[1]Material!$F:$F,[1]Material!$D:$D)</f>
        <v>29</v>
      </c>
      <c r="F737" s="762"/>
      <c r="G737" s="761"/>
      <c r="H737" s="761">
        <v>15.149219815179519</v>
      </c>
      <c r="I737" s="761">
        <v>150.78219209210727</v>
      </c>
      <c r="J737" s="761"/>
      <c r="K737" s="761"/>
      <c r="L737" s="29"/>
      <c r="M737" s="29">
        <f t="shared" si="32"/>
        <v>165.93141190728679</v>
      </c>
    </row>
    <row r="738" spans="1:13" hidden="1" outlineLevel="2">
      <c r="A738" s="172">
        <v>46143</v>
      </c>
      <c r="B738" s="1" t="s">
        <v>957</v>
      </c>
      <c r="C738" s="379">
        <v>522904202500</v>
      </c>
      <c r="D738" s="742" t="str">
        <f>VLOOKUP(C738,[1]Material!F:J,5,0)</f>
        <v>Fedex</v>
      </c>
      <c r="E738" s="764">
        <f>_xlfn.XLOOKUP(C738,[1]Material!$F:$F,[1]Material!$D:$D)</f>
        <v>0.2</v>
      </c>
      <c r="F738" s="762"/>
      <c r="G738" s="761">
        <v>0</v>
      </c>
      <c r="H738" s="761">
        <v>15.149219815179519</v>
      </c>
      <c r="I738" s="761">
        <v>0</v>
      </c>
      <c r="J738" s="761"/>
      <c r="K738" s="761"/>
      <c r="L738" s="29">
        <v>0</v>
      </c>
      <c r="M738" s="29">
        <f t="shared" si="32"/>
        <v>15.149219815179519</v>
      </c>
    </row>
    <row r="739" spans="1:13" hidden="1" outlineLevel="2">
      <c r="A739" s="172">
        <v>46143</v>
      </c>
      <c r="B739" s="1" t="s">
        <v>327</v>
      </c>
      <c r="C739" s="379" t="s">
        <v>1903</v>
      </c>
      <c r="D739" s="742" t="str">
        <f>VLOOKUP(C739,[1]Material!F:J,5,0)</f>
        <v>VVMV(sea)</v>
      </c>
      <c r="E739" s="764">
        <f>_xlfn.XLOOKUP(C739,[1]Material!$F:$F,[1]Material!$D:$D)</f>
        <v>2227</v>
      </c>
      <c r="F739" s="762"/>
      <c r="G739" s="761">
        <v>117.40645356764126</v>
      </c>
      <c r="H739" s="761">
        <v>15.149219815179519</v>
      </c>
      <c r="I739" s="761">
        <v>1512.6701249810633</v>
      </c>
      <c r="J739" s="761"/>
      <c r="K739" s="761"/>
      <c r="L739" s="29">
        <v>189.05287077715496</v>
      </c>
      <c r="M739" s="29">
        <f t="shared" si="32"/>
        <v>1834.278669141039</v>
      </c>
    </row>
    <row r="740" spans="1:13" hidden="1" outlineLevel="2">
      <c r="A740" s="172">
        <v>46143</v>
      </c>
      <c r="B740" s="1" t="s">
        <v>940</v>
      </c>
      <c r="C740" s="379" t="s">
        <v>1907</v>
      </c>
      <c r="D740" s="742" t="str">
        <f>VLOOKUP(C740,[1]Material!F:J,5,0)</f>
        <v>DHL( global)</v>
      </c>
      <c r="E740" s="764">
        <f>_xlfn.XLOOKUP(C740,[1]Material!$F:$F,[1]Material!$D:$D)</f>
        <v>6.5</v>
      </c>
      <c r="F740" s="762"/>
      <c r="G740" s="761">
        <v>0</v>
      </c>
      <c r="H740" s="761">
        <v>15.149219815179519</v>
      </c>
      <c r="I740" s="761">
        <v>0</v>
      </c>
      <c r="J740" s="761"/>
      <c r="K740" s="761"/>
      <c r="L740" s="29">
        <v>60.883956976215728</v>
      </c>
      <c r="M740" s="29">
        <f t="shared" si="32"/>
        <v>76.033176791395249</v>
      </c>
    </row>
    <row r="741" spans="1:13" hidden="1" outlineLevel="2">
      <c r="A741" s="172">
        <v>46143</v>
      </c>
      <c r="B741" s="1" t="s">
        <v>940</v>
      </c>
      <c r="C741" s="379" t="s">
        <v>1908</v>
      </c>
      <c r="D741" s="742" t="str">
        <f>VLOOKUP(C741,[1]Material!F:J,5,0)</f>
        <v>DHL( global)</v>
      </c>
      <c r="E741" s="764">
        <f>_xlfn.XLOOKUP(C741,[1]Material!$F:$F,[1]Material!$D:$D)</f>
        <v>6.6</v>
      </c>
      <c r="F741" s="762"/>
      <c r="G741" s="761">
        <v>0</v>
      </c>
      <c r="H741" s="761">
        <v>15.149219815179519</v>
      </c>
      <c r="I741" s="761">
        <v>0</v>
      </c>
      <c r="J741" s="761"/>
      <c r="K741" s="761"/>
      <c r="L741" s="29">
        <v>60.883956976215728</v>
      </c>
      <c r="M741" s="29">
        <f t="shared" si="32"/>
        <v>76.033176791395249</v>
      </c>
    </row>
    <row r="742" spans="1:13" hidden="1" outlineLevel="2">
      <c r="A742" s="172">
        <v>46143</v>
      </c>
      <c r="B742" s="1" t="s">
        <v>940</v>
      </c>
      <c r="C742" s="379" t="s">
        <v>1909</v>
      </c>
      <c r="D742" s="742" t="str">
        <f>VLOOKUP(C742,[1]Material!F:J,5,0)</f>
        <v>DHL( global)</v>
      </c>
      <c r="E742" s="764">
        <f>_xlfn.XLOOKUP(C742,[1]Material!$F:$F,[1]Material!$D:$D)</f>
        <v>4.5</v>
      </c>
      <c r="F742" s="762"/>
      <c r="G742" s="761">
        <v>0</v>
      </c>
      <c r="H742" s="761">
        <v>15.149219815179519</v>
      </c>
      <c r="I742" s="761">
        <v>0</v>
      </c>
      <c r="J742" s="761"/>
      <c r="K742" s="761"/>
      <c r="L742" s="29">
        <v>60.883956976215728</v>
      </c>
      <c r="M742" s="29">
        <f t="shared" si="32"/>
        <v>76.033176791395249</v>
      </c>
    </row>
    <row r="743" spans="1:13" hidden="1" outlineLevel="2">
      <c r="A743" s="172">
        <v>46143</v>
      </c>
      <c r="B743" s="1" t="s">
        <v>940</v>
      </c>
      <c r="C743" s="379" t="s">
        <v>1910</v>
      </c>
      <c r="D743" s="742" t="str">
        <f>VLOOKUP(C743,[1]Material!F:J,5,0)</f>
        <v>DHL( global)</v>
      </c>
      <c r="E743" s="764">
        <f>_xlfn.XLOOKUP(C743,[1]Material!$F:$F,[1]Material!$D:$D)</f>
        <v>6.5</v>
      </c>
      <c r="F743" s="762"/>
      <c r="G743" s="761">
        <v>0</v>
      </c>
      <c r="H743" s="761">
        <v>15.149219815179519</v>
      </c>
      <c r="I743" s="761">
        <v>0</v>
      </c>
      <c r="J743" s="761"/>
      <c r="K743" s="761"/>
      <c r="L743" s="29">
        <v>60.883956976215728</v>
      </c>
      <c r="M743" s="29">
        <f t="shared" si="32"/>
        <v>76.033176791395249</v>
      </c>
    </row>
    <row r="744" spans="1:13" hidden="1" outlineLevel="2">
      <c r="A744" s="172">
        <v>46143</v>
      </c>
      <c r="B744" s="1" t="s">
        <v>940</v>
      </c>
      <c r="C744" s="379" t="s">
        <v>1911</v>
      </c>
      <c r="D744" s="742" t="str">
        <f>VLOOKUP(C744,[1]Material!F:J,5,0)</f>
        <v>DHL( global)</v>
      </c>
      <c r="E744" s="764">
        <f>_xlfn.XLOOKUP(C744,[1]Material!$F:$F,[1]Material!$D:$D)</f>
        <v>6.5</v>
      </c>
      <c r="F744" s="762"/>
      <c r="G744" s="761">
        <v>0</v>
      </c>
      <c r="H744" s="761">
        <v>15.149219815179519</v>
      </c>
      <c r="I744" s="761">
        <v>0</v>
      </c>
      <c r="J744" s="761"/>
      <c r="K744" s="761"/>
      <c r="L744" s="29">
        <v>60.883956976215728</v>
      </c>
      <c r="M744" s="29">
        <f t="shared" si="32"/>
        <v>76.033176791395249</v>
      </c>
    </row>
    <row r="745" spans="1:13" hidden="1" outlineLevel="2">
      <c r="A745" s="172">
        <v>46143</v>
      </c>
      <c r="B745" s="1" t="s">
        <v>940</v>
      </c>
      <c r="C745" s="379" t="s">
        <v>1912</v>
      </c>
      <c r="D745" s="742" t="str">
        <f>VLOOKUP(C745,[1]Material!F:J,5,0)</f>
        <v>DHL( global)</v>
      </c>
      <c r="E745" s="764">
        <f>_xlfn.XLOOKUP(C745,[1]Material!$F:$F,[1]Material!$D:$D)</f>
        <v>6.5</v>
      </c>
      <c r="F745" s="762"/>
      <c r="G745" s="761">
        <v>0</v>
      </c>
      <c r="H745" s="761">
        <v>15.149219815179519</v>
      </c>
      <c r="I745" s="761">
        <v>0</v>
      </c>
      <c r="J745" s="761"/>
      <c r="K745" s="761"/>
      <c r="L745" s="29">
        <v>60.883956976215728</v>
      </c>
      <c r="M745" s="29">
        <f t="shared" si="32"/>
        <v>76.033176791395249</v>
      </c>
    </row>
    <row r="746" spans="1:13" hidden="1" outlineLevel="2">
      <c r="A746" s="172">
        <v>46143</v>
      </c>
      <c r="B746" s="1" t="s">
        <v>940</v>
      </c>
      <c r="C746" s="379" t="s">
        <v>1913</v>
      </c>
      <c r="D746" s="742" t="str">
        <f>VLOOKUP(C746,[1]Material!F:J,5,0)</f>
        <v>DHL( global)</v>
      </c>
      <c r="E746" s="764">
        <f>_xlfn.XLOOKUP(C746,[1]Material!$F:$F,[1]Material!$D:$D)</f>
        <v>6.5</v>
      </c>
      <c r="F746" s="762"/>
      <c r="G746" s="761">
        <v>0</v>
      </c>
      <c r="H746" s="761">
        <v>15.149219815179519</v>
      </c>
      <c r="I746" s="761">
        <v>0</v>
      </c>
      <c r="J746" s="761"/>
      <c r="K746" s="761"/>
      <c r="L746" s="29">
        <v>60.883956976215728</v>
      </c>
      <c r="M746" s="29">
        <f t="shared" si="32"/>
        <v>76.033176791395249</v>
      </c>
    </row>
    <row r="747" spans="1:13" hidden="1" outlineLevel="2">
      <c r="A747" s="172">
        <v>46143</v>
      </c>
      <c r="B747" s="1" t="s">
        <v>940</v>
      </c>
      <c r="C747" s="379" t="s">
        <v>1914</v>
      </c>
      <c r="D747" s="742" t="str">
        <f>VLOOKUP(C747,[1]Material!F:J,5,0)</f>
        <v>DHL( global)</v>
      </c>
      <c r="E747" s="764">
        <f>_xlfn.XLOOKUP(C747,[1]Material!$F:$F,[1]Material!$D:$D)</f>
        <v>6</v>
      </c>
      <c r="F747" s="762"/>
      <c r="G747" s="761">
        <v>0</v>
      </c>
      <c r="H747" s="761">
        <v>15.149219815179519</v>
      </c>
      <c r="I747" s="761">
        <v>0</v>
      </c>
      <c r="J747" s="761"/>
      <c r="K747" s="761"/>
      <c r="L747" s="29">
        <v>60.883956976215728</v>
      </c>
      <c r="M747" s="29">
        <f t="shared" si="32"/>
        <v>76.033176791395249</v>
      </c>
    </row>
    <row r="748" spans="1:13" hidden="1" outlineLevel="2">
      <c r="A748" s="172">
        <v>46143</v>
      </c>
      <c r="B748" s="1" t="s">
        <v>940</v>
      </c>
      <c r="C748" s="379" t="s">
        <v>1915</v>
      </c>
      <c r="D748" s="742" t="str">
        <f>VLOOKUP(C748,[1]Material!F:J,5,0)</f>
        <v>DHL( global)</v>
      </c>
      <c r="E748" s="764">
        <f>_xlfn.XLOOKUP(C748,[1]Material!$F:$F,[1]Material!$D:$D)</f>
        <v>6.6</v>
      </c>
      <c r="F748" s="762"/>
      <c r="G748" s="761">
        <v>0</v>
      </c>
      <c r="H748" s="761">
        <v>15.149219815179519</v>
      </c>
      <c r="I748" s="761">
        <v>0</v>
      </c>
      <c r="J748" s="761"/>
      <c r="K748" s="761"/>
      <c r="L748" s="29">
        <v>60.883956976215728</v>
      </c>
      <c r="M748" s="29">
        <f t="shared" si="32"/>
        <v>76.033176791395249</v>
      </c>
    </row>
    <row r="749" spans="1:13" hidden="1" outlineLevel="2">
      <c r="A749" s="172">
        <v>46143</v>
      </c>
      <c r="B749" s="1" t="s">
        <v>940</v>
      </c>
      <c r="C749" s="379" t="s">
        <v>1916</v>
      </c>
      <c r="D749" s="742" t="str">
        <f>VLOOKUP(C749,[1]Material!F:J,5,0)</f>
        <v>DHL( global)</v>
      </c>
      <c r="E749" s="764">
        <f>_xlfn.XLOOKUP(C749,[1]Material!$F:$F,[1]Material!$D:$D)</f>
        <v>6.5</v>
      </c>
      <c r="F749" s="762"/>
      <c r="G749" s="761">
        <v>0</v>
      </c>
      <c r="H749" s="761">
        <v>15.149219815179519</v>
      </c>
      <c r="I749" s="761">
        <v>0</v>
      </c>
      <c r="J749" s="761"/>
      <c r="K749" s="761"/>
      <c r="L749" s="29">
        <v>60.883956976215728</v>
      </c>
      <c r="M749" s="29">
        <f t="shared" si="32"/>
        <v>76.033176791395249</v>
      </c>
    </row>
    <row r="750" spans="1:13" hidden="1" outlineLevel="2">
      <c r="A750" s="172">
        <v>46143</v>
      </c>
      <c r="B750" s="1" t="s">
        <v>940</v>
      </c>
      <c r="C750" s="379" t="s">
        <v>1917</v>
      </c>
      <c r="D750" s="742" t="str">
        <f>VLOOKUP(C750,[1]Material!F:J,5,0)</f>
        <v>DHL( global)</v>
      </c>
      <c r="E750" s="764">
        <f>_xlfn.XLOOKUP(C750,[1]Material!$F:$F,[1]Material!$D:$D)</f>
        <v>6.5</v>
      </c>
      <c r="F750" s="762"/>
      <c r="G750" s="761">
        <v>0</v>
      </c>
      <c r="H750" s="761">
        <v>15.149219815179519</v>
      </c>
      <c r="I750" s="761">
        <v>0</v>
      </c>
      <c r="J750" s="761"/>
      <c r="K750" s="761"/>
      <c r="L750" s="29">
        <v>60.883956976215728</v>
      </c>
      <c r="M750" s="29">
        <f t="shared" si="32"/>
        <v>76.033176791395249</v>
      </c>
    </row>
    <row r="751" spans="1:13" hidden="1" outlineLevel="2">
      <c r="A751" s="172">
        <v>46143</v>
      </c>
      <c r="B751" s="1" t="s">
        <v>940</v>
      </c>
      <c r="C751" s="379" t="s">
        <v>1918</v>
      </c>
      <c r="D751" s="742" t="str">
        <f>VLOOKUP(C751,[1]Material!F:J,5,0)</f>
        <v>DHL( global)</v>
      </c>
      <c r="E751" s="764">
        <f>_xlfn.XLOOKUP(C751,[1]Material!$F:$F,[1]Material!$D:$D)</f>
        <v>6.6</v>
      </c>
      <c r="F751" s="762"/>
      <c r="G751" s="761">
        <v>0</v>
      </c>
      <c r="H751" s="761">
        <v>15.149219815179519</v>
      </c>
      <c r="I751" s="761">
        <v>0</v>
      </c>
      <c r="J751" s="761"/>
      <c r="K751" s="761"/>
      <c r="L751" s="29">
        <v>60.883956976215728</v>
      </c>
      <c r="M751" s="29">
        <f t="shared" si="32"/>
        <v>76.033176791395249</v>
      </c>
    </row>
    <row r="752" spans="1:13" hidden="1" outlineLevel="2">
      <c r="A752" s="172">
        <v>46143</v>
      </c>
      <c r="B752" s="1" t="s">
        <v>940</v>
      </c>
      <c r="C752" s="379" t="s">
        <v>1919</v>
      </c>
      <c r="D752" s="742" t="str">
        <f>VLOOKUP(C752,[1]Material!F:J,5,0)</f>
        <v>DHL( global)</v>
      </c>
      <c r="E752" s="764">
        <f>_xlfn.XLOOKUP(C752,[1]Material!$F:$F,[1]Material!$D:$D)</f>
        <v>6.5</v>
      </c>
      <c r="F752" s="762"/>
      <c r="G752" s="761">
        <v>0</v>
      </c>
      <c r="H752" s="761">
        <v>15.149219815179519</v>
      </c>
      <c r="I752" s="761">
        <v>0</v>
      </c>
      <c r="J752" s="761"/>
      <c r="K752" s="761"/>
      <c r="L752" s="29">
        <v>60.883956976215728</v>
      </c>
      <c r="M752" s="29">
        <f t="shared" si="32"/>
        <v>76.033176791395249</v>
      </c>
    </row>
    <row r="753" spans="1:13" hidden="1" outlineLevel="2">
      <c r="A753" s="172">
        <v>46143</v>
      </c>
      <c r="B753" s="1" t="s">
        <v>940</v>
      </c>
      <c r="C753" s="379" t="s">
        <v>1920</v>
      </c>
      <c r="D753" s="742" t="str">
        <f>VLOOKUP(C753,[1]Material!F:J,5,0)</f>
        <v>DHL( global)</v>
      </c>
      <c r="E753" s="764">
        <f>_xlfn.XLOOKUP(C753,[1]Material!$F:$F,[1]Material!$D:$D)</f>
        <v>6.6</v>
      </c>
      <c r="F753" s="762"/>
      <c r="G753" s="761">
        <v>0</v>
      </c>
      <c r="H753" s="761">
        <v>15.149219815179519</v>
      </c>
      <c r="I753" s="761">
        <v>0</v>
      </c>
      <c r="J753" s="761"/>
      <c r="K753" s="761"/>
      <c r="L753" s="29">
        <v>60.883956976215728</v>
      </c>
      <c r="M753" s="29">
        <f t="shared" si="32"/>
        <v>76.033176791395249</v>
      </c>
    </row>
    <row r="754" spans="1:13" hidden="1" outlineLevel="2">
      <c r="A754" s="172">
        <v>46143</v>
      </c>
      <c r="B754" s="1" t="s">
        <v>940</v>
      </c>
      <c r="C754" s="379" t="s">
        <v>1921</v>
      </c>
      <c r="D754" s="742" t="str">
        <f>VLOOKUP(C754,[1]Material!F:J,5,0)</f>
        <v>DHL( global)</v>
      </c>
      <c r="E754" s="764">
        <f>_xlfn.XLOOKUP(C754,[1]Material!$F:$F,[1]Material!$D:$D)</f>
        <v>6.5</v>
      </c>
      <c r="F754" s="762"/>
      <c r="G754" s="761">
        <v>0</v>
      </c>
      <c r="H754" s="761">
        <v>15.149219815179519</v>
      </c>
      <c r="I754" s="761">
        <v>0</v>
      </c>
      <c r="J754" s="761"/>
      <c r="K754" s="761"/>
      <c r="L754" s="29">
        <v>60.883956976215728</v>
      </c>
      <c r="M754" s="29">
        <f t="shared" si="32"/>
        <v>76.033176791395249</v>
      </c>
    </row>
    <row r="755" spans="1:13" hidden="1" outlineLevel="2">
      <c r="A755" s="172">
        <v>46143</v>
      </c>
      <c r="B755" s="1" t="s">
        <v>940</v>
      </c>
      <c r="C755" s="379" t="s">
        <v>1922</v>
      </c>
      <c r="D755" s="742" t="str">
        <f>VLOOKUP(C755,[1]Material!F:J,5,0)</f>
        <v>DHL( global)</v>
      </c>
      <c r="E755" s="764">
        <f>_xlfn.XLOOKUP(C755,[1]Material!$F:$F,[1]Material!$D:$D)</f>
        <v>6.6</v>
      </c>
      <c r="F755" s="762"/>
      <c r="G755" s="761">
        <v>0</v>
      </c>
      <c r="H755" s="761">
        <v>15.149219815179519</v>
      </c>
      <c r="I755" s="761">
        <v>0</v>
      </c>
      <c r="J755" s="761"/>
      <c r="K755" s="761"/>
      <c r="L755" s="29">
        <v>60.883956976215728</v>
      </c>
      <c r="M755" s="29">
        <f t="shared" si="32"/>
        <v>76.033176791395249</v>
      </c>
    </row>
    <row r="756" spans="1:13" hidden="1" outlineLevel="2">
      <c r="A756" s="172">
        <v>46143</v>
      </c>
      <c r="B756" s="1" t="s">
        <v>940</v>
      </c>
      <c r="C756" s="379" t="s">
        <v>1923</v>
      </c>
      <c r="D756" s="742" t="str">
        <f>VLOOKUP(C756,[1]Material!F:J,5,0)</f>
        <v>DHL( global)</v>
      </c>
      <c r="E756" s="764">
        <f>_xlfn.XLOOKUP(C756,[1]Material!$F:$F,[1]Material!$D:$D)</f>
        <v>6.6</v>
      </c>
      <c r="F756" s="762"/>
      <c r="G756" s="761">
        <v>0</v>
      </c>
      <c r="H756" s="761">
        <v>15.149219815179519</v>
      </c>
      <c r="I756" s="761">
        <v>0</v>
      </c>
      <c r="J756" s="761"/>
      <c r="K756" s="761"/>
      <c r="L756" s="29">
        <v>60.883956976215728</v>
      </c>
      <c r="M756" s="29">
        <f t="shared" si="32"/>
        <v>76.033176791395249</v>
      </c>
    </row>
    <row r="757" spans="1:13" hidden="1" outlineLevel="2">
      <c r="A757" s="172">
        <v>46143</v>
      </c>
      <c r="B757" s="1" t="s">
        <v>940</v>
      </c>
      <c r="C757" s="379" t="s">
        <v>1924</v>
      </c>
      <c r="D757" s="742" t="str">
        <f>VLOOKUP(C757,[1]Material!F:J,5,0)</f>
        <v>DHL( global)</v>
      </c>
      <c r="E757" s="764">
        <f>_xlfn.XLOOKUP(C757,[1]Material!$F:$F,[1]Material!$D:$D)</f>
        <v>6.5</v>
      </c>
      <c r="F757" s="762"/>
      <c r="G757" s="761">
        <v>0</v>
      </c>
      <c r="H757" s="761">
        <v>15.149219815179519</v>
      </c>
      <c r="I757" s="761">
        <v>0</v>
      </c>
      <c r="J757" s="761"/>
      <c r="K757" s="761"/>
      <c r="L757" s="29">
        <v>60.883956976215728</v>
      </c>
      <c r="M757" s="29">
        <f t="shared" si="32"/>
        <v>76.033176791395249</v>
      </c>
    </row>
    <row r="758" spans="1:13" hidden="1" outlineLevel="2">
      <c r="A758" s="172">
        <v>46143</v>
      </c>
      <c r="B758" s="1" t="s">
        <v>940</v>
      </c>
      <c r="C758" s="379" t="s">
        <v>1925</v>
      </c>
      <c r="D758" s="742" t="str">
        <f>VLOOKUP(C758,[1]Material!F:J,5,0)</f>
        <v>DHL( global)</v>
      </c>
      <c r="E758" s="764">
        <f>_xlfn.XLOOKUP(C758,[1]Material!$F:$F,[1]Material!$D:$D)</f>
        <v>6.5</v>
      </c>
      <c r="F758" s="762"/>
      <c r="G758" s="761">
        <v>0</v>
      </c>
      <c r="H758" s="761">
        <v>15.149219815179519</v>
      </c>
      <c r="I758" s="761">
        <v>0</v>
      </c>
      <c r="J758" s="761"/>
      <c r="K758" s="761"/>
      <c r="L758" s="29">
        <v>60.883956976215728</v>
      </c>
      <c r="M758" s="29">
        <f t="shared" si="32"/>
        <v>76.033176791395249</v>
      </c>
    </row>
    <row r="759" spans="1:13" hidden="1" outlineLevel="2">
      <c r="A759" s="172">
        <v>46143</v>
      </c>
      <c r="B759" s="1" t="s">
        <v>940</v>
      </c>
      <c r="C759" s="379" t="s">
        <v>1926</v>
      </c>
      <c r="D759" s="742" t="str">
        <f>VLOOKUP(C759,[1]Material!F:J,5,0)</f>
        <v>DHL( global)</v>
      </c>
      <c r="E759" s="764">
        <f>_xlfn.XLOOKUP(C759,[1]Material!$F:$F,[1]Material!$D:$D)</f>
        <v>6.6</v>
      </c>
      <c r="F759" s="762"/>
      <c r="G759" s="761">
        <v>0</v>
      </c>
      <c r="H759" s="761">
        <v>15.149219815179519</v>
      </c>
      <c r="I759" s="761">
        <v>0</v>
      </c>
      <c r="J759" s="761"/>
      <c r="K759" s="761"/>
      <c r="L759" s="29">
        <v>60.883956976215728</v>
      </c>
      <c r="M759" s="29">
        <f t="shared" si="32"/>
        <v>76.033176791395249</v>
      </c>
    </row>
    <row r="760" spans="1:13" hidden="1" outlineLevel="2">
      <c r="A760" s="172">
        <v>46143</v>
      </c>
      <c r="B760" s="1" t="s">
        <v>940</v>
      </c>
      <c r="C760" s="379" t="s">
        <v>1927</v>
      </c>
      <c r="D760" s="742" t="str">
        <f>VLOOKUP(C760,[1]Material!F:J,5,0)</f>
        <v>DHL( global)</v>
      </c>
      <c r="E760" s="764">
        <f>_xlfn.XLOOKUP(C760,[1]Material!$F:$F,[1]Material!$D:$D)</f>
        <v>6.5</v>
      </c>
      <c r="F760" s="762"/>
      <c r="G760" s="761">
        <v>18.179063778215422</v>
      </c>
      <c r="H760" s="761">
        <v>15.149219815179519</v>
      </c>
      <c r="I760" s="761">
        <v>0</v>
      </c>
      <c r="J760" s="761"/>
      <c r="K760" s="761"/>
      <c r="L760" s="29">
        <v>60.883956976215728</v>
      </c>
      <c r="M760" s="29">
        <f t="shared" si="32"/>
        <v>94.212240569610671</v>
      </c>
    </row>
    <row r="761" spans="1:13" hidden="1" outlineLevel="2">
      <c r="A761" s="172">
        <v>46143</v>
      </c>
      <c r="B761" s="1" t="s">
        <v>940</v>
      </c>
      <c r="C761" s="379" t="s">
        <v>1928</v>
      </c>
      <c r="D761" s="742" t="str">
        <f>VLOOKUP(C761,[1]Material!F:J,5,0)</f>
        <v>DHL( global)</v>
      </c>
      <c r="E761" s="764">
        <f>_xlfn.XLOOKUP(C761,[1]Material!$F:$F,[1]Material!$D:$D)</f>
        <v>6.6</v>
      </c>
      <c r="F761" s="762"/>
      <c r="G761" s="761">
        <v>0</v>
      </c>
      <c r="H761" s="761">
        <v>15.149219815179519</v>
      </c>
      <c r="I761" s="761">
        <v>0</v>
      </c>
      <c r="J761" s="761"/>
      <c r="K761" s="761"/>
      <c r="L761" s="29">
        <v>60.883956976215728</v>
      </c>
      <c r="M761" s="29">
        <f t="shared" si="32"/>
        <v>76.033176791395249</v>
      </c>
    </row>
    <row r="762" spans="1:13" hidden="1" outlineLevel="2">
      <c r="A762" s="172">
        <v>46143</v>
      </c>
      <c r="B762" s="1" t="s">
        <v>940</v>
      </c>
      <c r="C762" s="379" t="s">
        <v>1929</v>
      </c>
      <c r="D762" s="742" t="str">
        <f>VLOOKUP(C762,[1]Material!F:J,5,0)</f>
        <v>DHL( global)</v>
      </c>
      <c r="E762" s="764">
        <f>_xlfn.XLOOKUP(C762,[1]Material!$F:$F,[1]Material!$D:$D)</f>
        <v>7.3</v>
      </c>
      <c r="F762" s="762"/>
      <c r="G762" s="761">
        <v>0</v>
      </c>
      <c r="H762" s="761">
        <v>15.149219815179519</v>
      </c>
      <c r="I762" s="761">
        <v>0</v>
      </c>
      <c r="J762" s="761"/>
      <c r="K762" s="761"/>
      <c r="L762" s="29">
        <v>0</v>
      </c>
      <c r="M762" s="29">
        <f t="shared" si="32"/>
        <v>15.149219815179519</v>
      </c>
    </row>
    <row r="763" spans="1:13" hidden="1" outlineLevel="2">
      <c r="A763" s="172">
        <v>46143</v>
      </c>
      <c r="B763" s="1" t="s">
        <v>940</v>
      </c>
      <c r="C763" s="379" t="s">
        <v>1930</v>
      </c>
      <c r="D763" s="742" t="str">
        <f>VLOOKUP(C763,[1]Material!F:J,5,0)</f>
        <v>DHL( global)</v>
      </c>
      <c r="E763" s="764">
        <f>_xlfn.XLOOKUP(C763,[1]Material!$F:$F,[1]Material!$D:$D)</f>
        <v>7.3</v>
      </c>
      <c r="F763" s="762"/>
      <c r="G763" s="761">
        <v>0</v>
      </c>
      <c r="H763" s="761">
        <v>15.149219815179519</v>
      </c>
      <c r="I763" s="761">
        <v>0</v>
      </c>
      <c r="J763" s="761"/>
      <c r="K763" s="761"/>
      <c r="L763" s="29">
        <v>0</v>
      </c>
      <c r="M763" s="29">
        <f t="shared" si="32"/>
        <v>15.149219815179519</v>
      </c>
    </row>
    <row r="764" spans="1:13" hidden="1" outlineLevel="2">
      <c r="A764" s="172">
        <v>46143</v>
      </c>
      <c r="B764" s="1" t="s">
        <v>940</v>
      </c>
      <c r="C764" s="379" t="s">
        <v>1931</v>
      </c>
      <c r="D764" s="742" t="str">
        <f>VLOOKUP(C764,[1]Material!F:J,5,0)</f>
        <v>DHL( global)</v>
      </c>
      <c r="E764" s="764">
        <f>_xlfn.XLOOKUP(C764,[1]Material!$F:$F,[1]Material!$D:$D)</f>
        <v>7.3</v>
      </c>
      <c r="F764" s="762"/>
      <c r="G764" s="761">
        <v>0</v>
      </c>
      <c r="H764" s="761">
        <v>15.149219815179519</v>
      </c>
      <c r="I764" s="761">
        <v>0</v>
      </c>
      <c r="J764" s="761"/>
      <c r="K764" s="761"/>
      <c r="L764" s="29">
        <v>0</v>
      </c>
      <c r="M764" s="29">
        <f t="shared" ref="M764:M808" si="33">SUM(G764:L764)</f>
        <v>15.149219815179519</v>
      </c>
    </row>
    <row r="765" spans="1:13" hidden="1" outlineLevel="2">
      <c r="A765" s="172">
        <v>46143</v>
      </c>
      <c r="B765" s="1" t="s">
        <v>940</v>
      </c>
      <c r="C765" s="379" t="s">
        <v>1932</v>
      </c>
      <c r="D765" s="742" t="str">
        <f>VLOOKUP(C765,[1]Material!F:J,5,0)</f>
        <v>DHL( global)</v>
      </c>
      <c r="E765" s="764">
        <f>_xlfn.XLOOKUP(C765,[1]Material!$F:$F,[1]Material!$D:$D)</f>
        <v>3.8</v>
      </c>
      <c r="F765" s="762"/>
      <c r="G765" s="761">
        <v>0</v>
      </c>
      <c r="H765" s="761">
        <v>15.149219815179519</v>
      </c>
      <c r="I765" s="761">
        <v>0</v>
      </c>
      <c r="J765" s="761"/>
      <c r="K765" s="761"/>
      <c r="L765" s="29">
        <v>0</v>
      </c>
      <c r="M765" s="29">
        <f t="shared" si="33"/>
        <v>15.149219815179519</v>
      </c>
    </row>
    <row r="766" spans="1:13" hidden="1" outlineLevel="2">
      <c r="A766" s="172">
        <v>46143</v>
      </c>
      <c r="B766" s="1" t="s">
        <v>940</v>
      </c>
      <c r="C766" s="379" t="s">
        <v>1933</v>
      </c>
      <c r="D766" s="742" t="str">
        <f>VLOOKUP(C766,[1]Material!F:J,5,0)</f>
        <v>DHL( global)</v>
      </c>
      <c r="E766" s="764">
        <f>_xlfn.XLOOKUP(C766,[1]Material!$F:$F,[1]Material!$D:$D)</f>
        <v>7.3</v>
      </c>
      <c r="F766" s="762"/>
      <c r="G766" s="761">
        <v>0</v>
      </c>
      <c r="H766" s="761">
        <v>15.149219815179519</v>
      </c>
      <c r="I766" s="761">
        <v>0</v>
      </c>
      <c r="J766" s="761"/>
      <c r="K766" s="761"/>
      <c r="L766" s="29">
        <v>0</v>
      </c>
      <c r="M766" s="29">
        <f t="shared" si="33"/>
        <v>15.149219815179519</v>
      </c>
    </row>
    <row r="767" spans="1:13" hidden="1" outlineLevel="2">
      <c r="A767" s="172">
        <v>46143</v>
      </c>
      <c r="B767" s="1" t="s">
        <v>940</v>
      </c>
      <c r="C767" s="379" t="s">
        <v>1934</v>
      </c>
      <c r="D767" s="742" t="str">
        <f>VLOOKUP(C767,[1]Material!F:J,5,0)</f>
        <v>DHL( global)</v>
      </c>
      <c r="E767" s="764">
        <f>_xlfn.XLOOKUP(C767,[1]Material!$F:$F,[1]Material!$D:$D)</f>
        <v>7.3</v>
      </c>
      <c r="F767" s="762"/>
      <c r="G767" s="761">
        <v>0</v>
      </c>
      <c r="H767" s="761">
        <v>15.149219815179519</v>
      </c>
      <c r="I767" s="761">
        <v>0</v>
      </c>
      <c r="J767" s="761"/>
      <c r="K767" s="761"/>
      <c r="L767" s="29">
        <v>0</v>
      </c>
      <c r="M767" s="29">
        <f t="shared" si="33"/>
        <v>15.149219815179519</v>
      </c>
    </row>
    <row r="768" spans="1:13" hidden="1" outlineLevel="2">
      <c r="A768" s="172">
        <v>46143</v>
      </c>
      <c r="B768" s="1" t="s">
        <v>940</v>
      </c>
      <c r="C768" s="379" t="s">
        <v>1935</v>
      </c>
      <c r="D768" s="742" t="str">
        <f>VLOOKUP(C768,[1]Material!F:J,5,0)</f>
        <v>DHL( global)</v>
      </c>
      <c r="E768" s="764">
        <f>_xlfn.XLOOKUP(C768,[1]Material!$F:$F,[1]Material!$D:$D)</f>
        <v>7.3</v>
      </c>
      <c r="F768" s="762"/>
      <c r="G768" s="761">
        <v>0</v>
      </c>
      <c r="H768" s="761">
        <v>15.149219815179519</v>
      </c>
      <c r="I768" s="761">
        <v>0</v>
      </c>
      <c r="J768" s="761"/>
      <c r="K768" s="761"/>
      <c r="L768" s="29">
        <v>0</v>
      </c>
      <c r="M768" s="29">
        <f t="shared" si="33"/>
        <v>15.149219815179519</v>
      </c>
    </row>
    <row r="769" spans="1:13" hidden="1" outlineLevel="2">
      <c r="A769" s="172">
        <v>46143</v>
      </c>
      <c r="B769" s="1" t="s">
        <v>940</v>
      </c>
      <c r="C769" s="379" t="s">
        <v>1936</v>
      </c>
      <c r="D769" s="742" t="str">
        <f>VLOOKUP(C769,[1]Material!F:J,5,0)</f>
        <v>DHL( global)</v>
      </c>
      <c r="E769" s="764">
        <f>_xlfn.XLOOKUP(C769,[1]Material!$F:$F,[1]Material!$D:$D)</f>
        <v>7.3</v>
      </c>
      <c r="F769" s="762"/>
      <c r="G769" s="761">
        <v>0</v>
      </c>
      <c r="H769" s="761">
        <v>15.149219815179519</v>
      </c>
      <c r="I769" s="761">
        <v>0</v>
      </c>
      <c r="J769" s="761"/>
      <c r="K769" s="761"/>
      <c r="L769" s="29">
        <v>0</v>
      </c>
      <c r="M769" s="29">
        <f t="shared" si="33"/>
        <v>15.149219815179519</v>
      </c>
    </row>
    <row r="770" spans="1:13" hidden="1" outlineLevel="2">
      <c r="A770" s="172">
        <v>46143</v>
      </c>
      <c r="B770" s="1" t="s">
        <v>940</v>
      </c>
      <c r="C770" s="379" t="s">
        <v>1937</v>
      </c>
      <c r="D770" s="742" t="str">
        <f>VLOOKUP(C770,[1]Material!F:J,5,0)</f>
        <v>DHL( global)</v>
      </c>
      <c r="E770" s="764">
        <f>_xlfn.XLOOKUP(C770,[1]Material!$F:$F,[1]Material!$D:$D)</f>
        <v>7.3</v>
      </c>
      <c r="F770" s="762"/>
      <c r="G770" s="761">
        <v>0</v>
      </c>
      <c r="H770" s="761">
        <v>15.149219815179519</v>
      </c>
      <c r="I770" s="761">
        <v>0</v>
      </c>
      <c r="J770" s="761"/>
      <c r="K770" s="761"/>
      <c r="L770" s="29">
        <v>0</v>
      </c>
      <c r="M770" s="29">
        <f t="shared" si="33"/>
        <v>15.149219815179519</v>
      </c>
    </row>
    <row r="771" spans="1:13" hidden="1" outlineLevel="2">
      <c r="A771" s="172">
        <v>46143</v>
      </c>
      <c r="B771" s="1" t="s">
        <v>940</v>
      </c>
      <c r="C771" s="379" t="s">
        <v>1938</v>
      </c>
      <c r="D771" s="742" t="str">
        <f>VLOOKUP(C771,[1]Material!F:J,5,0)</f>
        <v>DHL( global)</v>
      </c>
      <c r="E771" s="764">
        <f>_xlfn.XLOOKUP(C771,[1]Material!$F:$F,[1]Material!$D:$D)</f>
        <v>7.3</v>
      </c>
      <c r="F771" s="762"/>
      <c r="G771" s="761">
        <v>0</v>
      </c>
      <c r="H771" s="761">
        <v>15.149219815179519</v>
      </c>
      <c r="I771" s="761">
        <v>0</v>
      </c>
      <c r="J771" s="761"/>
      <c r="K771" s="761"/>
      <c r="L771" s="29">
        <v>0</v>
      </c>
      <c r="M771" s="29">
        <f t="shared" si="33"/>
        <v>15.149219815179519</v>
      </c>
    </row>
    <row r="772" spans="1:13" hidden="1" outlineLevel="2">
      <c r="A772" s="172">
        <v>46143</v>
      </c>
      <c r="B772" s="1" t="s">
        <v>940</v>
      </c>
      <c r="C772" s="379" t="s">
        <v>1939</v>
      </c>
      <c r="D772" s="742" t="str">
        <f>VLOOKUP(C772,[1]Material!F:J,5,0)</f>
        <v>DHL( global)</v>
      </c>
      <c r="E772" s="764">
        <f>_xlfn.XLOOKUP(C772,[1]Material!$F:$F,[1]Material!$D:$D)</f>
        <v>7.3</v>
      </c>
      <c r="F772" s="762"/>
      <c r="G772" s="761">
        <v>0</v>
      </c>
      <c r="H772" s="761">
        <v>15.149219815179519</v>
      </c>
      <c r="I772" s="761">
        <v>0</v>
      </c>
      <c r="J772" s="761"/>
      <c r="K772" s="761"/>
      <c r="L772" s="29">
        <v>0</v>
      </c>
      <c r="M772" s="29">
        <f t="shared" si="33"/>
        <v>15.149219815179519</v>
      </c>
    </row>
    <row r="773" spans="1:13" hidden="1" outlineLevel="2">
      <c r="A773" s="172">
        <v>46143</v>
      </c>
      <c r="B773" s="1" t="s">
        <v>940</v>
      </c>
      <c r="C773" s="379" t="s">
        <v>1940</v>
      </c>
      <c r="D773" s="742" t="str">
        <f>VLOOKUP(C773,[1]Material!F:J,5,0)</f>
        <v>DHL( global)</v>
      </c>
      <c r="E773" s="764">
        <f>_xlfn.XLOOKUP(C773,[1]Material!$F:$F,[1]Material!$D:$D)</f>
        <v>7.3</v>
      </c>
      <c r="F773" s="762"/>
      <c r="G773" s="761">
        <v>0</v>
      </c>
      <c r="H773" s="761">
        <v>15.149219815179519</v>
      </c>
      <c r="I773" s="761">
        <v>0</v>
      </c>
      <c r="J773" s="761"/>
      <c r="K773" s="761"/>
      <c r="L773" s="29">
        <v>0</v>
      </c>
      <c r="M773" s="29">
        <f t="shared" si="33"/>
        <v>15.149219815179519</v>
      </c>
    </row>
    <row r="774" spans="1:13" hidden="1" outlineLevel="2">
      <c r="A774" s="172">
        <v>46143</v>
      </c>
      <c r="B774" s="1" t="s">
        <v>940</v>
      </c>
      <c r="C774" s="379" t="s">
        <v>1941</v>
      </c>
      <c r="D774" s="742" t="str">
        <f>VLOOKUP(C774,[1]Material!F:J,5,0)</f>
        <v>DHL( global)</v>
      </c>
      <c r="E774" s="764">
        <f>_xlfn.XLOOKUP(C774,[1]Material!$F:$F,[1]Material!$D:$D)</f>
        <v>7.3</v>
      </c>
      <c r="F774" s="762"/>
      <c r="G774" s="761">
        <v>0</v>
      </c>
      <c r="H774" s="761">
        <v>15.149219815179519</v>
      </c>
      <c r="I774" s="761">
        <v>0</v>
      </c>
      <c r="J774" s="761"/>
      <c r="K774" s="761"/>
      <c r="L774" s="29">
        <v>0</v>
      </c>
      <c r="M774" s="29">
        <f t="shared" si="33"/>
        <v>15.149219815179519</v>
      </c>
    </row>
    <row r="775" spans="1:13" hidden="1" outlineLevel="2">
      <c r="A775" s="172">
        <v>46143</v>
      </c>
      <c r="B775" s="1" t="s">
        <v>940</v>
      </c>
      <c r="C775" s="379" t="s">
        <v>1942</v>
      </c>
      <c r="D775" s="742" t="str">
        <f>VLOOKUP(C775,[1]Material!F:J,5,0)</f>
        <v>DHL( global)</v>
      </c>
      <c r="E775" s="764">
        <f>_xlfn.XLOOKUP(C775,[1]Material!$F:$F,[1]Material!$D:$D)</f>
        <v>7.3</v>
      </c>
      <c r="F775" s="762"/>
      <c r="G775" s="761">
        <v>0</v>
      </c>
      <c r="H775" s="761">
        <v>15.149219815179519</v>
      </c>
      <c r="I775" s="761">
        <v>0</v>
      </c>
      <c r="J775" s="761"/>
      <c r="K775" s="761"/>
      <c r="L775" s="29">
        <v>0</v>
      </c>
      <c r="M775" s="29">
        <f t="shared" si="33"/>
        <v>15.149219815179519</v>
      </c>
    </row>
    <row r="776" spans="1:13" hidden="1" outlineLevel="2">
      <c r="A776" s="172">
        <v>46143</v>
      </c>
      <c r="B776" s="1" t="s">
        <v>940</v>
      </c>
      <c r="C776" s="379" t="s">
        <v>1943</v>
      </c>
      <c r="D776" s="742" t="str">
        <f>VLOOKUP(C776,[1]Material!F:J,5,0)</f>
        <v>DHL( global)</v>
      </c>
      <c r="E776" s="764">
        <f>_xlfn.XLOOKUP(C776,[1]Material!$F:$F,[1]Material!$D:$D)</f>
        <v>7.3</v>
      </c>
      <c r="F776" s="762"/>
      <c r="G776" s="761">
        <v>0</v>
      </c>
      <c r="H776" s="761">
        <v>15.149219815179519</v>
      </c>
      <c r="I776" s="761">
        <v>0</v>
      </c>
      <c r="J776" s="761"/>
      <c r="K776" s="761"/>
      <c r="L776" s="29">
        <v>0</v>
      </c>
      <c r="M776" s="29">
        <f t="shared" si="33"/>
        <v>15.149219815179519</v>
      </c>
    </row>
    <row r="777" spans="1:13" hidden="1" outlineLevel="2">
      <c r="A777" s="172">
        <v>46143</v>
      </c>
      <c r="B777" s="1" t="s">
        <v>940</v>
      </c>
      <c r="C777" s="379" t="s">
        <v>1944</v>
      </c>
      <c r="D777" s="742" t="str">
        <f>VLOOKUP(C777,[1]Material!F:J,5,0)</f>
        <v>DHL( global)</v>
      </c>
      <c r="E777" s="764">
        <f>_xlfn.XLOOKUP(C777,[1]Material!$F:$F,[1]Material!$D:$D)</f>
        <v>7.3</v>
      </c>
      <c r="F777" s="762"/>
      <c r="G777" s="761">
        <v>0</v>
      </c>
      <c r="H777" s="761">
        <v>15.149219815179519</v>
      </c>
      <c r="I777" s="761">
        <v>0</v>
      </c>
      <c r="J777" s="761"/>
      <c r="K777" s="761"/>
      <c r="L777" s="29">
        <v>0</v>
      </c>
      <c r="M777" s="29">
        <f t="shared" si="33"/>
        <v>15.149219815179519</v>
      </c>
    </row>
    <row r="778" spans="1:13" hidden="1" outlineLevel="2">
      <c r="A778" s="172">
        <v>46143</v>
      </c>
      <c r="B778" s="1" t="s">
        <v>940</v>
      </c>
      <c r="C778" s="379" t="s">
        <v>1945</v>
      </c>
      <c r="D778" s="742" t="str">
        <f>VLOOKUP(C778,[1]Material!F:J,5,0)</f>
        <v>DHL( global)</v>
      </c>
      <c r="E778" s="764">
        <f>_xlfn.XLOOKUP(C778,[1]Material!$F:$F,[1]Material!$D:$D)</f>
        <v>7.3</v>
      </c>
      <c r="F778" s="762"/>
      <c r="G778" s="761">
        <v>0</v>
      </c>
      <c r="H778" s="761">
        <v>15.149219815179519</v>
      </c>
      <c r="I778" s="761">
        <v>0</v>
      </c>
      <c r="J778" s="761"/>
      <c r="K778" s="761"/>
      <c r="L778" s="29">
        <v>0</v>
      </c>
      <c r="M778" s="29">
        <f t="shared" si="33"/>
        <v>15.149219815179519</v>
      </c>
    </row>
    <row r="779" spans="1:13" hidden="1" outlineLevel="2">
      <c r="A779" s="172">
        <v>46143</v>
      </c>
      <c r="B779" s="1" t="s">
        <v>940</v>
      </c>
      <c r="C779" s="379" t="s">
        <v>1946</v>
      </c>
      <c r="D779" s="742" t="str">
        <f>VLOOKUP(C779,[1]Material!F:J,5,0)</f>
        <v>DHL( global)</v>
      </c>
      <c r="E779" s="764">
        <f>_xlfn.XLOOKUP(C779,[1]Material!$F:$F,[1]Material!$D:$D)</f>
        <v>7.3</v>
      </c>
      <c r="F779" s="762"/>
      <c r="G779" s="761">
        <v>0</v>
      </c>
      <c r="H779" s="761">
        <v>15.149219815179519</v>
      </c>
      <c r="I779" s="761">
        <v>0</v>
      </c>
      <c r="J779" s="761"/>
      <c r="K779" s="761"/>
      <c r="L779" s="29">
        <v>0</v>
      </c>
      <c r="M779" s="29">
        <f t="shared" si="33"/>
        <v>15.149219815179519</v>
      </c>
    </row>
    <row r="780" spans="1:13" hidden="1" outlineLevel="2">
      <c r="A780" s="172">
        <v>46143</v>
      </c>
      <c r="B780" s="1" t="s">
        <v>940</v>
      </c>
      <c r="C780" s="379" t="s">
        <v>1947</v>
      </c>
      <c r="D780" s="742" t="str">
        <f>VLOOKUP(C780,[1]Material!F:J,5,0)</f>
        <v>DHL( global)</v>
      </c>
      <c r="E780" s="764">
        <f>_xlfn.XLOOKUP(C780,[1]Material!$F:$F,[1]Material!$D:$D)</f>
        <v>7.3</v>
      </c>
      <c r="F780" s="762"/>
      <c r="G780" s="761">
        <v>0</v>
      </c>
      <c r="H780" s="761">
        <v>15.149219815179519</v>
      </c>
      <c r="I780" s="761">
        <v>0</v>
      </c>
      <c r="J780" s="761"/>
      <c r="K780" s="761"/>
      <c r="L780" s="29">
        <v>0</v>
      </c>
      <c r="M780" s="29">
        <f t="shared" si="33"/>
        <v>15.149219815179519</v>
      </c>
    </row>
    <row r="781" spans="1:13" hidden="1" outlineLevel="2">
      <c r="A781" s="172">
        <v>46143</v>
      </c>
      <c r="B781" s="1" t="s">
        <v>940</v>
      </c>
      <c r="C781" s="379" t="s">
        <v>1948</v>
      </c>
      <c r="D781" s="742" t="str">
        <f>VLOOKUP(C781,[1]Material!F:J,5,0)</f>
        <v>DHL( global)</v>
      </c>
      <c r="E781" s="764">
        <f>_xlfn.XLOOKUP(C781,[1]Material!$F:$F,[1]Material!$D:$D)</f>
        <v>7.3</v>
      </c>
      <c r="F781" s="762"/>
      <c r="G781" s="761">
        <v>0</v>
      </c>
      <c r="H781" s="761">
        <v>15.149219815179519</v>
      </c>
      <c r="I781" s="761">
        <v>0</v>
      </c>
      <c r="J781" s="761"/>
      <c r="K781" s="761"/>
      <c r="L781" s="29">
        <v>0</v>
      </c>
      <c r="M781" s="29">
        <f t="shared" si="33"/>
        <v>15.149219815179519</v>
      </c>
    </row>
    <row r="782" spans="1:13" hidden="1" outlineLevel="2">
      <c r="A782" s="172">
        <v>46143</v>
      </c>
      <c r="B782" s="1" t="s">
        <v>940</v>
      </c>
      <c r="C782" s="379" t="s">
        <v>1949</v>
      </c>
      <c r="D782" s="742" t="str">
        <f>VLOOKUP(C782,[1]Material!F:J,5,0)</f>
        <v>DHL( global)</v>
      </c>
      <c r="E782" s="764">
        <f>_xlfn.XLOOKUP(C782,[1]Material!$F:$F,[1]Material!$D:$D)</f>
        <v>7.3</v>
      </c>
      <c r="F782" s="762"/>
      <c r="G782" s="761">
        <v>0</v>
      </c>
      <c r="H782" s="761">
        <v>15.149219815179519</v>
      </c>
      <c r="I782" s="761">
        <v>0</v>
      </c>
      <c r="J782" s="761"/>
      <c r="K782" s="761"/>
      <c r="L782" s="29">
        <v>0</v>
      </c>
      <c r="M782" s="29">
        <f t="shared" si="33"/>
        <v>15.149219815179519</v>
      </c>
    </row>
    <row r="783" spans="1:13" hidden="1" outlineLevel="2">
      <c r="A783" s="172">
        <v>46143</v>
      </c>
      <c r="B783" s="1" t="s">
        <v>940</v>
      </c>
      <c r="C783" s="379" t="s">
        <v>1950</v>
      </c>
      <c r="D783" s="742" t="str">
        <f>VLOOKUP(C783,[1]Material!F:J,5,0)</f>
        <v>DHL( global)</v>
      </c>
      <c r="E783" s="764">
        <f>_xlfn.XLOOKUP(C783,[1]Material!$F:$F,[1]Material!$D:$D)</f>
        <v>7.3</v>
      </c>
      <c r="F783" s="762"/>
      <c r="G783" s="761">
        <v>0</v>
      </c>
      <c r="H783" s="761">
        <v>15.149219815179519</v>
      </c>
      <c r="I783" s="761">
        <v>0</v>
      </c>
      <c r="J783" s="761"/>
      <c r="K783" s="761"/>
      <c r="L783" s="29">
        <v>0</v>
      </c>
      <c r="M783" s="29">
        <f t="shared" si="33"/>
        <v>15.149219815179519</v>
      </c>
    </row>
    <row r="784" spans="1:13" hidden="1" outlineLevel="2">
      <c r="A784" s="172">
        <v>46143</v>
      </c>
      <c r="B784" s="1" t="s">
        <v>940</v>
      </c>
      <c r="C784" s="379" t="s">
        <v>1951</v>
      </c>
      <c r="D784" s="742" t="str">
        <f>VLOOKUP(C784,[1]Material!F:J,5,0)</f>
        <v>DHL( global)</v>
      </c>
      <c r="E784" s="764">
        <f>_xlfn.XLOOKUP(C784,[1]Material!$F:$F,[1]Material!$D:$D)</f>
        <v>7.3</v>
      </c>
      <c r="F784" s="762"/>
      <c r="G784" s="761">
        <v>0</v>
      </c>
      <c r="H784" s="761">
        <v>15.149219815179519</v>
      </c>
      <c r="I784" s="761">
        <v>0</v>
      </c>
      <c r="J784" s="761"/>
      <c r="K784" s="761"/>
      <c r="L784" s="29">
        <v>0</v>
      </c>
      <c r="M784" s="29">
        <f t="shared" si="33"/>
        <v>15.149219815179519</v>
      </c>
    </row>
    <row r="785" spans="1:13" hidden="1" outlineLevel="2">
      <c r="A785" s="172">
        <v>46143</v>
      </c>
      <c r="B785" s="1" t="s">
        <v>940</v>
      </c>
      <c r="C785" s="379" t="s">
        <v>1952</v>
      </c>
      <c r="D785" s="742" t="str">
        <f>VLOOKUP(C785,[1]Material!F:J,5,0)</f>
        <v>DHL( global)</v>
      </c>
      <c r="E785" s="764">
        <f>_xlfn.XLOOKUP(C785,[1]Material!$F:$F,[1]Material!$D:$D)</f>
        <v>7.3</v>
      </c>
      <c r="F785" s="762"/>
      <c r="G785" s="761">
        <v>0</v>
      </c>
      <c r="H785" s="761">
        <v>15.149219815179519</v>
      </c>
      <c r="I785" s="761">
        <v>0</v>
      </c>
      <c r="J785" s="761"/>
      <c r="K785" s="761"/>
      <c r="L785" s="29">
        <v>0</v>
      </c>
      <c r="M785" s="29">
        <f t="shared" si="33"/>
        <v>15.149219815179519</v>
      </c>
    </row>
    <row r="786" spans="1:13" hidden="1" outlineLevel="2">
      <c r="A786" s="172">
        <v>46143</v>
      </c>
      <c r="B786" s="1" t="s">
        <v>940</v>
      </c>
      <c r="C786" s="379" t="s">
        <v>1953</v>
      </c>
      <c r="D786" s="742" t="str">
        <f>VLOOKUP(C786,[1]Material!F:J,5,0)</f>
        <v>DHL( global)</v>
      </c>
      <c r="E786" s="764">
        <f>_xlfn.XLOOKUP(C786,[1]Material!$F:$F,[1]Material!$D:$D)</f>
        <v>7.3</v>
      </c>
      <c r="F786" s="762"/>
      <c r="G786" s="761">
        <v>0</v>
      </c>
      <c r="H786" s="761">
        <v>15.149219815179519</v>
      </c>
      <c r="I786" s="761">
        <v>0</v>
      </c>
      <c r="J786" s="761"/>
      <c r="K786" s="761"/>
      <c r="L786" s="29">
        <v>0</v>
      </c>
      <c r="M786" s="29">
        <f t="shared" si="33"/>
        <v>15.149219815179519</v>
      </c>
    </row>
    <row r="787" spans="1:13" hidden="1" outlineLevel="2">
      <c r="A787" s="172">
        <v>46143</v>
      </c>
      <c r="B787" s="1" t="s">
        <v>940</v>
      </c>
      <c r="C787" s="379" t="s">
        <v>1954</v>
      </c>
      <c r="D787" s="742" t="str">
        <f>VLOOKUP(C787,[1]Material!F:J,5,0)</f>
        <v>DHL( global)</v>
      </c>
      <c r="E787" s="764">
        <f>_xlfn.XLOOKUP(C787,[1]Material!$F:$F,[1]Material!$D:$D)</f>
        <v>7.3</v>
      </c>
      <c r="F787" s="762"/>
      <c r="G787" s="761">
        <v>0</v>
      </c>
      <c r="H787" s="761">
        <v>15.149219815179519</v>
      </c>
      <c r="I787" s="761">
        <v>0</v>
      </c>
      <c r="J787" s="761"/>
      <c r="K787" s="761"/>
      <c r="L787" s="29">
        <v>0</v>
      </c>
      <c r="M787" s="29">
        <f t="shared" si="33"/>
        <v>15.149219815179519</v>
      </c>
    </row>
    <row r="788" spans="1:13" hidden="1" outlineLevel="2">
      <c r="A788" s="172">
        <v>46143</v>
      </c>
      <c r="B788" s="1" t="s">
        <v>940</v>
      </c>
      <c r="C788" s="379" t="s">
        <v>1955</v>
      </c>
      <c r="D788" s="742" t="str">
        <f>VLOOKUP(C788,[1]Material!F:J,5,0)</f>
        <v>DHL( global)</v>
      </c>
      <c r="E788" s="764">
        <f>_xlfn.XLOOKUP(C788,[1]Material!$F:$F,[1]Material!$D:$D)</f>
        <v>7.3</v>
      </c>
      <c r="F788" s="762"/>
      <c r="G788" s="761">
        <v>0</v>
      </c>
      <c r="H788" s="761">
        <v>15.149219815179519</v>
      </c>
      <c r="I788" s="761">
        <v>0</v>
      </c>
      <c r="J788" s="761"/>
      <c r="K788" s="761"/>
      <c r="L788" s="29">
        <v>0</v>
      </c>
      <c r="M788" s="29">
        <f t="shared" si="33"/>
        <v>15.149219815179519</v>
      </c>
    </row>
    <row r="789" spans="1:13" hidden="1" outlineLevel="2">
      <c r="A789" s="172">
        <v>46143</v>
      </c>
      <c r="B789" s="1" t="s">
        <v>940</v>
      </c>
      <c r="C789" s="379" t="s">
        <v>1956</v>
      </c>
      <c r="D789" s="742" t="str">
        <f>VLOOKUP(C789,[1]Material!F:J,5,0)</f>
        <v>DHL( global)</v>
      </c>
      <c r="E789" s="764">
        <f>_xlfn.XLOOKUP(C789,[1]Material!$F:$F,[1]Material!$D:$D)</f>
        <v>7.3</v>
      </c>
      <c r="F789" s="762"/>
      <c r="G789" s="761">
        <v>0</v>
      </c>
      <c r="H789" s="761">
        <v>15.149219815179519</v>
      </c>
      <c r="I789" s="761">
        <v>0</v>
      </c>
      <c r="J789" s="761"/>
      <c r="K789" s="761"/>
      <c r="L789" s="29">
        <v>0</v>
      </c>
      <c r="M789" s="29">
        <f t="shared" si="33"/>
        <v>15.149219815179519</v>
      </c>
    </row>
    <row r="790" spans="1:13" hidden="1" outlineLevel="2">
      <c r="A790" s="172">
        <v>46143</v>
      </c>
      <c r="B790" s="1" t="s">
        <v>940</v>
      </c>
      <c r="C790" s="379" t="s">
        <v>1957</v>
      </c>
      <c r="D790" s="742" t="str">
        <f>VLOOKUP(C790,[1]Material!F:J,5,0)</f>
        <v>DHL( global)</v>
      </c>
      <c r="E790" s="764">
        <f>_xlfn.XLOOKUP(C790,[1]Material!$F:$F,[1]Material!$D:$D)</f>
        <v>7.3</v>
      </c>
      <c r="F790" s="762"/>
      <c r="G790" s="761">
        <v>0</v>
      </c>
      <c r="H790" s="761">
        <v>15.149219815179519</v>
      </c>
      <c r="I790" s="761">
        <v>0</v>
      </c>
      <c r="J790" s="761"/>
      <c r="K790" s="761"/>
      <c r="L790" s="29">
        <v>0</v>
      </c>
      <c r="M790" s="29">
        <f t="shared" si="33"/>
        <v>15.149219815179519</v>
      </c>
    </row>
    <row r="791" spans="1:13" hidden="1" outlineLevel="2">
      <c r="A791" s="172">
        <v>46143</v>
      </c>
      <c r="B791" s="1" t="s">
        <v>940</v>
      </c>
      <c r="C791" s="379" t="s">
        <v>1958</v>
      </c>
      <c r="D791" s="742" t="str">
        <f>VLOOKUP(C791,[1]Material!F:J,5,0)</f>
        <v>DHL( global)</v>
      </c>
      <c r="E791" s="764">
        <f>_xlfn.XLOOKUP(C791,[1]Material!$F:$F,[1]Material!$D:$D)</f>
        <v>7.3</v>
      </c>
      <c r="F791" s="762"/>
      <c r="G791" s="761">
        <v>0</v>
      </c>
      <c r="H791" s="761">
        <v>15.149219815179519</v>
      </c>
      <c r="I791" s="761">
        <v>0</v>
      </c>
      <c r="J791" s="761"/>
      <c r="K791" s="761"/>
      <c r="L791" s="29">
        <v>0</v>
      </c>
      <c r="M791" s="29">
        <f t="shared" si="33"/>
        <v>15.149219815179519</v>
      </c>
    </row>
    <row r="792" spans="1:13" hidden="1" outlineLevel="2">
      <c r="A792" s="172">
        <v>46143</v>
      </c>
      <c r="B792" s="1" t="s">
        <v>1961</v>
      </c>
      <c r="C792" s="379">
        <v>522040184578</v>
      </c>
      <c r="D792" s="742" t="str">
        <f>VLOOKUP(C792,[1]Material!F:J,5,0)</f>
        <v>Fedex</v>
      </c>
      <c r="E792" s="764">
        <f>_xlfn.XLOOKUP(C792,[1]Material!$F:$F,[1]Material!$D:$D)</f>
        <v>2.2000000000000002</v>
      </c>
      <c r="F792" s="762"/>
      <c r="G792" s="761">
        <v>0</v>
      </c>
      <c r="H792" s="761">
        <v>15.149219815179519</v>
      </c>
      <c r="I792" s="761">
        <v>0</v>
      </c>
      <c r="J792" s="761"/>
      <c r="K792" s="761"/>
      <c r="L792" s="29">
        <v>0</v>
      </c>
      <c r="M792" s="29">
        <f t="shared" si="33"/>
        <v>15.149219815179519</v>
      </c>
    </row>
    <row r="793" spans="1:13" hidden="1" outlineLevel="2">
      <c r="A793" s="172">
        <v>46143</v>
      </c>
      <c r="B793" s="1" t="s">
        <v>951</v>
      </c>
      <c r="C793" s="379">
        <v>5774495602</v>
      </c>
      <c r="D793" s="742" t="str">
        <f>VLOOKUP(C793,[1]Material!F:J,5,0)</f>
        <v>DHL</v>
      </c>
      <c r="E793" s="764">
        <f>_xlfn.XLOOKUP(C793,[1]Material!$F:$F,[1]Material!$D:$D)</f>
        <v>0.9</v>
      </c>
      <c r="F793" s="762"/>
      <c r="G793" s="761">
        <v>0</v>
      </c>
      <c r="H793" s="761">
        <v>15.149219815179519</v>
      </c>
      <c r="I793" s="761">
        <v>0</v>
      </c>
      <c r="J793" s="761"/>
      <c r="K793" s="761"/>
      <c r="L793" s="29">
        <v>0</v>
      </c>
      <c r="M793" s="29">
        <f t="shared" si="33"/>
        <v>15.149219815179519</v>
      </c>
    </row>
    <row r="794" spans="1:13" hidden="1" outlineLevel="2">
      <c r="A794" s="172">
        <v>46143</v>
      </c>
      <c r="B794" s="1" t="s">
        <v>1709</v>
      </c>
      <c r="C794" s="379">
        <v>871027945538</v>
      </c>
      <c r="D794" s="742" t="str">
        <f>VLOOKUP(C794,[1]Material!F:J,5,0)</f>
        <v>Fedex</v>
      </c>
      <c r="E794" s="764">
        <f>_xlfn.XLOOKUP(C794,[1]Material!$F:$F,[1]Material!$D:$D)</f>
        <v>99</v>
      </c>
      <c r="F794" s="762"/>
      <c r="G794" s="761">
        <v>0</v>
      </c>
      <c r="H794" s="761">
        <v>15.149219815179519</v>
      </c>
      <c r="I794" s="761">
        <v>0</v>
      </c>
      <c r="J794" s="761"/>
      <c r="K794" s="761"/>
      <c r="L794" s="29">
        <v>0</v>
      </c>
      <c r="M794" s="29">
        <f t="shared" si="33"/>
        <v>15.149219815179519</v>
      </c>
    </row>
    <row r="795" spans="1:13" hidden="1" outlineLevel="2">
      <c r="A795" s="172">
        <v>46143</v>
      </c>
      <c r="B795" s="1" t="s">
        <v>950</v>
      </c>
      <c r="C795" s="379">
        <v>521201295514</v>
      </c>
      <c r="D795" s="742" t="str">
        <f>VLOOKUP(C795,[1]Material!F:J,5,0)</f>
        <v>Fedex</v>
      </c>
      <c r="E795" s="764">
        <f>_xlfn.XLOOKUP(C795,[1]Material!$F:$F,[1]Material!$D:$D)</f>
        <v>0.5</v>
      </c>
      <c r="F795" s="762"/>
      <c r="G795" s="761">
        <v>0</v>
      </c>
      <c r="H795" s="761">
        <v>15.149219815179519</v>
      </c>
      <c r="I795" s="761">
        <v>0</v>
      </c>
      <c r="J795" s="761"/>
      <c r="K795" s="761"/>
      <c r="L795" s="29">
        <v>0</v>
      </c>
      <c r="M795" s="29">
        <f t="shared" si="33"/>
        <v>15.149219815179519</v>
      </c>
    </row>
    <row r="796" spans="1:13" hidden="1" outlineLevel="2">
      <c r="A796" s="172">
        <v>46143</v>
      </c>
      <c r="B796" s="1" t="s">
        <v>968</v>
      </c>
      <c r="C796" s="379">
        <v>522157974669</v>
      </c>
      <c r="D796" s="742" t="str">
        <f>VLOOKUP(C796,[1]Material!F:J,5,0)</f>
        <v>Fedex</v>
      </c>
      <c r="E796" s="764">
        <f>_xlfn.XLOOKUP(C796,[1]Material!$F:$F,[1]Material!$D:$D)</f>
        <v>0.5</v>
      </c>
      <c r="F796" s="762"/>
      <c r="G796" s="761">
        <v>0</v>
      </c>
      <c r="H796" s="761">
        <v>15.149219815179519</v>
      </c>
      <c r="I796" s="761">
        <v>0</v>
      </c>
      <c r="J796" s="761"/>
      <c r="K796" s="761"/>
      <c r="L796" s="29">
        <v>0</v>
      </c>
      <c r="M796" s="29">
        <f t="shared" si="33"/>
        <v>15.149219815179519</v>
      </c>
    </row>
    <row r="797" spans="1:13" hidden="1" outlineLevel="2">
      <c r="A797" s="172">
        <v>46143</v>
      </c>
      <c r="B797" s="1" t="s">
        <v>968</v>
      </c>
      <c r="C797" s="379">
        <v>522157974599</v>
      </c>
      <c r="D797" s="742" t="str">
        <f>VLOOKUP(C797,[1]Material!F:J,5,0)</f>
        <v>Fedex</v>
      </c>
      <c r="E797" s="764">
        <f>_xlfn.XLOOKUP(C797,[1]Material!$F:$F,[1]Material!$D:$D)</f>
        <v>0.5</v>
      </c>
      <c r="F797" s="762"/>
      <c r="G797" s="761">
        <v>0</v>
      </c>
      <c r="H797" s="761">
        <v>15.149219815179519</v>
      </c>
      <c r="I797" s="761">
        <v>0</v>
      </c>
      <c r="J797" s="761"/>
      <c r="K797" s="761"/>
      <c r="L797" s="29">
        <v>0</v>
      </c>
      <c r="M797" s="29">
        <f t="shared" si="33"/>
        <v>15.149219815179519</v>
      </c>
    </row>
    <row r="798" spans="1:13" hidden="1" outlineLevel="2">
      <c r="A798" s="172">
        <v>46143</v>
      </c>
      <c r="B798" s="1" t="s">
        <v>1962</v>
      </c>
      <c r="C798" s="379">
        <v>510589907311</v>
      </c>
      <c r="D798" s="742" t="str">
        <f>VLOOKUP(C798,[1]Material!F:J,5,0)</f>
        <v>Fedex</v>
      </c>
      <c r="E798" s="764">
        <f>_xlfn.XLOOKUP(C798,[1]Material!$F:$F,[1]Material!$D:$D)</f>
        <v>13.5</v>
      </c>
      <c r="F798" s="762"/>
      <c r="G798" s="761">
        <v>0</v>
      </c>
      <c r="H798" s="761">
        <v>15.149219815179519</v>
      </c>
      <c r="I798" s="761">
        <v>0</v>
      </c>
      <c r="J798" s="761"/>
      <c r="K798" s="761"/>
      <c r="L798" s="29">
        <v>0</v>
      </c>
      <c r="M798" s="29">
        <f t="shared" si="33"/>
        <v>15.149219815179519</v>
      </c>
    </row>
    <row r="799" spans="1:13" hidden="1" outlineLevel="2">
      <c r="A799" s="172">
        <v>46143</v>
      </c>
      <c r="B799" s="1" t="s">
        <v>951</v>
      </c>
      <c r="C799" s="379">
        <v>5774504960</v>
      </c>
      <c r="D799" s="742" t="str">
        <f>VLOOKUP(C799,[1]Material!F:J,5,0)</f>
        <v>DHL</v>
      </c>
      <c r="E799" s="764">
        <f>_xlfn.XLOOKUP(C799,[1]Material!$F:$F,[1]Material!$D:$D)</f>
        <v>1.6</v>
      </c>
      <c r="F799" s="762"/>
      <c r="G799" s="761">
        <v>0</v>
      </c>
      <c r="H799" s="761">
        <v>15.149219815179519</v>
      </c>
      <c r="I799" s="761">
        <v>0</v>
      </c>
      <c r="J799" s="761"/>
      <c r="K799" s="761"/>
      <c r="L799" s="29">
        <v>0</v>
      </c>
      <c r="M799" s="29">
        <f t="shared" si="33"/>
        <v>15.149219815179519</v>
      </c>
    </row>
    <row r="800" spans="1:13" hidden="1" outlineLevel="2">
      <c r="A800" s="172">
        <v>46143</v>
      </c>
      <c r="B800" s="1" t="s">
        <v>1966</v>
      </c>
      <c r="C800" s="379">
        <v>119209717650</v>
      </c>
      <c r="D800" s="742" t="str">
        <f>VLOOKUP(C800,[1]Material!F:J,5,0)</f>
        <v>Fedex</v>
      </c>
      <c r="E800" s="764">
        <f>_xlfn.XLOOKUP(C800,[1]Material!$F:$F,[1]Material!$D:$D)</f>
        <v>1</v>
      </c>
      <c r="F800" s="762"/>
      <c r="G800" s="761">
        <v>0</v>
      </c>
      <c r="H800" s="761">
        <v>15.149219815179519</v>
      </c>
      <c r="I800" s="761">
        <v>0</v>
      </c>
      <c r="J800" s="761"/>
      <c r="K800" s="761"/>
      <c r="L800" s="29">
        <v>0</v>
      </c>
      <c r="M800" s="29">
        <f t="shared" si="33"/>
        <v>15.149219815179519</v>
      </c>
    </row>
    <row r="801" spans="1:13" hidden="1" outlineLevel="2">
      <c r="A801" s="172">
        <v>46143</v>
      </c>
      <c r="B801" s="1" t="s">
        <v>1968</v>
      </c>
      <c r="C801" s="379" t="s">
        <v>1967</v>
      </c>
      <c r="D801" s="742" t="str">
        <f>VLOOKUP(C801,[1]Material!F:J,5,0)</f>
        <v>LX</v>
      </c>
      <c r="E801" s="764">
        <f>_xlfn.XLOOKUP(C801,[1]Material!$F:$F,[1]Material!$D:$D)</f>
        <v>68</v>
      </c>
      <c r="F801" s="762"/>
      <c r="G801" s="761">
        <v>0</v>
      </c>
      <c r="H801" s="761">
        <v>15.149219815179519</v>
      </c>
      <c r="I801" s="761">
        <v>0</v>
      </c>
      <c r="J801" s="761"/>
      <c r="K801" s="761"/>
      <c r="L801" s="29">
        <v>0</v>
      </c>
      <c r="M801" s="29">
        <f t="shared" si="33"/>
        <v>15.149219815179519</v>
      </c>
    </row>
    <row r="802" spans="1:13" hidden="1" outlineLevel="2">
      <c r="A802" s="172">
        <v>46143</v>
      </c>
      <c r="B802" s="1" t="s">
        <v>1969</v>
      </c>
      <c r="C802" s="379">
        <v>523364163825</v>
      </c>
      <c r="D802" s="742" t="str">
        <f>VLOOKUP(C802,[1]Material!F:J,5,0)</f>
        <v>Fedex</v>
      </c>
      <c r="E802" s="764">
        <f>_xlfn.XLOOKUP(C802,[1]Material!$F:$F,[1]Material!$D:$D)</f>
        <v>2.1</v>
      </c>
      <c r="F802" s="762"/>
      <c r="G802" s="761">
        <v>0</v>
      </c>
      <c r="H802" s="761">
        <v>15.149219815179519</v>
      </c>
      <c r="I802" s="761">
        <v>0</v>
      </c>
      <c r="J802" s="761"/>
      <c r="K802" s="761"/>
      <c r="L802" s="29">
        <v>0</v>
      </c>
      <c r="M802" s="29">
        <f t="shared" si="33"/>
        <v>15.149219815179519</v>
      </c>
    </row>
    <row r="803" spans="1:13" hidden="1" outlineLevel="2">
      <c r="A803" s="172">
        <v>46143</v>
      </c>
      <c r="B803" s="1" t="s">
        <v>1970</v>
      </c>
      <c r="C803" s="379">
        <v>500292615488</v>
      </c>
      <c r="D803" s="742" t="str">
        <f>VLOOKUP(C803,[1]Material!F:J,5,0)</f>
        <v>Fedex</v>
      </c>
      <c r="E803" s="764">
        <f>_xlfn.XLOOKUP(C803,[1]Material!$F:$F,[1]Material!$D:$D)</f>
        <v>1.8</v>
      </c>
      <c r="F803" s="762"/>
      <c r="G803" s="761">
        <v>0</v>
      </c>
      <c r="H803" s="761">
        <v>15.149219815179519</v>
      </c>
      <c r="I803" s="761">
        <v>0</v>
      </c>
      <c r="J803" s="761"/>
      <c r="K803" s="761"/>
      <c r="L803" s="29">
        <v>0</v>
      </c>
      <c r="M803" s="29">
        <f t="shared" si="33"/>
        <v>15.149219815179519</v>
      </c>
    </row>
    <row r="804" spans="1:13" hidden="1" outlineLevel="2">
      <c r="A804" s="172">
        <v>46143</v>
      </c>
      <c r="B804" s="1" t="s">
        <v>1974</v>
      </c>
      <c r="C804" s="379">
        <v>500292617491</v>
      </c>
      <c r="D804" s="742" t="str">
        <f>VLOOKUP(C804,[1]Material!F:J,5,0)</f>
        <v>Fedex</v>
      </c>
      <c r="E804" s="764">
        <f>_xlfn.XLOOKUP(C804,[1]Material!$F:$F,[1]Material!$D:$D)</f>
        <v>0.5</v>
      </c>
      <c r="F804" s="762"/>
      <c r="G804" s="761">
        <v>0</v>
      </c>
      <c r="H804" s="761">
        <v>15.149219815179519</v>
      </c>
      <c r="I804" s="761">
        <v>0</v>
      </c>
      <c r="J804" s="761"/>
      <c r="K804" s="761"/>
      <c r="L804" s="29">
        <v>0</v>
      </c>
      <c r="M804" s="29">
        <f t="shared" si="33"/>
        <v>15.149219815179519</v>
      </c>
    </row>
    <row r="805" spans="1:13" hidden="1" outlineLevel="2">
      <c r="A805" s="172">
        <v>46143</v>
      </c>
      <c r="B805" s="1" t="s">
        <v>1972</v>
      </c>
      <c r="C805" s="379">
        <v>871351679243</v>
      </c>
      <c r="D805" s="742" t="str">
        <f>VLOOKUP(C805,[1]Material!F:J,5,0)</f>
        <v>Fedex</v>
      </c>
      <c r="E805" s="764">
        <f>_xlfn.XLOOKUP(C805,[1]Material!$F:$F,[1]Material!$D:$D)</f>
        <v>625</v>
      </c>
      <c r="F805" s="762"/>
      <c r="G805" s="761">
        <v>0</v>
      </c>
      <c r="H805" s="761">
        <v>15.149219815179519</v>
      </c>
      <c r="I805" s="761">
        <v>0</v>
      </c>
      <c r="J805" s="761"/>
      <c r="K805" s="761"/>
      <c r="L805" s="29">
        <v>0</v>
      </c>
      <c r="M805" s="29">
        <f t="shared" si="33"/>
        <v>15.149219815179519</v>
      </c>
    </row>
    <row r="806" spans="1:13" hidden="1" outlineLevel="2">
      <c r="A806" s="172">
        <v>46143</v>
      </c>
      <c r="B806" s="1" t="s">
        <v>1906</v>
      </c>
      <c r="C806" s="379">
        <v>522040305539</v>
      </c>
      <c r="D806" s="742" t="str">
        <f>VLOOKUP(C806,[1]Material!F:J,5,0)</f>
        <v>Fedex</v>
      </c>
      <c r="E806" s="764">
        <f>_xlfn.XLOOKUP(C806,[1]Material!$F:$F,[1]Material!$D:$D)</f>
        <v>11</v>
      </c>
      <c r="F806" s="762"/>
      <c r="G806" s="761">
        <v>0</v>
      </c>
      <c r="H806" s="761">
        <v>15.149219815179519</v>
      </c>
      <c r="I806" s="761">
        <v>0</v>
      </c>
      <c r="J806" s="761"/>
      <c r="K806" s="761"/>
      <c r="L806" s="29">
        <v>0</v>
      </c>
      <c r="M806" s="29">
        <f t="shared" si="33"/>
        <v>15.149219815179519</v>
      </c>
    </row>
    <row r="807" spans="1:13" hidden="1" outlineLevel="2">
      <c r="A807" s="172">
        <v>46143</v>
      </c>
      <c r="B807" s="1" t="s">
        <v>1988</v>
      </c>
      <c r="C807" s="379">
        <v>485149832159</v>
      </c>
      <c r="D807" s="742" t="str">
        <f>VLOOKUP(C807,[1]Material!F:J,5,0)</f>
        <v>Fedex</v>
      </c>
      <c r="E807" s="764">
        <f>_xlfn.XLOOKUP(C807,[1]Material!$F:$F,[1]Material!$D:$D)</f>
        <v>41.3</v>
      </c>
      <c r="F807" s="762"/>
      <c r="G807" s="761">
        <v>0</v>
      </c>
      <c r="H807" s="761">
        <v>15.149219815179519</v>
      </c>
      <c r="I807" s="761">
        <v>0</v>
      </c>
      <c r="J807" s="761"/>
      <c r="K807" s="761"/>
      <c r="L807" s="29">
        <v>0</v>
      </c>
      <c r="M807" s="29">
        <f t="shared" si="33"/>
        <v>15.149219815179519</v>
      </c>
    </row>
    <row r="808" spans="1:13" hidden="1" outlineLevel="2">
      <c r="A808" s="172">
        <v>46143</v>
      </c>
      <c r="B808" s="1" t="s">
        <v>1973</v>
      </c>
      <c r="C808" s="379">
        <v>525343638101</v>
      </c>
      <c r="D808" s="742" t="str">
        <f>VLOOKUP(C808,[1]Material!F:J,5,0)</f>
        <v>Fedex</v>
      </c>
      <c r="E808" s="764">
        <f>_xlfn.XLOOKUP(C808,[1]Material!$F:$F,[1]Material!$D:$D)</f>
        <v>2.6</v>
      </c>
      <c r="F808" s="762"/>
      <c r="G808" s="761">
        <v>0</v>
      </c>
      <c r="H808" s="761">
        <v>15.149219815179519</v>
      </c>
      <c r="I808" s="761">
        <v>0</v>
      </c>
      <c r="J808" s="761"/>
      <c r="K808" s="761"/>
      <c r="L808" s="29">
        <v>0</v>
      </c>
      <c r="M808" s="29">
        <f t="shared" si="33"/>
        <v>15.149219815179519</v>
      </c>
    </row>
    <row r="809" spans="1:13" hidden="1" outlineLevel="2">
      <c r="A809" s="172">
        <v>46143</v>
      </c>
      <c r="B809" s="1" t="s">
        <v>1965</v>
      </c>
      <c r="C809" s="379">
        <v>525343671270</v>
      </c>
      <c r="D809" s="742" t="str">
        <f>VLOOKUP(C809,[1]Material!F:J,5,0)</f>
        <v>Fedex</v>
      </c>
      <c r="E809" s="764">
        <f>_xlfn.XLOOKUP(C809,[1]Material!$F:$F,[1]Material!$D:$D)</f>
        <v>63.3</v>
      </c>
      <c r="F809" s="762"/>
      <c r="G809" s="761">
        <v>0</v>
      </c>
      <c r="H809" s="761">
        <v>15.149219815179519</v>
      </c>
      <c r="I809" s="761">
        <v>0</v>
      </c>
      <c r="J809" s="761"/>
      <c r="K809" s="761"/>
      <c r="L809" s="29">
        <v>0</v>
      </c>
      <c r="M809" s="29">
        <f t="shared" ref="M809:M859" si="34">SUM(G809:L809)</f>
        <v>15.149219815179519</v>
      </c>
    </row>
    <row r="810" spans="1:13" hidden="1" outlineLevel="2">
      <c r="A810" s="172">
        <v>46143</v>
      </c>
      <c r="B810" s="1" t="s">
        <v>1991</v>
      </c>
      <c r="C810" s="379">
        <v>525343665469</v>
      </c>
      <c r="D810" s="742" t="str">
        <f>VLOOKUP(C810,[1]Material!F:J,5,0)</f>
        <v>Fedex</v>
      </c>
      <c r="E810" s="764">
        <f>_xlfn.XLOOKUP(C810,[1]Material!$F:$F,[1]Material!$D:$D)</f>
        <v>17.899999999999999</v>
      </c>
      <c r="F810" s="762"/>
      <c r="G810" s="761">
        <v>0</v>
      </c>
      <c r="H810" s="761">
        <v>15.149219815179519</v>
      </c>
      <c r="I810" s="761">
        <v>0</v>
      </c>
      <c r="J810" s="761"/>
      <c r="K810" s="761"/>
      <c r="L810" s="29">
        <v>0</v>
      </c>
      <c r="M810" s="29">
        <f t="shared" si="34"/>
        <v>15.149219815179519</v>
      </c>
    </row>
    <row r="811" spans="1:13" hidden="1" outlineLevel="2">
      <c r="A811" s="172">
        <v>46143</v>
      </c>
      <c r="B811" s="1" t="s">
        <v>1994</v>
      </c>
      <c r="C811" s="379">
        <v>525343654704</v>
      </c>
      <c r="D811" s="742" t="str">
        <f>VLOOKUP(C811,[1]Material!F:J,5,0)</f>
        <v>Fedex</v>
      </c>
      <c r="E811" s="764">
        <f>_xlfn.XLOOKUP(C811,[1]Material!$F:$F,[1]Material!$D:$D)</f>
        <v>1.7</v>
      </c>
      <c r="F811" s="762"/>
      <c r="G811" s="761">
        <v>0</v>
      </c>
      <c r="H811" s="761">
        <v>15.149219815179519</v>
      </c>
      <c r="I811" s="761">
        <v>0</v>
      </c>
      <c r="J811" s="761"/>
      <c r="K811" s="761"/>
      <c r="L811" s="29">
        <v>0</v>
      </c>
      <c r="M811" s="29">
        <f t="shared" si="34"/>
        <v>15.149219815179519</v>
      </c>
    </row>
    <row r="812" spans="1:13" hidden="1" outlineLevel="2">
      <c r="A812" s="172">
        <v>46143</v>
      </c>
      <c r="B812" s="1" t="s">
        <v>319</v>
      </c>
      <c r="C812" s="379" t="s">
        <v>1995</v>
      </c>
      <c r="D812" s="742" t="str">
        <f>VLOOKUP(C812,[1]Material!F:J,5,0)</f>
        <v>VVMV(sea)</v>
      </c>
      <c r="E812" s="764">
        <f>_xlfn.XLOOKUP(C812,[1]Material!$F:$F,[1]Material!$D:$D)</f>
        <v>1790.2660000000001</v>
      </c>
      <c r="F812" s="762"/>
      <c r="G812" s="761">
        <v>90.89531889107711</v>
      </c>
      <c r="H812" s="761">
        <v>15.149219815179519</v>
      </c>
      <c r="I812" s="761">
        <v>252.70296167247386</v>
      </c>
      <c r="J812" s="761"/>
      <c r="K812" s="761"/>
      <c r="L812" s="29">
        <v>92.29832601121042</v>
      </c>
      <c r="M812" s="29">
        <f t="shared" si="34"/>
        <v>451.04582638994088</v>
      </c>
    </row>
    <row r="813" spans="1:13" hidden="1" outlineLevel="2">
      <c r="A813" s="172">
        <v>46143</v>
      </c>
      <c r="B813" s="1" t="s">
        <v>940</v>
      </c>
      <c r="C813" s="379" t="s">
        <v>1996</v>
      </c>
      <c r="D813" s="742" t="str">
        <f>VLOOKUP(C813,[1]Material!F:J,5,0)</f>
        <v>DHL( global)</v>
      </c>
      <c r="E813" s="764">
        <f>_xlfn.XLOOKUP(C813,[1]Material!$F:$F,[1]Material!$D:$D)</f>
        <v>1.6</v>
      </c>
      <c r="F813" s="762"/>
      <c r="G813" s="761">
        <v>18.179063778215422</v>
      </c>
      <c r="H813" s="761">
        <v>15.149219815179519</v>
      </c>
      <c r="I813" s="761">
        <v>0</v>
      </c>
      <c r="J813" s="761"/>
      <c r="K813" s="761"/>
      <c r="L813" s="29">
        <v>60.883956976215728</v>
      </c>
      <c r="M813" s="29">
        <f t="shared" si="34"/>
        <v>94.212240569610671</v>
      </c>
    </row>
    <row r="814" spans="1:13" hidden="1" outlineLevel="2">
      <c r="A814" s="172">
        <v>46143</v>
      </c>
      <c r="B814" s="1" t="s">
        <v>940</v>
      </c>
      <c r="C814" s="379" t="s">
        <v>1997</v>
      </c>
      <c r="D814" s="742" t="str">
        <f>VLOOKUP(C814,[1]Material!F:J,5,0)</f>
        <v>DHL( global)</v>
      </c>
      <c r="E814" s="764">
        <f>_xlfn.XLOOKUP(C814,[1]Material!$F:$F,[1]Material!$D:$D)</f>
        <v>49.4</v>
      </c>
      <c r="F814" s="762"/>
      <c r="G814" s="761">
        <v>0</v>
      </c>
      <c r="H814" s="761">
        <v>15.149219815179519</v>
      </c>
      <c r="I814" s="761">
        <v>0</v>
      </c>
      <c r="J814" s="761"/>
      <c r="K814" s="761"/>
      <c r="L814" s="29">
        <v>0</v>
      </c>
      <c r="M814" s="29">
        <f t="shared" si="34"/>
        <v>15.149219815179519</v>
      </c>
    </row>
    <row r="815" spans="1:13" hidden="1" outlineLevel="2">
      <c r="A815" s="172">
        <v>46143</v>
      </c>
      <c r="B815" s="1" t="s">
        <v>940</v>
      </c>
      <c r="C815" s="379" t="s">
        <v>1998</v>
      </c>
      <c r="D815" s="742" t="str">
        <f>VLOOKUP(C815,[1]Material!F:J,5,0)</f>
        <v>DHL( global)</v>
      </c>
      <c r="E815" s="764">
        <f>_xlfn.XLOOKUP(C815,[1]Material!$F:$F,[1]Material!$D:$D)</f>
        <v>53.6</v>
      </c>
      <c r="F815" s="762"/>
      <c r="G815" s="761">
        <v>0</v>
      </c>
      <c r="H815" s="761">
        <v>15.149219815179519</v>
      </c>
      <c r="I815" s="761">
        <v>0</v>
      </c>
      <c r="J815" s="761"/>
      <c r="K815" s="761"/>
      <c r="L815" s="29">
        <v>0</v>
      </c>
      <c r="M815" s="29">
        <f t="shared" si="34"/>
        <v>15.149219815179519</v>
      </c>
    </row>
    <row r="816" spans="1:13" hidden="1" outlineLevel="2">
      <c r="A816" s="172">
        <v>46143</v>
      </c>
      <c r="B816" s="1" t="s">
        <v>1323</v>
      </c>
      <c r="C816" s="379">
        <v>871633572370</v>
      </c>
      <c r="D816" s="742" t="str">
        <f>VLOOKUP(C816,[1]Material!F:J,5,0)</f>
        <v>Fedex</v>
      </c>
      <c r="E816" s="764">
        <f>_xlfn.XLOOKUP(C816,[1]Material!$F:$F,[1]Material!$D:$D)</f>
        <v>12.4</v>
      </c>
      <c r="F816" s="762"/>
      <c r="G816" s="761">
        <v>0</v>
      </c>
      <c r="H816" s="761">
        <v>15.149219815179519</v>
      </c>
      <c r="I816" s="761">
        <v>0</v>
      </c>
      <c r="J816" s="761"/>
      <c r="K816" s="761"/>
      <c r="L816" s="29">
        <v>0</v>
      </c>
      <c r="M816" s="29">
        <f t="shared" si="34"/>
        <v>15.149219815179519</v>
      </c>
    </row>
    <row r="817" spans="1:13" hidden="1" outlineLevel="2">
      <c r="A817" s="172">
        <v>46143</v>
      </c>
      <c r="B817" s="1" t="s">
        <v>940</v>
      </c>
      <c r="C817" s="379" t="s">
        <v>2000</v>
      </c>
      <c r="D817" s="742" t="str">
        <f>VLOOKUP(C817,[1]Material!F:J,5,0)</f>
        <v>DHL( global)</v>
      </c>
      <c r="E817" s="764">
        <f>_xlfn.XLOOKUP(C817,[1]Material!$F:$F,[1]Material!$D:$D)</f>
        <v>11.4</v>
      </c>
      <c r="F817" s="762"/>
      <c r="G817" s="761">
        <v>0</v>
      </c>
      <c r="H817" s="761">
        <v>15.149219815179519</v>
      </c>
      <c r="I817" s="761">
        <v>0</v>
      </c>
      <c r="J817" s="761"/>
      <c r="K817" s="761"/>
      <c r="L817" s="29">
        <v>0</v>
      </c>
      <c r="M817" s="29">
        <f t="shared" si="34"/>
        <v>15.149219815179519</v>
      </c>
    </row>
    <row r="818" spans="1:13" hidden="1" outlineLevel="2">
      <c r="A818" s="172">
        <v>46143</v>
      </c>
      <c r="B818" s="1" t="s">
        <v>1975</v>
      </c>
      <c r="C818" s="379" t="s">
        <v>2001</v>
      </c>
      <c r="D818" s="742" t="str">
        <f>VLOOKUP(C818,[1]Material!F:J,5,0)</f>
        <v>DHL( global)</v>
      </c>
      <c r="E818" s="764">
        <f>_xlfn.XLOOKUP(C818,[1]Material!$F:$F,[1]Material!$D:$D)</f>
        <v>50</v>
      </c>
      <c r="F818" s="762"/>
      <c r="G818" s="761">
        <v>0</v>
      </c>
      <c r="H818" s="761">
        <v>15.149219815179519</v>
      </c>
      <c r="I818" s="761">
        <v>0</v>
      </c>
      <c r="J818" s="761"/>
      <c r="K818" s="761"/>
      <c r="L818" s="29">
        <v>0</v>
      </c>
      <c r="M818" s="29">
        <f t="shared" si="34"/>
        <v>15.149219815179519</v>
      </c>
    </row>
    <row r="819" spans="1:13" hidden="1" outlineLevel="2">
      <c r="A819" s="172">
        <v>46143</v>
      </c>
      <c r="B819" s="1" t="s">
        <v>1975</v>
      </c>
      <c r="C819" s="379" t="s">
        <v>2002</v>
      </c>
      <c r="D819" s="742" t="str">
        <f>VLOOKUP(C819,[1]Material!F:J,5,0)</f>
        <v>DHL( global)</v>
      </c>
      <c r="E819" s="764">
        <f>_xlfn.XLOOKUP(C819,[1]Material!$F:$F,[1]Material!$D:$D)</f>
        <v>7.3</v>
      </c>
      <c r="F819" s="762"/>
      <c r="G819" s="761">
        <v>0</v>
      </c>
      <c r="H819" s="761">
        <v>15.149219815179519</v>
      </c>
      <c r="I819" s="761">
        <v>0</v>
      </c>
      <c r="J819" s="761"/>
      <c r="K819" s="761"/>
      <c r="L819" s="29">
        <v>0</v>
      </c>
      <c r="M819" s="29">
        <f t="shared" si="34"/>
        <v>15.149219815179519</v>
      </c>
    </row>
    <row r="820" spans="1:13" hidden="1" outlineLevel="2">
      <c r="A820" s="172">
        <v>46143</v>
      </c>
      <c r="B820" s="1" t="s">
        <v>1975</v>
      </c>
      <c r="C820" s="379" t="s">
        <v>2003</v>
      </c>
      <c r="D820" s="742" t="str">
        <f>VLOOKUP(C820,[1]Material!F:J,5,0)</f>
        <v>DHL( global)</v>
      </c>
      <c r="E820" s="764">
        <f>_xlfn.XLOOKUP(C820,[1]Material!$F:$F,[1]Material!$D:$D)</f>
        <v>7.3</v>
      </c>
      <c r="F820" s="762"/>
      <c r="G820" s="761">
        <v>0</v>
      </c>
      <c r="H820" s="761">
        <v>15.149219815179519</v>
      </c>
      <c r="I820" s="761">
        <v>0</v>
      </c>
      <c r="J820" s="761"/>
      <c r="K820" s="761"/>
      <c r="L820" s="29">
        <v>0</v>
      </c>
      <c r="M820" s="29">
        <f t="shared" si="34"/>
        <v>15.149219815179519</v>
      </c>
    </row>
    <row r="821" spans="1:13" hidden="1" outlineLevel="2">
      <c r="A821" s="172">
        <v>46143</v>
      </c>
      <c r="B821" s="1" t="s">
        <v>1975</v>
      </c>
      <c r="C821" s="379" t="s">
        <v>2004</v>
      </c>
      <c r="D821" s="742" t="str">
        <f>VLOOKUP(C821,[1]Material!F:J,5,0)</f>
        <v>DHL( global)</v>
      </c>
      <c r="E821" s="764">
        <f>_xlfn.XLOOKUP(C821,[1]Material!$F:$F,[1]Material!$D:$D)</f>
        <v>7.3</v>
      </c>
      <c r="F821" s="762"/>
      <c r="G821" s="761">
        <v>0</v>
      </c>
      <c r="H821" s="761">
        <v>15.149219815179519</v>
      </c>
      <c r="I821" s="761">
        <v>0</v>
      </c>
      <c r="J821" s="761"/>
      <c r="K821" s="761"/>
      <c r="L821" s="29">
        <v>0</v>
      </c>
      <c r="M821" s="29">
        <f t="shared" si="34"/>
        <v>15.149219815179519</v>
      </c>
    </row>
    <row r="822" spans="1:13" hidden="1" outlineLevel="2">
      <c r="A822" s="172">
        <v>46143</v>
      </c>
      <c r="B822" s="1" t="s">
        <v>940</v>
      </c>
      <c r="C822" s="379" t="s">
        <v>2005</v>
      </c>
      <c r="D822" s="742" t="str">
        <f>VLOOKUP(C822,[1]Material!F:J,5,0)</f>
        <v>DHL( global)</v>
      </c>
      <c r="E822" s="764">
        <f>_xlfn.XLOOKUP(C822,[1]Material!$F:$F,[1]Material!$D:$D)</f>
        <v>7.3</v>
      </c>
      <c r="F822" s="762"/>
      <c r="G822" s="761">
        <v>0</v>
      </c>
      <c r="H822" s="761">
        <v>15.149219815179519</v>
      </c>
      <c r="I822" s="761">
        <v>0</v>
      </c>
      <c r="J822" s="761"/>
      <c r="K822" s="761"/>
      <c r="L822" s="29">
        <v>0</v>
      </c>
      <c r="M822" s="29">
        <f t="shared" si="34"/>
        <v>15.149219815179519</v>
      </c>
    </row>
    <row r="823" spans="1:13" hidden="1" outlineLevel="2">
      <c r="A823" s="172">
        <v>46143</v>
      </c>
      <c r="B823" s="1" t="s">
        <v>940</v>
      </c>
      <c r="C823" s="379" t="s">
        <v>2006</v>
      </c>
      <c r="D823" s="742" t="str">
        <f>VLOOKUP(C823,[1]Material!F:J,5,0)</f>
        <v>DHL( global)</v>
      </c>
      <c r="E823" s="764">
        <f>_xlfn.XLOOKUP(C823,[1]Material!$F:$F,[1]Material!$D:$D)</f>
        <v>7.3</v>
      </c>
      <c r="F823" s="762"/>
      <c r="G823" s="761">
        <v>0</v>
      </c>
      <c r="H823" s="761">
        <v>15.149219815179519</v>
      </c>
      <c r="I823" s="761">
        <v>0</v>
      </c>
      <c r="J823" s="761"/>
      <c r="K823" s="761"/>
      <c r="L823" s="29">
        <v>0</v>
      </c>
      <c r="M823" s="29">
        <f t="shared" si="34"/>
        <v>15.149219815179519</v>
      </c>
    </row>
    <row r="824" spans="1:13" hidden="1" outlineLevel="2">
      <c r="A824" s="172">
        <v>46143</v>
      </c>
      <c r="B824" s="1" t="s">
        <v>1975</v>
      </c>
      <c r="C824" s="379" t="s">
        <v>2007</v>
      </c>
      <c r="D824" s="742" t="str">
        <f>VLOOKUP(C824,[1]Material!F:J,5,0)</f>
        <v>DHL( global)</v>
      </c>
      <c r="E824" s="764">
        <f>_xlfn.XLOOKUP(C824,[1]Material!$F:$F,[1]Material!$D:$D)</f>
        <v>7.3</v>
      </c>
      <c r="F824" s="762"/>
      <c r="G824" s="761">
        <v>0</v>
      </c>
      <c r="H824" s="761">
        <v>15.149219815179519</v>
      </c>
      <c r="I824" s="761">
        <v>0</v>
      </c>
      <c r="J824" s="761"/>
      <c r="K824" s="761"/>
      <c r="L824" s="29">
        <v>0</v>
      </c>
      <c r="M824" s="29">
        <f t="shared" si="34"/>
        <v>15.149219815179519</v>
      </c>
    </row>
    <row r="825" spans="1:13" hidden="1" outlineLevel="2">
      <c r="A825" s="172">
        <v>46143</v>
      </c>
      <c r="B825" s="1" t="s">
        <v>1975</v>
      </c>
      <c r="C825" s="379" t="s">
        <v>2008</v>
      </c>
      <c r="D825" s="742" t="str">
        <f>VLOOKUP(C825,[1]Material!F:J,5,0)</f>
        <v>DHL( global)</v>
      </c>
      <c r="E825" s="764">
        <f>_xlfn.XLOOKUP(C825,[1]Material!$F:$F,[1]Material!$D:$D)</f>
        <v>7.3</v>
      </c>
      <c r="F825" s="762"/>
      <c r="G825" s="761">
        <v>0</v>
      </c>
      <c r="H825" s="761">
        <v>15.149219815179519</v>
      </c>
      <c r="I825" s="761">
        <v>0</v>
      </c>
      <c r="J825" s="761"/>
      <c r="K825" s="761"/>
      <c r="L825" s="29">
        <v>0</v>
      </c>
      <c r="M825" s="29">
        <f t="shared" si="34"/>
        <v>15.149219815179519</v>
      </c>
    </row>
    <row r="826" spans="1:13" hidden="1" outlineLevel="2">
      <c r="A826" s="172">
        <v>46143</v>
      </c>
      <c r="B826" s="1" t="s">
        <v>1975</v>
      </c>
      <c r="C826" s="379" t="s">
        <v>2009</v>
      </c>
      <c r="D826" s="742" t="str">
        <f>VLOOKUP(C826,[1]Material!F:J,5,0)</f>
        <v>DHL( global)</v>
      </c>
      <c r="E826" s="764">
        <f>_xlfn.XLOOKUP(C826,[1]Material!$F:$F,[1]Material!$D:$D)</f>
        <v>7.3</v>
      </c>
      <c r="F826" s="762"/>
      <c r="G826" s="761">
        <v>0</v>
      </c>
      <c r="H826" s="761">
        <v>15.149219815179519</v>
      </c>
      <c r="I826" s="761">
        <v>0</v>
      </c>
      <c r="J826" s="761"/>
      <c r="K826" s="761"/>
      <c r="L826" s="29">
        <v>0</v>
      </c>
      <c r="M826" s="29">
        <f t="shared" si="34"/>
        <v>15.149219815179519</v>
      </c>
    </row>
    <row r="827" spans="1:13" hidden="1" outlineLevel="2">
      <c r="A827" s="172">
        <v>46143</v>
      </c>
      <c r="B827" s="1" t="s">
        <v>940</v>
      </c>
      <c r="C827" s="379" t="s">
        <v>2010</v>
      </c>
      <c r="D827" s="742" t="str">
        <f>VLOOKUP(C827,[1]Material!F:J,5,0)</f>
        <v>DHL( global)</v>
      </c>
      <c r="E827" s="764">
        <f>_xlfn.XLOOKUP(C827,[1]Material!$F:$F,[1]Material!$D:$D)</f>
        <v>7.3</v>
      </c>
      <c r="F827" s="762"/>
      <c r="G827" s="761">
        <v>0</v>
      </c>
      <c r="H827" s="761">
        <v>15.149219815179519</v>
      </c>
      <c r="I827" s="761">
        <v>0</v>
      </c>
      <c r="J827" s="761"/>
      <c r="K827" s="761"/>
      <c r="L827" s="29">
        <v>0</v>
      </c>
      <c r="M827" s="29">
        <f t="shared" si="34"/>
        <v>15.149219815179519</v>
      </c>
    </row>
    <row r="828" spans="1:13" hidden="1" outlineLevel="2">
      <c r="A828" s="172">
        <v>46143</v>
      </c>
      <c r="B828" s="1" t="s">
        <v>1975</v>
      </c>
      <c r="C828" s="379" t="s">
        <v>2011</v>
      </c>
      <c r="D828" s="742" t="str">
        <f>VLOOKUP(C828,[1]Material!F:J,5,0)</f>
        <v>DHL( global)</v>
      </c>
      <c r="E828" s="764">
        <f>_xlfn.XLOOKUP(C828,[1]Material!$F:$F,[1]Material!$D:$D)</f>
        <v>7.3</v>
      </c>
      <c r="F828" s="762"/>
      <c r="G828" s="761">
        <v>0</v>
      </c>
      <c r="H828" s="761">
        <v>15.149219815179519</v>
      </c>
      <c r="I828" s="761">
        <v>0</v>
      </c>
      <c r="J828" s="761"/>
      <c r="K828" s="761"/>
      <c r="L828" s="29">
        <v>0</v>
      </c>
      <c r="M828" s="29">
        <f t="shared" si="34"/>
        <v>15.149219815179519</v>
      </c>
    </row>
    <row r="829" spans="1:13" hidden="1" outlineLevel="2">
      <c r="A829" s="172">
        <v>46143</v>
      </c>
      <c r="B829" s="1" t="s">
        <v>951</v>
      </c>
      <c r="C829" s="379">
        <v>5774579985</v>
      </c>
      <c r="D829" s="742" t="str">
        <f>VLOOKUP(C829,[1]Material!F:J,5,0)</f>
        <v>DHL</v>
      </c>
      <c r="E829" s="764">
        <f>_xlfn.XLOOKUP(C829,[1]Material!$F:$F,[1]Material!$D:$D)</f>
        <v>2.1</v>
      </c>
      <c r="F829" s="762"/>
      <c r="G829" s="761">
        <v>0</v>
      </c>
      <c r="H829" s="761">
        <v>15.149219815179519</v>
      </c>
      <c r="I829" s="761">
        <v>0</v>
      </c>
      <c r="J829" s="761"/>
      <c r="K829" s="761"/>
      <c r="L829" s="29">
        <v>0</v>
      </c>
      <c r="M829" s="29">
        <f t="shared" si="34"/>
        <v>15.149219815179519</v>
      </c>
    </row>
    <row r="830" spans="1:13" hidden="1" outlineLevel="2">
      <c r="A830" s="172">
        <v>46143</v>
      </c>
      <c r="B830" s="1" t="s">
        <v>1905</v>
      </c>
      <c r="C830" s="379">
        <v>518027666436</v>
      </c>
      <c r="D830" s="742" t="str">
        <f>VLOOKUP(C830,[1]Material!F:J,5,0)</f>
        <v>Fedex</v>
      </c>
      <c r="E830" s="764">
        <f>_xlfn.XLOOKUP(C830,[1]Material!$F:$F,[1]Material!$D:$D)</f>
        <v>12.4</v>
      </c>
      <c r="F830" s="762"/>
      <c r="G830" s="761">
        <v>0</v>
      </c>
      <c r="H830" s="761">
        <v>15.149219815179519</v>
      </c>
      <c r="I830" s="761">
        <v>0</v>
      </c>
      <c r="J830" s="761"/>
      <c r="K830" s="761"/>
      <c r="L830" s="29">
        <v>0</v>
      </c>
      <c r="M830" s="29">
        <f t="shared" si="34"/>
        <v>15.149219815179519</v>
      </c>
    </row>
    <row r="831" spans="1:13" hidden="1" outlineLevel="2">
      <c r="A831" s="172">
        <v>46143</v>
      </c>
      <c r="B831" s="1" t="s">
        <v>973</v>
      </c>
      <c r="C831" s="379" t="s">
        <v>2014</v>
      </c>
      <c r="D831" s="742" t="str">
        <f>VLOOKUP(C831,[1]Material!F:J,5,0)</f>
        <v>LX</v>
      </c>
      <c r="E831" s="764">
        <f>_xlfn.XLOOKUP(C831,[1]Material!$F:$F,[1]Material!$D:$D)</f>
        <v>92</v>
      </c>
      <c r="F831" s="762"/>
      <c r="G831" s="761">
        <v>0</v>
      </c>
      <c r="H831" s="761">
        <v>15.149219815179519</v>
      </c>
      <c r="I831" s="761">
        <v>0</v>
      </c>
      <c r="J831" s="761"/>
      <c r="K831" s="761"/>
      <c r="L831" s="29">
        <v>0</v>
      </c>
      <c r="M831" s="29">
        <f t="shared" si="34"/>
        <v>15.149219815179519</v>
      </c>
    </row>
    <row r="832" spans="1:13" hidden="1" outlineLevel="2">
      <c r="A832" s="172">
        <v>46143</v>
      </c>
      <c r="B832" s="1" t="s">
        <v>1906</v>
      </c>
      <c r="C832" s="379">
        <v>525343719110</v>
      </c>
      <c r="D832" s="742" t="str">
        <f>VLOOKUP(C832,[1]Material!F:J,5,0)</f>
        <v>Fedex</v>
      </c>
      <c r="E832" s="764">
        <f>_xlfn.XLOOKUP(C832,[1]Material!$F:$F,[1]Material!$D:$D)</f>
        <v>24.2</v>
      </c>
      <c r="F832" s="762"/>
      <c r="G832" s="761">
        <v>0</v>
      </c>
      <c r="H832" s="761">
        <v>15.149219815179519</v>
      </c>
      <c r="I832" s="761">
        <v>0</v>
      </c>
      <c r="J832" s="761"/>
      <c r="K832" s="761"/>
      <c r="L832" s="29">
        <v>0</v>
      </c>
      <c r="M832" s="29">
        <f t="shared" si="34"/>
        <v>15.149219815179519</v>
      </c>
    </row>
    <row r="833" spans="1:13" hidden="1" outlineLevel="2">
      <c r="A833" s="172">
        <v>46143</v>
      </c>
      <c r="B833" s="1" t="s">
        <v>940</v>
      </c>
      <c r="C833" s="379" t="s">
        <v>2015</v>
      </c>
      <c r="D833" s="742" t="str">
        <f>VLOOKUP(C833,[1]Material!F:J,5,0)</f>
        <v>DHL( global)</v>
      </c>
      <c r="E833" s="764">
        <f>_xlfn.XLOOKUP(C833,[1]Material!$F:$F,[1]Material!$D:$D)</f>
        <v>3.4</v>
      </c>
      <c r="F833" s="762"/>
      <c r="G833" s="761">
        <v>0</v>
      </c>
      <c r="H833" s="761">
        <v>15.149219815179519</v>
      </c>
      <c r="I833" s="761">
        <v>0</v>
      </c>
      <c r="J833" s="761"/>
      <c r="K833" s="761"/>
      <c r="L833" s="29">
        <v>60.883956976215728</v>
      </c>
      <c r="M833" s="29">
        <f t="shared" si="34"/>
        <v>76.033176791395249</v>
      </c>
    </row>
    <row r="834" spans="1:13" hidden="1" outlineLevel="2">
      <c r="A834" s="172">
        <v>46143</v>
      </c>
      <c r="B834" s="1" t="s">
        <v>940</v>
      </c>
      <c r="C834" s="379" t="s">
        <v>2016</v>
      </c>
      <c r="D834" s="742" t="str">
        <f>VLOOKUP(C834,[1]Material!F:J,5,0)</f>
        <v>DHL( global)</v>
      </c>
      <c r="E834" s="764">
        <f>_xlfn.XLOOKUP(C834,[1]Material!$F:$F,[1]Material!$D:$D)</f>
        <v>3.4</v>
      </c>
      <c r="F834" s="762"/>
      <c r="G834" s="761">
        <v>0</v>
      </c>
      <c r="H834" s="761">
        <v>15.149219815179519</v>
      </c>
      <c r="I834" s="761">
        <v>0</v>
      </c>
      <c r="J834" s="761"/>
      <c r="K834" s="761"/>
      <c r="L834" s="29">
        <v>60.883956976215728</v>
      </c>
      <c r="M834" s="29">
        <f t="shared" si="34"/>
        <v>76.033176791395249</v>
      </c>
    </row>
    <row r="835" spans="1:13" hidden="1" outlineLevel="2">
      <c r="A835" s="172">
        <v>46143</v>
      </c>
      <c r="B835" s="1" t="s">
        <v>940</v>
      </c>
      <c r="C835" s="379" t="s">
        <v>2017</v>
      </c>
      <c r="D835" s="742" t="str">
        <f>VLOOKUP(C835,[1]Material!F:J,5,0)</f>
        <v>DHL( global)</v>
      </c>
      <c r="E835" s="764">
        <f>_xlfn.XLOOKUP(C835,[1]Material!$F:$F,[1]Material!$D:$D)</f>
        <v>5.4</v>
      </c>
      <c r="F835" s="762"/>
      <c r="G835" s="761">
        <v>18.179063778215422</v>
      </c>
      <c r="H835" s="761">
        <v>15.149219815179519</v>
      </c>
      <c r="I835" s="761">
        <v>0</v>
      </c>
      <c r="J835" s="761"/>
      <c r="K835" s="761"/>
      <c r="L835" s="29">
        <v>60.883956976215728</v>
      </c>
      <c r="M835" s="29">
        <f t="shared" si="34"/>
        <v>94.212240569610671</v>
      </c>
    </row>
    <row r="836" spans="1:13" hidden="1" outlineLevel="2">
      <c r="A836" s="172">
        <v>46143</v>
      </c>
      <c r="B836" s="1" t="s">
        <v>940</v>
      </c>
      <c r="C836" s="379" t="s">
        <v>2018</v>
      </c>
      <c r="D836" s="742" t="str">
        <f>VLOOKUP(C836,[1]Material!F:J,5,0)</f>
        <v>DHL( global)</v>
      </c>
      <c r="E836" s="764">
        <f>_xlfn.XLOOKUP(C836,[1]Material!$F:$F,[1]Material!$D:$D)</f>
        <v>3.4</v>
      </c>
      <c r="F836" s="762"/>
      <c r="G836" s="761">
        <v>0</v>
      </c>
      <c r="H836" s="761">
        <v>15.149219815179519</v>
      </c>
      <c r="I836" s="761">
        <v>0</v>
      </c>
      <c r="J836" s="761"/>
      <c r="K836" s="761"/>
      <c r="L836" s="29">
        <v>60.883956976215728</v>
      </c>
      <c r="M836" s="29">
        <f t="shared" si="34"/>
        <v>76.033176791395249</v>
      </c>
    </row>
    <row r="837" spans="1:13" hidden="1" outlineLevel="2">
      <c r="A837" s="172">
        <v>46143</v>
      </c>
      <c r="B837" s="1" t="s">
        <v>940</v>
      </c>
      <c r="C837" s="379" t="s">
        <v>2019</v>
      </c>
      <c r="D837" s="742" t="str">
        <f>VLOOKUP(C837,[1]Material!F:J,5,0)</f>
        <v>DHL( global)</v>
      </c>
      <c r="E837" s="764">
        <f>_xlfn.XLOOKUP(C837,[1]Material!$F:$F,[1]Material!$D:$D)</f>
        <v>3.4</v>
      </c>
      <c r="F837" s="762"/>
      <c r="G837" s="761">
        <v>0</v>
      </c>
      <c r="H837" s="761">
        <v>15.149219815179519</v>
      </c>
      <c r="I837" s="761">
        <v>0</v>
      </c>
      <c r="J837" s="761"/>
      <c r="K837" s="761"/>
      <c r="L837" s="29">
        <v>60.883956976215728</v>
      </c>
      <c r="M837" s="29">
        <f t="shared" si="34"/>
        <v>76.033176791395249</v>
      </c>
    </row>
    <row r="838" spans="1:13" hidden="1" outlineLevel="2">
      <c r="A838" s="172">
        <v>46143</v>
      </c>
      <c r="B838" s="1" t="s">
        <v>940</v>
      </c>
      <c r="C838" s="379" t="s">
        <v>2020</v>
      </c>
      <c r="D838" s="742" t="str">
        <f>VLOOKUP(C838,[1]Material!F:J,5,0)</f>
        <v>DHL( global)</v>
      </c>
      <c r="E838" s="764">
        <f>_xlfn.XLOOKUP(C838,[1]Material!$F:$F,[1]Material!$D:$D)</f>
        <v>3.4</v>
      </c>
      <c r="F838" s="762"/>
      <c r="G838" s="761">
        <v>0</v>
      </c>
      <c r="H838" s="761">
        <v>15.149219815179519</v>
      </c>
      <c r="I838" s="761">
        <v>0</v>
      </c>
      <c r="J838" s="761"/>
      <c r="K838" s="761"/>
      <c r="L838" s="29">
        <v>60.883956976215728</v>
      </c>
      <c r="M838" s="29">
        <f t="shared" si="34"/>
        <v>76.033176791395249</v>
      </c>
    </row>
    <row r="839" spans="1:13" hidden="1" outlineLevel="2">
      <c r="A839" s="172">
        <v>46143</v>
      </c>
      <c r="B839" s="1" t="s">
        <v>940</v>
      </c>
      <c r="C839" s="379" t="s">
        <v>2021</v>
      </c>
      <c r="D839" s="742" t="str">
        <f>VLOOKUP(C839,[1]Material!F:J,5,0)</f>
        <v>DHL( global)</v>
      </c>
      <c r="E839" s="764">
        <f>_xlfn.XLOOKUP(C839,[1]Material!$F:$F,[1]Material!$D:$D)</f>
        <v>3.4</v>
      </c>
      <c r="F839" s="762"/>
      <c r="G839" s="761">
        <v>0</v>
      </c>
      <c r="H839" s="761">
        <v>15.149219815179519</v>
      </c>
      <c r="I839" s="761">
        <v>0</v>
      </c>
      <c r="J839" s="761"/>
      <c r="K839" s="761"/>
      <c r="L839" s="29">
        <v>60.883956976215728</v>
      </c>
      <c r="M839" s="29">
        <f t="shared" si="34"/>
        <v>76.033176791395249</v>
      </c>
    </row>
    <row r="840" spans="1:13" hidden="1" outlineLevel="2">
      <c r="A840" s="172">
        <v>46143</v>
      </c>
      <c r="B840" s="1" t="s">
        <v>940</v>
      </c>
      <c r="C840" s="379" t="s">
        <v>2022</v>
      </c>
      <c r="D840" s="742" t="str">
        <f>VLOOKUP(C840,[1]Material!F:J,5,0)</f>
        <v>DHL( global)</v>
      </c>
      <c r="E840" s="764">
        <f>_xlfn.XLOOKUP(C840,[1]Material!$F:$F,[1]Material!$D:$D)</f>
        <v>3.4</v>
      </c>
      <c r="F840" s="762"/>
      <c r="G840" s="761">
        <v>0</v>
      </c>
      <c r="H840" s="761">
        <v>15.149219815179519</v>
      </c>
      <c r="I840" s="761">
        <v>0</v>
      </c>
      <c r="J840" s="761"/>
      <c r="K840" s="761"/>
      <c r="L840" s="29">
        <v>60.883956976215728</v>
      </c>
      <c r="M840" s="29">
        <f t="shared" si="34"/>
        <v>76.033176791395249</v>
      </c>
    </row>
    <row r="841" spans="1:13" hidden="1" outlineLevel="2">
      <c r="A841" s="172">
        <v>46143</v>
      </c>
      <c r="B841" s="1" t="s">
        <v>328</v>
      </c>
      <c r="C841" s="379" t="s">
        <v>2026</v>
      </c>
      <c r="D841" s="742" t="str">
        <f>VLOOKUP(C841,[1]Material!F:J,5,0)</f>
        <v>VVMV(sea)</v>
      </c>
      <c r="E841" s="764">
        <f>_xlfn.XLOOKUP(C841,[1]Material!$F:$F,[1]Material!$D:$D)</f>
        <v>184.75</v>
      </c>
      <c r="F841" s="762"/>
      <c r="G841" s="761">
        <v>0</v>
      </c>
      <c r="H841" s="761">
        <v>15.149219815179519</v>
      </c>
      <c r="I841" s="761">
        <v>584.51257385244662</v>
      </c>
      <c r="J841" s="761"/>
      <c r="K841" s="761"/>
      <c r="L841" s="29">
        <v>29.940918042720799</v>
      </c>
      <c r="M841" s="29">
        <f t="shared" si="34"/>
        <v>629.60271171034697</v>
      </c>
    </row>
    <row r="842" spans="1:13" hidden="1" outlineLevel="2">
      <c r="A842" s="172">
        <v>46143</v>
      </c>
      <c r="B842" s="1" t="s">
        <v>940</v>
      </c>
      <c r="C842" s="379" t="s">
        <v>2028</v>
      </c>
      <c r="D842" s="742" t="str">
        <f>VLOOKUP(C842,[1]Material!F:J,5,0)</f>
        <v>DHL( global)</v>
      </c>
      <c r="E842" s="764">
        <f>_xlfn.XLOOKUP(C842,[1]Material!$F:$F,[1]Material!$D:$D)</f>
        <v>5.5</v>
      </c>
      <c r="F842" s="762"/>
      <c r="G842" s="761">
        <v>0</v>
      </c>
      <c r="H842" s="761">
        <v>15.149219815179519</v>
      </c>
      <c r="I842" s="761">
        <v>0</v>
      </c>
      <c r="J842" s="761"/>
      <c r="K842" s="761"/>
      <c r="L842" s="29">
        <v>0</v>
      </c>
      <c r="M842" s="29">
        <f t="shared" si="34"/>
        <v>15.149219815179519</v>
      </c>
    </row>
    <row r="843" spans="1:13" hidden="1" outlineLevel="2">
      <c r="A843" s="172">
        <v>46143</v>
      </c>
      <c r="B843" s="1" t="s">
        <v>940</v>
      </c>
      <c r="C843" s="379" t="s">
        <v>2029</v>
      </c>
      <c r="D843" s="742" t="str">
        <f>VLOOKUP(C843,[1]Material!F:J,5,0)</f>
        <v>DHL( global)</v>
      </c>
      <c r="E843" s="764">
        <f>_xlfn.XLOOKUP(C843,[1]Material!$F:$F,[1]Material!$D:$D)</f>
        <v>9.8000000000000007</v>
      </c>
      <c r="F843" s="762"/>
      <c r="G843" s="761">
        <v>0</v>
      </c>
      <c r="H843" s="761">
        <v>15.149219815179519</v>
      </c>
      <c r="I843" s="761">
        <v>0</v>
      </c>
      <c r="J843" s="761"/>
      <c r="K843" s="761"/>
      <c r="L843" s="29">
        <v>0</v>
      </c>
      <c r="M843" s="29">
        <f t="shared" si="34"/>
        <v>15.149219815179519</v>
      </c>
    </row>
    <row r="844" spans="1:13" hidden="1" outlineLevel="2">
      <c r="A844" s="172">
        <v>46143</v>
      </c>
      <c r="B844" s="1" t="s">
        <v>940</v>
      </c>
      <c r="C844" s="379" t="s">
        <v>2030</v>
      </c>
      <c r="D844" s="742" t="str">
        <f>VLOOKUP(C844,[1]Material!F:J,5,0)</f>
        <v>DHL( global)</v>
      </c>
      <c r="E844" s="764">
        <f>_xlfn.XLOOKUP(C844,[1]Material!$F:$F,[1]Material!$D:$D)</f>
        <v>7.4</v>
      </c>
      <c r="F844" s="762"/>
      <c r="G844" s="761">
        <v>0</v>
      </c>
      <c r="H844" s="761">
        <v>15.149219815179519</v>
      </c>
      <c r="I844" s="761">
        <v>0</v>
      </c>
      <c r="J844" s="761"/>
      <c r="K844" s="761"/>
      <c r="L844" s="29">
        <v>0</v>
      </c>
      <c r="M844" s="29">
        <f t="shared" si="34"/>
        <v>15.149219815179519</v>
      </c>
    </row>
    <row r="845" spans="1:13" hidden="1" outlineLevel="2">
      <c r="A845" s="172">
        <v>46143</v>
      </c>
      <c r="B845" s="1" t="s">
        <v>940</v>
      </c>
      <c r="C845" s="379" t="s">
        <v>2031</v>
      </c>
      <c r="D845" s="742" t="str">
        <f>VLOOKUP(C845,[1]Material!F:J,5,0)</f>
        <v>DHL( global)</v>
      </c>
      <c r="E845" s="764">
        <f>_xlfn.XLOOKUP(C845,[1]Material!$F:$F,[1]Material!$D:$D)</f>
        <v>6</v>
      </c>
      <c r="F845" s="762"/>
      <c r="G845" s="761">
        <v>0</v>
      </c>
      <c r="H845" s="761">
        <v>15.149219815179519</v>
      </c>
      <c r="I845" s="761">
        <v>0</v>
      </c>
      <c r="J845" s="761"/>
      <c r="K845" s="761"/>
      <c r="L845" s="29">
        <v>0</v>
      </c>
      <c r="M845" s="29">
        <f t="shared" si="34"/>
        <v>15.149219815179519</v>
      </c>
    </row>
    <row r="846" spans="1:13" hidden="1" outlineLevel="2">
      <c r="A846" s="172">
        <v>46143</v>
      </c>
      <c r="B846" s="1" t="s">
        <v>945</v>
      </c>
      <c r="C846" s="379">
        <v>500292644900</v>
      </c>
      <c r="D846" s="742" t="str">
        <f>VLOOKUP(C846,[1]Material!F:J,5,0)</f>
        <v>Fedex</v>
      </c>
      <c r="E846" s="764">
        <f>_xlfn.XLOOKUP(C846,[1]Material!$F:$F,[1]Material!$D:$D)</f>
        <v>1</v>
      </c>
      <c r="F846" s="762"/>
      <c r="G846" s="761">
        <v>0</v>
      </c>
      <c r="H846" s="761">
        <v>15.149219815179519</v>
      </c>
      <c r="I846" s="761">
        <v>0</v>
      </c>
      <c r="J846" s="761"/>
      <c r="K846" s="761"/>
      <c r="L846" s="29">
        <v>0</v>
      </c>
      <c r="M846" s="29">
        <f t="shared" si="34"/>
        <v>15.149219815179519</v>
      </c>
    </row>
    <row r="847" spans="1:13" hidden="1" outlineLevel="2">
      <c r="A847" s="172">
        <v>46143</v>
      </c>
      <c r="B847" s="1" t="s">
        <v>945</v>
      </c>
      <c r="C847" s="379">
        <v>707296336851</v>
      </c>
      <c r="D847" s="742" t="str">
        <f>VLOOKUP(C847,[1]Material!F:J,5,0)</f>
        <v>Fedex</v>
      </c>
      <c r="E847" s="764">
        <f>_xlfn.XLOOKUP(C847,[1]Material!$F:$F,[1]Material!$D:$D)</f>
        <v>0.5</v>
      </c>
      <c r="F847" s="762"/>
      <c r="G847" s="761">
        <v>0</v>
      </c>
      <c r="H847" s="761">
        <v>15.149219815179519</v>
      </c>
      <c r="I847" s="761">
        <v>0</v>
      </c>
      <c r="J847" s="761"/>
      <c r="K847" s="761"/>
      <c r="L847" s="29">
        <v>0</v>
      </c>
      <c r="M847" s="29">
        <f t="shared" si="34"/>
        <v>15.149219815179519</v>
      </c>
    </row>
    <row r="848" spans="1:13" hidden="1" outlineLevel="2">
      <c r="A848" s="172">
        <v>46143</v>
      </c>
      <c r="B848" s="1" t="s">
        <v>1607</v>
      </c>
      <c r="C848" s="379">
        <v>512718301003</v>
      </c>
      <c r="D848" s="742" t="str">
        <f>VLOOKUP(C848,[1]Material!F:J,5,0)</f>
        <v>Fedex</v>
      </c>
      <c r="E848" s="764">
        <f>_xlfn.XLOOKUP(C848,[1]Material!$F:$F,[1]Material!$D:$D)</f>
        <v>6.6</v>
      </c>
      <c r="F848" s="762"/>
      <c r="G848" s="761">
        <v>0</v>
      </c>
      <c r="H848" s="761">
        <v>15.149219815179519</v>
      </c>
      <c r="I848" s="761">
        <v>0</v>
      </c>
      <c r="J848" s="761"/>
      <c r="K848" s="761"/>
      <c r="L848" s="29">
        <v>0</v>
      </c>
      <c r="M848" s="29">
        <f t="shared" si="34"/>
        <v>15.149219815179519</v>
      </c>
    </row>
    <row r="849" spans="1:13" hidden="1" outlineLevel="2">
      <c r="A849" s="172">
        <v>46143</v>
      </c>
      <c r="B849" s="1" t="s">
        <v>1963</v>
      </c>
      <c r="C849" s="379">
        <v>525343781722</v>
      </c>
      <c r="D849" s="742" t="str">
        <f>VLOOKUP(C849,[1]Material!F:J,5,0)</f>
        <v>Fedex</v>
      </c>
      <c r="E849" s="764">
        <f>_xlfn.XLOOKUP(C849,[1]Material!$F:$F,[1]Material!$D:$D)</f>
        <v>3.6</v>
      </c>
      <c r="F849" s="762"/>
      <c r="G849" s="761">
        <v>0</v>
      </c>
      <c r="H849" s="761">
        <v>15.149219815179519</v>
      </c>
      <c r="I849" s="761">
        <v>0</v>
      </c>
      <c r="J849" s="761"/>
      <c r="K849" s="761"/>
      <c r="L849" s="29">
        <v>0</v>
      </c>
      <c r="M849" s="29">
        <f t="shared" si="34"/>
        <v>15.149219815179519</v>
      </c>
    </row>
    <row r="850" spans="1:13" hidden="1" outlineLevel="2">
      <c r="A850" s="172">
        <v>46143</v>
      </c>
      <c r="B850" s="1" t="s">
        <v>1994</v>
      </c>
      <c r="C850" s="379">
        <v>525343804473</v>
      </c>
      <c r="D850" s="742" t="str">
        <f>VLOOKUP(C850,[1]Material!F:J,5,0)</f>
        <v>Fedex</v>
      </c>
      <c r="E850" s="764">
        <f>_xlfn.XLOOKUP(C850,[1]Material!$F:$F,[1]Material!$D:$D)</f>
        <v>93.6</v>
      </c>
      <c r="F850" s="762"/>
      <c r="G850" s="761">
        <v>0</v>
      </c>
      <c r="H850" s="761">
        <v>15.149219815179519</v>
      </c>
      <c r="I850" s="761">
        <v>0</v>
      </c>
      <c r="J850" s="761"/>
      <c r="K850" s="761"/>
      <c r="L850" s="29">
        <v>0</v>
      </c>
      <c r="M850" s="29">
        <f t="shared" si="34"/>
        <v>15.149219815179519</v>
      </c>
    </row>
    <row r="851" spans="1:13" hidden="1" outlineLevel="2">
      <c r="A851" s="172">
        <v>46143</v>
      </c>
      <c r="B851" s="1" t="s">
        <v>2038</v>
      </c>
      <c r="C851" s="379">
        <v>1802284271</v>
      </c>
      <c r="D851" s="742" t="str">
        <f>VLOOKUP(C851,[1]Material!F:J,5,0)</f>
        <v>DHL</v>
      </c>
      <c r="E851" s="764">
        <f>_xlfn.XLOOKUP(C851,[1]Material!$F:$F,[1]Material!$D:$D)</f>
        <v>85.6</v>
      </c>
      <c r="F851" s="762"/>
      <c r="G851" s="761">
        <v>0</v>
      </c>
      <c r="H851" s="761">
        <v>15.149219815179519</v>
      </c>
      <c r="I851" s="761">
        <v>0</v>
      </c>
      <c r="J851" s="761"/>
      <c r="K851" s="761"/>
      <c r="L851" s="29">
        <v>0</v>
      </c>
      <c r="M851" s="29">
        <f t="shared" si="34"/>
        <v>15.149219815179519</v>
      </c>
    </row>
    <row r="852" spans="1:13" hidden="1" outlineLevel="2">
      <c r="A852" s="172">
        <v>46143</v>
      </c>
      <c r="B852" s="1" t="s">
        <v>2039</v>
      </c>
      <c r="C852" s="379">
        <v>381471618942</v>
      </c>
      <c r="D852" s="742" t="str">
        <f>VLOOKUP(C852,[1]Material!F:J,5,0)</f>
        <v>Fedex</v>
      </c>
      <c r="E852" s="764">
        <f>_xlfn.XLOOKUP(C852,[1]Material!$F:$F,[1]Material!$D:$D)</f>
        <v>1.3</v>
      </c>
      <c r="F852" s="762"/>
      <c r="G852" s="761">
        <v>0</v>
      </c>
      <c r="H852" s="761">
        <v>15.149219815179519</v>
      </c>
      <c r="I852" s="761">
        <v>0</v>
      </c>
      <c r="J852" s="761"/>
      <c r="K852" s="761"/>
      <c r="L852" s="29">
        <v>0</v>
      </c>
      <c r="M852" s="29">
        <f t="shared" si="34"/>
        <v>15.149219815179519</v>
      </c>
    </row>
    <row r="853" spans="1:13" hidden="1" outlineLevel="2">
      <c r="A853" s="172">
        <v>46143</v>
      </c>
      <c r="B853" s="1" t="s">
        <v>1905</v>
      </c>
      <c r="C853" s="379">
        <v>518027698111</v>
      </c>
      <c r="D853" s="742" t="str">
        <f>VLOOKUP(C853,[1]Material!F:J,5,0)</f>
        <v>Fedex</v>
      </c>
      <c r="E853" s="764">
        <f>_xlfn.XLOOKUP(C853,[1]Material!$F:$F,[1]Material!$D:$D)</f>
        <v>29.5</v>
      </c>
      <c r="F853" s="762"/>
      <c r="G853" s="761">
        <v>0</v>
      </c>
      <c r="H853" s="761">
        <v>15.149219815179519</v>
      </c>
      <c r="I853" s="761">
        <v>0</v>
      </c>
      <c r="J853" s="761"/>
      <c r="K853" s="761"/>
      <c r="L853" s="29">
        <v>0</v>
      </c>
      <c r="M853" s="29">
        <f t="shared" si="34"/>
        <v>15.149219815179519</v>
      </c>
    </row>
    <row r="854" spans="1:13" hidden="1" outlineLevel="2">
      <c r="A854" s="172">
        <v>46143</v>
      </c>
      <c r="B854" s="1" t="s">
        <v>945</v>
      </c>
      <c r="C854" s="379">
        <v>707296341861</v>
      </c>
      <c r="D854" s="742" t="str">
        <f>VLOOKUP(C854,[1]Material!F:J,5,0)</f>
        <v>Fedex</v>
      </c>
      <c r="E854" s="764">
        <f>_xlfn.XLOOKUP(C854,[1]Material!$F:$F,[1]Material!$D:$D)</f>
        <v>0.5</v>
      </c>
      <c r="F854" s="762"/>
      <c r="G854" s="761">
        <v>0</v>
      </c>
      <c r="H854" s="761">
        <v>15.149219815179519</v>
      </c>
      <c r="I854" s="761">
        <v>0</v>
      </c>
      <c r="J854" s="761"/>
      <c r="K854" s="761"/>
      <c r="L854" s="29">
        <v>0</v>
      </c>
      <c r="M854" s="29">
        <f t="shared" si="34"/>
        <v>15.149219815179519</v>
      </c>
    </row>
    <row r="855" spans="1:13" hidden="1" outlineLevel="2">
      <c r="A855" s="172">
        <v>46143</v>
      </c>
      <c r="B855" s="1" t="s">
        <v>1963</v>
      </c>
      <c r="C855" s="379">
        <v>525343808582</v>
      </c>
      <c r="D855" s="742" t="str">
        <f>VLOOKUP(C855,[1]Material!F:J,5,0)</f>
        <v>Fedex</v>
      </c>
      <c r="E855" s="764">
        <f>_xlfn.XLOOKUP(C855,[1]Material!$F:$F,[1]Material!$D:$D)</f>
        <v>31.7</v>
      </c>
      <c r="F855" s="762"/>
      <c r="G855" s="761">
        <v>0</v>
      </c>
      <c r="H855" s="761">
        <v>15.149219815179519</v>
      </c>
      <c r="I855" s="761">
        <v>0</v>
      </c>
      <c r="J855" s="761"/>
      <c r="K855" s="761"/>
      <c r="L855" s="29">
        <v>0</v>
      </c>
      <c r="M855" s="29">
        <f t="shared" si="34"/>
        <v>15.149219815179519</v>
      </c>
    </row>
    <row r="856" spans="1:13" hidden="1" outlineLevel="2">
      <c r="A856" s="172">
        <v>46143</v>
      </c>
      <c r="B856" s="1" t="s">
        <v>2041</v>
      </c>
      <c r="C856" s="379">
        <v>871503358284</v>
      </c>
      <c r="D856" s="742" t="str">
        <f>VLOOKUP(C856,[1]Material!F:J,5,0)</f>
        <v>Fedex</v>
      </c>
      <c r="E856" s="764">
        <f>_xlfn.XLOOKUP(C856,[1]Material!$F:$F,[1]Material!$D:$D)</f>
        <v>0.9</v>
      </c>
      <c r="F856" s="762"/>
      <c r="G856" s="761">
        <v>0</v>
      </c>
      <c r="H856" s="761">
        <v>15.149219815179519</v>
      </c>
      <c r="I856" s="761">
        <v>0</v>
      </c>
      <c r="J856" s="761"/>
      <c r="K856" s="761"/>
      <c r="L856" s="29">
        <v>0</v>
      </c>
      <c r="M856" s="29">
        <f t="shared" si="34"/>
        <v>15.149219815179519</v>
      </c>
    </row>
    <row r="857" spans="1:13" hidden="1" outlineLevel="2">
      <c r="A857" s="172">
        <v>46143</v>
      </c>
      <c r="B857" s="1" t="s">
        <v>1823</v>
      </c>
      <c r="C857" s="379">
        <v>870856704340</v>
      </c>
      <c r="D857" s="742" t="str">
        <f>VLOOKUP(C857,[1]Equipment!F:J,5,0)</f>
        <v>Fedex</v>
      </c>
      <c r="E857" s="764">
        <f>_xlfn.XLOOKUP(C857,[1]Equipment!$F:$F,[1]Equipment!$D:$D)</f>
        <v>4</v>
      </c>
      <c r="F857" s="762"/>
      <c r="G857" s="761">
        <v>0</v>
      </c>
      <c r="H857" s="761">
        <v>15.149219815179519</v>
      </c>
      <c r="I857" s="761">
        <v>0</v>
      </c>
      <c r="J857" s="761"/>
      <c r="K857" s="761"/>
      <c r="L857" s="29">
        <v>0</v>
      </c>
      <c r="M857" s="29">
        <f t="shared" si="34"/>
        <v>15.149219815179519</v>
      </c>
    </row>
    <row r="858" spans="1:13" hidden="1" outlineLevel="2">
      <c r="A858" s="172">
        <v>46143</v>
      </c>
      <c r="B858" s="1" t="s">
        <v>1822</v>
      </c>
      <c r="C858" s="379">
        <v>871006164110</v>
      </c>
      <c r="D858" s="742" t="str">
        <f>VLOOKUP(C858,[1]Equipment!F:J,5,0)</f>
        <v>Fedex</v>
      </c>
      <c r="E858" s="764">
        <f>_xlfn.XLOOKUP(C858,[1]Equipment!$F:$F,[1]Equipment!$D:$D)</f>
        <v>6</v>
      </c>
      <c r="F858" s="762"/>
      <c r="G858" s="761">
        <v>0</v>
      </c>
      <c r="H858" s="761">
        <v>15.149219815179519</v>
      </c>
      <c r="I858" s="761">
        <v>0</v>
      </c>
      <c r="J858" s="761"/>
      <c r="K858" s="761"/>
      <c r="L858" s="29">
        <v>0</v>
      </c>
      <c r="M858" s="29">
        <f t="shared" si="34"/>
        <v>15.149219815179519</v>
      </c>
    </row>
    <row r="859" spans="1:13" hidden="1" outlineLevel="2">
      <c r="A859" s="172">
        <v>46143</v>
      </c>
      <c r="B859" s="1" t="s">
        <v>1822</v>
      </c>
      <c r="C859" s="379">
        <v>871217866262</v>
      </c>
      <c r="D859" s="742" t="str">
        <f>VLOOKUP(C859,[1]Equipment!F:J,5,0)</f>
        <v>Fedex</v>
      </c>
      <c r="E859" s="764">
        <f>_xlfn.XLOOKUP(C859,[1]Equipment!$F:$F,[1]Equipment!$D:$D)</f>
        <v>4</v>
      </c>
      <c r="F859" s="762"/>
      <c r="G859" s="761">
        <v>0</v>
      </c>
      <c r="H859" s="761">
        <v>15.149219815179519</v>
      </c>
      <c r="I859" s="761">
        <v>0</v>
      </c>
      <c r="J859" s="761"/>
      <c r="K859" s="761"/>
      <c r="L859" s="29">
        <v>0</v>
      </c>
      <c r="M859" s="29">
        <f t="shared" si="34"/>
        <v>15.149219815179519</v>
      </c>
    </row>
    <row r="860" spans="1:13" hidden="1" outlineLevel="2">
      <c r="A860" s="172">
        <v>46143</v>
      </c>
      <c r="B860" s="1" t="s">
        <v>1719</v>
      </c>
      <c r="C860" s="379">
        <v>871355948730</v>
      </c>
      <c r="D860" s="742" t="str">
        <f>VLOOKUP(C860,[1]Equipment!F:J,5,0)</f>
        <v>Fedex</v>
      </c>
      <c r="E860" s="764">
        <f>_xlfn.XLOOKUP(C860,[1]Equipment!$F:$F,[1]Equipment!$D:$D)</f>
        <v>4</v>
      </c>
      <c r="F860" s="762"/>
      <c r="G860" s="761">
        <v>0</v>
      </c>
      <c r="H860" s="761">
        <v>15.149219815179519</v>
      </c>
      <c r="I860" s="761">
        <v>0</v>
      </c>
      <c r="J860" s="761"/>
      <c r="K860" s="761"/>
      <c r="L860" s="29">
        <v>0</v>
      </c>
      <c r="M860" s="29">
        <f t="shared" ref="M860:M923" si="35">SUM(G860:L860)</f>
        <v>15.149219815179519</v>
      </c>
    </row>
    <row r="861" spans="1:13" hidden="1" outlineLevel="2">
      <c r="A861" s="172">
        <v>46143</v>
      </c>
      <c r="B861" s="1" t="s">
        <v>110</v>
      </c>
      <c r="C861" s="379">
        <v>483570646392</v>
      </c>
      <c r="D861" s="742" t="str">
        <f>VLOOKUP(C861,[1]Equipment!F:J,5,0)</f>
        <v>Fedex</v>
      </c>
      <c r="E861" s="764">
        <f>_xlfn.XLOOKUP(C861,[1]Equipment!$F:$F,[1]Equipment!$D:$D)</f>
        <v>1.8</v>
      </c>
      <c r="F861" s="762"/>
      <c r="G861" s="761">
        <v>0</v>
      </c>
      <c r="H861" s="761">
        <v>15.149219815179519</v>
      </c>
      <c r="I861" s="761">
        <v>0</v>
      </c>
      <c r="J861" s="761"/>
      <c r="K861" s="761"/>
      <c r="L861" s="29">
        <v>0</v>
      </c>
      <c r="M861" s="29">
        <f t="shared" si="35"/>
        <v>15.149219815179519</v>
      </c>
    </row>
    <row r="862" spans="1:13" hidden="1" outlineLevel="2">
      <c r="A862" s="172">
        <v>46143</v>
      </c>
      <c r="B862" s="1" t="s">
        <v>110</v>
      </c>
      <c r="C862" s="379">
        <v>871832897235</v>
      </c>
      <c r="D862" s="742" t="str">
        <f>VLOOKUP(C862,[1]Equipment!F:J,5,0)</f>
        <v>Fedex</v>
      </c>
      <c r="E862" s="764">
        <f>_xlfn.XLOOKUP(C862,[1]Equipment!$F:$F,[1]Equipment!$D:$D)</f>
        <v>3</v>
      </c>
      <c r="F862" s="762"/>
      <c r="G862" s="761">
        <v>0</v>
      </c>
      <c r="H862" s="761">
        <v>15.149219815179519</v>
      </c>
      <c r="I862" s="761">
        <v>0</v>
      </c>
      <c r="J862" s="761"/>
      <c r="K862" s="761"/>
      <c r="L862" s="29">
        <v>0</v>
      </c>
      <c r="M862" s="29">
        <f t="shared" si="35"/>
        <v>15.149219815179519</v>
      </c>
    </row>
    <row r="863" spans="1:13" hidden="1" outlineLevel="2">
      <c r="A863" s="172">
        <v>46143</v>
      </c>
      <c r="B863" s="1" t="s">
        <v>1725</v>
      </c>
      <c r="C863" s="379" t="s">
        <v>2046</v>
      </c>
      <c r="D863" s="742" t="s">
        <v>1333</v>
      </c>
      <c r="E863" s="764"/>
      <c r="F863" s="762"/>
      <c r="G863" s="761">
        <v>0</v>
      </c>
      <c r="H863" s="761">
        <v>15.149219815179519</v>
      </c>
      <c r="I863" s="761">
        <v>0</v>
      </c>
      <c r="J863" s="761"/>
      <c r="K863" s="761"/>
      <c r="L863" s="29">
        <v>0</v>
      </c>
      <c r="M863" s="29">
        <f t="shared" si="35"/>
        <v>15.149219815179519</v>
      </c>
    </row>
    <row r="864" spans="1:13" hidden="1" outlineLevel="2">
      <c r="A864" s="172">
        <v>46143</v>
      </c>
      <c r="B864" s="1" t="s">
        <v>988</v>
      </c>
      <c r="C864" s="379" t="s">
        <v>2047</v>
      </c>
      <c r="D864" s="742" t="s">
        <v>1333</v>
      </c>
      <c r="E864" s="764"/>
      <c r="F864" s="762"/>
      <c r="G864" s="761">
        <v>0</v>
      </c>
      <c r="H864" s="761">
        <v>15.149219815179519</v>
      </c>
      <c r="I864" s="761">
        <v>0</v>
      </c>
      <c r="J864" s="761"/>
      <c r="K864" s="761"/>
      <c r="L864" s="29">
        <v>0</v>
      </c>
      <c r="M864" s="29">
        <f t="shared" si="35"/>
        <v>15.149219815179519</v>
      </c>
    </row>
    <row r="865" spans="1:13" hidden="1" outlineLevel="2">
      <c r="A865" s="172">
        <v>46143</v>
      </c>
      <c r="B865" s="1" t="s">
        <v>2054</v>
      </c>
      <c r="C865" s="379" t="s">
        <v>2053</v>
      </c>
      <c r="D865" s="742" t="s">
        <v>1333</v>
      </c>
      <c r="E865" s="764"/>
      <c r="F865" s="762"/>
      <c r="G865" s="761">
        <v>0</v>
      </c>
      <c r="H865" s="761">
        <v>15.149219815179519</v>
      </c>
      <c r="I865" s="761">
        <v>0</v>
      </c>
      <c r="J865" s="761"/>
      <c r="K865" s="761"/>
      <c r="L865" s="29">
        <v>0</v>
      </c>
      <c r="M865" s="29">
        <f t="shared" si="35"/>
        <v>15.149219815179519</v>
      </c>
    </row>
    <row r="866" spans="1:13" hidden="1" outlineLevel="2">
      <c r="A866" s="172">
        <v>46143</v>
      </c>
      <c r="B866" s="1" t="s">
        <v>956</v>
      </c>
      <c r="C866" s="379">
        <v>4812916206</v>
      </c>
      <c r="D866" s="742" t="str">
        <f>VLOOKUP(C866,[1]Material!F:J,5,0)</f>
        <v>Expeditors</v>
      </c>
      <c r="E866" s="764">
        <f>_xlfn.XLOOKUP(C866,[1]Material!$F:$F,[1]Material!$D:$D)</f>
        <v>70</v>
      </c>
      <c r="F866" s="762"/>
      <c r="G866" s="761">
        <v>18.179063778215422</v>
      </c>
      <c r="H866" s="761">
        <v>15.149219815179519</v>
      </c>
      <c r="I866" s="761">
        <v>111.5</v>
      </c>
      <c r="J866" s="761"/>
      <c r="K866" s="761"/>
      <c r="L866" s="29">
        <f>33.3598639222183+15.76</f>
        <v>49.1198639222183</v>
      </c>
      <c r="M866" s="29">
        <f t="shared" si="35"/>
        <v>193.94814751561324</v>
      </c>
    </row>
    <row r="867" spans="1:13" hidden="1" outlineLevel="2">
      <c r="A867" s="172">
        <v>46143</v>
      </c>
      <c r="B867" s="1" t="s">
        <v>2081</v>
      </c>
      <c r="C867" s="379">
        <v>4915117717</v>
      </c>
      <c r="D867" s="742" t="str">
        <f>VLOOKUP(C867,[1]Material!F:J,5,0)</f>
        <v>Expeditors</v>
      </c>
      <c r="E867" s="764">
        <f>_xlfn.XLOOKUP(C867,[1]Material!$F:$F,[1]Material!$D:$D)</f>
        <v>58</v>
      </c>
      <c r="F867" s="762"/>
      <c r="G867" s="761">
        <v>0</v>
      </c>
      <c r="H867" s="761">
        <v>15.149219815179519</v>
      </c>
      <c r="I867" s="761">
        <v>207.57999999999998</v>
      </c>
      <c r="J867" s="761"/>
      <c r="K867" s="761"/>
      <c r="L867" s="29">
        <f>33.3497522736094+15.09</f>
        <v>48.4397522736094</v>
      </c>
      <c r="M867" s="29">
        <f t="shared" si="35"/>
        <v>271.16897208878891</v>
      </c>
    </row>
    <row r="868" spans="1:13" hidden="1" outlineLevel="2">
      <c r="A868" s="172">
        <v>46143</v>
      </c>
      <c r="B868" s="1" t="s">
        <v>2082</v>
      </c>
      <c r="C868" s="379">
        <v>4915117718</v>
      </c>
      <c r="D868" s="742" t="str">
        <f>VLOOKUP(C868,[1]Material!F:J,5,0)</f>
        <v>Expeditors</v>
      </c>
      <c r="E868" s="764">
        <f>_xlfn.XLOOKUP(C868,[1]Material!$F:$F,[1]Material!$D:$D)</f>
        <v>277</v>
      </c>
      <c r="F868" s="762"/>
      <c r="G868" s="761">
        <v>0</v>
      </c>
      <c r="H868" s="761">
        <v>15.149219815179519</v>
      </c>
      <c r="I868" s="761">
        <v>628.77</v>
      </c>
      <c r="J868" s="761"/>
      <c r="K868" s="761"/>
      <c r="L868" s="29">
        <f>33.34975554135+29.05</f>
        <v>62.399755541350004</v>
      </c>
      <c r="M868" s="29">
        <f t="shared" si="35"/>
        <v>706.31897535652956</v>
      </c>
    </row>
    <row r="869" spans="1:13" hidden="1" outlineLevel="2">
      <c r="A869" s="172">
        <v>46143</v>
      </c>
      <c r="B869" s="1" t="s">
        <v>801</v>
      </c>
      <c r="C869" s="379">
        <v>4711936301</v>
      </c>
      <c r="D869" s="742" t="str">
        <f>VLOOKUP(C869,[1]Material!F:J,5,0)</f>
        <v>Expeditors</v>
      </c>
      <c r="E869" s="764">
        <f>_xlfn.XLOOKUP(C869,[1]Material!$F:$F,[1]Material!$D:$D)</f>
        <v>44</v>
      </c>
      <c r="F869" s="762"/>
      <c r="G869" s="761">
        <v>0</v>
      </c>
      <c r="H869" s="761">
        <v>15.149219815179519</v>
      </c>
      <c r="I869" s="761">
        <v>291.14999999999998</v>
      </c>
      <c r="J869" s="761"/>
      <c r="K869" s="761"/>
      <c r="L869" s="29">
        <f>33.3447036657544+17.39</f>
        <v>50.734703665754402</v>
      </c>
      <c r="M869" s="29">
        <f t="shared" si="35"/>
        <v>357.03392348093388</v>
      </c>
    </row>
    <row r="870" spans="1:13" hidden="1" outlineLevel="2">
      <c r="A870" s="172">
        <v>46143</v>
      </c>
      <c r="B870" s="1" t="s">
        <v>1581</v>
      </c>
      <c r="C870" s="379" t="s">
        <v>2083</v>
      </c>
      <c r="D870" s="742" t="str">
        <f>VLOOKUP(C870,[1]Material!F:J,5,0)</f>
        <v>Dolphin(sea)</v>
      </c>
      <c r="E870" s="764">
        <f>_xlfn.XLOOKUP(C870,[1]Material!$F:$F,[1]Material!$D:$D)</f>
        <v>219.24</v>
      </c>
      <c r="F870" s="762"/>
      <c r="G870" s="761">
        <v>43.554006968641112</v>
      </c>
      <c r="H870" s="761">
        <v>20.451446750492348</v>
      </c>
      <c r="I870" s="761">
        <v>94.730646871686105</v>
      </c>
      <c r="J870" s="761"/>
      <c r="K870" s="761"/>
      <c r="L870" s="29">
        <v>248.0336312679897</v>
      </c>
      <c r="M870" s="29">
        <f t="shared" si="35"/>
        <v>406.76973185880922</v>
      </c>
    </row>
    <row r="871" spans="1:13" outlineLevel="1" collapsed="1">
      <c r="A871" s="172" t="s">
        <v>2095</v>
      </c>
      <c r="B871" s="1"/>
      <c r="C871" s="144"/>
      <c r="D871" s="763"/>
      <c r="E871" s="399">
        <f t="shared" ref="E871:M871" si="36">SUBTOTAL(9,E702:E870)</f>
        <v>7432.0560000000041</v>
      </c>
      <c r="F871" s="1">
        <f t="shared" si="36"/>
        <v>0</v>
      </c>
      <c r="G871" s="59">
        <f t="shared" si="36"/>
        <v>324.57203454022118</v>
      </c>
      <c r="H871" s="59">
        <f t="shared" si="36"/>
        <v>2504.9234964399366</v>
      </c>
      <c r="I871" s="563">
        <f t="shared" si="36"/>
        <v>6168.9842061808804</v>
      </c>
      <c r="J871" s="59">
        <f t="shared" si="36"/>
        <v>0</v>
      </c>
      <c r="K871" s="563">
        <f t="shared" si="36"/>
        <v>0</v>
      </c>
      <c r="L871" s="59">
        <f t="shared" si="36"/>
        <v>2657.4224877646966</v>
      </c>
      <c r="M871" s="29">
        <f t="shared" si="36"/>
        <v>11655.902224925687</v>
      </c>
    </row>
    <row r="872" spans="1:13" outlineLevel="2">
      <c r="A872" s="172">
        <v>46174</v>
      </c>
      <c r="B872" s="1" t="s">
        <v>1709</v>
      </c>
      <c r="C872" s="379">
        <v>26050470</v>
      </c>
      <c r="D872" s="341" t="s">
        <v>65</v>
      </c>
      <c r="E872" s="367">
        <v>750</v>
      </c>
      <c r="F872" s="680"/>
      <c r="G872" s="29">
        <v>0</v>
      </c>
      <c r="H872" s="29">
        <v>15.116015418335726</v>
      </c>
      <c r="I872" s="29">
        <v>0</v>
      </c>
      <c r="J872" s="29">
        <v>0</v>
      </c>
      <c r="K872" s="29">
        <v>0</v>
      </c>
      <c r="L872" s="29">
        <v>0</v>
      </c>
      <c r="M872" s="29">
        <f t="shared" si="35"/>
        <v>15.116015418335726</v>
      </c>
    </row>
    <row r="873" spans="1:13" outlineLevel="2">
      <c r="A873" s="172">
        <v>46174</v>
      </c>
      <c r="B873" s="1" t="s">
        <v>2744</v>
      </c>
      <c r="C873" s="379">
        <v>1202740324</v>
      </c>
      <c r="D873" s="341" t="s">
        <v>897</v>
      </c>
      <c r="E873" s="367">
        <v>0.30000000000000004</v>
      </c>
      <c r="F873" s="680"/>
      <c r="G873" s="29">
        <v>0</v>
      </c>
      <c r="H873" s="29">
        <v>15.116015418335726</v>
      </c>
      <c r="I873" s="29">
        <v>0</v>
      </c>
      <c r="J873" s="29">
        <v>0</v>
      </c>
      <c r="K873" s="29">
        <v>0</v>
      </c>
      <c r="L873" s="29">
        <v>0</v>
      </c>
      <c r="M873" s="29">
        <f t="shared" si="35"/>
        <v>15.116015418335726</v>
      </c>
    </row>
    <row r="874" spans="1:13" outlineLevel="2">
      <c r="A874" s="172">
        <v>46174</v>
      </c>
      <c r="B874" s="1" t="s">
        <v>934</v>
      </c>
      <c r="C874" s="379">
        <v>1291247661</v>
      </c>
      <c r="D874" s="341" t="s">
        <v>897</v>
      </c>
      <c r="E874" s="367">
        <v>1.1000000000000001</v>
      </c>
      <c r="F874" s="680"/>
      <c r="G874" s="29">
        <v>0</v>
      </c>
      <c r="H874" s="29">
        <v>15.116015418335726</v>
      </c>
      <c r="I874" s="29">
        <v>0</v>
      </c>
      <c r="J874" s="29">
        <v>0</v>
      </c>
      <c r="K874" s="29">
        <v>0</v>
      </c>
      <c r="L874" s="29">
        <v>0</v>
      </c>
      <c r="M874" s="29">
        <f t="shared" si="35"/>
        <v>15.116015418335726</v>
      </c>
    </row>
    <row r="875" spans="1:13" outlineLevel="2">
      <c r="A875" s="172">
        <v>46174</v>
      </c>
      <c r="B875" s="1" t="s">
        <v>934</v>
      </c>
      <c r="C875" s="379">
        <v>1397998501</v>
      </c>
      <c r="D875" s="341" t="s">
        <v>897</v>
      </c>
      <c r="E875" s="367">
        <v>1.3</v>
      </c>
      <c r="F875" s="680"/>
      <c r="G875" s="29">
        <v>0</v>
      </c>
      <c r="H875" s="29">
        <v>15.116015418335726</v>
      </c>
      <c r="I875" s="29">
        <v>0</v>
      </c>
      <c r="J875" s="29">
        <v>0</v>
      </c>
      <c r="K875" s="29">
        <v>0</v>
      </c>
      <c r="L875" s="29">
        <v>0</v>
      </c>
      <c r="M875" s="29">
        <f t="shared" si="35"/>
        <v>15.116015418335726</v>
      </c>
    </row>
    <row r="876" spans="1:13" outlineLevel="2">
      <c r="A876" s="172">
        <v>46174</v>
      </c>
      <c r="B876" s="1" t="s">
        <v>2388</v>
      </c>
      <c r="C876" s="379">
        <v>1399590010</v>
      </c>
      <c r="D876" s="341" t="s">
        <v>897</v>
      </c>
      <c r="E876" s="367">
        <v>0.30000000000000004</v>
      </c>
      <c r="F876" s="680"/>
      <c r="G876" s="29">
        <v>0</v>
      </c>
      <c r="H876" s="29">
        <v>15.116015418335726</v>
      </c>
      <c r="I876" s="29">
        <v>0</v>
      </c>
      <c r="J876" s="29">
        <v>0</v>
      </c>
      <c r="K876" s="29">
        <v>0</v>
      </c>
      <c r="L876" s="29">
        <v>0</v>
      </c>
      <c r="M876" s="29">
        <f t="shared" si="35"/>
        <v>15.116015418335726</v>
      </c>
    </row>
    <row r="877" spans="1:13" outlineLevel="2">
      <c r="A877" s="172">
        <v>46174</v>
      </c>
      <c r="B877" s="1" t="s">
        <v>3038</v>
      </c>
      <c r="C877" s="379">
        <v>1725908612</v>
      </c>
      <c r="D877" s="341" t="s">
        <v>897</v>
      </c>
      <c r="E877" s="367">
        <v>34</v>
      </c>
      <c r="F877" s="680"/>
      <c r="G877" s="29">
        <v>0</v>
      </c>
      <c r="H877" s="29">
        <v>15.116015418335726</v>
      </c>
      <c r="I877" s="29">
        <v>153.76898949436929</v>
      </c>
      <c r="J877" s="29">
        <v>0</v>
      </c>
      <c r="K877" s="29">
        <v>0</v>
      </c>
      <c r="L877" s="29">
        <v>0</v>
      </c>
      <c r="M877" s="29">
        <f t="shared" si="35"/>
        <v>168.88500491270503</v>
      </c>
    </row>
    <row r="878" spans="1:13" outlineLevel="2">
      <c r="A878" s="172">
        <v>46174</v>
      </c>
      <c r="B878" s="1" t="s">
        <v>974</v>
      </c>
      <c r="C878" s="379">
        <v>1848752496</v>
      </c>
      <c r="D878" s="341" t="s">
        <v>897</v>
      </c>
      <c r="E878" s="367">
        <v>10.5</v>
      </c>
      <c r="F878" s="680"/>
      <c r="G878" s="29">
        <v>0</v>
      </c>
      <c r="H878" s="29">
        <v>15.116015418335726</v>
      </c>
      <c r="I878" s="29">
        <v>237.7545189328093</v>
      </c>
      <c r="J878" s="29">
        <v>0</v>
      </c>
      <c r="K878" s="29">
        <v>0</v>
      </c>
      <c r="L878" s="29">
        <v>0</v>
      </c>
      <c r="M878" s="29">
        <f t="shared" si="35"/>
        <v>252.87053435114504</v>
      </c>
    </row>
    <row r="879" spans="1:13" outlineLevel="2">
      <c r="A879" s="172">
        <v>46174</v>
      </c>
      <c r="B879" s="1" t="s">
        <v>2792</v>
      </c>
      <c r="C879" s="379">
        <v>4210456180</v>
      </c>
      <c r="D879" s="341" t="s">
        <v>897</v>
      </c>
      <c r="E879" s="367">
        <v>22.7</v>
      </c>
      <c r="F879" s="680"/>
      <c r="G879" s="29">
        <v>0</v>
      </c>
      <c r="H879" s="29">
        <v>15.116015418335726</v>
      </c>
      <c r="I879" s="29">
        <v>0</v>
      </c>
      <c r="J879" s="29">
        <v>0</v>
      </c>
      <c r="K879" s="29">
        <v>0</v>
      </c>
      <c r="L879" s="29">
        <v>0</v>
      </c>
      <c r="M879" s="29">
        <f t="shared" si="35"/>
        <v>15.116015418335726</v>
      </c>
    </row>
    <row r="880" spans="1:13" outlineLevel="2">
      <c r="A880" s="172">
        <v>46174</v>
      </c>
      <c r="B880" s="1" t="s">
        <v>974</v>
      </c>
      <c r="C880" s="379">
        <v>4448587290</v>
      </c>
      <c r="D880" s="341" t="s">
        <v>897</v>
      </c>
      <c r="E880" s="367">
        <v>9</v>
      </c>
      <c r="F880" s="680"/>
      <c r="G880" s="29">
        <v>0</v>
      </c>
      <c r="H880" s="29">
        <v>15.116015418335726</v>
      </c>
      <c r="I880" s="29">
        <v>223.16056080417201</v>
      </c>
      <c r="J880" s="29">
        <v>0</v>
      </c>
      <c r="K880" s="29">
        <v>0</v>
      </c>
      <c r="L880" s="29">
        <v>0</v>
      </c>
      <c r="M880" s="29">
        <f t="shared" si="35"/>
        <v>238.27657622250774</v>
      </c>
    </row>
    <row r="881" spans="1:13" outlineLevel="2">
      <c r="A881" s="172">
        <v>46174</v>
      </c>
      <c r="B881" s="1" t="s">
        <v>3014</v>
      </c>
      <c r="C881" s="379">
        <v>4812920786</v>
      </c>
      <c r="D881" s="341" t="s">
        <v>65</v>
      </c>
      <c r="E881" s="367">
        <v>92</v>
      </c>
      <c r="F881" s="680"/>
      <c r="G881" s="29">
        <v>0</v>
      </c>
      <c r="H881" s="29">
        <v>15.116015418335726</v>
      </c>
      <c r="I881" s="29">
        <v>137.07999999999998</v>
      </c>
      <c r="J881" s="29"/>
      <c r="K881" s="29">
        <v>50.28</v>
      </c>
      <c r="L881" s="29"/>
      <c r="M881" s="29">
        <f t="shared" si="35"/>
        <v>202.47601541833572</v>
      </c>
    </row>
    <row r="882" spans="1:13" outlineLevel="2">
      <c r="A882" s="172">
        <v>46174</v>
      </c>
      <c r="B882" s="1" t="s">
        <v>3014</v>
      </c>
      <c r="C882" s="379">
        <v>4812923178</v>
      </c>
      <c r="D882" s="341" t="s">
        <v>65</v>
      </c>
      <c r="E882" s="367">
        <v>173</v>
      </c>
      <c r="F882" s="680"/>
      <c r="G882" s="29">
        <v>22.674023127503592</v>
      </c>
      <c r="H882" s="29">
        <v>15.116015418335726</v>
      </c>
      <c r="I882" s="29">
        <v>268.14999999999998</v>
      </c>
      <c r="J882" s="29"/>
      <c r="K882" s="29">
        <v>54.74</v>
      </c>
      <c r="L882" s="29"/>
      <c r="M882" s="29">
        <f t="shared" si="35"/>
        <v>360.6800385458393</v>
      </c>
    </row>
    <row r="883" spans="1:13" outlineLevel="2">
      <c r="A883" s="172">
        <v>46174</v>
      </c>
      <c r="B883" s="1" t="s">
        <v>3015</v>
      </c>
      <c r="C883" s="379">
        <v>4915119421</v>
      </c>
      <c r="D883" s="341" t="s">
        <v>65</v>
      </c>
      <c r="E883" s="367">
        <v>100</v>
      </c>
      <c r="F883" s="680"/>
      <c r="G883" s="29">
        <v>0</v>
      </c>
      <c r="H883" s="29">
        <v>15.116015418335726</v>
      </c>
      <c r="I883" s="29">
        <v>271</v>
      </c>
      <c r="J883" s="29"/>
      <c r="K883" s="29">
        <v>50.52</v>
      </c>
      <c r="L883" s="29"/>
      <c r="M883" s="29">
        <f t="shared" si="35"/>
        <v>336.63601541833572</v>
      </c>
    </row>
    <row r="884" spans="1:13" outlineLevel="2">
      <c r="A884" s="172">
        <v>46174</v>
      </c>
      <c r="B884" s="1" t="s">
        <v>3016</v>
      </c>
      <c r="C884" s="379">
        <v>4915138037</v>
      </c>
      <c r="D884" s="341" t="s">
        <v>65</v>
      </c>
      <c r="E884" s="367">
        <v>142.5</v>
      </c>
      <c r="F884" s="680"/>
      <c r="G884" s="29">
        <v>22.674023127503592</v>
      </c>
      <c r="H884" s="29">
        <v>15.116015418335726</v>
      </c>
      <c r="I884" s="29">
        <v>335.17999999999995</v>
      </c>
      <c r="J884" s="29"/>
      <c r="K884" s="29">
        <v>52.85</v>
      </c>
      <c r="L884" s="29"/>
      <c r="M884" s="29">
        <f t="shared" si="35"/>
        <v>425.82003854583928</v>
      </c>
    </row>
    <row r="885" spans="1:13" outlineLevel="2">
      <c r="A885" s="172">
        <v>46174</v>
      </c>
      <c r="B885" s="1" t="s">
        <v>951</v>
      </c>
      <c r="C885" s="379">
        <v>5774621694</v>
      </c>
      <c r="D885" s="341" t="s">
        <v>897</v>
      </c>
      <c r="E885" s="367">
        <v>1.4</v>
      </c>
      <c r="F885" s="680"/>
      <c r="G885" s="29">
        <v>0</v>
      </c>
      <c r="H885" s="29">
        <v>15.116015418335726</v>
      </c>
      <c r="I885" s="29">
        <v>0</v>
      </c>
      <c r="J885" s="29">
        <v>0</v>
      </c>
      <c r="K885" s="29">
        <v>0</v>
      </c>
      <c r="L885" s="29">
        <v>0</v>
      </c>
      <c r="M885" s="29">
        <f t="shared" si="35"/>
        <v>15.116015418335726</v>
      </c>
    </row>
    <row r="886" spans="1:13" outlineLevel="2">
      <c r="A886" s="172">
        <v>46174</v>
      </c>
      <c r="B886" s="1" t="s">
        <v>951</v>
      </c>
      <c r="C886" s="379">
        <v>5774666796</v>
      </c>
      <c r="D886" s="341" t="s">
        <v>897</v>
      </c>
      <c r="E886" s="367">
        <v>3.2</v>
      </c>
      <c r="F886" s="680"/>
      <c r="G886" s="29">
        <v>0</v>
      </c>
      <c r="H886" s="29">
        <v>15.116015418335726</v>
      </c>
      <c r="I886" s="29">
        <v>0</v>
      </c>
      <c r="J886" s="29">
        <v>0</v>
      </c>
      <c r="K886" s="29">
        <v>0</v>
      </c>
      <c r="L886" s="29">
        <v>0</v>
      </c>
      <c r="M886" s="29">
        <f t="shared" si="35"/>
        <v>15.116015418335726</v>
      </c>
    </row>
    <row r="887" spans="1:13" outlineLevel="2">
      <c r="A887" s="172">
        <v>46174</v>
      </c>
      <c r="B887" s="1" t="s">
        <v>951</v>
      </c>
      <c r="C887" s="379">
        <v>5774687656</v>
      </c>
      <c r="D887" s="341" t="s">
        <v>897</v>
      </c>
      <c r="E887" s="367">
        <v>1.6</v>
      </c>
      <c r="F887" s="680"/>
      <c r="G887" s="29">
        <v>0</v>
      </c>
      <c r="H887" s="29">
        <v>15.116015418335726</v>
      </c>
      <c r="I887" s="29">
        <v>0</v>
      </c>
      <c r="J887" s="29">
        <v>0</v>
      </c>
      <c r="K887" s="29">
        <v>0</v>
      </c>
      <c r="L887" s="29">
        <v>0</v>
      </c>
      <c r="M887" s="29">
        <f t="shared" si="35"/>
        <v>15.116015418335726</v>
      </c>
    </row>
    <row r="888" spans="1:13" outlineLevel="2">
      <c r="A888" s="172">
        <v>46174</v>
      </c>
      <c r="B888" s="1" t="s">
        <v>951</v>
      </c>
      <c r="C888" s="379">
        <v>5774728562</v>
      </c>
      <c r="D888" s="341" t="s">
        <v>897</v>
      </c>
      <c r="E888" s="367">
        <v>1</v>
      </c>
      <c r="F888" s="680"/>
      <c r="G888" s="29">
        <v>0</v>
      </c>
      <c r="H888" s="29">
        <v>15.116015418335726</v>
      </c>
      <c r="I888" s="29">
        <v>0</v>
      </c>
      <c r="J888" s="29">
        <v>0</v>
      </c>
      <c r="K888" s="29">
        <v>0</v>
      </c>
      <c r="L888" s="29">
        <v>0</v>
      </c>
      <c r="M888" s="29">
        <f t="shared" si="35"/>
        <v>15.116015418335726</v>
      </c>
    </row>
    <row r="889" spans="1:13" outlineLevel="2">
      <c r="A889" s="172">
        <v>46174</v>
      </c>
      <c r="B889" s="1" t="s">
        <v>951</v>
      </c>
      <c r="C889" s="379">
        <v>5774739541</v>
      </c>
      <c r="D889" s="341" t="s">
        <v>897</v>
      </c>
      <c r="E889" s="367">
        <v>3.3</v>
      </c>
      <c r="F889" s="680"/>
      <c r="G889" s="29">
        <v>0</v>
      </c>
      <c r="H889" s="29">
        <v>15.116015418335726</v>
      </c>
      <c r="I889" s="29">
        <v>0</v>
      </c>
      <c r="J889" s="29">
        <v>0</v>
      </c>
      <c r="K889" s="29">
        <v>0</v>
      </c>
      <c r="L889" s="29">
        <v>0</v>
      </c>
      <c r="M889" s="29">
        <f t="shared" si="35"/>
        <v>15.116015418335726</v>
      </c>
    </row>
    <row r="890" spans="1:13" outlineLevel="2">
      <c r="A890" s="172">
        <v>46174</v>
      </c>
      <c r="B890" s="1" t="s">
        <v>319</v>
      </c>
      <c r="C890" s="379">
        <v>6582773260</v>
      </c>
      <c r="D890" s="341" t="s">
        <v>897</v>
      </c>
      <c r="E890" s="367">
        <v>2</v>
      </c>
      <c r="F890" s="680"/>
      <c r="G890" s="29">
        <v>0</v>
      </c>
      <c r="H890" s="29">
        <v>15.116015418335726</v>
      </c>
      <c r="I890" s="29">
        <v>0</v>
      </c>
      <c r="J890" s="29">
        <v>0</v>
      </c>
      <c r="K890" s="29">
        <v>0</v>
      </c>
      <c r="L890" s="29">
        <v>0</v>
      </c>
      <c r="M890" s="29">
        <f t="shared" si="35"/>
        <v>15.116015418335726</v>
      </c>
    </row>
    <row r="891" spans="1:13" outlineLevel="2">
      <c r="A891" s="172">
        <v>46174</v>
      </c>
      <c r="B891" s="1" t="s">
        <v>956</v>
      </c>
      <c r="C891" s="379">
        <v>6897410575</v>
      </c>
      <c r="D891" s="341" t="s">
        <v>897</v>
      </c>
      <c r="E891" s="367">
        <v>39</v>
      </c>
      <c r="F891" s="680"/>
      <c r="G891" s="29">
        <v>0</v>
      </c>
      <c r="H891" s="29">
        <v>15.116015418335726</v>
      </c>
      <c r="I891" s="29">
        <v>239.97365425893733</v>
      </c>
      <c r="J891" s="29">
        <v>0</v>
      </c>
      <c r="K891" s="29">
        <v>0</v>
      </c>
      <c r="L891" s="29">
        <v>0</v>
      </c>
      <c r="M891" s="29">
        <f t="shared" si="35"/>
        <v>255.08966967727306</v>
      </c>
    </row>
    <row r="892" spans="1:13" outlineLevel="2">
      <c r="A892" s="172">
        <v>46174</v>
      </c>
      <c r="B892" s="1" t="s">
        <v>2497</v>
      </c>
      <c r="C892" s="379">
        <v>8266641935</v>
      </c>
      <c r="D892" s="341" t="s">
        <v>897</v>
      </c>
      <c r="E892" s="367">
        <v>50.5</v>
      </c>
      <c r="F892" s="680"/>
      <c r="G892" s="29">
        <v>0</v>
      </c>
      <c r="H892" s="29">
        <v>15.116015418335726</v>
      </c>
      <c r="I892" s="29">
        <v>0</v>
      </c>
      <c r="J892" s="29">
        <v>0</v>
      </c>
      <c r="K892" s="29">
        <v>0</v>
      </c>
      <c r="L892" s="29">
        <v>0</v>
      </c>
      <c r="M892" s="29">
        <f t="shared" si="35"/>
        <v>15.116015418335726</v>
      </c>
    </row>
    <row r="893" spans="1:13" outlineLevel="2">
      <c r="A893" s="172">
        <v>46174</v>
      </c>
      <c r="B893" s="1" t="s">
        <v>1988</v>
      </c>
      <c r="C893" s="379">
        <v>39341598101</v>
      </c>
      <c r="D893" s="341" t="s">
        <v>3074</v>
      </c>
      <c r="E893" s="367">
        <v>43.2</v>
      </c>
      <c r="F893" s="680"/>
      <c r="G893" s="29">
        <v>0</v>
      </c>
      <c r="H893" s="29">
        <v>15.116015418335726</v>
      </c>
      <c r="I893" s="29">
        <v>0</v>
      </c>
      <c r="J893" s="29">
        <v>0</v>
      </c>
      <c r="K893" s="29">
        <v>0</v>
      </c>
      <c r="L893" s="29">
        <v>0</v>
      </c>
      <c r="M893" s="29">
        <f t="shared" si="35"/>
        <v>15.116015418335726</v>
      </c>
    </row>
    <row r="894" spans="1:13" outlineLevel="2">
      <c r="A894" s="172">
        <v>46174</v>
      </c>
      <c r="B894" s="1" t="s">
        <v>944</v>
      </c>
      <c r="C894" s="379">
        <v>119209729929</v>
      </c>
      <c r="D894" s="341" t="s">
        <v>45</v>
      </c>
      <c r="E894" s="367">
        <v>0.8</v>
      </c>
      <c r="F894" s="680"/>
      <c r="G894" s="29">
        <v>0</v>
      </c>
      <c r="H894" s="29">
        <v>15.116015418335726</v>
      </c>
      <c r="I894" s="29">
        <v>0</v>
      </c>
      <c r="J894" s="29">
        <v>0</v>
      </c>
      <c r="K894" s="29">
        <v>0</v>
      </c>
      <c r="L894" s="29">
        <v>0</v>
      </c>
      <c r="M894" s="29">
        <f t="shared" si="35"/>
        <v>15.116015418335726</v>
      </c>
    </row>
    <row r="895" spans="1:13" outlineLevel="2">
      <c r="A895" s="172">
        <v>46174</v>
      </c>
      <c r="B895" s="1" t="s">
        <v>944</v>
      </c>
      <c r="C895" s="379">
        <v>119209733141</v>
      </c>
      <c r="D895" s="341" t="s">
        <v>45</v>
      </c>
      <c r="E895" s="367">
        <v>0.8</v>
      </c>
      <c r="F895" s="680"/>
      <c r="G895" s="29">
        <v>0</v>
      </c>
      <c r="H895" s="29">
        <v>15.116015418335726</v>
      </c>
      <c r="I895" s="29">
        <v>0</v>
      </c>
      <c r="J895" s="29">
        <v>0</v>
      </c>
      <c r="K895" s="29">
        <v>0</v>
      </c>
      <c r="L895" s="29">
        <v>0</v>
      </c>
      <c r="M895" s="29">
        <f t="shared" si="35"/>
        <v>15.116015418335726</v>
      </c>
    </row>
    <row r="896" spans="1:13" outlineLevel="2">
      <c r="A896" s="172">
        <v>46174</v>
      </c>
      <c r="B896" s="1" t="s">
        <v>944</v>
      </c>
      <c r="C896" s="379">
        <v>119209738268</v>
      </c>
      <c r="D896" s="341" t="s">
        <v>45</v>
      </c>
      <c r="E896" s="367">
        <v>14.9</v>
      </c>
      <c r="F896" s="680"/>
      <c r="G896" s="29">
        <v>0</v>
      </c>
      <c r="H896" s="29">
        <v>15.116015418335726</v>
      </c>
      <c r="I896" s="29">
        <v>0</v>
      </c>
      <c r="J896" s="29">
        <v>0</v>
      </c>
      <c r="K896" s="29">
        <v>0</v>
      </c>
      <c r="L896" s="29">
        <v>0</v>
      </c>
      <c r="M896" s="29">
        <f t="shared" si="35"/>
        <v>15.116015418335726</v>
      </c>
    </row>
    <row r="897" spans="1:13" outlineLevel="2">
      <c r="A897" s="172">
        <v>46174</v>
      </c>
      <c r="B897" s="1" t="s">
        <v>944</v>
      </c>
      <c r="C897" s="379">
        <v>119209747424</v>
      </c>
      <c r="D897" s="341" t="s">
        <v>45</v>
      </c>
      <c r="E897" s="367">
        <v>1.3</v>
      </c>
      <c r="F897" s="680"/>
      <c r="G897" s="29">
        <v>0</v>
      </c>
      <c r="H897" s="29">
        <v>15.116015418335726</v>
      </c>
      <c r="I897" s="29">
        <v>0</v>
      </c>
      <c r="J897" s="29">
        <v>0</v>
      </c>
      <c r="K897" s="29">
        <v>0</v>
      </c>
      <c r="L897" s="29">
        <v>0</v>
      </c>
      <c r="M897" s="29">
        <f t="shared" si="35"/>
        <v>15.116015418335726</v>
      </c>
    </row>
    <row r="898" spans="1:13" outlineLevel="2">
      <c r="A898" s="172">
        <v>46174</v>
      </c>
      <c r="B898" s="1" t="s">
        <v>944</v>
      </c>
      <c r="C898" s="379">
        <v>119209750328</v>
      </c>
      <c r="D898" s="341" t="s">
        <v>45</v>
      </c>
      <c r="E898" s="367">
        <v>5.8</v>
      </c>
      <c r="F898" s="680"/>
      <c r="G898" s="29">
        <v>0</v>
      </c>
      <c r="H898" s="29">
        <v>15.116015418335726</v>
      </c>
      <c r="I898" s="29">
        <v>0</v>
      </c>
      <c r="J898" s="29">
        <v>0</v>
      </c>
      <c r="K898" s="29">
        <v>0</v>
      </c>
      <c r="L898" s="29">
        <v>0</v>
      </c>
      <c r="M898" s="29">
        <f t="shared" si="35"/>
        <v>15.116015418335726</v>
      </c>
    </row>
    <row r="899" spans="1:13" outlineLevel="2">
      <c r="A899" s="172">
        <v>46174</v>
      </c>
      <c r="B899" s="1" t="s">
        <v>1702</v>
      </c>
      <c r="C899" s="379">
        <v>380817564887</v>
      </c>
      <c r="D899" s="341" t="s">
        <v>45</v>
      </c>
      <c r="E899" s="367">
        <v>8.1999999999999993</v>
      </c>
      <c r="F899" s="680"/>
      <c r="G899" s="29">
        <v>0</v>
      </c>
      <c r="H899" s="29">
        <v>15.116015418335726</v>
      </c>
      <c r="I899" s="29">
        <v>0</v>
      </c>
      <c r="J899" s="29">
        <v>0</v>
      </c>
      <c r="K899" s="29">
        <v>0</v>
      </c>
      <c r="L899" s="29">
        <v>0</v>
      </c>
      <c r="M899" s="29">
        <f t="shared" si="35"/>
        <v>15.116015418335726</v>
      </c>
    </row>
    <row r="900" spans="1:13" outlineLevel="2">
      <c r="A900" s="172">
        <v>46174</v>
      </c>
      <c r="B900" s="1" t="s">
        <v>2446</v>
      </c>
      <c r="C900" s="379">
        <v>380995720630</v>
      </c>
      <c r="D900" s="341" t="s">
        <v>45</v>
      </c>
      <c r="E900" s="367">
        <v>2.2000000000000002</v>
      </c>
      <c r="F900" s="680"/>
      <c r="G900" s="29">
        <v>0</v>
      </c>
      <c r="H900" s="29">
        <v>15.116015418335726</v>
      </c>
      <c r="I900" s="29">
        <v>0</v>
      </c>
      <c r="J900" s="29">
        <v>0</v>
      </c>
      <c r="K900" s="29">
        <v>0</v>
      </c>
      <c r="L900" s="29">
        <v>0</v>
      </c>
      <c r="M900" s="29">
        <f t="shared" si="35"/>
        <v>15.116015418335726</v>
      </c>
    </row>
    <row r="901" spans="1:13" outlineLevel="2">
      <c r="A901" s="172">
        <v>46174</v>
      </c>
      <c r="B901" s="1" t="s">
        <v>1605</v>
      </c>
      <c r="C901" s="379">
        <v>381352210471</v>
      </c>
      <c r="D901" s="341" t="s">
        <v>655</v>
      </c>
      <c r="E901" s="367">
        <v>2</v>
      </c>
      <c r="F901" s="680"/>
      <c r="G901" s="29">
        <v>0</v>
      </c>
      <c r="H901" s="29">
        <v>15.116015418335726</v>
      </c>
      <c r="I901" s="29">
        <v>26.73097271559217</v>
      </c>
      <c r="J901" s="29">
        <v>0</v>
      </c>
      <c r="K901" s="29">
        <v>0</v>
      </c>
      <c r="L901" s="29">
        <v>0</v>
      </c>
      <c r="M901" s="29">
        <f t="shared" si="35"/>
        <v>41.846988133927894</v>
      </c>
    </row>
    <row r="902" spans="1:13" outlineLevel="2">
      <c r="A902" s="172">
        <v>46174</v>
      </c>
      <c r="B902" s="1" t="s">
        <v>974</v>
      </c>
      <c r="C902" s="379">
        <v>381471618942</v>
      </c>
      <c r="D902" s="341" t="s">
        <v>655</v>
      </c>
      <c r="E902" s="367">
        <v>2.6</v>
      </c>
      <c r="F902" s="680"/>
      <c r="G902" s="29">
        <v>0</v>
      </c>
      <c r="H902" s="29">
        <v>0</v>
      </c>
      <c r="I902" s="29">
        <v>42.933489532159321</v>
      </c>
      <c r="J902" s="29">
        <v>0</v>
      </c>
      <c r="K902" s="29">
        <v>0</v>
      </c>
      <c r="L902" s="29">
        <v>0</v>
      </c>
      <c r="M902" s="29">
        <f t="shared" si="35"/>
        <v>42.933489532159321</v>
      </c>
    </row>
    <row r="903" spans="1:13" outlineLevel="2">
      <c r="A903" s="172">
        <v>46174</v>
      </c>
      <c r="B903" s="1" t="s">
        <v>974</v>
      </c>
      <c r="C903" s="379">
        <v>381501224770</v>
      </c>
      <c r="D903" s="341" t="s">
        <v>655</v>
      </c>
      <c r="E903" s="367">
        <v>6.3</v>
      </c>
      <c r="F903" s="680"/>
      <c r="G903" s="29">
        <v>0</v>
      </c>
      <c r="H903" s="29">
        <v>15.116015418335726</v>
      </c>
      <c r="I903" s="29">
        <v>59.195261129166354</v>
      </c>
      <c r="J903" s="29">
        <v>0</v>
      </c>
      <c r="K903" s="29">
        <v>0</v>
      </c>
      <c r="L903" s="29">
        <v>0</v>
      </c>
      <c r="M903" s="29">
        <f t="shared" si="35"/>
        <v>74.311276547502075</v>
      </c>
    </row>
    <row r="904" spans="1:13" outlineLevel="2">
      <c r="A904" s="172">
        <v>46174</v>
      </c>
      <c r="B904" s="1" t="s">
        <v>1605</v>
      </c>
      <c r="C904" s="379">
        <v>381526009264</v>
      </c>
      <c r="D904" s="341" t="s">
        <v>655</v>
      </c>
      <c r="E904" s="367">
        <v>2</v>
      </c>
      <c r="F904" s="680"/>
      <c r="G904" s="29">
        <v>0</v>
      </c>
      <c r="H904" s="29">
        <v>15.116015418335726</v>
      </c>
      <c r="I904" s="29">
        <v>26.957486206635931</v>
      </c>
      <c r="J904" s="29">
        <v>0</v>
      </c>
      <c r="K904" s="29">
        <v>0</v>
      </c>
      <c r="L904" s="29">
        <v>0</v>
      </c>
      <c r="M904" s="29">
        <f t="shared" si="35"/>
        <v>42.073501624971655</v>
      </c>
    </row>
    <row r="905" spans="1:13" outlineLevel="2">
      <c r="A905" s="172">
        <v>46174</v>
      </c>
      <c r="B905" s="1" t="s">
        <v>974</v>
      </c>
      <c r="C905" s="379">
        <v>381633142753</v>
      </c>
      <c r="D905" s="341" t="s">
        <v>655</v>
      </c>
      <c r="E905" s="367">
        <v>2.6</v>
      </c>
      <c r="F905" s="680"/>
      <c r="G905" s="29">
        <v>0</v>
      </c>
      <c r="H905" s="29">
        <v>15.116015418335726</v>
      </c>
      <c r="I905" s="29">
        <v>43.13517496787847</v>
      </c>
      <c r="J905" s="29">
        <v>0</v>
      </c>
      <c r="K905" s="29">
        <v>0</v>
      </c>
      <c r="L905" s="29">
        <v>0</v>
      </c>
      <c r="M905" s="29">
        <f t="shared" si="35"/>
        <v>58.251190386214198</v>
      </c>
    </row>
    <row r="906" spans="1:13" outlineLevel="2">
      <c r="A906" s="172">
        <v>46174</v>
      </c>
      <c r="B906" s="1" t="s">
        <v>804</v>
      </c>
      <c r="C906" s="379">
        <v>381660504209</v>
      </c>
      <c r="D906" s="341" t="s">
        <v>655</v>
      </c>
      <c r="E906" s="367">
        <v>11.5</v>
      </c>
      <c r="F906" s="680"/>
      <c r="G906" s="29">
        <v>0</v>
      </c>
      <c r="H906" s="29">
        <v>15.116015418335726</v>
      </c>
      <c r="I906" s="29">
        <v>46.720807195223337</v>
      </c>
      <c r="J906" s="29">
        <v>0</v>
      </c>
      <c r="K906" s="29">
        <v>0</v>
      </c>
      <c r="L906" s="29">
        <v>0</v>
      </c>
      <c r="M906" s="29">
        <f t="shared" si="35"/>
        <v>61.836822613559065</v>
      </c>
    </row>
    <row r="907" spans="1:13" outlineLevel="2">
      <c r="A907" s="172">
        <v>46174</v>
      </c>
      <c r="B907" s="1" t="s">
        <v>804</v>
      </c>
      <c r="C907" s="379">
        <v>381664000889</v>
      </c>
      <c r="D907" s="341" t="s">
        <v>655</v>
      </c>
      <c r="E907" s="367">
        <v>27.7</v>
      </c>
      <c r="F907" s="680"/>
      <c r="G907" s="29">
        <v>0</v>
      </c>
      <c r="H907" s="29">
        <v>15.116015418335726</v>
      </c>
      <c r="I907" s="29">
        <v>86.582004383644474</v>
      </c>
      <c r="J907" s="29">
        <v>0</v>
      </c>
      <c r="K907" s="29">
        <v>0</v>
      </c>
      <c r="L907" s="29">
        <v>0</v>
      </c>
      <c r="M907" s="29">
        <f t="shared" si="35"/>
        <v>101.69801980198019</v>
      </c>
    </row>
    <row r="908" spans="1:13" outlineLevel="2">
      <c r="A908" s="172">
        <v>46174</v>
      </c>
      <c r="B908" s="1" t="s">
        <v>802</v>
      </c>
      <c r="C908" s="379">
        <v>381669260252</v>
      </c>
      <c r="D908" s="341" t="s">
        <v>655</v>
      </c>
      <c r="E908" s="367">
        <v>1.1000000000000001</v>
      </c>
      <c r="F908" s="680"/>
      <c r="G908" s="29">
        <v>0</v>
      </c>
      <c r="H908" s="29">
        <v>15.116015418335726</v>
      </c>
      <c r="I908" s="29">
        <v>21.403144131207014</v>
      </c>
      <c r="J908" s="29">
        <v>0</v>
      </c>
      <c r="K908" s="29">
        <v>0</v>
      </c>
      <c r="L908" s="29">
        <v>0</v>
      </c>
      <c r="M908" s="29">
        <f t="shared" si="35"/>
        <v>36.519159549542742</v>
      </c>
    </row>
    <row r="909" spans="1:13" outlineLevel="2">
      <c r="A909" s="172">
        <v>46174</v>
      </c>
      <c r="B909" s="1" t="s">
        <v>974</v>
      </c>
      <c r="C909" s="379">
        <v>381794684335</v>
      </c>
      <c r="D909" s="341" t="s">
        <v>655</v>
      </c>
      <c r="E909" s="367">
        <v>8.8000000000000007</v>
      </c>
      <c r="F909" s="680"/>
      <c r="G909" s="29">
        <v>0</v>
      </c>
      <c r="H909" s="29">
        <v>15.116015418335726</v>
      </c>
      <c r="I909" s="29">
        <v>69.321971128410553</v>
      </c>
      <c r="J909" s="29">
        <v>0</v>
      </c>
      <c r="K909" s="29">
        <v>0</v>
      </c>
      <c r="L909" s="29">
        <v>0</v>
      </c>
      <c r="M909" s="29">
        <f t="shared" si="35"/>
        <v>84.437986546746274</v>
      </c>
    </row>
    <row r="910" spans="1:13" outlineLevel="2">
      <c r="A910" s="172">
        <v>46174</v>
      </c>
      <c r="B910" s="1" t="s">
        <v>1605</v>
      </c>
      <c r="C910" s="379">
        <v>381795282566</v>
      </c>
      <c r="D910" s="341" t="s">
        <v>655</v>
      </c>
      <c r="E910" s="367">
        <v>6</v>
      </c>
      <c r="F910" s="680"/>
      <c r="G910" s="29">
        <v>0</v>
      </c>
      <c r="H910" s="29">
        <v>15.116015418335726</v>
      </c>
      <c r="I910" s="29">
        <v>41.193522787393242</v>
      </c>
      <c r="J910" s="29">
        <v>0</v>
      </c>
      <c r="K910" s="29">
        <v>0</v>
      </c>
      <c r="L910" s="29">
        <v>0</v>
      </c>
      <c r="M910" s="29">
        <f t="shared" si="35"/>
        <v>56.30953820572897</v>
      </c>
    </row>
    <row r="911" spans="1:13" outlineLevel="2">
      <c r="A911" s="172">
        <v>46174</v>
      </c>
      <c r="B911" s="1" t="s">
        <v>804</v>
      </c>
      <c r="C911" s="379">
        <v>381821868217</v>
      </c>
      <c r="D911" s="341" t="s">
        <v>655</v>
      </c>
      <c r="E911" s="367">
        <v>7.8</v>
      </c>
      <c r="F911" s="680"/>
      <c r="G911" s="29">
        <v>0</v>
      </c>
      <c r="H911" s="29">
        <v>15.116015418335726</v>
      </c>
      <c r="I911" s="29">
        <v>41.739173153956614</v>
      </c>
      <c r="J911" s="29">
        <v>0</v>
      </c>
      <c r="K911" s="29">
        <v>0</v>
      </c>
      <c r="L911" s="29">
        <v>0</v>
      </c>
      <c r="M911" s="29">
        <f t="shared" si="35"/>
        <v>56.855188572292342</v>
      </c>
    </row>
    <row r="912" spans="1:13" outlineLevel="2">
      <c r="A912" s="172">
        <v>46174</v>
      </c>
      <c r="B912" s="1" t="s">
        <v>804</v>
      </c>
      <c r="C912" s="379">
        <v>381895018874</v>
      </c>
      <c r="D912" s="341" t="s">
        <v>655</v>
      </c>
      <c r="E912" s="367">
        <v>3.4</v>
      </c>
      <c r="F912" s="680"/>
      <c r="G912" s="29">
        <v>0</v>
      </c>
      <c r="H912" s="29">
        <v>15.116015418335726</v>
      </c>
      <c r="I912" s="29">
        <v>25.591678633512206</v>
      </c>
      <c r="J912" s="29">
        <v>0</v>
      </c>
      <c r="K912" s="29">
        <v>0</v>
      </c>
      <c r="L912" s="29">
        <v>0</v>
      </c>
      <c r="M912" s="29">
        <f t="shared" si="35"/>
        <v>40.70769405184793</v>
      </c>
    </row>
    <row r="913" spans="1:13" outlineLevel="2">
      <c r="A913" s="172">
        <v>46174</v>
      </c>
      <c r="B913" s="1" t="s">
        <v>804</v>
      </c>
      <c r="C913" s="379">
        <v>381897161090</v>
      </c>
      <c r="D913" s="341" t="s">
        <v>655</v>
      </c>
      <c r="E913" s="367">
        <v>1.4</v>
      </c>
      <c r="F913" s="680"/>
      <c r="G913" s="29">
        <v>0</v>
      </c>
      <c r="H913" s="29">
        <v>15.116015418335726</v>
      </c>
      <c r="I913" s="29">
        <v>16.951742120776963</v>
      </c>
      <c r="J913" s="29">
        <v>0</v>
      </c>
      <c r="K913" s="29">
        <v>0</v>
      </c>
      <c r="L913" s="29">
        <v>0</v>
      </c>
      <c r="M913" s="29">
        <f t="shared" si="35"/>
        <v>32.067757539112691</v>
      </c>
    </row>
    <row r="914" spans="1:13" outlineLevel="2">
      <c r="A914" s="172">
        <v>46174</v>
      </c>
      <c r="B914" s="1" t="s">
        <v>804</v>
      </c>
      <c r="C914" s="379">
        <v>381950432431</v>
      </c>
      <c r="D914" s="341" t="s">
        <v>655</v>
      </c>
      <c r="E914" s="367">
        <v>15.6</v>
      </c>
      <c r="F914" s="680"/>
      <c r="G914" s="29">
        <v>0</v>
      </c>
      <c r="H914" s="29">
        <v>15.116015418335726</v>
      </c>
      <c r="I914" s="29">
        <v>56.568362179729426</v>
      </c>
      <c r="J914" s="29">
        <v>0</v>
      </c>
      <c r="K914" s="29">
        <v>0</v>
      </c>
      <c r="L914" s="29">
        <v>0</v>
      </c>
      <c r="M914" s="29">
        <f t="shared" si="35"/>
        <v>71.684377598065154</v>
      </c>
    </row>
    <row r="915" spans="1:13" outlineLevel="2">
      <c r="A915" s="172">
        <v>46174</v>
      </c>
      <c r="B915" s="1" t="s">
        <v>804</v>
      </c>
      <c r="C915" s="379">
        <v>382006139168</v>
      </c>
      <c r="D915" s="341" t="s">
        <v>655</v>
      </c>
      <c r="E915" s="367">
        <v>12.2</v>
      </c>
      <c r="F915" s="680"/>
      <c r="G915" s="29">
        <v>0</v>
      </c>
      <c r="H915" s="29">
        <v>15.116015418335726</v>
      </c>
      <c r="I915" s="29">
        <v>50.336822613559065</v>
      </c>
      <c r="J915" s="29">
        <v>0</v>
      </c>
      <c r="K915" s="29">
        <v>0</v>
      </c>
      <c r="L915" s="29">
        <v>0</v>
      </c>
      <c r="M915" s="29">
        <f t="shared" si="35"/>
        <v>65.452838031894785</v>
      </c>
    </row>
    <row r="916" spans="1:13" outlineLevel="2">
      <c r="A916" s="172">
        <v>46174</v>
      </c>
      <c r="B916" s="1" t="s">
        <v>974</v>
      </c>
      <c r="C916" s="379">
        <v>382048162769</v>
      </c>
      <c r="D916" s="341" t="s">
        <v>655</v>
      </c>
      <c r="E916" s="367">
        <v>3</v>
      </c>
      <c r="F916" s="680"/>
      <c r="G916" s="29">
        <v>0</v>
      </c>
      <c r="H916" s="29">
        <v>15.116015418335726</v>
      </c>
      <c r="I916" s="29">
        <v>41.577658529211696</v>
      </c>
      <c r="J916" s="29">
        <v>0</v>
      </c>
      <c r="K916" s="29">
        <v>0</v>
      </c>
      <c r="L916" s="29">
        <v>0</v>
      </c>
      <c r="M916" s="29">
        <f t="shared" si="35"/>
        <v>56.693673947547424</v>
      </c>
    </row>
    <row r="917" spans="1:13" outlineLevel="2">
      <c r="A917" s="172">
        <v>46174</v>
      </c>
      <c r="B917" s="1" t="s">
        <v>804</v>
      </c>
      <c r="C917" s="379">
        <v>382085402744</v>
      </c>
      <c r="D917" s="341" t="s">
        <v>655</v>
      </c>
      <c r="E917" s="367">
        <v>3.4</v>
      </c>
      <c r="F917" s="680"/>
      <c r="G917" s="29">
        <v>0</v>
      </c>
      <c r="H917" s="29">
        <v>15.116015418335726</v>
      </c>
      <c r="I917" s="29">
        <v>25.681505555135665</v>
      </c>
      <c r="J917" s="29">
        <v>0</v>
      </c>
      <c r="K917" s="29">
        <v>0</v>
      </c>
      <c r="L917" s="29">
        <v>0</v>
      </c>
      <c r="M917" s="29">
        <f t="shared" si="35"/>
        <v>40.797520973471393</v>
      </c>
    </row>
    <row r="918" spans="1:13" outlineLevel="2">
      <c r="A918" s="172">
        <v>46174</v>
      </c>
      <c r="B918" s="1" t="s">
        <v>804</v>
      </c>
      <c r="C918" s="379">
        <v>382102213488</v>
      </c>
      <c r="D918" s="341" t="s">
        <v>655</v>
      </c>
      <c r="E918" s="367">
        <v>6.8</v>
      </c>
      <c r="F918" s="680"/>
      <c r="G918" s="29">
        <v>0</v>
      </c>
      <c r="H918" s="29">
        <v>15.116015418335726</v>
      </c>
      <c r="I918" s="29">
        <v>37.330587257198999</v>
      </c>
      <c r="J918" s="29">
        <v>0</v>
      </c>
      <c r="K918" s="29">
        <v>0</v>
      </c>
      <c r="L918" s="29">
        <v>0</v>
      </c>
      <c r="M918" s="29">
        <f t="shared" si="35"/>
        <v>52.446602675534727</v>
      </c>
    </row>
    <row r="919" spans="1:13" outlineLevel="2">
      <c r="A919" s="172">
        <v>46174</v>
      </c>
      <c r="B919" s="1" t="s">
        <v>2326</v>
      </c>
      <c r="C919" s="379">
        <v>382125005305</v>
      </c>
      <c r="D919" s="341" t="s">
        <v>45</v>
      </c>
      <c r="E919" s="367">
        <v>2.2000000000000002</v>
      </c>
      <c r="F919" s="680"/>
      <c r="G919" s="29">
        <v>0</v>
      </c>
      <c r="H919" s="29">
        <v>15.116015418335726</v>
      </c>
      <c r="I919" s="29">
        <v>0</v>
      </c>
      <c r="J919" s="29">
        <v>0</v>
      </c>
      <c r="K919" s="29">
        <v>0</v>
      </c>
      <c r="L919" s="29">
        <v>0</v>
      </c>
      <c r="M919" s="29">
        <f t="shared" si="35"/>
        <v>15.116015418335726</v>
      </c>
    </row>
    <row r="920" spans="1:13" outlineLevel="2">
      <c r="A920" s="172">
        <v>46174</v>
      </c>
      <c r="B920" s="1" t="s">
        <v>2359</v>
      </c>
      <c r="C920" s="379">
        <v>382125059463</v>
      </c>
      <c r="D920" s="341" t="s">
        <v>45</v>
      </c>
      <c r="E920" s="367">
        <v>1.3</v>
      </c>
      <c r="F920" s="680"/>
      <c r="G920" s="29">
        <v>0</v>
      </c>
      <c r="H920" s="29">
        <v>15.116015418335726</v>
      </c>
      <c r="I920" s="29">
        <v>0</v>
      </c>
      <c r="J920" s="29">
        <v>0</v>
      </c>
      <c r="K920" s="29">
        <v>0</v>
      </c>
      <c r="L920" s="29">
        <v>0</v>
      </c>
      <c r="M920" s="29">
        <f t="shared" si="35"/>
        <v>15.116015418335726</v>
      </c>
    </row>
    <row r="921" spans="1:13" outlineLevel="2">
      <c r="A921" s="172">
        <v>46174</v>
      </c>
      <c r="B921" s="1" t="s">
        <v>1702</v>
      </c>
      <c r="C921" s="379">
        <v>382145649953</v>
      </c>
      <c r="D921" s="341" t="s">
        <v>45</v>
      </c>
      <c r="E921" s="367">
        <v>3.4</v>
      </c>
      <c r="F921" s="680"/>
      <c r="G921" s="29">
        <v>0</v>
      </c>
      <c r="H921" s="29">
        <v>15.116015418335726</v>
      </c>
      <c r="I921" s="29">
        <v>0</v>
      </c>
      <c r="J921" s="29">
        <v>0</v>
      </c>
      <c r="K921" s="29">
        <v>0</v>
      </c>
      <c r="L921" s="29">
        <v>0</v>
      </c>
      <c r="M921" s="29">
        <f t="shared" si="35"/>
        <v>15.116015418335726</v>
      </c>
    </row>
    <row r="922" spans="1:13" outlineLevel="2">
      <c r="A922" s="172">
        <v>46174</v>
      </c>
      <c r="B922" s="1" t="s">
        <v>2446</v>
      </c>
      <c r="C922" s="379">
        <v>382151561475</v>
      </c>
      <c r="D922" s="341" t="s">
        <v>45</v>
      </c>
      <c r="E922" s="367">
        <v>0.5</v>
      </c>
      <c r="F922" s="680"/>
      <c r="G922" s="29">
        <v>0</v>
      </c>
      <c r="H922" s="29">
        <v>15.116015418335726</v>
      </c>
      <c r="I922" s="29">
        <v>0</v>
      </c>
      <c r="J922" s="29">
        <v>0</v>
      </c>
      <c r="K922" s="29">
        <v>0</v>
      </c>
      <c r="L922" s="29">
        <v>0</v>
      </c>
      <c r="M922" s="29">
        <f t="shared" si="35"/>
        <v>15.116015418335726</v>
      </c>
    </row>
    <row r="923" spans="1:13" outlineLevel="2">
      <c r="A923" s="172">
        <v>46174</v>
      </c>
      <c r="B923" s="1" t="s">
        <v>956</v>
      </c>
      <c r="C923" s="379">
        <v>471797732077</v>
      </c>
      <c r="D923" s="341" t="s">
        <v>655</v>
      </c>
      <c r="E923" s="367">
        <v>17.600000000000001</v>
      </c>
      <c r="F923" s="680"/>
      <c r="G923" s="29">
        <v>0</v>
      </c>
      <c r="H923" s="29">
        <v>15.116015418335726</v>
      </c>
      <c r="I923" s="29">
        <v>58.974869624367017</v>
      </c>
      <c r="J923" s="29">
        <v>0</v>
      </c>
      <c r="K923" s="29">
        <v>0</v>
      </c>
      <c r="L923" s="29">
        <v>0</v>
      </c>
      <c r="M923" s="29">
        <f t="shared" si="35"/>
        <v>74.090885042702737</v>
      </c>
    </row>
    <row r="924" spans="1:13" outlineLevel="2">
      <c r="A924" s="172">
        <v>46174</v>
      </c>
      <c r="B924" s="1" t="s">
        <v>372</v>
      </c>
      <c r="C924" s="379">
        <v>472187366030</v>
      </c>
      <c r="D924" s="341" t="s">
        <v>655</v>
      </c>
      <c r="E924" s="367">
        <v>10.9</v>
      </c>
      <c r="F924" s="680"/>
      <c r="G924" s="29">
        <v>0</v>
      </c>
      <c r="H924" s="29">
        <v>15.116015418335726</v>
      </c>
      <c r="I924" s="29">
        <v>46.158415841584159</v>
      </c>
      <c r="J924" s="29">
        <v>0</v>
      </c>
      <c r="K924" s="29">
        <v>0</v>
      </c>
      <c r="L924" s="29">
        <v>0</v>
      </c>
      <c r="M924" s="29">
        <f t="shared" ref="M924:M987" si="37">SUM(G924:L924)</f>
        <v>61.274431259919886</v>
      </c>
    </row>
    <row r="925" spans="1:13" outlineLevel="2">
      <c r="A925" s="172">
        <v>46174</v>
      </c>
      <c r="B925" s="1" t="s">
        <v>110</v>
      </c>
      <c r="C925" s="379">
        <v>483570646749</v>
      </c>
      <c r="D925" s="341" t="s">
        <v>45</v>
      </c>
      <c r="E925" s="367">
        <v>4.0999999999999996</v>
      </c>
      <c r="F925" s="680"/>
      <c r="G925" s="29">
        <v>0</v>
      </c>
      <c r="H925" s="29">
        <v>15.116015418335726</v>
      </c>
      <c r="I925" s="29">
        <v>0</v>
      </c>
      <c r="J925" s="29">
        <v>0</v>
      </c>
      <c r="K925" s="29">
        <v>0</v>
      </c>
      <c r="L925" s="29">
        <v>0</v>
      </c>
      <c r="M925" s="29">
        <f t="shared" si="37"/>
        <v>15.116015418335726</v>
      </c>
    </row>
    <row r="926" spans="1:13" outlineLevel="2">
      <c r="A926" s="172">
        <v>46174</v>
      </c>
      <c r="B926" s="1" t="s">
        <v>110</v>
      </c>
      <c r="C926" s="379">
        <v>483570647219</v>
      </c>
      <c r="D926" s="341" t="s">
        <v>45</v>
      </c>
      <c r="E926" s="367">
        <v>6.6</v>
      </c>
      <c r="F926" s="680"/>
      <c r="G926" s="29">
        <v>0</v>
      </c>
      <c r="H926" s="29">
        <v>15.116015418335726</v>
      </c>
      <c r="I926" s="29">
        <v>0</v>
      </c>
      <c r="J926" s="29">
        <v>0</v>
      </c>
      <c r="K926" s="29">
        <v>0</v>
      </c>
      <c r="L926" s="29">
        <v>0</v>
      </c>
      <c r="M926" s="29">
        <f t="shared" si="37"/>
        <v>15.116015418335726</v>
      </c>
    </row>
    <row r="927" spans="1:13" outlineLevel="2">
      <c r="A927" s="172">
        <v>46174</v>
      </c>
      <c r="B927" s="1" t="s">
        <v>2164</v>
      </c>
      <c r="C927" s="379">
        <v>486261304420</v>
      </c>
      <c r="D927" s="341" t="s">
        <v>655</v>
      </c>
      <c r="E927" s="367">
        <v>64.3</v>
      </c>
      <c r="F927" s="680"/>
      <c r="G927" s="29">
        <v>0</v>
      </c>
      <c r="H927" s="29">
        <v>15.116015418335726</v>
      </c>
      <c r="I927" s="29">
        <v>218.72046708487642</v>
      </c>
      <c r="J927" s="29">
        <v>0</v>
      </c>
      <c r="K927" s="29">
        <v>0</v>
      </c>
      <c r="L927" s="29">
        <v>0</v>
      </c>
      <c r="M927" s="29">
        <f t="shared" si="37"/>
        <v>233.83648250321215</v>
      </c>
    </row>
    <row r="928" spans="1:13" outlineLevel="2">
      <c r="A928" s="172">
        <v>46174</v>
      </c>
      <c r="B928" s="1" t="s">
        <v>2851</v>
      </c>
      <c r="C928" s="379">
        <v>489101292961</v>
      </c>
      <c r="D928" s="341" t="s">
        <v>45</v>
      </c>
      <c r="E928" s="367">
        <v>1.7</v>
      </c>
      <c r="F928" s="680"/>
      <c r="G928" s="29">
        <v>0</v>
      </c>
      <c r="H928" s="29">
        <v>15.116015418335726</v>
      </c>
      <c r="I928" s="29">
        <v>0</v>
      </c>
      <c r="J928" s="29">
        <v>0</v>
      </c>
      <c r="K928" s="29">
        <v>0</v>
      </c>
      <c r="L928" s="29">
        <v>0</v>
      </c>
      <c r="M928" s="29">
        <f t="shared" si="37"/>
        <v>15.116015418335726</v>
      </c>
    </row>
    <row r="929" spans="1:13" outlineLevel="2">
      <c r="A929" s="172">
        <v>46174</v>
      </c>
      <c r="B929" s="1" t="s">
        <v>968</v>
      </c>
      <c r="C929" s="379">
        <v>492830076023</v>
      </c>
      <c r="D929" s="341" t="s">
        <v>45</v>
      </c>
      <c r="E929" s="367">
        <v>0.5</v>
      </c>
      <c r="F929" s="680"/>
      <c r="G929" s="29">
        <v>0</v>
      </c>
      <c r="H929" s="29">
        <v>15.116015418335726</v>
      </c>
      <c r="I929" s="29">
        <v>0</v>
      </c>
      <c r="J929" s="29">
        <v>0</v>
      </c>
      <c r="K929" s="29">
        <v>0</v>
      </c>
      <c r="L929" s="29">
        <v>0</v>
      </c>
      <c r="M929" s="29">
        <f t="shared" si="37"/>
        <v>15.116015418335726</v>
      </c>
    </row>
    <row r="930" spans="1:13" outlineLevel="2">
      <c r="A930" s="172">
        <v>46174</v>
      </c>
      <c r="B930" s="1" t="s">
        <v>945</v>
      </c>
      <c r="C930" s="379">
        <v>500292642275</v>
      </c>
      <c r="D930" s="341" t="s">
        <v>45</v>
      </c>
      <c r="E930" s="367">
        <v>0.9</v>
      </c>
      <c r="F930" s="680"/>
      <c r="G930" s="29">
        <v>0</v>
      </c>
      <c r="H930" s="29">
        <v>15.116015418335726</v>
      </c>
      <c r="I930" s="29">
        <v>0</v>
      </c>
      <c r="J930" s="29">
        <v>0</v>
      </c>
      <c r="K930" s="29">
        <v>0</v>
      </c>
      <c r="L930" s="29">
        <v>0</v>
      </c>
      <c r="M930" s="29">
        <f t="shared" si="37"/>
        <v>15.116015418335726</v>
      </c>
    </row>
    <row r="931" spans="1:13" outlineLevel="2">
      <c r="A931" s="172">
        <v>46174</v>
      </c>
      <c r="B931" s="1" t="s">
        <v>945</v>
      </c>
      <c r="C931" s="379">
        <v>500292660572</v>
      </c>
      <c r="D931" s="341" t="s">
        <v>45</v>
      </c>
      <c r="E931" s="367">
        <v>0.6</v>
      </c>
      <c r="F931" s="680"/>
      <c r="G931" s="29">
        <v>0</v>
      </c>
      <c r="H931" s="29">
        <v>15.116015418335726</v>
      </c>
      <c r="I931" s="29">
        <v>0</v>
      </c>
      <c r="J931" s="29">
        <v>0</v>
      </c>
      <c r="K931" s="29">
        <v>0</v>
      </c>
      <c r="L931" s="29">
        <v>0</v>
      </c>
      <c r="M931" s="29">
        <f t="shared" si="37"/>
        <v>15.116015418335726</v>
      </c>
    </row>
    <row r="932" spans="1:13" outlineLevel="2">
      <c r="A932" s="172">
        <v>46174</v>
      </c>
      <c r="B932" s="1" t="s">
        <v>945</v>
      </c>
      <c r="C932" s="379">
        <v>500292661329</v>
      </c>
      <c r="D932" s="341" t="s">
        <v>45</v>
      </c>
      <c r="E932" s="367">
        <v>0.9</v>
      </c>
      <c r="F932" s="680"/>
      <c r="G932" s="29">
        <v>0</v>
      </c>
      <c r="H932" s="29">
        <v>15.116015418335726</v>
      </c>
      <c r="I932" s="29">
        <v>0</v>
      </c>
      <c r="J932" s="29">
        <v>0</v>
      </c>
      <c r="K932" s="29">
        <v>0</v>
      </c>
      <c r="L932" s="29">
        <v>0</v>
      </c>
      <c r="M932" s="29">
        <f t="shared" si="37"/>
        <v>15.116015418335726</v>
      </c>
    </row>
    <row r="933" spans="1:13" outlineLevel="2">
      <c r="A933" s="172">
        <v>46174</v>
      </c>
      <c r="B933" s="1" t="s">
        <v>945</v>
      </c>
      <c r="C933" s="379">
        <v>500292661362</v>
      </c>
      <c r="D933" s="341" t="s">
        <v>45</v>
      </c>
      <c r="E933" s="367">
        <v>0.5</v>
      </c>
      <c r="F933" s="680"/>
      <c r="G933" s="29">
        <v>0</v>
      </c>
      <c r="H933" s="29">
        <v>15.116015418335726</v>
      </c>
      <c r="I933" s="29">
        <v>0</v>
      </c>
      <c r="J933" s="29">
        <v>0</v>
      </c>
      <c r="K933" s="29">
        <v>0</v>
      </c>
      <c r="L933" s="29">
        <v>0</v>
      </c>
      <c r="M933" s="29">
        <f t="shared" si="37"/>
        <v>15.116015418335726</v>
      </c>
    </row>
    <row r="934" spans="1:13" outlineLevel="2">
      <c r="A934" s="172">
        <v>46174</v>
      </c>
      <c r="B934" s="1" t="s">
        <v>945</v>
      </c>
      <c r="C934" s="379">
        <v>500292661395</v>
      </c>
      <c r="D934" s="341" t="s">
        <v>45</v>
      </c>
      <c r="E934" s="367">
        <v>0.5</v>
      </c>
      <c r="F934" s="680"/>
      <c r="G934" s="29">
        <v>0</v>
      </c>
      <c r="H934" s="29">
        <v>15.116015418335726</v>
      </c>
      <c r="I934" s="29">
        <v>0</v>
      </c>
      <c r="J934" s="29">
        <v>0</v>
      </c>
      <c r="K934" s="29">
        <v>0</v>
      </c>
      <c r="L934" s="29">
        <v>0</v>
      </c>
      <c r="M934" s="29">
        <f t="shared" si="37"/>
        <v>15.116015418335726</v>
      </c>
    </row>
    <row r="935" spans="1:13" outlineLevel="2">
      <c r="A935" s="172">
        <v>46174</v>
      </c>
      <c r="B935" s="1" t="s">
        <v>945</v>
      </c>
      <c r="C935" s="379">
        <v>500292664020</v>
      </c>
      <c r="D935" s="341" t="s">
        <v>45</v>
      </c>
      <c r="E935" s="367">
        <v>0.5</v>
      </c>
      <c r="F935" s="680"/>
      <c r="G935" s="29">
        <v>0</v>
      </c>
      <c r="H935" s="29">
        <v>15.116015418335726</v>
      </c>
      <c r="I935" s="29">
        <v>0</v>
      </c>
      <c r="J935" s="29">
        <v>0</v>
      </c>
      <c r="K935" s="29">
        <v>0</v>
      </c>
      <c r="L935" s="29">
        <v>0</v>
      </c>
      <c r="M935" s="29">
        <f t="shared" si="37"/>
        <v>15.116015418335726</v>
      </c>
    </row>
    <row r="936" spans="1:13" outlineLevel="2">
      <c r="A936" s="172">
        <v>46174</v>
      </c>
      <c r="B936" s="1" t="s">
        <v>945</v>
      </c>
      <c r="C936" s="379">
        <v>500292666147</v>
      </c>
      <c r="D936" s="341" t="s">
        <v>45</v>
      </c>
      <c r="E936" s="367">
        <v>0.9</v>
      </c>
      <c r="F936" s="680"/>
      <c r="G936" s="29">
        <v>0</v>
      </c>
      <c r="H936" s="29">
        <v>15.116015418335726</v>
      </c>
      <c r="I936" s="29">
        <v>0</v>
      </c>
      <c r="J936" s="29">
        <v>0</v>
      </c>
      <c r="K936" s="29">
        <v>0</v>
      </c>
      <c r="L936" s="29">
        <v>0</v>
      </c>
      <c r="M936" s="29">
        <f t="shared" si="37"/>
        <v>15.116015418335726</v>
      </c>
    </row>
    <row r="937" spans="1:13" outlineLevel="2">
      <c r="A937" s="172">
        <v>46174</v>
      </c>
      <c r="B937" s="1" t="s">
        <v>945</v>
      </c>
      <c r="C937" s="379">
        <v>500292677155</v>
      </c>
      <c r="D937" s="341" t="s">
        <v>45</v>
      </c>
      <c r="E937" s="367">
        <v>0.5</v>
      </c>
      <c r="F937" s="680"/>
      <c r="G937" s="29">
        <v>0</v>
      </c>
      <c r="H937" s="29">
        <v>15.116015418335726</v>
      </c>
      <c r="I937" s="29">
        <v>0</v>
      </c>
      <c r="J937" s="29">
        <v>0</v>
      </c>
      <c r="K937" s="29">
        <v>0</v>
      </c>
      <c r="L937" s="29">
        <v>0</v>
      </c>
      <c r="M937" s="29">
        <f t="shared" si="37"/>
        <v>15.116015418335726</v>
      </c>
    </row>
    <row r="938" spans="1:13" outlineLevel="2">
      <c r="A938" s="172">
        <v>46174</v>
      </c>
      <c r="B938" s="1" t="s">
        <v>945</v>
      </c>
      <c r="C938" s="379">
        <v>500292677317</v>
      </c>
      <c r="D938" s="341" t="s">
        <v>45</v>
      </c>
      <c r="E938" s="367">
        <v>1.1000000000000001</v>
      </c>
      <c r="F938" s="680"/>
      <c r="G938" s="29">
        <v>0</v>
      </c>
      <c r="H938" s="29">
        <v>15.116015418335726</v>
      </c>
      <c r="I938" s="29">
        <v>0</v>
      </c>
      <c r="J938" s="29">
        <v>0</v>
      </c>
      <c r="K938" s="29">
        <v>0</v>
      </c>
      <c r="L938" s="29">
        <v>0</v>
      </c>
      <c r="M938" s="29">
        <f t="shared" si="37"/>
        <v>15.116015418335726</v>
      </c>
    </row>
    <row r="939" spans="1:13" outlineLevel="2">
      <c r="A939" s="172">
        <v>46174</v>
      </c>
      <c r="B939" s="1" t="s">
        <v>945</v>
      </c>
      <c r="C939" s="379">
        <v>500292678059</v>
      </c>
      <c r="D939" s="341" t="s">
        <v>45</v>
      </c>
      <c r="E939" s="367">
        <v>1.1000000000000001</v>
      </c>
      <c r="F939" s="680"/>
      <c r="G939" s="29">
        <v>0</v>
      </c>
      <c r="H939" s="29">
        <v>15.116015418335726</v>
      </c>
      <c r="I939" s="29">
        <v>0</v>
      </c>
      <c r="J939" s="29">
        <v>0</v>
      </c>
      <c r="K939" s="29">
        <v>0</v>
      </c>
      <c r="L939" s="29">
        <v>0</v>
      </c>
      <c r="M939" s="29">
        <f t="shared" si="37"/>
        <v>15.116015418335726</v>
      </c>
    </row>
    <row r="940" spans="1:13" outlineLevel="2">
      <c r="A940" s="172">
        <v>46174</v>
      </c>
      <c r="B940" s="1" t="s">
        <v>823</v>
      </c>
      <c r="C940" s="379">
        <v>510007344202</v>
      </c>
      <c r="D940" s="341" t="s">
        <v>45</v>
      </c>
      <c r="E940" s="367">
        <v>28</v>
      </c>
      <c r="F940" s="680"/>
      <c r="G940" s="29">
        <v>0</v>
      </c>
      <c r="H940" s="29">
        <v>15.116015418335726</v>
      </c>
      <c r="I940" s="29">
        <v>0</v>
      </c>
      <c r="J940" s="29">
        <v>0</v>
      </c>
      <c r="K940" s="29">
        <v>0</v>
      </c>
      <c r="L940" s="29">
        <v>0</v>
      </c>
      <c r="M940" s="29">
        <f t="shared" si="37"/>
        <v>15.116015418335726</v>
      </c>
    </row>
    <row r="941" spans="1:13" outlineLevel="2">
      <c r="A941" s="172">
        <v>46174</v>
      </c>
      <c r="B941" s="1" t="s">
        <v>810</v>
      </c>
      <c r="C941" s="379">
        <v>510007364362</v>
      </c>
      <c r="D941" s="341" t="s">
        <v>655</v>
      </c>
      <c r="E941" s="367">
        <v>72.7</v>
      </c>
      <c r="F941" s="680"/>
      <c r="G941" s="29">
        <v>0</v>
      </c>
      <c r="H941" s="29">
        <v>26.45</v>
      </c>
      <c r="I941" s="29">
        <v>194.78667523240873</v>
      </c>
      <c r="J941" s="29">
        <v>0</v>
      </c>
      <c r="K941" s="29">
        <v>0</v>
      </c>
      <c r="L941" s="29">
        <v>0</v>
      </c>
      <c r="M941" s="29">
        <f t="shared" si="37"/>
        <v>221.23667523240871</v>
      </c>
    </row>
    <row r="942" spans="1:13" outlineLevel="2">
      <c r="A942" s="172">
        <v>46174</v>
      </c>
      <c r="B942" s="1" t="s">
        <v>1607</v>
      </c>
      <c r="C942" s="379">
        <v>512718301003</v>
      </c>
      <c r="D942" s="341" t="s">
        <v>655</v>
      </c>
      <c r="E942" s="367">
        <v>7.2</v>
      </c>
      <c r="F942" s="680"/>
      <c r="G942" s="29">
        <v>0</v>
      </c>
      <c r="H942" s="29">
        <v>0</v>
      </c>
      <c r="I942" s="29">
        <v>44.151046784067717</v>
      </c>
      <c r="J942" s="29">
        <v>0</v>
      </c>
      <c r="K942" s="29">
        <v>0</v>
      </c>
      <c r="L942" s="29">
        <v>0</v>
      </c>
      <c r="M942" s="29">
        <f t="shared" si="37"/>
        <v>44.151046784067717</v>
      </c>
    </row>
    <row r="943" spans="1:13" outlineLevel="2">
      <c r="A943" s="172">
        <v>46174</v>
      </c>
      <c r="B943" s="1" t="s">
        <v>1607</v>
      </c>
      <c r="C943" s="379">
        <v>512718302319</v>
      </c>
      <c r="D943" s="341" t="s">
        <v>655</v>
      </c>
      <c r="E943" s="367">
        <v>7.2</v>
      </c>
      <c r="F943" s="680"/>
      <c r="G943" s="29">
        <v>0</v>
      </c>
      <c r="H943" s="29">
        <v>15.116015418335726</v>
      </c>
      <c r="I943" s="29">
        <v>42.444335273221981</v>
      </c>
      <c r="J943" s="29">
        <v>0</v>
      </c>
      <c r="K943" s="29">
        <v>0</v>
      </c>
      <c r="L943" s="29">
        <v>0</v>
      </c>
      <c r="M943" s="29">
        <f t="shared" si="37"/>
        <v>57.560350691557709</v>
      </c>
    </row>
    <row r="944" spans="1:13" outlineLevel="2">
      <c r="A944" s="172">
        <v>46174</v>
      </c>
      <c r="B944" s="1" t="s">
        <v>2894</v>
      </c>
      <c r="C944" s="379">
        <v>513597200500</v>
      </c>
      <c r="D944" s="341" t="s">
        <v>45</v>
      </c>
      <c r="E944" s="367">
        <v>5.5</v>
      </c>
      <c r="F944" s="680"/>
      <c r="G944" s="29">
        <v>0</v>
      </c>
      <c r="H944" s="29">
        <v>15.116015418335726</v>
      </c>
      <c r="I944" s="29">
        <v>0</v>
      </c>
      <c r="J944" s="29">
        <v>0</v>
      </c>
      <c r="K944" s="29">
        <v>0</v>
      </c>
      <c r="L944" s="29">
        <v>0</v>
      </c>
      <c r="M944" s="29">
        <f t="shared" si="37"/>
        <v>15.116015418335726</v>
      </c>
    </row>
    <row r="945" spans="1:13" outlineLevel="2">
      <c r="A945" s="172">
        <v>46174</v>
      </c>
      <c r="B945" s="1" t="s">
        <v>2894</v>
      </c>
      <c r="C945" s="379">
        <v>513597201561</v>
      </c>
      <c r="D945" s="341" t="s">
        <v>45</v>
      </c>
      <c r="E945" s="367">
        <v>0.8</v>
      </c>
      <c r="F945" s="680"/>
      <c r="G945" s="29">
        <v>0</v>
      </c>
      <c r="H945" s="29">
        <v>15.116015418335726</v>
      </c>
      <c r="I945" s="29">
        <v>0</v>
      </c>
      <c r="J945" s="29">
        <v>0</v>
      </c>
      <c r="K945" s="29">
        <v>0</v>
      </c>
      <c r="L945" s="29">
        <v>0</v>
      </c>
      <c r="M945" s="29">
        <f t="shared" si="37"/>
        <v>15.116015418335726</v>
      </c>
    </row>
    <row r="946" spans="1:13" outlineLevel="2">
      <c r="A946" s="172">
        <v>46174</v>
      </c>
      <c r="B946" s="1" t="s">
        <v>2902</v>
      </c>
      <c r="C946" s="379">
        <v>513597202020</v>
      </c>
      <c r="D946" s="341" t="s">
        <v>45</v>
      </c>
      <c r="E946" s="367">
        <v>0.9</v>
      </c>
      <c r="F946" s="680"/>
      <c r="G946" s="29">
        <v>0</v>
      </c>
      <c r="H946" s="29">
        <v>15.116015418335726</v>
      </c>
      <c r="I946" s="29">
        <v>0</v>
      </c>
      <c r="J946" s="29">
        <v>0</v>
      </c>
      <c r="K946" s="29">
        <v>0</v>
      </c>
      <c r="L946" s="29">
        <v>0</v>
      </c>
      <c r="M946" s="29">
        <f t="shared" si="37"/>
        <v>15.116015418335726</v>
      </c>
    </row>
    <row r="947" spans="1:13" outlineLevel="2">
      <c r="A947" s="172">
        <v>46174</v>
      </c>
      <c r="B947" s="1" t="s">
        <v>801</v>
      </c>
      <c r="C947" s="379">
        <v>515199060191</v>
      </c>
      <c r="D947" s="341" t="s">
        <v>655</v>
      </c>
      <c r="E947" s="367">
        <v>72.2</v>
      </c>
      <c r="F947" s="680"/>
      <c r="G947" s="29">
        <v>0</v>
      </c>
      <c r="H947" s="29">
        <v>15.116015418335726</v>
      </c>
      <c r="I947" s="29">
        <v>237.26078905600482</v>
      </c>
      <c r="J947" s="29">
        <v>0</v>
      </c>
      <c r="K947" s="29">
        <v>0</v>
      </c>
      <c r="L947" s="29">
        <v>0</v>
      </c>
      <c r="M947" s="29">
        <f t="shared" si="37"/>
        <v>252.37680447434056</v>
      </c>
    </row>
    <row r="948" spans="1:13" outlineLevel="2">
      <c r="A948" s="172">
        <v>46174</v>
      </c>
      <c r="B948" s="1" t="s">
        <v>801</v>
      </c>
      <c r="C948" s="379">
        <v>515199061257</v>
      </c>
      <c r="D948" s="341" t="s">
        <v>45</v>
      </c>
      <c r="E948" s="367">
        <v>37.9</v>
      </c>
      <c r="F948" s="680"/>
      <c r="G948" s="29">
        <v>0</v>
      </c>
      <c r="H948" s="29">
        <v>15.116015418335726</v>
      </c>
      <c r="I948" s="29">
        <v>0</v>
      </c>
      <c r="J948" s="29">
        <v>0</v>
      </c>
      <c r="K948" s="29">
        <v>0</v>
      </c>
      <c r="L948" s="29">
        <v>0</v>
      </c>
      <c r="M948" s="29">
        <f t="shared" si="37"/>
        <v>15.116015418335726</v>
      </c>
    </row>
    <row r="949" spans="1:13" outlineLevel="2">
      <c r="A949" s="172">
        <v>46174</v>
      </c>
      <c r="B949" s="1" t="s">
        <v>2457</v>
      </c>
      <c r="C949" s="379">
        <v>515202941250</v>
      </c>
      <c r="D949" s="341" t="s">
        <v>45</v>
      </c>
      <c r="E949" s="367">
        <v>1.4</v>
      </c>
      <c r="F949" s="680"/>
      <c r="G949" s="29">
        <v>0</v>
      </c>
      <c r="H949" s="29">
        <v>15.116015418335726</v>
      </c>
      <c r="I949" s="29">
        <v>0</v>
      </c>
      <c r="J949" s="29">
        <v>0</v>
      </c>
      <c r="K949" s="29">
        <v>0</v>
      </c>
      <c r="L949" s="29">
        <v>0</v>
      </c>
      <c r="M949" s="29">
        <f t="shared" si="37"/>
        <v>15.116015418335726</v>
      </c>
    </row>
    <row r="950" spans="1:13" outlineLevel="2">
      <c r="A950" s="172">
        <v>46174</v>
      </c>
      <c r="B950" s="1" t="s">
        <v>381</v>
      </c>
      <c r="C950" s="379">
        <v>517485671719</v>
      </c>
      <c r="D950" s="341" t="s">
        <v>655</v>
      </c>
      <c r="E950" s="367">
        <v>49.2</v>
      </c>
      <c r="F950" s="680"/>
      <c r="G950" s="29">
        <v>0</v>
      </c>
      <c r="H950" s="29">
        <v>15.116015418335726</v>
      </c>
      <c r="I950" s="29">
        <v>156.97468067417427</v>
      </c>
      <c r="J950" s="29">
        <v>0</v>
      </c>
      <c r="K950" s="29">
        <v>0</v>
      </c>
      <c r="L950" s="29">
        <v>0</v>
      </c>
      <c r="M950" s="29">
        <f t="shared" si="37"/>
        <v>172.09069609251</v>
      </c>
    </row>
    <row r="951" spans="1:13" outlineLevel="2">
      <c r="A951" s="172">
        <v>46174</v>
      </c>
      <c r="B951" s="1" t="s">
        <v>381</v>
      </c>
      <c r="C951" s="379">
        <v>517485682164</v>
      </c>
      <c r="D951" s="341" t="s">
        <v>655</v>
      </c>
      <c r="E951" s="367">
        <v>69.599999999999994</v>
      </c>
      <c r="F951" s="680"/>
      <c r="G951" s="29">
        <v>0</v>
      </c>
      <c r="H951" s="29">
        <v>15.116015418335726</v>
      </c>
      <c r="I951" s="29">
        <v>198.41028644849217</v>
      </c>
      <c r="J951" s="29">
        <v>0</v>
      </c>
      <c r="K951" s="29">
        <v>0</v>
      </c>
      <c r="L951" s="29">
        <v>0</v>
      </c>
      <c r="M951" s="29">
        <f t="shared" si="37"/>
        <v>213.52630186682791</v>
      </c>
    </row>
    <row r="952" spans="1:13" outlineLevel="2">
      <c r="A952" s="172">
        <v>46174</v>
      </c>
      <c r="B952" s="1" t="s">
        <v>809</v>
      </c>
      <c r="C952" s="379">
        <v>518027666436</v>
      </c>
      <c r="D952" s="341" t="s">
        <v>655</v>
      </c>
      <c r="E952" s="367">
        <v>17.600000000000001</v>
      </c>
      <c r="F952" s="680"/>
      <c r="G952" s="29">
        <v>0</v>
      </c>
      <c r="H952" s="29">
        <v>0</v>
      </c>
      <c r="I952" s="29">
        <v>65.736641221374043</v>
      </c>
      <c r="J952" s="29">
        <v>0</v>
      </c>
      <c r="K952" s="29">
        <v>0</v>
      </c>
      <c r="L952" s="29">
        <v>0</v>
      </c>
      <c r="M952" s="29">
        <f t="shared" si="37"/>
        <v>65.736641221374043</v>
      </c>
    </row>
    <row r="953" spans="1:13" outlineLevel="2">
      <c r="A953" s="172">
        <v>46174</v>
      </c>
      <c r="B953" s="1" t="s">
        <v>809</v>
      </c>
      <c r="C953" s="379">
        <v>518027698111</v>
      </c>
      <c r="D953" s="341" t="s">
        <v>655</v>
      </c>
      <c r="E953" s="367">
        <v>29.9</v>
      </c>
      <c r="F953" s="680"/>
      <c r="G953" s="29">
        <v>0</v>
      </c>
      <c r="H953" s="29">
        <v>0</v>
      </c>
      <c r="I953" s="29">
        <v>117.04478119567682</v>
      </c>
      <c r="J953" s="29">
        <v>0</v>
      </c>
      <c r="K953" s="29">
        <v>0</v>
      </c>
      <c r="L953" s="29">
        <v>0</v>
      </c>
      <c r="M953" s="29">
        <f t="shared" si="37"/>
        <v>117.04478119567682</v>
      </c>
    </row>
    <row r="954" spans="1:13" outlineLevel="2">
      <c r="A954" s="172">
        <v>46174</v>
      </c>
      <c r="B954" s="1" t="s">
        <v>816</v>
      </c>
      <c r="C954" s="379">
        <v>518337606988</v>
      </c>
      <c r="D954" s="341" t="s">
        <v>655</v>
      </c>
      <c r="E954" s="367">
        <v>29.7</v>
      </c>
      <c r="F954" s="680"/>
      <c r="G954" s="29">
        <v>0</v>
      </c>
      <c r="H954" s="29">
        <v>15.116015418335726</v>
      </c>
      <c r="I954" s="29">
        <v>154.71944675383568</v>
      </c>
      <c r="J954" s="29">
        <v>0</v>
      </c>
      <c r="K954" s="29">
        <v>0</v>
      </c>
      <c r="L954" s="29">
        <v>0</v>
      </c>
      <c r="M954" s="29">
        <f t="shared" si="37"/>
        <v>169.83546217217142</v>
      </c>
    </row>
    <row r="955" spans="1:13" outlineLevel="2">
      <c r="A955" s="172">
        <v>46174</v>
      </c>
      <c r="B955" s="1" t="s">
        <v>816</v>
      </c>
      <c r="C955" s="379">
        <v>518337618146</v>
      </c>
      <c r="D955" s="341" t="s">
        <v>655</v>
      </c>
      <c r="E955" s="367">
        <v>47.6</v>
      </c>
      <c r="F955" s="680"/>
      <c r="G955" s="29">
        <v>0</v>
      </c>
      <c r="H955" s="29">
        <v>15.116015418335726</v>
      </c>
      <c r="I955" s="29">
        <v>241.02683092736754</v>
      </c>
      <c r="J955" s="29">
        <v>0</v>
      </c>
      <c r="K955" s="29">
        <v>0</v>
      </c>
      <c r="L955" s="29">
        <v>0</v>
      </c>
      <c r="M955" s="29">
        <f t="shared" si="37"/>
        <v>256.14284634570328</v>
      </c>
    </row>
    <row r="956" spans="1:13" outlineLevel="2">
      <c r="A956" s="172">
        <v>46174</v>
      </c>
      <c r="B956" s="1" t="s">
        <v>1994</v>
      </c>
      <c r="C956" s="379">
        <v>522040181189</v>
      </c>
      <c r="D956" s="341" t="s">
        <v>45</v>
      </c>
      <c r="E956" s="367">
        <v>2.5</v>
      </c>
      <c r="F956" s="680"/>
      <c r="G956" s="29">
        <v>0</v>
      </c>
      <c r="H956" s="29">
        <v>15.116015418335726</v>
      </c>
      <c r="I956" s="29">
        <v>0</v>
      </c>
      <c r="J956" s="29">
        <v>0</v>
      </c>
      <c r="K956" s="29">
        <v>0</v>
      </c>
      <c r="L956" s="29">
        <v>0</v>
      </c>
      <c r="M956" s="29">
        <f t="shared" si="37"/>
        <v>15.116015418335726</v>
      </c>
    </row>
    <row r="957" spans="1:13" outlineLevel="2">
      <c r="A957" s="172">
        <v>46174</v>
      </c>
      <c r="B957" s="1" t="s">
        <v>380</v>
      </c>
      <c r="C957" s="379">
        <v>525343781722</v>
      </c>
      <c r="D957" s="341" t="s">
        <v>655</v>
      </c>
      <c r="E957" s="367">
        <v>8</v>
      </c>
      <c r="F957" s="680"/>
      <c r="G957" s="29">
        <v>0</v>
      </c>
      <c r="H957" s="29">
        <v>0</v>
      </c>
      <c r="I957" s="29">
        <v>53.520708941123118</v>
      </c>
      <c r="J957" s="29">
        <v>0</v>
      </c>
      <c r="K957" s="29">
        <v>0</v>
      </c>
      <c r="L957" s="29">
        <v>0</v>
      </c>
      <c r="M957" s="29">
        <f t="shared" si="37"/>
        <v>53.520708941123118</v>
      </c>
    </row>
    <row r="958" spans="1:13" outlineLevel="2">
      <c r="A958" s="172">
        <v>46174</v>
      </c>
      <c r="B958" s="1" t="s">
        <v>1906</v>
      </c>
      <c r="C958" s="379">
        <v>525343868132</v>
      </c>
      <c r="D958" s="341" t="s">
        <v>45</v>
      </c>
      <c r="E958" s="367">
        <v>71.3</v>
      </c>
      <c r="F958" s="680"/>
      <c r="G958" s="29">
        <v>0</v>
      </c>
      <c r="H958" s="29">
        <v>15.116015418335726</v>
      </c>
      <c r="I958" s="29">
        <v>0</v>
      </c>
      <c r="J958" s="29">
        <v>0</v>
      </c>
      <c r="K958" s="29">
        <v>0</v>
      </c>
      <c r="L958" s="29">
        <v>0</v>
      </c>
      <c r="M958" s="29">
        <f t="shared" si="37"/>
        <v>15.116015418335726</v>
      </c>
    </row>
    <row r="959" spans="1:13" outlineLevel="2">
      <c r="A959" s="172">
        <v>46174</v>
      </c>
      <c r="B959" s="1" t="s">
        <v>2711</v>
      </c>
      <c r="C959" s="379">
        <v>525688602788</v>
      </c>
      <c r="D959" s="341" t="s">
        <v>45</v>
      </c>
      <c r="E959" s="367">
        <v>0.5</v>
      </c>
      <c r="F959" s="680"/>
      <c r="G959" s="29">
        <v>0</v>
      </c>
      <c r="H959" s="29">
        <v>15.116015418335726</v>
      </c>
      <c r="I959" s="29">
        <v>0</v>
      </c>
      <c r="J959" s="29">
        <v>0</v>
      </c>
      <c r="K959" s="29">
        <v>0</v>
      </c>
      <c r="L959" s="29">
        <v>0</v>
      </c>
      <c r="M959" s="29">
        <f t="shared" si="37"/>
        <v>15.116015418335726</v>
      </c>
    </row>
    <row r="960" spans="1:13" outlineLevel="2">
      <c r="A960" s="172">
        <v>46174</v>
      </c>
      <c r="B960" s="1" t="s">
        <v>2711</v>
      </c>
      <c r="C960" s="379">
        <v>525688603111</v>
      </c>
      <c r="D960" s="341" t="s">
        <v>45</v>
      </c>
      <c r="E960" s="367">
        <v>0.60000000000000009</v>
      </c>
      <c r="F960" s="680"/>
      <c r="G960" s="29">
        <v>0</v>
      </c>
      <c r="H960" s="29">
        <v>15.116015418335726</v>
      </c>
      <c r="I960" s="29">
        <v>0</v>
      </c>
      <c r="J960" s="29">
        <v>0</v>
      </c>
      <c r="K960" s="29">
        <v>0</v>
      </c>
      <c r="L960" s="29">
        <v>0</v>
      </c>
      <c r="M960" s="29">
        <f t="shared" si="37"/>
        <v>15.116015418335726</v>
      </c>
    </row>
    <row r="961" spans="1:13" outlineLevel="2">
      <c r="A961" s="172">
        <v>46174</v>
      </c>
      <c r="B961" s="1" t="s">
        <v>945</v>
      </c>
      <c r="C961" s="379">
        <v>525688603578</v>
      </c>
      <c r="D961" s="341" t="s">
        <v>45</v>
      </c>
      <c r="E961" s="367">
        <v>1.1000000000000001</v>
      </c>
      <c r="F961" s="680"/>
      <c r="G961" s="29">
        <v>0</v>
      </c>
      <c r="H961" s="29">
        <v>15.116015418335726</v>
      </c>
      <c r="I961" s="29">
        <v>0</v>
      </c>
      <c r="J961" s="29">
        <v>0</v>
      </c>
      <c r="K961" s="29">
        <v>0</v>
      </c>
      <c r="L961" s="29">
        <v>0</v>
      </c>
      <c r="M961" s="29">
        <f t="shared" si="37"/>
        <v>15.116015418335726</v>
      </c>
    </row>
    <row r="962" spans="1:13" outlineLevel="2">
      <c r="A962" s="172">
        <v>46174</v>
      </c>
      <c r="B962" s="1" t="s">
        <v>945</v>
      </c>
      <c r="C962" s="379">
        <v>525688607551</v>
      </c>
      <c r="D962" s="341" t="s">
        <v>45</v>
      </c>
      <c r="E962" s="367">
        <v>6.9</v>
      </c>
      <c r="F962" s="680"/>
      <c r="G962" s="29">
        <v>0</v>
      </c>
      <c r="H962" s="29">
        <v>15.116015418335726</v>
      </c>
      <c r="I962" s="29">
        <v>0</v>
      </c>
      <c r="J962" s="29">
        <v>0</v>
      </c>
      <c r="K962" s="29">
        <v>0</v>
      </c>
      <c r="L962" s="29">
        <v>0</v>
      </c>
      <c r="M962" s="29">
        <f t="shared" si="37"/>
        <v>15.116015418335726</v>
      </c>
    </row>
    <row r="963" spans="1:13" outlineLevel="2">
      <c r="A963" s="172">
        <v>46174</v>
      </c>
      <c r="B963" s="1" t="s">
        <v>945</v>
      </c>
      <c r="C963" s="379">
        <v>525688607562</v>
      </c>
      <c r="D963" s="341" t="s">
        <v>45</v>
      </c>
      <c r="E963" s="367">
        <v>2.1</v>
      </c>
      <c r="F963" s="680"/>
      <c r="G963" s="29">
        <v>0</v>
      </c>
      <c r="H963" s="29">
        <v>15.116015418335726</v>
      </c>
      <c r="I963" s="29">
        <v>0</v>
      </c>
      <c r="J963" s="29">
        <v>0</v>
      </c>
      <c r="K963" s="29">
        <v>0</v>
      </c>
      <c r="L963" s="29">
        <v>0</v>
      </c>
      <c r="M963" s="29">
        <f t="shared" si="37"/>
        <v>15.116015418335726</v>
      </c>
    </row>
    <row r="964" spans="1:13" outlineLevel="2">
      <c r="A964" s="172">
        <v>46174</v>
      </c>
      <c r="B964" s="1" t="s">
        <v>945</v>
      </c>
      <c r="C964" s="379">
        <v>525688630788</v>
      </c>
      <c r="D964" s="341" t="s">
        <v>45</v>
      </c>
      <c r="E964" s="367">
        <v>2.4</v>
      </c>
      <c r="F964" s="680"/>
      <c r="G964" s="29">
        <v>0</v>
      </c>
      <c r="H964" s="29">
        <v>15.116015418335726</v>
      </c>
      <c r="I964" s="29">
        <v>0</v>
      </c>
      <c r="J964" s="29">
        <v>0</v>
      </c>
      <c r="K964" s="29">
        <v>0</v>
      </c>
      <c r="L964" s="29">
        <v>0</v>
      </c>
      <c r="M964" s="29">
        <f t="shared" si="37"/>
        <v>15.116015418335726</v>
      </c>
    </row>
    <row r="965" spans="1:13" outlineLevel="2">
      <c r="A965" s="172">
        <v>46174</v>
      </c>
      <c r="B965" s="1" t="s">
        <v>2863</v>
      </c>
      <c r="C965" s="379">
        <v>525688631247</v>
      </c>
      <c r="D965" s="341" t="s">
        <v>45</v>
      </c>
      <c r="E965" s="367">
        <v>0.5</v>
      </c>
      <c r="F965" s="680"/>
      <c r="G965" s="29">
        <v>0</v>
      </c>
      <c r="H965" s="29">
        <v>15.116015418335726</v>
      </c>
      <c r="I965" s="29">
        <v>0</v>
      </c>
      <c r="J965" s="29">
        <v>0</v>
      </c>
      <c r="K965" s="29">
        <v>0</v>
      </c>
      <c r="L965" s="29">
        <v>0</v>
      </c>
      <c r="M965" s="29">
        <f t="shared" si="37"/>
        <v>15.116015418335726</v>
      </c>
    </row>
    <row r="966" spans="1:13" outlineLevel="2">
      <c r="A966" s="172">
        <v>46174</v>
      </c>
      <c r="B966" s="1" t="s">
        <v>950</v>
      </c>
      <c r="C966" s="379">
        <v>526433678489</v>
      </c>
      <c r="D966" s="341" t="s">
        <v>45</v>
      </c>
      <c r="E966" s="367">
        <v>2.1</v>
      </c>
      <c r="F966" s="680"/>
      <c r="G966" s="29">
        <v>0</v>
      </c>
      <c r="H966" s="29">
        <v>15.116015418335726</v>
      </c>
      <c r="I966" s="29">
        <v>0</v>
      </c>
      <c r="J966" s="29">
        <v>0</v>
      </c>
      <c r="K966" s="29">
        <v>0</v>
      </c>
      <c r="L966" s="29">
        <v>0</v>
      </c>
      <c r="M966" s="29">
        <f t="shared" si="37"/>
        <v>15.116015418335726</v>
      </c>
    </row>
    <row r="967" spans="1:13" outlineLevel="2">
      <c r="A967" s="172">
        <v>46174</v>
      </c>
      <c r="B967" s="1" t="s">
        <v>950</v>
      </c>
      <c r="C967" s="379">
        <v>526433715307</v>
      </c>
      <c r="D967" s="341" t="s">
        <v>45</v>
      </c>
      <c r="E967" s="367">
        <v>1.2</v>
      </c>
      <c r="F967" s="680"/>
      <c r="G967" s="29">
        <v>0</v>
      </c>
      <c r="H967" s="29">
        <v>15.116015418335726</v>
      </c>
      <c r="I967" s="29">
        <v>0</v>
      </c>
      <c r="J967" s="29">
        <v>0</v>
      </c>
      <c r="K967" s="29">
        <v>0</v>
      </c>
      <c r="L967" s="29">
        <v>0</v>
      </c>
      <c r="M967" s="29">
        <f t="shared" si="37"/>
        <v>15.116015418335726</v>
      </c>
    </row>
    <row r="968" spans="1:13" outlineLevel="2">
      <c r="A968" s="172">
        <v>46174</v>
      </c>
      <c r="B968" s="1" t="s">
        <v>968</v>
      </c>
      <c r="C968" s="379">
        <v>526910755792</v>
      </c>
      <c r="D968" s="341" t="s">
        <v>45</v>
      </c>
      <c r="E968" s="367">
        <v>0.2</v>
      </c>
      <c r="F968" s="680"/>
      <c r="G968" s="29">
        <v>0</v>
      </c>
      <c r="H968" s="29">
        <v>15.116015418335726</v>
      </c>
      <c r="I968" s="29">
        <v>0</v>
      </c>
      <c r="J968" s="29">
        <v>0</v>
      </c>
      <c r="K968" s="29">
        <v>0</v>
      </c>
      <c r="L968" s="29">
        <v>0</v>
      </c>
      <c r="M968" s="29">
        <f t="shared" si="37"/>
        <v>15.116015418335726</v>
      </c>
    </row>
    <row r="969" spans="1:13" outlineLevel="2">
      <c r="A969" s="172">
        <v>46174</v>
      </c>
      <c r="B969" s="1" t="s">
        <v>968</v>
      </c>
      <c r="C969" s="379">
        <v>527158892192</v>
      </c>
      <c r="D969" s="341" t="s">
        <v>45</v>
      </c>
      <c r="E969" s="367">
        <v>1.4</v>
      </c>
      <c r="F969" s="680"/>
      <c r="G969" s="29">
        <v>0</v>
      </c>
      <c r="H969" s="29">
        <v>15.116015418335726</v>
      </c>
      <c r="I969" s="29">
        <v>0</v>
      </c>
      <c r="J969" s="29">
        <v>0</v>
      </c>
      <c r="K969" s="29">
        <v>0</v>
      </c>
      <c r="L969" s="29">
        <v>0</v>
      </c>
      <c r="M969" s="29">
        <f t="shared" si="37"/>
        <v>15.116015418335726</v>
      </c>
    </row>
    <row r="970" spans="1:13" outlineLevel="2">
      <c r="A970" s="172">
        <v>46174</v>
      </c>
      <c r="B970" s="1" t="s">
        <v>968</v>
      </c>
      <c r="C970" s="379">
        <v>527158915040</v>
      </c>
      <c r="D970" s="341" t="s">
        <v>45</v>
      </c>
      <c r="E970" s="367">
        <v>14.5</v>
      </c>
      <c r="F970" s="680"/>
      <c r="G970" s="29">
        <v>0</v>
      </c>
      <c r="H970" s="29">
        <v>15.116015418335726</v>
      </c>
      <c r="I970" s="29">
        <v>0</v>
      </c>
      <c r="J970" s="29">
        <v>0</v>
      </c>
      <c r="K970" s="29">
        <v>0</v>
      </c>
      <c r="L970" s="29">
        <v>0</v>
      </c>
      <c r="M970" s="29">
        <f t="shared" si="37"/>
        <v>15.116015418335726</v>
      </c>
    </row>
    <row r="971" spans="1:13" outlineLevel="2">
      <c r="A971" s="172">
        <v>46174</v>
      </c>
      <c r="B971" s="1" t="s">
        <v>968</v>
      </c>
      <c r="C971" s="379">
        <v>527158954183</v>
      </c>
      <c r="D971" s="341" t="s">
        <v>45</v>
      </c>
      <c r="E971" s="367">
        <v>6.6</v>
      </c>
      <c r="F971" s="680"/>
      <c r="G971" s="29">
        <v>0</v>
      </c>
      <c r="H971" s="29">
        <v>15.116015418335726</v>
      </c>
      <c r="I971" s="29">
        <v>0</v>
      </c>
      <c r="J971" s="29">
        <v>0</v>
      </c>
      <c r="K971" s="29">
        <v>0</v>
      </c>
      <c r="L971" s="29">
        <v>0</v>
      </c>
      <c r="M971" s="29">
        <f t="shared" si="37"/>
        <v>15.116015418335726</v>
      </c>
    </row>
    <row r="972" spans="1:13" outlineLevel="2">
      <c r="A972" s="172">
        <v>46174</v>
      </c>
      <c r="B972" s="1" t="s">
        <v>1994</v>
      </c>
      <c r="C972" s="379">
        <v>527390481744</v>
      </c>
      <c r="D972" s="341" t="s">
        <v>45</v>
      </c>
      <c r="E972" s="367">
        <v>52.4</v>
      </c>
      <c r="F972" s="680"/>
      <c r="G972" s="29">
        <v>0</v>
      </c>
      <c r="H972" s="29">
        <v>15.116015418335726</v>
      </c>
      <c r="I972" s="29">
        <v>0</v>
      </c>
      <c r="J972" s="29">
        <v>0</v>
      </c>
      <c r="K972" s="29">
        <v>0</v>
      </c>
      <c r="L972" s="29">
        <v>0</v>
      </c>
      <c r="M972" s="29">
        <f t="shared" si="37"/>
        <v>15.116015418335726</v>
      </c>
    </row>
    <row r="973" spans="1:13" outlineLevel="2">
      <c r="A973" s="172">
        <v>46174</v>
      </c>
      <c r="B973" s="1" t="s">
        <v>1991</v>
      </c>
      <c r="C973" s="379">
        <v>527390485717</v>
      </c>
      <c r="D973" s="341" t="s">
        <v>45</v>
      </c>
      <c r="E973" s="367">
        <v>1.9000000000000001</v>
      </c>
      <c r="F973" s="680"/>
      <c r="G973" s="29">
        <v>0</v>
      </c>
      <c r="H973" s="29">
        <v>15.116015418335726</v>
      </c>
      <c r="I973" s="29">
        <v>0</v>
      </c>
      <c r="J973" s="29">
        <v>0</v>
      </c>
      <c r="K973" s="29">
        <v>0</v>
      </c>
      <c r="L973" s="29">
        <v>0</v>
      </c>
      <c r="M973" s="29">
        <f t="shared" si="37"/>
        <v>15.116015418335726</v>
      </c>
    </row>
    <row r="974" spans="1:13" outlineLevel="2">
      <c r="A974" s="172">
        <v>46174</v>
      </c>
      <c r="B974" s="1" t="s">
        <v>380</v>
      </c>
      <c r="C974" s="379">
        <v>527390492292</v>
      </c>
      <c r="D974" s="341" t="s">
        <v>655</v>
      </c>
      <c r="E974" s="367">
        <v>2.2000000000000002</v>
      </c>
      <c r="F974" s="680"/>
      <c r="G974" s="29">
        <v>0</v>
      </c>
      <c r="H974" s="29">
        <v>15.116015418335726</v>
      </c>
      <c r="I974" s="29">
        <v>26.883039830700628</v>
      </c>
      <c r="J974" s="29">
        <v>0</v>
      </c>
      <c r="K974" s="29">
        <v>0</v>
      </c>
      <c r="L974" s="29">
        <v>0</v>
      </c>
      <c r="M974" s="29">
        <f t="shared" si="37"/>
        <v>41.999055249036353</v>
      </c>
    </row>
    <row r="975" spans="1:13" outlineLevel="2">
      <c r="A975" s="172">
        <v>46174</v>
      </c>
      <c r="B975" s="1" t="s">
        <v>1906</v>
      </c>
      <c r="C975" s="379">
        <v>527390496666</v>
      </c>
      <c r="D975" s="341" t="s">
        <v>45</v>
      </c>
      <c r="E975" s="367">
        <v>9.4</v>
      </c>
      <c r="F975" s="680"/>
      <c r="G975" s="29">
        <v>0</v>
      </c>
      <c r="H975" s="29">
        <v>15.116015418335726</v>
      </c>
      <c r="I975" s="29">
        <v>0</v>
      </c>
      <c r="J975" s="29">
        <v>0</v>
      </c>
      <c r="K975" s="29">
        <v>0</v>
      </c>
      <c r="L975" s="29">
        <v>0</v>
      </c>
      <c r="M975" s="29">
        <f t="shared" si="37"/>
        <v>15.116015418335726</v>
      </c>
    </row>
    <row r="976" spans="1:13" outlineLevel="2">
      <c r="A976" s="172">
        <v>46174</v>
      </c>
      <c r="B976" s="1" t="s">
        <v>1906</v>
      </c>
      <c r="C976" s="379">
        <v>527390520469</v>
      </c>
      <c r="D976" s="341" t="s">
        <v>45</v>
      </c>
      <c r="E976" s="367">
        <v>88.7</v>
      </c>
      <c r="F976" s="680"/>
      <c r="G976" s="29">
        <v>0</v>
      </c>
      <c r="H976" s="29">
        <v>15.116015418335726</v>
      </c>
      <c r="I976" s="29">
        <v>0</v>
      </c>
      <c r="J976" s="29">
        <v>0</v>
      </c>
      <c r="K976" s="29">
        <v>0</v>
      </c>
      <c r="L976" s="29">
        <v>0</v>
      </c>
      <c r="M976" s="29">
        <f t="shared" si="37"/>
        <v>15.116015418335726</v>
      </c>
    </row>
    <row r="977" spans="1:13" outlineLevel="2">
      <c r="A977" s="172">
        <v>46174</v>
      </c>
      <c r="B977" s="1" t="s">
        <v>1994</v>
      </c>
      <c r="C977" s="379">
        <v>527390655812</v>
      </c>
      <c r="D977" s="341" t="s">
        <v>45</v>
      </c>
      <c r="E977" s="367">
        <v>38.200000000000003</v>
      </c>
      <c r="F977" s="680"/>
      <c r="G977" s="29">
        <v>0</v>
      </c>
      <c r="H977" s="29">
        <v>15.116015418335726</v>
      </c>
      <c r="I977" s="29">
        <v>0</v>
      </c>
      <c r="J977" s="29">
        <v>0</v>
      </c>
      <c r="K977" s="29">
        <v>0</v>
      </c>
      <c r="L977" s="29">
        <v>0</v>
      </c>
      <c r="M977" s="29">
        <f t="shared" si="37"/>
        <v>15.116015418335726</v>
      </c>
    </row>
    <row r="978" spans="1:13" outlineLevel="2">
      <c r="A978" s="172">
        <v>46174</v>
      </c>
      <c r="B978" s="1" t="s">
        <v>806</v>
      </c>
      <c r="C978" s="379">
        <v>527390683775</v>
      </c>
      <c r="D978" s="341" t="s">
        <v>655</v>
      </c>
      <c r="E978" s="367">
        <v>12.2</v>
      </c>
      <c r="F978" s="680"/>
      <c r="G978" s="29">
        <v>0</v>
      </c>
      <c r="H978" s="29">
        <v>15.116015418335726</v>
      </c>
      <c r="I978" s="29">
        <v>50.489003098783158</v>
      </c>
      <c r="J978" s="29">
        <v>0</v>
      </c>
      <c r="K978" s="29">
        <v>0</v>
      </c>
      <c r="L978" s="29">
        <v>0</v>
      </c>
      <c r="M978" s="29">
        <f t="shared" si="37"/>
        <v>65.605018517118879</v>
      </c>
    </row>
    <row r="979" spans="1:13" outlineLevel="2">
      <c r="A979" s="172">
        <v>46174</v>
      </c>
      <c r="B979" s="1" t="s">
        <v>809</v>
      </c>
      <c r="C979" s="379">
        <v>527529836290</v>
      </c>
      <c r="D979" s="341" t="s">
        <v>655</v>
      </c>
      <c r="E979" s="367">
        <v>25.7</v>
      </c>
      <c r="F979" s="680"/>
      <c r="G979" s="29">
        <v>0</v>
      </c>
      <c r="H979" s="29">
        <v>15.116015418335726</v>
      </c>
      <c r="I979" s="29">
        <v>101.95030609931221</v>
      </c>
      <c r="J979" s="29">
        <v>0</v>
      </c>
      <c r="K979" s="29">
        <v>0</v>
      </c>
      <c r="L979" s="29">
        <v>0</v>
      </c>
      <c r="M979" s="29">
        <f t="shared" si="37"/>
        <v>117.06632151764794</v>
      </c>
    </row>
    <row r="980" spans="1:13" outlineLevel="2">
      <c r="A980" s="172">
        <v>46174</v>
      </c>
      <c r="B980" s="1" t="s">
        <v>809</v>
      </c>
      <c r="C980" s="379">
        <v>527529842090</v>
      </c>
      <c r="D980" s="341" t="s">
        <v>655</v>
      </c>
      <c r="E980" s="367">
        <v>6.4</v>
      </c>
      <c r="F980" s="680"/>
      <c r="G980" s="29">
        <v>0</v>
      </c>
      <c r="H980" s="29">
        <v>15.116015418335726</v>
      </c>
      <c r="I980" s="29">
        <v>42.845892222810065</v>
      </c>
      <c r="J980" s="29">
        <v>0</v>
      </c>
      <c r="K980" s="29">
        <v>0</v>
      </c>
      <c r="L980" s="29">
        <v>0</v>
      </c>
      <c r="M980" s="29">
        <f t="shared" si="37"/>
        <v>57.961907641145793</v>
      </c>
    </row>
    <row r="981" spans="1:13" outlineLevel="2">
      <c r="A981" s="172">
        <v>46174</v>
      </c>
      <c r="B981" s="1" t="s">
        <v>809</v>
      </c>
      <c r="C981" s="379">
        <v>527529851635</v>
      </c>
      <c r="D981" s="341" t="s">
        <v>655</v>
      </c>
      <c r="E981" s="367">
        <v>8.8000000000000007</v>
      </c>
      <c r="F981" s="680"/>
      <c r="G981" s="29">
        <v>0</v>
      </c>
      <c r="H981" s="29">
        <v>15.116015418335726</v>
      </c>
      <c r="I981" s="29">
        <v>50.678142241705089</v>
      </c>
      <c r="J981" s="29">
        <v>0</v>
      </c>
      <c r="K981" s="29">
        <v>0</v>
      </c>
      <c r="L981" s="29">
        <v>0</v>
      </c>
      <c r="M981" s="29">
        <f t="shared" si="37"/>
        <v>65.79415766004081</v>
      </c>
    </row>
    <row r="982" spans="1:13" outlineLevel="2">
      <c r="A982" s="172">
        <v>46174</v>
      </c>
      <c r="B982" s="1" t="s">
        <v>809</v>
      </c>
      <c r="C982" s="379">
        <v>527529858787</v>
      </c>
      <c r="D982" s="341" t="s">
        <v>655</v>
      </c>
      <c r="E982" s="367">
        <v>17.600000000000001</v>
      </c>
      <c r="F982" s="680"/>
      <c r="G982" s="29">
        <v>0</v>
      </c>
      <c r="H982" s="29">
        <v>15.116015418335726</v>
      </c>
      <c r="I982" s="29">
        <v>66.516552036883084</v>
      </c>
      <c r="J982" s="29">
        <v>0</v>
      </c>
      <c r="K982" s="29">
        <v>0</v>
      </c>
      <c r="L982" s="29">
        <v>0</v>
      </c>
      <c r="M982" s="29">
        <f t="shared" si="37"/>
        <v>81.632567455218805</v>
      </c>
    </row>
    <row r="983" spans="1:13" outlineLevel="2">
      <c r="A983" s="172">
        <v>46174</v>
      </c>
      <c r="B983" s="1" t="s">
        <v>809</v>
      </c>
      <c r="C983" s="379">
        <v>527529888610</v>
      </c>
      <c r="D983" s="341" t="s">
        <v>655</v>
      </c>
      <c r="E983" s="367">
        <v>30.3</v>
      </c>
      <c r="F983" s="680"/>
      <c r="G983" s="29">
        <v>0</v>
      </c>
      <c r="H983" s="29">
        <v>15.116015418335726</v>
      </c>
      <c r="I983" s="29">
        <v>115.86452271181317</v>
      </c>
      <c r="J983" s="29">
        <v>0</v>
      </c>
      <c r="K983" s="29">
        <v>0</v>
      </c>
      <c r="L983" s="29">
        <v>0</v>
      </c>
      <c r="M983" s="29">
        <f t="shared" si="37"/>
        <v>130.98053813014889</v>
      </c>
    </row>
    <row r="984" spans="1:13" outlineLevel="2">
      <c r="A984" s="172">
        <v>46174</v>
      </c>
      <c r="B984" s="1" t="s">
        <v>968</v>
      </c>
      <c r="C984" s="379">
        <v>530217572787</v>
      </c>
      <c r="D984" s="341" t="s">
        <v>45</v>
      </c>
      <c r="E984" s="367">
        <v>1</v>
      </c>
      <c r="F984" s="680"/>
      <c r="G984" s="29">
        <v>0</v>
      </c>
      <c r="H984" s="29">
        <v>15.116015418335726</v>
      </c>
      <c r="I984" s="29">
        <v>0</v>
      </c>
      <c r="J984" s="29">
        <v>0</v>
      </c>
      <c r="K984" s="29">
        <v>0</v>
      </c>
      <c r="L984" s="29">
        <v>0</v>
      </c>
      <c r="M984" s="29">
        <f t="shared" si="37"/>
        <v>15.116015418335726</v>
      </c>
    </row>
    <row r="985" spans="1:13" outlineLevel="2">
      <c r="A985" s="172">
        <v>46174</v>
      </c>
      <c r="B985" s="1" t="s">
        <v>938</v>
      </c>
      <c r="C985" s="379">
        <v>530477344966</v>
      </c>
      <c r="D985" s="341" t="s">
        <v>45</v>
      </c>
      <c r="E985" s="367">
        <v>8</v>
      </c>
      <c r="F985" s="680"/>
      <c r="G985" s="29">
        <v>0</v>
      </c>
      <c r="H985" s="29">
        <v>15.116015418335726</v>
      </c>
      <c r="I985" s="29">
        <v>0</v>
      </c>
      <c r="J985" s="29">
        <v>0</v>
      </c>
      <c r="K985" s="29">
        <v>0</v>
      </c>
      <c r="L985" s="29">
        <v>0</v>
      </c>
      <c r="M985" s="29">
        <f t="shared" si="37"/>
        <v>15.116015418335726</v>
      </c>
    </row>
    <row r="986" spans="1:13" outlineLevel="2">
      <c r="A986" s="172">
        <v>46174</v>
      </c>
      <c r="B986" s="1" t="s">
        <v>945</v>
      </c>
      <c r="C986" s="379">
        <v>707296342982</v>
      </c>
      <c r="D986" s="341" t="s">
        <v>45</v>
      </c>
      <c r="E986" s="367">
        <v>0.5</v>
      </c>
      <c r="F986" s="680"/>
      <c r="G986" s="29">
        <v>0</v>
      </c>
      <c r="H986" s="29">
        <v>15.116015418335726</v>
      </c>
      <c r="I986" s="29">
        <v>0</v>
      </c>
      <c r="J986" s="29">
        <v>0</v>
      </c>
      <c r="K986" s="29">
        <v>0</v>
      </c>
      <c r="L986" s="29">
        <v>0</v>
      </c>
      <c r="M986" s="29">
        <f t="shared" si="37"/>
        <v>15.116015418335726</v>
      </c>
    </row>
    <row r="987" spans="1:13" outlineLevel="2">
      <c r="A987" s="172">
        <v>46174</v>
      </c>
      <c r="B987" s="1" t="s">
        <v>815</v>
      </c>
      <c r="C987" s="379">
        <v>871633572370</v>
      </c>
      <c r="D987" s="341" t="s">
        <v>655</v>
      </c>
      <c r="E987" s="367">
        <v>14.4</v>
      </c>
      <c r="F987" s="680"/>
      <c r="G987" s="29">
        <v>0</v>
      </c>
      <c r="H987" s="29">
        <v>0</v>
      </c>
      <c r="I987" s="29">
        <v>58.897173305116773</v>
      </c>
      <c r="J987" s="29">
        <v>0</v>
      </c>
      <c r="K987" s="29">
        <v>0</v>
      </c>
      <c r="L987" s="29">
        <v>0</v>
      </c>
      <c r="M987" s="29">
        <f t="shared" si="37"/>
        <v>58.897173305116773</v>
      </c>
    </row>
    <row r="988" spans="1:13" outlineLevel="2">
      <c r="A988" s="172">
        <v>46174</v>
      </c>
      <c r="B988" s="1" t="s">
        <v>2368</v>
      </c>
      <c r="C988" s="379">
        <v>871782346380</v>
      </c>
      <c r="D988" s="341" t="s">
        <v>45</v>
      </c>
      <c r="E988" s="367">
        <v>3.4</v>
      </c>
      <c r="F988" s="680"/>
      <c r="G988" s="29">
        <v>0</v>
      </c>
      <c r="H988" s="29">
        <v>15.116015418335726</v>
      </c>
      <c r="I988" s="29">
        <v>0</v>
      </c>
      <c r="J988" s="29">
        <v>0</v>
      </c>
      <c r="K988" s="29">
        <v>0</v>
      </c>
      <c r="L988" s="29">
        <v>0</v>
      </c>
      <c r="M988" s="29">
        <f t="shared" ref="M988:M1051" si="38">SUM(G988:L988)</f>
        <v>15.116015418335726</v>
      </c>
    </row>
    <row r="989" spans="1:13" outlineLevel="2">
      <c r="A989" s="172">
        <v>46174</v>
      </c>
      <c r="B989" s="1" t="s">
        <v>648</v>
      </c>
      <c r="C989" s="379">
        <v>871830794035</v>
      </c>
      <c r="D989" s="341" t="s">
        <v>655</v>
      </c>
      <c r="E989" s="367">
        <v>2.1</v>
      </c>
      <c r="F989" s="680"/>
      <c r="G989" s="29">
        <v>0</v>
      </c>
      <c r="H989" s="29">
        <v>15.116015418335726</v>
      </c>
      <c r="I989" s="29">
        <v>20.316378202705767</v>
      </c>
      <c r="J989" s="29">
        <v>0</v>
      </c>
      <c r="K989" s="29">
        <v>0</v>
      </c>
      <c r="L989" s="29">
        <v>0</v>
      </c>
      <c r="M989" s="29">
        <f t="shared" si="38"/>
        <v>35.432393621041491</v>
      </c>
    </row>
    <row r="990" spans="1:13" outlineLevel="2">
      <c r="A990" s="172">
        <v>46174</v>
      </c>
      <c r="B990" s="1" t="s">
        <v>811</v>
      </c>
      <c r="C990" s="379">
        <v>871965623931</v>
      </c>
      <c r="D990" s="341" t="s">
        <v>655</v>
      </c>
      <c r="E990" s="367">
        <v>57.3</v>
      </c>
      <c r="F990" s="680"/>
      <c r="G990" s="29">
        <v>0</v>
      </c>
      <c r="H990" s="29">
        <v>15.116015418335726</v>
      </c>
      <c r="I990" s="29">
        <v>181.48061371022598</v>
      </c>
      <c r="J990" s="29">
        <v>0</v>
      </c>
      <c r="K990" s="29">
        <v>0</v>
      </c>
      <c r="L990" s="29">
        <v>0</v>
      </c>
      <c r="M990" s="29">
        <f t="shared" si="38"/>
        <v>196.59662912856172</v>
      </c>
    </row>
    <row r="991" spans="1:13" outlineLevel="2">
      <c r="A991" s="172">
        <v>46174</v>
      </c>
      <c r="B991" s="1" t="s">
        <v>2889</v>
      </c>
      <c r="C991" s="379">
        <v>872002149199</v>
      </c>
      <c r="D991" s="341" t="s">
        <v>45</v>
      </c>
      <c r="E991" s="367">
        <v>0.5</v>
      </c>
      <c r="F991" s="680"/>
      <c r="G991" s="29">
        <v>0</v>
      </c>
      <c r="H991" s="29">
        <v>15.116015418335726</v>
      </c>
      <c r="I991" s="29">
        <v>0</v>
      </c>
      <c r="J991" s="29">
        <v>0</v>
      </c>
      <c r="K991" s="29">
        <v>0</v>
      </c>
      <c r="L991" s="29">
        <v>0</v>
      </c>
      <c r="M991" s="29">
        <f t="shared" si="38"/>
        <v>15.116015418335726</v>
      </c>
    </row>
    <row r="992" spans="1:13" outlineLevel="2">
      <c r="A992" s="172">
        <v>46174</v>
      </c>
      <c r="B992" s="1" t="s">
        <v>1720</v>
      </c>
      <c r="C992" s="379">
        <v>872087824697</v>
      </c>
      <c r="D992" s="341" t="s">
        <v>45</v>
      </c>
      <c r="E992" s="367">
        <v>255</v>
      </c>
      <c r="F992" s="680"/>
      <c r="G992" s="29">
        <v>0</v>
      </c>
      <c r="H992" s="29">
        <v>94.475096364598286</v>
      </c>
      <c r="I992" s="29">
        <v>0</v>
      </c>
      <c r="J992" s="29">
        <v>0</v>
      </c>
      <c r="K992" s="29">
        <v>0</v>
      </c>
      <c r="L992" s="29">
        <v>0</v>
      </c>
      <c r="M992" s="29">
        <f t="shared" si="38"/>
        <v>94.475096364598286</v>
      </c>
    </row>
    <row r="993" spans="1:13" outlineLevel="2">
      <c r="A993" s="172">
        <v>46174</v>
      </c>
      <c r="B993" s="1" t="s">
        <v>815</v>
      </c>
      <c r="C993" s="379">
        <v>872115753797</v>
      </c>
      <c r="D993" s="341" t="s">
        <v>655</v>
      </c>
      <c r="E993" s="367">
        <v>5.5</v>
      </c>
      <c r="F993" s="680"/>
      <c r="G993" s="29">
        <v>0</v>
      </c>
      <c r="H993" s="29">
        <v>15.116015418335726</v>
      </c>
      <c r="I993" s="29">
        <v>27.726475701005214</v>
      </c>
      <c r="J993" s="29">
        <v>0</v>
      </c>
      <c r="K993" s="29">
        <v>0</v>
      </c>
      <c r="L993" s="29">
        <v>0</v>
      </c>
      <c r="M993" s="29">
        <f t="shared" si="38"/>
        <v>42.842491119340941</v>
      </c>
    </row>
    <row r="994" spans="1:13" outlineLevel="2">
      <c r="A994" s="172">
        <v>46174</v>
      </c>
      <c r="B994" s="1" t="s">
        <v>648</v>
      </c>
      <c r="C994" s="379">
        <v>872177506511</v>
      </c>
      <c r="D994" s="341" t="s">
        <v>655</v>
      </c>
      <c r="E994" s="367">
        <v>3.3</v>
      </c>
      <c r="F994" s="680"/>
      <c r="G994" s="29">
        <v>0</v>
      </c>
      <c r="H994" s="29">
        <v>15.116015418335726</v>
      </c>
      <c r="I994" s="29">
        <v>26.320724057138538</v>
      </c>
      <c r="J994" s="29">
        <v>0</v>
      </c>
      <c r="K994" s="29">
        <v>0</v>
      </c>
      <c r="L994" s="29">
        <v>0</v>
      </c>
      <c r="M994" s="29">
        <f t="shared" si="38"/>
        <v>41.436739475474262</v>
      </c>
    </row>
    <row r="995" spans="1:13" outlineLevel="2">
      <c r="A995" s="172">
        <v>46174</v>
      </c>
      <c r="B995" s="1" t="s">
        <v>1481</v>
      </c>
      <c r="C995" s="379">
        <v>872184919606</v>
      </c>
      <c r="D995" s="341" t="s">
        <v>655</v>
      </c>
      <c r="E995" s="367">
        <v>29.7</v>
      </c>
      <c r="F995" s="680"/>
      <c r="G995" s="29">
        <v>0</v>
      </c>
      <c r="H995" s="29">
        <v>15.116015418335726</v>
      </c>
      <c r="I995" s="29">
        <v>92.766495351825256</v>
      </c>
      <c r="J995" s="29">
        <v>0</v>
      </c>
      <c r="K995" s="29">
        <v>0</v>
      </c>
      <c r="L995" s="29">
        <v>0</v>
      </c>
      <c r="M995" s="29">
        <f t="shared" si="38"/>
        <v>107.88251077016098</v>
      </c>
    </row>
    <row r="996" spans="1:13" outlineLevel="2">
      <c r="A996" s="172">
        <v>46174</v>
      </c>
      <c r="B996" s="1" t="s">
        <v>2400</v>
      </c>
      <c r="C996" s="379">
        <v>872201755226</v>
      </c>
      <c r="D996" s="341" t="s">
        <v>45</v>
      </c>
      <c r="E996" s="367">
        <v>7.4</v>
      </c>
      <c r="F996" s="680"/>
      <c r="G996" s="29">
        <v>0</v>
      </c>
      <c r="H996" s="29">
        <v>15.116015418335726</v>
      </c>
      <c r="I996" s="29">
        <v>0</v>
      </c>
      <c r="J996" s="29">
        <v>0</v>
      </c>
      <c r="K996" s="29">
        <v>0</v>
      </c>
      <c r="L996" s="29">
        <v>0</v>
      </c>
      <c r="M996" s="29">
        <f t="shared" si="38"/>
        <v>15.116015418335726</v>
      </c>
    </row>
    <row r="997" spans="1:13" outlineLevel="2">
      <c r="A997" s="172">
        <v>46174</v>
      </c>
      <c r="B997" s="1" t="s">
        <v>807</v>
      </c>
      <c r="C997" s="379">
        <v>872210635650</v>
      </c>
      <c r="D997" s="341" t="s">
        <v>655</v>
      </c>
      <c r="E997" s="367">
        <v>7.2</v>
      </c>
      <c r="F997" s="680"/>
      <c r="G997" s="29">
        <v>0</v>
      </c>
      <c r="H997" s="29">
        <v>15.116015418335726</v>
      </c>
      <c r="I997" s="29">
        <v>39.62633209885874</v>
      </c>
      <c r="J997" s="29">
        <v>0</v>
      </c>
      <c r="K997" s="29">
        <v>0</v>
      </c>
      <c r="L997" s="29">
        <v>0</v>
      </c>
      <c r="M997" s="29">
        <f t="shared" si="38"/>
        <v>54.742347517194467</v>
      </c>
    </row>
    <row r="998" spans="1:13" outlineLevel="2">
      <c r="A998" s="172">
        <v>46174</v>
      </c>
      <c r="B998" s="1" t="s">
        <v>811</v>
      </c>
      <c r="C998" s="379">
        <v>872212668459</v>
      </c>
      <c r="D998" s="341" t="s">
        <v>655</v>
      </c>
      <c r="E998" s="367">
        <v>27.7</v>
      </c>
      <c r="F998" s="680"/>
      <c r="G998" s="29">
        <v>0</v>
      </c>
      <c r="H998" s="29">
        <v>15.116015418335726</v>
      </c>
      <c r="I998" s="29">
        <v>88.845287582193336</v>
      </c>
      <c r="J998" s="29">
        <v>0</v>
      </c>
      <c r="K998" s="29">
        <v>0</v>
      </c>
      <c r="L998" s="29">
        <v>0</v>
      </c>
      <c r="M998" s="29">
        <f t="shared" si="38"/>
        <v>103.96130300052906</v>
      </c>
    </row>
    <row r="999" spans="1:13" outlineLevel="2">
      <c r="A999" s="172">
        <v>46174</v>
      </c>
      <c r="B999" s="1" t="s">
        <v>805</v>
      </c>
      <c r="C999" s="379">
        <v>872378270097</v>
      </c>
      <c r="D999" s="341" t="s">
        <v>655</v>
      </c>
      <c r="E999" s="367">
        <v>7.8</v>
      </c>
      <c r="F999" s="680"/>
      <c r="G999" s="29">
        <v>0</v>
      </c>
      <c r="H999" s="29">
        <v>15.116015418335726</v>
      </c>
      <c r="I999" s="29">
        <v>41.809084725266423</v>
      </c>
      <c r="J999" s="29">
        <v>0</v>
      </c>
      <c r="K999" s="29">
        <v>0</v>
      </c>
      <c r="L999" s="29">
        <v>0</v>
      </c>
      <c r="M999" s="29">
        <f t="shared" si="38"/>
        <v>56.925100143602151</v>
      </c>
    </row>
    <row r="1000" spans="1:13" outlineLevel="2">
      <c r="A1000" s="172">
        <v>46174</v>
      </c>
      <c r="B1000" s="1" t="s">
        <v>1719</v>
      </c>
      <c r="C1000" s="379">
        <v>872528466333</v>
      </c>
      <c r="D1000" s="341" t="s">
        <v>45</v>
      </c>
      <c r="E1000" s="367">
        <v>1.5</v>
      </c>
      <c r="F1000" s="680"/>
      <c r="G1000" s="29">
        <v>0</v>
      </c>
      <c r="H1000" s="29">
        <v>15.116015418335726</v>
      </c>
      <c r="I1000" s="29">
        <v>0</v>
      </c>
      <c r="J1000" s="29">
        <v>0</v>
      </c>
      <c r="K1000" s="29">
        <v>0</v>
      </c>
      <c r="L1000" s="29">
        <v>0</v>
      </c>
      <c r="M1000" s="29">
        <f t="shared" si="38"/>
        <v>15.116015418335726</v>
      </c>
    </row>
    <row r="1001" spans="1:13" outlineLevel="2">
      <c r="A1001" s="172">
        <v>46174</v>
      </c>
      <c r="B1001" s="1" t="s">
        <v>2041</v>
      </c>
      <c r="C1001" s="379">
        <v>872563378597</v>
      </c>
      <c r="D1001" s="341" t="s">
        <v>45</v>
      </c>
      <c r="E1001" s="367">
        <v>3.4</v>
      </c>
      <c r="F1001" s="680"/>
      <c r="G1001" s="29">
        <v>0</v>
      </c>
      <c r="H1001" s="29">
        <v>15.116015418335726</v>
      </c>
      <c r="I1001" s="29">
        <v>0</v>
      </c>
      <c r="J1001" s="29">
        <v>0</v>
      </c>
      <c r="K1001" s="29">
        <v>0</v>
      </c>
      <c r="L1001" s="29">
        <v>0</v>
      </c>
      <c r="M1001" s="29">
        <f t="shared" si="38"/>
        <v>15.116015418335726</v>
      </c>
    </row>
    <row r="1002" spans="1:13" outlineLevel="2">
      <c r="A1002" s="172">
        <v>46174</v>
      </c>
      <c r="B1002" s="1" t="s">
        <v>807</v>
      </c>
      <c r="C1002" s="379">
        <v>872573559760</v>
      </c>
      <c r="D1002" s="341" t="s">
        <v>655</v>
      </c>
      <c r="E1002" s="367">
        <v>32.9</v>
      </c>
      <c r="F1002" s="680"/>
      <c r="G1002" s="29">
        <v>0</v>
      </c>
      <c r="H1002" s="29">
        <v>15.116015418335726</v>
      </c>
      <c r="I1002" s="29">
        <v>101.87249640994634</v>
      </c>
      <c r="J1002" s="29">
        <v>0</v>
      </c>
      <c r="K1002" s="29">
        <v>0</v>
      </c>
      <c r="L1002" s="29">
        <v>0</v>
      </c>
      <c r="M1002" s="29">
        <f t="shared" si="38"/>
        <v>116.98851182828206</v>
      </c>
    </row>
    <row r="1003" spans="1:13" outlineLevel="2">
      <c r="A1003" s="172">
        <v>46174</v>
      </c>
      <c r="B1003" s="1" t="s">
        <v>338</v>
      </c>
      <c r="C1003" s="379">
        <v>872628363850</v>
      </c>
      <c r="D1003" s="341" t="s">
        <v>655</v>
      </c>
      <c r="E1003" s="367">
        <v>31.1</v>
      </c>
      <c r="F1003" s="680"/>
      <c r="G1003" s="29">
        <v>0</v>
      </c>
      <c r="H1003" s="29">
        <v>15.116015418335726</v>
      </c>
      <c r="I1003" s="29">
        <v>128.30402086010128</v>
      </c>
      <c r="J1003" s="29">
        <v>0</v>
      </c>
      <c r="K1003" s="29">
        <v>0</v>
      </c>
      <c r="L1003" s="29">
        <v>0</v>
      </c>
      <c r="M1003" s="29">
        <f t="shared" si="38"/>
        <v>143.42003627843701</v>
      </c>
    </row>
    <row r="1004" spans="1:13" outlineLevel="2">
      <c r="A1004" s="172">
        <v>46174</v>
      </c>
      <c r="B1004" s="1" t="s">
        <v>807</v>
      </c>
      <c r="C1004" s="379">
        <v>872629406576</v>
      </c>
      <c r="D1004" s="341" t="s">
        <v>655</v>
      </c>
      <c r="E1004" s="367">
        <v>40.299999999999997</v>
      </c>
      <c r="F1004" s="680"/>
      <c r="G1004" s="29">
        <v>0</v>
      </c>
      <c r="H1004" s="29">
        <v>15.116015418335726</v>
      </c>
      <c r="I1004" s="29">
        <v>115.04368528455899</v>
      </c>
      <c r="J1004" s="29">
        <v>0</v>
      </c>
      <c r="K1004" s="29">
        <v>0</v>
      </c>
      <c r="L1004" s="29">
        <v>0</v>
      </c>
      <c r="M1004" s="29">
        <f t="shared" si="38"/>
        <v>130.15970070289472</v>
      </c>
    </row>
    <row r="1005" spans="1:13" outlineLevel="2">
      <c r="A1005" s="172">
        <v>46174</v>
      </c>
      <c r="B1005" s="1" t="s">
        <v>1481</v>
      </c>
      <c r="C1005" s="379">
        <v>872688461270</v>
      </c>
      <c r="D1005" s="341" t="s">
        <v>655</v>
      </c>
      <c r="E1005" s="367">
        <v>8</v>
      </c>
      <c r="F1005" s="680"/>
      <c r="G1005" s="29">
        <v>0</v>
      </c>
      <c r="H1005" s="29">
        <v>15.116015418335726</v>
      </c>
      <c r="I1005" s="29">
        <v>41.739173153956614</v>
      </c>
      <c r="J1005" s="29">
        <v>0</v>
      </c>
      <c r="K1005" s="29">
        <v>0</v>
      </c>
      <c r="L1005" s="29">
        <v>0</v>
      </c>
      <c r="M1005" s="29">
        <f t="shared" si="38"/>
        <v>56.855188572292342</v>
      </c>
    </row>
    <row r="1006" spans="1:13" outlineLevel="2">
      <c r="A1006" s="172">
        <v>46174</v>
      </c>
      <c r="B1006" s="1" t="s">
        <v>375</v>
      </c>
      <c r="C1006" s="379">
        <v>872873986800</v>
      </c>
      <c r="D1006" s="341" t="s">
        <v>655</v>
      </c>
      <c r="E1006" s="367">
        <v>39.6</v>
      </c>
      <c r="F1006" s="680"/>
      <c r="G1006" s="29">
        <v>0</v>
      </c>
      <c r="H1006" s="29">
        <v>15.116015418335726</v>
      </c>
      <c r="I1006" s="29">
        <v>125.8510316680523</v>
      </c>
      <c r="J1006" s="29">
        <v>0</v>
      </c>
      <c r="K1006" s="29">
        <v>0</v>
      </c>
      <c r="L1006" s="29">
        <v>0</v>
      </c>
      <c r="M1006" s="29">
        <f t="shared" si="38"/>
        <v>140.96704708638802</v>
      </c>
    </row>
    <row r="1007" spans="1:13" outlineLevel="2">
      <c r="A1007" s="172">
        <v>46174</v>
      </c>
      <c r="B1007" s="1" t="s">
        <v>336</v>
      </c>
      <c r="C1007" s="379">
        <v>872926227843</v>
      </c>
      <c r="D1007" s="341" t="s">
        <v>655</v>
      </c>
      <c r="E1007" s="367">
        <v>7.9</v>
      </c>
      <c r="F1007" s="680"/>
      <c r="G1007" s="29">
        <v>0</v>
      </c>
      <c r="H1007" s="29">
        <v>15.116015418335726</v>
      </c>
      <c r="I1007" s="29">
        <v>42.510089940291742</v>
      </c>
      <c r="J1007" s="29">
        <v>0</v>
      </c>
      <c r="K1007" s="29">
        <v>0</v>
      </c>
      <c r="L1007" s="29">
        <v>0</v>
      </c>
      <c r="M1007" s="29">
        <f t="shared" si="38"/>
        <v>57.62610535862747</v>
      </c>
    </row>
    <row r="1008" spans="1:13" outlineLevel="2">
      <c r="A1008" s="172">
        <v>46174</v>
      </c>
      <c r="B1008" s="1" t="s">
        <v>807</v>
      </c>
      <c r="C1008" s="379">
        <v>873058145825</v>
      </c>
      <c r="D1008" s="341" t="s">
        <v>655</v>
      </c>
      <c r="E1008" s="367">
        <v>39.9</v>
      </c>
      <c r="F1008" s="680"/>
      <c r="G1008" s="29">
        <v>0</v>
      </c>
      <c r="H1008" s="29">
        <v>15.116015418335726</v>
      </c>
      <c r="I1008" s="29">
        <v>110.22606001058121</v>
      </c>
      <c r="J1008" s="29">
        <v>0</v>
      </c>
      <c r="K1008" s="29">
        <v>0</v>
      </c>
      <c r="L1008" s="29">
        <v>0</v>
      </c>
      <c r="M1008" s="29">
        <f t="shared" si="38"/>
        <v>125.34207542891693</v>
      </c>
    </row>
    <row r="1009" spans="1:13" outlineLevel="2">
      <c r="A1009" s="172">
        <v>46174</v>
      </c>
      <c r="B1009" s="1" t="s">
        <v>811</v>
      </c>
      <c r="C1009" s="379">
        <v>873128715288</v>
      </c>
      <c r="D1009" s="341" t="s">
        <v>655</v>
      </c>
      <c r="E1009" s="367">
        <v>44.3</v>
      </c>
      <c r="F1009" s="680"/>
      <c r="G1009" s="29">
        <v>0</v>
      </c>
      <c r="H1009" s="29">
        <v>15.116015418335726</v>
      </c>
      <c r="I1009" s="29">
        <v>135.3610838183055</v>
      </c>
      <c r="J1009" s="29">
        <v>0</v>
      </c>
      <c r="K1009" s="29">
        <v>0</v>
      </c>
      <c r="L1009" s="29">
        <v>0</v>
      </c>
      <c r="M1009" s="29">
        <f t="shared" si="38"/>
        <v>150.47709923664124</v>
      </c>
    </row>
    <row r="1010" spans="1:13" outlineLevel="2">
      <c r="A1010" s="172">
        <v>46174</v>
      </c>
      <c r="B1010" s="1" t="s">
        <v>807</v>
      </c>
      <c r="C1010" s="379">
        <v>873131729718</v>
      </c>
      <c r="D1010" s="341" t="s">
        <v>655</v>
      </c>
      <c r="E1010" s="367">
        <v>34.6</v>
      </c>
      <c r="F1010" s="680"/>
      <c r="G1010" s="29">
        <v>0</v>
      </c>
      <c r="H1010" s="29">
        <v>15.116015418335726</v>
      </c>
      <c r="I1010" s="29">
        <v>103.52203159247223</v>
      </c>
      <c r="J1010" s="29">
        <v>0</v>
      </c>
      <c r="K1010" s="29">
        <v>0</v>
      </c>
      <c r="L1010" s="29">
        <v>0</v>
      </c>
      <c r="M1010" s="29">
        <f t="shared" si="38"/>
        <v>118.63804701080795</v>
      </c>
    </row>
    <row r="1011" spans="1:13" outlineLevel="2">
      <c r="A1011" s="172">
        <v>46174</v>
      </c>
      <c r="B1011" s="1" t="s">
        <v>2881</v>
      </c>
      <c r="C1011" s="379">
        <v>873153886387</v>
      </c>
      <c r="D1011" s="341" t="s">
        <v>45</v>
      </c>
      <c r="E1011" s="367">
        <v>0.5</v>
      </c>
      <c r="F1011" s="680"/>
      <c r="G1011" s="29">
        <v>0</v>
      </c>
      <c r="H1011" s="29">
        <v>15.116015418335726</v>
      </c>
      <c r="I1011" s="29">
        <v>0</v>
      </c>
      <c r="J1011" s="29">
        <v>0</v>
      </c>
      <c r="K1011" s="29">
        <v>0</v>
      </c>
      <c r="L1011" s="29">
        <v>0</v>
      </c>
      <c r="M1011" s="29">
        <f t="shared" si="38"/>
        <v>15.116015418335726</v>
      </c>
    </row>
    <row r="1012" spans="1:13" outlineLevel="2">
      <c r="A1012" s="172">
        <v>46174</v>
      </c>
      <c r="B1012" s="1" t="s">
        <v>375</v>
      </c>
      <c r="C1012" s="379">
        <v>873178336511</v>
      </c>
      <c r="D1012" s="341" t="s">
        <v>655</v>
      </c>
      <c r="E1012" s="367">
        <v>22.5</v>
      </c>
      <c r="F1012" s="680"/>
      <c r="G1012" s="29">
        <v>0</v>
      </c>
      <c r="H1012" s="29">
        <v>15.116015418335726</v>
      </c>
      <c r="I1012" s="29">
        <v>77.917050865391886</v>
      </c>
      <c r="J1012" s="29">
        <v>0</v>
      </c>
      <c r="K1012" s="29">
        <v>0</v>
      </c>
      <c r="L1012" s="29">
        <v>0</v>
      </c>
      <c r="M1012" s="29">
        <f t="shared" si="38"/>
        <v>93.033066283727607</v>
      </c>
    </row>
    <row r="1013" spans="1:13" outlineLevel="2">
      <c r="A1013" s="172">
        <v>46174</v>
      </c>
      <c r="B1013" s="1" t="s">
        <v>815</v>
      </c>
      <c r="C1013" s="379">
        <v>873186448972</v>
      </c>
      <c r="D1013" s="341" t="s">
        <v>655</v>
      </c>
      <c r="E1013" s="367">
        <v>2.4</v>
      </c>
      <c r="F1013" s="680"/>
      <c r="G1013" s="29">
        <v>0</v>
      </c>
      <c r="H1013" s="29">
        <v>15.116015418335726</v>
      </c>
      <c r="I1013" s="29">
        <v>37.939800468596481</v>
      </c>
      <c r="J1013" s="29">
        <v>0</v>
      </c>
      <c r="K1013" s="29">
        <v>0</v>
      </c>
      <c r="L1013" s="29">
        <v>0</v>
      </c>
      <c r="M1013" s="29">
        <f t="shared" si="38"/>
        <v>53.055815886932209</v>
      </c>
    </row>
    <row r="1014" spans="1:13" outlineLevel="2">
      <c r="A1014" s="172">
        <v>46174</v>
      </c>
      <c r="B1014" s="1" t="s">
        <v>1469</v>
      </c>
      <c r="C1014" s="379">
        <v>873285613010</v>
      </c>
      <c r="D1014" s="341" t="s">
        <v>45</v>
      </c>
      <c r="E1014" s="367">
        <v>3.5</v>
      </c>
      <c r="F1014" s="680"/>
      <c r="G1014" s="29">
        <v>0</v>
      </c>
      <c r="H1014" s="29">
        <v>15.116015418335726</v>
      </c>
      <c r="I1014" s="29">
        <v>0</v>
      </c>
      <c r="J1014" s="29">
        <v>0</v>
      </c>
      <c r="K1014" s="29">
        <v>0</v>
      </c>
      <c r="L1014" s="29">
        <v>0</v>
      </c>
      <c r="M1014" s="29">
        <f t="shared" si="38"/>
        <v>15.116015418335726</v>
      </c>
    </row>
    <row r="1015" spans="1:13" outlineLevel="2">
      <c r="A1015" s="172">
        <v>46174</v>
      </c>
      <c r="B1015" s="1" t="s">
        <v>2958</v>
      </c>
      <c r="C1015" s="379" t="s">
        <v>2957</v>
      </c>
      <c r="D1015" s="341" t="s">
        <v>1333</v>
      </c>
      <c r="E1015" s="367">
        <v>71.16</v>
      </c>
      <c r="F1015" s="680"/>
      <c r="G1015" s="29">
        <v>0</v>
      </c>
      <c r="H1015" s="29">
        <v>15.116015418335726</v>
      </c>
      <c r="I1015" s="29">
        <v>0</v>
      </c>
      <c r="J1015" s="29">
        <v>0</v>
      </c>
      <c r="K1015" s="29">
        <v>0</v>
      </c>
      <c r="L1015" s="29">
        <v>0</v>
      </c>
      <c r="M1015" s="29">
        <f t="shared" si="38"/>
        <v>15.116015418335726</v>
      </c>
    </row>
    <row r="1016" spans="1:13" outlineLevel="2">
      <c r="A1016" s="172">
        <v>46174</v>
      </c>
      <c r="B1016" s="1" t="s">
        <v>963</v>
      </c>
      <c r="C1016" s="379" t="s">
        <v>2884</v>
      </c>
      <c r="D1016" s="341" t="s">
        <v>1785</v>
      </c>
      <c r="E1016" s="367">
        <v>0.5</v>
      </c>
      <c r="F1016" s="680"/>
      <c r="G1016" s="29">
        <v>0</v>
      </c>
      <c r="H1016" s="29">
        <v>15.116015418335726</v>
      </c>
      <c r="I1016" s="29">
        <v>0</v>
      </c>
      <c r="J1016" s="29">
        <v>0</v>
      </c>
      <c r="K1016" s="29">
        <v>0</v>
      </c>
      <c r="L1016" s="29">
        <v>0</v>
      </c>
      <c r="M1016" s="29">
        <f t="shared" si="38"/>
        <v>15.116015418335726</v>
      </c>
    </row>
    <row r="1017" spans="1:13" outlineLevel="2">
      <c r="A1017" s="172">
        <v>46174</v>
      </c>
      <c r="B1017" s="1" t="s">
        <v>940</v>
      </c>
      <c r="C1017" s="379" t="s">
        <v>2203</v>
      </c>
      <c r="D1017" s="341" t="s">
        <v>65</v>
      </c>
      <c r="E1017" s="367">
        <v>3.4</v>
      </c>
      <c r="F1017" s="680"/>
      <c r="G1017" s="29">
        <v>0</v>
      </c>
      <c r="H1017" s="29">
        <v>15.116015418335726</v>
      </c>
      <c r="I1017" s="29">
        <v>0</v>
      </c>
      <c r="J1017" s="29">
        <v>0</v>
      </c>
      <c r="K1017" s="29">
        <v>60.750510165520367</v>
      </c>
      <c r="L1017" s="29">
        <v>0</v>
      </c>
      <c r="M1017" s="29">
        <f t="shared" si="38"/>
        <v>75.866525583856088</v>
      </c>
    </row>
    <row r="1018" spans="1:13" outlineLevel="2">
      <c r="A1018" s="172">
        <v>46174</v>
      </c>
      <c r="B1018" s="1" t="s">
        <v>940</v>
      </c>
      <c r="C1018" s="379" t="s">
        <v>2207</v>
      </c>
      <c r="D1018" s="341" t="s">
        <v>65</v>
      </c>
      <c r="E1018" s="367">
        <v>3.4</v>
      </c>
      <c r="F1018" s="680"/>
      <c r="G1018" s="29">
        <v>0</v>
      </c>
      <c r="H1018" s="29">
        <v>15.116015418335726</v>
      </c>
      <c r="I1018" s="29">
        <v>0</v>
      </c>
      <c r="J1018" s="29">
        <v>0</v>
      </c>
      <c r="K1018" s="29">
        <v>60.750510165520367</v>
      </c>
      <c r="L1018" s="29">
        <v>0</v>
      </c>
      <c r="M1018" s="29">
        <f t="shared" si="38"/>
        <v>75.866525583856088</v>
      </c>
    </row>
    <row r="1019" spans="1:13" outlineLevel="2">
      <c r="A1019" s="172">
        <v>46174</v>
      </c>
      <c r="B1019" s="1" t="s">
        <v>940</v>
      </c>
      <c r="C1019" s="379" t="s">
        <v>2189</v>
      </c>
      <c r="D1019" s="341" t="s">
        <v>65</v>
      </c>
      <c r="E1019" s="367">
        <v>3.4</v>
      </c>
      <c r="F1019" s="680"/>
      <c r="G1019" s="29">
        <v>0</v>
      </c>
      <c r="H1019" s="29">
        <v>15.116015418335726</v>
      </c>
      <c r="I1019" s="29">
        <v>0</v>
      </c>
      <c r="J1019" s="29">
        <v>0</v>
      </c>
      <c r="K1019" s="29">
        <v>60.750510165520367</v>
      </c>
      <c r="L1019" s="29">
        <v>0</v>
      </c>
      <c r="M1019" s="29">
        <f t="shared" si="38"/>
        <v>75.866525583856088</v>
      </c>
    </row>
    <row r="1020" spans="1:13" outlineLevel="2">
      <c r="A1020" s="172">
        <v>46174</v>
      </c>
      <c r="B1020" s="1" t="s">
        <v>940</v>
      </c>
      <c r="C1020" s="379" t="s">
        <v>2195</v>
      </c>
      <c r="D1020" s="341" t="s">
        <v>65</v>
      </c>
      <c r="E1020" s="367">
        <v>3.4</v>
      </c>
      <c r="F1020" s="680"/>
      <c r="G1020" s="29">
        <v>0</v>
      </c>
      <c r="H1020" s="29">
        <v>15.116015418335726</v>
      </c>
      <c r="I1020" s="29">
        <v>0</v>
      </c>
      <c r="J1020" s="29">
        <v>0</v>
      </c>
      <c r="K1020" s="29">
        <v>60.750510165520367</v>
      </c>
      <c r="L1020" s="29">
        <v>0</v>
      </c>
      <c r="M1020" s="29">
        <f t="shared" si="38"/>
        <v>75.866525583856088</v>
      </c>
    </row>
    <row r="1021" spans="1:13" outlineLevel="2">
      <c r="A1021" s="172">
        <v>46174</v>
      </c>
      <c r="B1021" s="1" t="s">
        <v>940</v>
      </c>
      <c r="C1021" s="379" t="s">
        <v>2185</v>
      </c>
      <c r="D1021" s="341" t="s">
        <v>65</v>
      </c>
      <c r="E1021" s="367">
        <v>3.4</v>
      </c>
      <c r="F1021" s="680"/>
      <c r="G1021" s="29">
        <v>0</v>
      </c>
      <c r="H1021" s="29">
        <v>15.116015418335726</v>
      </c>
      <c r="I1021" s="29">
        <v>0</v>
      </c>
      <c r="J1021" s="29">
        <v>0</v>
      </c>
      <c r="K1021" s="29">
        <v>60.750510165520367</v>
      </c>
      <c r="L1021" s="29">
        <v>0</v>
      </c>
      <c r="M1021" s="29">
        <f t="shared" si="38"/>
        <v>75.866525583856088</v>
      </c>
    </row>
    <row r="1022" spans="1:13" outlineLevel="2">
      <c r="A1022" s="172">
        <v>46174</v>
      </c>
      <c r="B1022" s="1" t="s">
        <v>940</v>
      </c>
      <c r="C1022" s="379" t="s">
        <v>2213</v>
      </c>
      <c r="D1022" s="341" t="s">
        <v>65</v>
      </c>
      <c r="E1022" s="367">
        <v>3.8</v>
      </c>
      <c r="F1022" s="680"/>
      <c r="G1022" s="29">
        <v>0</v>
      </c>
      <c r="H1022" s="29">
        <v>15.116015418335726</v>
      </c>
      <c r="I1022" s="29">
        <v>0</v>
      </c>
      <c r="J1022" s="29">
        <v>0</v>
      </c>
      <c r="K1022" s="29">
        <v>60.750510165520367</v>
      </c>
      <c r="L1022" s="29">
        <v>0</v>
      </c>
      <c r="M1022" s="29">
        <f t="shared" si="38"/>
        <v>75.866525583856088</v>
      </c>
    </row>
    <row r="1023" spans="1:13" outlineLevel="2">
      <c r="A1023" s="172">
        <v>46174</v>
      </c>
      <c r="B1023" s="1" t="s">
        <v>940</v>
      </c>
      <c r="C1023" s="379" t="s">
        <v>2211</v>
      </c>
      <c r="D1023" s="341" t="s">
        <v>65</v>
      </c>
      <c r="E1023" s="367">
        <v>3.4</v>
      </c>
      <c r="F1023" s="680"/>
      <c r="G1023" s="29">
        <v>0</v>
      </c>
      <c r="H1023" s="29">
        <v>15.116015418335726</v>
      </c>
      <c r="I1023" s="29">
        <v>0</v>
      </c>
      <c r="J1023" s="29">
        <v>0</v>
      </c>
      <c r="K1023" s="29">
        <v>60.750510165520367</v>
      </c>
      <c r="L1023" s="29">
        <v>0</v>
      </c>
      <c r="M1023" s="29">
        <f t="shared" si="38"/>
        <v>75.866525583856088</v>
      </c>
    </row>
    <row r="1024" spans="1:13" outlineLevel="2">
      <c r="A1024" s="172">
        <v>46174</v>
      </c>
      <c r="B1024" s="1" t="s">
        <v>940</v>
      </c>
      <c r="C1024" s="379" t="s">
        <v>2191</v>
      </c>
      <c r="D1024" s="341" t="s">
        <v>65</v>
      </c>
      <c r="E1024" s="367">
        <v>3.4</v>
      </c>
      <c r="F1024" s="680"/>
      <c r="G1024" s="29">
        <v>0</v>
      </c>
      <c r="H1024" s="29">
        <v>15.116015418335726</v>
      </c>
      <c r="I1024" s="29">
        <v>0</v>
      </c>
      <c r="J1024" s="29">
        <v>0</v>
      </c>
      <c r="K1024" s="29">
        <v>60.750510165520367</v>
      </c>
      <c r="L1024" s="29">
        <v>0</v>
      </c>
      <c r="M1024" s="29">
        <f t="shared" si="38"/>
        <v>75.866525583856088</v>
      </c>
    </row>
    <row r="1025" spans="1:13" outlineLevel="2">
      <c r="A1025" s="172">
        <v>46174</v>
      </c>
      <c r="B1025" s="1" t="s">
        <v>940</v>
      </c>
      <c r="C1025" s="379" t="s">
        <v>2249</v>
      </c>
      <c r="D1025" s="341" t="s">
        <v>65</v>
      </c>
      <c r="E1025" s="367">
        <v>3.4</v>
      </c>
      <c r="F1025" s="680"/>
      <c r="G1025" s="29">
        <v>0</v>
      </c>
      <c r="H1025" s="29">
        <v>15.116015418335726</v>
      </c>
      <c r="I1025" s="29">
        <v>0</v>
      </c>
      <c r="J1025" s="29">
        <v>0</v>
      </c>
      <c r="K1025" s="29">
        <v>60.750510165520367</v>
      </c>
      <c r="L1025" s="29">
        <v>0</v>
      </c>
      <c r="M1025" s="29">
        <f t="shared" si="38"/>
        <v>75.866525583856088</v>
      </c>
    </row>
    <row r="1026" spans="1:13" outlineLevel="2">
      <c r="A1026" s="172">
        <v>46174</v>
      </c>
      <c r="B1026" s="1" t="s">
        <v>940</v>
      </c>
      <c r="C1026" s="379" t="s">
        <v>2247</v>
      </c>
      <c r="D1026" s="341" t="s">
        <v>65</v>
      </c>
      <c r="E1026" s="367">
        <v>3.4</v>
      </c>
      <c r="F1026" s="680"/>
      <c r="G1026" s="29">
        <v>0</v>
      </c>
      <c r="H1026" s="29">
        <v>15.116015418335726</v>
      </c>
      <c r="I1026" s="29">
        <v>0</v>
      </c>
      <c r="J1026" s="29">
        <v>0</v>
      </c>
      <c r="K1026" s="29">
        <v>60.750510165520367</v>
      </c>
      <c r="L1026" s="29">
        <v>0</v>
      </c>
      <c r="M1026" s="29">
        <f t="shared" si="38"/>
        <v>75.866525583856088</v>
      </c>
    </row>
    <row r="1027" spans="1:13" outlineLevel="2">
      <c r="A1027" s="172">
        <v>46174</v>
      </c>
      <c r="B1027" s="1" t="s">
        <v>940</v>
      </c>
      <c r="C1027" s="379" t="s">
        <v>2187</v>
      </c>
      <c r="D1027" s="341" t="s">
        <v>65</v>
      </c>
      <c r="E1027" s="367">
        <v>3.4</v>
      </c>
      <c r="F1027" s="680"/>
      <c r="G1027" s="29">
        <v>0</v>
      </c>
      <c r="H1027" s="29">
        <v>15.116015418335726</v>
      </c>
      <c r="I1027" s="29">
        <v>0</v>
      </c>
      <c r="J1027" s="29">
        <v>0</v>
      </c>
      <c r="K1027" s="29">
        <v>60.750510165520367</v>
      </c>
      <c r="L1027" s="29">
        <v>0</v>
      </c>
      <c r="M1027" s="29">
        <f t="shared" si="38"/>
        <v>75.866525583856088</v>
      </c>
    </row>
    <row r="1028" spans="1:13" outlineLevel="2">
      <c r="A1028" s="172">
        <v>46174</v>
      </c>
      <c r="B1028" s="1" t="s">
        <v>940</v>
      </c>
      <c r="C1028" s="379" t="s">
        <v>2229</v>
      </c>
      <c r="D1028" s="341" t="s">
        <v>65</v>
      </c>
      <c r="E1028" s="367">
        <v>3.4</v>
      </c>
      <c r="F1028" s="680"/>
      <c r="G1028" s="29">
        <v>0</v>
      </c>
      <c r="H1028" s="29">
        <v>15.116015418335726</v>
      </c>
      <c r="I1028" s="29">
        <v>0</v>
      </c>
      <c r="J1028" s="29">
        <v>0</v>
      </c>
      <c r="K1028" s="29">
        <v>60.750510165520367</v>
      </c>
      <c r="L1028" s="29">
        <v>0</v>
      </c>
      <c r="M1028" s="29">
        <f t="shared" si="38"/>
        <v>75.866525583856088</v>
      </c>
    </row>
    <row r="1029" spans="1:13" outlineLevel="2">
      <c r="A1029" s="172">
        <v>46174</v>
      </c>
      <c r="B1029" s="1" t="s">
        <v>940</v>
      </c>
      <c r="C1029" s="379" t="s">
        <v>2209</v>
      </c>
      <c r="D1029" s="341" t="s">
        <v>65</v>
      </c>
      <c r="E1029" s="367">
        <v>3.4</v>
      </c>
      <c r="F1029" s="680"/>
      <c r="G1029" s="29">
        <v>0</v>
      </c>
      <c r="H1029" s="29">
        <v>15.116015418335726</v>
      </c>
      <c r="I1029" s="29">
        <v>0</v>
      </c>
      <c r="J1029" s="29">
        <v>0</v>
      </c>
      <c r="K1029" s="29">
        <v>60.750510165520367</v>
      </c>
      <c r="L1029" s="29">
        <v>0</v>
      </c>
      <c r="M1029" s="29">
        <f t="shared" si="38"/>
        <v>75.866525583856088</v>
      </c>
    </row>
    <row r="1030" spans="1:13" outlineLevel="2">
      <c r="A1030" s="172">
        <v>46174</v>
      </c>
      <c r="B1030" s="1" t="s">
        <v>940</v>
      </c>
      <c r="C1030" s="379" t="s">
        <v>2231</v>
      </c>
      <c r="D1030" s="341" t="s">
        <v>65</v>
      </c>
      <c r="E1030" s="367">
        <v>3.4</v>
      </c>
      <c r="F1030" s="680"/>
      <c r="G1030" s="29">
        <v>0</v>
      </c>
      <c r="H1030" s="29">
        <v>15.116015418335726</v>
      </c>
      <c r="I1030" s="29">
        <v>0</v>
      </c>
      <c r="J1030" s="29">
        <v>0</v>
      </c>
      <c r="K1030" s="29">
        <v>60.750510165520367</v>
      </c>
      <c r="L1030" s="29">
        <v>0</v>
      </c>
      <c r="M1030" s="29">
        <f t="shared" si="38"/>
        <v>75.866525583856088</v>
      </c>
    </row>
    <row r="1031" spans="1:13" outlineLevel="2">
      <c r="A1031" s="172">
        <v>46174</v>
      </c>
      <c r="B1031" s="1" t="s">
        <v>940</v>
      </c>
      <c r="C1031" s="379" t="s">
        <v>2201</v>
      </c>
      <c r="D1031" s="341" t="s">
        <v>65</v>
      </c>
      <c r="E1031" s="367">
        <v>3.4</v>
      </c>
      <c r="F1031" s="680"/>
      <c r="G1031" s="29">
        <v>0</v>
      </c>
      <c r="H1031" s="29">
        <v>15.116015418335726</v>
      </c>
      <c r="I1031" s="29">
        <v>0</v>
      </c>
      <c r="J1031" s="29">
        <v>0</v>
      </c>
      <c r="K1031" s="29">
        <v>60.750510165520367</v>
      </c>
      <c r="L1031" s="29">
        <v>0</v>
      </c>
      <c r="M1031" s="29">
        <f t="shared" si="38"/>
        <v>75.866525583856088</v>
      </c>
    </row>
    <row r="1032" spans="1:13" outlineLevel="2">
      <c r="A1032" s="172">
        <v>46174</v>
      </c>
      <c r="B1032" s="1" t="s">
        <v>940</v>
      </c>
      <c r="C1032" s="379" t="s">
        <v>2227</v>
      </c>
      <c r="D1032" s="341" t="s">
        <v>65</v>
      </c>
      <c r="E1032" s="367">
        <v>3.4</v>
      </c>
      <c r="F1032" s="680"/>
      <c r="G1032" s="29">
        <v>0</v>
      </c>
      <c r="H1032" s="29">
        <v>15.116015418335726</v>
      </c>
      <c r="I1032" s="29">
        <v>0</v>
      </c>
      <c r="J1032" s="29">
        <v>0</v>
      </c>
      <c r="K1032" s="29">
        <v>60.750510165520367</v>
      </c>
      <c r="L1032" s="29">
        <v>0</v>
      </c>
      <c r="M1032" s="29">
        <f t="shared" si="38"/>
        <v>75.866525583856088</v>
      </c>
    </row>
    <row r="1033" spans="1:13" outlineLevel="2">
      <c r="A1033" s="172">
        <v>46174</v>
      </c>
      <c r="B1033" s="1" t="s">
        <v>940</v>
      </c>
      <c r="C1033" s="379" t="s">
        <v>2215</v>
      </c>
      <c r="D1033" s="341" t="s">
        <v>65</v>
      </c>
      <c r="E1033" s="367">
        <v>3.4</v>
      </c>
      <c r="F1033" s="680"/>
      <c r="G1033" s="29">
        <v>0</v>
      </c>
      <c r="H1033" s="29">
        <v>15.116015418335726</v>
      </c>
      <c r="I1033" s="29">
        <v>0</v>
      </c>
      <c r="J1033" s="29">
        <v>0</v>
      </c>
      <c r="K1033" s="29">
        <v>60.750510165520367</v>
      </c>
      <c r="L1033" s="29">
        <v>0</v>
      </c>
      <c r="M1033" s="29">
        <f t="shared" si="38"/>
        <v>75.866525583856088</v>
      </c>
    </row>
    <row r="1034" spans="1:13" outlineLevel="2">
      <c r="A1034" s="172">
        <v>46174</v>
      </c>
      <c r="B1034" s="1" t="s">
        <v>940</v>
      </c>
      <c r="C1034" s="379" t="s">
        <v>2253</v>
      </c>
      <c r="D1034" s="341" t="s">
        <v>65</v>
      </c>
      <c r="E1034" s="367">
        <v>3.4</v>
      </c>
      <c r="F1034" s="680"/>
      <c r="G1034" s="29">
        <v>0</v>
      </c>
      <c r="H1034" s="29">
        <v>15.116015418335726</v>
      </c>
      <c r="I1034" s="29">
        <v>0</v>
      </c>
      <c r="J1034" s="29">
        <v>0</v>
      </c>
      <c r="K1034" s="29">
        <v>60.750510165520367</v>
      </c>
      <c r="L1034" s="29">
        <v>0</v>
      </c>
      <c r="M1034" s="29">
        <f t="shared" si="38"/>
        <v>75.866525583856088</v>
      </c>
    </row>
    <row r="1035" spans="1:13" outlineLevel="2">
      <c r="A1035" s="172">
        <v>46174</v>
      </c>
      <c r="B1035" s="1" t="s">
        <v>940</v>
      </c>
      <c r="C1035" s="379" t="s">
        <v>2193</v>
      </c>
      <c r="D1035" s="341" t="s">
        <v>65</v>
      </c>
      <c r="E1035" s="367">
        <v>3.4</v>
      </c>
      <c r="F1035" s="680"/>
      <c r="G1035" s="29">
        <v>0</v>
      </c>
      <c r="H1035" s="29">
        <v>15.116015418335726</v>
      </c>
      <c r="I1035" s="29">
        <v>0</v>
      </c>
      <c r="J1035" s="29">
        <v>0</v>
      </c>
      <c r="K1035" s="29">
        <v>60.750510165520367</v>
      </c>
      <c r="L1035" s="29">
        <v>0</v>
      </c>
      <c r="M1035" s="29">
        <f t="shared" si="38"/>
        <v>75.866525583856088</v>
      </c>
    </row>
    <row r="1036" spans="1:13" outlineLevel="2">
      <c r="A1036" s="172">
        <v>46174</v>
      </c>
      <c r="B1036" s="1" t="s">
        <v>940</v>
      </c>
      <c r="C1036" s="379" t="s">
        <v>2217</v>
      </c>
      <c r="D1036" s="341" t="s">
        <v>65</v>
      </c>
      <c r="E1036" s="367">
        <v>3.4</v>
      </c>
      <c r="F1036" s="680"/>
      <c r="G1036" s="29">
        <v>0</v>
      </c>
      <c r="H1036" s="29">
        <v>15.116015418335726</v>
      </c>
      <c r="I1036" s="29">
        <v>0</v>
      </c>
      <c r="J1036" s="29">
        <v>0</v>
      </c>
      <c r="K1036" s="29">
        <v>60.750510165520367</v>
      </c>
      <c r="L1036" s="29">
        <v>0</v>
      </c>
      <c r="M1036" s="29">
        <f t="shared" si="38"/>
        <v>75.866525583856088</v>
      </c>
    </row>
    <row r="1037" spans="1:13" outlineLevel="2">
      <c r="A1037" s="172">
        <v>46174</v>
      </c>
      <c r="B1037" s="1" t="s">
        <v>940</v>
      </c>
      <c r="C1037" s="379" t="s">
        <v>2219</v>
      </c>
      <c r="D1037" s="341" t="s">
        <v>65</v>
      </c>
      <c r="E1037" s="367">
        <v>3.4</v>
      </c>
      <c r="F1037" s="680"/>
      <c r="G1037" s="29">
        <v>0</v>
      </c>
      <c r="H1037" s="29">
        <v>15.116015418335726</v>
      </c>
      <c r="I1037" s="29">
        <v>0</v>
      </c>
      <c r="J1037" s="29">
        <v>0</v>
      </c>
      <c r="K1037" s="29">
        <v>60.750510165520367</v>
      </c>
      <c r="L1037" s="29">
        <v>0</v>
      </c>
      <c r="M1037" s="29">
        <f t="shared" si="38"/>
        <v>75.866525583856088</v>
      </c>
    </row>
    <row r="1038" spans="1:13" outlineLevel="2">
      <c r="A1038" s="172">
        <v>46174</v>
      </c>
      <c r="B1038" s="1" t="s">
        <v>940</v>
      </c>
      <c r="C1038" s="379" t="s">
        <v>2199</v>
      </c>
      <c r="D1038" s="341" t="s">
        <v>65</v>
      </c>
      <c r="E1038" s="367">
        <v>3.4</v>
      </c>
      <c r="F1038" s="680"/>
      <c r="G1038" s="29">
        <v>0</v>
      </c>
      <c r="H1038" s="29">
        <v>15.116015418335726</v>
      </c>
      <c r="I1038" s="29">
        <v>0</v>
      </c>
      <c r="J1038" s="29">
        <v>0</v>
      </c>
      <c r="K1038" s="29">
        <v>60.750510165520367</v>
      </c>
      <c r="L1038" s="29">
        <v>0</v>
      </c>
      <c r="M1038" s="29">
        <f t="shared" si="38"/>
        <v>75.866525583856088</v>
      </c>
    </row>
    <row r="1039" spans="1:13" outlineLevel="2">
      <c r="A1039" s="172">
        <v>46174</v>
      </c>
      <c r="B1039" s="1" t="s">
        <v>940</v>
      </c>
      <c r="C1039" s="379" t="s">
        <v>2235</v>
      </c>
      <c r="D1039" s="341" t="s">
        <v>65</v>
      </c>
      <c r="E1039" s="367">
        <v>3.4</v>
      </c>
      <c r="F1039" s="680"/>
      <c r="G1039" s="29">
        <v>0</v>
      </c>
      <c r="H1039" s="29">
        <v>15.116015418335726</v>
      </c>
      <c r="I1039" s="29">
        <v>0</v>
      </c>
      <c r="J1039" s="29">
        <v>0</v>
      </c>
      <c r="K1039" s="29">
        <v>60.750510165520367</v>
      </c>
      <c r="L1039" s="29">
        <v>0</v>
      </c>
      <c r="M1039" s="29">
        <f t="shared" si="38"/>
        <v>75.866525583856088</v>
      </c>
    </row>
    <row r="1040" spans="1:13" outlineLevel="2">
      <c r="A1040" s="172">
        <v>46174</v>
      </c>
      <c r="B1040" s="1" t="s">
        <v>940</v>
      </c>
      <c r="C1040" s="379" t="s">
        <v>2205</v>
      </c>
      <c r="D1040" s="341" t="s">
        <v>65</v>
      </c>
      <c r="E1040" s="367">
        <v>2.7</v>
      </c>
      <c r="F1040" s="680"/>
      <c r="G1040" s="29">
        <v>0</v>
      </c>
      <c r="H1040" s="29">
        <v>15.116015418335726</v>
      </c>
      <c r="I1040" s="29">
        <v>0</v>
      </c>
      <c r="J1040" s="29">
        <v>0</v>
      </c>
      <c r="K1040" s="29">
        <v>60.750510165520367</v>
      </c>
      <c r="L1040" s="29">
        <v>0</v>
      </c>
      <c r="M1040" s="29">
        <f t="shared" si="38"/>
        <v>75.866525583856088</v>
      </c>
    </row>
    <row r="1041" spans="1:13" outlineLevel="2">
      <c r="A1041" s="172">
        <v>46174</v>
      </c>
      <c r="B1041" s="1" t="s">
        <v>940</v>
      </c>
      <c r="C1041" s="379" t="s">
        <v>2263</v>
      </c>
      <c r="D1041" s="341" t="s">
        <v>65</v>
      </c>
      <c r="E1041" s="367">
        <v>6.5</v>
      </c>
      <c r="F1041" s="680"/>
      <c r="G1041" s="29">
        <v>0</v>
      </c>
      <c r="H1041" s="29">
        <v>15.116015418335726</v>
      </c>
      <c r="I1041" s="29">
        <v>0</v>
      </c>
      <c r="J1041" s="29">
        <v>0</v>
      </c>
      <c r="K1041" s="29">
        <v>60.750510165520367</v>
      </c>
      <c r="L1041" s="29">
        <v>0</v>
      </c>
      <c r="M1041" s="29">
        <f t="shared" si="38"/>
        <v>75.866525583856088</v>
      </c>
    </row>
    <row r="1042" spans="1:13" outlineLevel="2">
      <c r="A1042" s="172">
        <v>46174</v>
      </c>
      <c r="B1042" s="1" t="s">
        <v>940</v>
      </c>
      <c r="C1042" s="379" t="s">
        <v>2245</v>
      </c>
      <c r="D1042" s="341" t="s">
        <v>65</v>
      </c>
      <c r="E1042" s="367">
        <v>6.5</v>
      </c>
      <c r="F1042" s="680"/>
      <c r="G1042" s="29">
        <v>0</v>
      </c>
      <c r="H1042" s="29">
        <v>15.116015418335726</v>
      </c>
      <c r="I1042" s="29">
        <v>0</v>
      </c>
      <c r="J1042" s="29">
        <v>0</v>
      </c>
      <c r="K1042" s="29">
        <v>60.750510165520367</v>
      </c>
      <c r="L1042" s="29">
        <v>0</v>
      </c>
      <c r="M1042" s="29">
        <f t="shared" si="38"/>
        <v>75.866525583856088</v>
      </c>
    </row>
    <row r="1043" spans="1:13" outlineLevel="2">
      <c r="A1043" s="172">
        <v>46174</v>
      </c>
      <c r="B1043" s="1" t="s">
        <v>940</v>
      </c>
      <c r="C1043" s="379" t="s">
        <v>2259</v>
      </c>
      <c r="D1043" s="341" t="s">
        <v>65</v>
      </c>
      <c r="E1043" s="367">
        <v>6.5</v>
      </c>
      <c r="F1043" s="680"/>
      <c r="G1043" s="29">
        <v>0</v>
      </c>
      <c r="H1043" s="29">
        <v>15.116015418335726</v>
      </c>
      <c r="I1043" s="29">
        <v>0</v>
      </c>
      <c r="J1043" s="29">
        <v>0</v>
      </c>
      <c r="K1043" s="29">
        <v>60.750510165520367</v>
      </c>
      <c r="L1043" s="29">
        <v>0</v>
      </c>
      <c r="M1043" s="29">
        <f t="shared" si="38"/>
        <v>75.866525583856088</v>
      </c>
    </row>
    <row r="1044" spans="1:13" outlineLevel="2">
      <c r="A1044" s="172">
        <v>46174</v>
      </c>
      <c r="B1044" s="1" t="s">
        <v>940</v>
      </c>
      <c r="C1044" s="379" t="s">
        <v>2239</v>
      </c>
      <c r="D1044" s="341" t="s">
        <v>65</v>
      </c>
      <c r="E1044" s="367">
        <v>6.5</v>
      </c>
      <c r="F1044" s="680"/>
      <c r="G1044" s="29">
        <v>0</v>
      </c>
      <c r="H1044" s="29">
        <v>15.116015418335726</v>
      </c>
      <c r="I1044" s="29">
        <v>0</v>
      </c>
      <c r="J1044" s="29">
        <v>0</v>
      </c>
      <c r="K1044" s="29">
        <v>60.750510165520367</v>
      </c>
      <c r="L1044" s="29">
        <v>0</v>
      </c>
      <c r="M1044" s="29">
        <f t="shared" si="38"/>
        <v>75.866525583856088</v>
      </c>
    </row>
    <row r="1045" spans="1:13" outlineLevel="2">
      <c r="A1045" s="172">
        <v>46174</v>
      </c>
      <c r="B1045" s="1" t="s">
        <v>940</v>
      </c>
      <c r="C1045" s="379" t="s">
        <v>2255</v>
      </c>
      <c r="D1045" s="341" t="s">
        <v>65</v>
      </c>
      <c r="E1045" s="367">
        <v>6.5</v>
      </c>
      <c r="F1045" s="680"/>
      <c r="G1045" s="29">
        <v>0</v>
      </c>
      <c r="H1045" s="29">
        <v>15.116015418335726</v>
      </c>
      <c r="I1045" s="29">
        <v>0</v>
      </c>
      <c r="J1045" s="29">
        <v>0</v>
      </c>
      <c r="K1045" s="29">
        <v>60.750510165520367</v>
      </c>
      <c r="L1045" s="29">
        <v>0</v>
      </c>
      <c r="M1045" s="29">
        <f t="shared" si="38"/>
        <v>75.866525583856088</v>
      </c>
    </row>
    <row r="1046" spans="1:13" outlineLevel="2">
      <c r="A1046" s="172">
        <v>46174</v>
      </c>
      <c r="B1046" s="1" t="s">
        <v>940</v>
      </c>
      <c r="C1046" s="379" t="s">
        <v>2265</v>
      </c>
      <c r="D1046" s="341" t="s">
        <v>65</v>
      </c>
      <c r="E1046" s="367">
        <v>6.5</v>
      </c>
      <c r="F1046" s="680"/>
      <c r="G1046" s="29">
        <v>0</v>
      </c>
      <c r="H1046" s="29">
        <v>15.116015418335726</v>
      </c>
      <c r="I1046" s="29">
        <v>0</v>
      </c>
      <c r="J1046" s="29">
        <v>0</v>
      </c>
      <c r="K1046" s="29">
        <v>60.750510165520367</v>
      </c>
      <c r="L1046" s="29">
        <v>0</v>
      </c>
      <c r="M1046" s="29">
        <f t="shared" si="38"/>
        <v>75.866525583856088</v>
      </c>
    </row>
    <row r="1047" spans="1:13" outlineLevel="2">
      <c r="A1047" s="172">
        <v>46174</v>
      </c>
      <c r="B1047" s="1" t="s">
        <v>940</v>
      </c>
      <c r="C1047" s="379" t="s">
        <v>2257</v>
      </c>
      <c r="D1047" s="341" t="s">
        <v>65</v>
      </c>
      <c r="E1047" s="367">
        <v>2.2999999999999998</v>
      </c>
      <c r="F1047" s="680"/>
      <c r="G1047" s="29">
        <v>0</v>
      </c>
      <c r="H1047" s="29">
        <v>15.116015418335726</v>
      </c>
      <c r="I1047" s="29">
        <v>0</v>
      </c>
      <c r="J1047" s="29">
        <v>0</v>
      </c>
      <c r="K1047" s="29">
        <v>60.750510165520367</v>
      </c>
      <c r="L1047" s="29">
        <v>0</v>
      </c>
      <c r="M1047" s="29">
        <f t="shared" si="38"/>
        <v>75.866525583856088</v>
      </c>
    </row>
    <row r="1048" spans="1:13" outlineLevel="2">
      <c r="A1048" s="172">
        <v>46174</v>
      </c>
      <c r="B1048" s="1" t="s">
        <v>940</v>
      </c>
      <c r="C1048" s="379" t="s">
        <v>2243</v>
      </c>
      <c r="D1048" s="341" t="s">
        <v>65</v>
      </c>
      <c r="E1048" s="367">
        <v>7.3</v>
      </c>
      <c r="F1048" s="680"/>
      <c r="G1048" s="29">
        <v>0</v>
      </c>
      <c r="H1048" s="29">
        <v>15.116015418335726</v>
      </c>
      <c r="I1048" s="29">
        <v>0</v>
      </c>
      <c r="J1048" s="29">
        <v>0</v>
      </c>
      <c r="K1048" s="29">
        <v>0</v>
      </c>
      <c r="L1048" s="29">
        <v>0</v>
      </c>
      <c r="M1048" s="29">
        <f t="shared" si="38"/>
        <v>15.116015418335726</v>
      </c>
    </row>
    <row r="1049" spans="1:13" outlineLevel="2">
      <c r="A1049" s="172">
        <v>46174</v>
      </c>
      <c r="B1049" s="1" t="s">
        <v>940</v>
      </c>
      <c r="C1049" s="379" t="s">
        <v>2251</v>
      </c>
      <c r="D1049" s="341" t="s">
        <v>65</v>
      </c>
      <c r="E1049" s="367">
        <v>9.1999999999999993</v>
      </c>
      <c r="F1049" s="680"/>
      <c r="G1049" s="29">
        <v>0</v>
      </c>
      <c r="H1049" s="29">
        <v>15.116015418335726</v>
      </c>
      <c r="I1049" s="29">
        <v>0</v>
      </c>
      <c r="J1049" s="29">
        <v>0</v>
      </c>
      <c r="K1049" s="29">
        <v>0</v>
      </c>
      <c r="L1049" s="29">
        <v>0</v>
      </c>
      <c r="M1049" s="29">
        <f t="shared" si="38"/>
        <v>15.116015418335726</v>
      </c>
    </row>
    <row r="1050" spans="1:13" outlineLevel="2">
      <c r="A1050" s="172">
        <v>46174</v>
      </c>
      <c r="B1050" s="1" t="s">
        <v>940</v>
      </c>
      <c r="C1050" s="379" t="s">
        <v>2269</v>
      </c>
      <c r="D1050" s="341" t="s">
        <v>65</v>
      </c>
      <c r="E1050" s="367">
        <v>11.8</v>
      </c>
      <c r="F1050" s="680"/>
      <c r="G1050" s="29">
        <v>22.674023127503592</v>
      </c>
      <c r="H1050" s="29">
        <v>15.116015418335726</v>
      </c>
      <c r="I1050" s="29">
        <v>0</v>
      </c>
      <c r="J1050" s="29">
        <v>0</v>
      </c>
      <c r="K1050" s="29">
        <v>60.750510165520367</v>
      </c>
      <c r="L1050" s="29">
        <v>0</v>
      </c>
      <c r="M1050" s="29">
        <f t="shared" si="38"/>
        <v>98.540548711359691</v>
      </c>
    </row>
    <row r="1051" spans="1:13" outlineLevel="2">
      <c r="A1051" s="172">
        <v>46174</v>
      </c>
      <c r="B1051" s="1" t="s">
        <v>940</v>
      </c>
      <c r="C1051" s="379" t="s">
        <v>2271</v>
      </c>
      <c r="D1051" s="341" t="s">
        <v>65</v>
      </c>
      <c r="E1051" s="367">
        <v>3.4</v>
      </c>
      <c r="F1051" s="680"/>
      <c r="G1051" s="29">
        <v>0</v>
      </c>
      <c r="H1051" s="29">
        <v>15.116015418335726</v>
      </c>
      <c r="I1051" s="29">
        <v>0</v>
      </c>
      <c r="J1051" s="29">
        <v>0</v>
      </c>
      <c r="K1051" s="29">
        <v>60.750510165520367</v>
      </c>
      <c r="L1051" s="29">
        <v>0</v>
      </c>
      <c r="M1051" s="29">
        <f t="shared" si="38"/>
        <v>75.866525583856088</v>
      </c>
    </row>
    <row r="1052" spans="1:13" outlineLevel="2">
      <c r="A1052" s="172">
        <v>46174</v>
      </c>
      <c r="B1052" s="1" t="s">
        <v>940</v>
      </c>
      <c r="C1052" s="379" t="s">
        <v>2221</v>
      </c>
      <c r="D1052" s="341" t="s">
        <v>65</v>
      </c>
      <c r="E1052" s="367">
        <v>3.4</v>
      </c>
      <c r="F1052" s="680"/>
      <c r="G1052" s="29">
        <v>0</v>
      </c>
      <c r="H1052" s="29">
        <v>15.116015418335726</v>
      </c>
      <c r="I1052" s="29">
        <v>0</v>
      </c>
      <c r="J1052" s="29">
        <v>0</v>
      </c>
      <c r="K1052" s="29">
        <v>60.750510165520367</v>
      </c>
      <c r="L1052" s="29">
        <v>0</v>
      </c>
      <c r="M1052" s="29">
        <f t="shared" ref="M1052:M1115" si="39">SUM(G1052:L1052)</f>
        <v>75.866525583856088</v>
      </c>
    </row>
    <row r="1053" spans="1:13" outlineLevel="2">
      <c r="A1053" s="172">
        <v>46174</v>
      </c>
      <c r="B1053" s="1" t="s">
        <v>940</v>
      </c>
      <c r="C1053" s="379" t="s">
        <v>2261</v>
      </c>
      <c r="D1053" s="341" t="s">
        <v>65</v>
      </c>
      <c r="E1053" s="367">
        <v>3.4</v>
      </c>
      <c r="F1053" s="680"/>
      <c r="G1053" s="29">
        <v>0</v>
      </c>
      <c r="H1053" s="29">
        <v>15.116015418335726</v>
      </c>
      <c r="I1053" s="29">
        <v>0</v>
      </c>
      <c r="J1053" s="29">
        <v>0</v>
      </c>
      <c r="K1053" s="29">
        <v>60.750510165520367</v>
      </c>
      <c r="L1053" s="29">
        <v>0</v>
      </c>
      <c r="M1053" s="29">
        <f t="shared" si="39"/>
        <v>75.866525583856088</v>
      </c>
    </row>
    <row r="1054" spans="1:13" outlineLevel="2">
      <c r="A1054" s="172">
        <v>46174</v>
      </c>
      <c r="B1054" s="1" t="s">
        <v>940</v>
      </c>
      <c r="C1054" s="379" t="s">
        <v>2225</v>
      </c>
      <c r="D1054" s="341" t="s">
        <v>65</v>
      </c>
      <c r="E1054" s="367">
        <v>3.4</v>
      </c>
      <c r="F1054" s="680"/>
      <c r="G1054" s="29">
        <v>0</v>
      </c>
      <c r="H1054" s="29">
        <v>15.116015418335726</v>
      </c>
      <c r="I1054" s="29">
        <v>0</v>
      </c>
      <c r="J1054" s="29">
        <v>0</v>
      </c>
      <c r="K1054" s="29">
        <v>60.750510165520367</v>
      </c>
      <c r="L1054" s="29">
        <v>0</v>
      </c>
      <c r="M1054" s="29">
        <f t="shared" si="39"/>
        <v>75.866525583856088</v>
      </c>
    </row>
    <row r="1055" spans="1:13" outlineLevel="2">
      <c r="A1055" s="172">
        <v>46174</v>
      </c>
      <c r="B1055" s="1" t="s">
        <v>940</v>
      </c>
      <c r="C1055" s="379" t="s">
        <v>2223</v>
      </c>
      <c r="D1055" s="341" t="s">
        <v>65</v>
      </c>
      <c r="E1055" s="367">
        <v>3.4</v>
      </c>
      <c r="F1055" s="680"/>
      <c r="G1055" s="29">
        <v>0</v>
      </c>
      <c r="H1055" s="29">
        <v>15.116015418335726</v>
      </c>
      <c r="I1055" s="29">
        <v>0</v>
      </c>
      <c r="J1055" s="29">
        <v>0</v>
      </c>
      <c r="K1055" s="29">
        <v>60.750510165520367</v>
      </c>
      <c r="L1055" s="29">
        <v>0</v>
      </c>
      <c r="M1055" s="29">
        <f t="shared" si="39"/>
        <v>75.866525583856088</v>
      </c>
    </row>
    <row r="1056" spans="1:13" outlineLevel="2">
      <c r="A1056" s="172">
        <v>46174</v>
      </c>
      <c r="B1056" s="1" t="s">
        <v>940</v>
      </c>
      <c r="C1056" s="379" t="s">
        <v>2237</v>
      </c>
      <c r="D1056" s="341" t="s">
        <v>65</v>
      </c>
      <c r="E1056" s="367">
        <v>3.4</v>
      </c>
      <c r="F1056" s="680"/>
      <c r="G1056" s="29">
        <v>0</v>
      </c>
      <c r="H1056" s="29">
        <v>15.116015418335726</v>
      </c>
      <c r="I1056" s="29">
        <v>0</v>
      </c>
      <c r="J1056" s="29">
        <v>0</v>
      </c>
      <c r="K1056" s="29">
        <v>60.750510165520367</v>
      </c>
      <c r="L1056" s="29">
        <v>0</v>
      </c>
      <c r="M1056" s="29">
        <f t="shared" si="39"/>
        <v>75.866525583856088</v>
      </c>
    </row>
    <row r="1057" spans="1:13" outlineLevel="2">
      <c r="A1057" s="172">
        <v>46174</v>
      </c>
      <c r="B1057" s="1" t="s">
        <v>940</v>
      </c>
      <c r="C1057" s="379" t="s">
        <v>2241</v>
      </c>
      <c r="D1057" s="341" t="s">
        <v>65</v>
      </c>
      <c r="E1057" s="367">
        <v>3.4</v>
      </c>
      <c r="F1057" s="680"/>
      <c r="G1057" s="29">
        <v>0</v>
      </c>
      <c r="H1057" s="29">
        <v>15.116015418335726</v>
      </c>
      <c r="I1057" s="29">
        <v>0</v>
      </c>
      <c r="J1057" s="29">
        <v>0</v>
      </c>
      <c r="K1057" s="29">
        <v>60.750510165520367</v>
      </c>
      <c r="L1057" s="29">
        <v>0</v>
      </c>
      <c r="M1057" s="29">
        <f t="shared" si="39"/>
        <v>75.866525583856088</v>
      </c>
    </row>
    <row r="1058" spans="1:13" outlineLevel="2">
      <c r="A1058" s="172">
        <v>46174</v>
      </c>
      <c r="B1058" s="1" t="s">
        <v>940</v>
      </c>
      <c r="C1058" s="379" t="s">
        <v>2233</v>
      </c>
      <c r="D1058" s="341" t="s">
        <v>65</v>
      </c>
      <c r="E1058" s="367">
        <v>3.4</v>
      </c>
      <c r="F1058" s="680"/>
      <c r="G1058" s="29">
        <v>0</v>
      </c>
      <c r="H1058" s="29">
        <v>15.116015418335726</v>
      </c>
      <c r="I1058" s="29">
        <v>0</v>
      </c>
      <c r="J1058" s="29">
        <v>0</v>
      </c>
      <c r="K1058" s="29">
        <v>60.750510165520367</v>
      </c>
      <c r="L1058" s="29">
        <v>0</v>
      </c>
      <c r="M1058" s="29">
        <f t="shared" si="39"/>
        <v>75.866525583856088</v>
      </c>
    </row>
    <row r="1059" spans="1:13" outlineLevel="2">
      <c r="A1059" s="172">
        <v>46174</v>
      </c>
      <c r="B1059" s="1" t="s">
        <v>940</v>
      </c>
      <c r="C1059" s="379" t="s">
        <v>2267</v>
      </c>
      <c r="D1059" s="341" t="s">
        <v>65</v>
      </c>
      <c r="E1059" s="367">
        <v>3.4</v>
      </c>
      <c r="F1059" s="680"/>
      <c r="G1059" s="29">
        <v>0</v>
      </c>
      <c r="H1059" s="29">
        <v>15.116015418335726</v>
      </c>
      <c r="I1059" s="29">
        <v>0</v>
      </c>
      <c r="J1059" s="29">
        <v>0</v>
      </c>
      <c r="K1059" s="29">
        <v>60.750510165520367</v>
      </c>
      <c r="L1059" s="29">
        <v>0</v>
      </c>
      <c r="M1059" s="29">
        <f t="shared" si="39"/>
        <v>75.866525583856088</v>
      </c>
    </row>
    <row r="1060" spans="1:13" outlineLevel="2">
      <c r="A1060" s="172">
        <v>46174</v>
      </c>
      <c r="B1060" s="1" t="s">
        <v>940</v>
      </c>
      <c r="C1060" s="379" t="s">
        <v>2197</v>
      </c>
      <c r="D1060" s="341" t="s">
        <v>65</v>
      </c>
      <c r="E1060" s="367">
        <v>4.8</v>
      </c>
      <c r="F1060" s="680"/>
      <c r="G1060" s="29">
        <v>0</v>
      </c>
      <c r="H1060" s="29">
        <v>15.116015418335726</v>
      </c>
      <c r="I1060" s="29">
        <v>0</v>
      </c>
      <c r="J1060" s="29">
        <v>0</v>
      </c>
      <c r="K1060" s="29">
        <v>60.750510165520367</v>
      </c>
      <c r="L1060" s="29">
        <v>0</v>
      </c>
      <c r="M1060" s="29">
        <f t="shared" si="39"/>
        <v>75.866525583856088</v>
      </c>
    </row>
    <row r="1061" spans="1:13" outlineLevel="2">
      <c r="A1061" s="172">
        <v>46174</v>
      </c>
      <c r="B1061" s="1" t="s">
        <v>940</v>
      </c>
      <c r="C1061" s="379" t="s">
        <v>2579</v>
      </c>
      <c r="D1061" s="341" t="s">
        <v>65</v>
      </c>
      <c r="E1061" s="367">
        <v>3.4</v>
      </c>
      <c r="F1061" s="680"/>
      <c r="G1061" s="29">
        <v>0</v>
      </c>
      <c r="H1061" s="29">
        <v>15.116015418335726</v>
      </c>
      <c r="I1061" s="29">
        <v>0</v>
      </c>
      <c r="J1061" s="29">
        <v>0</v>
      </c>
      <c r="K1061" s="29">
        <v>60.750510165520367</v>
      </c>
      <c r="L1061" s="29">
        <v>0</v>
      </c>
      <c r="M1061" s="29">
        <f t="shared" si="39"/>
        <v>75.866525583856088</v>
      </c>
    </row>
    <row r="1062" spans="1:13" outlineLevel="2">
      <c r="A1062" s="172">
        <v>46174</v>
      </c>
      <c r="B1062" s="1" t="s">
        <v>940</v>
      </c>
      <c r="C1062" s="379" t="s">
        <v>2583</v>
      </c>
      <c r="D1062" s="341" t="s">
        <v>65</v>
      </c>
      <c r="E1062" s="367">
        <v>3.4</v>
      </c>
      <c r="F1062" s="680"/>
      <c r="G1062" s="29">
        <v>0</v>
      </c>
      <c r="H1062" s="29">
        <v>15.116015418335726</v>
      </c>
      <c r="I1062" s="29">
        <v>0</v>
      </c>
      <c r="J1062" s="29">
        <v>0</v>
      </c>
      <c r="K1062" s="29">
        <v>60.750510165520367</v>
      </c>
      <c r="L1062" s="29">
        <v>0</v>
      </c>
      <c r="M1062" s="29">
        <f t="shared" si="39"/>
        <v>75.866525583856088</v>
      </c>
    </row>
    <row r="1063" spans="1:13" outlineLevel="2">
      <c r="A1063" s="172">
        <v>46174</v>
      </c>
      <c r="B1063" s="1" t="s">
        <v>940</v>
      </c>
      <c r="C1063" s="379" t="s">
        <v>2575</v>
      </c>
      <c r="D1063" s="341" t="s">
        <v>65</v>
      </c>
      <c r="E1063" s="367">
        <v>3.4</v>
      </c>
      <c r="F1063" s="680"/>
      <c r="G1063" s="29">
        <v>0</v>
      </c>
      <c r="H1063" s="29">
        <v>15.116015418335726</v>
      </c>
      <c r="I1063" s="29">
        <v>0</v>
      </c>
      <c r="J1063" s="29">
        <v>0</v>
      </c>
      <c r="K1063" s="29">
        <v>60.750510165520367</v>
      </c>
      <c r="L1063" s="29">
        <v>0</v>
      </c>
      <c r="M1063" s="29">
        <f t="shared" si="39"/>
        <v>75.866525583856088</v>
      </c>
    </row>
    <row r="1064" spans="1:13" outlineLevel="2">
      <c r="A1064" s="172">
        <v>46174</v>
      </c>
      <c r="B1064" s="1" t="s">
        <v>940</v>
      </c>
      <c r="C1064" s="379" t="s">
        <v>2569</v>
      </c>
      <c r="D1064" s="341" t="s">
        <v>65</v>
      </c>
      <c r="E1064" s="367">
        <v>3.4</v>
      </c>
      <c r="F1064" s="680"/>
      <c r="G1064" s="29">
        <v>0</v>
      </c>
      <c r="H1064" s="29">
        <v>15.116015418335726</v>
      </c>
      <c r="I1064" s="29">
        <v>0</v>
      </c>
      <c r="J1064" s="29">
        <v>0</v>
      </c>
      <c r="K1064" s="29">
        <v>60.750510165520367</v>
      </c>
      <c r="L1064" s="29">
        <v>0</v>
      </c>
      <c r="M1064" s="29">
        <f t="shared" si="39"/>
        <v>75.866525583856088</v>
      </c>
    </row>
    <row r="1065" spans="1:13" outlineLevel="2">
      <c r="A1065" s="172">
        <v>46174</v>
      </c>
      <c r="B1065" s="1" t="s">
        <v>940</v>
      </c>
      <c r="C1065" s="379" t="s">
        <v>2573</v>
      </c>
      <c r="D1065" s="341" t="s">
        <v>65</v>
      </c>
      <c r="E1065" s="367">
        <v>3.4</v>
      </c>
      <c r="F1065" s="680"/>
      <c r="G1065" s="29">
        <v>0</v>
      </c>
      <c r="H1065" s="29">
        <v>15.116015418335726</v>
      </c>
      <c r="I1065" s="29">
        <v>0</v>
      </c>
      <c r="J1065" s="29">
        <v>0</v>
      </c>
      <c r="K1065" s="29">
        <v>60.750510165520367</v>
      </c>
      <c r="L1065" s="29">
        <v>0</v>
      </c>
      <c r="M1065" s="29">
        <f t="shared" si="39"/>
        <v>75.866525583856088</v>
      </c>
    </row>
    <row r="1066" spans="1:13" outlineLevel="2">
      <c r="A1066" s="172">
        <v>46174</v>
      </c>
      <c r="B1066" s="1" t="s">
        <v>940</v>
      </c>
      <c r="C1066" s="379" t="s">
        <v>2581</v>
      </c>
      <c r="D1066" s="341" t="s">
        <v>65</v>
      </c>
      <c r="E1066" s="367">
        <v>3.4</v>
      </c>
      <c r="F1066" s="680"/>
      <c r="G1066" s="29">
        <v>0</v>
      </c>
      <c r="H1066" s="29">
        <v>15.116015418335726</v>
      </c>
      <c r="I1066" s="29">
        <v>0</v>
      </c>
      <c r="J1066" s="29">
        <v>0</v>
      </c>
      <c r="K1066" s="29">
        <v>60.750510165520367</v>
      </c>
      <c r="L1066" s="29">
        <v>0</v>
      </c>
      <c r="M1066" s="29">
        <f t="shared" si="39"/>
        <v>75.866525583856088</v>
      </c>
    </row>
    <row r="1067" spans="1:13" outlineLevel="2">
      <c r="A1067" s="172">
        <v>46174</v>
      </c>
      <c r="B1067" s="1" t="s">
        <v>940</v>
      </c>
      <c r="C1067" s="379" t="s">
        <v>2567</v>
      </c>
      <c r="D1067" s="341" t="s">
        <v>65</v>
      </c>
      <c r="E1067" s="367">
        <v>3.4</v>
      </c>
      <c r="F1067" s="680"/>
      <c r="G1067" s="29">
        <v>0</v>
      </c>
      <c r="H1067" s="29">
        <v>15.116015418335726</v>
      </c>
      <c r="I1067" s="29">
        <v>0</v>
      </c>
      <c r="J1067" s="29">
        <v>0</v>
      </c>
      <c r="K1067" s="29">
        <v>60.750510165520367</v>
      </c>
      <c r="L1067" s="29">
        <v>0</v>
      </c>
      <c r="M1067" s="29">
        <f t="shared" si="39"/>
        <v>75.866525583856088</v>
      </c>
    </row>
    <row r="1068" spans="1:13" outlineLevel="2">
      <c r="A1068" s="172">
        <v>46174</v>
      </c>
      <c r="B1068" s="1" t="s">
        <v>940</v>
      </c>
      <c r="C1068" s="379" t="s">
        <v>2571</v>
      </c>
      <c r="D1068" s="341" t="s">
        <v>65</v>
      </c>
      <c r="E1068" s="367">
        <v>3.4</v>
      </c>
      <c r="F1068" s="680"/>
      <c r="G1068" s="29">
        <v>0</v>
      </c>
      <c r="H1068" s="29">
        <v>15.116015418335726</v>
      </c>
      <c r="I1068" s="29">
        <v>0</v>
      </c>
      <c r="J1068" s="29">
        <v>0</v>
      </c>
      <c r="K1068" s="29">
        <v>60.750510165520367</v>
      </c>
      <c r="L1068" s="29">
        <v>0</v>
      </c>
      <c r="M1068" s="29">
        <f t="shared" si="39"/>
        <v>75.866525583856088</v>
      </c>
    </row>
    <row r="1069" spans="1:13" outlineLevel="2">
      <c r="A1069" s="172">
        <v>46174</v>
      </c>
      <c r="B1069" s="1" t="s">
        <v>940</v>
      </c>
      <c r="C1069" s="379" t="s">
        <v>2577</v>
      </c>
      <c r="D1069" s="341" t="s">
        <v>65</v>
      </c>
      <c r="E1069" s="367">
        <v>2.2000000000000002</v>
      </c>
      <c r="F1069" s="680"/>
      <c r="G1069" s="29">
        <v>22.674023127503592</v>
      </c>
      <c r="H1069" s="29">
        <v>15.116015418335726</v>
      </c>
      <c r="I1069" s="29">
        <v>0</v>
      </c>
      <c r="J1069" s="29">
        <v>0</v>
      </c>
      <c r="K1069" s="29">
        <v>60.750510165520367</v>
      </c>
      <c r="L1069" s="29">
        <v>0</v>
      </c>
      <c r="M1069" s="29">
        <f t="shared" si="39"/>
        <v>98.540548711359691</v>
      </c>
    </row>
    <row r="1070" spans="1:13" outlineLevel="2">
      <c r="A1070" s="172">
        <v>46174</v>
      </c>
      <c r="B1070" s="1" t="s">
        <v>940</v>
      </c>
      <c r="C1070" s="379" t="s">
        <v>2688</v>
      </c>
      <c r="D1070" s="341" t="s">
        <v>65</v>
      </c>
      <c r="E1070" s="367">
        <v>21.9</v>
      </c>
      <c r="F1070" s="680"/>
      <c r="G1070" s="29">
        <v>0</v>
      </c>
      <c r="H1070" s="29">
        <v>15.116015418335726</v>
      </c>
      <c r="I1070" s="29">
        <v>0</v>
      </c>
      <c r="J1070" s="29">
        <v>0</v>
      </c>
      <c r="K1070" s="29">
        <v>0</v>
      </c>
      <c r="L1070" s="29">
        <v>0</v>
      </c>
      <c r="M1070" s="29">
        <f t="shared" si="39"/>
        <v>15.116015418335726</v>
      </c>
    </row>
    <row r="1071" spans="1:13" outlineLevel="2">
      <c r="A1071" s="172">
        <v>46174</v>
      </c>
      <c r="B1071" s="1" t="s">
        <v>940</v>
      </c>
      <c r="C1071" s="379" t="s">
        <v>2606</v>
      </c>
      <c r="D1071" s="341" t="s">
        <v>65</v>
      </c>
      <c r="E1071" s="367">
        <v>1.3</v>
      </c>
      <c r="F1071" s="680"/>
      <c r="G1071" s="29">
        <v>0</v>
      </c>
      <c r="H1071" s="29">
        <v>15.116015418335726</v>
      </c>
      <c r="I1071" s="29">
        <v>0</v>
      </c>
      <c r="J1071" s="29">
        <v>0</v>
      </c>
      <c r="K1071" s="29">
        <v>60.750510165520367</v>
      </c>
      <c r="L1071" s="29">
        <v>0</v>
      </c>
      <c r="M1071" s="29">
        <f t="shared" si="39"/>
        <v>75.866525583856088</v>
      </c>
    </row>
    <row r="1072" spans="1:13" outlineLevel="2">
      <c r="A1072" s="172">
        <v>46174</v>
      </c>
      <c r="B1072" s="1" t="s">
        <v>940</v>
      </c>
      <c r="C1072" s="379" t="s">
        <v>2612</v>
      </c>
      <c r="D1072" s="341" t="s">
        <v>65</v>
      </c>
      <c r="E1072" s="367">
        <v>7.3</v>
      </c>
      <c r="F1072" s="680"/>
      <c r="G1072" s="29">
        <v>0</v>
      </c>
      <c r="H1072" s="29">
        <v>15.116015418335726</v>
      </c>
      <c r="I1072" s="29">
        <v>0</v>
      </c>
      <c r="J1072" s="29">
        <v>0</v>
      </c>
      <c r="K1072" s="29">
        <v>60.750510165520367</v>
      </c>
      <c r="L1072" s="29">
        <v>0</v>
      </c>
      <c r="M1072" s="29">
        <f t="shared" si="39"/>
        <v>75.866525583856088</v>
      </c>
    </row>
    <row r="1073" spans="1:13" outlineLevel="2">
      <c r="A1073" s="172">
        <v>46174</v>
      </c>
      <c r="B1073" s="1" t="s">
        <v>940</v>
      </c>
      <c r="C1073" s="379" t="s">
        <v>2600</v>
      </c>
      <c r="D1073" s="341" t="s">
        <v>65</v>
      </c>
      <c r="E1073" s="367">
        <v>7.3</v>
      </c>
      <c r="F1073" s="680"/>
      <c r="G1073" s="29">
        <v>0</v>
      </c>
      <c r="H1073" s="29">
        <v>15.116015418335726</v>
      </c>
      <c r="I1073" s="29">
        <v>0</v>
      </c>
      <c r="J1073" s="29">
        <v>0</v>
      </c>
      <c r="K1073" s="29">
        <v>60.750510165520367</v>
      </c>
      <c r="L1073" s="29">
        <v>0</v>
      </c>
      <c r="M1073" s="29">
        <f t="shared" si="39"/>
        <v>75.866525583856088</v>
      </c>
    </row>
    <row r="1074" spans="1:13" outlineLevel="2">
      <c r="A1074" s="172">
        <v>46174</v>
      </c>
      <c r="B1074" s="1" t="s">
        <v>940</v>
      </c>
      <c r="C1074" s="379" t="s">
        <v>2614</v>
      </c>
      <c r="D1074" s="341" t="s">
        <v>65</v>
      </c>
      <c r="E1074" s="367">
        <v>7.3</v>
      </c>
      <c r="F1074" s="680"/>
      <c r="G1074" s="29">
        <v>0</v>
      </c>
      <c r="H1074" s="29">
        <v>15.116015418335726</v>
      </c>
      <c r="I1074" s="29">
        <v>0</v>
      </c>
      <c r="J1074" s="29">
        <v>0</v>
      </c>
      <c r="K1074" s="29">
        <v>60.750510165520367</v>
      </c>
      <c r="L1074" s="29">
        <v>0</v>
      </c>
      <c r="M1074" s="29">
        <f t="shared" si="39"/>
        <v>75.866525583856088</v>
      </c>
    </row>
    <row r="1075" spans="1:13" outlineLevel="2">
      <c r="A1075" s="172">
        <v>46174</v>
      </c>
      <c r="B1075" s="1" t="s">
        <v>940</v>
      </c>
      <c r="C1075" s="379" t="s">
        <v>2616</v>
      </c>
      <c r="D1075" s="341" t="s">
        <v>65</v>
      </c>
      <c r="E1075" s="367">
        <v>7.3</v>
      </c>
      <c r="F1075" s="680"/>
      <c r="G1075" s="29">
        <v>0</v>
      </c>
      <c r="H1075" s="29">
        <v>15.116015418335726</v>
      </c>
      <c r="I1075" s="29">
        <v>0</v>
      </c>
      <c r="J1075" s="29">
        <v>0</v>
      </c>
      <c r="K1075" s="29">
        <v>60.750510165520367</v>
      </c>
      <c r="L1075" s="29">
        <v>0</v>
      </c>
      <c r="M1075" s="29">
        <f t="shared" si="39"/>
        <v>75.866525583856088</v>
      </c>
    </row>
    <row r="1076" spans="1:13" outlineLevel="2">
      <c r="A1076" s="172">
        <v>46174</v>
      </c>
      <c r="B1076" s="1" t="s">
        <v>940</v>
      </c>
      <c r="C1076" s="379" t="s">
        <v>2620</v>
      </c>
      <c r="D1076" s="341" t="s">
        <v>65</v>
      </c>
      <c r="E1076" s="367">
        <v>7.3</v>
      </c>
      <c r="F1076" s="680"/>
      <c r="G1076" s="29">
        <v>0</v>
      </c>
      <c r="H1076" s="29">
        <v>15.116015418335726</v>
      </c>
      <c r="I1076" s="29">
        <v>0</v>
      </c>
      <c r="J1076" s="29">
        <v>0</v>
      </c>
      <c r="K1076" s="29">
        <v>60.750510165520367</v>
      </c>
      <c r="L1076" s="29">
        <v>0</v>
      </c>
      <c r="M1076" s="29">
        <f t="shared" si="39"/>
        <v>75.866525583856088</v>
      </c>
    </row>
    <row r="1077" spans="1:13" outlineLevel="2">
      <c r="A1077" s="172">
        <v>46174</v>
      </c>
      <c r="B1077" s="1" t="s">
        <v>940</v>
      </c>
      <c r="C1077" s="379" t="s">
        <v>2602</v>
      </c>
      <c r="D1077" s="341" t="s">
        <v>65</v>
      </c>
      <c r="E1077" s="367">
        <v>3.4</v>
      </c>
      <c r="F1077" s="680"/>
      <c r="G1077" s="29">
        <v>0</v>
      </c>
      <c r="H1077" s="29">
        <v>15.116015418335726</v>
      </c>
      <c r="I1077" s="29">
        <v>0</v>
      </c>
      <c r="J1077" s="29">
        <v>0</v>
      </c>
      <c r="K1077" s="29">
        <v>60.750510165520367</v>
      </c>
      <c r="L1077" s="29">
        <v>0</v>
      </c>
      <c r="M1077" s="29">
        <f t="shared" si="39"/>
        <v>75.866525583856088</v>
      </c>
    </row>
    <row r="1078" spans="1:13" outlineLevel="2">
      <c r="A1078" s="172">
        <v>46174</v>
      </c>
      <c r="B1078" s="1" t="s">
        <v>940</v>
      </c>
      <c r="C1078" s="379" t="s">
        <v>2642</v>
      </c>
      <c r="D1078" s="341" t="s">
        <v>65</v>
      </c>
      <c r="E1078" s="367">
        <v>3.4</v>
      </c>
      <c r="F1078" s="680"/>
      <c r="G1078" s="29">
        <v>0</v>
      </c>
      <c r="H1078" s="29">
        <v>15.116015418335726</v>
      </c>
      <c r="I1078" s="29">
        <v>0</v>
      </c>
      <c r="J1078" s="29">
        <v>0</v>
      </c>
      <c r="K1078" s="29">
        <v>60.750510165520367</v>
      </c>
      <c r="L1078" s="29">
        <v>0</v>
      </c>
      <c r="M1078" s="29">
        <f t="shared" si="39"/>
        <v>75.866525583856088</v>
      </c>
    </row>
    <row r="1079" spans="1:13" outlineLevel="2">
      <c r="A1079" s="172">
        <v>46174</v>
      </c>
      <c r="B1079" s="1" t="s">
        <v>940</v>
      </c>
      <c r="C1079" s="379" t="s">
        <v>2624</v>
      </c>
      <c r="D1079" s="341" t="s">
        <v>65</v>
      </c>
      <c r="E1079" s="367">
        <v>3.4</v>
      </c>
      <c r="F1079" s="680"/>
      <c r="G1079" s="29">
        <v>0</v>
      </c>
      <c r="H1079" s="29">
        <v>15.116015418335726</v>
      </c>
      <c r="I1079" s="29">
        <v>0</v>
      </c>
      <c r="J1079" s="29">
        <v>0</v>
      </c>
      <c r="K1079" s="29">
        <v>60.750510165520367</v>
      </c>
      <c r="L1079" s="29">
        <v>0</v>
      </c>
      <c r="M1079" s="29">
        <f t="shared" si="39"/>
        <v>75.866525583856088</v>
      </c>
    </row>
    <row r="1080" spans="1:13" outlineLevel="2">
      <c r="A1080" s="172">
        <v>46174</v>
      </c>
      <c r="B1080" s="1" t="s">
        <v>940</v>
      </c>
      <c r="C1080" s="379" t="s">
        <v>2628</v>
      </c>
      <c r="D1080" s="341" t="s">
        <v>65</v>
      </c>
      <c r="E1080" s="367">
        <v>3.4</v>
      </c>
      <c r="F1080" s="680"/>
      <c r="G1080" s="29">
        <v>0</v>
      </c>
      <c r="H1080" s="29">
        <v>15.116015418335726</v>
      </c>
      <c r="I1080" s="29">
        <v>0</v>
      </c>
      <c r="J1080" s="29">
        <v>0</v>
      </c>
      <c r="K1080" s="29">
        <v>60.750510165520367</v>
      </c>
      <c r="L1080" s="29">
        <v>0</v>
      </c>
      <c r="M1080" s="29">
        <f t="shared" si="39"/>
        <v>75.866525583856088</v>
      </c>
    </row>
    <row r="1081" spans="1:13" outlineLevel="2">
      <c r="A1081" s="172">
        <v>46174</v>
      </c>
      <c r="B1081" s="1" t="s">
        <v>940</v>
      </c>
      <c r="C1081" s="379" t="s">
        <v>2632</v>
      </c>
      <c r="D1081" s="341" t="s">
        <v>65</v>
      </c>
      <c r="E1081" s="367">
        <v>3.4</v>
      </c>
      <c r="F1081" s="680"/>
      <c r="G1081" s="29">
        <v>0</v>
      </c>
      <c r="H1081" s="29">
        <v>15.116015418335726</v>
      </c>
      <c r="I1081" s="29">
        <v>0</v>
      </c>
      <c r="J1081" s="29">
        <v>0</v>
      </c>
      <c r="K1081" s="29">
        <v>60.750510165520367</v>
      </c>
      <c r="L1081" s="29">
        <v>0</v>
      </c>
      <c r="M1081" s="29">
        <f t="shared" si="39"/>
        <v>75.866525583856088</v>
      </c>
    </row>
    <row r="1082" spans="1:13" outlineLevel="2">
      <c r="A1082" s="172">
        <v>46174</v>
      </c>
      <c r="B1082" s="1" t="s">
        <v>940</v>
      </c>
      <c r="C1082" s="379" t="s">
        <v>2636</v>
      </c>
      <c r="D1082" s="341" t="s">
        <v>65</v>
      </c>
      <c r="E1082" s="367">
        <v>3.4</v>
      </c>
      <c r="F1082" s="680"/>
      <c r="G1082" s="29">
        <v>0</v>
      </c>
      <c r="H1082" s="29">
        <v>15.116015418335726</v>
      </c>
      <c r="I1082" s="29">
        <v>0</v>
      </c>
      <c r="J1082" s="29">
        <v>0</v>
      </c>
      <c r="K1082" s="29">
        <v>60.750510165520367</v>
      </c>
      <c r="L1082" s="29">
        <v>0</v>
      </c>
      <c r="M1082" s="29">
        <f t="shared" si="39"/>
        <v>75.866525583856088</v>
      </c>
    </row>
    <row r="1083" spans="1:13" outlineLevel="2">
      <c r="A1083" s="172">
        <v>46174</v>
      </c>
      <c r="B1083" s="1" t="s">
        <v>940</v>
      </c>
      <c r="C1083" s="379" t="s">
        <v>2658</v>
      </c>
      <c r="D1083" s="341" t="s">
        <v>65</v>
      </c>
      <c r="E1083" s="367">
        <v>2.7</v>
      </c>
      <c r="F1083" s="680"/>
      <c r="G1083" s="29">
        <v>0</v>
      </c>
      <c r="H1083" s="29">
        <v>15.116015418335726</v>
      </c>
      <c r="I1083" s="29">
        <v>0</v>
      </c>
      <c r="J1083" s="29">
        <v>0</v>
      </c>
      <c r="K1083" s="29">
        <v>60.750510165520367</v>
      </c>
      <c r="L1083" s="29">
        <v>0</v>
      </c>
      <c r="M1083" s="29">
        <f t="shared" si="39"/>
        <v>75.866525583856088</v>
      </c>
    </row>
    <row r="1084" spans="1:13" outlineLevel="2">
      <c r="A1084" s="172">
        <v>46174</v>
      </c>
      <c r="B1084" s="1" t="s">
        <v>940</v>
      </c>
      <c r="C1084" s="379" t="s">
        <v>2608</v>
      </c>
      <c r="D1084" s="341" t="s">
        <v>65</v>
      </c>
      <c r="E1084" s="367">
        <v>3.4</v>
      </c>
      <c r="F1084" s="680"/>
      <c r="G1084" s="29">
        <v>0</v>
      </c>
      <c r="H1084" s="29">
        <v>15.116015418335726</v>
      </c>
      <c r="I1084" s="29">
        <v>0</v>
      </c>
      <c r="J1084" s="29">
        <v>0</v>
      </c>
      <c r="K1084" s="29">
        <v>60.750510165520367</v>
      </c>
      <c r="L1084" s="29">
        <v>0</v>
      </c>
      <c r="M1084" s="29">
        <f t="shared" si="39"/>
        <v>75.866525583856088</v>
      </c>
    </row>
    <row r="1085" spans="1:13" outlineLevel="2">
      <c r="A1085" s="172">
        <v>46174</v>
      </c>
      <c r="B1085" s="1" t="s">
        <v>940</v>
      </c>
      <c r="C1085" s="379" t="s">
        <v>2660</v>
      </c>
      <c r="D1085" s="341" t="s">
        <v>65</v>
      </c>
      <c r="E1085" s="367">
        <v>3.4</v>
      </c>
      <c r="F1085" s="680"/>
      <c r="G1085" s="29">
        <v>0</v>
      </c>
      <c r="H1085" s="29">
        <v>15.116015418335726</v>
      </c>
      <c r="I1085" s="29">
        <v>0</v>
      </c>
      <c r="J1085" s="29">
        <v>0</v>
      </c>
      <c r="K1085" s="29">
        <v>60.750510165520367</v>
      </c>
      <c r="L1085" s="29">
        <v>0</v>
      </c>
      <c r="M1085" s="29">
        <f t="shared" si="39"/>
        <v>75.866525583856088</v>
      </c>
    </row>
    <row r="1086" spans="1:13" outlineLevel="2">
      <c r="A1086" s="172">
        <v>46174</v>
      </c>
      <c r="B1086" s="1" t="s">
        <v>940</v>
      </c>
      <c r="C1086" s="379" t="s">
        <v>2638</v>
      </c>
      <c r="D1086" s="341" t="s">
        <v>65</v>
      </c>
      <c r="E1086" s="367">
        <v>3.4</v>
      </c>
      <c r="F1086" s="680"/>
      <c r="G1086" s="29">
        <v>0</v>
      </c>
      <c r="H1086" s="29">
        <v>15.116015418335726</v>
      </c>
      <c r="I1086" s="29">
        <v>0</v>
      </c>
      <c r="J1086" s="29">
        <v>0</v>
      </c>
      <c r="K1086" s="29">
        <v>60.750510165520367</v>
      </c>
      <c r="L1086" s="29">
        <v>0</v>
      </c>
      <c r="M1086" s="29">
        <f t="shared" si="39"/>
        <v>75.866525583856088</v>
      </c>
    </row>
    <row r="1087" spans="1:13" outlineLevel="2">
      <c r="A1087" s="172">
        <v>46174</v>
      </c>
      <c r="B1087" s="1" t="s">
        <v>940</v>
      </c>
      <c r="C1087" s="379" t="s">
        <v>2644</v>
      </c>
      <c r="D1087" s="341" t="s">
        <v>65</v>
      </c>
      <c r="E1087" s="367">
        <v>3.4</v>
      </c>
      <c r="F1087" s="680"/>
      <c r="G1087" s="29">
        <v>0</v>
      </c>
      <c r="H1087" s="29">
        <v>15.116015418335726</v>
      </c>
      <c r="I1087" s="29">
        <v>0</v>
      </c>
      <c r="J1087" s="29">
        <v>0</v>
      </c>
      <c r="K1087" s="29">
        <v>60.750510165520367</v>
      </c>
      <c r="L1087" s="29">
        <v>0</v>
      </c>
      <c r="M1087" s="29">
        <f t="shared" si="39"/>
        <v>75.866525583856088</v>
      </c>
    </row>
    <row r="1088" spans="1:13" outlineLevel="2">
      <c r="A1088" s="172">
        <v>46174</v>
      </c>
      <c r="B1088" s="1" t="s">
        <v>940</v>
      </c>
      <c r="C1088" s="379" t="s">
        <v>2618</v>
      </c>
      <c r="D1088" s="341" t="s">
        <v>65</v>
      </c>
      <c r="E1088" s="367">
        <v>3.4</v>
      </c>
      <c r="F1088" s="680"/>
      <c r="G1088" s="29">
        <v>0</v>
      </c>
      <c r="H1088" s="29">
        <v>15.116015418335726</v>
      </c>
      <c r="I1088" s="29">
        <v>0</v>
      </c>
      <c r="J1088" s="29">
        <v>0</v>
      </c>
      <c r="K1088" s="29">
        <v>60.750510165520367</v>
      </c>
      <c r="L1088" s="29">
        <v>0</v>
      </c>
      <c r="M1088" s="29">
        <f t="shared" si="39"/>
        <v>75.866525583856088</v>
      </c>
    </row>
    <row r="1089" spans="1:13" outlineLevel="2">
      <c r="A1089" s="172">
        <v>46174</v>
      </c>
      <c r="B1089" s="1" t="s">
        <v>940</v>
      </c>
      <c r="C1089" s="379" t="s">
        <v>2622</v>
      </c>
      <c r="D1089" s="341" t="s">
        <v>65</v>
      </c>
      <c r="E1089" s="367">
        <v>3.4</v>
      </c>
      <c r="F1089" s="680"/>
      <c r="G1089" s="29">
        <v>0</v>
      </c>
      <c r="H1089" s="29">
        <v>15.116015418335726</v>
      </c>
      <c r="I1089" s="29">
        <v>0</v>
      </c>
      <c r="J1089" s="29">
        <v>0</v>
      </c>
      <c r="K1089" s="29">
        <v>60.750510165520367</v>
      </c>
      <c r="L1089" s="29">
        <v>0</v>
      </c>
      <c r="M1089" s="29">
        <f t="shared" si="39"/>
        <v>75.866525583856088</v>
      </c>
    </row>
    <row r="1090" spans="1:13" outlineLevel="2">
      <c r="A1090" s="172">
        <v>46174</v>
      </c>
      <c r="B1090" s="1" t="s">
        <v>940</v>
      </c>
      <c r="C1090" s="379" t="s">
        <v>2626</v>
      </c>
      <c r="D1090" s="341" t="s">
        <v>65</v>
      </c>
      <c r="E1090" s="367">
        <v>3.4</v>
      </c>
      <c r="F1090" s="680"/>
      <c r="G1090" s="29">
        <v>0</v>
      </c>
      <c r="H1090" s="29">
        <v>15.116015418335726</v>
      </c>
      <c r="I1090" s="29">
        <v>0</v>
      </c>
      <c r="J1090" s="29">
        <v>0</v>
      </c>
      <c r="K1090" s="29">
        <v>60.750510165520367</v>
      </c>
      <c r="L1090" s="29">
        <v>0</v>
      </c>
      <c r="M1090" s="29">
        <f t="shared" si="39"/>
        <v>75.866525583856088</v>
      </c>
    </row>
    <row r="1091" spans="1:13" outlineLevel="2">
      <c r="A1091" s="172">
        <v>46174</v>
      </c>
      <c r="B1091" s="1" t="s">
        <v>940</v>
      </c>
      <c r="C1091" s="379" t="s">
        <v>2610</v>
      </c>
      <c r="D1091" s="341" t="s">
        <v>65</v>
      </c>
      <c r="E1091" s="367">
        <v>3.4</v>
      </c>
      <c r="F1091" s="680"/>
      <c r="G1091" s="29">
        <v>0</v>
      </c>
      <c r="H1091" s="29">
        <v>15.116015418335726</v>
      </c>
      <c r="I1091" s="29">
        <v>0</v>
      </c>
      <c r="J1091" s="29">
        <v>0</v>
      </c>
      <c r="K1091" s="29">
        <v>60.750510165520367</v>
      </c>
      <c r="L1091" s="29">
        <v>0</v>
      </c>
      <c r="M1091" s="29">
        <f t="shared" si="39"/>
        <v>75.866525583856088</v>
      </c>
    </row>
    <row r="1092" spans="1:13" outlineLevel="2">
      <c r="A1092" s="172">
        <v>46174</v>
      </c>
      <c r="B1092" s="1" t="s">
        <v>940</v>
      </c>
      <c r="C1092" s="379" t="s">
        <v>2630</v>
      </c>
      <c r="D1092" s="341" t="s">
        <v>65</v>
      </c>
      <c r="E1092" s="367">
        <v>3.4</v>
      </c>
      <c r="F1092" s="680"/>
      <c r="G1092" s="29">
        <v>0</v>
      </c>
      <c r="H1092" s="29">
        <v>15.116015418335726</v>
      </c>
      <c r="I1092" s="29">
        <v>0</v>
      </c>
      <c r="J1092" s="29">
        <v>0</v>
      </c>
      <c r="K1092" s="29">
        <v>60.750510165520367</v>
      </c>
      <c r="L1092" s="29">
        <v>0</v>
      </c>
      <c r="M1092" s="29">
        <f t="shared" si="39"/>
        <v>75.866525583856088</v>
      </c>
    </row>
    <row r="1093" spans="1:13" outlineLevel="2">
      <c r="A1093" s="172">
        <v>46174</v>
      </c>
      <c r="B1093" s="1" t="s">
        <v>940</v>
      </c>
      <c r="C1093" s="379" t="s">
        <v>2646</v>
      </c>
      <c r="D1093" s="341" t="s">
        <v>65</v>
      </c>
      <c r="E1093" s="367">
        <v>3.4</v>
      </c>
      <c r="F1093" s="680"/>
      <c r="G1093" s="29">
        <v>0</v>
      </c>
      <c r="H1093" s="29">
        <v>15.116015418335726</v>
      </c>
      <c r="I1093" s="29">
        <v>0</v>
      </c>
      <c r="J1093" s="29">
        <v>0</v>
      </c>
      <c r="K1093" s="29">
        <v>60.750510165520367</v>
      </c>
      <c r="L1093" s="29">
        <v>0</v>
      </c>
      <c r="M1093" s="29">
        <f t="shared" si="39"/>
        <v>75.866525583856088</v>
      </c>
    </row>
    <row r="1094" spans="1:13" outlineLevel="2">
      <c r="A1094" s="172">
        <v>46174</v>
      </c>
      <c r="B1094" s="1" t="s">
        <v>940</v>
      </c>
      <c r="C1094" s="379" t="s">
        <v>2634</v>
      </c>
      <c r="D1094" s="341" t="s">
        <v>65</v>
      </c>
      <c r="E1094" s="367">
        <v>3.4</v>
      </c>
      <c r="F1094" s="680"/>
      <c r="G1094" s="29">
        <v>0</v>
      </c>
      <c r="H1094" s="29">
        <v>15.116015418335726</v>
      </c>
      <c r="I1094" s="29">
        <v>0</v>
      </c>
      <c r="J1094" s="29">
        <v>0</v>
      </c>
      <c r="K1094" s="29">
        <v>60.750510165520367</v>
      </c>
      <c r="L1094" s="29">
        <v>0</v>
      </c>
      <c r="M1094" s="29">
        <f t="shared" si="39"/>
        <v>75.866525583856088</v>
      </c>
    </row>
    <row r="1095" spans="1:13" outlineLevel="2">
      <c r="A1095" s="172">
        <v>46174</v>
      </c>
      <c r="B1095" s="1" t="s">
        <v>940</v>
      </c>
      <c r="C1095" s="379" t="s">
        <v>2640</v>
      </c>
      <c r="D1095" s="341" t="s">
        <v>65</v>
      </c>
      <c r="E1095" s="367">
        <v>3.4</v>
      </c>
      <c r="F1095" s="680"/>
      <c r="G1095" s="29">
        <v>0</v>
      </c>
      <c r="H1095" s="29">
        <v>15.116015418335726</v>
      </c>
      <c r="I1095" s="29">
        <v>0</v>
      </c>
      <c r="J1095" s="29">
        <v>0</v>
      </c>
      <c r="K1095" s="29">
        <v>60.750510165520367</v>
      </c>
      <c r="L1095" s="29">
        <v>0</v>
      </c>
      <c r="M1095" s="29">
        <f t="shared" si="39"/>
        <v>75.866525583856088</v>
      </c>
    </row>
    <row r="1096" spans="1:13" outlineLevel="2">
      <c r="A1096" s="172">
        <v>46174</v>
      </c>
      <c r="B1096" s="1" t="s">
        <v>940</v>
      </c>
      <c r="C1096" s="379" t="s">
        <v>2648</v>
      </c>
      <c r="D1096" s="341" t="s">
        <v>65</v>
      </c>
      <c r="E1096" s="367">
        <v>3.4</v>
      </c>
      <c r="F1096" s="680"/>
      <c r="G1096" s="29">
        <v>0</v>
      </c>
      <c r="H1096" s="29">
        <v>15.116015418335726</v>
      </c>
      <c r="I1096" s="29">
        <v>0</v>
      </c>
      <c r="J1096" s="29">
        <v>0</v>
      </c>
      <c r="K1096" s="29">
        <v>60.750510165520367</v>
      </c>
      <c r="L1096" s="29">
        <v>0</v>
      </c>
      <c r="M1096" s="29">
        <f t="shared" si="39"/>
        <v>75.866525583856088</v>
      </c>
    </row>
    <row r="1097" spans="1:13" outlineLevel="2">
      <c r="A1097" s="172">
        <v>46174</v>
      </c>
      <c r="B1097" s="1" t="s">
        <v>940</v>
      </c>
      <c r="C1097" s="379" t="s">
        <v>2650</v>
      </c>
      <c r="D1097" s="341" t="s">
        <v>65</v>
      </c>
      <c r="E1097" s="367">
        <v>3.4</v>
      </c>
      <c r="F1097" s="680"/>
      <c r="G1097" s="29">
        <v>0</v>
      </c>
      <c r="H1097" s="29">
        <v>15.116015418335726</v>
      </c>
      <c r="I1097" s="29">
        <v>0</v>
      </c>
      <c r="J1097" s="29">
        <v>0</v>
      </c>
      <c r="K1097" s="29">
        <v>60.750510165520367</v>
      </c>
      <c r="L1097" s="29">
        <v>0</v>
      </c>
      <c r="M1097" s="29">
        <f t="shared" si="39"/>
        <v>75.866525583856088</v>
      </c>
    </row>
    <row r="1098" spans="1:13" outlineLevel="2">
      <c r="A1098" s="172">
        <v>46174</v>
      </c>
      <c r="B1098" s="1" t="s">
        <v>940</v>
      </c>
      <c r="C1098" s="379" t="s">
        <v>2652</v>
      </c>
      <c r="D1098" s="341" t="s">
        <v>65</v>
      </c>
      <c r="E1098" s="367">
        <v>3.4</v>
      </c>
      <c r="F1098" s="680"/>
      <c r="G1098" s="29">
        <v>0</v>
      </c>
      <c r="H1098" s="29">
        <v>15.116015418335726</v>
      </c>
      <c r="I1098" s="29">
        <v>0</v>
      </c>
      <c r="J1098" s="29">
        <v>0</v>
      </c>
      <c r="K1098" s="29">
        <v>60.750510165520367</v>
      </c>
      <c r="L1098" s="29">
        <v>0</v>
      </c>
      <c r="M1098" s="29">
        <f t="shared" si="39"/>
        <v>75.866525583856088</v>
      </c>
    </row>
    <row r="1099" spans="1:13" outlineLevel="2">
      <c r="A1099" s="172">
        <v>46174</v>
      </c>
      <c r="B1099" s="1" t="s">
        <v>940</v>
      </c>
      <c r="C1099" s="379" t="s">
        <v>2604</v>
      </c>
      <c r="D1099" s="341" t="s">
        <v>65</v>
      </c>
      <c r="E1099" s="367">
        <v>5.2</v>
      </c>
      <c r="F1099" s="680"/>
      <c r="G1099" s="29">
        <v>0</v>
      </c>
      <c r="H1099" s="29">
        <v>15.116015418335726</v>
      </c>
      <c r="I1099" s="29">
        <v>0</v>
      </c>
      <c r="J1099" s="29">
        <v>0</v>
      </c>
      <c r="K1099" s="29">
        <v>60.750510165520367</v>
      </c>
      <c r="L1099" s="29">
        <v>0</v>
      </c>
      <c r="M1099" s="29">
        <f t="shared" si="39"/>
        <v>75.866525583856088</v>
      </c>
    </row>
    <row r="1100" spans="1:13" outlineLevel="2">
      <c r="A1100" s="172">
        <v>46174</v>
      </c>
      <c r="B1100" s="1" t="s">
        <v>940</v>
      </c>
      <c r="C1100" s="379" t="s">
        <v>2656</v>
      </c>
      <c r="D1100" s="341" t="s">
        <v>65</v>
      </c>
      <c r="E1100" s="367">
        <v>3.9</v>
      </c>
      <c r="F1100" s="680"/>
      <c r="G1100" s="29">
        <v>0</v>
      </c>
      <c r="H1100" s="29">
        <v>15.116015418335726</v>
      </c>
      <c r="I1100" s="29">
        <v>0</v>
      </c>
      <c r="J1100" s="29">
        <v>0</v>
      </c>
      <c r="K1100" s="29">
        <v>60.750510165520367</v>
      </c>
      <c r="L1100" s="29">
        <v>0</v>
      </c>
      <c r="M1100" s="29">
        <f t="shared" si="39"/>
        <v>75.866525583856088</v>
      </c>
    </row>
    <row r="1101" spans="1:13" outlineLevel="2">
      <c r="A1101" s="172">
        <v>46174</v>
      </c>
      <c r="B1101" s="1" t="s">
        <v>940</v>
      </c>
      <c r="C1101" s="379" t="s">
        <v>2654</v>
      </c>
      <c r="D1101" s="341" t="s">
        <v>65</v>
      </c>
      <c r="E1101" s="367">
        <v>12.1</v>
      </c>
      <c r="F1101" s="680"/>
      <c r="G1101" s="29">
        <v>22.674023127503592</v>
      </c>
      <c r="H1101" s="29">
        <v>15.116015418335726</v>
      </c>
      <c r="I1101" s="29">
        <v>0</v>
      </c>
      <c r="J1101" s="29">
        <v>0</v>
      </c>
      <c r="K1101" s="29">
        <v>60.750510165520367</v>
      </c>
      <c r="L1101" s="29">
        <v>0</v>
      </c>
      <c r="M1101" s="29">
        <f t="shared" si="39"/>
        <v>98.540548711359691</v>
      </c>
    </row>
    <row r="1102" spans="1:13" outlineLevel="2">
      <c r="A1102" s="172">
        <v>46174</v>
      </c>
      <c r="B1102" s="1" t="s">
        <v>940</v>
      </c>
      <c r="C1102" s="379" t="s">
        <v>2686</v>
      </c>
      <c r="D1102" s="341" t="s">
        <v>65</v>
      </c>
      <c r="E1102" s="367">
        <v>6.6</v>
      </c>
      <c r="F1102" s="680"/>
      <c r="G1102" s="29">
        <v>0</v>
      </c>
      <c r="H1102" s="29">
        <v>15.116015418335726</v>
      </c>
      <c r="I1102" s="29">
        <v>0</v>
      </c>
      <c r="J1102" s="29">
        <v>0</v>
      </c>
      <c r="K1102" s="29">
        <v>60.750510165520367</v>
      </c>
      <c r="L1102" s="29">
        <v>0</v>
      </c>
      <c r="M1102" s="29">
        <f t="shared" si="39"/>
        <v>75.866525583856088</v>
      </c>
    </row>
    <row r="1103" spans="1:13" outlineLevel="2">
      <c r="A1103" s="172">
        <v>46174</v>
      </c>
      <c r="B1103" s="1" t="s">
        <v>940</v>
      </c>
      <c r="C1103" s="379" t="s">
        <v>2684</v>
      </c>
      <c r="D1103" s="341" t="s">
        <v>65</v>
      </c>
      <c r="E1103" s="367">
        <v>6.6</v>
      </c>
      <c r="F1103" s="680"/>
      <c r="G1103" s="29">
        <v>0</v>
      </c>
      <c r="H1103" s="29">
        <v>15.116015418335726</v>
      </c>
      <c r="I1103" s="29">
        <v>0</v>
      </c>
      <c r="J1103" s="29">
        <v>0</v>
      </c>
      <c r="K1103" s="29">
        <v>60.750510165520367</v>
      </c>
      <c r="L1103" s="29">
        <v>0</v>
      </c>
      <c r="M1103" s="29">
        <f t="shared" si="39"/>
        <v>75.866525583856088</v>
      </c>
    </row>
    <row r="1104" spans="1:13" outlineLevel="2">
      <c r="A1104" s="172">
        <v>46174</v>
      </c>
      <c r="B1104" s="1" t="s">
        <v>940</v>
      </c>
      <c r="C1104" s="379" t="s">
        <v>2662</v>
      </c>
      <c r="D1104" s="341" t="s">
        <v>65</v>
      </c>
      <c r="E1104" s="367">
        <v>6.6</v>
      </c>
      <c r="F1104" s="680"/>
      <c r="G1104" s="29">
        <v>0</v>
      </c>
      <c r="H1104" s="29">
        <v>15.116015418335726</v>
      </c>
      <c r="I1104" s="29">
        <v>0</v>
      </c>
      <c r="J1104" s="29">
        <v>0</v>
      </c>
      <c r="K1104" s="29">
        <v>60.750510165520367</v>
      </c>
      <c r="L1104" s="29">
        <v>0</v>
      </c>
      <c r="M1104" s="29">
        <f t="shared" si="39"/>
        <v>75.866525583856088</v>
      </c>
    </row>
    <row r="1105" spans="1:13" outlineLevel="2">
      <c r="A1105" s="172">
        <v>46174</v>
      </c>
      <c r="B1105" s="1" t="s">
        <v>940</v>
      </c>
      <c r="C1105" s="379" t="s">
        <v>2690</v>
      </c>
      <c r="D1105" s="341" t="s">
        <v>65</v>
      </c>
      <c r="E1105" s="367">
        <v>6.6</v>
      </c>
      <c r="F1105" s="680"/>
      <c r="G1105" s="29">
        <v>0</v>
      </c>
      <c r="H1105" s="29">
        <v>15.116015418335726</v>
      </c>
      <c r="I1105" s="29">
        <v>0</v>
      </c>
      <c r="J1105" s="29">
        <v>0</v>
      </c>
      <c r="K1105" s="29">
        <v>60.750510165520367</v>
      </c>
      <c r="L1105" s="29">
        <v>0</v>
      </c>
      <c r="M1105" s="29">
        <f t="shared" si="39"/>
        <v>75.866525583856088</v>
      </c>
    </row>
    <row r="1106" spans="1:13" outlineLevel="2">
      <c r="A1106" s="172">
        <v>46174</v>
      </c>
      <c r="B1106" s="1" t="s">
        <v>940</v>
      </c>
      <c r="C1106" s="379" t="s">
        <v>2692</v>
      </c>
      <c r="D1106" s="341" t="s">
        <v>65</v>
      </c>
      <c r="E1106" s="367">
        <v>6.6</v>
      </c>
      <c r="F1106" s="680"/>
      <c r="G1106" s="29">
        <v>0</v>
      </c>
      <c r="H1106" s="29">
        <v>15.116015418335726</v>
      </c>
      <c r="I1106" s="29">
        <v>0</v>
      </c>
      <c r="J1106" s="29">
        <v>0</v>
      </c>
      <c r="K1106" s="29">
        <v>60.750510165520367</v>
      </c>
      <c r="L1106" s="29">
        <v>0</v>
      </c>
      <c r="M1106" s="29">
        <f t="shared" si="39"/>
        <v>75.866525583856088</v>
      </c>
    </row>
    <row r="1107" spans="1:13" outlineLevel="2">
      <c r="A1107" s="172">
        <v>46174</v>
      </c>
      <c r="B1107" s="1" t="s">
        <v>940</v>
      </c>
      <c r="C1107" s="379" t="s">
        <v>2695</v>
      </c>
      <c r="D1107" s="341" t="s">
        <v>65</v>
      </c>
      <c r="E1107" s="367">
        <v>6.6</v>
      </c>
      <c r="F1107" s="680"/>
      <c r="G1107" s="29">
        <v>0</v>
      </c>
      <c r="H1107" s="29">
        <v>15.116015418335726</v>
      </c>
      <c r="I1107" s="29">
        <v>0</v>
      </c>
      <c r="J1107" s="29">
        <v>0</v>
      </c>
      <c r="K1107" s="29">
        <v>60.750510165520367</v>
      </c>
      <c r="L1107" s="29">
        <v>0</v>
      </c>
      <c r="M1107" s="29">
        <f t="shared" si="39"/>
        <v>75.866525583856088</v>
      </c>
    </row>
    <row r="1108" spans="1:13" outlineLevel="2">
      <c r="A1108" s="172">
        <v>46174</v>
      </c>
      <c r="B1108" s="1" t="s">
        <v>940</v>
      </c>
      <c r="C1108" s="379" t="s">
        <v>2666</v>
      </c>
      <c r="D1108" s="341" t="s">
        <v>65</v>
      </c>
      <c r="E1108" s="367">
        <v>6.6</v>
      </c>
      <c r="F1108" s="680"/>
      <c r="G1108" s="29">
        <v>0</v>
      </c>
      <c r="H1108" s="29">
        <v>15.116015418335726</v>
      </c>
      <c r="I1108" s="29">
        <v>0</v>
      </c>
      <c r="J1108" s="29">
        <v>0</v>
      </c>
      <c r="K1108" s="29">
        <v>60.750510165520367</v>
      </c>
      <c r="L1108" s="29">
        <v>0</v>
      </c>
      <c r="M1108" s="29">
        <f t="shared" si="39"/>
        <v>75.866525583856088</v>
      </c>
    </row>
    <row r="1109" spans="1:13" outlineLevel="2">
      <c r="A1109" s="172">
        <v>46174</v>
      </c>
      <c r="B1109" s="1" t="s">
        <v>940</v>
      </c>
      <c r="C1109" s="379" t="s">
        <v>2672</v>
      </c>
      <c r="D1109" s="341" t="s">
        <v>65</v>
      </c>
      <c r="E1109" s="367">
        <v>6.7</v>
      </c>
      <c r="F1109" s="680"/>
      <c r="G1109" s="29">
        <v>0</v>
      </c>
      <c r="H1109" s="29">
        <v>15.116015418335726</v>
      </c>
      <c r="I1109" s="29">
        <v>0</v>
      </c>
      <c r="J1109" s="29">
        <v>0</v>
      </c>
      <c r="K1109" s="29">
        <v>60.750510165520367</v>
      </c>
      <c r="L1109" s="29">
        <v>0</v>
      </c>
      <c r="M1109" s="29">
        <f t="shared" si="39"/>
        <v>75.866525583856088</v>
      </c>
    </row>
    <row r="1110" spans="1:13" outlineLevel="2">
      <c r="A1110" s="172">
        <v>46174</v>
      </c>
      <c r="B1110" s="1" t="s">
        <v>940</v>
      </c>
      <c r="C1110" s="379" t="s">
        <v>2680</v>
      </c>
      <c r="D1110" s="341" t="s">
        <v>65</v>
      </c>
      <c r="E1110" s="367">
        <v>6.6</v>
      </c>
      <c r="F1110" s="680"/>
      <c r="G1110" s="29">
        <v>0</v>
      </c>
      <c r="H1110" s="29">
        <v>15.116015418335726</v>
      </c>
      <c r="I1110" s="29">
        <v>0</v>
      </c>
      <c r="J1110" s="29">
        <v>0</v>
      </c>
      <c r="K1110" s="29">
        <v>60.750510165520367</v>
      </c>
      <c r="L1110" s="29">
        <v>0</v>
      </c>
      <c r="M1110" s="29">
        <f t="shared" si="39"/>
        <v>75.866525583856088</v>
      </c>
    </row>
    <row r="1111" spans="1:13" outlineLevel="2">
      <c r="A1111" s="172">
        <v>46174</v>
      </c>
      <c r="B1111" s="1" t="s">
        <v>940</v>
      </c>
      <c r="C1111" s="379" t="s">
        <v>2678</v>
      </c>
      <c r="D1111" s="341" t="s">
        <v>65</v>
      </c>
      <c r="E1111" s="367">
        <v>6.6</v>
      </c>
      <c r="F1111" s="680"/>
      <c r="G1111" s="29">
        <v>0</v>
      </c>
      <c r="H1111" s="29">
        <v>15.116015418335726</v>
      </c>
      <c r="I1111" s="29">
        <v>0</v>
      </c>
      <c r="J1111" s="29">
        <v>0</v>
      </c>
      <c r="K1111" s="29">
        <v>60.750510165520367</v>
      </c>
      <c r="L1111" s="29">
        <v>0</v>
      </c>
      <c r="M1111" s="29">
        <f t="shared" si="39"/>
        <v>75.866525583856088</v>
      </c>
    </row>
    <row r="1112" spans="1:13" outlineLevel="2">
      <c r="A1112" s="172">
        <v>46174</v>
      </c>
      <c r="B1112" s="1" t="s">
        <v>940</v>
      </c>
      <c r="C1112" s="379" t="s">
        <v>2668</v>
      </c>
      <c r="D1112" s="341" t="s">
        <v>65</v>
      </c>
      <c r="E1112" s="367">
        <v>6.6</v>
      </c>
      <c r="F1112" s="680"/>
      <c r="G1112" s="29">
        <v>0</v>
      </c>
      <c r="H1112" s="29">
        <v>15.116015418335726</v>
      </c>
      <c r="I1112" s="29">
        <v>0</v>
      </c>
      <c r="J1112" s="29">
        <v>0</v>
      </c>
      <c r="K1112" s="29">
        <v>60.750510165520367</v>
      </c>
      <c r="L1112" s="29">
        <v>0</v>
      </c>
      <c r="M1112" s="29">
        <f t="shared" si="39"/>
        <v>75.866525583856088</v>
      </c>
    </row>
    <row r="1113" spans="1:13" outlineLevel="2">
      <c r="A1113" s="172">
        <v>46174</v>
      </c>
      <c r="B1113" s="1" t="s">
        <v>940</v>
      </c>
      <c r="C1113" s="379" t="s">
        <v>2674</v>
      </c>
      <c r="D1113" s="341" t="s">
        <v>65</v>
      </c>
      <c r="E1113" s="367">
        <v>6.6</v>
      </c>
      <c r="F1113" s="680"/>
      <c r="G1113" s="29">
        <v>0</v>
      </c>
      <c r="H1113" s="29">
        <v>15.116015418335726</v>
      </c>
      <c r="I1113" s="29">
        <v>0</v>
      </c>
      <c r="J1113" s="29">
        <v>0</v>
      </c>
      <c r="K1113" s="29">
        <v>60.750510165520367</v>
      </c>
      <c r="L1113" s="29">
        <v>0</v>
      </c>
      <c r="M1113" s="29">
        <f t="shared" si="39"/>
        <v>75.866525583856088</v>
      </c>
    </row>
    <row r="1114" spans="1:13" outlineLevel="2">
      <c r="A1114" s="172">
        <v>46174</v>
      </c>
      <c r="B1114" s="1" t="s">
        <v>940</v>
      </c>
      <c r="C1114" s="379" t="s">
        <v>2682</v>
      </c>
      <c r="D1114" s="341" t="s">
        <v>65</v>
      </c>
      <c r="E1114" s="367">
        <v>6.6</v>
      </c>
      <c r="F1114" s="680"/>
      <c r="G1114" s="29">
        <v>0</v>
      </c>
      <c r="H1114" s="29">
        <v>15.116015418335726</v>
      </c>
      <c r="I1114" s="29">
        <v>0</v>
      </c>
      <c r="J1114" s="29">
        <v>0</v>
      </c>
      <c r="K1114" s="29">
        <v>60.750510165520367</v>
      </c>
      <c r="L1114" s="29">
        <v>0</v>
      </c>
      <c r="M1114" s="29">
        <f t="shared" si="39"/>
        <v>75.866525583856088</v>
      </c>
    </row>
    <row r="1115" spans="1:13" outlineLevel="2">
      <c r="A1115" s="172">
        <v>46174</v>
      </c>
      <c r="B1115" s="1" t="s">
        <v>940</v>
      </c>
      <c r="C1115" s="379" t="s">
        <v>2664</v>
      </c>
      <c r="D1115" s="341" t="s">
        <v>65</v>
      </c>
      <c r="E1115" s="367">
        <v>6.6</v>
      </c>
      <c r="F1115" s="680"/>
      <c r="G1115" s="29">
        <v>0</v>
      </c>
      <c r="H1115" s="29">
        <v>15.116015418335726</v>
      </c>
      <c r="I1115" s="29">
        <v>0</v>
      </c>
      <c r="J1115" s="29">
        <v>0</v>
      </c>
      <c r="K1115" s="29">
        <v>60.750510165520367</v>
      </c>
      <c r="L1115" s="29">
        <v>0</v>
      </c>
      <c r="M1115" s="29">
        <f t="shared" si="39"/>
        <v>75.866525583856088</v>
      </c>
    </row>
    <row r="1116" spans="1:13" outlineLevel="2">
      <c r="A1116" s="172">
        <v>46174</v>
      </c>
      <c r="B1116" s="1" t="s">
        <v>940</v>
      </c>
      <c r="C1116" s="379" t="s">
        <v>2670</v>
      </c>
      <c r="D1116" s="341" t="s">
        <v>65</v>
      </c>
      <c r="E1116" s="367">
        <v>6.6</v>
      </c>
      <c r="F1116" s="680"/>
      <c r="G1116" s="29">
        <v>0</v>
      </c>
      <c r="H1116" s="29">
        <v>15.116015418335726</v>
      </c>
      <c r="I1116" s="29">
        <v>0</v>
      </c>
      <c r="J1116" s="29">
        <v>0</v>
      </c>
      <c r="K1116" s="29">
        <v>60.750510165520367</v>
      </c>
      <c r="L1116" s="29">
        <v>0</v>
      </c>
      <c r="M1116" s="29">
        <f t="shared" ref="M1116:M1160" si="40">SUM(G1116:L1116)</f>
        <v>75.866525583856088</v>
      </c>
    </row>
    <row r="1117" spans="1:13" outlineLevel="2">
      <c r="A1117" s="172">
        <v>46174</v>
      </c>
      <c r="B1117" s="1" t="s">
        <v>940</v>
      </c>
      <c r="C1117" s="379" t="s">
        <v>2676</v>
      </c>
      <c r="D1117" s="341" t="s">
        <v>65</v>
      </c>
      <c r="E1117" s="367">
        <v>3.4</v>
      </c>
      <c r="F1117" s="680"/>
      <c r="G1117" s="29">
        <v>0</v>
      </c>
      <c r="H1117" s="29">
        <v>15.116015418335726</v>
      </c>
      <c r="I1117" s="29">
        <v>0</v>
      </c>
      <c r="J1117" s="29">
        <v>0</v>
      </c>
      <c r="K1117" s="29">
        <v>60.750510165520367</v>
      </c>
      <c r="L1117" s="29">
        <v>0</v>
      </c>
      <c r="M1117" s="29">
        <f t="shared" si="40"/>
        <v>75.866525583856088</v>
      </c>
    </row>
    <row r="1118" spans="1:13" outlineLevel="2">
      <c r="A1118" s="172">
        <v>46174</v>
      </c>
      <c r="B1118" s="1" t="s">
        <v>1328</v>
      </c>
      <c r="C1118" s="379" t="s">
        <v>2774</v>
      </c>
      <c r="D1118" s="341" t="s">
        <v>65</v>
      </c>
      <c r="E1118" s="367">
        <v>7.3</v>
      </c>
      <c r="F1118" s="680"/>
      <c r="G1118" s="29">
        <v>0</v>
      </c>
      <c r="H1118" s="29">
        <v>15.116015418335726</v>
      </c>
      <c r="I1118" s="29">
        <v>0</v>
      </c>
      <c r="J1118" s="29">
        <v>0</v>
      </c>
      <c r="K1118" s="29">
        <v>60.750510165520367</v>
      </c>
      <c r="L1118" s="29">
        <v>0</v>
      </c>
      <c r="M1118" s="29">
        <f t="shared" si="40"/>
        <v>75.866525583856088</v>
      </c>
    </row>
    <row r="1119" spans="1:13" outlineLevel="2">
      <c r="A1119" s="172">
        <v>46174</v>
      </c>
      <c r="B1119" s="1" t="s">
        <v>1328</v>
      </c>
      <c r="C1119" s="379" t="s">
        <v>2780</v>
      </c>
      <c r="D1119" s="341" t="s">
        <v>65</v>
      </c>
      <c r="E1119" s="367">
        <v>7.3</v>
      </c>
      <c r="F1119" s="680"/>
      <c r="G1119" s="29">
        <v>0</v>
      </c>
      <c r="H1119" s="29">
        <v>15.116015418335726</v>
      </c>
      <c r="I1119" s="29">
        <v>0</v>
      </c>
      <c r="J1119" s="29">
        <v>0</v>
      </c>
      <c r="K1119" s="29">
        <v>60.750510165520367</v>
      </c>
      <c r="L1119" s="29">
        <v>0</v>
      </c>
      <c r="M1119" s="29">
        <f t="shared" si="40"/>
        <v>75.866525583856088</v>
      </c>
    </row>
    <row r="1120" spans="1:13" outlineLevel="2">
      <c r="A1120" s="172">
        <v>46174</v>
      </c>
      <c r="B1120" s="1" t="s">
        <v>1328</v>
      </c>
      <c r="C1120" s="379" t="s">
        <v>2784</v>
      </c>
      <c r="D1120" s="341" t="s">
        <v>65</v>
      </c>
      <c r="E1120" s="367">
        <v>7.3</v>
      </c>
      <c r="F1120" s="680"/>
      <c r="G1120" s="29">
        <v>0</v>
      </c>
      <c r="H1120" s="29">
        <v>15.116015418335726</v>
      </c>
      <c r="I1120" s="29">
        <v>0</v>
      </c>
      <c r="J1120" s="29">
        <v>0</v>
      </c>
      <c r="K1120" s="29">
        <v>60.750510165520367</v>
      </c>
      <c r="L1120" s="29">
        <v>0</v>
      </c>
      <c r="M1120" s="29">
        <f t="shared" si="40"/>
        <v>75.866525583856088</v>
      </c>
    </row>
    <row r="1121" spans="1:13" outlineLevel="2">
      <c r="A1121" s="172">
        <v>46174</v>
      </c>
      <c r="B1121" s="1" t="s">
        <v>940</v>
      </c>
      <c r="C1121" s="379" t="s">
        <v>2776</v>
      </c>
      <c r="D1121" s="341" t="s">
        <v>65</v>
      </c>
      <c r="E1121" s="367">
        <v>7.3</v>
      </c>
      <c r="F1121" s="680"/>
      <c r="G1121" s="29">
        <v>0</v>
      </c>
      <c r="H1121" s="29">
        <v>15.116015418335726</v>
      </c>
      <c r="I1121" s="29">
        <v>0</v>
      </c>
      <c r="J1121" s="29">
        <v>0</v>
      </c>
      <c r="K1121" s="29">
        <v>60.750510165520367</v>
      </c>
      <c r="L1121" s="29">
        <v>0</v>
      </c>
      <c r="M1121" s="29">
        <f t="shared" si="40"/>
        <v>75.866525583856088</v>
      </c>
    </row>
    <row r="1122" spans="1:13" outlineLevel="2">
      <c r="A1122" s="172">
        <v>46174</v>
      </c>
      <c r="B1122" s="1" t="s">
        <v>1328</v>
      </c>
      <c r="C1122" s="379" t="s">
        <v>2772</v>
      </c>
      <c r="D1122" s="341" t="s">
        <v>65</v>
      </c>
      <c r="E1122" s="367">
        <v>7.3</v>
      </c>
      <c r="F1122" s="680"/>
      <c r="G1122" s="29">
        <v>0</v>
      </c>
      <c r="H1122" s="29">
        <v>15.116015418335726</v>
      </c>
      <c r="I1122" s="29">
        <v>0</v>
      </c>
      <c r="J1122" s="29">
        <v>0</v>
      </c>
      <c r="K1122" s="29">
        <v>60.750510165520367</v>
      </c>
      <c r="L1122" s="29">
        <v>0</v>
      </c>
      <c r="M1122" s="29">
        <f t="shared" si="40"/>
        <v>75.866525583856088</v>
      </c>
    </row>
    <row r="1123" spans="1:13" outlineLevel="2">
      <c r="A1123" s="172">
        <v>46174</v>
      </c>
      <c r="B1123" s="1" t="s">
        <v>1328</v>
      </c>
      <c r="C1123" s="379" t="s">
        <v>2786</v>
      </c>
      <c r="D1123" s="341" t="s">
        <v>65</v>
      </c>
      <c r="E1123" s="367">
        <v>7.3</v>
      </c>
      <c r="F1123" s="680"/>
      <c r="G1123" s="29">
        <v>0</v>
      </c>
      <c r="H1123" s="29">
        <v>15.116015418335726</v>
      </c>
      <c r="I1123" s="29">
        <v>0</v>
      </c>
      <c r="J1123" s="29">
        <v>0</v>
      </c>
      <c r="K1123" s="29">
        <v>60.750510165520367</v>
      </c>
      <c r="L1123" s="29">
        <v>0</v>
      </c>
      <c r="M1123" s="29">
        <f t="shared" si="40"/>
        <v>75.866525583856088</v>
      </c>
    </row>
    <row r="1124" spans="1:13" outlineLevel="2">
      <c r="A1124" s="172">
        <v>46174</v>
      </c>
      <c r="B1124" s="1" t="s">
        <v>1328</v>
      </c>
      <c r="C1124" s="379" t="s">
        <v>2782</v>
      </c>
      <c r="D1124" s="341" t="s">
        <v>65</v>
      </c>
      <c r="E1124" s="367">
        <v>7.3</v>
      </c>
      <c r="F1124" s="680"/>
      <c r="G1124" s="29">
        <v>0</v>
      </c>
      <c r="H1124" s="29">
        <v>15.116015418335726</v>
      </c>
      <c r="I1124" s="29">
        <v>0</v>
      </c>
      <c r="J1124" s="29">
        <v>0</v>
      </c>
      <c r="K1124" s="29">
        <v>60.750510165520367</v>
      </c>
      <c r="L1124" s="29">
        <v>0</v>
      </c>
      <c r="M1124" s="29">
        <f t="shared" si="40"/>
        <v>75.866525583856088</v>
      </c>
    </row>
    <row r="1125" spans="1:13" outlineLevel="2">
      <c r="A1125" s="172">
        <v>46174</v>
      </c>
      <c r="B1125" s="1" t="s">
        <v>940</v>
      </c>
      <c r="C1125" s="379" t="s">
        <v>2778</v>
      </c>
      <c r="D1125" s="341" t="s">
        <v>65</v>
      </c>
      <c r="E1125" s="367">
        <v>11.2</v>
      </c>
      <c r="F1125" s="680"/>
      <c r="G1125" s="29">
        <v>0</v>
      </c>
      <c r="H1125" s="29">
        <v>15.116015418335726</v>
      </c>
      <c r="I1125" s="29">
        <v>0</v>
      </c>
      <c r="J1125" s="29">
        <v>0</v>
      </c>
      <c r="K1125" s="29">
        <v>60.750510165520367</v>
      </c>
      <c r="L1125" s="29">
        <v>0</v>
      </c>
      <c r="M1125" s="29">
        <f t="shared" si="40"/>
        <v>75.866525583856088</v>
      </c>
    </row>
    <row r="1126" spans="1:13" outlineLevel="2">
      <c r="A1126" s="172">
        <v>46174</v>
      </c>
      <c r="B1126" s="1" t="s">
        <v>940</v>
      </c>
      <c r="C1126" s="379" t="s">
        <v>2810</v>
      </c>
      <c r="D1126" s="341" t="s">
        <v>65</v>
      </c>
      <c r="E1126" s="367">
        <v>7.3</v>
      </c>
      <c r="F1126" s="680"/>
      <c r="G1126" s="29">
        <v>0</v>
      </c>
      <c r="H1126" s="29">
        <v>15.116015418335726</v>
      </c>
      <c r="I1126" s="29">
        <v>0</v>
      </c>
      <c r="J1126" s="29">
        <v>0</v>
      </c>
      <c r="K1126" s="29">
        <v>60.750510165520367</v>
      </c>
      <c r="L1126" s="29">
        <v>0</v>
      </c>
      <c r="M1126" s="29">
        <f t="shared" si="40"/>
        <v>75.866525583856088</v>
      </c>
    </row>
    <row r="1127" spans="1:13" outlineLevel="2">
      <c r="A1127" s="172">
        <v>46174</v>
      </c>
      <c r="B1127" s="1" t="s">
        <v>940</v>
      </c>
      <c r="C1127" s="379" t="s">
        <v>2812</v>
      </c>
      <c r="D1127" s="341" t="s">
        <v>65</v>
      </c>
      <c r="E1127" s="367">
        <v>7.3</v>
      </c>
      <c r="F1127" s="680"/>
      <c r="G1127" s="29">
        <v>0</v>
      </c>
      <c r="H1127" s="29">
        <v>15.116015418335726</v>
      </c>
      <c r="I1127" s="29">
        <v>0</v>
      </c>
      <c r="J1127" s="29">
        <v>0</v>
      </c>
      <c r="K1127" s="29">
        <v>60.750510165520367</v>
      </c>
      <c r="L1127" s="29">
        <v>0</v>
      </c>
      <c r="M1127" s="29">
        <f t="shared" si="40"/>
        <v>75.866525583856088</v>
      </c>
    </row>
    <row r="1128" spans="1:13" outlineLevel="2">
      <c r="A1128" s="172">
        <v>46174</v>
      </c>
      <c r="B1128" s="1" t="s">
        <v>940</v>
      </c>
      <c r="C1128" s="379" t="s">
        <v>2814</v>
      </c>
      <c r="D1128" s="341" t="s">
        <v>65</v>
      </c>
      <c r="E1128" s="367">
        <v>7.3</v>
      </c>
      <c r="F1128" s="680"/>
      <c r="G1128" s="29">
        <v>0</v>
      </c>
      <c r="H1128" s="29">
        <v>15.116015418335726</v>
      </c>
      <c r="I1128" s="29">
        <v>0</v>
      </c>
      <c r="J1128" s="29">
        <v>0</v>
      </c>
      <c r="K1128" s="29">
        <v>60.750510165520367</v>
      </c>
      <c r="L1128" s="29">
        <v>0</v>
      </c>
      <c r="M1128" s="29">
        <f t="shared" si="40"/>
        <v>75.866525583856088</v>
      </c>
    </row>
    <row r="1129" spans="1:13" outlineLevel="2">
      <c r="A1129" s="172">
        <v>46174</v>
      </c>
      <c r="B1129" s="1" t="s">
        <v>940</v>
      </c>
      <c r="C1129" s="379" t="s">
        <v>2808</v>
      </c>
      <c r="D1129" s="341" t="s">
        <v>65</v>
      </c>
      <c r="E1129" s="367">
        <v>7.3</v>
      </c>
      <c r="F1129" s="680"/>
      <c r="G1129" s="29">
        <v>0</v>
      </c>
      <c r="H1129" s="29">
        <v>15.116015418335726</v>
      </c>
      <c r="I1129" s="29">
        <v>0</v>
      </c>
      <c r="J1129" s="29">
        <v>0</v>
      </c>
      <c r="K1129" s="29">
        <v>60.750510165520367</v>
      </c>
      <c r="L1129" s="29">
        <v>0</v>
      </c>
      <c r="M1129" s="29">
        <f t="shared" si="40"/>
        <v>75.866525583856088</v>
      </c>
    </row>
    <row r="1130" spans="1:13" outlineLevel="2">
      <c r="A1130" s="172">
        <v>46174</v>
      </c>
      <c r="B1130" s="1" t="s">
        <v>940</v>
      </c>
      <c r="C1130" s="379" t="s">
        <v>2816</v>
      </c>
      <c r="D1130" s="341" t="s">
        <v>65</v>
      </c>
      <c r="E1130" s="367">
        <v>7.3</v>
      </c>
      <c r="F1130" s="680"/>
      <c r="G1130" s="29">
        <v>0</v>
      </c>
      <c r="H1130" s="29">
        <v>15.116015418335726</v>
      </c>
      <c r="I1130" s="29">
        <v>0</v>
      </c>
      <c r="J1130" s="29">
        <v>0</v>
      </c>
      <c r="K1130" s="29">
        <v>60.750510165520367</v>
      </c>
      <c r="L1130" s="29">
        <v>0</v>
      </c>
      <c r="M1130" s="29">
        <f t="shared" si="40"/>
        <v>75.866525583856088</v>
      </c>
    </row>
    <row r="1131" spans="1:13" outlineLevel="2">
      <c r="A1131" s="172">
        <v>46174</v>
      </c>
      <c r="B1131" s="1" t="s">
        <v>940</v>
      </c>
      <c r="C1131" s="379" t="s">
        <v>2818</v>
      </c>
      <c r="D1131" s="341" t="s">
        <v>65</v>
      </c>
      <c r="E1131" s="367">
        <v>6.8</v>
      </c>
      <c r="F1131" s="680"/>
      <c r="G1131" s="29">
        <v>0</v>
      </c>
      <c r="H1131" s="29">
        <v>15.116015418335726</v>
      </c>
      <c r="I1131" s="29">
        <v>0</v>
      </c>
      <c r="J1131" s="29">
        <v>0</v>
      </c>
      <c r="K1131" s="29">
        <v>60.750510165520367</v>
      </c>
      <c r="L1131" s="29">
        <v>0</v>
      </c>
      <c r="M1131" s="29">
        <f t="shared" si="40"/>
        <v>75.866525583856088</v>
      </c>
    </row>
    <row r="1132" spans="1:13" outlineLevel="2">
      <c r="A1132" s="172">
        <v>46174</v>
      </c>
      <c r="B1132" s="1" t="s">
        <v>940</v>
      </c>
      <c r="C1132" s="379" t="s">
        <v>2820</v>
      </c>
      <c r="D1132" s="341" t="s">
        <v>65</v>
      </c>
      <c r="E1132" s="367">
        <v>3.4</v>
      </c>
      <c r="F1132" s="680"/>
      <c r="G1132" s="29">
        <v>0</v>
      </c>
      <c r="H1132" s="29">
        <v>15.116015418335726</v>
      </c>
      <c r="I1132" s="29">
        <v>0</v>
      </c>
      <c r="J1132" s="29">
        <v>0</v>
      </c>
      <c r="K1132" s="29">
        <v>60.750510165520367</v>
      </c>
      <c r="L1132" s="29">
        <v>0</v>
      </c>
      <c r="M1132" s="29">
        <f t="shared" si="40"/>
        <v>75.866525583856088</v>
      </c>
    </row>
    <row r="1133" spans="1:13" outlineLevel="2">
      <c r="A1133" s="172">
        <v>46174</v>
      </c>
      <c r="B1133" s="1" t="s">
        <v>940</v>
      </c>
      <c r="C1133" s="379" t="s">
        <v>2822</v>
      </c>
      <c r="D1133" s="341" t="s">
        <v>65</v>
      </c>
      <c r="E1133" s="367">
        <v>3.4</v>
      </c>
      <c r="F1133" s="680"/>
      <c r="G1133" s="29">
        <v>0</v>
      </c>
      <c r="H1133" s="29">
        <v>15.116015418335726</v>
      </c>
      <c r="I1133" s="29">
        <v>0</v>
      </c>
      <c r="J1133" s="29">
        <v>0</v>
      </c>
      <c r="K1133" s="29">
        <v>60.750510165520367</v>
      </c>
      <c r="L1133" s="29">
        <v>0</v>
      </c>
      <c r="M1133" s="29">
        <f t="shared" si="40"/>
        <v>75.866525583856088</v>
      </c>
    </row>
    <row r="1134" spans="1:13" outlineLevel="2">
      <c r="A1134" s="172">
        <v>46174</v>
      </c>
      <c r="B1134" s="1" t="s">
        <v>940</v>
      </c>
      <c r="C1134" s="379" t="s">
        <v>2824</v>
      </c>
      <c r="D1134" s="341" t="s">
        <v>65</v>
      </c>
      <c r="E1134" s="367">
        <v>3.4</v>
      </c>
      <c r="F1134" s="680"/>
      <c r="G1134" s="29">
        <v>0</v>
      </c>
      <c r="H1134" s="29">
        <v>15.116015418335726</v>
      </c>
      <c r="I1134" s="29">
        <v>0</v>
      </c>
      <c r="J1134" s="29">
        <v>0</v>
      </c>
      <c r="K1134" s="29">
        <v>60.750510165520367</v>
      </c>
      <c r="L1134" s="29">
        <v>0</v>
      </c>
      <c r="M1134" s="29">
        <f t="shared" si="40"/>
        <v>75.866525583856088</v>
      </c>
    </row>
    <row r="1135" spans="1:13" outlineLevel="2">
      <c r="A1135" s="172">
        <v>46174</v>
      </c>
      <c r="B1135" s="1" t="s">
        <v>940</v>
      </c>
      <c r="C1135" s="379" t="s">
        <v>2826</v>
      </c>
      <c r="D1135" s="341" t="s">
        <v>65</v>
      </c>
      <c r="E1135" s="367">
        <v>3.4</v>
      </c>
      <c r="F1135" s="680"/>
      <c r="G1135" s="29">
        <v>0</v>
      </c>
      <c r="H1135" s="29">
        <v>15.116015418335726</v>
      </c>
      <c r="I1135" s="29">
        <v>0</v>
      </c>
      <c r="J1135" s="29">
        <v>0</v>
      </c>
      <c r="K1135" s="29">
        <v>60.750510165520367</v>
      </c>
      <c r="L1135" s="29">
        <v>0</v>
      </c>
      <c r="M1135" s="29">
        <f t="shared" si="40"/>
        <v>75.866525583856088</v>
      </c>
    </row>
    <row r="1136" spans="1:13" outlineLevel="2">
      <c r="A1136" s="172">
        <v>46174</v>
      </c>
      <c r="B1136" s="1" t="s">
        <v>940</v>
      </c>
      <c r="C1136" s="379" t="s">
        <v>2828</v>
      </c>
      <c r="D1136" s="341" t="s">
        <v>65</v>
      </c>
      <c r="E1136" s="367">
        <v>3.4</v>
      </c>
      <c r="F1136" s="680"/>
      <c r="G1136" s="29">
        <v>0</v>
      </c>
      <c r="H1136" s="29">
        <v>15.116015418335726</v>
      </c>
      <c r="I1136" s="29">
        <v>0</v>
      </c>
      <c r="J1136" s="29">
        <v>0</v>
      </c>
      <c r="K1136" s="29">
        <v>60.750510165520367</v>
      </c>
      <c r="L1136" s="29">
        <v>0</v>
      </c>
      <c r="M1136" s="29">
        <f t="shared" si="40"/>
        <v>75.866525583856088</v>
      </c>
    </row>
    <row r="1137" spans="1:13" outlineLevel="2">
      <c r="A1137" s="172">
        <v>46174</v>
      </c>
      <c r="B1137" s="1" t="s">
        <v>940</v>
      </c>
      <c r="C1137" s="379" t="s">
        <v>2830</v>
      </c>
      <c r="D1137" s="341" t="s">
        <v>65</v>
      </c>
      <c r="E1137" s="367">
        <v>3.4</v>
      </c>
      <c r="F1137" s="680"/>
      <c r="G1137" s="29">
        <v>0</v>
      </c>
      <c r="H1137" s="29">
        <v>15.116015418335726</v>
      </c>
      <c r="I1137" s="29">
        <v>0</v>
      </c>
      <c r="J1137" s="29">
        <v>0</v>
      </c>
      <c r="K1137" s="29">
        <v>60.750510165520367</v>
      </c>
      <c r="L1137" s="29">
        <v>0</v>
      </c>
      <c r="M1137" s="29">
        <f t="shared" si="40"/>
        <v>75.866525583856088</v>
      </c>
    </row>
    <row r="1138" spans="1:13" outlineLevel="2">
      <c r="A1138" s="172">
        <v>46174</v>
      </c>
      <c r="B1138" s="1" t="s">
        <v>940</v>
      </c>
      <c r="C1138" s="379" t="s">
        <v>2832</v>
      </c>
      <c r="D1138" s="341" t="s">
        <v>65</v>
      </c>
      <c r="E1138" s="367">
        <v>3.4</v>
      </c>
      <c r="F1138" s="680"/>
      <c r="G1138" s="29">
        <v>0</v>
      </c>
      <c r="H1138" s="29">
        <v>15.116015418335726</v>
      </c>
      <c r="I1138" s="29">
        <v>0</v>
      </c>
      <c r="J1138" s="29">
        <v>0</v>
      </c>
      <c r="K1138" s="29">
        <v>60.750510165520367</v>
      </c>
      <c r="L1138" s="29">
        <v>0</v>
      </c>
      <c r="M1138" s="29">
        <f t="shared" si="40"/>
        <v>75.866525583856088</v>
      </c>
    </row>
    <row r="1139" spans="1:13" outlineLevel="2">
      <c r="A1139" s="172">
        <v>46174</v>
      </c>
      <c r="B1139" s="1" t="s">
        <v>940</v>
      </c>
      <c r="C1139" s="379" t="s">
        <v>2834</v>
      </c>
      <c r="D1139" s="341" t="s">
        <v>65</v>
      </c>
      <c r="E1139" s="367">
        <v>3.4</v>
      </c>
      <c r="F1139" s="680"/>
      <c r="G1139" s="29">
        <v>22.674023127503592</v>
      </c>
      <c r="H1139" s="29">
        <v>15.116015418335726</v>
      </c>
      <c r="I1139" s="29">
        <v>0</v>
      </c>
      <c r="J1139" s="29">
        <v>0</v>
      </c>
      <c r="K1139" s="29">
        <v>60.750510165520367</v>
      </c>
      <c r="L1139" s="29">
        <v>0</v>
      </c>
      <c r="M1139" s="29">
        <f t="shared" si="40"/>
        <v>98.540548711359691</v>
      </c>
    </row>
    <row r="1140" spans="1:13" outlineLevel="2">
      <c r="A1140" s="172">
        <v>46174</v>
      </c>
      <c r="B1140" s="1" t="s">
        <v>617</v>
      </c>
      <c r="C1140" s="379" t="s">
        <v>2346</v>
      </c>
      <c r="D1140" s="341" t="s">
        <v>933</v>
      </c>
      <c r="E1140" s="367">
        <v>176.4</v>
      </c>
      <c r="F1140" s="680">
        <v>0.89000000000000012</v>
      </c>
      <c r="G1140" s="29">
        <v>0</v>
      </c>
      <c r="H1140" s="29">
        <v>15.116015418335726</v>
      </c>
      <c r="I1140" s="29">
        <v>74.810105056307151</v>
      </c>
      <c r="J1140" s="29">
        <v>0</v>
      </c>
      <c r="K1140" s="29">
        <v>24.814450910739929</v>
      </c>
      <c r="L1140" s="29">
        <v>0</v>
      </c>
      <c r="M1140" s="29">
        <f t="shared" si="40"/>
        <v>114.74057138538279</v>
      </c>
    </row>
    <row r="1141" spans="1:13" outlineLevel="2">
      <c r="A1141" s="172">
        <v>46174</v>
      </c>
      <c r="B1141" s="1" t="s">
        <v>614</v>
      </c>
      <c r="C1141" s="379" t="s">
        <v>2541</v>
      </c>
      <c r="D1141" s="341" t="s">
        <v>933</v>
      </c>
      <c r="E1141" s="367">
        <v>451.17</v>
      </c>
      <c r="F1141" s="680">
        <v>1.7240000000000002</v>
      </c>
      <c r="G1141" s="29">
        <v>79.359080946262566</v>
      </c>
      <c r="H1141" s="29">
        <v>15.116015418335726</v>
      </c>
      <c r="I1141" s="29">
        <v>424.77776131811657</v>
      </c>
      <c r="J1141" s="29">
        <v>0</v>
      </c>
      <c r="K1141" s="29">
        <v>59.260826846043386</v>
      </c>
      <c r="L1141" s="29">
        <v>0</v>
      </c>
      <c r="M1141" s="29">
        <f t="shared" si="40"/>
        <v>578.51368452875829</v>
      </c>
    </row>
    <row r="1142" spans="1:13" outlineLevel="2">
      <c r="A1142" s="172">
        <v>46174</v>
      </c>
      <c r="B1142" s="1" t="s">
        <v>2960</v>
      </c>
      <c r="C1142" s="379" t="s">
        <v>2959</v>
      </c>
      <c r="D1142" s="341" t="s">
        <v>1333</v>
      </c>
      <c r="E1142" s="367">
        <v>1140</v>
      </c>
      <c r="F1142" s="680"/>
      <c r="G1142" s="29">
        <v>0</v>
      </c>
      <c r="H1142" s="29">
        <v>15.116015418335726</v>
      </c>
      <c r="I1142" s="29">
        <v>0</v>
      </c>
      <c r="J1142" s="29">
        <v>0</v>
      </c>
      <c r="K1142" s="29">
        <v>0</v>
      </c>
      <c r="L1142" s="29">
        <v>0</v>
      </c>
      <c r="M1142" s="29">
        <f t="shared" si="40"/>
        <v>15.116015418335726</v>
      </c>
    </row>
    <row r="1143" spans="1:13" outlineLevel="2">
      <c r="A1143" s="172">
        <v>46174</v>
      </c>
      <c r="B1143" s="1" t="s">
        <v>1581</v>
      </c>
      <c r="C1143" s="379" t="s">
        <v>3023</v>
      </c>
      <c r="D1143" s="341" t="s">
        <v>933</v>
      </c>
      <c r="E1143" s="367">
        <v>340.5</v>
      </c>
      <c r="F1143" s="680">
        <v>2.36</v>
      </c>
      <c r="G1143" s="29">
        <v>43.458544327715217</v>
      </c>
      <c r="H1143" s="29">
        <v>20.406620814753232</v>
      </c>
      <c r="I1143" s="29">
        <v>140.55785654901365</v>
      </c>
      <c r="J1143" s="29">
        <v>0</v>
      </c>
      <c r="K1143" s="29">
        <v>40.201043005063831</v>
      </c>
      <c r="L1143" s="29">
        <v>0</v>
      </c>
      <c r="M1143" s="29">
        <f t="shared" si="40"/>
        <v>244.62406469654593</v>
      </c>
    </row>
    <row r="1144" spans="1:13" outlineLevel="2">
      <c r="A1144" s="172">
        <v>46174</v>
      </c>
      <c r="B1144" s="1" t="s">
        <v>1581</v>
      </c>
      <c r="C1144" s="379" t="s">
        <v>3029</v>
      </c>
      <c r="D1144" s="341" t="s">
        <v>933</v>
      </c>
      <c r="E1144" s="367">
        <v>114</v>
      </c>
      <c r="F1144" s="680">
        <v>1</v>
      </c>
      <c r="G1144" s="29">
        <v>43.458544327715217</v>
      </c>
      <c r="H1144" s="29">
        <v>20.406620814753232</v>
      </c>
      <c r="I1144" s="29">
        <v>76.909795177991086</v>
      </c>
      <c r="J1144" s="29">
        <v>0</v>
      </c>
      <c r="K1144" s="29">
        <v>21.77386440934168</v>
      </c>
      <c r="L1144" s="29">
        <v>0</v>
      </c>
      <c r="M1144" s="29">
        <f t="shared" si="40"/>
        <v>162.54882472980123</v>
      </c>
    </row>
    <row r="1145" spans="1:13" outlineLevel="2">
      <c r="A1145" s="172">
        <v>46174</v>
      </c>
      <c r="B1145" s="1" t="s">
        <v>973</v>
      </c>
      <c r="C1145" s="379" t="s">
        <v>2294</v>
      </c>
      <c r="D1145" s="341" t="s">
        <v>65</v>
      </c>
      <c r="E1145" s="367">
        <v>67</v>
      </c>
      <c r="F1145" s="680"/>
      <c r="G1145" s="29">
        <v>0</v>
      </c>
      <c r="H1145" s="29">
        <v>15.116015418335726</v>
      </c>
      <c r="I1145" s="29">
        <v>0</v>
      </c>
      <c r="J1145" s="29">
        <v>0</v>
      </c>
      <c r="K1145" s="29">
        <v>0</v>
      </c>
      <c r="L1145" s="29">
        <v>0</v>
      </c>
      <c r="M1145" s="29">
        <f t="shared" si="40"/>
        <v>15.116015418335726</v>
      </c>
    </row>
    <row r="1146" spans="1:13" outlineLevel="2">
      <c r="A1146" s="172">
        <v>46174</v>
      </c>
      <c r="B1146" s="1" t="s">
        <v>973</v>
      </c>
      <c r="C1146" s="379" t="s">
        <v>2533</v>
      </c>
      <c r="D1146" s="341" t="s">
        <v>65</v>
      </c>
      <c r="E1146" s="367">
        <v>64.5</v>
      </c>
      <c r="F1146" s="680"/>
      <c r="G1146" s="29">
        <v>0</v>
      </c>
      <c r="H1146" s="29">
        <v>15.116015418335726</v>
      </c>
      <c r="I1146" s="29">
        <v>0</v>
      </c>
      <c r="J1146" s="29">
        <v>0</v>
      </c>
      <c r="K1146" s="29">
        <v>0</v>
      </c>
      <c r="L1146" s="29">
        <v>0</v>
      </c>
      <c r="M1146" s="29">
        <f t="shared" si="40"/>
        <v>15.116015418335726</v>
      </c>
    </row>
    <row r="1147" spans="1:13" outlineLevel="2">
      <c r="A1147" s="172">
        <v>46174</v>
      </c>
      <c r="B1147" s="1" t="s">
        <v>973</v>
      </c>
      <c r="C1147" s="379" t="s">
        <v>2705</v>
      </c>
      <c r="D1147" s="341" t="s">
        <v>65</v>
      </c>
      <c r="E1147" s="367">
        <v>58</v>
      </c>
      <c r="F1147" s="680"/>
      <c r="G1147" s="29">
        <v>0</v>
      </c>
      <c r="H1147" s="29">
        <v>15.116015418335726</v>
      </c>
      <c r="I1147" s="29">
        <v>0</v>
      </c>
      <c r="J1147" s="29">
        <v>0</v>
      </c>
      <c r="K1147" s="29">
        <v>0</v>
      </c>
      <c r="L1147" s="29">
        <v>0</v>
      </c>
      <c r="M1147" s="29">
        <f t="shared" si="40"/>
        <v>15.116015418335726</v>
      </c>
    </row>
    <row r="1148" spans="1:13" outlineLevel="2">
      <c r="A1148" s="172">
        <v>46174</v>
      </c>
      <c r="B1148" s="1" t="s">
        <v>327</v>
      </c>
      <c r="C1148" s="379" t="s">
        <v>2177</v>
      </c>
      <c r="D1148" s="341" t="s">
        <v>933</v>
      </c>
      <c r="E1148" s="367">
        <v>1941.5</v>
      </c>
      <c r="F1148" s="680">
        <v>11.73</v>
      </c>
      <c r="G1148" s="29">
        <v>143.60214647418942</v>
      </c>
      <c r="H1148" s="29">
        <v>15.116015418335726</v>
      </c>
      <c r="I1148" s="29">
        <v>1418.7973777492252</v>
      </c>
      <c r="J1148" s="29">
        <v>0</v>
      </c>
      <c r="K1148" s="29">
        <v>179.11964326203613</v>
      </c>
      <c r="L1148" s="29">
        <v>0</v>
      </c>
      <c r="M1148" s="29">
        <f t="shared" si="40"/>
        <v>1756.6351829037865</v>
      </c>
    </row>
    <row r="1149" spans="1:13" outlineLevel="2">
      <c r="A1149" s="172">
        <v>46174</v>
      </c>
      <c r="B1149" s="1" t="s">
        <v>319</v>
      </c>
      <c r="C1149" s="379" t="s">
        <v>2348</v>
      </c>
      <c r="D1149" s="341" t="s">
        <v>933</v>
      </c>
      <c r="E1149" s="367">
        <v>633.55600000000004</v>
      </c>
      <c r="F1149" s="680">
        <v>2.5300000000000002</v>
      </c>
      <c r="G1149" s="29">
        <v>45.348046255007183</v>
      </c>
      <c r="H1149" s="29">
        <v>15.116015418335726</v>
      </c>
      <c r="I1149" s="29">
        <v>120.81954803113899</v>
      </c>
      <c r="J1149" s="29">
        <v>0</v>
      </c>
      <c r="K1149" s="29">
        <v>43.384475852165366</v>
      </c>
      <c r="L1149" s="29">
        <v>0</v>
      </c>
      <c r="M1149" s="29">
        <f t="shared" si="40"/>
        <v>224.66808555664727</v>
      </c>
    </row>
    <row r="1150" spans="1:13" outlineLevel="2">
      <c r="A1150" s="172">
        <v>46174</v>
      </c>
      <c r="B1150" s="1" t="s">
        <v>327</v>
      </c>
      <c r="C1150" s="379" t="s">
        <v>2561</v>
      </c>
      <c r="D1150" s="341" t="s">
        <v>933</v>
      </c>
      <c r="E1150" s="367">
        <v>1893.5</v>
      </c>
      <c r="F1150" s="680">
        <v>10.55</v>
      </c>
      <c r="G1150" s="29">
        <v>143.60214647418942</v>
      </c>
      <c r="H1150" s="29">
        <v>15.116015418335726</v>
      </c>
      <c r="I1150" s="29">
        <v>1336.3174892298389</v>
      </c>
      <c r="J1150" s="29">
        <v>0</v>
      </c>
      <c r="K1150" s="29">
        <v>149.3377673645227</v>
      </c>
      <c r="L1150" s="29">
        <v>0</v>
      </c>
      <c r="M1150" s="29">
        <f t="shared" si="40"/>
        <v>1644.3734184868867</v>
      </c>
    </row>
    <row r="1151" spans="1:13" outlineLevel="2">
      <c r="A1151" s="172">
        <v>46174</v>
      </c>
      <c r="B1151" s="1" t="s">
        <v>330</v>
      </c>
      <c r="C1151" s="379" t="s">
        <v>2563</v>
      </c>
      <c r="D1151" s="341" t="s">
        <v>933</v>
      </c>
      <c r="E1151" s="367">
        <v>709.245</v>
      </c>
      <c r="F1151" s="680">
        <v>2.5100000000000002</v>
      </c>
      <c r="G1151" s="29">
        <v>0</v>
      </c>
      <c r="H1151" s="29">
        <v>15.116015418335726</v>
      </c>
      <c r="I1151" s="29">
        <v>120.13430730859343</v>
      </c>
      <c r="J1151" s="29">
        <v>0</v>
      </c>
      <c r="K1151" s="29">
        <v>45.465951175270199</v>
      </c>
      <c r="L1151" s="29">
        <v>0</v>
      </c>
      <c r="M1151" s="29">
        <f t="shared" si="40"/>
        <v>180.71627390219936</v>
      </c>
    </row>
    <row r="1152" spans="1:13" outlineLevel="2">
      <c r="A1152" s="172">
        <v>46174</v>
      </c>
      <c r="B1152" s="1" t="s">
        <v>327</v>
      </c>
      <c r="C1152" s="379" t="s">
        <v>2761</v>
      </c>
      <c r="D1152" s="341" t="s">
        <v>933</v>
      </c>
      <c r="E1152" s="367">
        <v>1506.5</v>
      </c>
      <c r="F1152" s="680">
        <v>9.66</v>
      </c>
      <c r="G1152" s="29">
        <v>143.60214647418942</v>
      </c>
      <c r="H1152" s="29">
        <v>15.116015418335726</v>
      </c>
      <c r="I1152" s="29">
        <v>1273.9796606454538</v>
      </c>
      <c r="J1152" s="29">
        <v>0</v>
      </c>
      <c r="K1152" s="29">
        <v>142.9409719597914</v>
      </c>
      <c r="L1152" s="29">
        <v>0</v>
      </c>
      <c r="M1152" s="29">
        <f t="shared" si="40"/>
        <v>1575.6387944977703</v>
      </c>
    </row>
    <row r="1153" spans="1:13" outlineLevel="2">
      <c r="A1153" s="172">
        <v>46174</v>
      </c>
      <c r="B1153" s="1" t="s">
        <v>2952</v>
      </c>
      <c r="C1153" s="379" t="s">
        <v>2951</v>
      </c>
      <c r="D1153" s="341" t="s">
        <v>1333</v>
      </c>
      <c r="E1153" s="367">
        <v>20.100000000000001</v>
      </c>
      <c r="F1153" s="680"/>
      <c r="G1153" s="29">
        <v>0</v>
      </c>
      <c r="H1153" s="29">
        <v>15.116015418335726</v>
      </c>
      <c r="I1153" s="29">
        <v>0</v>
      </c>
      <c r="J1153" s="29">
        <v>0</v>
      </c>
      <c r="K1153" s="29">
        <v>0</v>
      </c>
      <c r="L1153" s="29">
        <v>0</v>
      </c>
      <c r="M1153" s="29">
        <f t="shared" si="40"/>
        <v>15.116015418335726</v>
      </c>
    </row>
    <row r="1154" spans="1:13" outlineLevel="2">
      <c r="A1154" s="172">
        <v>46174</v>
      </c>
      <c r="B1154" s="1" t="s">
        <v>2956</v>
      </c>
      <c r="C1154" s="379" t="s">
        <v>2955</v>
      </c>
      <c r="D1154" s="341" t="s">
        <v>1333</v>
      </c>
      <c r="E1154" s="367">
        <v>172.73</v>
      </c>
      <c r="F1154" s="680"/>
      <c r="G1154" s="29">
        <v>0</v>
      </c>
      <c r="H1154" s="29">
        <v>15.116015418335726</v>
      </c>
      <c r="I1154" s="29">
        <v>0</v>
      </c>
      <c r="J1154" s="29">
        <v>0</v>
      </c>
      <c r="K1154" s="29">
        <v>0</v>
      </c>
      <c r="L1154" s="29">
        <v>0</v>
      </c>
      <c r="M1154" s="29">
        <f t="shared" si="40"/>
        <v>15.116015418335726</v>
      </c>
    </row>
    <row r="1155" spans="1:13" outlineLevel="2">
      <c r="A1155" s="172">
        <v>46174</v>
      </c>
      <c r="B1155" s="1" t="s">
        <v>2962</v>
      </c>
      <c r="C1155" s="379" t="s">
        <v>2961</v>
      </c>
      <c r="D1155" s="341" t="s">
        <v>1333</v>
      </c>
      <c r="E1155" s="367">
        <v>172.39</v>
      </c>
      <c r="F1155" s="680"/>
      <c r="G1155" s="29">
        <v>0</v>
      </c>
      <c r="H1155" s="29">
        <v>15.116015418335726</v>
      </c>
      <c r="I1155" s="29">
        <v>0</v>
      </c>
      <c r="J1155" s="29">
        <v>0</v>
      </c>
      <c r="K1155" s="29">
        <v>0</v>
      </c>
      <c r="L1155" s="29">
        <v>0</v>
      </c>
      <c r="M1155" s="29">
        <f t="shared" si="40"/>
        <v>15.116015418335726</v>
      </c>
    </row>
    <row r="1156" spans="1:13" outlineLevel="2">
      <c r="A1156" s="172">
        <v>46174</v>
      </c>
      <c r="B1156" s="1" t="s">
        <v>2054</v>
      </c>
      <c r="C1156" s="379" t="s">
        <v>2963</v>
      </c>
      <c r="D1156" s="341" t="s">
        <v>1333</v>
      </c>
      <c r="E1156" s="367">
        <v>116.66</v>
      </c>
      <c r="F1156" s="680"/>
      <c r="G1156" s="29">
        <v>0</v>
      </c>
      <c r="H1156" s="29">
        <v>15.116015418335726</v>
      </c>
      <c r="I1156" s="29">
        <v>0</v>
      </c>
      <c r="J1156" s="29">
        <v>0</v>
      </c>
      <c r="K1156" s="29">
        <v>0</v>
      </c>
      <c r="L1156" s="29">
        <v>0</v>
      </c>
      <c r="M1156" s="29">
        <f t="shared" si="40"/>
        <v>15.116015418335726</v>
      </c>
    </row>
    <row r="1157" spans="1:13" outlineLevel="2">
      <c r="A1157" s="172">
        <v>46174</v>
      </c>
      <c r="B1157" s="1" t="s">
        <v>2950</v>
      </c>
      <c r="C1157" s="379" t="s">
        <v>2949</v>
      </c>
      <c r="D1157" s="341" t="s">
        <v>1333</v>
      </c>
      <c r="E1157" s="367">
        <v>291.33</v>
      </c>
      <c r="F1157" s="680"/>
      <c r="G1157" s="29">
        <v>0</v>
      </c>
      <c r="H1157" s="29">
        <v>15.116015418335726</v>
      </c>
      <c r="I1157" s="29">
        <v>0</v>
      </c>
      <c r="J1157" s="29">
        <v>0</v>
      </c>
      <c r="K1157" s="29">
        <v>0</v>
      </c>
      <c r="L1157" s="29">
        <v>0</v>
      </c>
      <c r="M1157" s="29">
        <f t="shared" si="40"/>
        <v>15.116015418335726</v>
      </c>
    </row>
    <row r="1158" spans="1:13" outlineLevel="2">
      <c r="A1158" s="172">
        <v>46174</v>
      </c>
      <c r="B1158" s="1" t="s">
        <v>2946</v>
      </c>
      <c r="C1158" s="379" t="s">
        <v>2945</v>
      </c>
      <c r="D1158" s="341" t="s">
        <v>1333</v>
      </c>
      <c r="E1158" s="367">
        <v>376.4</v>
      </c>
      <c r="F1158" s="680"/>
      <c r="G1158" s="29">
        <v>0</v>
      </c>
      <c r="H1158" s="29">
        <v>15.116015418335726</v>
      </c>
      <c r="I1158" s="29">
        <v>0</v>
      </c>
      <c r="J1158" s="29">
        <v>0</v>
      </c>
      <c r="K1158" s="29">
        <v>0</v>
      </c>
      <c r="L1158" s="29">
        <v>0</v>
      </c>
      <c r="M1158" s="29">
        <f t="shared" si="40"/>
        <v>15.116015418335726</v>
      </c>
    </row>
    <row r="1159" spans="1:13" outlineLevel="2">
      <c r="A1159" s="172">
        <v>46174</v>
      </c>
      <c r="B1159" s="1" t="s">
        <v>2948</v>
      </c>
      <c r="C1159" s="379" t="s">
        <v>2947</v>
      </c>
      <c r="D1159" s="341" t="s">
        <v>1333</v>
      </c>
      <c r="E1159" s="367">
        <v>1362.6</v>
      </c>
      <c r="F1159" s="680"/>
      <c r="G1159" s="29">
        <v>0</v>
      </c>
      <c r="H1159" s="29">
        <v>15.116015418335726</v>
      </c>
      <c r="I1159" s="29">
        <v>0</v>
      </c>
      <c r="J1159" s="29">
        <v>0</v>
      </c>
      <c r="K1159" s="29">
        <v>0</v>
      </c>
      <c r="L1159" s="29">
        <v>0</v>
      </c>
      <c r="M1159" s="29">
        <f t="shared" si="40"/>
        <v>15.116015418335726</v>
      </c>
    </row>
    <row r="1160" spans="1:13" outlineLevel="2">
      <c r="A1160" s="172">
        <v>46174</v>
      </c>
      <c r="B1160" s="1" t="s">
        <v>2944</v>
      </c>
      <c r="C1160" s="379" t="s">
        <v>2943</v>
      </c>
      <c r="D1160" s="341" t="s">
        <v>1333</v>
      </c>
      <c r="E1160" s="367">
        <v>1015.3</v>
      </c>
      <c r="F1160" s="680"/>
      <c r="G1160" s="29">
        <v>0</v>
      </c>
      <c r="H1160" s="29">
        <v>15.116015418335726</v>
      </c>
      <c r="I1160" s="29">
        <v>0</v>
      </c>
      <c r="J1160" s="29">
        <v>0</v>
      </c>
      <c r="K1160" s="29">
        <v>0</v>
      </c>
      <c r="L1160" s="29">
        <v>0</v>
      </c>
      <c r="M1160" s="29">
        <f t="shared" si="40"/>
        <v>15.116015418335726</v>
      </c>
    </row>
    <row r="1161" spans="1:13" outlineLevel="1">
      <c r="A1161" s="734" t="s">
        <v>3046</v>
      </c>
      <c r="C1161" s="735"/>
      <c r="D1161" s="744"/>
      <c r="E1161" s="765">
        <f t="shared" ref="E1161:M1161" si="41">SUBTOTAL(9,E872:E1160)</f>
        <v>16698.041000000008</v>
      </c>
      <c r="F1161" s="736">
        <f t="shared" si="41"/>
        <v>42.954000000000008</v>
      </c>
      <c r="G1161" s="737">
        <f t="shared" si="41"/>
        <v>778.47479404429009</v>
      </c>
      <c r="H1161" s="737">
        <f t="shared" si="41"/>
        <v>4379.1066397097775</v>
      </c>
      <c r="I1161" s="737">
        <f t="shared" si="41"/>
        <v>11496.355510883528</v>
      </c>
      <c r="J1161" s="737">
        <f t="shared" si="41"/>
        <v>0</v>
      </c>
      <c r="K1161" s="737">
        <f t="shared" si="41"/>
        <v>8204.7502146474253</v>
      </c>
      <c r="L1161" s="737">
        <f t="shared" si="41"/>
        <v>0</v>
      </c>
      <c r="M1161" s="737">
        <f t="shared" si="41"/>
        <v>24858.687159285077</v>
      </c>
    </row>
    <row r="1162" spans="1:13">
      <c r="A1162" s="734" t="s">
        <v>893</v>
      </c>
      <c r="C1162" s="735"/>
      <c r="D1162" s="744"/>
      <c r="E1162" s="765">
        <f t="shared" ref="E1162:M1162" si="42">SUBTOTAL(9,E226:E1160)</f>
        <v>93169.133999999758</v>
      </c>
      <c r="F1162" s="736">
        <f t="shared" si="42"/>
        <v>187.94399999999999</v>
      </c>
      <c r="G1162" s="737">
        <f t="shared" si="42"/>
        <v>6274.038897518858</v>
      </c>
      <c r="H1162" s="737">
        <f t="shared" si="42"/>
        <v>24174.710095105507</v>
      </c>
      <c r="I1162" s="737">
        <f t="shared" si="42"/>
        <v>83731.801928849236</v>
      </c>
      <c r="J1162" s="737">
        <f t="shared" si="42"/>
        <v>0</v>
      </c>
      <c r="K1162" s="737">
        <f t="shared" si="42"/>
        <v>12112.935953188597</v>
      </c>
      <c r="L1162" s="737">
        <f t="shared" si="42"/>
        <v>3272.3551732082115</v>
      </c>
      <c r="M1162" s="737">
        <f t="shared" si="42"/>
        <v>129565.84204787089</v>
      </c>
    </row>
  </sheetData>
  <autoFilter ref="A328:N1163" xr:uid="{00000000-0001-0000-0600-000000000000}"/>
  <mergeCells count="2">
    <mergeCell ref="A224:M224"/>
    <mergeCell ref="A1:I1"/>
  </mergeCells>
  <conditionalFormatting sqref="B1168">
    <cfRule type="expression" dxfId="16" priority="733">
      <formula>ISNUMBER(SEARCH("Total",$A1169))</formula>
    </cfRule>
  </conditionalFormatting>
  <conditionalFormatting sqref="C2:C223 C225:C1048576">
    <cfRule type="duplicateValues" dxfId="15" priority="5"/>
  </conditionalFormatting>
  <conditionalFormatting sqref="D328:D453 D455:D576 D872:D1160 D324:K326">
    <cfRule type="expression" dxfId="14" priority="15">
      <formula>ISNUMBER(SEARCH("Total",$A324))</formula>
    </cfRule>
  </conditionalFormatting>
  <conditionalFormatting sqref="D107:E126 D128:E142 D144:E158 D160:E179 D181:E192 D194:E211 D213:E220">
    <cfRule type="expression" dxfId="13" priority="8">
      <formula>ISNUMBER(SEARCH("Total",$A107))</formula>
    </cfRule>
    <cfRule type="expression" dxfId="12" priority="9">
      <formula>ISNUMBER(SEARCH("Total",$A107))</formula>
    </cfRule>
  </conditionalFormatting>
  <conditionalFormatting sqref="D328:E453 D455:E576 D872:E1160">
    <cfRule type="expression" dxfId="11" priority="6">
      <formula>ISNUMBER(SEARCH("Total",$A328))</formula>
    </cfRule>
  </conditionalFormatting>
  <conditionalFormatting sqref="D329:L347 D348:E348 D349:L362 D363:E363 D364:L377 D378:E378 D379:L404 D405:E405 D406:L453 A454:XFD576 A872:XFD1160 A2:XFD106 A107:C126 A127:XFD127 A128:C142 A143:XFD143 A144:C158 A159:XFD159 A160:C179 A180:XFD180 A181:C192 A193:XFD193 A194:C211 A212:XFD212 A213:C220 A221:XFD223 A225:XFD323 A324:C326 A327:XFD327 A328:C453 A577:C871 A1161:C1162 A1163:XFD1167 C1168:XFD1169 A1170:XFD1048576 A1 J1:XFD1 F107:XFD126 F128:XFD142 F144:XFD158 F160:XFD179 F181:XFD192 F194:XFD211 F213:XFD220 A224 N224:XFD224 L324:XFD326 G328:L328 M328:XFD453 G348:L348 G363:L363 G378:L378 G405:L405 F577:XFD871 F1161:XFD1162 A1168:A1169">
    <cfRule type="expression" dxfId="10" priority="19">
      <formula>ISNUMBER(SEARCH("Total",$A1))</formula>
    </cfRule>
  </conditionalFormatting>
  <conditionalFormatting sqref="F328">
    <cfRule type="expression" dxfId="9" priority="4">
      <formula>ISNUMBER(SEARCH("Total",$A328))</formula>
    </cfRule>
  </conditionalFormatting>
  <conditionalFormatting sqref="F348">
    <cfRule type="expression" dxfId="8" priority="3">
      <formula>ISNUMBER(SEARCH("Total",$A348))</formula>
    </cfRule>
  </conditionalFormatting>
  <conditionalFormatting sqref="F363 F378 F405">
    <cfRule type="expression" dxfId="7" priority="2">
      <formula>ISNUMBER(SEARCH("Total",$A363))</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22A89-97ED-48DE-BDF4-BE085C4FC5E3}">
  <dimension ref="A1:N72"/>
  <sheetViews>
    <sheetView zoomScaleNormal="100" workbookViewId="0">
      <selection activeCell="J4" sqref="J4"/>
    </sheetView>
  </sheetViews>
  <sheetFormatPr defaultRowHeight="15" outlineLevelRow="2"/>
  <cols>
    <col min="1" max="1" width="13.140625" style="21" customWidth="1"/>
    <col min="2" max="2" width="44.42578125" customWidth="1"/>
    <col min="3" max="3" width="16.140625" style="92" bestFit="1" customWidth="1"/>
    <col min="4" max="4" width="9.5703125" bestFit="1" customWidth="1"/>
    <col min="5" max="5" width="12.140625" customWidth="1"/>
    <col min="6" max="6" width="10.7109375" customWidth="1"/>
    <col min="7" max="8" width="12" bestFit="1" customWidth="1"/>
    <col min="9" max="9" width="13.140625" bestFit="1" customWidth="1"/>
    <col min="10" max="10" width="15.28515625" customWidth="1"/>
    <col min="11" max="11" width="10.5703125" style="5" bestFit="1" customWidth="1"/>
    <col min="12" max="12" width="10.5703125" bestFit="1" customWidth="1"/>
    <col min="13" max="13" width="17.5703125" customWidth="1"/>
    <col min="14" max="14" width="11.5703125" bestFit="1" customWidth="1"/>
    <col min="15" max="15" width="14.28515625" bestFit="1" customWidth="1"/>
  </cols>
  <sheetData>
    <row r="1" spans="1:14" ht="37.5" customHeight="1">
      <c r="A1" s="892" t="s">
        <v>881</v>
      </c>
      <c r="B1" s="892"/>
      <c r="C1" s="892"/>
      <c r="D1" s="892"/>
      <c r="E1" s="892"/>
      <c r="F1" s="892"/>
      <c r="G1" s="892"/>
      <c r="H1" s="892"/>
      <c r="I1" s="892"/>
      <c r="K1"/>
    </row>
    <row r="2" spans="1:14" ht="28.5" customHeight="1">
      <c r="A2" s="155" t="s">
        <v>44</v>
      </c>
      <c r="B2" s="156" t="s">
        <v>38</v>
      </c>
      <c r="C2" s="678" t="s">
        <v>39</v>
      </c>
      <c r="D2" s="155" t="s">
        <v>27</v>
      </c>
      <c r="E2" s="155" t="s">
        <v>896</v>
      </c>
      <c r="F2" s="157" t="s">
        <v>36</v>
      </c>
      <c r="G2" s="157" t="s">
        <v>37</v>
      </c>
      <c r="H2" s="157" t="s">
        <v>3</v>
      </c>
      <c r="I2" s="145" t="s">
        <v>35</v>
      </c>
      <c r="K2"/>
    </row>
    <row r="3" spans="1:14" outlineLevel="2">
      <c r="A3" s="147">
        <v>46174</v>
      </c>
      <c r="B3" s="1" t="s">
        <v>1895</v>
      </c>
      <c r="C3" s="144" t="s">
        <v>3075</v>
      </c>
      <c r="D3" s="1" t="s">
        <v>897</v>
      </c>
      <c r="E3" s="1">
        <v>3.5</v>
      </c>
      <c r="F3" s="59"/>
      <c r="G3" s="59"/>
      <c r="H3" s="59">
        <v>113.20562024693227</v>
      </c>
      <c r="I3" s="139">
        <f t="shared" ref="I3" si="0">SUM(F3:H3)</f>
        <v>113.20562024693227</v>
      </c>
      <c r="K3"/>
    </row>
    <row r="4" spans="1:14" outlineLevel="1">
      <c r="A4" s="147" t="s">
        <v>3046</v>
      </c>
      <c r="B4" s="1"/>
      <c r="C4" s="144"/>
      <c r="D4" s="741"/>
      <c r="E4" s="741">
        <f>SUBTOTAL(9,E3:E3)</f>
        <v>3.5</v>
      </c>
      <c r="F4" s="59">
        <f>SUBTOTAL(9,F3:F3)</f>
        <v>0</v>
      </c>
      <c r="G4" s="59">
        <f>SUBTOTAL(9,G3:G3)</f>
        <v>0</v>
      </c>
      <c r="H4" s="59">
        <f>SUBTOTAL(9,H3:H3)</f>
        <v>113.20562024693227</v>
      </c>
      <c r="I4" s="139">
        <f>SUBTOTAL(9,I3:I3)</f>
        <v>113.20562024693227</v>
      </c>
      <c r="K4"/>
    </row>
    <row r="5" spans="1:14">
      <c r="A5" s="147" t="s">
        <v>893</v>
      </c>
      <c r="B5" s="1"/>
      <c r="C5" s="144"/>
      <c r="D5" s="741"/>
      <c r="E5" s="741">
        <f>SUBTOTAL(9,E3:E3)</f>
        <v>3.5</v>
      </c>
      <c r="F5" s="59">
        <f>SUBTOTAL(9,F3:F3)</f>
        <v>0</v>
      </c>
      <c r="G5" s="59">
        <f>SUBTOTAL(9,G3:G3)</f>
        <v>0</v>
      </c>
      <c r="H5" s="59">
        <f>SUBTOTAL(9,H3:H3)</f>
        <v>113.20562024693227</v>
      </c>
      <c r="I5" s="139">
        <f>SUBTOTAL(9,I3:I3)</f>
        <v>113.20562024693227</v>
      </c>
      <c r="K5"/>
    </row>
    <row r="7" spans="1:14" ht="37.5" customHeight="1">
      <c r="A7" s="889" t="s">
        <v>882</v>
      </c>
      <c r="B7" s="890"/>
      <c r="C7" s="890"/>
      <c r="D7" s="890"/>
      <c r="E7" s="890"/>
      <c r="F7" s="890"/>
      <c r="G7" s="890"/>
      <c r="H7" s="890"/>
      <c r="I7" s="890"/>
      <c r="J7" s="890"/>
      <c r="K7" s="890"/>
      <c r="L7" s="890"/>
      <c r="M7" s="891"/>
      <c r="N7" s="27"/>
    </row>
    <row r="8" spans="1:14" s="27" customFormat="1" ht="57" customHeight="1">
      <c r="A8" s="165" t="s">
        <v>44</v>
      </c>
      <c r="B8" s="166" t="s">
        <v>175</v>
      </c>
      <c r="C8" s="679" t="s">
        <v>40</v>
      </c>
      <c r="D8" s="167" t="s">
        <v>27</v>
      </c>
      <c r="E8" s="168" t="s">
        <v>176</v>
      </c>
      <c r="F8" s="169" t="s">
        <v>29</v>
      </c>
      <c r="G8" s="170" t="s">
        <v>177</v>
      </c>
      <c r="H8" s="170" t="s">
        <v>37</v>
      </c>
      <c r="I8" s="170" t="s">
        <v>43</v>
      </c>
      <c r="J8" s="171" t="s">
        <v>42</v>
      </c>
      <c r="K8" s="170" t="s">
        <v>30</v>
      </c>
      <c r="L8" s="170" t="s">
        <v>906</v>
      </c>
      <c r="M8" s="164" t="s">
        <v>35</v>
      </c>
    </row>
    <row r="9" spans="1:14" hidden="1" outlineLevel="2">
      <c r="A9" s="172">
        <v>46143</v>
      </c>
      <c r="B9" s="1" t="s">
        <v>974</v>
      </c>
      <c r="C9" s="379">
        <v>381233349086</v>
      </c>
      <c r="D9" s="341" t="str">
        <f>VLOOKUP(C9,[1]Material!F:J,5,0)</f>
        <v>Fedex</v>
      </c>
      <c r="E9" s="367">
        <f>_xlfn.XLOOKUP(C9,[1]Material!$F:$F,[1]Material!$D:$D)</f>
        <v>1.7</v>
      </c>
      <c r="F9" s="680"/>
      <c r="G9" s="29"/>
      <c r="H9" s="29">
        <v>15.149219815179519</v>
      </c>
      <c r="I9" s="29">
        <v>42.825594606877743</v>
      </c>
      <c r="J9" s="29"/>
      <c r="K9" s="29"/>
      <c r="L9" s="29"/>
      <c r="M9" s="29">
        <f t="shared" ref="M9:M12" si="1">SUM(G9:L9)</f>
        <v>57.974814422057264</v>
      </c>
    </row>
    <row r="10" spans="1:14" hidden="1" outlineLevel="2">
      <c r="A10" s="172">
        <v>46143</v>
      </c>
      <c r="B10" s="1" t="s">
        <v>1975</v>
      </c>
      <c r="C10" s="379">
        <v>119209722063</v>
      </c>
      <c r="D10" s="341" t="str">
        <f>VLOOKUP(C10,[1]Material!F:J,5,0)</f>
        <v>Fedex</v>
      </c>
      <c r="E10" s="367">
        <f>_xlfn.XLOOKUP(C10,[1]Material!$F:$F,[1]Material!$D:$D)</f>
        <v>1.4</v>
      </c>
      <c r="F10" s="680"/>
      <c r="G10" s="29"/>
      <c r="H10" s="29">
        <v>15.149219815179519</v>
      </c>
      <c r="I10" s="29"/>
      <c r="J10" s="29"/>
      <c r="K10" s="29"/>
      <c r="L10" s="29"/>
      <c r="M10" s="29">
        <f t="shared" si="1"/>
        <v>15.149219815179519</v>
      </c>
    </row>
    <row r="11" spans="1:14" hidden="1" outlineLevel="2">
      <c r="A11" s="172">
        <v>46143</v>
      </c>
      <c r="B11" s="1" t="s">
        <v>1975</v>
      </c>
      <c r="C11" s="379">
        <v>521201342822</v>
      </c>
      <c r="D11" s="341" t="str">
        <f>VLOOKUP(C11,[1]Material!F:J,5,0)</f>
        <v>Fedex</v>
      </c>
      <c r="E11" s="367">
        <f>_xlfn.XLOOKUP(C11,[1]Material!$F:$F,[1]Material!$D:$D)</f>
        <v>1.1000000000000001</v>
      </c>
      <c r="F11" s="680"/>
      <c r="G11" s="29"/>
      <c r="H11" s="29">
        <v>15.149219815179519</v>
      </c>
      <c r="I11" s="29"/>
      <c r="J11" s="29"/>
      <c r="K11" s="29"/>
      <c r="L11" s="29"/>
      <c r="M11" s="29">
        <f t="shared" si="1"/>
        <v>15.149219815179519</v>
      </c>
    </row>
    <row r="12" spans="1:14" hidden="1" outlineLevel="2">
      <c r="A12" s="172">
        <v>46143</v>
      </c>
      <c r="B12" s="1" t="s">
        <v>1977</v>
      </c>
      <c r="C12" s="379">
        <v>523364168404</v>
      </c>
      <c r="D12" s="341" t="str">
        <f>VLOOKUP(C12,[1]Material!F:J,5,0)</f>
        <v>Fedex</v>
      </c>
      <c r="E12" s="367">
        <f>_xlfn.XLOOKUP(C12,[1]Material!$F:$F,[1]Material!$D:$D)</f>
        <v>2.7</v>
      </c>
      <c r="F12" s="680"/>
      <c r="G12" s="29"/>
      <c r="H12" s="29">
        <v>15.149219815179519</v>
      </c>
      <c r="I12" s="29"/>
      <c r="J12" s="29"/>
      <c r="K12" s="29"/>
      <c r="L12" s="29"/>
      <c r="M12" s="29">
        <f t="shared" si="1"/>
        <v>15.149219815179519</v>
      </c>
    </row>
    <row r="13" spans="1:14" hidden="1" outlineLevel="2">
      <c r="A13" s="172">
        <v>46143</v>
      </c>
      <c r="B13" s="1" t="s">
        <v>1484</v>
      </c>
      <c r="C13" s="379" t="s">
        <v>1981</v>
      </c>
      <c r="D13" s="341" t="str">
        <f>VLOOKUP(C13,[1]Material!F:J,5,0)</f>
        <v>UPS</v>
      </c>
      <c r="E13" s="367">
        <f>_xlfn.XLOOKUP(C13,[1]Material!$F:$F,[1]Material!$D:$D)</f>
        <v>0.5</v>
      </c>
      <c r="F13" s="680"/>
      <c r="G13" s="29"/>
      <c r="H13" s="29">
        <v>15.149219815179519</v>
      </c>
      <c r="I13" s="29"/>
      <c r="J13" s="29"/>
      <c r="K13" s="29"/>
      <c r="L13" s="29"/>
      <c r="M13" s="29">
        <f t="shared" ref="M13:M70" si="2">SUM(G13:L13)</f>
        <v>15.149219815179519</v>
      </c>
    </row>
    <row r="14" spans="1:14" hidden="1" outlineLevel="2">
      <c r="A14" s="172">
        <v>46143</v>
      </c>
      <c r="B14" s="1" t="s">
        <v>963</v>
      </c>
      <c r="C14" s="379">
        <v>524978941052</v>
      </c>
      <c r="D14" s="341" t="str">
        <f>VLOOKUP(C14,[1]Material!F:J,5,0)</f>
        <v>Fedex</v>
      </c>
      <c r="E14" s="367">
        <f>_xlfn.XLOOKUP(C14,[1]Material!$F:$F,[1]Material!$D:$D)</f>
        <v>1.5</v>
      </c>
      <c r="F14" s="680"/>
      <c r="G14" s="29"/>
      <c r="H14" s="29">
        <v>15.149219815179519</v>
      </c>
      <c r="I14" s="29"/>
      <c r="J14" s="29"/>
      <c r="K14" s="29"/>
      <c r="L14" s="29"/>
      <c r="M14" s="29">
        <f t="shared" si="2"/>
        <v>15.149219815179519</v>
      </c>
    </row>
    <row r="15" spans="1:14" hidden="1" outlineLevel="2">
      <c r="A15" s="172">
        <v>46143</v>
      </c>
      <c r="B15" s="1" t="s">
        <v>957</v>
      </c>
      <c r="C15" s="379">
        <v>523808780585</v>
      </c>
      <c r="D15" s="341" t="str">
        <f>VLOOKUP(C15,[1]Material!F:J,5,0)</f>
        <v>Fedex</v>
      </c>
      <c r="E15" s="367">
        <f>_xlfn.XLOOKUP(C15,[1]Material!$F:$F,[1]Material!$D:$D)</f>
        <v>5.5</v>
      </c>
      <c r="F15" s="680"/>
      <c r="G15" s="29"/>
      <c r="H15" s="29">
        <v>15.149219815179519</v>
      </c>
      <c r="I15" s="29"/>
      <c r="J15" s="29"/>
      <c r="K15" s="29"/>
      <c r="L15" s="29"/>
      <c r="M15" s="29">
        <f t="shared" si="2"/>
        <v>15.149219815179519</v>
      </c>
    </row>
    <row r="16" spans="1:14" hidden="1" outlineLevel="2">
      <c r="A16" s="172">
        <v>46143</v>
      </c>
      <c r="B16" s="1" t="s">
        <v>1493</v>
      </c>
      <c r="C16" s="379">
        <v>381054297320</v>
      </c>
      <c r="D16" s="341" t="str">
        <f>VLOOKUP(C16,[1]Material!F:J,5,0)</f>
        <v>Fedex</v>
      </c>
      <c r="E16" s="367">
        <f>_xlfn.XLOOKUP(C16,[1]Material!$F:$F,[1]Material!$D:$D)</f>
        <v>1.5</v>
      </c>
      <c r="F16" s="680"/>
      <c r="G16" s="29"/>
      <c r="H16" s="29">
        <v>15.149219815179519</v>
      </c>
      <c r="I16" s="29"/>
      <c r="J16" s="29"/>
      <c r="K16" s="29"/>
      <c r="L16" s="29"/>
      <c r="M16" s="29">
        <f t="shared" si="2"/>
        <v>15.149219815179519</v>
      </c>
    </row>
    <row r="17" spans="1:13" hidden="1" outlineLevel="2">
      <c r="A17" s="172">
        <v>46143</v>
      </c>
      <c r="B17" s="1" t="s">
        <v>968</v>
      </c>
      <c r="C17" s="379">
        <v>524130753981</v>
      </c>
      <c r="D17" s="341" t="str">
        <f>VLOOKUP(C17,[1]Material!F:J,5,0)</f>
        <v>Fedex</v>
      </c>
      <c r="E17" s="367">
        <f>_xlfn.XLOOKUP(C17,[1]Material!$F:$F,[1]Material!$D:$D)</f>
        <v>0.5</v>
      </c>
      <c r="F17" s="680"/>
      <c r="G17" s="29"/>
      <c r="H17" s="29">
        <v>15.149219815179519</v>
      </c>
      <c r="I17" s="29"/>
      <c r="J17" s="29"/>
      <c r="K17" s="29"/>
      <c r="L17" s="29"/>
      <c r="M17" s="29">
        <f t="shared" si="2"/>
        <v>15.149219815179519</v>
      </c>
    </row>
    <row r="18" spans="1:13" hidden="1" outlineLevel="2">
      <c r="A18" s="172">
        <v>46143</v>
      </c>
      <c r="B18" s="1" t="s">
        <v>1999</v>
      </c>
      <c r="C18" s="379">
        <v>510007349877</v>
      </c>
      <c r="D18" s="341" t="str">
        <f>VLOOKUP(C18,[1]Material!F:J,5,0)</f>
        <v>Fedex</v>
      </c>
      <c r="E18" s="367">
        <f>_xlfn.XLOOKUP(C18,[1]Material!$F:$F,[1]Material!$D:$D)</f>
        <v>1.9</v>
      </c>
      <c r="F18" s="680"/>
      <c r="G18" s="29"/>
      <c r="H18" s="29">
        <v>15.149219815179519</v>
      </c>
      <c r="I18" s="29"/>
      <c r="J18" s="29"/>
      <c r="K18" s="29"/>
      <c r="L18" s="29"/>
      <c r="M18" s="29">
        <f t="shared" si="2"/>
        <v>15.149219815179519</v>
      </c>
    </row>
    <row r="19" spans="1:13" hidden="1" outlineLevel="2">
      <c r="A19" s="172">
        <v>46143</v>
      </c>
      <c r="B19" s="1" t="s">
        <v>1484</v>
      </c>
      <c r="C19" s="379" t="s">
        <v>2012</v>
      </c>
      <c r="D19" s="341" t="str">
        <f>VLOOKUP(C19,[1]Material!F:J,5,0)</f>
        <v>UPS</v>
      </c>
      <c r="E19" s="367">
        <f>_xlfn.XLOOKUP(C19,[1]Material!$F:$F,[1]Material!$D:$D)</f>
        <v>0.5</v>
      </c>
      <c r="F19" s="680"/>
      <c r="G19" s="29"/>
      <c r="H19" s="29">
        <v>15.149219815179519</v>
      </c>
      <c r="I19" s="29"/>
      <c r="J19" s="29"/>
      <c r="K19" s="29"/>
      <c r="L19" s="29"/>
      <c r="M19" s="29">
        <f t="shared" si="2"/>
        <v>15.149219815179519</v>
      </c>
    </row>
    <row r="20" spans="1:13" hidden="1" outlineLevel="2">
      <c r="A20" s="172">
        <v>46143</v>
      </c>
      <c r="B20" s="1" t="s">
        <v>1484</v>
      </c>
      <c r="C20" s="379" t="s">
        <v>2013</v>
      </c>
      <c r="D20" s="341" t="str">
        <f>VLOOKUP(C20,[1]Material!F:J,5,0)</f>
        <v>UPS</v>
      </c>
      <c r="E20" s="367">
        <f>_xlfn.XLOOKUP(C20,[1]Material!$F:$F,[1]Material!$D:$D)</f>
        <v>0.5</v>
      </c>
      <c r="F20" s="680"/>
      <c r="G20" s="29"/>
      <c r="H20" s="29">
        <v>15.149219815179519</v>
      </c>
      <c r="I20" s="29"/>
      <c r="J20" s="29"/>
      <c r="K20" s="29"/>
      <c r="L20" s="29"/>
      <c r="M20" s="29">
        <f t="shared" si="2"/>
        <v>15.149219815179519</v>
      </c>
    </row>
    <row r="21" spans="1:13" hidden="1" outlineLevel="2">
      <c r="A21" s="172">
        <v>46143</v>
      </c>
      <c r="B21" s="1" t="s">
        <v>1493</v>
      </c>
      <c r="C21" s="379">
        <v>381181286878</v>
      </c>
      <c r="D21" s="341" t="str">
        <f>VLOOKUP(C21,[1]Material!F:J,5,0)</f>
        <v>Fedex</v>
      </c>
      <c r="E21" s="367">
        <f>_xlfn.XLOOKUP(C21,[1]Material!$F:$F,[1]Material!$D:$D)</f>
        <v>4.5</v>
      </c>
      <c r="F21" s="680"/>
      <c r="G21" s="29"/>
      <c r="H21" s="29">
        <v>15.149219815179519</v>
      </c>
      <c r="I21" s="29"/>
      <c r="J21" s="29"/>
      <c r="K21" s="29"/>
      <c r="L21" s="29"/>
      <c r="M21" s="29">
        <f t="shared" si="2"/>
        <v>15.149219815179519</v>
      </c>
    </row>
    <row r="22" spans="1:13" hidden="1" outlineLevel="2">
      <c r="A22" s="172">
        <v>46143</v>
      </c>
      <c r="B22" s="1" t="s">
        <v>1711</v>
      </c>
      <c r="C22" s="379">
        <v>489101272488</v>
      </c>
      <c r="D22" s="341" t="str">
        <f>VLOOKUP(C22,[1]Material!F:J,5,0)</f>
        <v>Fedex</v>
      </c>
      <c r="E22" s="367">
        <f>_xlfn.XLOOKUP(C22,[1]Material!$F:$F,[1]Material!$D:$D)</f>
        <v>0.5</v>
      </c>
      <c r="F22" s="680"/>
      <c r="G22" s="29"/>
      <c r="H22" s="29">
        <v>15.149219815179519</v>
      </c>
      <c r="I22" s="29"/>
      <c r="J22" s="29"/>
      <c r="K22" s="29"/>
      <c r="L22" s="29"/>
      <c r="M22" s="29">
        <f t="shared" si="2"/>
        <v>15.149219815179519</v>
      </c>
    </row>
    <row r="23" spans="1:13" hidden="1" outlineLevel="2">
      <c r="A23" s="172">
        <v>46143</v>
      </c>
      <c r="B23" s="1" t="s">
        <v>1711</v>
      </c>
      <c r="C23" s="379">
        <v>489101274870</v>
      </c>
      <c r="D23" s="341" t="str">
        <f>VLOOKUP(C23,[1]Material!F:J,5,0)</f>
        <v>Fedex</v>
      </c>
      <c r="E23" s="367">
        <f>_xlfn.XLOOKUP(C23,[1]Material!$F:$F,[1]Material!$D:$D)</f>
        <v>1</v>
      </c>
      <c r="F23" s="680"/>
      <c r="G23" s="29"/>
      <c r="H23" s="29">
        <v>15.149219815179519</v>
      </c>
      <c r="I23" s="29"/>
      <c r="J23" s="29"/>
      <c r="K23" s="29"/>
      <c r="L23" s="29"/>
      <c r="M23" s="29">
        <f t="shared" si="2"/>
        <v>15.149219815179519</v>
      </c>
    </row>
    <row r="24" spans="1:13" hidden="1" outlineLevel="2">
      <c r="A24" s="172">
        <v>46143</v>
      </c>
      <c r="B24" s="1" t="s">
        <v>1694</v>
      </c>
      <c r="C24" s="379">
        <v>380796822269</v>
      </c>
      <c r="D24" s="341" t="str">
        <f>VLOOKUP(C24,[1]Material!F:J,5,0)</f>
        <v>Fedex</v>
      </c>
      <c r="E24" s="367">
        <f>_xlfn.XLOOKUP(C24,[1]Material!$F:$F,[1]Material!$D:$D)</f>
        <v>1.7</v>
      </c>
      <c r="F24" s="680"/>
      <c r="G24" s="29"/>
      <c r="H24" s="29">
        <v>15.149219815179519</v>
      </c>
      <c r="I24" s="29"/>
      <c r="J24" s="29"/>
      <c r="K24" s="29"/>
      <c r="L24" s="29"/>
      <c r="M24" s="29">
        <f t="shared" si="2"/>
        <v>15.149219815179519</v>
      </c>
    </row>
    <row r="25" spans="1:13" hidden="1" outlineLevel="2">
      <c r="A25" s="172">
        <v>46143</v>
      </c>
      <c r="B25" s="1" t="s">
        <v>957</v>
      </c>
      <c r="C25" s="379">
        <v>525934305022</v>
      </c>
      <c r="D25" s="341" t="str">
        <f>VLOOKUP(C25,[1]Material!F:J,5,0)</f>
        <v>Fedex</v>
      </c>
      <c r="E25" s="367">
        <f>_xlfn.XLOOKUP(C25,[1]Material!$F:$F,[1]Material!$D:$D)</f>
        <v>12.2</v>
      </c>
      <c r="F25" s="680"/>
      <c r="G25" s="29"/>
      <c r="H25" s="29">
        <v>15.149219815179519</v>
      </c>
      <c r="I25" s="29"/>
      <c r="J25" s="29"/>
      <c r="K25" s="29"/>
      <c r="L25" s="29"/>
      <c r="M25" s="29">
        <f t="shared" si="2"/>
        <v>15.149219815179519</v>
      </c>
    </row>
    <row r="26" spans="1:13" hidden="1" outlineLevel="2">
      <c r="A26" s="172">
        <v>46143</v>
      </c>
      <c r="B26" s="1" t="s">
        <v>968</v>
      </c>
      <c r="C26" s="379">
        <v>492830024688</v>
      </c>
      <c r="D26" s="341" t="str">
        <f>VLOOKUP(C26,[1]Material!F:J,5,0)</f>
        <v>Fedex</v>
      </c>
      <c r="E26" s="367">
        <f>_xlfn.XLOOKUP(C26,[1]Material!$F:$F,[1]Material!$D:$D)</f>
        <v>1.8</v>
      </c>
      <c r="F26" s="680"/>
      <c r="G26" s="29"/>
      <c r="H26" s="29">
        <v>15.149219815179519</v>
      </c>
      <c r="I26" s="29"/>
      <c r="J26" s="29"/>
      <c r="K26" s="29"/>
      <c r="L26" s="29"/>
      <c r="M26" s="29">
        <f t="shared" si="2"/>
        <v>15.149219815179519</v>
      </c>
    </row>
    <row r="27" spans="1:13" hidden="1" outlineLevel="2">
      <c r="A27" s="172">
        <v>46143</v>
      </c>
      <c r="B27" s="1" t="s">
        <v>968</v>
      </c>
      <c r="C27" s="379">
        <v>492830056179</v>
      </c>
      <c r="D27" s="341" t="str">
        <f>VLOOKUP(C27,[1]Material!F:J,5,0)</f>
        <v>Fedex</v>
      </c>
      <c r="E27" s="367">
        <f>_xlfn.XLOOKUP(C27,[1]Material!$F:$F,[1]Material!$D:$D)</f>
        <v>19.5</v>
      </c>
      <c r="F27" s="680"/>
      <c r="G27" s="29"/>
      <c r="H27" s="29">
        <v>15.149219815179519</v>
      </c>
      <c r="I27" s="29"/>
      <c r="J27" s="29"/>
      <c r="K27" s="29"/>
      <c r="L27" s="29"/>
      <c r="M27" s="29">
        <f t="shared" si="2"/>
        <v>15.149219815179519</v>
      </c>
    </row>
    <row r="28" spans="1:13" hidden="1" outlineLevel="2">
      <c r="A28" s="172">
        <v>46143</v>
      </c>
      <c r="B28" s="1" t="s">
        <v>934</v>
      </c>
      <c r="C28" s="379">
        <v>3752160742</v>
      </c>
      <c r="D28" s="341" t="str">
        <f>VLOOKUP(C28,[1]Material!F:J,5,0)</f>
        <v>DHL</v>
      </c>
      <c r="E28" s="367">
        <f>_xlfn.XLOOKUP(C28,[1]Material!$F:$F,[1]Material!$D:$D)</f>
        <v>8.4</v>
      </c>
      <c r="F28" s="680"/>
      <c r="G28" s="29"/>
      <c r="H28" s="29">
        <v>15.149219815179519</v>
      </c>
      <c r="I28" s="29"/>
      <c r="J28" s="29"/>
      <c r="K28" s="29"/>
      <c r="L28" s="29"/>
      <c r="M28" s="29">
        <f t="shared" si="2"/>
        <v>15.149219815179519</v>
      </c>
    </row>
    <row r="29" spans="1:13" hidden="1" outlineLevel="2">
      <c r="A29" s="172">
        <v>46143</v>
      </c>
      <c r="B29" s="1" t="s">
        <v>1493</v>
      </c>
      <c r="C29" s="379">
        <v>381402078080</v>
      </c>
      <c r="D29" s="341" t="str">
        <f>VLOOKUP(C29,[1]Material!F:J,5,0)</f>
        <v>Fedex</v>
      </c>
      <c r="E29" s="367">
        <f>_xlfn.XLOOKUP(C29,[1]Material!$F:$F,[1]Material!$D:$D)</f>
        <v>0.5</v>
      </c>
      <c r="F29" s="680"/>
      <c r="G29" s="29"/>
      <c r="H29" s="29">
        <v>15.149219815179519</v>
      </c>
      <c r="I29" s="29"/>
      <c r="J29" s="29"/>
      <c r="K29" s="29"/>
      <c r="L29" s="29"/>
      <c r="M29" s="29">
        <f t="shared" si="2"/>
        <v>15.149219815179519</v>
      </c>
    </row>
    <row r="30" spans="1:13" hidden="1" outlineLevel="2">
      <c r="A30" s="172">
        <v>46143</v>
      </c>
      <c r="B30" s="1" t="s">
        <v>2035</v>
      </c>
      <c r="C30" s="379">
        <v>871907578288</v>
      </c>
      <c r="D30" s="341" t="str">
        <f>VLOOKUP(C30,[1]Material!F:J,5,0)</f>
        <v>Fedex</v>
      </c>
      <c r="E30" s="367">
        <f>_xlfn.XLOOKUP(C30,[1]Material!$F:$F,[1]Material!$D:$D)</f>
        <v>2.2999999999999998</v>
      </c>
      <c r="F30" s="680"/>
      <c r="G30" s="29"/>
      <c r="H30" s="29">
        <v>15.149219815179519</v>
      </c>
      <c r="I30" s="29"/>
      <c r="J30" s="29"/>
      <c r="K30" s="29"/>
      <c r="L30" s="29"/>
      <c r="M30" s="29">
        <f t="shared" si="2"/>
        <v>15.149219815179519</v>
      </c>
    </row>
    <row r="31" spans="1:13" hidden="1" outlineLevel="2">
      <c r="A31" s="172">
        <v>46143</v>
      </c>
      <c r="B31" s="1" t="s">
        <v>2036</v>
      </c>
      <c r="C31" s="379">
        <v>518904176610</v>
      </c>
      <c r="D31" s="341" t="str">
        <f>VLOOKUP(C31,[1]Material!F:J,5,0)</f>
        <v>Fedex</v>
      </c>
      <c r="E31" s="367">
        <f>_xlfn.XLOOKUP(C31,[1]Material!$F:$F,[1]Material!$D:$D)</f>
        <v>0.4</v>
      </c>
      <c r="F31" s="680"/>
      <c r="G31" s="29"/>
      <c r="H31" s="29">
        <v>15.149219815179519</v>
      </c>
      <c r="I31" s="29"/>
      <c r="J31" s="29"/>
      <c r="K31" s="29"/>
      <c r="L31" s="29"/>
      <c r="M31" s="29">
        <f t="shared" si="2"/>
        <v>15.149219815179519</v>
      </c>
    </row>
    <row r="32" spans="1:13" hidden="1" outlineLevel="2">
      <c r="A32" s="172">
        <v>46143</v>
      </c>
      <c r="B32" s="1" t="s">
        <v>957</v>
      </c>
      <c r="C32" s="379">
        <v>526750129650</v>
      </c>
      <c r="D32" s="341" t="str">
        <f>VLOOKUP(C32,[1]Material!F:J,5,0)</f>
        <v>Fedex</v>
      </c>
      <c r="E32" s="367">
        <f>_xlfn.XLOOKUP(C32,[1]Material!$F:$F,[1]Material!$D:$D)</f>
        <v>13.6</v>
      </c>
      <c r="F32" s="680"/>
      <c r="G32" s="29"/>
      <c r="H32" s="29">
        <v>15.149219815179519</v>
      </c>
      <c r="I32" s="29"/>
      <c r="J32" s="29"/>
      <c r="K32" s="29"/>
      <c r="L32" s="29"/>
      <c r="M32" s="29">
        <f t="shared" si="2"/>
        <v>15.149219815179519</v>
      </c>
    </row>
    <row r="33" spans="1:13" hidden="1" outlineLevel="2">
      <c r="A33" s="172">
        <v>46143</v>
      </c>
      <c r="B33" s="1" t="s">
        <v>1498</v>
      </c>
      <c r="C33" s="379">
        <v>381239475257</v>
      </c>
      <c r="D33" s="341" t="str">
        <f>VLOOKUP(C33,[1]Material!F:J,5,0)</f>
        <v>Fedex</v>
      </c>
      <c r="E33" s="367">
        <f>_xlfn.XLOOKUP(C33,[1]Material!$F:$F,[1]Material!$D:$D)</f>
        <v>0.9</v>
      </c>
      <c r="F33" s="680"/>
      <c r="G33" s="29"/>
      <c r="H33" s="29">
        <v>15.149219815179519</v>
      </c>
      <c r="I33" s="29"/>
      <c r="J33" s="29"/>
      <c r="K33" s="29"/>
      <c r="L33" s="29"/>
      <c r="M33" s="29">
        <f t="shared" si="2"/>
        <v>15.149219815179519</v>
      </c>
    </row>
    <row r="34" spans="1:13" hidden="1" outlineLevel="2">
      <c r="A34" s="172">
        <v>46143</v>
      </c>
      <c r="B34" s="1" t="s">
        <v>110</v>
      </c>
      <c r="C34" s="379">
        <v>483570646278</v>
      </c>
      <c r="D34" s="341" t="str">
        <f>VLOOKUP(C34,[1]Equipment!F:J,5,0)</f>
        <v>Fedex</v>
      </c>
      <c r="E34" s="367">
        <f>_xlfn.XLOOKUP(C34,[1]Equipment!$F:$F,[1]Equipment!$D:$D)</f>
        <v>2.7</v>
      </c>
      <c r="F34" s="680"/>
      <c r="G34" s="29"/>
      <c r="H34" s="29">
        <v>15.149219815179519</v>
      </c>
      <c r="I34" s="29"/>
      <c r="J34" s="29"/>
      <c r="K34" s="29"/>
      <c r="L34" s="29"/>
      <c r="M34" s="29">
        <f t="shared" si="2"/>
        <v>15.149219815179519</v>
      </c>
    </row>
    <row r="35" spans="1:13" hidden="1" outlineLevel="2">
      <c r="A35" s="172">
        <v>46143</v>
      </c>
      <c r="B35" s="1" t="s">
        <v>110</v>
      </c>
      <c r="C35" s="379">
        <v>483570646337</v>
      </c>
      <c r="D35" s="341" t="str">
        <f>VLOOKUP(C35,[1]Equipment!F:J,5,0)</f>
        <v>Fedex</v>
      </c>
      <c r="E35" s="367">
        <f>_xlfn.XLOOKUP(C35,[1]Equipment!$F:$F,[1]Equipment!$D:$D)</f>
        <v>1.4</v>
      </c>
      <c r="F35" s="680"/>
      <c r="G35" s="29"/>
      <c r="H35" s="29">
        <v>15.149219815179519</v>
      </c>
      <c r="I35" s="29"/>
      <c r="J35" s="29"/>
      <c r="K35" s="29"/>
      <c r="L35" s="29"/>
      <c r="M35" s="29">
        <f t="shared" si="2"/>
        <v>15.149219815179519</v>
      </c>
    </row>
    <row r="36" spans="1:13" hidden="1" outlineLevel="2">
      <c r="A36" s="172">
        <v>46143</v>
      </c>
      <c r="B36" s="1" t="s">
        <v>110</v>
      </c>
      <c r="C36" s="379">
        <v>483570646430</v>
      </c>
      <c r="D36" s="341" t="str">
        <f>VLOOKUP(C36,[1]Equipment!F:J,5,0)</f>
        <v>Fedex</v>
      </c>
      <c r="E36" s="367">
        <f>_xlfn.XLOOKUP(C36,[1]Equipment!$F:$F,[1]Equipment!$D:$D)</f>
        <v>0.9</v>
      </c>
      <c r="F36" s="680"/>
      <c r="G36" s="29"/>
      <c r="H36" s="29">
        <v>15.149219815179519</v>
      </c>
      <c r="I36" s="29"/>
      <c r="J36" s="29"/>
      <c r="K36" s="29"/>
      <c r="L36" s="29"/>
      <c r="M36" s="29">
        <f t="shared" si="2"/>
        <v>15.149219815179519</v>
      </c>
    </row>
    <row r="37" spans="1:13" outlineLevel="1" collapsed="1">
      <c r="A37" s="172" t="s">
        <v>2095</v>
      </c>
      <c r="B37" s="1"/>
      <c r="C37" s="379"/>
      <c r="D37" s="742"/>
      <c r="E37" s="743">
        <f t="shared" ref="E37:M37" si="3">SUBTOTAL(9,E9:E36)</f>
        <v>91.600000000000009</v>
      </c>
      <c r="F37" s="680">
        <f t="shared" si="3"/>
        <v>0</v>
      </c>
      <c r="G37" s="29">
        <f t="shared" si="3"/>
        <v>0</v>
      </c>
      <c r="H37" s="29">
        <f t="shared" si="3"/>
        <v>424.17815482502624</v>
      </c>
      <c r="I37" s="29">
        <f t="shared" si="3"/>
        <v>42.825594606877743</v>
      </c>
      <c r="J37" s="29">
        <f t="shared" si="3"/>
        <v>0</v>
      </c>
      <c r="K37" s="29">
        <f t="shared" si="3"/>
        <v>0</v>
      </c>
      <c r="L37" s="29">
        <f t="shared" si="3"/>
        <v>0</v>
      </c>
      <c r="M37" s="29">
        <f t="shared" si="3"/>
        <v>467.00374943190394</v>
      </c>
    </row>
    <row r="38" spans="1:13" outlineLevel="2">
      <c r="A38" s="172">
        <v>46174</v>
      </c>
      <c r="B38" s="1" t="s">
        <v>934</v>
      </c>
      <c r="C38" s="379">
        <v>1291246305</v>
      </c>
      <c r="D38" s="341" t="s">
        <v>897</v>
      </c>
      <c r="E38" s="367">
        <v>6.1</v>
      </c>
      <c r="F38" s="680"/>
      <c r="G38" s="29">
        <v>0</v>
      </c>
      <c r="H38" s="29">
        <v>15.116015418335726</v>
      </c>
      <c r="I38" s="29">
        <v>0</v>
      </c>
      <c r="J38" s="29">
        <v>0</v>
      </c>
      <c r="K38" s="29">
        <v>0</v>
      </c>
      <c r="L38" s="29">
        <v>0</v>
      </c>
      <c r="M38" s="29">
        <f t="shared" si="2"/>
        <v>15.116015418335726</v>
      </c>
    </row>
    <row r="39" spans="1:13" outlineLevel="2">
      <c r="A39" s="172">
        <v>46174</v>
      </c>
      <c r="B39" s="1" t="s">
        <v>1697</v>
      </c>
      <c r="C39" s="379">
        <v>2172239860</v>
      </c>
      <c r="D39" s="341" t="s">
        <v>897</v>
      </c>
      <c r="E39" s="367">
        <v>1.8</v>
      </c>
      <c r="F39" s="680"/>
      <c r="G39" s="29">
        <v>0</v>
      </c>
      <c r="H39" s="29">
        <v>15.116015418335726</v>
      </c>
      <c r="I39" s="29">
        <v>0</v>
      </c>
      <c r="J39" s="29">
        <v>0</v>
      </c>
      <c r="K39" s="29">
        <v>0</v>
      </c>
      <c r="L39" s="29">
        <v>0</v>
      </c>
      <c r="M39" s="29">
        <f t="shared" si="2"/>
        <v>15.116015418335726</v>
      </c>
    </row>
    <row r="40" spans="1:13" outlineLevel="2">
      <c r="A40" s="172">
        <v>46174</v>
      </c>
      <c r="B40" s="1" t="s">
        <v>934</v>
      </c>
      <c r="C40" s="379">
        <v>3254330553</v>
      </c>
      <c r="D40" s="341" t="s">
        <v>897</v>
      </c>
      <c r="E40" s="367">
        <v>3.1</v>
      </c>
      <c r="F40" s="680"/>
      <c r="G40" s="29">
        <v>0</v>
      </c>
      <c r="H40" s="29">
        <v>15.116015418335726</v>
      </c>
      <c r="I40" s="29">
        <v>0</v>
      </c>
      <c r="J40" s="29">
        <v>0</v>
      </c>
      <c r="K40" s="29">
        <v>0</v>
      </c>
      <c r="L40" s="29">
        <v>0</v>
      </c>
      <c r="M40" s="29">
        <f t="shared" si="2"/>
        <v>15.116015418335726</v>
      </c>
    </row>
    <row r="41" spans="1:13" outlineLevel="2">
      <c r="A41" s="172">
        <v>46174</v>
      </c>
      <c r="B41" s="1" t="s">
        <v>2435</v>
      </c>
      <c r="C41" s="379">
        <v>4729990683</v>
      </c>
      <c r="D41" s="341" t="s">
        <v>897</v>
      </c>
      <c r="E41" s="367">
        <v>8.9</v>
      </c>
      <c r="F41" s="680"/>
      <c r="G41" s="29">
        <v>0</v>
      </c>
      <c r="H41" s="29">
        <v>15.116015418335726</v>
      </c>
      <c r="I41" s="29">
        <v>0</v>
      </c>
      <c r="J41" s="29">
        <v>0</v>
      </c>
      <c r="K41" s="29">
        <v>0</v>
      </c>
      <c r="L41" s="29">
        <v>0</v>
      </c>
      <c r="M41" s="29">
        <f t="shared" si="2"/>
        <v>15.116015418335726</v>
      </c>
    </row>
    <row r="42" spans="1:13" outlineLevel="2">
      <c r="A42" s="172">
        <v>46174</v>
      </c>
      <c r="B42" s="1" t="s">
        <v>2402</v>
      </c>
      <c r="C42" s="379">
        <v>5415364765</v>
      </c>
      <c r="D42" s="341" t="s">
        <v>897</v>
      </c>
      <c r="E42" s="367">
        <v>0.1</v>
      </c>
      <c r="F42" s="680"/>
      <c r="G42" s="29">
        <v>0</v>
      </c>
      <c r="H42" s="29">
        <v>15.116015418335726</v>
      </c>
      <c r="I42" s="29">
        <v>0</v>
      </c>
      <c r="J42" s="29">
        <v>0</v>
      </c>
      <c r="K42" s="29">
        <v>0</v>
      </c>
      <c r="L42" s="29">
        <v>0</v>
      </c>
      <c r="M42" s="29">
        <f t="shared" si="2"/>
        <v>15.116015418335726</v>
      </c>
    </row>
    <row r="43" spans="1:13" outlineLevel="2">
      <c r="A43" s="172">
        <v>46174</v>
      </c>
      <c r="B43" s="1" t="s">
        <v>2402</v>
      </c>
      <c r="C43" s="379">
        <v>7590414123</v>
      </c>
      <c r="D43" s="341" t="s">
        <v>897</v>
      </c>
      <c r="E43" s="367">
        <v>0.1</v>
      </c>
      <c r="F43" s="680"/>
      <c r="G43" s="29">
        <v>0</v>
      </c>
      <c r="H43" s="29">
        <v>15.116015418335726</v>
      </c>
      <c r="I43" s="29">
        <v>0</v>
      </c>
      <c r="J43" s="29">
        <v>0</v>
      </c>
      <c r="K43" s="29">
        <v>0</v>
      </c>
      <c r="L43" s="29">
        <v>0</v>
      </c>
      <c r="M43" s="29">
        <f t="shared" si="2"/>
        <v>15.116015418335726</v>
      </c>
    </row>
    <row r="44" spans="1:13" outlineLevel="2">
      <c r="A44" s="172">
        <v>46174</v>
      </c>
      <c r="B44" s="1" t="s">
        <v>2596</v>
      </c>
      <c r="C44" s="379">
        <v>7752690514</v>
      </c>
      <c r="D44" s="341" t="s">
        <v>897</v>
      </c>
      <c r="E44" s="367">
        <v>2</v>
      </c>
      <c r="F44" s="680"/>
      <c r="G44" s="29">
        <v>0</v>
      </c>
      <c r="H44" s="29">
        <v>15.116015418335726</v>
      </c>
      <c r="I44" s="29">
        <v>0</v>
      </c>
      <c r="J44" s="29">
        <v>0</v>
      </c>
      <c r="K44" s="29">
        <v>0</v>
      </c>
      <c r="L44" s="29">
        <v>0</v>
      </c>
      <c r="M44" s="29">
        <f t="shared" si="2"/>
        <v>15.116015418335726</v>
      </c>
    </row>
    <row r="45" spans="1:13" outlineLevel="2">
      <c r="A45" s="172">
        <v>46174</v>
      </c>
      <c r="B45" s="1" t="s">
        <v>234</v>
      </c>
      <c r="C45" s="379">
        <v>7753184961</v>
      </c>
      <c r="D45" s="341" t="s">
        <v>897</v>
      </c>
      <c r="E45" s="367">
        <v>110.8</v>
      </c>
      <c r="F45" s="680"/>
      <c r="G45" s="29">
        <v>0</v>
      </c>
      <c r="H45" s="29">
        <v>15.116015418335726</v>
      </c>
      <c r="I45" s="29">
        <v>0</v>
      </c>
      <c r="J45" s="29">
        <v>0</v>
      </c>
      <c r="K45" s="29">
        <v>0</v>
      </c>
      <c r="L45" s="29">
        <v>0</v>
      </c>
      <c r="M45" s="29">
        <f t="shared" si="2"/>
        <v>15.116015418335726</v>
      </c>
    </row>
    <row r="46" spans="1:13" outlineLevel="2">
      <c r="A46" s="172">
        <v>46174</v>
      </c>
      <c r="B46" s="1" t="s">
        <v>2596</v>
      </c>
      <c r="C46" s="379">
        <v>7753877364</v>
      </c>
      <c r="D46" s="341" t="s">
        <v>897</v>
      </c>
      <c r="E46" s="367">
        <v>3.1</v>
      </c>
      <c r="F46" s="680"/>
      <c r="G46" s="29">
        <v>0</v>
      </c>
      <c r="H46" s="29">
        <v>15.116015418335726</v>
      </c>
      <c r="I46" s="29">
        <v>0</v>
      </c>
      <c r="J46" s="29">
        <v>0</v>
      </c>
      <c r="K46" s="29">
        <v>0</v>
      </c>
      <c r="L46" s="29">
        <v>0</v>
      </c>
      <c r="M46" s="29">
        <f t="shared" si="2"/>
        <v>15.116015418335726</v>
      </c>
    </row>
    <row r="47" spans="1:13" outlineLevel="2">
      <c r="A47" s="172">
        <v>46174</v>
      </c>
      <c r="B47" s="1" t="s">
        <v>1697</v>
      </c>
      <c r="C47" s="379">
        <v>8010373066</v>
      </c>
      <c r="D47" s="341" t="s">
        <v>897</v>
      </c>
      <c r="E47" s="367">
        <v>0.2</v>
      </c>
      <c r="F47" s="680"/>
      <c r="G47" s="29">
        <v>0</v>
      </c>
      <c r="H47" s="29">
        <v>15.116015418335726</v>
      </c>
      <c r="I47" s="29">
        <v>0</v>
      </c>
      <c r="J47" s="29">
        <v>0</v>
      </c>
      <c r="K47" s="29">
        <v>0</v>
      </c>
      <c r="L47" s="29">
        <v>0</v>
      </c>
      <c r="M47" s="29">
        <f t="shared" si="2"/>
        <v>15.116015418335726</v>
      </c>
    </row>
    <row r="48" spans="1:13" outlineLevel="2">
      <c r="A48" s="172">
        <v>46174</v>
      </c>
      <c r="B48" s="1" t="s">
        <v>1704</v>
      </c>
      <c r="C48" s="379">
        <v>381655794497</v>
      </c>
      <c r="D48" s="341" t="s">
        <v>45</v>
      </c>
      <c r="E48" s="367">
        <v>1.6</v>
      </c>
      <c r="F48" s="680"/>
      <c r="G48" s="29">
        <v>0</v>
      </c>
      <c r="H48" s="29">
        <v>15.116015418335726</v>
      </c>
      <c r="I48" s="29">
        <v>0</v>
      </c>
      <c r="J48" s="29">
        <v>0</v>
      </c>
      <c r="K48" s="29">
        <v>0</v>
      </c>
      <c r="L48" s="29">
        <v>0</v>
      </c>
      <c r="M48" s="29">
        <f t="shared" si="2"/>
        <v>15.116015418335726</v>
      </c>
    </row>
    <row r="49" spans="1:13" outlineLevel="2">
      <c r="A49" s="172">
        <v>46174</v>
      </c>
      <c r="B49" s="1" t="s">
        <v>1617</v>
      </c>
      <c r="C49" s="379">
        <v>381823618757</v>
      </c>
      <c r="D49" s="341" t="s">
        <v>655</v>
      </c>
      <c r="E49" s="367">
        <v>3.8</v>
      </c>
      <c r="F49" s="680"/>
      <c r="G49" s="29">
        <v>0</v>
      </c>
      <c r="H49" s="29">
        <v>15.116015418335726</v>
      </c>
      <c r="I49" s="29">
        <v>28.468331947698587</v>
      </c>
      <c r="J49" s="29">
        <v>0</v>
      </c>
      <c r="K49" s="29">
        <v>0</v>
      </c>
      <c r="L49" s="29">
        <v>0</v>
      </c>
      <c r="M49" s="29">
        <f t="shared" si="2"/>
        <v>43.584347366034315</v>
      </c>
    </row>
    <row r="50" spans="1:13" outlineLevel="2">
      <c r="A50" s="172">
        <v>46174</v>
      </c>
      <c r="B50" s="1" t="s">
        <v>804</v>
      </c>
      <c r="C50" s="379">
        <v>381894026946</v>
      </c>
      <c r="D50" s="341" t="s">
        <v>655</v>
      </c>
      <c r="E50" s="367">
        <v>3.8</v>
      </c>
      <c r="F50" s="680"/>
      <c r="G50" s="29">
        <v>0</v>
      </c>
      <c r="H50" s="29">
        <v>15.116015418335726</v>
      </c>
      <c r="I50" s="29">
        <v>27.180787544403294</v>
      </c>
      <c r="J50" s="29">
        <v>0</v>
      </c>
      <c r="K50" s="29">
        <v>0</v>
      </c>
      <c r="L50" s="29">
        <v>0</v>
      </c>
      <c r="M50" s="29">
        <f t="shared" si="2"/>
        <v>42.296802962739022</v>
      </c>
    </row>
    <row r="51" spans="1:13" outlineLevel="2">
      <c r="A51" s="172">
        <v>46174</v>
      </c>
      <c r="B51" s="1" t="s">
        <v>2171</v>
      </c>
      <c r="C51" s="379">
        <v>464002431884</v>
      </c>
      <c r="D51" s="341" t="s">
        <v>655</v>
      </c>
      <c r="E51" s="367">
        <v>5.7</v>
      </c>
      <c r="F51" s="680"/>
      <c r="G51" s="29">
        <v>0</v>
      </c>
      <c r="H51" s="29">
        <v>15.116015418335726</v>
      </c>
      <c r="I51" s="29">
        <v>33.871476078905602</v>
      </c>
      <c r="J51" s="29">
        <v>0</v>
      </c>
      <c r="K51" s="29">
        <v>0</v>
      </c>
      <c r="L51" s="29">
        <v>0</v>
      </c>
      <c r="M51" s="29">
        <f t="shared" si="2"/>
        <v>48.987491497241329</v>
      </c>
    </row>
    <row r="52" spans="1:13" outlineLevel="2">
      <c r="A52" s="172">
        <v>46174</v>
      </c>
      <c r="B52" s="1" t="s">
        <v>110</v>
      </c>
      <c r="C52" s="379">
        <v>483570646782</v>
      </c>
      <c r="D52" s="341" t="s">
        <v>45</v>
      </c>
      <c r="E52" s="367">
        <v>13.3</v>
      </c>
      <c r="F52" s="680"/>
      <c r="G52" s="29">
        <v>0</v>
      </c>
      <c r="H52" s="29">
        <v>15.116015418335726</v>
      </c>
      <c r="I52" s="29">
        <v>0</v>
      </c>
      <c r="J52" s="29">
        <v>0</v>
      </c>
      <c r="K52" s="29">
        <v>0</v>
      </c>
      <c r="L52" s="29">
        <v>0</v>
      </c>
      <c r="M52" s="29">
        <f t="shared" si="2"/>
        <v>15.116015418335726</v>
      </c>
    </row>
    <row r="53" spans="1:13" outlineLevel="2">
      <c r="A53" s="172">
        <v>46174</v>
      </c>
      <c r="B53" s="1" t="s">
        <v>2353</v>
      </c>
      <c r="C53" s="379">
        <v>488289385820</v>
      </c>
      <c r="D53" s="341" t="s">
        <v>45</v>
      </c>
      <c r="E53" s="367">
        <v>4.3</v>
      </c>
      <c r="F53" s="680"/>
      <c r="G53" s="29">
        <v>0</v>
      </c>
      <c r="H53" s="29">
        <v>15.116015418335726</v>
      </c>
      <c r="I53" s="29">
        <v>0</v>
      </c>
      <c r="J53" s="29">
        <v>0</v>
      </c>
      <c r="K53" s="29">
        <v>0</v>
      </c>
      <c r="L53" s="29">
        <v>0</v>
      </c>
      <c r="M53" s="29">
        <f t="shared" si="2"/>
        <v>15.116015418335726</v>
      </c>
    </row>
    <row r="54" spans="1:13" outlineLevel="2">
      <c r="A54" s="172">
        <v>46174</v>
      </c>
      <c r="B54" s="1" t="s">
        <v>1711</v>
      </c>
      <c r="C54" s="379">
        <v>489101273201</v>
      </c>
      <c r="D54" s="341" t="s">
        <v>45</v>
      </c>
      <c r="E54" s="367">
        <v>1.9000000000000001</v>
      </c>
      <c r="F54" s="680"/>
      <c r="G54" s="29">
        <v>0</v>
      </c>
      <c r="H54" s="29">
        <v>15.116015418335726</v>
      </c>
      <c r="I54" s="29">
        <v>0</v>
      </c>
      <c r="J54" s="29">
        <v>0</v>
      </c>
      <c r="K54" s="29">
        <v>0</v>
      </c>
      <c r="L54" s="29">
        <v>0</v>
      </c>
      <c r="M54" s="29">
        <f t="shared" si="2"/>
        <v>15.116015418335726</v>
      </c>
    </row>
    <row r="55" spans="1:13" outlineLevel="2">
      <c r="A55" s="172">
        <v>46174</v>
      </c>
      <c r="B55" s="1" t="s">
        <v>1711</v>
      </c>
      <c r="C55" s="379">
        <v>489101280236</v>
      </c>
      <c r="D55" s="341" t="s">
        <v>45</v>
      </c>
      <c r="E55" s="367">
        <v>0.30000000000000004</v>
      </c>
      <c r="F55" s="680"/>
      <c r="G55" s="29">
        <v>0</v>
      </c>
      <c r="H55" s="29">
        <v>15.116015418335726</v>
      </c>
      <c r="I55" s="29">
        <v>0</v>
      </c>
      <c r="J55" s="29">
        <v>0</v>
      </c>
      <c r="K55" s="29">
        <v>0</v>
      </c>
      <c r="L55" s="29">
        <v>0</v>
      </c>
      <c r="M55" s="29">
        <f t="shared" si="2"/>
        <v>15.116015418335726</v>
      </c>
    </row>
    <row r="56" spans="1:13" outlineLevel="2">
      <c r="A56" s="172">
        <v>46174</v>
      </c>
      <c r="B56" s="1" t="s">
        <v>968</v>
      </c>
      <c r="C56" s="379">
        <v>492830230119</v>
      </c>
      <c r="D56" s="341" t="s">
        <v>45</v>
      </c>
      <c r="E56" s="367">
        <v>5.9</v>
      </c>
      <c r="F56" s="680"/>
      <c r="G56" s="29">
        <v>0</v>
      </c>
      <c r="H56" s="29">
        <v>15.116015418335726</v>
      </c>
      <c r="I56" s="29">
        <v>0</v>
      </c>
      <c r="J56" s="29">
        <v>0</v>
      </c>
      <c r="K56" s="29">
        <v>0</v>
      </c>
      <c r="L56" s="29">
        <v>0</v>
      </c>
      <c r="M56" s="29">
        <f t="shared" si="2"/>
        <v>15.116015418335726</v>
      </c>
    </row>
    <row r="57" spans="1:13" outlineLevel="2">
      <c r="A57" s="172">
        <v>46174</v>
      </c>
      <c r="B57" s="1" t="s">
        <v>810</v>
      </c>
      <c r="C57" s="379">
        <v>510007349877</v>
      </c>
      <c r="D57" s="341" t="s">
        <v>655</v>
      </c>
      <c r="E57" s="367">
        <v>3.8</v>
      </c>
      <c r="F57" s="680"/>
      <c r="G57" s="29">
        <v>0</v>
      </c>
      <c r="H57" s="29">
        <v>0</v>
      </c>
      <c r="I57" s="29">
        <v>27.161061144282368</v>
      </c>
      <c r="J57" s="29">
        <v>0</v>
      </c>
      <c r="K57" s="29">
        <v>0</v>
      </c>
      <c r="L57" s="29">
        <v>0</v>
      </c>
      <c r="M57" s="29">
        <f t="shared" si="2"/>
        <v>27.161061144282368</v>
      </c>
    </row>
    <row r="58" spans="1:13" outlineLevel="2">
      <c r="A58" s="172">
        <v>46174</v>
      </c>
      <c r="B58" s="1" t="s">
        <v>2036</v>
      </c>
      <c r="C58" s="379">
        <v>518904176610</v>
      </c>
      <c r="D58" s="341" t="s">
        <v>655</v>
      </c>
      <c r="E58" s="367">
        <v>0.5</v>
      </c>
      <c r="F58" s="680"/>
      <c r="G58" s="29">
        <v>0</v>
      </c>
      <c r="H58" s="29">
        <v>0</v>
      </c>
      <c r="I58" s="29">
        <v>18.371060388481595</v>
      </c>
      <c r="J58" s="29">
        <v>0</v>
      </c>
      <c r="K58" s="29">
        <v>0</v>
      </c>
      <c r="L58" s="29">
        <v>0</v>
      </c>
      <c r="M58" s="29">
        <f t="shared" si="2"/>
        <v>18.371060388481595</v>
      </c>
    </row>
    <row r="59" spans="1:13" outlineLevel="2">
      <c r="A59" s="172">
        <v>46174</v>
      </c>
      <c r="B59" s="1" t="s">
        <v>950</v>
      </c>
      <c r="C59" s="379">
        <v>521201430008</v>
      </c>
      <c r="D59" s="341" t="s">
        <v>45</v>
      </c>
      <c r="E59" s="367">
        <v>0.5</v>
      </c>
      <c r="F59" s="680"/>
      <c r="G59" s="29">
        <v>0</v>
      </c>
      <c r="H59" s="29">
        <v>15.116015418335726</v>
      </c>
      <c r="I59" s="29">
        <v>0</v>
      </c>
      <c r="J59" s="29">
        <v>0</v>
      </c>
      <c r="K59" s="29">
        <v>0</v>
      </c>
      <c r="L59" s="29">
        <v>0</v>
      </c>
      <c r="M59" s="29">
        <f t="shared" si="2"/>
        <v>15.116015418335726</v>
      </c>
    </row>
    <row r="60" spans="1:13" outlineLevel="2">
      <c r="A60" s="172">
        <v>46174</v>
      </c>
      <c r="B60" s="1" t="s">
        <v>963</v>
      </c>
      <c r="C60" s="379">
        <v>525457696294</v>
      </c>
      <c r="D60" s="341" t="s">
        <v>45</v>
      </c>
      <c r="E60" s="367">
        <v>0.5</v>
      </c>
      <c r="F60" s="680"/>
      <c r="G60" s="29">
        <v>0</v>
      </c>
      <c r="H60" s="29">
        <v>15.116015418335726</v>
      </c>
      <c r="I60" s="29">
        <v>0</v>
      </c>
      <c r="J60" s="29">
        <v>0</v>
      </c>
      <c r="K60" s="29">
        <v>0</v>
      </c>
      <c r="L60" s="29">
        <v>0</v>
      </c>
      <c r="M60" s="29">
        <f t="shared" si="2"/>
        <v>15.116015418335726</v>
      </c>
    </row>
    <row r="61" spans="1:13" outlineLevel="2">
      <c r="A61" s="172">
        <v>46174</v>
      </c>
      <c r="B61" s="1" t="s">
        <v>963</v>
      </c>
      <c r="C61" s="379">
        <v>526208721604</v>
      </c>
      <c r="D61" s="341" t="s">
        <v>45</v>
      </c>
      <c r="E61" s="367">
        <v>45.9</v>
      </c>
      <c r="F61" s="680"/>
      <c r="G61" s="29">
        <v>0</v>
      </c>
      <c r="H61" s="29">
        <v>15.116015418335726</v>
      </c>
      <c r="I61" s="29">
        <v>0</v>
      </c>
      <c r="J61" s="29">
        <v>0</v>
      </c>
      <c r="K61" s="29">
        <v>0</v>
      </c>
      <c r="L61" s="29">
        <v>0</v>
      </c>
      <c r="M61" s="29">
        <f t="shared" si="2"/>
        <v>15.116015418335726</v>
      </c>
    </row>
    <row r="62" spans="1:13" outlineLevel="2">
      <c r="A62" s="172">
        <v>46174</v>
      </c>
      <c r="B62" s="1" t="s">
        <v>968</v>
      </c>
      <c r="C62" s="379">
        <v>527159048238</v>
      </c>
      <c r="D62" s="341" t="s">
        <v>45</v>
      </c>
      <c r="E62" s="367">
        <v>2.2000000000000002</v>
      </c>
      <c r="F62" s="680"/>
      <c r="G62" s="29">
        <v>0</v>
      </c>
      <c r="H62" s="29">
        <v>15.116015418335726</v>
      </c>
      <c r="I62" s="29">
        <v>0</v>
      </c>
      <c r="J62" s="29">
        <v>0</v>
      </c>
      <c r="K62" s="29">
        <v>0</v>
      </c>
      <c r="L62" s="29">
        <v>0</v>
      </c>
      <c r="M62" s="29">
        <f t="shared" si="2"/>
        <v>15.116015418335726</v>
      </c>
    </row>
    <row r="63" spans="1:13" outlineLevel="2">
      <c r="A63" s="172">
        <v>46174</v>
      </c>
      <c r="B63" s="1" t="s">
        <v>963</v>
      </c>
      <c r="C63" s="379">
        <v>527178233604</v>
      </c>
      <c r="D63" s="341" t="s">
        <v>45</v>
      </c>
      <c r="E63" s="367">
        <v>37</v>
      </c>
      <c r="F63" s="680"/>
      <c r="G63" s="29">
        <v>0</v>
      </c>
      <c r="H63" s="29">
        <v>15.116015418335726</v>
      </c>
      <c r="I63" s="29">
        <v>0</v>
      </c>
      <c r="J63" s="29">
        <v>0</v>
      </c>
      <c r="K63" s="29">
        <v>0</v>
      </c>
      <c r="L63" s="29">
        <v>0</v>
      </c>
      <c r="M63" s="29">
        <f t="shared" si="2"/>
        <v>15.116015418335726</v>
      </c>
    </row>
    <row r="64" spans="1:13" outlineLevel="2">
      <c r="A64" s="172">
        <v>46174</v>
      </c>
      <c r="B64" s="1" t="s">
        <v>963</v>
      </c>
      <c r="C64" s="379">
        <v>527178341866</v>
      </c>
      <c r="D64" s="341" t="s">
        <v>45</v>
      </c>
      <c r="E64" s="367">
        <v>0.5</v>
      </c>
      <c r="F64" s="680"/>
      <c r="G64" s="29">
        <v>0</v>
      </c>
      <c r="H64" s="29">
        <v>15.116015418335726</v>
      </c>
      <c r="I64" s="29">
        <v>0</v>
      </c>
      <c r="J64" s="29">
        <v>0</v>
      </c>
      <c r="K64" s="29">
        <v>0</v>
      </c>
      <c r="L64" s="29">
        <v>0</v>
      </c>
      <c r="M64" s="29">
        <f t="shared" si="2"/>
        <v>15.116015418335726</v>
      </c>
    </row>
    <row r="65" spans="1:13" outlineLevel="2">
      <c r="A65" s="172">
        <v>46174</v>
      </c>
      <c r="B65" s="1" t="s">
        <v>957</v>
      </c>
      <c r="C65" s="379">
        <v>529366822170</v>
      </c>
      <c r="D65" s="341" t="s">
        <v>45</v>
      </c>
      <c r="E65" s="367">
        <v>8.9</v>
      </c>
      <c r="F65" s="680"/>
      <c r="G65" s="29">
        <v>0</v>
      </c>
      <c r="H65" s="29">
        <v>15.116015418335726</v>
      </c>
      <c r="I65" s="29">
        <v>0</v>
      </c>
      <c r="J65" s="29">
        <v>0</v>
      </c>
      <c r="K65" s="29">
        <v>0</v>
      </c>
      <c r="L65" s="29">
        <v>0</v>
      </c>
      <c r="M65" s="29">
        <f t="shared" si="2"/>
        <v>15.116015418335726</v>
      </c>
    </row>
    <row r="66" spans="1:13" outlineLevel="2">
      <c r="A66" s="172">
        <v>46174</v>
      </c>
      <c r="B66" s="1" t="s">
        <v>957</v>
      </c>
      <c r="C66" s="379">
        <v>530283215084</v>
      </c>
      <c r="D66" s="341" t="s">
        <v>45</v>
      </c>
      <c r="E66" s="367">
        <v>23.8</v>
      </c>
      <c r="F66" s="680"/>
      <c r="G66" s="29">
        <v>0</v>
      </c>
      <c r="H66" s="29">
        <v>15.116015418335726</v>
      </c>
      <c r="I66" s="29">
        <v>0</v>
      </c>
      <c r="J66" s="29">
        <v>0</v>
      </c>
      <c r="K66" s="29">
        <v>0</v>
      </c>
      <c r="L66" s="29">
        <v>0</v>
      </c>
      <c r="M66" s="29">
        <f t="shared" si="2"/>
        <v>15.116015418335726</v>
      </c>
    </row>
    <row r="67" spans="1:13" outlineLevel="2">
      <c r="A67" s="172">
        <v>46174</v>
      </c>
      <c r="B67" s="1" t="s">
        <v>2513</v>
      </c>
      <c r="C67" s="379">
        <v>818547865277</v>
      </c>
      <c r="D67" s="341" t="s">
        <v>45</v>
      </c>
      <c r="E67" s="367">
        <v>1.3</v>
      </c>
      <c r="F67" s="680"/>
      <c r="G67" s="29">
        <v>0</v>
      </c>
      <c r="H67" s="29">
        <v>15.116015418335726</v>
      </c>
      <c r="I67" s="29">
        <v>0</v>
      </c>
      <c r="J67" s="29">
        <v>0</v>
      </c>
      <c r="K67" s="29">
        <v>0</v>
      </c>
      <c r="L67" s="29">
        <v>0</v>
      </c>
      <c r="M67" s="29">
        <f t="shared" si="2"/>
        <v>15.116015418335726</v>
      </c>
    </row>
    <row r="68" spans="1:13" outlineLevel="2">
      <c r="A68" s="172">
        <v>46174</v>
      </c>
      <c r="B68" s="1" t="s">
        <v>844</v>
      </c>
      <c r="C68" s="379">
        <v>871907578288</v>
      </c>
      <c r="D68" s="341" t="s">
        <v>655</v>
      </c>
      <c r="E68" s="367">
        <v>3.7</v>
      </c>
      <c r="F68" s="680"/>
      <c r="G68" s="29">
        <v>0</v>
      </c>
      <c r="H68" s="29">
        <v>0</v>
      </c>
      <c r="I68" s="29">
        <v>27.815584611896305</v>
      </c>
      <c r="J68" s="29">
        <v>0</v>
      </c>
      <c r="K68" s="29">
        <v>0</v>
      </c>
      <c r="L68" s="29">
        <v>0</v>
      </c>
      <c r="M68" s="29">
        <f t="shared" si="2"/>
        <v>27.815584611896305</v>
      </c>
    </row>
    <row r="69" spans="1:13" outlineLevel="2">
      <c r="A69" s="172">
        <v>46174</v>
      </c>
      <c r="B69" s="1" t="s">
        <v>2174</v>
      </c>
      <c r="C69" s="379">
        <v>872881440674</v>
      </c>
      <c r="D69" s="341" t="s">
        <v>655</v>
      </c>
      <c r="E69" s="367">
        <v>39.200000000000003</v>
      </c>
      <c r="F69" s="680"/>
      <c r="G69" s="29">
        <v>0</v>
      </c>
      <c r="H69" s="29">
        <v>15.116015418335726</v>
      </c>
      <c r="I69" s="29">
        <v>145.09182979366636</v>
      </c>
      <c r="J69" s="29">
        <v>0</v>
      </c>
      <c r="K69" s="29">
        <v>0</v>
      </c>
      <c r="L69" s="29">
        <v>0</v>
      </c>
      <c r="M69" s="29">
        <f t="shared" si="2"/>
        <v>160.2078452120021</v>
      </c>
    </row>
    <row r="70" spans="1:13" outlineLevel="2">
      <c r="A70" s="172">
        <v>46174</v>
      </c>
      <c r="B70" s="1" t="s">
        <v>2589</v>
      </c>
      <c r="C70" s="379" t="s">
        <v>2587</v>
      </c>
      <c r="D70" s="341" t="s">
        <v>65</v>
      </c>
      <c r="E70" s="367">
        <v>2</v>
      </c>
      <c r="F70" s="680"/>
      <c r="G70" s="29">
        <v>0</v>
      </c>
      <c r="H70" s="29">
        <v>15.116015418335726</v>
      </c>
      <c r="I70" s="29">
        <v>0</v>
      </c>
      <c r="J70" s="29">
        <v>0</v>
      </c>
      <c r="K70" s="29">
        <v>0</v>
      </c>
      <c r="L70" s="29">
        <v>0</v>
      </c>
      <c r="M70" s="29">
        <f t="shared" si="2"/>
        <v>15.116015418335726</v>
      </c>
    </row>
    <row r="71" spans="1:13" outlineLevel="1">
      <c r="A71" s="734" t="s">
        <v>3046</v>
      </c>
      <c r="C71" s="735"/>
      <c r="D71" s="736"/>
      <c r="E71" s="736">
        <f t="shared" ref="E71:M71" si="4">SUBTOTAL(9,E38:E70)</f>
        <v>346.6</v>
      </c>
      <c r="F71" s="736">
        <f t="shared" si="4"/>
        <v>0</v>
      </c>
      <c r="G71" s="737">
        <f t="shared" si="4"/>
        <v>0</v>
      </c>
      <c r="H71" s="737">
        <f t="shared" si="4"/>
        <v>453.48046255007193</v>
      </c>
      <c r="I71" s="737">
        <f t="shared" si="4"/>
        <v>307.96013150933413</v>
      </c>
      <c r="J71" s="737">
        <f t="shared" si="4"/>
        <v>0</v>
      </c>
      <c r="K71" s="737">
        <f t="shared" si="4"/>
        <v>0</v>
      </c>
      <c r="L71" s="737">
        <f t="shared" si="4"/>
        <v>0</v>
      </c>
      <c r="M71" s="737">
        <f t="shared" si="4"/>
        <v>761.44059405940573</v>
      </c>
    </row>
    <row r="72" spans="1:13">
      <c r="A72" s="734" t="s">
        <v>893</v>
      </c>
      <c r="C72" s="735"/>
      <c r="D72" s="736"/>
      <c r="E72" s="736">
        <f t="shared" ref="E72:M72" si="5">SUBTOTAL(9,E9:E70)</f>
        <v>438.19999999999993</v>
      </c>
      <c r="F72" s="736">
        <f t="shared" si="5"/>
        <v>0</v>
      </c>
      <c r="G72" s="737">
        <f t="shared" si="5"/>
        <v>0</v>
      </c>
      <c r="H72" s="737">
        <f t="shared" si="5"/>
        <v>877.65861737509692</v>
      </c>
      <c r="I72" s="737">
        <f t="shared" si="5"/>
        <v>350.78572611621189</v>
      </c>
      <c r="J72" s="737">
        <f t="shared" si="5"/>
        <v>0</v>
      </c>
      <c r="K72" s="737">
        <f t="shared" si="5"/>
        <v>0</v>
      </c>
      <c r="L72" s="737">
        <f t="shared" si="5"/>
        <v>0</v>
      </c>
      <c r="M72" s="737">
        <f t="shared" si="5"/>
        <v>1228.4443434913092</v>
      </c>
    </row>
  </sheetData>
  <mergeCells count="2">
    <mergeCell ref="A1:I1"/>
    <mergeCell ref="A7:M7"/>
  </mergeCells>
  <conditionalFormatting sqref="A2:C6 A8:C77 C78:C79 A80:C1048576 A1 J1:XFD1 F2:XFD6 A7 N7:XFD7 F8:XFD1048576 A78:A79">
    <cfRule type="expression" dxfId="6" priority="11">
      <formula>ISNUMBER(SEARCH("Total",$A1))</formula>
    </cfRule>
  </conditionalFormatting>
  <conditionalFormatting sqref="B78">
    <cfRule type="expression" dxfId="5" priority="12">
      <formula>ISNUMBER(SEARCH("Total",$A79))</formula>
    </cfRule>
  </conditionalFormatting>
  <conditionalFormatting sqref="C8:C1048576 C2:C6">
    <cfRule type="duplicateValues" dxfId="4" priority="6"/>
  </conditionalFormatting>
  <conditionalFormatting sqref="D71:E72">
    <cfRule type="expression" dxfId="3" priority="1">
      <formula>ISNUMBER(SEARCH("Total",$A71))</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E76D6-B8A8-4645-B625-F47F92E3A79D}">
  <sheetPr codeName="Sheet12"/>
  <dimension ref="A1:L35"/>
  <sheetViews>
    <sheetView zoomScaleNormal="100" workbookViewId="0">
      <pane xSplit="1" ySplit="1" topLeftCell="B5" activePane="bottomRight" state="frozen"/>
      <selection activeCell="E225" sqref="E225"/>
      <selection pane="topRight" activeCell="E225" sqref="E225"/>
      <selection pane="bottomLeft" activeCell="E225" sqref="E225"/>
      <selection pane="bottomRight" activeCell="G42" sqref="G42"/>
    </sheetView>
  </sheetViews>
  <sheetFormatPr defaultRowHeight="15" outlineLevelRow="2"/>
  <cols>
    <col min="1" max="1" width="12.5703125" style="21" customWidth="1"/>
    <col min="2" max="2" width="10" customWidth="1"/>
    <col min="3" max="3" width="18.85546875" customWidth="1"/>
    <col min="4" max="6" width="6" bestFit="1" customWidth="1"/>
    <col min="7" max="8" width="12.7109375" customWidth="1"/>
    <col min="9" max="9" width="12.85546875" customWidth="1"/>
    <col min="10" max="10" width="12.7109375" customWidth="1"/>
    <col min="11" max="11" width="18.5703125" customWidth="1"/>
    <col min="12" max="12" width="11.85546875" style="5" customWidth="1"/>
  </cols>
  <sheetData>
    <row r="1" spans="1:12" ht="28.5" customHeight="1">
      <c r="A1" s="150" t="s">
        <v>44</v>
      </c>
      <c r="B1" s="151" t="s">
        <v>38</v>
      </c>
      <c r="C1" s="150" t="s">
        <v>39</v>
      </c>
      <c r="D1" s="150" t="s">
        <v>27</v>
      </c>
      <c r="E1" s="150" t="s">
        <v>905</v>
      </c>
      <c r="F1" s="150" t="s">
        <v>29</v>
      </c>
      <c r="G1" s="152" t="s">
        <v>37</v>
      </c>
      <c r="H1" s="152" t="s">
        <v>36</v>
      </c>
      <c r="I1" s="152" t="s">
        <v>3</v>
      </c>
      <c r="J1" s="152" t="s">
        <v>60</v>
      </c>
      <c r="K1" s="152" t="s">
        <v>904</v>
      </c>
      <c r="L1" s="149" t="s">
        <v>35</v>
      </c>
    </row>
    <row r="2" spans="1:12" hidden="1" outlineLevel="2">
      <c r="A2" s="137">
        <v>45962</v>
      </c>
      <c r="B2" s="1" t="s">
        <v>526</v>
      </c>
      <c r="C2" s="1" t="s">
        <v>845</v>
      </c>
      <c r="D2" s="1" t="str">
        <f>VLOOKUP(LEFT(C2,6),'[6]Export shipment'!B$8:J$1256,9,0)</f>
        <v>FedEx</v>
      </c>
      <c r="E2" s="1">
        <f>VLOOKUP(LEFT(C2,6),'[6]Export shipment'!B$8:E$1256,4,0)</f>
        <v>39</v>
      </c>
      <c r="F2" s="1"/>
      <c r="G2" s="19">
        <f>2230000/26409</f>
        <v>84.440910295732522</v>
      </c>
      <c r="H2" s="19"/>
      <c r="I2" s="19">
        <f>357.031989549017</f>
        <v>357.031989549017</v>
      </c>
      <c r="J2" s="1"/>
      <c r="K2" s="19">
        <f>330000/26409</f>
        <v>12.495740088606157</v>
      </c>
      <c r="L2" s="58">
        <f>SUM(G2:K2)</f>
        <v>453.96863993335569</v>
      </c>
    </row>
    <row r="3" spans="1:12" hidden="1" outlineLevel="2">
      <c r="A3" s="137">
        <v>45962</v>
      </c>
      <c r="B3" s="1" t="s">
        <v>526</v>
      </c>
      <c r="C3" s="1" t="s">
        <v>846</v>
      </c>
      <c r="D3" s="1" t="str">
        <f>VLOOKUP(LEFT(C3,6),'[6]Export shipment'!B$8:J$1256,9,0)</f>
        <v>FedEx</v>
      </c>
      <c r="E3" s="1">
        <f>VLOOKUP(LEFT(C3,6),'[6]Export shipment'!B$8:E$1256,4,0)</f>
        <v>12</v>
      </c>
      <c r="F3" s="1"/>
      <c r="G3" s="19">
        <f>1680000/26409</f>
        <v>63.614676814722252</v>
      </c>
      <c r="H3" s="19"/>
      <c r="I3" s="19">
        <v>245.65093297739406</v>
      </c>
      <c r="J3" s="1"/>
      <c r="K3" s="19">
        <f>220000/26409</f>
        <v>8.3304933924041045</v>
      </c>
      <c r="L3" s="58">
        <f>SUM(G3:K3)</f>
        <v>317.59610318452042</v>
      </c>
    </row>
    <row r="4" spans="1:12" hidden="1" outlineLevel="2">
      <c r="A4" s="137">
        <v>45962</v>
      </c>
      <c r="B4" s="1" t="s">
        <v>526</v>
      </c>
      <c r="C4" s="1" t="s">
        <v>656</v>
      </c>
      <c r="D4" s="1" t="str">
        <f>VLOOKUP(LEFT(C4,6),'[6]Export shipment'!B$8:J$1256,9,0)</f>
        <v>FedEx</v>
      </c>
      <c r="E4" s="1">
        <f>VLOOKUP(LEFT(C4,6),'[6]Export shipment'!B$8:E$1256,4,0)</f>
        <v>1202.5</v>
      </c>
      <c r="F4" s="1"/>
      <c r="G4" s="19">
        <f>1950000/26409</f>
        <v>73.838464159945474</v>
      </c>
      <c r="H4" s="19"/>
      <c r="I4" s="19"/>
      <c r="J4" s="1"/>
      <c r="K4" s="19">
        <f>220000/26409</f>
        <v>8.3304933924041045</v>
      </c>
      <c r="L4" s="58">
        <f>SUM(G4:K4)</f>
        <v>82.168957552349582</v>
      </c>
    </row>
    <row r="5" spans="1:12" outlineLevel="1" collapsed="1">
      <c r="A5" s="138" t="s">
        <v>892</v>
      </c>
      <c r="B5" s="1"/>
      <c r="C5" s="1"/>
      <c r="D5" s="1"/>
      <c r="E5" s="1">
        <f t="shared" ref="E5:L5" si="0">SUBTOTAL(9,E2:E4)</f>
        <v>1253.5</v>
      </c>
      <c r="F5" s="1">
        <f t="shared" si="0"/>
        <v>0</v>
      </c>
      <c r="G5" s="19">
        <f t="shared" si="0"/>
        <v>221.89405127040027</v>
      </c>
      <c r="H5" s="19">
        <f t="shared" si="0"/>
        <v>0</v>
      </c>
      <c r="I5" s="19">
        <f t="shared" si="0"/>
        <v>602.68292252641106</v>
      </c>
      <c r="J5" s="1">
        <f t="shared" si="0"/>
        <v>0</v>
      </c>
      <c r="K5" s="19">
        <f t="shared" si="0"/>
        <v>29.156726873414367</v>
      </c>
      <c r="L5" s="58">
        <f t="shared" si="0"/>
        <v>853.73370067022574</v>
      </c>
    </row>
    <row r="6" spans="1:12" hidden="1" outlineLevel="2">
      <c r="A6" s="137">
        <v>45992</v>
      </c>
      <c r="B6" s="1" t="s">
        <v>526</v>
      </c>
      <c r="C6" s="1" t="s">
        <v>995</v>
      </c>
      <c r="D6" s="1" t="str">
        <f>VLOOKUP(LEFT(C6,6),'[6]Export shipment'!B$8:J$1256,9,0)</f>
        <v>FedEx</v>
      </c>
      <c r="E6" s="1">
        <f>VLOOKUP(LEFT(C6,6),'[6]Export shipment'!B$8:E$1256,4,0)</f>
        <v>182</v>
      </c>
      <c r="F6" s="1"/>
      <c r="G6" s="19">
        <v>24.639878695981803</v>
      </c>
      <c r="H6" s="19">
        <v>0</v>
      </c>
      <c r="I6" s="19"/>
      <c r="J6" s="1"/>
      <c r="K6" s="19"/>
      <c r="L6" s="58">
        <f t="shared" ref="L6:L33" si="1">SUM(G6:K6)</f>
        <v>24.639878695981803</v>
      </c>
    </row>
    <row r="7" spans="1:12" hidden="1" outlineLevel="2">
      <c r="A7" s="137">
        <v>45992</v>
      </c>
      <c r="B7" s="1" t="s">
        <v>526</v>
      </c>
      <c r="C7" s="1" t="s">
        <v>1002</v>
      </c>
      <c r="D7" s="1" t="str">
        <f>VLOOKUP(LEFT(C7,6),'[6]Export shipment'!B$8:J$1256,9,0)</f>
        <v>FedEx</v>
      </c>
      <c r="E7" s="1">
        <f>VLOOKUP(LEFT(C7,6),'[6]Export shipment'!B$8:E$1256,4,0)</f>
        <v>182</v>
      </c>
      <c r="F7" s="1"/>
      <c r="G7" s="19">
        <v>24.639878695981803</v>
      </c>
      <c r="H7" s="19">
        <v>18.195602729340408</v>
      </c>
      <c r="I7" s="19"/>
      <c r="J7" s="1"/>
      <c r="K7" s="19"/>
      <c r="L7" s="58">
        <f t="shared" si="1"/>
        <v>42.835481425322214</v>
      </c>
    </row>
    <row r="8" spans="1:12" hidden="1" outlineLevel="2">
      <c r="A8" s="137">
        <v>45992</v>
      </c>
      <c r="B8" s="1" t="s">
        <v>526</v>
      </c>
      <c r="C8" s="1" t="s">
        <v>1020</v>
      </c>
      <c r="D8" s="1" t="str">
        <f>VLOOKUP(LEFT(C8,6),'[6]Export shipment'!B$8:J$1256,9,0)</f>
        <v>FedEx</v>
      </c>
      <c r="E8" s="1">
        <f>VLOOKUP(LEFT(C8,6),'[6]Export shipment'!B$8:E$1256,4,0)</f>
        <v>125</v>
      </c>
      <c r="F8" s="1"/>
      <c r="G8" s="19">
        <v>24.639878695981803</v>
      </c>
      <c r="H8" s="19">
        <v>18.195602729340408</v>
      </c>
      <c r="I8" s="19">
        <v>1648.2552121910537</v>
      </c>
      <c r="J8" s="1"/>
      <c r="K8" s="19"/>
      <c r="L8" s="58">
        <f t="shared" si="1"/>
        <v>1691.090693616376</v>
      </c>
    </row>
    <row r="9" spans="1:12" hidden="1" outlineLevel="2">
      <c r="A9" s="137">
        <v>45992</v>
      </c>
      <c r="B9" s="1" t="s">
        <v>526</v>
      </c>
      <c r="C9" s="1" t="s">
        <v>1021</v>
      </c>
      <c r="D9" s="1" t="str">
        <f>VLOOKUP(LEFT(C9,6),'[6]Export shipment'!B$8:J$1256,9,0)</f>
        <v>FedEx</v>
      </c>
      <c r="E9" s="1">
        <f>VLOOKUP(LEFT(C9,6),'[6]Export shipment'!B$8:E$1256,4,0)</f>
        <v>8.6</v>
      </c>
      <c r="F9" s="1"/>
      <c r="G9" s="19">
        <v>24.639878695981803</v>
      </c>
      <c r="H9" s="19">
        <v>18.195602729340408</v>
      </c>
      <c r="I9" s="19"/>
      <c r="J9" s="1"/>
      <c r="K9" s="19"/>
      <c r="L9" s="58">
        <f t="shared" si="1"/>
        <v>42.835481425322214</v>
      </c>
    </row>
    <row r="10" spans="1:12" hidden="1" outlineLevel="2">
      <c r="A10" s="137">
        <v>45992</v>
      </c>
      <c r="B10" s="1" t="s">
        <v>526</v>
      </c>
      <c r="C10" s="1" t="s">
        <v>1040</v>
      </c>
      <c r="D10" s="1" t="str">
        <f>VLOOKUP(LEFT(C10,6),'[6]Export shipment'!B$8:J$1256,9,0)</f>
        <v>FedEx</v>
      </c>
      <c r="E10" s="1">
        <f>VLOOKUP(LEFT(C10,6),'[6]Export shipment'!B$8:E$1256,4,0)</f>
        <v>254</v>
      </c>
      <c r="F10" s="1"/>
      <c r="G10" s="19">
        <v>24.639878695981803</v>
      </c>
      <c r="H10" s="19">
        <v>18.195602729340408</v>
      </c>
      <c r="I10" s="19"/>
      <c r="J10" s="1"/>
      <c r="K10" s="19"/>
      <c r="L10" s="58">
        <f t="shared" si="1"/>
        <v>42.835481425322214</v>
      </c>
    </row>
    <row r="11" spans="1:12" hidden="1" outlineLevel="2">
      <c r="A11" s="137">
        <v>45992</v>
      </c>
      <c r="B11" s="1" t="s">
        <v>526</v>
      </c>
      <c r="C11" s="1" t="s">
        <v>1065</v>
      </c>
      <c r="D11" s="1" t="str">
        <f>VLOOKUP(LEFT(C11,6),'[6]Export shipment'!B$8:J$1256,9,0)</f>
        <v>FedEx</v>
      </c>
      <c r="E11" s="1">
        <f>VLOOKUP(LEFT(C11,6),'[6]Export shipment'!B$8:E$1256,4,0)</f>
        <v>70.2</v>
      </c>
      <c r="F11" s="1"/>
      <c r="G11" s="19">
        <v>24.639878695981803</v>
      </c>
      <c r="H11" s="19">
        <v>0</v>
      </c>
      <c r="I11" s="19"/>
      <c r="J11" s="1"/>
      <c r="K11" s="19"/>
      <c r="L11" s="58">
        <f t="shared" si="1"/>
        <v>24.639878695981803</v>
      </c>
    </row>
    <row r="12" spans="1:12" hidden="1" outlineLevel="2">
      <c r="A12" s="137">
        <v>45992</v>
      </c>
      <c r="B12" s="1" t="s">
        <v>526</v>
      </c>
      <c r="C12" s="1" t="s">
        <v>1066</v>
      </c>
      <c r="D12" s="1" t="str">
        <f>VLOOKUP(LEFT(C12,6),'[6]Export shipment'!B$8:J$1256,9,0)</f>
        <v>FedEx</v>
      </c>
      <c r="E12" s="1">
        <f>VLOOKUP(LEFT(C12,6),'[6]Export shipment'!B$8:E$1256,4,0)</f>
        <v>70.2</v>
      </c>
      <c r="F12" s="1"/>
      <c r="G12" s="19">
        <v>24.639878695981803</v>
      </c>
      <c r="H12" s="19">
        <v>0</v>
      </c>
      <c r="I12" s="19"/>
      <c r="J12" s="1"/>
      <c r="K12" s="19"/>
      <c r="L12" s="58">
        <f t="shared" si="1"/>
        <v>24.639878695981803</v>
      </c>
    </row>
    <row r="13" spans="1:12" hidden="1" outlineLevel="2">
      <c r="A13" s="137">
        <v>45992</v>
      </c>
      <c r="B13" s="1" t="s">
        <v>526</v>
      </c>
      <c r="C13" s="1" t="s">
        <v>1066</v>
      </c>
      <c r="D13" s="1" t="str">
        <f>VLOOKUP(LEFT(C13,6),'[6]Export shipment'!B$8:J$1256,9,0)</f>
        <v>FedEx</v>
      </c>
      <c r="E13" s="1">
        <f>VLOOKUP(LEFT(C13,6),'[6]Export shipment'!B$8:E$1256,4,0)</f>
        <v>70.2</v>
      </c>
      <c r="F13" s="1"/>
      <c r="G13" s="19">
        <v>24.639878695981803</v>
      </c>
      <c r="H13" s="19">
        <v>0</v>
      </c>
      <c r="I13" s="19"/>
      <c r="J13" s="1"/>
      <c r="K13" s="19"/>
      <c r="L13" s="58">
        <f t="shared" si="1"/>
        <v>24.639878695981803</v>
      </c>
    </row>
    <row r="14" spans="1:12" hidden="1" outlineLevel="2">
      <c r="A14" s="137">
        <v>45992</v>
      </c>
      <c r="B14" s="1" t="s">
        <v>526</v>
      </c>
      <c r="C14" s="1" t="s">
        <v>1066</v>
      </c>
      <c r="D14" s="1" t="str">
        <f>VLOOKUP(LEFT(C14,6),'[6]Export shipment'!B$8:J$1256,9,0)</f>
        <v>FedEx</v>
      </c>
      <c r="E14" s="1">
        <f>VLOOKUP(LEFT(C14,6),'[6]Export shipment'!B$8:E$1256,4,0)</f>
        <v>70.2</v>
      </c>
      <c r="F14" s="1"/>
      <c r="G14" s="19">
        <v>39.802880970432149</v>
      </c>
      <c r="H14" s="19">
        <v>18.195602729340408</v>
      </c>
      <c r="I14" s="19"/>
      <c r="J14" s="1"/>
      <c r="K14" s="19"/>
      <c r="L14" s="58">
        <f t="shared" si="1"/>
        <v>57.998483699772557</v>
      </c>
    </row>
    <row r="15" spans="1:12" hidden="1" outlineLevel="2">
      <c r="A15" s="137">
        <v>45992</v>
      </c>
      <c r="B15" s="1" t="s">
        <v>526</v>
      </c>
      <c r="C15" s="1" t="s">
        <v>1076</v>
      </c>
      <c r="D15" s="1" t="str">
        <f>VLOOKUP(LEFT(C15,6),'[6]Export shipment'!B$8:J$1256,9,0)</f>
        <v>FedEx</v>
      </c>
      <c r="E15" s="1">
        <f>VLOOKUP(LEFT(C15,6),'[6]Export shipment'!B$8:E$1256,4,0)</f>
        <v>1078</v>
      </c>
      <c r="F15" s="1"/>
      <c r="G15" s="19">
        <v>24.639878695981803</v>
      </c>
      <c r="H15" s="19">
        <v>28.430629264594391</v>
      </c>
      <c r="I15" s="19"/>
      <c r="J15" s="1"/>
      <c r="K15" s="19"/>
      <c r="L15" s="58">
        <f t="shared" si="1"/>
        <v>53.070507960576194</v>
      </c>
    </row>
    <row r="16" spans="1:12" hidden="1" outlineLevel="2">
      <c r="A16" s="137">
        <v>45992</v>
      </c>
      <c r="B16" s="1" t="s">
        <v>526</v>
      </c>
      <c r="C16" s="1" t="s">
        <v>656</v>
      </c>
      <c r="D16" s="1" t="str">
        <f>VLOOKUP(LEFT(C16,6),'[6]Export shipment'!B$8:J$1256,9,0)</f>
        <v>FedEx</v>
      </c>
      <c r="E16" s="1">
        <f>VLOOKUP(LEFT(C16,6),'[6]Export shipment'!B$8:E$1256,4,0)</f>
        <v>1202.5</v>
      </c>
      <c r="F16" s="1"/>
      <c r="G16" s="19"/>
      <c r="H16" s="19"/>
      <c r="I16" s="19">
        <v>4208.588839753601</v>
      </c>
      <c r="J16" s="1"/>
      <c r="K16" s="19"/>
      <c r="L16" s="58">
        <f t="shared" si="1"/>
        <v>4208.588839753601</v>
      </c>
    </row>
    <row r="17" spans="1:12" outlineLevel="1" collapsed="1">
      <c r="A17" s="138" t="s">
        <v>1265</v>
      </c>
      <c r="B17" s="1"/>
      <c r="C17" s="1"/>
      <c r="D17" s="1"/>
      <c r="E17" s="1">
        <f t="shared" ref="E17:L17" si="2">SUBTOTAL(9,E6:E16)</f>
        <v>3312.9</v>
      </c>
      <c r="F17" s="1">
        <f t="shared" si="2"/>
        <v>0</v>
      </c>
      <c r="G17" s="19">
        <f t="shared" si="2"/>
        <v>261.56178923426836</v>
      </c>
      <c r="H17" s="19">
        <f t="shared" si="2"/>
        <v>119.40864291129643</v>
      </c>
      <c r="I17" s="19">
        <f t="shared" si="2"/>
        <v>5856.8440519446549</v>
      </c>
      <c r="J17" s="1">
        <f t="shared" si="2"/>
        <v>0</v>
      </c>
      <c r="K17" s="19">
        <f t="shared" si="2"/>
        <v>0</v>
      </c>
      <c r="L17" s="58">
        <f t="shared" si="2"/>
        <v>6237.8144840902205</v>
      </c>
    </row>
    <row r="18" spans="1:12" hidden="1" outlineLevel="2">
      <c r="A18" s="138">
        <v>46054</v>
      </c>
      <c r="B18" s="1" t="s">
        <v>526</v>
      </c>
      <c r="C18" s="1" t="s">
        <v>1522</v>
      </c>
      <c r="D18" s="1" t="str">
        <f>VLOOKUP(LEFT(C18,6),'[2]Export shipment'!B$8:J$1256,9,0)</f>
        <v>FedEx</v>
      </c>
      <c r="E18" s="1">
        <f>VLOOKUP(LEFT(C18,6),'[2]Export shipment'!B$8:E$1256,4,0)</f>
        <v>11.6</v>
      </c>
      <c r="F18" s="1"/>
      <c r="G18" s="19">
        <v>24.708252556353823</v>
      </c>
      <c r="H18" s="19">
        <v>0</v>
      </c>
      <c r="I18" s="19"/>
      <c r="J18" s="1"/>
      <c r="K18" s="19"/>
      <c r="L18" s="58">
        <f t="shared" si="1"/>
        <v>24.708252556353823</v>
      </c>
    </row>
    <row r="19" spans="1:12" hidden="1" outlineLevel="2">
      <c r="A19" s="138">
        <v>46054</v>
      </c>
      <c r="B19" s="1" t="s">
        <v>526</v>
      </c>
      <c r="C19" s="1" t="s">
        <v>1523</v>
      </c>
      <c r="D19" s="1" t="str">
        <f>VLOOKUP(LEFT(C19,6),'[2]Export shipment'!B$8:J$1256,9,0)</f>
        <v>FedEx</v>
      </c>
      <c r="E19" s="1">
        <f>VLOOKUP(LEFT(C19,6),'[2]Export shipment'!B$8:E$1256,4,0)</f>
        <v>11.6</v>
      </c>
      <c r="F19" s="1"/>
      <c r="G19" s="19">
        <v>24.708252556353823</v>
      </c>
      <c r="H19" s="19">
        <v>18.246094195461286</v>
      </c>
      <c r="I19" s="19"/>
      <c r="J19" s="1"/>
      <c r="K19" s="19"/>
      <c r="L19" s="58">
        <f t="shared" si="1"/>
        <v>42.954346751815109</v>
      </c>
    </row>
    <row r="20" spans="1:12" hidden="1" outlineLevel="2">
      <c r="A20" s="138">
        <v>46054</v>
      </c>
      <c r="B20" s="1" t="s">
        <v>526</v>
      </c>
      <c r="C20" s="1" t="s">
        <v>1535</v>
      </c>
      <c r="D20" s="1" t="str">
        <f>VLOOKUP(LEFT(C20,6),'[2]Export shipment'!B$8:J$1256,9,0)</f>
        <v>FedEx</v>
      </c>
      <c r="E20" s="1">
        <f>VLOOKUP(LEFT(C20,6),'[2]Export shipment'!B$8:E$1256,4,0)</f>
        <v>64.5</v>
      </c>
      <c r="F20" s="1"/>
      <c r="G20" s="19">
        <v>24.708252556353823</v>
      </c>
      <c r="H20" s="19">
        <v>18.246094195461286</v>
      </c>
      <c r="I20" s="19"/>
      <c r="J20" s="1"/>
      <c r="K20" s="19"/>
      <c r="L20" s="58">
        <f t="shared" si="1"/>
        <v>42.954346751815109</v>
      </c>
    </row>
    <row r="21" spans="1:12" hidden="1" outlineLevel="2">
      <c r="A21" s="138">
        <v>46054</v>
      </c>
      <c r="B21" s="1" t="s">
        <v>526</v>
      </c>
      <c r="C21" s="1" t="s">
        <v>1549</v>
      </c>
      <c r="D21" s="1" t="str">
        <f>VLOOKUP(LEFT(C21,6),'[2]Export shipment'!B$8:J$1256,9,0)</f>
        <v>FedEx</v>
      </c>
      <c r="E21" s="1">
        <f>VLOOKUP(LEFT(C21,6),'[2]Export shipment'!B$8:E$1256,4,0)</f>
        <v>5.2</v>
      </c>
      <c r="F21" s="1"/>
      <c r="G21" s="19">
        <v>24.708252556353823</v>
      </c>
      <c r="H21" s="19">
        <v>18.246094195461286</v>
      </c>
      <c r="I21" s="19"/>
      <c r="J21" s="1"/>
      <c r="K21" s="19"/>
      <c r="L21" s="58">
        <f t="shared" si="1"/>
        <v>42.954346751815109</v>
      </c>
    </row>
    <row r="22" spans="1:12" hidden="1" outlineLevel="2">
      <c r="A22" s="138">
        <v>46054</v>
      </c>
      <c r="B22" s="1" t="s">
        <v>526</v>
      </c>
      <c r="C22" s="1" t="s">
        <v>1558</v>
      </c>
      <c r="D22" s="1" t="str">
        <f>VLOOKUP(LEFT(C22,6),'[2]Export shipment'!B$8:J$1256,9,0)</f>
        <v>FedEx</v>
      </c>
      <c r="E22" s="1">
        <f>VLOOKUP(LEFT(C22,6),'[2]Export shipment'!B$8:E$1256,4,0)</f>
        <v>12.7</v>
      </c>
      <c r="F22" s="1"/>
      <c r="G22" s="19">
        <v>24.708252556353823</v>
      </c>
      <c r="H22" s="19">
        <v>18.246094195461286</v>
      </c>
      <c r="I22" s="19"/>
      <c r="J22" s="1"/>
      <c r="K22" s="19"/>
      <c r="L22" s="58">
        <f t="shared" si="1"/>
        <v>42.954346751815109</v>
      </c>
    </row>
    <row r="23" spans="1:12" outlineLevel="1" collapsed="1">
      <c r="A23" s="138" t="s">
        <v>1609</v>
      </c>
      <c r="B23" s="1"/>
      <c r="C23" s="1"/>
      <c r="D23" s="1"/>
      <c r="E23" s="1">
        <f t="shared" ref="E23:L23" si="3">SUBTOTAL(9,E18:E22)</f>
        <v>105.60000000000001</v>
      </c>
      <c r="F23" s="1">
        <f t="shared" si="3"/>
        <v>0</v>
      </c>
      <c r="G23" s="19">
        <f t="shared" si="3"/>
        <v>123.54126278176912</v>
      </c>
      <c r="H23" s="19">
        <f t="shared" si="3"/>
        <v>72.984376781845143</v>
      </c>
      <c r="I23" s="19">
        <f t="shared" si="3"/>
        <v>0</v>
      </c>
      <c r="J23" s="1">
        <f t="shared" si="3"/>
        <v>0</v>
      </c>
      <c r="K23" s="19">
        <f t="shared" si="3"/>
        <v>0</v>
      </c>
      <c r="L23" s="58">
        <f t="shared" si="3"/>
        <v>196.52563956361425</v>
      </c>
    </row>
    <row r="24" spans="1:12" hidden="1" outlineLevel="2">
      <c r="A24" s="138">
        <v>46082</v>
      </c>
      <c r="B24" s="1" t="s">
        <v>526</v>
      </c>
      <c r="C24" s="1" t="s">
        <v>1674</v>
      </c>
      <c r="D24" s="1" t="str">
        <f>VLOOKUP(LEFT(C24,6),'[2]Export shipment'!B$8:J$1256,9,0)</f>
        <v>FedEx</v>
      </c>
      <c r="E24" s="1">
        <f>VLOOKUP(LEFT(C24,6),'[2]Export shipment'!B$8:E$1256,4,0)</f>
        <v>7.7</v>
      </c>
      <c r="F24" s="1"/>
      <c r="G24" s="19">
        <v>24.655767553009902</v>
      </c>
      <c r="H24" s="19">
        <v>18.207336039145773</v>
      </c>
      <c r="I24" s="19"/>
      <c r="J24" s="1"/>
      <c r="K24" s="19"/>
      <c r="L24" s="58">
        <f t="shared" si="1"/>
        <v>42.863103592155674</v>
      </c>
    </row>
    <row r="25" spans="1:12" hidden="1" outlineLevel="2">
      <c r="A25" s="138">
        <v>46082</v>
      </c>
      <c r="B25" s="1" t="s">
        <v>526</v>
      </c>
      <c r="C25" s="1" t="s">
        <v>1687</v>
      </c>
      <c r="D25" s="1" t="str">
        <f>VLOOKUP(LEFT(C25,6),'[2]Export shipment'!B$8:J$1256,9,0)</f>
        <v>FedEx</v>
      </c>
      <c r="E25" s="1">
        <f>VLOOKUP(LEFT(C25,6),'[2]Export shipment'!B$8:E$1256,4,0)</f>
        <v>19.100000000000001</v>
      </c>
      <c r="F25" s="1"/>
      <c r="G25" s="19">
        <v>24.655767553009902</v>
      </c>
      <c r="H25" s="19">
        <v>18.207336039145773</v>
      </c>
      <c r="I25" s="19"/>
      <c r="J25" s="1"/>
      <c r="K25" s="19"/>
      <c r="L25" s="58">
        <f t="shared" si="1"/>
        <v>42.863103592155674</v>
      </c>
    </row>
    <row r="26" spans="1:12" outlineLevel="1" collapsed="1">
      <c r="A26" s="138" t="s">
        <v>1750</v>
      </c>
      <c r="B26" s="1"/>
      <c r="C26" s="1"/>
      <c r="D26" s="1"/>
      <c r="E26" s="1">
        <f t="shared" ref="E26:L26" si="4">SUBTOTAL(9,E24:E25)</f>
        <v>26.8</v>
      </c>
      <c r="F26" s="1">
        <f t="shared" si="4"/>
        <v>0</v>
      </c>
      <c r="G26" s="19">
        <f t="shared" si="4"/>
        <v>49.311535106019804</v>
      </c>
      <c r="H26" s="19">
        <f t="shared" si="4"/>
        <v>36.414672078291545</v>
      </c>
      <c r="I26" s="19">
        <f t="shared" si="4"/>
        <v>0</v>
      </c>
      <c r="J26" s="1">
        <f t="shared" si="4"/>
        <v>0</v>
      </c>
      <c r="K26" s="19">
        <f t="shared" si="4"/>
        <v>0</v>
      </c>
      <c r="L26" s="58">
        <f t="shared" si="4"/>
        <v>85.726207184311349</v>
      </c>
    </row>
    <row r="27" spans="1:12" hidden="1" outlineLevel="2">
      <c r="A27" s="138">
        <v>46113</v>
      </c>
      <c r="B27" s="1" t="s">
        <v>526</v>
      </c>
      <c r="C27" s="1" t="s">
        <v>1841</v>
      </c>
      <c r="D27" s="1" t="str">
        <f>VLOOKUP(LEFT(C27,6),'[2]Export shipment'!B$8:J$1256,9,0)</f>
        <v>FedEx</v>
      </c>
      <c r="E27" s="1">
        <f>VLOOKUP(LEFT(C27,6),'[2]Export shipment'!B$8:E$1256,4,0)</f>
        <v>3.8</v>
      </c>
      <c r="F27" s="1"/>
      <c r="G27" s="19">
        <v>24.652027155156066</v>
      </c>
      <c r="H27" s="19">
        <v>0</v>
      </c>
      <c r="I27" s="19"/>
      <c r="J27" s="1"/>
      <c r="K27" s="19"/>
      <c r="L27" s="58">
        <f t="shared" si="1"/>
        <v>24.652027155156066</v>
      </c>
    </row>
    <row r="28" spans="1:12" hidden="1" outlineLevel="2">
      <c r="A28" s="138">
        <v>46113</v>
      </c>
      <c r="B28" s="1" t="s">
        <v>526</v>
      </c>
      <c r="C28" s="1" t="s">
        <v>1867</v>
      </c>
      <c r="D28" s="1" t="str">
        <f>VLOOKUP(LEFT(C28,6),'[2]Export shipment'!B$8:J$1256,9,0)</f>
        <v>FedEx</v>
      </c>
      <c r="E28" s="1">
        <f>VLOOKUP(LEFT(C28,6),'[2]Export shipment'!B$8:E$1256,4,0)</f>
        <v>31.5</v>
      </c>
      <c r="F28" s="1"/>
      <c r="G28" s="19">
        <v>49.304000000000002</v>
      </c>
      <c r="H28" s="19">
        <v>18.204573899192173</v>
      </c>
      <c r="I28" s="19"/>
      <c r="J28" s="1"/>
      <c r="K28" s="19"/>
      <c r="L28" s="58">
        <f t="shared" si="1"/>
        <v>67.508573899192172</v>
      </c>
    </row>
    <row r="29" spans="1:12" hidden="1" outlineLevel="2">
      <c r="A29" s="138">
        <v>46113</v>
      </c>
      <c r="B29" s="1" t="s">
        <v>526</v>
      </c>
      <c r="C29" s="1" t="s">
        <v>1859</v>
      </c>
      <c r="D29" s="1" t="str">
        <f>VLOOKUP(LEFT(C29,6),'[2]Export shipment'!B$8:J$1256,9,0)</f>
        <v>FedEx</v>
      </c>
      <c r="E29" s="1">
        <f>VLOOKUP(LEFT(C29,6),'[2]Export shipment'!B$8:E$1256,4,0)</f>
        <v>2</v>
      </c>
      <c r="F29" s="1"/>
      <c r="G29" s="19">
        <v>24.652027155156066</v>
      </c>
      <c r="H29" s="19">
        <v>18.204573899192173</v>
      </c>
      <c r="I29" s="19"/>
      <c r="J29" s="1"/>
      <c r="K29" s="19"/>
      <c r="L29" s="58">
        <f t="shared" si="1"/>
        <v>42.856601054348239</v>
      </c>
    </row>
    <row r="30" spans="1:12" outlineLevel="1" collapsed="1">
      <c r="A30" s="138" t="s">
        <v>1885</v>
      </c>
      <c r="B30" s="1"/>
      <c r="C30" s="1"/>
      <c r="D30" s="1"/>
      <c r="E30" s="1">
        <f t="shared" ref="E30:L30" si="5">SUBTOTAL(9,E27:E29)</f>
        <v>37.299999999999997</v>
      </c>
      <c r="F30" s="1">
        <f t="shared" si="5"/>
        <v>0</v>
      </c>
      <c r="G30" s="19">
        <f t="shared" si="5"/>
        <v>98.608054310312127</v>
      </c>
      <c r="H30" s="19">
        <f t="shared" si="5"/>
        <v>36.409147798384346</v>
      </c>
      <c r="I30" s="19">
        <f t="shared" si="5"/>
        <v>0</v>
      </c>
      <c r="J30" s="1">
        <f t="shared" si="5"/>
        <v>0</v>
      </c>
      <c r="K30" s="19">
        <f t="shared" si="5"/>
        <v>0</v>
      </c>
      <c r="L30" s="58">
        <f t="shared" si="5"/>
        <v>135.01720210869647</v>
      </c>
    </row>
    <row r="31" spans="1:12" hidden="1" outlineLevel="2">
      <c r="A31" s="138">
        <v>46143</v>
      </c>
      <c r="B31" s="1" t="s">
        <v>526</v>
      </c>
      <c r="C31" s="1" t="s">
        <v>2078</v>
      </c>
      <c r="D31" s="1" t="str">
        <f>VLOOKUP(LEFT(C31,6),'[2]Export shipment'!B$8:J$1256,9,0)</f>
        <v>FedEx</v>
      </c>
      <c r="E31" s="1">
        <f>VLOOKUP(LEFT(C31,6),'[2]Export shipment'!B$8:E$1256,4,0)</f>
        <v>8.1</v>
      </c>
      <c r="F31" s="1"/>
      <c r="G31" s="19">
        <v>24.617482199666718</v>
      </c>
      <c r="H31" s="19">
        <v>18.179063778215422</v>
      </c>
      <c r="I31" s="19"/>
      <c r="J31" s="1"/>
      <c r="K31" s="19"/>
      <c r="L31" s="58">
        <f t="shared" si="1"/>
        <v>42.79654597788214</v>
      </c>
    </row>
    <row r="32" spans="1:12" outlineLevel="1" collapsed="1">
      <c r="A32" s="138" t="s">
        <v>2095</v>
      </c>
      <c r="B32" s="1"/>
      <c r="C32" s="1"/>
      <c r="D32" s="1"/>
      <c r="E32" s="1">
        <f t="shared" ref="E32:L32" si="6">SUBTOTAL(9,E31:E31)</f>
        <v>8.1</v>
      </c>
      <c r="F32" s="1">
        <f t="shared" si="6"/>
        <v>0</v>
      </c>
      <c r="G32" s="19">
        <f t="shared" si="6"/>
        <v>24.617482199666718</v>
      </c>
      <c r="H32" s="19">
        <f t="shared" si="6"/>
        <v>18.179063778215422</v>
      </c>
      <c r="I32" s="19">
        <f t="shared" si="6"/>
        <v>0</v>
      </c>
      <c r="J32" s="1">
        <f t="shared" si="6"/>
        <v>0</v>
      </c>
      <c r="K32" s="19">
        <f t="shared" si="6"/>
        <v>0</v>
      </c>
      <c r="L32" s="58">
        <f t="shared" si="6"/>
        <v>42.79654597788214</v>
      </c>
    </row>
    <row r="33" spans="1:12" outlineLevel="2">
      <c r="A33" s="138">
        <v>46174</v>
      </c>
      <c r="B33" s="1" t="s">
        <v>526</v>
      </c>
      <c r="C33" s="1" t="s">
        <v>2983</v>
      </c>
      <c r="D33" s="1" t="str">
        <f>VLOOKUP(LEFT(C33,6),'[2]Export shipment'!B$8:J$1256,9,0)</f>
        <v>FedEx</v>
      </c>
      <c r="E33" s="1">
        <v>1.6</v>
      </c>
      <c r="F33" s="1"/>
      <c r="G33" s="19">
        <v>22.674023127503592</v>
      </c>
      <c r="H33" s="19">
        <v>24.563525054795555</v>
      </c>
      <c r="I33" s="19">
        <v>0</v>
      </c>
      <c r="J33" s="1"/>
      <c r="K33" s="19"/>
      <c r="L33" s="139">
        <f t="shared" si="1"/>
        <v>47.23754818229915</v>
      </c>
    </row>
    <row r="34" spans="1:12" outlineLevel="1">
      <c r="A34" s="535" t="s">
        <v>3046</v>
      </c>
      <c r="E34">
        <f t="shared" ref="E34:L34" si="7">SUBTOTAL(9,E33:E33)</f>
        <v>1.6</v>
      </c>
      <c r="F34">
        <f t="shared" si="7"/>
        <v>0</v>
      </c>
      <c r="G34" s="28">
        <f t="shared" si="7"/>
        <v>22.674023127503592</v>
      </c>
      <c r="H34" s="28">
        <f t="shared" si="7"/>
        <v>24.563525054795555</v>
      </c>
      <c r="I34" s="28">
        <f t="shared" si="7"/>
        <v>0</v>
      </c>
      <c r="J34">
        <f t="shared" si="7"/>
        <v>0</v>
      </c>
      <c r="K34" s="28">
        <f t="shared" si="7"/>
        <v>0</v>
      </c>
      <c r="L34" s="726">
        <f t="shared" si="7"/>
        <v>47.23754818229915</v>
      </c>
    </row>
    <row r="35" spans="1:12">
      <c r="A35" s="535" t="s">
        <v>893</v>
      </c>
      <c r="E35">
        <f t="shared" ref="E35:L35" si="8">SUBTOTAL(9,E2:E33)</f>
        <v>4745.8000000000011</v>
      </c>
      <c r="F35">
        <f t="shared" si="8"/>
        <v>0</v>
      </c>
      <c r="G35" s="28">
        <f t="shared" si="8"/>
        <v>802.20819802993992</v>
      </c>
      <c r="H35" s="28">
        <f t="shared" si="8"/>
        <v>307.95942840282851</v>
      </c>
      <c r="I35" s="28">
        <f t="shared" si="8"/>
        <v>6459.5269744710658</v>
      </c>
      <c r="J35">
        <f t="shared" si="8"/>
        <v>0</v>
      </c>
      <c r="K35" s="28">
        <f t="shared" si="8"/>
        <v>29.156726873414367</v>
      </c>
      <c r="L35" s="726">
        <f t="shared" si="8"/>
        <v>7598.8513277772472</v>
      </c>
    </row>
  </sheetData>
  <conditionalFormatting sqref="A1:XFD1048576">
    <cfRule type="expression" dxfId="2" priority="11">
      <formula>ISNUMBER(SEARCH("Grand Total",$A1))</formula>
    </cfRule>
    <cfRule type="expression" dxfId="1" priority="16">
      <formula>ISNUMBER(SEARCH("Total",$A1))</formula>
    </cfRule>
  </conditionalFormatting>
  <conditionalFormatting sqref="B1">
    <cfRule type="duplicateValues" dxfId="0" priority="17" stopIfTrue="1"/>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B1:BW87"/>
  <sheetViews>
    <sheetView topLeftCell="A60" zoomScaleNormal="100" workbookViewId="0">
      <selection activeCell="BU92" sqref="BU92"/>
    </sheetView>
  </sheetViews>
  <sheetFormatPr defaultRowHeight="15"/>
  <cols>
    <col min="1" max="1" width="2" customWidth="1"/>
    <col min="2" max="2" width="9.140625" customWidth="1"/>
    <col min="3" max="3" width="26.5703125" customWidth="1"/>
    <col min="4" max="4" width="13.85546875" customWidth="1"/>
    <col min="5" max="5" width="11.7109375" hidden="1" customWidth="1"/>
    <col min="6" max="6" width="10.7109375" style="21" hidden="1" customWidth="1"/>
    <col min="7" max="7" width="11.7109375" hidden="1" customWidth="1"/>
    <col min="8" max="8" width="11.5703125" hidden="1" customWidth="1"/>
    <col min="9" max="10" width="10.42578125" hidden="1" customWidth="1"/>
    <col min="11" max="62" width="11.7109375" hidden="1" customWidth="1"/>
    <col min="63" max="66" width="11.7109375" customWidth="1"/>
    <col min="67" max="73" width="13.28515625" customWidth="1"/>
    <col min="74" max="74" width="16.28515625" style="21" customWidth="1"/>
    <col min="75" max="75" width="16.28515625" bestFit="1" customWidth="1"/>
  </cols>
  <sheetData>
    <row r="1" spans="3:74" ht="25.9" customHeight="1">
      <c r="C1" s="45" t="s">
        <v>74</v>
      </c>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381"/>
    </row>
    <row r="3" spans="3:74" ht="30" customHeight="1">
      <c r="C3" s="30" t="s">
        <v>61</v>
      </c>
      <c r="D3" s="385" t="s">
        <v>1161</v>
      </c>
      <c r="E3" s="386">
        <v>44075</v>
      </c>
      <c r="F3" s="386">
        <v>44105</v>
      </c>
      <c r="G3" s="386">
        <v>44136</v>
      </c>
      <c r="H3" s="386">
        <v>44166</v>
      </c>
      <c r="I3" s="386">
        <v>44197</v>
      </c>
      <c r="J3" s="386">
        <v>44228</v>
      </c>
      <c r="K3" s="386">
        <v>44256</v>
      </c>
      <c r="L3" s="386">
        <v>44287</v>
      </c>
      <c r="M3" s="386">
        <v>44317</v>
      </c>
      <c r="N3" s="386">
        <v>44348</v>
      </c>
      <c r="O3" s="386">
        <v>44378</v>
      </c>
      <c r="P3" s="386">
        <v>44409</v>
      </c>
      <c r="Q3" s="386">
        <v>44440</v>
      </c>
      <c r="R3" s="386">
        <v>44470</v>
      </c>
      <c r="S3" s="386">
        <v>44501</v>
      </c>
      <c r="T3" s="386">
        <v>44531</v>
      </c>
      <c r="U3" s="386">
        <v>44562</v>
      </c>
      <c r="V3" s="386">
        <v>44593</v>
      </c>
      <c r="W3" s="386">
        <v>44621</v>
      </c>
      <c r="X3" s="386">
        <v>44652</v>
      </c>
      <c r="Y3" s="386">
        <v>44682</v>
      </c>
      <c r="Z3" s="386">
        <v>44713</v>
      </c>
      <c r="AA3" s="386">
        <v>44743</v>
      </c>
      <c r="AB3" s="386">
        <v>44774</v>
      </c>
      <c r="AC3" s="386">
        <v>44805</v>
      </c>
      <c r="AD3" s="386">
        <v>44835</v>
      </c>
      <c r="AE3" s="386">
        <v>44866</v>
      </c>
      <c r="AF3" s="386">
        <v>44896</v>
      </c>
      <c r="AG3" s="386">
        <v>44927</v>
      </c>
      <c r="AH3" s="386">
        <v>44958</v>
      </c>
      <c r="AI3" s="386">
        <v>44986</v>
      </c>
      <c r="AJ3" s="386">
        <v>45017</v>
      </c>
      <c r="AK3" s="386">
        <v>45047</v>
      </c>
      <c r="AL3" s="386">
        <v>45078</v>
      </c>
      <c r="AM3" s="386">
        <v>45108</v>
      </c>
      <c r="AN3" s="386">
        <v>45139</v>
      </c>
      <c r="AO3" s="386">
        <v>45170</v>
      </c>
      <c r="AP3" s="386">
        <v>45200</v>
      </c>
      <c r="AQ3" s="386">
        <v>45231</v>
      </c>
      <c r="AR3" s="386">
        <v>45261</v>
      </c>
      <c r="AS3" s="386">
        <v>45292</v>
      </c>
      <c r="AT3" s="386">
        <v>45323</v>
      </c>
      <c r="AU3" s="386">
        <v>45352</v>
      </c>
      <c r="AV3" s="386">
        <v>45383</v>
      </c>
      <c r="AW3" s="386">
        <v>45413</v>
      </c>
      <c r="AX3" s="386">
        <v>45444</v>
      </c>
      <c r="AY3" s="386">
        <v>45474</v>
      </c>
      <c r="AZ3" s="386">
        <v>45505</v>
      </c>
      <c r="BA3" s="386">
        <v>45536</v>
      </c>
      <c r="BB3" s="386">
        <v>45566</v>
      </c>
      <c r="BC3" s="386">
        <v>45597</v>
      </c>
      <c r="BD3" s="386">
        <v>45627</v>
      </c>
      <c r="BE3" s="386">
        <v>45658</v>
      </c>
      <c r="BF3" s="386">
        <v>45689</v>
      </c>
      <c r="BG3" s="386">
        <v>45717</v>
      </c>
      <c r="BH3" s="386">
        <v>45748</v>
      </c>
      <c r="BI3" s="386">
        <v>45778</v>
      </c>
      <c r="BJ3" s="386">
        <v>45809</v>
      </c>
      <c r="BK3" s="386">
        <v>45863</v>
      </c>
      <c r="BL3" s="386">
        <v>45870</v>
      </c>
      <c r="BM3" s="386">
        <v>45901</v>
      </c>
      <c r="BN3" s="386">
        <v>45931</v>
      </c>
      <c r="BO3" s="386">
        <v>45962</v>
      </c>
      <c r="BP3" s="386">
        <v>45992</v>
      </c>
      <c r="BQ3" s="386">
        <v>46023</v>
      </c>
      <c r="BR3" s="386">
        <v>46054</v>
      </c>
      <c r="BS3" s="386">
        <v>46082</v>
      </c>
      <c r="BT3" s="386">
        <v>46113</v>
      </c>
      <c r="BU3" s="386">
        <v>46143</v>
      </c>
      <c r="BV3" s="386">
        <v>46174</v>
      </c>
    </row>
    <row r="4" spans="3:74" s="148" customFormat="1" ht="19.5" customHeight="1">
      <c r="C4" s="893" t="s">
        <v>7</v>
      </c>
      <c r="D4" s="894" t="s">
        <v>71</v>
      </c>
      <c r="E4" s="405">
        <v>0</v>
      </c>
      <c r="F4" s="405">
        <v>0</v>
      </c>
      <c r="G4" s="405">
        <v>0</v>
      </c>
      <c r="H4" s="405">
        <v>0</v>
      </c>
      <c r="I4" s="405">
        <v>0</v>
      </c>
      <c r="J4" s="405">
        <v>0</v>
      </c>
      <c r="K4" s="405" t="s">
        <v>78</v>
      </c>
      <c r="L4" s="405">
        <v>0</v>
      </c>
      <c r="M4" s="405">
        <v>0</v>
      </c>
      <c r="N4" s="405">
        <v>0</v>
      </c>
      <c r="O4" s="405">
        <v>0</v>
      </c>
      <c r="P4" s="405">
        <v>0</v>
      </c>
      <c r="Q4" s="405">
        <v>0</v>
      </c>
      <c r="R4" s="405">
        <v>0</v>
      </c>
      <c r="S4" s="405">
        <v>0</v>
      </c>
      <c r="T4" s="405">
        <v>0</v>
      </c>
      <c r="U4" s="405">
        <v>0</v>
      </c>
      <c r="V4" s="405">
        <v>0</v>
      </c>
      <c r="W4" s="405">
        <v>0</v>
      </c>
      <c r="X4" s="405">
        <v>0</v>
      </c>
      <c r="Y4" s="405">
        <v>0</v>
      </c>
      <c r="Z4" s="405">
        <v>0</v>
      </c>
      <c r="AA4" s="405">
        <v>0</v>
      </c>
      <c r="AB4" s="405">
        <v>0</v>
      </c>
      <c r="AC4" s="405">
        <v>0</v>
      </c>
      <c r="AD4" s="405">
        <v>0</v>
      </c>
      <c r="AE4" s="405">
        <v>0</v>
      </c>
      <c r="AF4" s="405">
        <v>0</v>
      </c>
      <c r="AG4" s="405">
        <v>0</v>
      </c>
      <c r="AH4" s="405">
        <v>0</v>
      </c>
      <c r="AI4" s="405">
        <v>0</v>
      </c>
      <c r="AJ4" s="405">
        <v>0</v>
      </c>
      <c r="AK4" s="87">
        <v>0</v>
      </c>
      <c r="AL4" s="87">
        <v>0</v>
      </c>
      <c r="AM4" s="87">
        <v>0</v>
      </c>
      <c r="AN4" s="87">
        <v>0</v>
      </c>
      <c r="AO4" s="87">
        <v>0</v>
      </c>
      <c r="AP4" s="87">
        <v>0</v>
      </c>
      <c r="AQ4" s="87">
        <v>0</v>
      </c>
      <c r="AR4" s="87">
        <v>0</v>
      </c>
      <c r="AS4" s="87">
        <v>1</v>
      </c>
      <c r="AT4" s="87">
        <v>0</v>
      </c>
      <c r="AU4" s="87">
        <v>2</v>
      </c>
      <c r="AV4" s="87">
        <v>0</v>
      </c>
      <c r="AW4" s="87">
        <v>0</v>
      </c>
      <c r="AX4" s="87">
        <v>0</v>
      </c>
      <c r="AY4" s="87">
        <v>0</v>
      </c>
      <c r="AZ4" s="87">
        <v>0</v>
      </c>
      <c r="BA4" s="87">
        <v>0</v>
      </c>
      <c r="BB4" s="87">
        <v>0</v>
      </c>
      <c r="BC4" s="87">
        <v>0</v>
      </c>
      <c r="BD4" s="87">
        <v>0</v>
      </c>
      <c r="BE4" s="403">
        <v>0</v>
      </c>
      <c r="BF4" s="403">
        <v>0</v>
      </c>
      <c r="BG4" s="403">
        <v>0</v>
      </c>
      <c r="BH4" s="403">
        <v>0</v>
      </c>
      <c r="BI4" s="403">
        <v>0</v>
      </c>
      <c r="BJ4" s="403">
        <v>0</v>
      </c>
      <c r="BK4" s="403">
        <v>0</v>
      </c>
      <c r="BL4" s="403">
        <v>0</v>
      </c>
      <c r="BM4" s="403">
        <v>0</v>
      </c>
      <c r="BN4" s="403">
        <v>0</v>
      </c>
      <c r="BO4" s="403">
        <v>0</v>
      </c>
      <c r="BP4" s="403">
        <v>0</v>
      </c>
      <c r="BQ4" s="403">
        <v>0</v>
      </c>
      <c r="BR4" s="403">
        <v>0</v>
      </c>
      <c r="BS4" s="403">
        <v>0</v>
      </c>
      <c r="BT4" s="403">
        <v>0</v>
      </c>
      <c r="BU4" s="403">
        <v>0</v>
      </c>
      <c r="BV4" s="403">
        <v>0</v>
      </c>
    </row>
    <row r="5" spans="3:74" ht="19.5" customHeight="1">
      <c r="C5" s="893"/>
      <c r="D5" s="894"/>
      <c r="E5" s="7">
        <v>0</v>
      </c>
      <c r="F5" s="7">
        <v>0</v>
      </c>
      <c r="G5" s="7">
        <v>0</v>
      </c>
      <c r="H5" s="7">
        <v>0</v>
      </c>
      <c r="I5" s="7">
        <v>0</v>
      </c>
      <c r="J5" s="7">
        <v>0</v>
      </c>
      <c r="K5" s="32">
        <v>944.57</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c r="AF5" s="7">
        <v>0</v>
      </c>
      <c r="AG5" s="7">
        <v>0</v>
      </c>
      <c r="AH5" s="7">
        <v>0</v>
      </c>
      <c r="AI5" s="7">
        <v>0</v>
      </c>
      <c r="AJ5" s="7">
        <v>0</v>
      </c>
      <c r="AK5" s="7">
        <v>0</v>
      </c>
      <c r="AL5" s="7">
        <v>0</v>
      </c>
      <c r="AM5" s="7">
        <v>0</v>
      </c>
      <c r="AN5" s="7">
        <v>0</v>
      </c>
      <c r="AO5" s="7">
        <v>0</v>
      </c>
      <c r="AP5" s="7">
        <v>0</v>
      </c>
      <c r="AQ5" s="7">
        <v>0</v>
      </c>
      <c r="AR5" s="7">
        <v>0</v>
      </c>
      <c r="AS5" s="7">
        <v>955.15767741935485</v>
      </c>
      <c r="AT5" s="7">
        <v>0</v>
      </c>
      <c r="AU5" s="7">
        <v>0</v>
      </c>
      <c r="AV5" s="7">
        <v>0</v>
      </c>
      <c r="AW5" s="7">
        <v>0</v>
      </c>
      <c r="AX5" s="7">
        <v>0</v>
      </c>
      <c r="AY5" s="7">
        <v>0</v>
      </c>
      <c r="AZ5" s="7">
        <v>0</v>
      </c>
      <c r="BA5" s="7">
        <v>0</v>
      </c>
      <c r="BB5" s="7">
        <v>0</v>
      </c>
      <c r="BC5" s="7">
        <v>0</v>
      </c>
      <c r="BD5" s="7">
        <v>0</v>
      </c>
      <c r="BE5" s="7">
        <v>0</v>
      </c>
      <c r="BF5" s="7">
        <v>0</v>
      </c>
      <c r="BG5" s="7">
        <v>0</v>
      </c>
      <c r="BH5" s="7">
        <v>0</v>
      </c>
      <c r="BI5" s="7">
        <v>0</v>
      </c>
      <c r="BJ5" s="7">
        <v>0</v>
      </c>
      <c r="BK5" s="7">
        <v>0</v>
      </c>
      <c r="BL5" s="7">
        <v>0</v>
      </c>
      <c r="BM5" s="7">
        <v>0</v>
      </c>
      <c r="BN5" s="7">
        <v>0</v>
      </c>
      <c r="BO5" s="7">
        <v>0</v>
      </c>
      <c r="BP5" s="7">
        <v>0</v>
      </c>
      <c r="BQ5" s="7">
        <v>0</v>
      </c>
      <c r="BR5" s="7">
        <v>0</v>
      </c>
      <c r="BS5" s="7">
        <v>0</v>
      </c>
      <c r="BT5" s="7">
        <v>0</v>
      </c>
      <c r="BU5" s="7">
        <v>0</v>
      </c>
      <c r="BV5" s="41">
        <v>0</v>
      </c>
    </row>
    <row r="6" spans="3:74" s="148" customFormat="1" ht="19.5" customHeight="1">
      <c r="C6" s="893"/>
      <c r="D6" s="894" t="s">
        <v>72</v>
      </c>
      <c r="E6" s="403">
        <v>5</v>
      </c>
      <c r="F6" s="403">
        <v>7</v>
      </c>
      <c r="G6" s="403">
        <v>7</v>
      </c>
      <c r="H6" s="403">
        <v>6</v>
      </c>
      <c r="I6" s="403">
        <v>6</v>
      </c>
      <c r="J6" s="403">
        <v>4</v>
      </c>
      <c r="K6" s="403">
        <v>6</v>
      </c>
      <c r="L6" s="403">
        <v>6</v>
      </c>
      <c r="M6" s="403">
        <v>8</v>
      </c>
      <c r="N6" s="403">
        <v>7</v>
      </c>
      <c r="O6" s="403">
        <v>3</v>
      </c>
      <c r="P6" s="403" t="s">
        <v>80</v>
      </c>
      <c r="Q6" s="403">
        <v>0</v>
      </c>
      <c r="R6" s="403">
        <v>0</v>
      </c>
      <c r="S6" s="403">
        <v>0</v>
      </c>
      <c r="T6" s="403">
        <v>0</v>
      </c>
      <c r="U6" s="403">
        <v>1</v>
      </c>
      <c r="V6" s="403">
        <v>0</v>
      </c>
      <c r="W6" s="403">
        <v>0</v>
      </c>
      <c r="X6" s="403">
        <v>0</v>
      </c>
      <c r="Y6" s="403">
        <v>0</v>
      </c>
      <c r="Z6" s="403">
        <v>0</v>
      </c>
      <c r="AA6" s="403">
        <v>0</v>
      </c>
      <c r="AB6" s="403">
        <v>0</v>
      </c>
      <c r="AC6" s="403">
        <v>0</v>
      </c>
      <c r="AD6" s="403">
        <v>0</v>
      </c>
      <c r="AE6" s="403">
        <v>0</v>
      </c>
      <c r="AF6" s="403">
        <v>0</v>
      </c>
      <c r="AG6" s="403">
        <v>0</v>
      </c>
      <c r="AH6" s="403">
        <v>0</v>
      </c>
      <c r="AI6" s="403">
        <v>0</v>
      </c>
      <c r="AJ6" s="403">
        <v>0</v>
      </c>
      <c r="AK6" s="403">
        <v>0</v>
      </c>
      <c r="AL6" s="403">
        <v>0</v>
      </c>
      <c r="AM6" s="403">
        <v>0</v>
      </c>
      <c r="AN6" s="403">
        <v>1</v>
      </c>
      <c r="AO6" s="87">
        <v>0</v>
      </c>
      <c r="AP6" s="87">
        <v>0</v>
      </c>
      <c r="AQ6" s="87">
        <v>0</v>
      </c>
      <c r="AR6" s="87">
        <v>0</v>
      </c>
      <c r="AS6" s="87">
        <v>0</v>
      </c>
      <c r="AT6" s="87">
        <v>0</v>
      </c>
      <c r="AU6" s="87">
        <v>0</v>
      </c>
      <c r="AV6" s="87">
        <v>0</v>
      </c>
      <c r="AW6" s="87">
        <v>0</v>
      </c>
      <c r="AX6" s="87">
        <v>0</v>
      </c>
      <c r="AY6" s="87">
        <v>0</v>
      </c>
      <c r="AZ6" s="87">
        <v>0</v>
      </c>
      <c r="BA6" s="87">
        <v>0</v>
      </c>
      <c r="BB6" s="87">
        <v>0</v>
      </c>
      <c r="BC6" s="87">
        <v>0</v>
      </c>
      <c r="BD6" s="87">
        <v>0</v>
      </c>
      <c r="BE6" s="87">
        <v>0</v>
      </c>
      <c r="BF6" s="87">
        <v>0</v>
      </c>
      <c r="BG6" s="87">
        <v>0</v>
      </c>
      <c r="BH6" s="87">
        <v>0</v>
      </c>
      <c r="BI6" s="87">
        <v>0</v>
      </c>
      <c r="BJ6" s="87">
        <v>0</v>
      </c>
      <c r="BK6" s="403">
        <v>0</v>
      </c>
      <c r="BL6" s="403">
        <v>0</v>
      </c>
      <c r="BM6" s="403">
        <v>0</v>
      </c>
      <c r="BN6" s="403">
        <v>0</v>
      </c>
      <c r="BO6" s="403">
        <v>0</v>
      </c>
      <c r="BP6" s="403">
        <v>0</v>
      </c>
      <c r="BQ6" s="403">
        <v>0</v>
      </c>
      <c r="BR6" s="403">
        <v>0</v>
      </c>
      <c r="BS6" s="403">
        <v>0</v>
      </c>
      <c r="BT6" s="403">
        <v>0</v>
      </c>
      <c r="BU6" s="403">
        <v>0</v>
      </c>
      <c r="BV6" s="403">
        <v>0</v>
      </c>
    </row>
    <row r="7" spans="3:74" ht="19.5" customHeight="1">
      <c r="C7" s="893"/>
      <c r="D7" s="894"/>
      <c r="E7" s="7">
        <v>2964.5104774193546</v>
      </c>
      <c r="F7" s="41">
        <v>3329.1682795698925</v>
      </c>
      <c r="G7" s="32">
        <v>2272.9116860215054</v>
      </c>
      <c r="H7" s="32">
        <f>4432.16369032258+660</f>
        <v>5092.1636903225799</v>
      </c>
      <c r="I7" s="32">
        <v>3242.2571720430105</v>
      </c>
      <c r="J7" s="32">
        <v>1155.9577290322579</v>
      </c>
      <c r="K7" s="32">
        <v>4049.1227182795701</v>
      </c>
      <c r="L7" s="32">
        <v>1877.2988404301072</v>
      </c>
      <c r="M7" s="32">
        <v>3013.23</v>
      </c>
      <c r="N7" s="32">
        <v>2482.292944516129</v>
      </c>
      <c r="O7" s="32">
        <v>1128.239853763441</v>
      </c>
      <c r="P7" s="39">
        <v>5342.41394494624</v>
      </c>
      <c r="Q7" s="32">
        <v>0</v>
      </c>
      <c r="R7" s="32">
        <v>0</v>
      </c>
      <c r="S7" s="32">
        <v>0</v>
      </c>
      <c r="T7" s="32">
        <v>0</v>
      </c>
      <c r="U7" s="32">
        <v>2543.9776344086022</v>
      </c>
      <c r="V7" s="32">
        <v>0</v>
      </c>
      <c r="W7" s="32">
        <v>0</v>
      </c>
      <c r="X7" s="32">
        <v>0</v>
      </c>
      <c r="Y7" s="32">
        <v>0</v>
      </c>
      <c r="Z7" s="32">
        <v>0</v>
      </c>
      <c r="AA7" s="32">
        <v>0</v>
      </c>
      <c r="AB7" s="32">
        <v>0</v>
      </c>
      <c r="AC7" s="32">
        <v>0</v>
      </c>
      <c r="AD7" s="32">
        <v>0</v>
      </c>
      <c r="AE7" s="32">
        <v>0</v>
      </c>
      <c r="AF7" s="32">
        <v>0</v>
      </c>
      <c r="AG7" s="32">
        <v>0</v>
      </c>
      <c r="AH7" s="32">
        <v>0</v>
      </c>
      <c r="AI7" s="32">
        <v>0</v>
      </c>
      <c r="AJ7" s="32">
        <v>0</v>
      </c>
      <c r="AK7" s="7">
        <v>0</v>
      </c>
      <c r="AL7" s="7">
        <v>0</v>
      </c>
      <c r="AM7" s="7">
        <v>0</v>
      </c>
      <c r="AN7" s="7">
        <v>774.85</v>
      </c>
      <c r="AO7" s="7">
        <v>0</v>
      </c>
      <c r="AP7" s="7">
        <v>0</v>
      </c>
      <c r="AQ7" s="7">
        <v>0</v>
      </c>
      <c r="AR7" s="7">
        <v>0</v>
      </c>
      <c r="AS7" s="7">
        <v>0</v>
      </c>
      <c r="AT7" s="7">
        <v>0</v>
      </c>
      <c r="AU7" s="7">
        <v>0</v>
      </c>
      <c r="AV7" s="7">
        <v>0</v>
      </c>
      <c r="AW7" s="7">
        <v>0</v>
      </c>
      <c r="AX7" s="7">
        <v>0</v>
      </c>
      <c r="AY7" s="7">
        <v>0</v>
      </c>
      <c r="AZ7" s="7">
        <v>0</v>
      </c>
      <c r="BA7" s="7">
        <v>0</v>
      </c>
      <c r="BB7" s="7">
        <v>0</v>
      </c>
      <c r="BC7" s="7">
        <v>0</v>
      </c>
      <c r="BD7" s="7">
        <v>0</v>
      </c>
      <c r="BE7" s="7">
        <v>0</v>
      </c>
      <c r="BF7" s="7">
        <v>0</v>
      </c>
      <c r="BG7" s="7">
        <v>0</v>
      </c>
      <c r="BH7" s="7">
        <v>0</v>
      </c>
      <c r="BI7" s="7">
        <v>0</v>
      </c>
      <c r="BJ7" s="7">
        <v>0</v>
      </c>
      <c r="BK7" s="7">
        <v>0</v>
      </c>
      <c r="BL7" s="7">
        <v>0</v>
      </c>
      <c r="BM7" s="7">
        <v>0</v>
      </c>
      <c r="BN7" s="7">
        <v>0</v>
      </c>
      <c r="BO7" s="7">
        <v>0</v>
      </c>
      <c r="BP7" s="7">
        <v>0</v>
      </c>
      <c r="BQ7" s="7">
        <v>0</v>
      </c>
      <c r="BR7" s="7">
        <v>0</v>
      </c>
      <c r="BS7" s="7">
        <v>0</v>
      </c>
      <c r="BT7" s="7">
        <v>0</v>
      </c>
      <c r="BU7" s="7">
        <v>0</v>
      </c>
      <c r="BV7" s="41">
        <v>0</v>
      </c>
    </row>
    <row r="8" spans="3:74" s="148" customFormat="1" ht="19.5" customHeight="1">
      <c r="C8" s="893"/>
      <c r="D8" s="895" t="s">
        <v>53</v>
      </c>
      <c r="E8" s="403">
        <v>37</v>
      </c>
      <c r="F8" s="403">
        <v>32</v>
      </c>
      <c r="G8" s="403">
        <v>31</v>
      </c>
      <c r="H8" s="403">
        <v>26</v>
      </c>
      <c r="I8" s="403">
        <v>33</v>
      </c>
      <c r="J8" s="403">
        <v>38</v>
      </c>
      <c r="K8" s="403">
        <v>20</v>
      </c>
      <c r="L8" s="403">
        <v>29</v>
      </c>
      <c r="M8" s="403">
        <v>25</v>
      </c>
      <c r="N8" s="403">
        <v>28</v>
      </c>
      <c r="O8" s="403">
        <v>30</v>
      </c>
      <c r="P8" s="403">
        <v>29</v>
      </c>
      <c r="Q8" s="403">
        <v>30</v>
      </c>
      <c r="R8" s="403">
        <v>40</v>
      </c>
      <c r="S8" s="403">
        <v>45</v>
      </c>
      <c r="T8" s="403">
        <v>31</v>
      </c>
      <c r="U8" s="403">
        <v>22</v>
      </c>
      <c r="V8" s="403">
        <v>32</v>
      </c>
      <c r="W8" s="403">
        <v>46</v>
      </c>
      <c r="X8" s="403">
        <v>39</v>
      </c>
      <c r="Y8" s="403">
        <v>25</v>
      </c>
      <c r="Z8" s="403">
        <v>36</v>
      </c>
      <c r="AA8" s="403">
        <v>29</v>
      </c>
      <c r="AB8" s="403">
        <v>25</v>
      </c>
      <c r="AC8" s="403">
        <v>31</v>
      </c>
      <c r="AD8" s="403">
        <v>46</v>
      </c>
      <c r="AE8" s="403">
        <v>38</v>
      </c>
      <c r="AF8" s="403">
        <v>21</v>
      </c>
      <c r="AG8" s="403">
        <v>16</v>
      </c>
      <c r="AH8" s="403">
        <v>28</v>
      </c>
      <c r="AI8" s="403">
        <v>24</v>
      </c>
      <c r="AJ8" s="403">
        <v>34</v>
      </c>
      <c r="AK8" s="403">
        <v>30</v>
      </c>
      <c r="AL8" s="403">
        <v>18</v>
      </c>
      <c r="AM8" s="403">
        <v>40</v>
      </c>
      <c r="AN8" s="403">
        <v>38</v>
      </c>
      <c r="AO8" s="403">
        <v>29</v>
      </c>
      <c r="AP8" s="403">
        <v>33</v>
      </c>
      <c r="AQ8" s="403">
        <v>25</v>
      </c>
      <c r="AR8" s="403">
        <v>29</v>
      </c>
      <c r="AS8" s="403">
        <v>24</v>
      </c>
      <c r="AT8" s="403">
        <v>26</v>
      </c>
      <c r="AU8" s="403">
        <v>29</v>
      </c>
      <c r="AV8" s="403">
        <v>33</v>
      </c>
      <c r="AW8" s="403">
        <v>27</v>
      </c>
      <c r="AX8" s="403">
        <v>29</v>
      </c>
      <c r="AY8" s="403">
        <v>30</v>
      </c>
      <c r="AZ8" s="403">
        <v>31</v>
      </c>
      <c r="BA8" s="403">
        <v>49</v>
      </c>
      <c r="BB8" s="403">
        <v>42</v>
      </c>
      <c r="BC8" s="403">
        <v>52</v>
      </c>
      <c r="BD8" s="403">
        <v>54</v>
      </c>
      <c r="BE8" s="403">
        <v>51</v>
      </c>
      <c r="BF8" s="403">
        <v>37</v>
      </c>
      <c r="BG8" s="403">
        <v>75</v>
      </c>
      <c r="BH8" s="403">
        <v>36</v>
      </c>
      <c r="BI8" s="403">
        <v>41</v>
      </c>
      <c r="BJ8" s="403">
        <v>49</v>
      </c>
      <c r="BK8" s="403">
        <v>42</v>
      </c>
      <c r="BL8" s="403">
        <v>73</v>
      </c>
      <c r="BM8" s="403">
        <v>101</v>
      </c>
      <c r="BN8" s="403">
        <v>96</v>
      </c>
      <c r="BO8" s="403">
        <v>129</v>
      </c>
      <c r="BP8" s="403">
        <v>105</v>
      </c>
      <c r="BQ8" s="403">
        <v>81</v>
      </c>
      <c r="BR8" s="403">
        <v>56</v>
      </c>
      <c r="BS8" s="403">
        <v>62</v>
      </c>
      <c r="BT8" s="403">
        <v>55</v>
      </c>
      <c r="BU8" s="403">
        <v>52</v>
      </c>
      <c r="BV8" s="403">
        <f>COUNTIF(VVMV!B:B,"export")</f>
        <v>37</v>
      </c>
    </row>
    <row r="9" spans="3:74" ht="19.5" customHeight="1">
      <c r="C9" s="893"/>
      <c r="D9" s="895"/>
      <c r="E9" s="32">
        <f>733.118279569892+34.08</f>
        <v>767.19827956989207</v>
      </c>
      <c r="F9" s="39">
        <f>14615000/23250+161.2903+40.92-150.54</f>
        <v>680.27245053763443</v>
      </c>
      <c r="G9" s="32">
        <f>14460000/23250+16.78</f>
        <v>638.71548387096766</v>
      </c>
      <c r="H9" s="32">
        <f>13590000/23250+28.08</f>
        <v>612.59612903225809</v>
      </c>
      <c r="I9" s="32">
        <f>15425000/23250+37.62</f>
        <v>701.06086021505382</v>
      </c>
      <c r="J9" s="32">
        <f>802.37+17.67</f>
        <v>820.04</v>
      </c>
      <c r="K9" s="32">
        <f>482.58064516129+8.6+18.16</f>
        <v>509.34064516129007</v>
      </c>
      <c r="L9" s="32">
        <f>605+23.65</f>
        <v>628.65</v>
      </c>
      <c r="M9" s="32">
        <f>505.161290322581+64.52+17.2+20.72</f>
        <v>607.60129032258112</v>
      </c>
      <c r="N9" s="32">
        <f>736.13+22.05</f>
        <v>758.18</v>
      </c>
      <c r="O9" s="32">
        <f>925.81+33.4</f>
        <v>959.20999999999992</v>
      </c>
      <c r="P9" s="32">
        <f>611.18+22</f>
        <v>633.17999999999995</v>
      </c>
      <c r="Q9" s="32">
        <f>667.53+30.167</f>
        <v>697.697</v>
      </c>
      <c r="R9" s="32">
        <v>1134.19</v>
      </c>
      <c r="S9" s="32">
        <f>954.41+30.32</f>
        <v>984.73</v>
      </c>
      <c r="T9" s="32">
        <f>619.35+33.95</f>
        <v>653.30000000000007</v>
      </c>
      <c r="U9" s="32">
        <f>712.26+1300+20.046</f>
        <v>2032.306</v>
      </c>
      <c r="V9" s="7">
        <v>660.43</v>
      </c>
      <c r="W9" s="7">
        <f>930.32+35.78</f>
        <v>966.1</v>
      </c>
      <c r="X9" s="7">
        <f>754.62+29.54</f>
        <v>784.16</v>
      </c>
      <c r="Y9" s="7">
        <f>510.75+22.54</f>
        <v>533.29</v>
      </c>
      <c r="Z9" s="7">
        <f>713.12+28.748</f>
        <v>741.86800000000005</v>
      </c>
      <c r="AA9" s="7">
        <f>505.161290322581+64.52+27.79</f>
        <v>597.47129032258101</v>
      </c>
      <c r="AB9" s="7">
        <f>435.483870967742+18.46</f>
        <v>453.94387096774199</v>
      </c>
      <c r="AC9" s="7">
        <f>597.85+8.6+34.534</f>
        <v>640.98400000000004</v>
      </c>
      <c r="AD9" s="7">
        <f>865.81+37.71</f>
        <v>903.52</v>
      </c>
      <c r="AE9" s="7">
        <f>797.42+45</f>
        <v>842.42</v>
      </c>
      <c r="AF9" s="7">
        <f>441.08+22.039</f>
        <v>463.11899999999997</v>
      </c>
      <c r="AG9" s="7">
        <f>351.4+21.35</f>
        <v>372.75</v>
      </c>
      <c r="AH9" s="7">
        <f>578.49+18.34</f>
        <v>596.83000000000004</v>
      </c>
      <c r="AI9" s="7">
        <f>477.42+17.96</f>
        <v>495.38</v>
      </c>
      <c r="AJ9" s="7">
        <f>660.22+35.38</f>
        <v>695.6</v>
      </c>
      <c r="AK9" s="7">
        <f>516.129032258065+23.24</f>
        <v>539.36903225806498</v>
      </c>
      <c r="AL9" s="7">
        <f>556.99+14.4</f>
        <v>571.39</v>
      </c>
      <c r="AM9" s="7">
        <f>787.1+29.54</f>
        <v>816.64</v>
      </c>
      <c r="AN9" s="7">
        <f>703.23+25.2</f>
        <v>728.43000000000006</v>
      </c>
      <c r="AO9" s="7">
        <f>535.48+27.008</f>
        <v>562.48800000000006</v>
      </c>
      <c r="AP9" s="7">
        <f>752.688172043011+20.98</f>
        <v>773.66817204301105</v>
      </c>
      <c r="AQ9" s="7">
        <f>688.17+29.3</f>
        <v>717.46999999999991</v>
      </c>
      <c r="AR9" s="7">
        <f>606.45+17.41</f>
        <v>623.86</v>
      </c>
      <c r="AS9" s="7">
        <f>449.46+27.5</f>
        <v>476.96</v>
      </c>
      <c r="AT9" s="7">
        <f>12150000/23250+28.12</f>
        <v>550.70064516129037</v>
      </c>
      <c r="AU9" s="7">
        <f>595.7+17.649</f>
        <v>613.34900000000005</v>
      </c>
      <c r="AV9" s="7">
        <f>800+24.65</f>
        <v>824.65</v>
      </c>
      <c r="AW9" s="7">
        <f>675.51+25.4</f>
        <v>700.91</v>
      </c>
      <c r="AX9" s="7">
        <f>595.918367346939+21.39717</f>
        <v>617.31553734693898</v>
      </c>
      <c r="AY9" s="7">
        <f>642.86+24.25</f>
        <v>667.11</v>
      </c>
      <c r="AZ9" s="7">
        <f>577.55+25.0635</f>
        <v>602.61349999999993</v>
      </c>
      <c r="BA9" s="7">
        <f>943+29.62</f>
        <v>972.62</v>
      </c>
      <c r="BB9" s="7">
        <v>965.07252470588242</v>
      </c>
      <c r="BC9" s="7">
        <f>1132+40.343</f>
        <v>1172.3430000000001</v>
      </c>
      <c r="BD9" s="7">
        <f>1211.6+36.99802</f>
        <v>1248.5980199999999</v>
      </c>
      <c r="BE9" s="7">
        <f>956+51.51</f>
        <v>1007.51</v>
      </c>
      <c r="BF9" s="7">
        <f>702+31.05574</f>
        <v>733.05574000000001</v>
      </c>
      <c r="BG9" s="7">
        <v>1327.1604938271605</v>
      </c>
      <c r="BH9" s="7">
        <f>617.83+27.4</f>
        <v>645.23</v>
      </c>
      <c r="BI9" s="7">
        <v>801.037330282227</v>
      </c>
      <c r="BJ9" s="7">
        <f>(19600000+3500000)/26320+26.94</f>
        <v>904.59957446808517</v>
      </c>
      <c r="BK9" s="7">
        <f>806.818181818182+28.12</f>
        <v>834.93818181818199</v>
      </c>
      <c r="BL9" s="7">
        <f>1203.53+43.51</f>
        <v>1247.04</v>
      </c>
      <c r="BM9" s="7">
        <f>1913.23+96.9</f>
        <v>2010.13</v>
      </c>
      <c r="BN9" s="7">
        <f>1616.26+54.86</f>
        <v>1671.12</v>
      </c>
      <c r="BO9" s="7">
        <f>2148.8886364497+105.2867</f>
        <v>2254.1753364496999</v>
      </c>
      <c r="BP9" s="7">
        <v>1875.6633813495071</v>
      </c>
      <c r="BQ9" s="7">
        <v>1522.5707727620525</v>
      </c>
      <c r="BR9" s="7">
        <v>1003.5351807503718</v>
      </c>
      <c r="BS9" s="7">
        <v>1139.8550999506888</v>
      </c>
      <c r="BT9" s="7">
        <v>1099.8596730761938</v>
      </c>
      <c r="BU9" s="7">
        <v>996.06120284805354</v>
      </c>
      <c r="BV9" s="41">
        <f>SUMIF(VVMV!B:B,"Export",VVMV!J:J)</f>
        <v>659.4361726248959</v>
      </c>
    </row>
    <row r="10" spans="3:74" s="148" customFormat="1" ht="19.5" customHeight="1">
      <c r="C10" s="893"/>
      <c r="D10" s="895" t="s">
        <v>54</v>
      </c>
      <c r="E10" s="403">
        <v>6</v>
      </c>
      <c r="F10" s="403">
        <v>5</v>
      </c>
      <c r="G10" s="403">
        <v>5</v>
      </c>
      <c r="H10" s="403">
        <v>7</v>
      </c>
      <c r="I10" s="403">
        <v>4</v>
      </c>
      <c r="J10" s="403">
        <v>5</v>
      </c>
      <c r="K10" s="403">
        <v>6</v>
      </c>
      <c r="L10" s="403">
        <v>6</v>
      </c>
      <c r="M10" s="403">
        <v>5</v>
      </c>
      <c r="N10" s="403">
        <v>7</v>
      </c>
      <c r="O10" s="403">
        <v>4</v>
      </c>
      <c r="P10" s="403">
        <v>3</v>
      </c>
      <c r="Q10" s="403">
        <v>7</v>
      </c>
      <c r="R10" s="403">
        <v>5</v>
      </c>
      <c r="S10" s="403">
        <v>6</v>
      </c>
      <c r="T10" s="403">
        <v>5</v>
      </c>
      <c r="U10" s="403">
        <v>9</v>
      </c>
      <c r="V10" s="403">
        <v>3</v>
      </c>
      <c r="W10" s="403">
        <v>9</v>
      </c>
      <c r="X10" s="403">
        <v>4</v>
      </c>
      <c r="Y10" s="403">
        <v>5</v>
      </c>
      <c r="Z10" s="403">
        <v>6</v>
      </c>
      <c r="AA10" s="403">
        <v>5</v>
      </c>
      <c r="AB10" s="403">
        <v>4</v>
      </c>
      <c r="AC10" s="403">
        <v>7</v>
      </c>
      <c r="AD10" s="403">
        <v>5</v>
      </c>
      <c r="AE10" s="403">
        <v>9</v>
      </c>
      <c r="AF10" s="403">
        <v>6</v>
      </c>
      <c r="AG10" s="403">
        <v>4</v>
      </c>
      <c r="AH10" s="403">
        <v>4</v>
      </c>
      <c r="AI10" s="403">
        <v>6</v>
      </c>
      <c r="AJ10" s="403">
        <v>6</v>
      </c>
      <c r="AK10" s="403">
        <v>4</v>
      </c>
      <c r="AL10" s="403">
        <v>6</v>
      </c>
      <c r="AM10" s="403">
        <v>7</v>
      </c>
      <c r="AN10" s="403">
        <v>6</v>
      </c>
      <c r="AO10" s="403">
        <v>5</v>
      </c>
      <c r="AP10" s="403">
        <v>0</v>
      </c>
      <c r="AQ10" s="403">
        <v>8</v>
      </c>
      <c r="AR10" s="403">
        <v>6</v>
      </c>
      <c r="AS10" s="403">
        <v>6</v>
      </c>
      <c r="AT10" s="403">
        <v>4</v>
      </c>
      <c r="AU10" s="403">
        <v>6</v>
      </c>
      <c r="AV10" s="403">
        <v>8</v>
      </c>
      <c r="AW10" s="403">
        <v>8</v>
      </c>
      <c r="AX10" s="403">
        <v>8</v>
      </c>
      <c r="AY10" s="403">
        <v>5</v>
      </c>
      <c r="AZ10" s="403">
        <v>8</v>
      </c>
      <c r="BA10" s="403">
        <v>10</v>
      </c>
      <c r="BB10" s="403">
        <v>10</v>
      </c>
      <c r="BC10" s="403">
        <v>10</v>
      </c>
      <c r="BD10" s="403">
        <v>0</v>
      </c>
      <c r="BE10" s="403">
        <v>9</v>
      </c>
      <c r="BF10" s="403">
        <v>9</v>
      </c>
      <c r="BG10" s="403">
        <v>8</v>
      </c>
      <c r="BH10" s="403">
        <v>4</v>
      </c>
      <c r="BI10" s="403">
        <v>8</v>
      </c>
      <c r="BJ10" s="403">
        <v>9</v>
      </c>
      <c r="BK10" s="403">
        <v>9</v>
      </c>
      <c r="BL10" s="403">
        <v>8</v>
      </c>
      <c r="BM10" s="403">
        <v>12</v>
      </c>
      <c r="BN10" s="403">
        <v>8</v>
      </c>
      <c r="BO10" s="403">
        <v>9</v>
      </c>
      <c r="BP10" s="403">
        <v>16</v>
      </c>
      <c r="BQ10" s="403">
        <v>9</v>
      </c>
      <c r="BR10" s="403">
        <v>10</v>
      </c>
      <c r="BS10" s="403">
        <v>10</v>
      </c>
      <c r="BT10" s="403">
        <v>12</v>
      </c>
      <c r="BU10" s="403">
        <v>7</v>
      </c>
      <c r="BV10" s="403">
        <f>COUNTIFS(VVMV!B:B,"export",VVMV!W:W,"&gt;=0")</f>
        <v>7</v>
      </c>
    </row>
    <row r="11" spans="3:74" ht="19.5" customHeight="1">
      <c r="C11" s="893"/>
      <c r="D11" s="895"/>
      <c r="E11" s="32">
        <v>92.903225806451616</v>
      </c>
      <c r="F11" s="39">
        <f>5880000/23250+150.54</f>
        <v>403.44322580645161</v>
      </c>
      <c r="G11" s="32">
        <f>1680000/23250</f>
        <v>72.258064516129039</v>
      </c>
      <c r="H11" s="32">
        <f>5700000/23250+152.69</f>
        <v>397.85129032258067</v>
      </c>
      <c r="I11" s="32">
        <f>1200000/23250</f>
        <v>51.612903225806448</v>
      </c>
      <c r="J11" s="32">
        <v>184.94623655913978</v>
      </c>
      <c r="K11" s="32">
        <v>92.903225806451601</v>
      </c>
      <c r="L11" s="32">
        <f>240+152.69</f>
        <v>392.69</v>
      </c>
      <c r="M11" s="32">
        <v>64.516129032258064</v>
      </c>
      <c r="N11" s="32">
        <f>136.774193548387+12.9</f>
        <v>149.674193548387</v>
      </c>
      <c r="O11" s="32">
        <v>82.58064516129032</v>
      </c>
      <c r="P11" s="32">
        <v>61.94</v>
      </c>
      <c r="Q11" s="32">
        <v>201.29</v>
      </c>
      <c r="R11" s="32">
        <v>103.2258064516129</v>
      </c>
      <c r="S11" s="32">
        <v>123.87096774193549</v>
      </c>
      <c r="T11" s="32">
        <v>103.2258064516129</v>
      </c>
      <c r="U11" s="32">
        <v>325.16129032258067</v>
      </c>
      <c r="V11" s="32">
        <v>89.1</v>
      </c>
      <c r="W11" s="7">
        <v>185.80645161290323</v>
      </c>
      <c r="X11" s="7">
        <v>82.58064516129032</v>
      </c>
      <c r="Y11" s="7">
        <v>103.2258064516129</v>
      </c>
      <c r="Z11" s="7">
        <v>123.87096774193549</v>
      </c>
      <c r="AA11" s="7">
        <v>103.2258064516129</v>
      </c>
      <c r="AB11" s="7">
        <v>82.58</v>
      </c>
      <c r="AC11" s="7">
        <v>144.51612903225808</v>
      </c>
      <c r="AD11" s="7">
        <v>103.2258064516129</v>
      </c>
      <c r="AE11" s="7">
        <v>185.80645161290323</v>
      </c>
      <c r="AF11" s="7">
        <v>123.87096774193549</v>
      </c>
      <c r="AG11" s="7">
        <v>82.58</v>
      </c>
      <c r="AH11" s="7">
        <v>82.58064516129032</v>
      </c>
      <c r="AI11" s="7">
        <v>123.87096774193549</v>
      </c>
      <c r="AJ11" s="7">
        <v>123.87096774193549</v>
      </c>
      <c r="AK11" s="7">
        <v>82.58064516129032</v>
      </c>
      <c r="AL11" s="7">
        <v>123.87</v>
      </c>
      <c r="AM11" s="7">
        <v>144.52000000000001</v>
      </c>
      <c r="AN11" s="7">
        <v>103.2258064516129</v>
      </c>
      <c r="AO11" s="7">
        <v>103.2258064516129</v>
      </c>
      <c r="AP11" s="7">
        <v>0</v>
      </c>
      <c r="AQ11" s="7">
        <v>165.16129032258064</v>
      </c>
      <c r="AR11" s="7">
        <v>123.87096774193549</v>
      </c>
      <c r="AS11" s="7">
        <v>123.87096774193549</v>
      </c>
      <c r="AT11" s="7">
        <f>1920000/23250</f>
        <v>82.58064516129032</v>
      </c>
      <c r="AU11" s="7">
        <v>123.870967741935</v>
      </c>
      <c r="AV11" s="7">
        <v>160</v>
      </c>
      <c r="AW11" s="7">
        <v>156.73469387755102</v>
      </c>
      <c r="AX11" s="7">
        <v>156.73469387755102</v>
      </c>
      <c r="AY11" s="7">
        <v>97.959183673469383</v>
      </c>
      <c r="AZ11" s="7">
        <v>156.73469387755102</v>
      </c>
      <c r="BA11" s="7">
        <f>4800000/24500</f>
        <v>195.91836734693877</v>
      </c>
      <c r="BB11" s="7">
        <v>188.23529411764707</v>
      </c>
      <c r="BC11" s="7">
        <v>192</v>
      </c>
      <c r="BD11" s="7">
        <v>0</v>
      </c>
      <c r="BE11" s="7">
        <v>172.8</v>
      </c>
      <c r="BF11" s="7">
        <v>172.8</v>
      </c>
      <c r="BG11" s="7">
        <v>148.14814814814815</v>
      </c>
      <c r="BH11" s="7">
        <v>73.45065034429993</v>
      </c>
      <c r="BI11" s="7">
        <v>166.285278413425</v>
      </c>
      <c r="BJ11" s="41">
        <v>166.285278413425</v>
      </c>
      <c r="BK11" s="41">
        <v>163.63636363636363</v>
      </c>
      <c r="BL11" s="41">
        <v>144.64911289411233</v>
      </c>
      <c r="BM11" s="41">
        <v>218.43831772156699</v>
      </c>
      <c r="BN11" s="41">
        <v>145.52069122328331</v>
      </c>
      <c r="BO11" s="41">
        <f>4590000/26409</f>
        <v>173.80438486879473</v>
      </c>
      <c r="BP11" s="41">
        <v>301.36467020470047</v>
      </c>
      <c r="BQ11" s="41">
        <v>165.26396327467481</v>
      </c>
      <c r="BR11" s="41">
        <v>192.72436993955984</v>
      </c>
      <c r="BS11" s="41">
        <v>182.07336039145775</v>
      </c>
      <c r="BT11" s="41">
        <v>218.45488679030612</v>
      </c>
      <c r="BU11" s="41">
        <v>127.25344644750795</v>
      </c>
      <c r="BV11" s="41">
        <f>SUMIF(VVMV!B:B,"export",VVMV!K:K)</f>
        <v>158.71816189252516</v>
      </c>
    </row>
    <row r="12" spans="3:74" s="148" customFormat="1" ht="19.5" customHeight="1">
      <c r="C12" s="893"/>
      <c r="D12" s="894" t="s">
        <v>55</v>
      </c>
      <c r="E12" s="403">
        <v>6</v>
      </c>
      <c r="F12" s="403">
        <v>5</v>
      </c>
      <c r="G12" s="403">
        <v>3</v>
      </c>
      <c r="H12" s="87">
        <v>5</v>
      </c>
      <c r="I12" s="87">
        <v>3</v>
      </c>
      <c r="J12" s="87">
        <v>3</v>
      </c>
      <c r="K12" s="403">
        <v>6</v>
      </c>
      <c r="L12" s="403">
        <v>6</v>
      </c>
      <c r="M12" s="403">
        <v>4</v>
      </c>
      <c r="N12" s="403" t="s">
        <v>79</v>
      </c>
      <c r="O12" s="403">
        <v>4</v>
      </c>
      <c r="P12" s="403">
        <v>3</v>
      </c>
      <c r="Q12" s="403">
        <v>6</v>
      </c>
      <c r="R12" s="403">
        <v>4</v>
      </c>
      <c r="S12" s="403">
        <v>5</v>
      </c>
      <c r="T12" s="403">
        <v>4</v>
      </c>
      <c r="U12" s="403">
        <v>6</v>
      </c>
      <c r="V12" s="403">
        <v>0</v>
      </c>
      <c r="W12" s="403">
        <v>0</v>
      </c>
      <c r="X12" s="403">
        <v>0</v>
      </c>
      <c r="Y12" s="403">
        <v>0</v>
      </c>
      <c r="Z12" s="403">
        <v>0</v>
      </c>
      <c r="AA12" s="403">
        <v>0</v>
      </c>
      <c r="AB12" s="403">
        <v>0</v>
      </c>
      <c r="AC12" s="403">
        <v>2</v>
      </c>
      <c r="AD12" s="403">
        <v>0</v>
      </c>
      <c r="AE12" s="403">
        <v>1</v>
      </c>
      <c r="AF12" s="403">
        <v>0</v>
      </c>
      <c r="AG12" s="403">
        <v>1</v>
      </c>
      <c r="AH12" s="403">
        <v>0</v>
      </c>
      <c r="AI12" s="403">
        <v>0</v>
      </c>
      <c r="AJ12" s="403">
        <v>0</v>
      </c>
      <c r="AK12" s="403">
        <v>4</v>
      </c>
      <c r="AL12" s="403">
        <v>0</v>
      </c>
      <c r="AM12" s="403">
        <v>0</v>
      </c>
      <c r="AN12" s="403">
        <v>0</v>
      </c>
      <c r="AO12" s="403">
        <v>1</v>
      </c>
      <c r="AP12" s="403">
        <v>0</v>
      </c>
      <c r="AQ12" s="403">
        <v>0</v>
      </c>
      <c r="AR12" s="403">
        <v>0</v>
      </c>
      <c r="AS12" s="403">
        <v>1</v>
      </c>
      <c r="AT12" s="403">
        <v>0</v>
      </c>
      <c r="AU12" s="403">
        <v>0</v>
      </c>
      <c r="AV12" s="403">
        <v>1</v>
      </c>
      <c r="AW12" s="403">
        <v>0</v>
      </c>
      <c r="AX12" s="403">
        <v>0</v>
      </c>
      <c r="AY12" s="403">
        <v>0</v>
      </c>
      <c r="AZ12" s="403">
        <v>0</v>
      </c>
      <c r="BA12" s="403">
        <v>0</v>
      </c>
      <c r="BB12" s="403">
        <v>0</v>
      </c>
      <c r="BC12" s="403">
        <v>0</v>
      </c>
      <c r="BD12" s="403">
        <v>0</v>
      </c>
      <c r="BE12" s="403">
        <v>0</v>
      </c>
      <c r="BF12" s="403">
        <v>0</v>
      </c>
      <c r="BG12" s="403">
        <v>0</v>
      </c>
      <c r="BH12" s="403">
        <v>0</v>
      </c>
      <c r="BI12" s="403">
        <v>0</v>
      </c>
      <c r="BJ12" s="403">
        <v>0</v>
      </c>
      <c r="BK12" s="403">
        <v>0</v>
      </c>
      <c r="BL12" s="403">
        <v>0</v>
      </c>
      <c r="BM12" s="403">
        <v>0</v>
      </c>
      <c r="BN12" s="403">
        <v>1</v>
      </c>
      <c r="BO12" s="403">
        <v>2</v>
      </c>
      <c r="BP12" s="403">
        <v>11</v>
      </c>
      <c r="BQ12" s="403">
        <v>1</v>
      </c>
      <c r="BR12" s="403">
        <v>0</v>
      </c>
      <c r="BS12" s="403">
        <v>0</v>
      </c>
      <c r="BT12" s="403">
        <v>0</v>
      </c>
      <c r="BU12" s="403">
        <v>0</v>
      </c>
      <c r="BV12" s="403">
        <f>COUNTIFS(VVMV!B:B,"export",VVMV!AF:AF,"&gt;0")</f>
        <v>0</v>
      </c>
    </row>
    <row r="13" spans="3:74" ht="19.5" customHeight="1">
      <c r="C13" s="893"/>
      <c r="D13" s="894"/>
      <c r="E13" s="32">
        <v>39.214408602150534</v>
      </c>
      <c r="F13" s="39">
        <v>104.4290752688172</v>
      </c>
      <c r="G13" s="32">
        <f>495000/23250</f>
        <v>21.29032258064516</v>
      </c>
      <c r="H13" s="32">
        <v>323.22580645161293</v>
      </c>
      <c r="I13" s="32">
        <f>495000/23250</f>
        <v>21.29032258064516</v>
      </c>
      <c r="J13" s="32">
        <v>29.745548387096775</v>
      </c>
      <c r="K13" s="32">
        <v>62.752516129032259</v>
      </c>
      <c r="L13" s="32">
        <v>92.077634408602151</v>
      </c>
      <c r="M13" s="32">
        <v>28.387096774193548</v>
      </c>
      <c r="N13" s="32">
        <v>63.186838709677417</v>
      </c>
      <c r="O13" s="32">
        <v>28.387096774193548</v>
      </c>
      <c r="P13" s="32">
        <v>21.29</v>
      </c>
      <c r="Q13" s="32">
        <v>35.483870967741936</v>
      </c>
      <c r="R13" s="32">
        <v>32.043010752688176</v>
      </c>
      <c r="S13" s="32">
        <v>35.479999999999997</v>
      </c>
      <c r="T13" s="32">
        <v>28.387096774193548</v>
      </c>
      <c r="U13" s="32">
        <v>104.9</v>
      </c>
      <c r="V13" s="32">
        <v>0</v>
      </c>
      <c r="W13" s="32">
        <v>0</v>
      </c>
      <c r="X13" s="32">
        <v>0</v>
      </c>
      <c r="Y13" s="32">
        <v>0</v>
      </c>
      <c r="Z13" s="32">
        <v>0</v>
      </c>
      <c r="AA13" s="32">
        <v>0</v>
      </c>
      <c r="AB13" s="32">
        <v>3.68</v>
      </c>
      <c r="AC13" s="32">
        <v>112.3385376344086</v>
      </c>
      <c r="AD13" s="32">
        <v>0</v>
      </c>
      <c r="AE13" s="32">
        <f>101.458279569892+150</f>
        <v>251.458279569892</v>
      </c>
      <c r="AF13" s="32">
        <v>0</v>
      </c>
      <c r="AG13" s="32">
        <v>137.45032258064515</v>
      </c>
      <c r="AH13" s="32">
        <v>0</v>
      </c>
      <c r="AI13" s="32">
        <v>0</v>
      </c>
      <c r="AJ13" s="32">
        <v>0</v>
      </c>
      <c r="AK13" s="7">
        <v>43.01075268817204</v>
      </c>
      <c r="AL13" s="7">
        <v>0</v>
      </c>
      <c r="AM13" s="7">
        <v>0</v>
      </c>
      <c r="AN13" s="7">
        <v>0</v>
      </c>
      <c r="AO13" s="7">
        <v>25.806451612903224</v>
      </c>
      <c r="AP13" s="7">
        <v>0</v>
      </c>
      <c r="AQ13" s="7">
        <v>0</v>
      </c>
      <c r="AR13" s="7">
        <v>0</v>
      </c>
      <c r="AS13" s="7">
        <v>4.1204731182795697</v>
      </c>
      <c r="AT13" s="7">
        <v>0</v>
      </c>
      <c r="AU13" s="7">
        <v>0</v>
      </c>
      <c r="AV13" s="7">
        <v>33.384791666666665</v>
      </c>
      <c r="AW13" s="7">
        <v>0</v>
      </c>
      <c r="AX13" s="7">
        <v>0</v>
      </c>
      <c r="AY13" s="7">
        <v>0</v>
      </c>
      <c r="AZ13" s="7">
        <v>0</v>
      </c>
      <c r="BA13" s="7">
        <v>0</v>
      </c>
      <c r="BB13" s="7">
        <v>0</v>
      </c>
      <c r="BC13" s="7">
        <v>0</v>
      </c>
      <c r="BD13" s="7">
        <v>0</v>
      </c>
      <c r="BE13" s="7">
        <v>0</v>
      </c>
      <c r="BF13" s="7">
        <v>0</v>
      </c>
      <c r="BG13" s="7">
        <v>0</v>
      </c>
      <c r="BH13" s="7">
        <v>0</v>
      </c>
      <c r="BI13" s="7">
        <v>0</v>
      </c>
      <c r="BJ13" s="7">
        <v>0</v>
      </c>
      <c r="BK13" s="7">
        <v>0</v>
      </c>
      <c r="BL13" s="7">
        <v>0</v>
      </c>
      <c r="BM13" s="7">
        <v>0</v>
      </c>
      <c r="BN13" s="7">
        <f>378000/26388</f>
        <v>14.324693042291951</v>
      </c>
      <c r="BO13" s="7">
        <f>49469/26409</f>
        <v>1.8731871710401757</v>
      </c>
      <c r="BP13" s="7">
        <v>11.775208491281271</v>
      </c>
      <c r="BQ13" s="7">
        <v>11.999081866870696</v>
      </c>
      <c r="BR13" s="7">
        <v>0</v>
      </c>
      <c r="BS13" s="7">
        <v>0</v>
      </c>
      <c r="BT13" s="7">
        <v>0</v>
      </c>
      <c r="BU13" s="7">
        <v>0</v>
      </c>
      <c r="BV13" s="41">
        <f>SUMIF(VVMV!B:B,"export",VVMV!M:M)</f>
        <v>0</v>
      </c>
    </row>
    <row r="14" spans="3:74" s="148" customFormat="1" ht="19.5" customHeight="1">
      <c r="C14" s="893" t="s">
        <v>1</v>
      </c>
      <c r="D14" s="894" t="s">
        <v>71</v>
      </c>
      <c r="E14" s="405">
        <v>0</v>
      </c>
      <c r="F14" s="405">
        <v>0</v>
      </c>
      <c r="G14" s="405">
        <v>0</v>
      </c>
      <c r="H14" s="405">
        <v>0</v>
      </c>
      <c r="I14" s="405">
        <v>0</v>
      </c>
      <c r="J14" s="405">
        <v>0</v>
      </c>
      <c r="K14" s="405">
        <v>0</v>
      </c>
      <c r="L14" s="405">
        <v>0</v>
      </c>
      <c r="M14" s="405">
        <v>0</v>
      </c>
      <c r="N14" s="405">
        <v>1</v>
      </c>
      <c r="O14" s="405">
        <v>0</v>
      </c>
      <c r="P14" s="405">
        <v>0</v>
      </c>
      <c r="Q14" s="405">
        <v>0</v>
      </c>
      <c r="R14" s="405">
        <v>0</v>
      </c>
      <c r="S14" s="405">
        <v>0</v>
      </c>
      <c r="T14" s="405">
        <v>0</v>
      </c>
      <c r="U14" s="405">
        <v>2</v>
      </c>
      <c r="V14" s="405">
        <v>0</v>
      </c>
      <c r="W14" s="405">
        <v>0</v>
      </c>
      <c r="X14" s="405">
        <v>2</v>
      </c>
      <c r="Y14" s="405">
        <v>0</v>
      </c>
      <c r="Z14" s="405">
        <v>1</v>
      </c>
      <c r="AA14" s="405">
        <v>0</v>
      </c>
      <c r="AB14" s="405">
        <v>0</v>
      </c>
      <c r="AC14" s="405">
        <v>0</v>
      </c>
      <c r="AD14" s="405">
        <v>0</v>
      </c>
      <c r="AE14" s="405">
        <v>0</v>
      </c>
      <c r="AF14" s="405">
        <v>0</v>
      </c>
      <c r="AG14" s="405">
        <v>0</v>
      </c>
      <c r="AH14" s="405">
        <v>0</v>
      </c>
      <c r="AI14" s="405">
        <v>0</v>
      </c>
      <c r="AJ14" s="405">
        <v>0</v>
      </c>
      <c r="AK14" s="405">
        <v>0</v>
      </c>
      <c r="AL14" s="405">
        <v>0</v>
      </c>
      <c r="AM14" s="405">
        <v>0</v>
      </c>
      <c r="AN14" s="405">
        <v>0</v>
      </c>
      <c r="AO14" s="405">
        <v>0</v>
      </c>
      <c r="AP14" s="87">
        <v>0</v>
      </c>
      <c r="AQ14" s="87">
        <v>0</v>
      </c>
      <c r="AR14" s="87">
        <v>1</v>
      </c>
      <c r="AS14" s="87">
        <v>0</v>
      </c>
      <c r="AT14" s="87">
        <v>0</v>
      </c>
      <c r="AU14" s="87">
        <v>2</v>
      </c>
      <c r="AV14" s="87">
        <v>0</v>
      </c>
      <c r="AW14" s="87">
        <v>1</v>
      </c>
      <c r="AX14" s="87">
        <v>0</v>
      </c>
      <c r="AY14" s="87">
        <v>0</v>
      </c>
      <c r="AZ14" s="87">
        <v>0</v>
      </c>
      <c r="BA14" s="87">
        <v>2</v>
      </c>
      <c r="BB14" s="87">
        <v>1</v>
      </c>
      <c r="BC14" s="87">
        <v>1</v>
      </c>
      <c r="BD14" s="87">
        <v>1</v>
      </c>
      <c r="BE14" s="403">
        <v>1</v>
      </c>
      <c r="BF14" s="403">
        <v>0</v>
      </c>
      <c r="BG14" s="403">
        <v>0</v>
      </c>
      <c r="BH14" s="403">
        <v>0</v>
      </c>
      <c r="BI14" s="403">
        <v>1</v>
      </c>
      <c r="BJ14" s="403">
        <v>2</v>
      </c>
      <c r="BK14" s="403">
        <v>1</v>
      </c>
      <c r="BL14" s="403">
        <v>0</v>
      </c>
      <c r="BM14" s="403">
        <v>0</v>
      </c>
      <c r="BN14" s="403">
        <v>2</v>
      </c>
      <c r="BO14" s="403">
        <v>2</v>
      </c>
      <c r="BP14" s="403">
        <v>0</v>
      </c>
      <c r="BQ14" s="403">
        <v>1</v>
      </c>
      <c r="BR14" s="403">
        <v>0</v>
      </c>
      <c r="BS14" s="403">
        <v>0</v>
      </c>
      <c r="BT14" s="403">
        <v>0</v>
      </c>
      <c r="BU14" s="403">
        <v>0</v>
      </c>
      <c r="BV14" s="403">
        <f>COUNTIFS(VVMV!E:E,"Import",VVMV!N:N,"AIR",VVMV!L:L,"&gt;0")</f>
        <v>2</v>
      </c>
    </row>
    <row r="15" spans="3:74" ht="19.5" customHeight="1">
      <c r="C15" s="893"/>
      <c r="D15" s="894"/>
      <c r="E15" s="7">
        <v>0</v>
      </c>
      <c r="F15" s="7">
        <v>0</v>
      </c>
      <c r="G15" s="7">
        <v>0</v>
      </c>
      <c r="H15" s="7">
        <v>0</v>
      </c>
      <c r="I15" s="7">
        <v>0</v>
      </c>
      <c r="J15" s="7">
        <v>0</v>
      </c>
      <c r="K15" s="7">
        <v>0</v>
      </c>
      <c r="L15" s="7">
        <v>0</v>
      </c>
      <c r="M15" s="7">
        <v>0</v>
      </c>
      <c r="N15" s="7">
        <v>567.76051612903234</v>
      </c>
      <c r="O15" s="7">
        <v>0</v>
      </c>
      <c r="P15" s="41">
        <v>0</v>
      </c>
      <c r="Q15" s="41">
        <v>0</v>
      </c>
      <c r="R15" s="41">
        <v>0</v>
      </c>
      <c r="S15" s="41">
        <v>0</v>
      </c>
      <c r="T15" s="41">
        <v>0</v>
      </c>
      <c r="U15" s="41">
        <v>3397.65</v>
      </c>
      <c r="V15" s="41">
        <v>0</v>
      </c>
      <c r="W15" s="41">
        <v>0</v>
      </c>
      <c r="X15" s="41">
        <v>5198.5233548387096</v>
      </c>
      <c r="Y15" s="41">
        <v>0</v>
      </c>
      <c r="Z15" s="41">
        <v>2759.1367741935483</v>
      </c>
      <c r="AA15" s="41">
        <v>0</v>
      </c>
      <c r="AB15" s="41">
        <v>0</v>
      </c>
      <c r="AC15" s="41">
        <v>0</v>
      </c>
      <c r="AD15" s="41">
        <v>0</v>
      </c>
      <c r="AE15" s="41">
        <v>0</v>
      </c>
      <c r="AF15" s="41">
        <v>0</v>
      </c>
      <c r="AG15" s="41">
        <v>0</v>
      </c>
      <c r="AH15" s="41">
        <v>0</v>
      </c>
      <c r="AI15" s="41">
        <v>0</v>
      </c>
      <c r="AJ15" s="41">
        <v>0</v>
      </c>
      <c r="AK15" s="41">
        <v>0</v>
      </c>
      <c r="AL15" s="41">
        <v>0</v>
      </c>
      <c r="AM15" s="41">
        <v>0</v>
      </c>
      <c r="AN15" s="41">
        <v>0</v>
      </c>
      <c r="AO15" s="41">
        <v>0</v>
      </c>
      <c r="AP15" s="41">
        <v>0</v>
      </c>
      <c r="AQ15" s="41">
        <v>0</v>
      </c>
      <c r="AR15" s="41">
        <v>735.55956989247306</v>
      </c>
      <c r="AS15" s="41">
        <v>0</v>
      </c>
      <c r="AT15" s="41">
        <v>0</v>
      </c>
      <c r="AU15" s="41">
        <v>1393.2360430107526</v>
      </c>
      <c r="AV15" s="41">
        <v>0</v>
      </c>
      <c r="AW15" s="41">
        <v>666.50383673469389</v>
      </c>
      <c r="AX15" s="41">
        <v>0</v>
      </c>
      <c r="AY15" s="41">
        <v>0</v>
      </c>
      <c r="AZ15" s="41">
        <v>0</v>
      </c>
      <c r="BA15" s="41">
        <v>1411.4575510204081</v>
      </c>
      <c r="BB15" s="76">
        <v>1394.2707137254904</v>
      </c>
      <c r="BC15" s="76">
        <f>26335678/25000</f>
        <v>1053.4271200000001</v>
      </c>
      <c r="BD15" s="7">
        <v>214.08879999999999</v>
      </c>
      <c r="BE15" s="7">
        <v>781.68799999999999</v>
      </c>
      <c r="BF15" s="41">
        <v>0</v>
      </c>
      <c r="BG15" s="41">
        <v>0</v>
      </c>
      <c r="BH15" s="41">
        <v>0</v>
      </c>
      <c r="BI15" s="41">
        <v>995.34266781083102</v>
      </c>
      <c r="BJ15" s="41">
        <v>2133.1930000000002</v>
      </c>
      <c r="BK15" s="41">
        <v>1290.4067424242423</v>
      </c>
      <c r="BL15" s="41">
        <v>0</v>
      </c>
      <c r="BM15" s="41">
        <v>0</v>
      </c>
      <c r="BN15" s="41">
        <v>2434.2700318326511</v>
      </c>
      <c r="BO15" s="41">
        <v>3759.91612707789</v>
      </c>
      <c r="BP15" s="41">
        <v>0</v>
      </c>
      <c r="BQ15" s="41">
        <v>817.20821729150725</v>
      </c>
      <c r="BR15" s="41">
        <v>0</v>
      </c>
      <c r="BS15" s="41">
        <v>0</v>
      </c>
      <c r="BT15" s="41">
        <v>0</v>
      </c>
      <c r="BU15" s="41">
        <v>0</v>
      </c>
      <c r="BV15" s="41">
        <f>SUMIFS(VVMV!L:L,VVMV!E:E,"import",VVMV!N:N,"Air")</f>
        <v>927.25481822991458</v>
      </c>
    </row>
    <row r="16" spans="3:74" s="148" customFormat="1" ht="19.5" customHeight="1">
      <c r="C16" s="893"/>
      <c r="D16" s="894" t="s">
        <v>72</v>
      </c>
      <c r="E16" s="403">
        <v>5</v>
      </c>
      <c r="F16" s="403">
        <v>7</v>
      </c>
      <c r="G16" s="403">
        <v>7</v>
      </c>
      <c r="H16" s="403">
        <v>6</v>
      </c>
      <c r="I16" s="403">
        <v>6</v>
      </c>
      <c r="J16" s="403">
        <v>4</v>
      </c>
      <c r="K16" s="403">
        <v>6</v>
      </c>
      <c r="L16" s="403">
        <v>6</v>
      </c>
      <c r="M16" s="403">
        <v>8</v>
      </c>
      <c r="N16" s="403">
        <v>7</v>
      </c>
      <c r="O16" s="403">
        <v>3</v>
      </c>
      <c r="P16" s="403" t="s">
        <v>80</v>
      </c>
      <c r="Q16" s="403">
        <v>5</v>
      </c>
      <c r="R16" s="403">
        <v>8</v>
      </c>
      <c r="S16" s="403">
        <v>9</v>
      </c>
      <c r="T16" s="403">
        <v>6</v>
      </c>
      <c r="U16" s="403">
        <v>12</v>
      </c>
      <c r="V16" s="403">
        <v>7</v>
      </c>
      <c r="W16" s="403">
        <v>7</v>
      </c>
      <c r="X16" s="403">
        <v>9</v>
      </c>
      <c r="Y16" s="403">
        <v>10</v>
      </c>
      <c r="Z16" s="403">
        <v>5</v>
      </c>
      <c r="AA16" s="403">
        <v>8</v>
      </c>
      <c r="AB16" s="403">
        <v>7</v>
      </c>
      <c r="AC16" s="403"/>
      <c r="AD16" s="403">
        <v>6</v>
      </c>
      <c r="AE16" s="403">
        <v>1</v>
      </c>
      <c r="AF16" s="403">
        <v>2</v>
      </c>
      <c r="AG16" s="405">
        <v>0</v>
      </c>
      <c r="AH16" s="405">
        <v>0</v>
      </c>
      <c r="AI16" s="405">
        <v>4</v>
      </c>
      <c r="AJ16" s="405">
        <v>3</v>
      </c>
      <c r="AK16" s="87">
        <v>3</v>
      </c>
      <c r="AL16" s="87">
        <v>4</v>
      </c>
      <c r="AM16" s="87">
        <v>5</v>
      </c>
      <c r="AN16" s="87">
        <v>4</v>
      </c>
      <c r="AO16" s="87">
        <v>9</v>
      </c>
      <c r="AP16" s="87">
        <v>7</v>
      </c>
      <c r="AQ16" s="87">
        <v>4</v>
      </c>
      <c r="AR16" s="87">
        <v>5</v>
      </c>
      <c r="AS16" s="87">
        <v>7</v>
      </c>
      <c r="AT16" s="87">
        <v>7</v>
      </c>
      <c r="AU16" s="87">
        <v>9</v>
      </c>
      <c r="AV16" s="87">
        <v>8</v>
      </c>
      <c r="AW16" s="87">
        <v>8</v>
      </c>
      <c r="AX16" s="87">
        <v>8</v>
      </c>
      <c r="AY16" s="87">
        <v>8</v>
      </c>
      <c r="AZ16" s="87">
        <v>10</v>
      </c>
      <c r="BA16" s="87">
        <v>6</v>
      </c>
      <c r="BB16" s="87">
        <v>13</v>
      </c>
      <c r="BC16" s="87">
        <v>15</v>
      </c>
      <c r="BD16" s="87">
        <v>9</v>
      </c>
      <c r="BE16" s="403">
        <v>13</v>
      </c>
      <c r="BF16" s="403">
        <v>10</v>
      </c>
      <c r="BG16" s="403">
        <v>12</v>
      </c>
      <c r="BH16" s="403">
        <v>12</v>
      </c>
      <c r="BI16" s="403">
        <v>12</v>
      </c>
      <c r="BJ16" s="403">
        <v>12</v>
      </c>
      <c r="BK16" s="403">
        <v>10</v>
      </c>
      <c r="BL16" s="403">
        <v>24</v>
      </c>
      <c r="BM16" s="403">
        <v>18</v>
      </c>
      <c r="BN16" s="403">
        <v>25</v>
      </c>
      <c r="BO16" s="403">
        <v>17</v>
      </c>
      <c r="BP16" s="403">
        <v>20</v>
      </c>
      <c r="BQ16" s="403">
        <v>13</v>
      </c>
      <c r="BR16" s="403">
        <v>12</v>
      </c>
      <c r="BS16" s="403">
        <v>10</v>
      </c>
      <c r="BT16" s="403">
        <v>13</v>
      </c>
      <c r="BU16" s="403">
        <v>7</v>
      </c>
      <c r="BV16" s="403">
        <f>COUNTIFS(VVMV!E:E,"Import",VVMV!N:N,"SEA",VVMV!L:L,"&gt;0")</f>
        <v>12</v>
      </c>
    </row>
    <row r="17" spans="3:74" ht="19.5" customHeight="1">
      <c r="C17" s="893"/>
      <c r="D17" s="894"/>
      <c r="E17" s="7">
        <v>2964.5104774193546</v>
      </c>
      <c r="F17" s="41">
        <v>3329.1682795698925</v>
      </c>
      <c r="G17" s="32">
        <v>2272.9116860215054</v>
      </c>
      <c r="H17" s="32">
        <f>4432.16369032258+660</f>
        <v>5092.1636903225799</v>
      </c>
      <c r="I17" s="32">
        <v>3242.2571720430105</v>
      </c>
      <c r="J17" s="32">
        <v>1155.9577290322579</v>
      </c>
      <c r="K17" s="32">
        <v>4049.1227182795701</v>
      </c>
      <c r="L17" s="32">
        <v>1877.2988404301072</v>
      </c>
      <c r="M17" s="32">
        <v>3013.23</v>
      </c>
      <c r="N17" s="32">
        <v>2482.292944516129</v>
      </c>
      <c r="O17" s="32">
        <v>1128.239853763441</v>
      </c>
      <c r="P17" s="39">
        <v>5342.41394494624</v>
      </c>
      <c r="Q17" s="32">
        <v>2643.77188172043</v>
      </c>
      <c r="R17" s="32">
        <f>3775.36491612903</f>
        <v>3775.36491612903</v>
      </c>
      <c r="S17" s="32">
        <f>4459.23428172043+217.47</f>
        <v>4676.7042817204301</v>
      </c>
      <c r="T17" s="32">
        <v>3471.2494713978499</v>
      </c>
      <c r="U17" s="32">
        <f>6849.35267526882+621.26</f>
        <v>7470.6126752688206</v>
      </c>
      <c r="V17" s="32">
        <v>3171.26</v>
      </c>
      <c r="W17" s="23">
        <v>4571.2654735483902</v>
      </c>
      <c r="X17" s="23">
        <v>7134.4554408602198</v>
      </c>
      <c r="Y17" s="23">
        <v>8094.0975053763441</v>
      </c>
      <c r="Z17" s="23">
        <v>2959.9777204301076</v>
      </c>
      <c r="AA17" s="23">
        <v>6110.7059784946241</v>
      </c>
      <c r="AB17" s="23">
        <v>4754.76</v>
      </c>
      <c r="AC17" s="23">
        <f>4060.51612903226-1847</f>
        <v>2213.5161290322599</v>
      </c>
      <c r="AD17" s="23">
        <v>4153.9464946236558</v>
      </c>
      <c r="AE17" s="23">
        <v>427.52688172043008</v>
      </c>
      <c r="AF17" s="23">
        <v>195.82972043010753</v>
      </c>
      <c r="AG17" s="41">
        <v>0</v>
      </c>
      <c r="AH17" s="41">
        <v>0</v>
      </c>
      <c r="AI17" s="41">
        <v>3293.4</v>
      </c>
      <c r="AJ17" s="41">
        <v>569.75</v>
      </c>
      <c r="AK17" s="41">
        <v>1403.3655913978494</v>
      </c>
      <c r="AL17" s="41">
        <v>2611.2855053763442</v>
      </c>
      <c r="AM17" s="41">
        <v>1406.69</v>
      </c>
      <c r="AN17" s="41">
        <v>1790</v>
      </c>
      <c r="AO17" s="41">
        <v>5242.6385806451617</v>
      </c>
      <c r="AP17" s="41">
        <v>3069.1642236559142</v>
      </c>
      <c r="AQ17" s="41">
        <v>2524.6763870967743</v>
      </c>
      <c r="AR17" s="41">
        <v>3519.916430107527</v>
      </c>
      <c r="AS17" s="41">
        <f>4481.65492473118+354.17</f>
        <v>4835.8249247311796</v>
      </c>
      <c r="AT17" s="41">
        <v>3916.034301075269</v>
      </c>
      <c r="AU17" s="41">
        <v>5575.5983225806449</v>
      </c>
      <c r="AV17" s="41">
        <v>3900.2447083333332</v>
      </c>
      <c r="AW17" s="41">
        <v>5548.4607755102043</v>
      </c>
      <c r="AX17" s="41">
        <v>4220.1716734693873</v>
      </c>
      <c r="AY17" s="41">
        <v>4773.873871428571</v>
      </c>
      <c r="AZ17" s="41">
        <v>4794.419546938776</v>
      </c>
      <c r="BA17" s="41">
        <v>4279.5891795918369</v>
      </c>
      <c r="BB17" s="41">
        <v>8019.9183529411766</v>
      </c>
      <c r="BC17" s="41">
        <f>6027.614094+2590.8</f>
        <v>8618.4140939999997</v>
      </c>
      <c r="BD17" s="7">
        <v>2490.0406800000001</v>
      </c>
      <c r="BE17" s="7">
        <f>2724.11038399999+2740.03</f>
        <v>5464.1403839999903</v>
      </c>
      <c r="BF17" s="7">
        <v>6519.22</v>
      </c>
      <c r="BG17" s="7">
        <v>7152.1332484567893</v>
      </c>
      <c r="BH17" s="7">
        <v>4804.620887528692</v>
      </c>
      <c r="BI17" s="7">
        <v>7829.9396948893982</v>
      </c>
      <c r="BJ17" s="7">
        <v>4903.7330000000002</v>
      </c>
      <c r="BK17" s="7">
        <v>4944.58</v>
      </c>
      <c r="BL17" s="7">
        <v>11579.058661995705</v>
      </c>
      <c r="BM17" s="7">
        <v>8195.7133406651792</v>
      </c>
      <c r="BN17" s="7">
        <v>14715.371155449398</v>
      </c>
      <c r="BO17" s="7">
        <v>8521.5278124881661</v>
      </c>
      <c r="BP17" s="7">
        <v>12112.001899924186</v>
      </c>
      <c r="BQ17" s="7">
        <v>6525.0676998852323</v>
      </c>
      <c r="BR17" s="7">
        <v>7213.1401976660209</v>
      </c>
      <c r="BS17" s="7">
        <v>4759.4447521147067</v>
      </c>
      <c r="BT17" s="7">
        <v>6982.4985072249401</v>
      </c>
      <c r="BU17" s="7">
        <v>5620.8741084305411</v>
      </c>
      <c r="BV17" s="41">
        <f>SUMIFS(VVMV!L:L,VVMV!E:E,"import",VVMV!N:N,"Sea")</f>
        <v>7048.3882061068716</v>
      </c>
    </row>
    <row r="18" spans="3:74" s="148" customFormat="1" ht="19.5" customHeight="1">
      <c r="C18" s="893"/>
      <c r="D18" s="894" t="s">
        <v>53</v>
      </c>
      <c r="E18" s="405">
        <v>217</v>
      </c>
      <c r="F18" s="405">
        <v>153</v>
      </c>
      <c r="G18" s="405">
        <v>282</v>
      </c>
      <c r="H18" s="405">
        <v>224</v>
      </c>
      <c r="I18" s="405">
        <v>157</v>
      </c>
      <c r="J18" s="405">
        <v>197</v>
      </c>
      <c r="K18" s="405">
        <v>269</v>
      </c>
      <c r="L18" s="405">
        <v>280</v>
      </c>
      <c r="M18" s="87">
        <v>275</v>
      </c>
      <c r="N18" s="87">
        <v>280</v>
      </c>
      <c r="O18" s="87">
        <v>250</v>
      </c>
      <c r="P18" s="87">
        <v>307</v>
      </c>
      <c r="Q18" s="87">
        <v>260</v>
      </c>
      <c r="R18" s="87">
        <v>245</v>
      </c>
      <c r="S18" s="406">
        <v>338</v>
      </c>
      <c r="T18" s="406">
        <v>273</v>
      </c>
      <c r="U18" s="406">
        <v>265</v>
      </c>
      <c r="V18" s="406">
        <v>266</v>
      </c>
      <c r="W18" s="406">
        <v>262</v>
      </c>
      <c r="X18" s="406">
        <v>288</v>
      </c>
      <c r="Y18" s="406">
        <v>286</v>
      </c>
      <c r="Z18" s="406">
        <v>271</v>
      </c>
      <c r="AA18" s="406">
        <v>243</v>
      </c>
      <c r="AB18" s="406">
        <v>293</v>
      </c>
      <c r="AC18" s="406">
        <v>213</v>
      </c>
      <c r="AD18" s="406">
        <v>230</v>
      </c>
      <c r="AE18" s="406">
        <v>161</v>
      </c>
      <c r="AF18" s="406">
        <v>131</v>
      </c>
      <c r="AG18" s="406">
        <v>82</v>
      </c>
      <c r="AH18" s="406">
        <v>102</v>
      </c>
      <c r="AI18" s="406">
        <v>122</v>
      </c>
      <c r="AJ18" s="406">
        <v>90</v>
      </c>
      <c r="AK18" s="406">
        <v>149</v>
      </c>
      <c r="AL18" s="406">
        <v>168</v>
      </c>
      <c r="AM18" s="406">
        <v>172</v>
      </c>
      <c r="AN18" s="406">
        <v>237</v>
      </c>
      <c r="AO18" s="406">
        <v>225</v>
      </c>
      <c r="AP18" s="406">
        <v>280</v>
      </c>
      <c r="AQ18" s="406">
        <v>219</v>
      </c>
      <c r="AR18" s="406">
        <v>322</v>
      </c>
      <c r="AS18" s="406">
        <v>241</v>
      </c>
      <c r="AT18" s="406">
        <v>184</v>
      </c>
      <c r="AU18" s="406">
        <v>265</v>
      </c>
      <c r="AV18" s="406">
        <v>295</v>
      </c>
      <c r="AW18" s="406">
        <v>255</v>
      </c>
      <c r="AX18" s="406">
        <v>283</v>
      </c>
      <c r="AY18" s="406">
        <v>285</v>
      </c>
      <c r="AZ18" s="406">
        <v>282</v>
      </c>
      <c r="BA18" s="406">
        <v>371</v>
      </c>
      <c r="BB18" s="406">
        <v>291</v>
      </c>
      <c r="BC18" s="406">
        <v>312</v>
      </c>
      <c r="BD18" s="406">
        <v>350</v>
      </c>
      <c r="BE18" s="403">
        <v>269</v>
      </c>
      <c r="BF18" s="403">
        <v>268</v>
      </c>
      <c r="BG18" s="403">
        <v>310</v>
      </c>
      <c r="BH18" s="403">
        <v>351</v>
      </c>
      <c r="BI18" s="403">
        <v>330</v>
      </c>
      <c r="BJ18" s="403">
        <v>462</v>
      </c>
      <c r="BK18" s="403">
        <v>512</v>
      </c>
      <c r="BL18" s="403">
        <v>626</v>
      </c>
      <c r="BM18" s="403">
        <v>635</v>
      </c>
      <c r="BN18" s="403">
        <v>823</v>
      </c>
      <c r="BO18" s="403">
        <v>837</v>
      </c>
      <c r="BP18" s="403">
        <v>693</v>
      </c>
      <c r="BQ18" s="403">
        <v>426</v>
      </c>
      <c r="BR18" s="403">
        <v>365</v>
      </c>
      <c r="BS18" s="403">
        <v>388</v>
      </c>
      <c r="BT18" s="403">
        <v>326</v>
      </c>
      <c r="BU18" s="403">
        <v>369</v>
      </c>
      <c r="BV18" s="403">
        <f>COUNTIFS(VVMV!E:E,"import",VVMV!J:J,"&gt;0")</f>
        <v>562</v>
      </c>
    </row>
    <row r="19" spans="3:74" ht="19.5" customHeight="1">
      <c r="C19" s="893"/>
      <c r="D19" s="894"/>
      <c r="E19" s="32">
        <f>3579.13978494624+34.84+191.61+199.9</f>
        <v>4005.4897849462404</v>
      </c>
      <c r="F19" s="39">
        <f>2714.83538709677+195.64</f>
        <v>2910.4753870967697</v>
      </c>
      <c r="G19" s="32">
        <f>4776.989+191.61+152.68</f>
        <v>5121.2789999999995</v>
      </c>
      <c r="H19" s="32">
        <f>3808.17107526882+115.27+241.92</f>
        <v>4165.3610752688201</v>
      </c>
      <c r="I19" s="32">
        <f>63990000/23250+178.98</f>
        <v>2931.2380645161293</v>
      </c>
      <c r="J19" s="32">
        <f>3146.24+156.77+156.77+91.58</f>
        <v>3551.3599999999997</v>
      </c>
      <c r="K19" s="32">
        <f>4633.54806451613+69.68+244.21</f>
        <v>4947.43806451613</v>
      </c>
      <c r="L19" s="7">
        <f>4457.41935483871+209.03+156.77+228.39</f>
        <v>5051.6093548387107</v>
      </c>
      <c r="M19" s="7">
        <f>4666.02387096774+213.118+227.88</f>
        <v>5107.0218709677401</v>
      </c>
      <c r="N19" s="7">
        <f>4539.78+134.84+278.81+220.53</f>
        <v>5173.96</v>
      </c>
      <c r="O19" s="7">
        <f>4324.08+103.23+278</f>
        <v>4705.3099999999995</v>
      </c>
      <c r="P19" s="41">
        <f>5260.64677419355+115.27+232.99</f>
        <v>5608.9067741935505</v>
      </c>
      <c r="Q19" s="7">
        <f>4476.85451612903+39.14+260.45</f>
        <v>4776.4445161290305</v>
      </c>
      <c r="R19" s="7">
        <f>4215.48419354839+69.68</f>
        <v>4285.1641935483904</v>
      </c>
      <c r="S19" s="23">
        <f>5365.16129032258+300.22+265.81+153.33+227.74</f>
        <v>6312.26129032258</v>
      </c>
      <c r="T19" s="23">
        <f>4644.31+139.35+298.95</f>
        <v>5082.6100000000006</v>
      </c>
      <c r="U19" s="23">
        <f>4563.87+69.68+241.46</f>
        <v>4875.01</v>
      </c>
      <c r="V19" s="23">
        <f>4171.83+139.35+905.59+330.97+225.74</f>
        <v>5773.4800000000005</v>
      </c>
      <c r="W19" s="23">
        <f>4180.64741935484+52.26+217.984</f>
        <v>4450.8914193548408</v>
      </c>
      <c r="X19" s="23">
        <f>4958.77419354839+156.77+218.194</f>
        <v>5333.7381935483909</v>
      </c>
      <c r="Y19" s="23">
        <f>4435.27+156.77+257.89</f>
        <v>4849.9300000000012</v>
      </c>
      <c r="Z19" s="23">
        <f>4604.95096774194+69.677+216.4115</f>
        <v>4891.0394677419399</v>
      </c>
      <c r="AA19" s="23">
        <f>4141.28741935484+87.1+232.86</f>
        <v>4461.2474193548396</v>
      </c>
      <c r="AB19" s="23">
        <f>4846.44+278.71+17.42+216.38</f>
        <v>5358.95</v>
      </c>
      <c r="AC19" s="23">
        <f>3862.60225806452+139.35+237.282</f>
        <v>4239.23425806452</v>
      </c>
      <c r="AD19" s="23">
        <f>3679.57+69.68+278.97+188.53</f>
        <v>4216.75</v>
      </c>
      <c r="AE19" s="23">
        <f>2438.66+87.096+190.69</f>
        <v>2716.4459999999999</v>
      </c>
      <c r="AF19" s="23">
        <f>2125.16161290323+121.94+135.38+139.78+129.03+10.75</f>
        <v>2662.0416129032305</v>
      </c>
      <c r="AG19" s="23">
        <f>1322.83+69.03+419.35+139.78+109.41</f>
        <v>2060.4</v>
      </c>
      <c r="AH19" s="23">
        <f>1531+68.82+129.03+34.4+129.03+66.82</f>
        <v>1959.1</v>
      </c>
      <c r="AI19" s="23">
        <f>1668.81720430108+146.24+292.47+91.29</f>
        <v>2198.81720430108</v>
      </c>
      <c r="AJ19" s="23">
        <f>2077.41623655914+51.61+93.65</f>
        <v>2222.6762365591403</v>
      </c>
      <c r="AK19" s="23">
        <f>1991.4+154.84+109.23+258.08</f>
        <v>2513.5500000000002</v>
      </c>
      <c r="AL19" s="23">
        <f>2805.59+120.43+134.42</f>
        <v>3060.44</v>
      </c>
      <c r="AM19" s="23">
        <f>2546+429.68+241+127.03</f>
        <v>3343.71</v>
      </c>
      <c r="AN19" s="23">
        <f>3763.4+320.43+157.17</f>
        <v>4241</v>
      </c>
      <c r="AO19" s="23">
        <f>3862.1776344086+64.52+209.55</f>
        <v>4136.2476344085999</v>
      </c>
      <c r="AP19" s="23">
        <f>4043.01+433.23+361+195.79</f>
        <v>5033.03</v>
      </c>
      <c r="AQ19" s="23">
        <f>3200+309.68+239.09+258.06</f>
        <v>4006.83</v>
      </c>
      <c r="AR19" s="23">
        <f>5406.54+258+193.34</f>
        <v>5857.88</v>
      </c>
      <c r="AS19" s="23">
        <f>3419.35483870968+206.45+541.94+276.155</f>
        <v>4443.899838709679</v>
      </c>
      <c r="AT19" s="23">
        <f>3156.99+198.98</f>
        <v>3355.97</v>
      </c>
      <c r="AU19" s="23">
        <f>4150.54+206.65+223.66+161.2757</f>
        <v>4742.1256999999996</v>
      </c>
      <c r="AV19" s="23">
        <f>4141.67+483.33+355.53+79.17+8.33+220.35</f>
        <v>5288.38</v>
      </c>
      <c r="AW19" s="23">
        <f>3897.95734693878+261.22+239</f>
        <v>4398.1773469387799</v>
      </c>
      <c r="AX19" s="23">
        <f>4404.07714285714+195.91837+208.8069</f>
        <v>4808.8024128571396</v>
      </c>
      <c r="AY19" s="23">
        <f>4482.81918367347+209.39+230.44</f>
        <v>4922.6491836734704</v>
      </c>
      <c r="AZ19" s="23">
        <f>4372.65+228.57+227.9976</f>
        <v>4829.217599999999</v>
      </c>
      <c r="BA19" s="23">
        <f>6166.53061224489+224.26</f>
        <v>6390.7906122448903</v>
      </c>
      <c r="BB19" s="23">
        <v>5513.5702176470595</v>
      </c>
      <c r="BC19" s="23">
        <f>4272+326.4+208+240+20+242.057</f>
        <v>5308.4569999999994</v>
      </c>
      <c r="BD19" s="23">
        <f>5356+320+239.802</f>
        <v>5915.8019999999997</v>
      </c>
      <c r="BE19" s="23">
        <f>4081.2+240+360+20+270.01</f>
        <v>4971.21</v>
      </c>
      <c r="BF19" s="23">
        <f>3999+132+224.9443</f>
        <v>4355.9443000000001</v>
      </c>
      <c r="BG19" s="7">
        <v>5406.0570987654319</v>
      </c>
      <c r="BH19" s="7">
        <f>5086.07+244.84+15.3+15.3+267.17</f>
        <v>5628.68</v>
      </c>
      <c r="BI19" s="7">
        <v>5433.5117</v>
      </c>
      <c r="BJ19" s="7">
        <f>7361.3243+254.1</f>
        <v>7615.4243000000006</v>
      </c>
      <c r="BK19" s="7">
        <f>7742.4196+386.27</f>
        <v>8128.6895999999997</v>
      </c>
      <c r="BL19" s="7">
        <f>9614.26833352168+373.11</f>
        <v>9987.3783335216813</v>
      </c>
      <c r="BM19" s="7">
        <f>9016.27+430.43+464.5607+609.2309</f>
        <v>10520.491600000001</v>
      </c>
      <c r="BN19" s="7">
        <f>12947.5546596938+470.37</f>
        <v>13417.924659693801</v>
      </c>
      <c r="BO19" s="118">
        <f>13573.1146881745+682.3235</f>
        <v>14255.438188174501</v>
      </c>
      <c r="BP19" s="118">
        <v>10799.848369977208</v>
      </c>
      <c r="BQ19" s="118">
        <v>6779.2650956388688</v>
      </c>
      <c r="BR19" s="118">
        <v>5578.3628387881263</v>
      </c>
      <c r="BS19" s="118">
        <v>5959.1091605659785</v>
      </c>
      <c r="BT19" s="118">
        <v>4953.1608601660937</v>
      </c>
      <c r="BU19" s="118">
        <v>5573.0190728677162</v>
      </c>
      <c r="BV19" s="382">
        <f>SUMIFS(VVMV!J:J,VVMV!E:E,"import")</f>
        <v>8540.5484241553077</v>
      </c>
    </row>
    <row r="20" spans="3:74" s="148" customFormat="1" ht="19.5" customHeight="1">
      <c r="C20" s="893"/>
      <c r="D20" s="894" t="s">
        <v>54</v>
      </c>
      <c r="E20" s="403">
        <v>10</v>
      </c>
      <c r="F20" s="403">
        <v>8</v>
      </c>
      <c r="G20" s="403">
        <v>12</v>
      </c>
      <c r="H20" s="403">
        <v>8</v>
      </c>
      <c r="I20" s="403">
        <v>7</v>
      </c>
      <c r="J20" s="403">
        <v>9</v>
      </c>
      <c r="K20" s="403">
        <v>7</v>
      </c>
      <c r="L20" s="403">
        <v>8</v>
      </c>
      <c r="M20" s="403">
        <v>12</v>
      </c>
      <c r="N20" s="403">
        <v>11</v>
      </c>
      <c r="O20" s="403">
        <v>5</v>
      </c>
      <c r="P20" s="403">
        <v>12</v>
      </c>
      <c r="Q20" s="403">
        <v>7</v>
      </c>
      <c r="R20" s="403">
        <v>9</v>
      </c>
      <c r="S20" s="406">
        <v>13</v>
      </c>
      <c r="T20" s="406">
        <v>9</v>
      </c>
      <c r="U20" s="406">
        <v>12</v>
      </c>
      <c r="V20" s="406">
        <v>7</v>
      </c>
      <c r="W20" s="406">
        <v>9</v>
      </c>
      <c r="X20" s="406">
        <v>15</v>
      </c>
      <c r="Y20" s="406">
        <v>13</v>
      </c>
      <c r="Z20" s="406">
        <v>11</v>
      </c>
      <c r="AA20" s="406">
        <v>11</v>
      </c>
      <c r="AB20" s="406">
        <v>12</v>
      </c>
      <c r="AC20" s="406">
        <v>12</v>
      </c>
      <c r="AD20" s="406">
        <v>14</v>
      </c>
      <c r="AE20" s="406">
        <v>7</v>
      </c>
      <c r="AF20" s="406">
        <v>10</v>
      </c>
      <c r="AG20" s="406">
        <v>8</v>
      </c>
      <c r="AH20" s="406">
        <v>10</v>
      </c>
      <c r="AI20" s="406">
        <v>11</v>
      </c>
      <c r="AJ20" s="406">
        <v>5</v>
      </c>
      <c r="AK20" s="406">
        <v>8</v>
      </c>
      <c r="AL20" s="406">
        <v>12</v>
      </c>
      <c r="AM20" s="406">
        <v>9</v>
      </c>
      <c r="AN20" s="406">
        <v>15</v>
      </c>
      <c r="AO20" s="406">
        <v>21</v>
      </c>
      <c r="AP20" s="406">
        <v>10</v>
      </c>
      <c r="AQ20" s="406">
        <v>17</v>
      </c>
      <c r="AR20" s="406">
        <v>19</v>
      </c>
      <c r="AS20" s="406">
        <v>11</v>
      </c>
      <c r="AT20" s="406">
        <v>8</v>
      </c>
      <c r="AU20" s="406">
        <v>15</v>
      </c>
      <c r="AV20" s="406">
        <v>12</v>
      </c>
      <c r="AW20" s="406">
        <v>19</v>
      </c>
      <c r="AX20" s="406">
        <v>16</v>
      </c>
      <c r="AY20" s="406">
        <v>19</v>
      </c>
      <c r="AZ20" s="406">
        <v>16</v>
      </c>
      <c r="BA20" s="406">
        <v>15</v>
      </c>
      <c r="BB20" s="406">
        <v>22</v>
      </c>
      <c r="BC20" s="406">
        <v>21</v>
      </c>
      <c r="BD20" s="406">
        <v>19</v>
      </c>
      <c r="BE20" s="403">
        <v>22</v>
      </c>
      <c r="BF20" s="403">
        <v>19</v>
      </c>
      <c r="BG20" s="403">
        <v>23</v>
      </c>
      <c r="BH20" s="403">
        <v>23</v>
      </c>
      <c r="BI20" s="403">
        <v>27</v>
      </c>
      <c r="BJ20" s="403">
        <v>34</v>
      </c>
      <c r="BK20" s="403">
        <v>26</v>
      </c>
      <c r="BL20" s="403">
        <v>43</v>
      </c>
      <c r="BM20" s="403">
        <v>37</v>
      </c>
      <c r="BN20" s="403">
        <v>42</v>
      </c>
      <c r="BO20" s="403">
        <v>38</v>
      </c>
      <c r="BP20" s="403">
        <v>43</v>
      </c>
      <c r="BQ20" s="403">
        <v>30</v>
      </c>
      <c r="BR20" s="403">
        <v>19</v>
      </c>
      <c r="BS20" s="403">
        <v>14</v>
      </c>
      <c r="BT20" s="403">
        <v>12</v>
      </c>
      <c r="BU20" s="403">
        <v>16</v>
      </c>
      <c r="BV20" s="403">
        <f>COUNTIFS(VVMV!E:E,"import",VVMV!K:K,"&gt;0")</f>
        <v>17</v>
      </c>
    </row>
    <row r="21" spans="3:74" ht="19.5" customHeight="1">
      <c r="C21" s="893"/>
      <c r="D21" s="894"/>
      <c r="E21" s="32">
        <f>14040000/23250</f>
        <v>603.87096774193549</v>
      </c>
      <c r="F21" s="39">
        <f>11960000/23250</f>
        <v>514.4086021505376</v>
      </c>
      <c r="G21" s="32">
        <v>472.2621505376344</v>
      </c>
      <c r="H21" s="32">
        <f>614.193548387097+20.65</f>
        <v>634.84354838709703</v>
      </c>
      <c r="I21" s="32">
        <f>10160000/23250</f>
        <v>436.98924731182797</v>
      </c>
      <c r="J21" s="32">
        <f>362.150537634409+34.41</f>
        <v>396.560537634409</v>
      </c>
      <c r="K21" s="32">
        <f>333.763440860215+20.65</f>
        <v>354.41344086021496</v>
      </c>
      <c r="L21" s="32">
        <v>323.01075268817203</v>
      </c>
      <c r="M21" s="32">
        <f>583.225806451613+41.29</f>
        <v>624.515806451613</v>
      </c>
      <c r="N21" s="32">
        <f>396.129032258065+77.42+119.57</f>
        <v>593.11903225806509</v>
      </c>
      <c r="O21" s="32">
        <v>239.14</v>
      </c>
      <c r="P21" s="39">
        <f>710.11+160.86</f>
        <v>870.97</v>
      </c>
      <c r="Q21" s="32">
        <f>518.28+22.95</f>
        <v>541.23</v>
      </c>
      <c r="R21" s="32">
        <f>401.721827956989+47.31</f>
        <v>449.03182795698899</v>
      </c>
      <c r="S21" s="23">
        <f>474.41+686.88+21000000/23250</f>
        <v>2064.5158064516127</v>
      </c>
      <c r="T21" s="23">
        <f>405.161290322581+103.23</f>
        <v>508.39129032258103</v>
      </c>
      <c r="U21" s="23">
        <f>733.33</f>
        <v>733.33</v>
      </c>
      <c r="V21" s="23">
        <v>346.66666666666669</v>
      </c>
      <c r="W21" s="23">
        <v>584.51612903225805</v>
      </c>
      <c r="X21" s="23">
        <f>784.94623655914+20.65</f>
        <v>805.59623655913992</v>
      </c>
      <c r="Y21" s="23">
        <f>739.354838709677+41</f>
        <v>780.35483870967698</v>
      </c>
      <c r="Z21" s="23">
        <v>451.61290322580646</v>
      </c>
      <c r="AA21" s="23">
        <v>737.20430107526886</v>
      </c>
      <c r="AB21" s="23">
        <f>557.849462365591+43.01</f>
        <v>600.85946236559096</v>
      </c>
      <c r="AC21" s="23">
        <v>472.24731182795699</v>
      </c>
      <c r="AD21" s="23">
        <f>808.6+43.01</f>
        <v>851.61</v>
      </c>
      <c r="AE21" s="23">
        <v>332.05</v>
      </c>
      <c r="AF21" s="23">
        <f>473.20752688172+167.74+43.01</f>
        <v>683.95752688172001</v>
      </c>
      <c r="AG21" s="23">
        <f>125.59+20.65+554.84+193.55</f>
        <v>894.63000000000011</v>
      </c>
      <c r="AH21" s="23">
        <f>167+193.54+193.54</f>
        <v>554.07999999999993</v>
      </c>
      <c r="AI21" s="23">
        <v>609.89247311827955</v>
      </c>
      <c r="AJ21" s="23">
        <v>170.32258064516128</v>
      </c>
      <c r="AK21" s="23">
        <v>308.38709677419354</v>
      </c>
      <c r="AL21" s="23">
        <v>405.16129032258067</v>
      </c>
      <c r="AM21" s="23">
        <v>299</v>
      </c>
      <c r="AN21" s="23">
        <v>429.25</v>
      </c>
      <c r="AO21" s="23">
        <f>723.010752688172+150.54</f>
        <v>873.550752688172</v>
      </c>
      <c r="AP21" s="23">
        <v>403.44086021505399</v>
      </c>
      <c r="AQ21" s="23">
        <f>579.784946236559+20.65</f>
        <v>600.43494623655897</v>
      </c>
      <c r="AR21" s="23">
        <v>819</v>
      </c>
      <c r="AS21" s="23">
        <f>348.387096774194+171.183</f>
        <v>519.57009677419398</v>
      </c>
      <c r="AT21" s="23">
        <v>421.07526881720429</v>
      </c>
      <c r="AU21" s="23">
        <f>678.279569892473+20.65</f>
        <v>698.92956989247295</v>
      </c>
      <c r="AV21" s="23">
        <v>744.58333333333337</v>
      </c>
      <c r="AW21" s="23">
        <v>713.46938775510205</v>
      </c>
      <c r="AX21" s="23">
        <v>632.24489795918362</v>
      </c>
      <c r="AY21" s="23">
        <v>778.36734693877554</v>
      </c>
      <c r="AZ21" s="23">
        <v>760.82</v>
      </c>
      <c r="BA21" s="23">
        <f>540.408163265306+159.184</f>
        <v>699.592163265306</v>
      </c>
      <c r="BB21" s="23">
        <v>929.80215686274471</v>
      </c>
      <c r="BC21" s="23">
        <f>858+360</f>
        <v>1218</v>
      </c>
      <c r="BD21" s="23">
        <f>668+46</f>
        <v>714</v>
      </c>
      <c r="BE21" s="23">
        <f>889.2+312</f>
        <v>1201.2</v>
      </c>
      <c r="BF21" s="23">
        <v>930</v>
      </c>
      <c r="BG21" s="23">
        <v>1579.8611111111111</v>
      </c>
      <c r="BH21" s="23">
        <f>793.799938791125+133.89</f>
        <v>927.68993879112497</v>
      </c>
      <c r="BI21" s="23">
        <v>1105.26315</v>
      </c>
      <c r="BJ21" s="23">
        <v>1462.3928000000001</v>
      </c>
      <c r="BK21" s="23">
        <v>1052.269</v>
      </c>
      <c r="BL21" s="7">
        <v>1831.4687158624329</v>
      </c>
      <c r="BM21" s="7">
        <v>1405.0589707611209</v>
      </c>
      <c r="BN21" s="7">
        <v>1862.2100954979567</v>
      </c>
      <c r="BO21" s="7">
        <v>1618.0041999999999</v>
      </c>
      <c r="BP21" s="7">
        <v>1907.5056861258529</v>
      </c>
      <c r="BQ21" s="7">
        <v>1088.3703136954857</v>
      </c>
      <c r="BR21" s="7">
        <v>1000.4941650511271</v>
      </c>
      <c r="BS21" s="7">
        <v>578.84155824450943</v>
      </c>
      <c r="BT21" s="7">
        <v>694.80790381916779</v>
      </c>
      <c r="BU21" s="7">
        <v>933.94940160581734</v>
      </c>
      <c r="BV21" s="41">
        <f>SUMIF(VVMV!E:E,"import",VVMV!K:K)</f>
        <v>967.42498677348635</v>
      </c>
    </row>
    <row r="22" spans="3:74" s="148" customFormat="1" ht="19.5" customHeight="1">
      <c r="C22" s="893"/>
      <c r="D22" s="894" t="s">
        <v>55</v>
      </c>
      <c r="E22" s="403">
        <v>9</v>
      </c>
      <c r="F22" s="403">
        <v>8</v>
      </c>
      <c r="G22" s="403">
        <v>11</v>
      </c>
      <c r="H22" s="403">
        <v>9</v>
      </c>
      <c r="I22" s="403">
        <v>6</v>
      </c>
      <c r="J22" s="403">
        <v>8</v>
      </c>
      <c r="K22" s="403">
        <v>6</v>
      </c>
      <c r="L22" s="403">
        <v>7</v>
      </c>
      <c r="M22" s="403">
        <v>12</v>
      </c>
      <c r="N22" s="403">
        <v>11</v>
      </c>
      <c r="O22" s="403">
        <v>6</v>
      </c>
      <c r="P22" s="403">
        <v>14</v>
      </c>
      <c r="Q22" s="403">
        <v>7</v>
      </c>
      <c r="R22" s="403">
        <v>13</v>
      </c>
      <c r="S22" s="24">
        <v>15</v>
      </c>
      <c r="T22" s="24">
        <v>11</v>
      </c>
      <c r="U22" s="24">
        <v>15</v>
      </c>
      <c r="V22" s="24">
        <v>10</v>
      </c>
      <c r="W22" s="24">
        <v>11</v>
      </c>
      <c r="X22" s="24">
        <v>15</v>
      </c>
      <c r="Y22" s="24">
        <v>16</v>
      </c>
      <c r="Z22" s="24">
        <v>13</v>
      </c>
      <c r="AA22" s="24">
        <v>15</v>
      </c>
      <c r="AB22" s="24">
        <v>13</v>
      </c>
      <c r="AC22" s="24">
        <v>20</v>
      </c>
      <c r="AD22" s="24">
        <v>25</v>
      </c>
      <c r="AE22" s="24">
        <v>11</v>
      </c>
      <c r="AF22" s="24">
        <v>18</v>
      </c>
      <c r="AG22" s="24">
        <v>8</v>
      </c>
      <c r="AH22" s="24">
        <v>20</v>
      </c>
      <c r="AI22" s="24">
        <v>16</v>
      </c>
      <c r="AJ22" s="24">
        <v>6</v>
      </c>
      <c r="AK22" s="24">
        <v>10</v>
      </c>
      <c r="AL22" s="24">
        <v>16</v>
      </c>
      <c r="AM22" s="24">
        <v>10</v>
      </c>
      <c r="AN22" s="24">
        <v>22</v>
      </c>
      <c r="AO22" s="24">
        <v>30</v>
      </c>
      <c r="AP22" s="24">
        <v>16</v>
      </c>
      <c r="AQ22" s="24">
        <v>23</v>
      </c>
      <c r="AR22" s="24">
        <v>39</v>
      </c>
      <c r="AS22" s="24">
        <v>15</v>
      </c>
      <c r="AT22" s="24">
        <v>15</v>
      </c>
      <c r="AU22" s="24">
        <v>21</v>
      </c>
      <c r="AV22" s="24">
        <v>15</v>
      </c>
      <c r="AW22" s="24">
        <v>28</v>
      </c>
      <c r="AX22" s="24">
        <v>25</v>
      </c>
      <c r="AY22" s="24">
        <v>25</v>
      </c>
      <c r="AZ22" s="24">
        <v>29</v>
      </c>
      <c r="BA22" s="24">
        <v>38</v>
      </c>
      <c r="BB22" s="24">
        <v>31</v>
      </c>
      <c r="BC22" s="24">
        <v>40</v>
      </c>
      <c r="BD22" s="24">
        <v>28</v>
      </c>
      <c r="BE22" s="403">
        <v>44</v>
      </c>
      <c r="BF22" s="403">
        <v>32</v>
      </c>
      <c r="BG22" s="403">
        <v>45</v>
      </c>
      <c r="BH22" s="403">
        <v>42</v>
      </c>
      <c r="BI22" s="403">
        <v>42</v>
      </c>
      <c r="BJ22" s="403">
        <v>40</v>
      </c>
      <c r="BK22" s="403">
        <v>28</v>
      </c>
      <c r="BL22" s="403">
        <v>72</v>
      </c>
      <c r="BM22" s="403">
        <v>47</v>
      </c>
      <c r="BN22" s="403">
        <v>66</v>
      </c>
      <c r="BO22" s="403">
        <v>59</v>
      </c>
      <c r="BP22" s="403">
        <v>60</v>
      </c>
      <c r="BQ22" s="403">
        <v>34</v>
      </c>
      <c r="BR22" s="403">
        <v>19</v>
      </c>
      <c r="BS22" s="403">
        <v>19</v>
      </c>
      <c r="BT22" s="403">
        <v>16</v>
      </c>
      <c r="BU22" s="403">
        <v>47</v>
      </c>
      <c r="BV22" s="403">
        <f>COUNTIFS(VVMV!E:E,"import",VVMV!M:M,"&gt;0")</f>
        <v>142</v>
      </c>
    </row>
    <row r="23" spans="3:74" ht="19.5" customHeight="1">
      <c r="C23" s="893"/>
      <c r="D23" s="894"/>
      <c r="E23" s="32">
        <v>328.45569892473117</v>
      </c>
      <c r="F23" s="39">
        <v>196.85208602150539</v>
      </c>
      <c r="G23" s="32">
        <v>431.47225806451615</v>
      </c>
      <c r="H23" s="32">
        <f>512.842365591398+7.12-22.71</f>
        <v>497.25236559139802</v>
      </c>
      <c r="I23" s="32">
        <f>4325778/23250</f>
        <v>186.05496774193549</v>
      </c>
      <c r="J23" s="32">
        <f>192.336172043011+478.36</f>
        <v>670.69617204301107</v>
      </c>
      <c r="K23" s="32">
        <v>230.79587096774193</v>
      </c>
      <c r="L23" s="32">
        <v>189.5137634408602</v>
      </c>
      <c r="M23" s="32">
        <f>287.21+14.19</f>
        <v>301.39999999999998</v>
      </c>
      <c r="N23" s="32">
        <f>382.374451612903+44.04+152</f>
        <v>578.41445161290301</v>
      </c>
      <c r="O23" s="32">
        <v>116.2941935483871</v>
      </c>
      <c r="P23" s="32">
        <f>774.68+122.54</f>
        <v>897.21999999999991</v>
      </c>
      <c r="Q23" s="32">
        <f>631.917376344086+75.3</f>
        <v>707.21737634408601</v>
      </c>
      <c r="R23" s="32">
        <v>856.34894623655896</v>
      </c>
      <c r="S23" s="23">
        <f>378.66+547.77</f>
        <v>926.43000000000006</v>
      </c>
      <c r="T23" s="23">
        <f>614.42159139785+885.36</f>
        <v>1499.78159139785</v>
      </c>
      <c r="U23" s="23">
        <f>678.202064516129+32.29</f>
        <v>710.49206451612895</v>
      </c>
      <c r="V23" s="23">
        <f>9.75+454.852860215054</f>
        <v>464.60286021505402</v>
      </c>
      <c r="W23" s="23">
        <v>1217.4378494623656</v>
      </c>
      <c r="X23" s="23">
        <f>1035.15913978495+82.56</f>
        <v>1117.7191397849499</v>
      </c>
      <c r="Y23" s="23">
        <f>1091.58339784946+157</f>
        <v>1248.58339784946</v>
      </c>
      <c r="Z23" s="23">
        <v>982.09991397849467</v>
      </c>
      <c r="AA23" s="23">
        <v>1504.6146236559139</v>
      </c>
      <c r="AB23" s="23">
        <f>858.554494623656+13.75</f>
        <v>872.30449462365596</v>
      </c>
      <c r="AC23" s="23">
        <f>2254.64210752688-495</f>
        <v>1759.64210752688</v>
      </c>
      <c r="AD23" s="23">
        <f>1723.74812903226+171.32</f>
        <v>1895.06812903226</v>
      </c>
      <c r="AE23" s="23">
        <f>1109.02+7.76</f>
        <v>1116.78</v>
      </c>
      <c r="AF23" s="23">
        <f>1038.74344086022+18.39+917.36+1110.18</f>
        <v>3084.6734408602206</v>
      </c>
      <c r="AG23" s="23">
        <f>402.57+19+533+673</f>
        <v>1627.57</v>
      </c>
      <c r="AH23" s="23">
        <f>1501+972.15+631.47</f>
        <v>3104.62</v>
      </c>
      <c r="AI23" s="23">
        <v>1299.5119139784947</v>
      </c>
      <c r="AJ23" s="23">
        <v>288.81806451612903</v>
      </c>
      <c r="AK23" s="23">
        <v>599.07548387096779</v>
      </c>
      <c r="AL23" s="23">
        <v>823.56929032258063</v>
      </c>
      <c r="AM23" s="23">
        <v>463</v>
      </c>
      <c r="AN23" s="23">
        <v>1173.8874408602151</v>
      </c>
      <c r="AO23" s="23">
        <f>1497.40468817204+320.24</f>
        <v>1817.6446881720401</v>
      </c>
      <c r="AP23" s="23">
        <v>717.264215053763</v>
      </c>
      <c r="AQ23" s="23">
        <f>1155.60666666667+75.84</f>
        <v>1231.4466666666699</v>
      </c>
      <c r="AR23" s="23">
        <v>2025</v>
      </c>
      <c r="AS23" s="23">
        <f>776.5+186.395</f>
        <v>962.89499999999998</v>
      </c>
      <c r="AT23" s="23">
        <v>739.54821505376344</v>
      </c>
      <c r="AU23" s="23">
        <f>1162.287+45.63</f>
        <v>1207.9170000000001</v>
      </c>
      <c r="AV23" s="23">
        <v>773.44</v>
      </c>
      <c r="AW23" s="23">
        <f>1348.614+49.8</f>
        <v>1398.414</v>
      </c>
      <c r="AX23" s="23">
        <v>1117.81</v>
      </c>
      <c r="AY23" s="23">
        <v>1365.2819591836735</v>
      </c>
      <c r="AZ23" s="23">
        <v>1536.9242448979592</v>
      </c>
      <c r="BA23" s="23">
        <f>2063.24616326531+1060.45</f>
        <v>3123.6961632653101</v>
      </c>
      <c r="BB23" s="23">
        <v>1468.853568627447</v>
      </c>
      <c r="BC23" s="23">
        <f>1866.34996+192.93</f>
        <v>2059.2799599999998</v>
      </c>
      <c r="BD23" s="23">
        <f>1169.02588+134.54</f>
        <v>1303.5658799999999</v>
      </c>
      <c r="BE23" s="23">
        <f>2388.14704+587.16</f>
        <v>2975.3070399999997</v>
      </c>
      <c r="BF23" s="23">
        <v>1810</v>
      </c>
      <c r="BG23" s="23">
        <v>3360.4406250000002</v>
      </c>
      <c r="BH23" s="23">
        <f>2334.75397857689+378.62</f>
        <v>2713.3739785768898</v>
      </c>
      <c r="BI23" s="23">
        <v>2889.2321510045767</v>
      </c>
      <c r="BJ23" s="23">
        <v>2561.4299999999998</v>
      </c>
      <c r="BK23" s="23">
        <v>1401.74</v>
      </c>
      <c r="BL23" s="7">
        <v>4003.8302633065882</v>
      </c>
      <c r="BM23" s="7">
        <v>2667.89</v>
      </c>
      <c r="BN23" s="7">
        <v>4340.2516674245871</v>
      </c>
      <c r="BO23" s="7">
        <v>3805.348</v>
      </c>
      <c r="BP23" s="7">
        <v>4218.3518195602746</v>
      </c>
      <c r="BQ23" s="7">
        <v>1568.3008798775818</v>
      </c>
      <c r="BR23" s="7">
        <v>1247.587524233094</v>
      </c>
      <c r="BS23" s="7">
        <v>857.62470128589314</v>
      </c>
      <c r="BT23" s="7">
        <v>1008.447036067812</v>
      </c>
      <c r="BU23" s="7">
        <v>3649.467921527043</v>
      </c>
      <c r="BV23" s="41">
        <f>SUMIF(VVMV!E:E,"import",VVMV!M:M)</f>
        <v>8511.4486433376296</v>
      </c>
    </row>
    <row r="24" spans="3:74" ht="19.5" customHeight="1">
      <c r="C24" s="396" t="s">
        <v>1263</v>
      </c>
      <c r="D24" s="395"/>
      <c r="E24" s="32"/>
      <c r="F24" s="39"/>
      <c r="G24" s="32"/>
      <c r="H24" s="32"/>
      <c r="I24" s="32"/>
      <c r="J24" s="32"/>
      <c r="K24" s="32"/>
      <c r="L24" s="32"/>
      <c r="M24" s="32"/>
      <c r="N24" s="32"/>
      <c r="O24" s="32"/>
      <c r="P24" s="32"/>
      <c r="Q24" s="32"/>
      <c r="R24" s="32"/>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7"/>
      <c r="BM24" s="7"/>
      <c r="BN24" s="7"/>
      <c r="BO24" s="7"/>
      <c r="BP24" s="7">
        <v>607.65731614859737</v>
      </c>
      <c r="BQ24" s="7">
        <v>364.19280795715378</v>
      </c>
      <c r="BR24" s="7">
        <v>374.04493100695635</v>
      </c>
      <c r="BS24" s="7">
        <v>191.93566741266167</v>
      </c>
      <c r="BT24" s="7">
        <v>239.6935563393636</v>
      </c>
      <c r="BU24" s="7">
        <v>184.44175124981064</v>
      </c>
      <c r="BV24" s="41">
        <f>VLOOKUP("Lệ phí hải quan",VVMV!$B:$AG,32,0)/'Logistics record '!AD1</f>
        <v>232.4087370569118</v>
      </c>
    </row>
    <row r="25" spans="3:74" ht="19.5" customHeight="1">
      <c r="C25" s="394" t="s">
        <v>73</v>
      </c>
      <c r="D25" s="394" t="s">
        <v>73</v>
      </c>
      <c r="E25" s="2"/>
      <c r="F25" s="39"/>
      <c r="G25" s="2"/>
      <c r="H25" s="32"/>
      <c r="I25" s="1"/>
      <c r="J25" s="1"/>
      <c r="K25" s="1"/>
      <c r="L25" s="19">
        <v>464.51612903225805</v>
      </c>
      <c r="M25" s="19"/>
      <c r="N25" s="19"/>
      <c r="O25" s="19"/>
      <c r="P25" s="19"/>
      <c r="Q25" s="19"/>
      <c r="R25" s="19">
        <v>2194.8387096774195</v>
      </c>
      <c r="S25" s="19">
        <f>1100</f>
        <v>1100</v>
      </c>
      <c r="T25" s="19"/>
      <c r="U25" s="19"/>
      <c r="V25" s="19"/>
      <c r="W25" s="19"/>
      <c r="X25" s="19">
        <f>9000000/23250</f>
        <v>387.09677419354841</v>
      </c>
      <c r="Y25" s="19"/>
      <c r="Z25" s="19"/>
      <c r="AA25" s="19"/>
      <c r="AB25" s="19"/>
      <c r="AC25" s="19"/>
      <c r="AD25" s="19"/>
      <c r="AE25" s="19"/>
      <c r="AF25" s="19"/>
      <c r="AG25" s="19"/>
      <c r="AH25" s="19"/>
      <c r="AI25" s="19"/>
      <c r="AJ25" s="19">
        <v>387.09677419354841</v>
      </c>
      <c r="AK25" s="59"/>
      <c r="AL25" s="59"/>
      <c r="AM25" s="59"/>
      <c r="AN25" s="59"/>
      <c r="AO25" s="59"/>
      <c r="AP25" s="59"/>
      <c r="AQ25" s="59"/>
      <c r="AR25" s="59"/>
      <c r="AS25" s="59"/>
      <c r="AT25" s="59"/>
      <c r="AU25" s="59"/>
      <c r="AV25" s="59">
        <v>387.1</v>
      </c>
      <c r="AW25" s="59"/>
      <c r="AX25" s="59"/>
      <c r="AY25" s="59"/>
      <c r="AZ25" s="59"/>
      <c r="BA25" s="59"/>
      <c r="BB25" s="59"/>
      <c r="BC25" s="59"/>
      <c r="BD25" s="59"/>
      <c r="BE25" s="59"/>
      <c r="BF25" s="59"/>
      <c r="BG25" s="59"/>
      <c r="BH25" s="59">
        <f>9000000/26100</f>
        <v>344.82758620689657</v>
      </c>
      <c r="BI25" s="59"/>
      <c r="BJ25" s="59"/>
      <c r="BK25" s="59"/>
      <c r="BL25" s="59"/>
      <c r="BM25" s="59"/>
      <c r="BN25" s="59"/>
      <c r="BO25" s="59"/>
      <c r="BP25" s="59"/>
      <c r="BQ25" s="59"/>
      <c r="BR25" s="59"/>
      <c r="BS25" s="59">
        <v>341.38755073398323</v>
      </c>
      <c r="BT25" s="59"/>
      <c r="BU25" s="59"/>
      <c r="BV25" s="59"/>
    </row>
    <row r="26" spans="3:74" ht="19.5" customHeight="1">
      <c r="C26" s="394" t="s">
        <v>35</v>
      </c>
      <c r="D26" s="397"/>
      <c r="E26" s="37">
        <f t="shared" ref="E26:J26" si="0">SUM(E8:E25)</f>
        <v>9091.6428430107553</v>
      </c>
      <c r="F26" s="37">
        <f t="shared" si="0"/>
        <v>8357.0491064516082</v>
      </c>
      <c r="G26" s="37">
        <f t="shared" si="0"/>
        <v>9381.1889655913965</v>
      </c>
      <c r="H26" s="37">
        <f t="shared" si="0"/>
        <v>12008.293905376346</v>
      </c>
      <c r="I26" s="37">
        <f t="shared" si="0"/>
        <v>7786.5035376344085</v>
      </c>
      <c r="J26" s="37">
        <f t="shared" si="0"/>
        <v>7073.3062236559144</v>
      </c>
      <c r="K26" s="37">
        <f t="shared" ref="K26:AP26" si="1">SUM(K4:K25)</f>
        <v>15566.459199999999</v>
      </c>
      <c r="L26" s="37">
        <f t="shared" si="1"/>
        <v>11244.665315268816</v>
      </c>
      <c r="M26" s="37">
        <f t="shared" si="1"/>
        <v>13108.902193548385</v>
      </c>
      <c r="N26" s="37">
        <f t="shared" si="1"/>
        <v>13200.880921290323</v>
      </c>
      <c r="O26" s="37">
        <f t="shared" si="1"/>
        <v>8692.4016430107513</v>
      </c>
      <c r="P26" s="37">
        <f t="shared" si="1"/>
        <v>19146.334664086033</v>
      </c>
      <c r="Q26" s="37">
        <f t="shared" si="1"/>
        <v>9925.1346451612881</v>
      </c>
      <c r="R26" s="37">
        <f t="shared" si="1"/>
        <v>13154.20741075269</v>
      </c>
      <c r="S26" s="37">
        <f t="shared" si="1"/>
        <v>16654.992346236559</v>
      </c>
      <c r="T26" s="37">
        <f t="shared" si="1"/>
        <v>11685.945256344088</v>
      </c>
      <c r="U26" s="37">
        <f t="shared" si="1"/>
        <v>22537.439664516136</v>
      </c>
      <c r="V26" s="37">
        <f t="shared" si="1"/>
        <v>10830.539526881721</v>
      </c>
      <c r="W26" s="37">
        <f t="shared" si="1"/>
        <v>12320.017323010758</v>
      </c>
      <c r="X26" s="37">
        <f t="shared" si="1"/>
        <v>21215.869784946248</v>
      </c>
      <c r="Y26" s="37">
        <f t="shared" si="1"/>
        <v>15964.481548387093</v>
      </c>
      <c r="Z26" s="37">
        <f t="shared" si="1"/>
        <v>13252.605747311833</v>
      </c>
      <c r="AA26" s="37">
        <f t="shared" si="1"/>
        <v>13825.46941935484</v>
      </c>
      <c r="AB26" s="37">
        <f t="shared" si="1"/>
        <v>12481.077827956989</v>
      </c>
      <c r="AC26" s="37">
        <f t="shared" si="1"/>
        <v>9867.4784731182826</v>
      </c>
      <c r="AD26" s="37">
        <f t="shared" si="1"/>
        <v>12450.12043010753</v>
      </c>
      <c r="AE26" s="37">
        <f t="shared" si="1"/>
        <v>6100.4876129032255</v>
      </c>
      <c r="AF26" s="37">
        <f t="shared" si="1"/>
        <v>7401.4922688172137</v>
      </c>
      <c r="AG26" s="37">
        <f t="shared" si="1"/>
        <v>5294.380322580645</v>
      </c>
      <c r="AH26" s="37">
        <f t="shared" si="1"/>
        <v>6461.2106451612899</v>
      </c>
      <c r="AI26" s="37">
        <f t="shared" si="1"/>
        <v>8203.8725591397888</v>
      </c>
      <c r="AJ26" s="37">
        <f t="shared" si="1"/>
        <v>4602.1346236559148</v>
      </c>
      <c r="AK26" s="61">
        <f t="shared" si="1"/>
        <v>5697.3386021505385</v>
      </c>
      <c r="AL26" s="61">
        <f t="shared" si="1"/>
        <v>7819.7160860215054</v>
      </c>
      <c r="AM26" s="61">
        <f t="shared" si="1"/>
        <v>6716.5599999999995</v>
      </c>
      <c r="AN26" s="61">
        <f t="shared" si="1"/>
        <v>9563.6432473118275</v>
      </c>
      <c r="AO26" s="61">
        <f t="shared" si="1"/>
        <v>13081.601913978489</v>
      </c>
      <c r="AP26" s="61">
        <f t="shared" si="1"/>
        <v>10342.567470967742</v>
      </c>
      <c r="AQ26" s="61">
        <f t="shared" ref="AQ26:BG26" si="2">SUM(AQ4:AQ25)</f>
        <v>9542.0192903225834</v>
      </c>
      <c r="AR26" s="61">
        <f t="shared" si="2"/>
        <v>14126.086967741936</v>
      </c>
      <c r="AS26" s="61">
        <f t="shared" si="2"/>
        <v>12628.298978494622</v>
      </c>
      <c r="AT26" s="61">
        <f t="shared" si="2"/>
        <v>9309.9090752688171</v>
      </c>
      <c r="AU26" s="61">
        <f t="shared" si="2"/>
        <v>14704.026603225804</v>
      </c>
      <c r="AV26" s="61">
        <f t="shared" si="2"/>
        <v>12483.782833333335</v>
      </c>
      <c r="AW26" s="61">
        <f t="shared" si="2"/>
        <v>13928.670040816332</v>
      </c>
      <c r="AX26" s="61">
        <f t="shared" si="2"/>
        <v>11922.079215510201</v>
      </c>
      <c r="AY26" s="61">
        <f t="shared" si="2"/>
        <v>12977.241544897961</v>
      </c>
      <c r="AZ26" s="61">
        <f t="shared" si="2"/>
        <v>13056.729585714284</v>
      </c>
      <c r="BA26" s="61">
        <f t="shared" si="2"/>
        <v>17564.664036734688</v>
      </c>
      <c r="BB26" s="61">
        <f t="shared" si="2"/>
        <v>18889.722828627448</v>
      </c>
      <c r="BC26" s="61">
        <f t="shared" si="2"/>
        <v>20072.921173999999</v>
      </c>
      <c r="BD26" s="61">
        <f t="shared" si="2"/>
        <v>12347.095380000001</v>
      </c>
      <c r="BE26" s="61">
        <f t="shared" si="2"/>
        <v>16982.85542399999</v>
      </c>
      <c r="BF26" s="61">
        <f t="shared" si="2"/>
        <v>14896.020039999999</v>
      </c>
      <c r="BG26" s="61">
        <f t="shared" si="2"/>
        <v>19446.80072530864</v>
      </c>
      <c r="BH26" s="61">
        <f t="shared" ref="BH26:BO26" si="3">BH5+BH7+BH9+BH11+BH13+BH15+BH17+BH19+BH21+BH23+BH25</f>
        <v>15137.873041447905</v>
      </c>
      <c r="BI26" s="61">
        <f t="shared" si="3"/>
        <v>19220.61197240046</v>
      </c>
      <c r="BJ26" s="61">
        <f t="shared" si="3"/>
        <v>19747.057952881511</v>
      </c>
      <c r="BK26" s="61">
        <f t="shared" si="3"/>
        <v>17816.25988787879</v>
      </c>
      <c r="BL26" s="61">
        <f t="shared" si="3"/>
        <v>28793.425087580516</v>
      </c>
      <c r="BM26" s="61">
        <f t="shared" si="3"/>
        <v>25017.722229147868</v>
      </c>
      <c r="BN26" s="61">
        <f t="shared" si="3"/>
        <v>38600.992994163964</v>
      </c>
      <c r="BO26" s="61">
        <f t="shared" si="3"/>
        <v>34390.087236230094</v>
      </c>
      <c r="BP26" s="61">
        <v>31834.168351781605</v>
      </c>
      <c r="BQ26" s="61">
        <v>18842.23883224943</v>
      </c>
      <c r="BR26" s="61">
        <v>16609.889207435255</v>
      </c>
      <c r="BS26" s="61">
        <v>14010.271850699877</v>
      </c>
      <c r="BT26" s="61">
        <v>15196.922423483877</v>
      </c>
      <c r="BU26" s="61">
        <v>17085.066904976491</v>
      </c>
      <c r="BV26" s="383">
        <f>BV5+BV7+BV9+BV11+BV13+BV15+BV17+BV19+BV21+BV23+BV25+BV24</f>
        <v>27045.628150177541</v>
      </c>
    </row>
    <row r="27" spans="3:74" ht="16.899999999999999" customHeight="1">
      <c r="C27" s="46"/>
      <c r="D27" s="387"/>
      <c r="E27" s="388"/>
      <c r="F27" s="388"/>
      <c r="G27" s="388"/>
      <c r="H27" s="388"/>
      <c r="I27" s="388"/>
      <c r="J27" s="388"/>
      <c r="K27" s="388"/>
      <c r="L27" s="388"/>
      <c r="M27" s="388"/>
      <c r="N27" s="388"/>
      <c r="O27" s="388"/>
      <c r="P27" s="388"/>
      <c r="Q27" s="388"/>
      <c r="R27" s="388"/>
      <c r="S27" s="388"/>
      <c r="T27" s="388"/>
      <c r="U27" s="388"/>
      <c r="V27" s="388"/>
      <c r="W27" s="388"/>
      <c r="X27" s="388"/>
      <c r="Y27" s="388"/>
      <c r="Z27" s="388"/>
      <c r="AA27" s="388"/>
      <c r="AB27" s="388"/>
      <c r="AC27" s="388"/>
      <c r="AD27" s="388"/>
      <c r="AE27" s="388"/>
      <c r="AF27" s="388"/>
      <c r="AG27" s="388"/>
      <c r="AH27" s="388"/>
      <c r="AI27" s="388"/>
      <c r="AJ27" s="388"/>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389"/>
    </row>
    <row r="28" spans="3:74" ht="30" customHeight="1">
      <c r="C28" s="30" t="s">
        <v>63</v>
      </c>
      <c r="D28" s="385" t="s">
        <v>1161</v>
      </c>
      <c r="E28" s="16">
        <v>44075</v>
      </c>
      <c r="F28" s="16">
        <v>44105</v>
      </c>
      <c r="G28" s="16">
        <v>44136</v>
      </c>
      <c r="H28" s="16">
        <v>44166</v>
      </c>
      <c r="I28" s="16">
        <v>44197</v>
      </c>
      <c r="J28" s="16">
        <v>44228</v>
      </c>
      <c r="K28" s="16">
        <v>44256</v>
      </c>
      <c r="L28" s="16">
        <v>44287</v>
      </c>
      <c r="M28" s="16">
        <v>44317</v>
      </c>
      <c r="N28" s="16">
        <v>44348</v>
      </c>
      <c r="O28" s="16">
        <v>44378</v>
      </c>
      <c r="P28" s="16">
        <v>44409</v>
      </c>
      <c r="Q28" s="16">
        <v>44440</v>
      </c>
      <c r="R28" s="16">
        <v>44470</v>
      </c>
      <c r="S28" s="16">
        <v>44501</v>
      </c>
      <c r="T28" s="16">
        <v>44531</v>
      </c>
      <c r="U28" s="16">
        <v>44562</v>
      </c>
      <c r="V28" s="16">
        <v>44593</v>
      </c>
      <c r="W28" s="16">
        <v>44621</v>
      </c>
      <c r="X28" s="16">
        <v>44652</v>
      </c>
      <c r="Y28" s="16">
        <v>44682</v>
      </c>
      <c r="Z28" s="16">
        <v>44713</v>
      </c>
      <c r="AA28" s="16">
        <v>44743</v>
      </c>
      <c r="AB28" s="16">
        <v>44774</v>
      </c>
      <c r="AC28" s="16">
        <v>44805</v>
      </c>
      <c r="AD28" s="16">
        <v>44835</v>
      </c>
      <c r="AE28" s="16">
        <v>44866</v>
      </c>
      <c r="AF28" s="16">
        <v>44896</v>
      </c>
      <c r="AG28" s="16">
        <v>44927</v>
      </c>
      <c r="AH28" s="16">
        <v>44958</v>
      </c>
      <c r="AI28" s="16">
        <v>44986</v>
      </c>
      <c r="AJ28" s="16">
        <v>45017</v>
      </c>
      <c r="AK28" s="16">
        <v>45047</v>
      </c>
      <c r="AL28" s="16">
        <v>45078</v>
      </c>
      <c r="AM28" s="16">
        <v>45108</v>
      </c>
      <c r="AN28" s="16">
        <v>45139</v>
      </c>
      <c r="AO28" s="16">
        <v>45170</v>
      </c>
      <c r="AP28" s="16">
        <v>45200</v>
      </c>
      <c r="AQ28" s="16">
        <v>45231</v>
      </c>
      <c r="AR28" s="16">
        <v>45261</v>
      </c>
      <c r="AS28" s="16">
        <v>45292</v>
      </c>
      <c r="AT28" s="16">
        <v>45323</v>
      </c>
      <c r="AU28" s="16">
        <v>45352</v>
      </c>
      <c r="AV28" s="16">
        <v>45383</v>
      </c>
      <c r="AW28" s="16">
        <v>45413</v>
      </c>
      <c r="AX28" s="16">
        <v>45444</v>
      </c>
      <c r="AY28" s="16">
        <v>45474</v>
      </c>
      <c r="AZ28" s="16">
        <v>45505</v>
      </c>
      <c r="BA28" s="16">
        <v>45536</v>
      </c>
      <c r="BB28" s="16">
        <v>45566</v>
      </c>
      <c r="BC28" s="16">
        <v>45597</v>
      </c>
      <c r="BD28" s="16">
        <v>45627</v>
      </c>
      <c r="BE28" s="386">
        <v>45658</v>
      </c>
      <c r="BF28" s="386">
        <v>45689</v>
      </c>
      <c r="BG28" s="386">
        <v>45717</v>
      </c>
      <c r="BH28" s="386">
        <v>45748</v>
      </c>
      <c r="BI28" s="386">
        <v>45778</v>
      </c>
      <c r="BJ28" s="386">
        <v>45833</v>
      </c>
      <c r="BK28" s="386">
        <v>45863</v>
      </c>
      <c r="BL28" s="386">
        <v>45870</v>
      </c>
      <c r="BM28" s="386">
        <v>45901</v>
      </c>
      <c r="BN28" s="386">
        <v>45931</v>
      </c>
      <c r="BO28" s="386">
        <v>45962</v>
      </c>
      <c r="BP28" s="386">
        <v>45992</v>
      </c>
      <c r="BQ28" s="386">
        <v>46023</v>
      </c>
      <c r="BR28" s="386">
        <v>46054</v>
      </c>
      <c r="BS28" s="386">
        <v>46082</v>
      </c>
      <c r="BT28" s="386">
        <v>46113</v>
      </c>
      <c r="BU28" s="386">
        <v>46143</v>
      </c>
      <c r="BV28" s="386">
        <v>46174</v>
      </c>
    </row>
    <row r="29" spans="3:74" ht="31.5" customHeight="1">
      <c r="C29" s="394" t="s">
        <v>1</v>
      </c>
      <c r="D29" s="400" t="s">
        <v>3</v>
      </c>
      <c r="E29" s="32">
        <f>5208.30830107527+341.82</f>
        <v>5550.1283010752695</v>
      </c>
      <c r="F29" s="39">
        <v>3837.6107526881719</v>
      </c>
      <c r="G29" s="32">
        <v>10064.687956989248</v>
      </c>
      <c r="H29" s="32">
        <f>6878.84077419355-14.3</f>
        <v>6864.5407741935496</v>
      </c>
      <c r="I29" s="32">
        <v>3310.6016774193549</v>
      </c>
      <c r="J29" s="32">
        <v>5797.412946236559</v>
      </c>
      <c r="K29" s="32">
        <v>11430.40752688172</v>
      </c>
      <c r="L29" s="32">
        <v>6213.2854623655912</v>
      </c>
      <c r="M29" s="32">
        <v>8546.9994838709681</v>
      </c>
      <c r="N29" s="32">
        <v>10385.793634408603</v>
      </c>
      <c r="O29" s="32">
        <v>10105.338021505377</v>
      </c>
      <c r="P29" s="32">
        <v>15772.756645161291</v>
      </c>
      <c r="Q29" s="32">
        <v>12293.399397849462</v>
      </c>
      <c r="R29" s="32">
        <v>11987.535784946236</v>
      </c>
      <c r="S29" s="32">
        <v>11872.94</v>
      </c>
      <c r="T29" s="32">
        <v>9647.4107526881726</v>
      </c>
      <c r="U29" s="32">
        <v>7759.07</v>
      </c>
      <c r="V29" s="32">
        <v>10838.936860215053</v>
      </c>
      <c r="W29" s="32">
        <f>11388.3022365591+67.66-21.016</f>
        <v>11434.946236559101</v>
      </c>
      <c r="X29" s="32">
        <v>12698.831311827957</v>
      </c>
      <c r="Y29" s="32">
        <v>15640.823440860215</v>
      </c>
      <c r="Z29" s="32">
        <f>13238.2283870968-236.6</f>
        <v>13001.6283870968</v>
      </c>
      <c r="AA29" s="32">
        <v>12122.124731182796</v>
      </c>
      <c r="AB29" s="32">
        <f>13586.5138924731-231</f>
        <v>13355.5138924731</v>
      </c>
      <c r="AC29" s="32">
        <v>13218.403096774193</v>
      </c>
      <c r="AD29" s="32">
        <v>10522.6230537634</v>
      </c>
      <c r="AE29" s="32">
        <f>4347.90929032258-43.69</f>
        <v>4304.2192903225805</v>
      </c>
      <c r="AF29" s="32">
        <v>5355.6803870967742</v>
      </c>
      <c r="AG29" s="32">
        <v>2100.8419354838711</v>
      </c>
      <c r="AH29" s="32">
        <v>4823.53</v>
      </c>
      <c r="AI29" s="32">
        <v>4957.22</v>
      </c>
      <c r="AJ29" s="32">
        <v>3551.9742365591396</v>
      </c>
      <c r="AK29" s="7">
        <f>6845.63608602151+129</f>
        <v>6974.63608602151</v>
      </c>
      <c r="AL29" s="7">
        <v>5994.3065376344084</v>
      </c>
      <c r="AM29" s="7">
        <v>4951.7546666666667</v>
      </c>
      <c r="AN29" s="7">
        <f>8125.32572043011+5.2</f>
        <v>8130.5257204301097</v>
      </c>
      <c r="AO29" s="7">
        <v>7428.4032688172047</v>
      </c>
      <c r="AP29" s="7">
        <v>10914.98</v>
      </c>
      <c r="AQ29" s="7">
        <v>9783.1821505376338</v>
      </c>
      <c r="AR29" s="7">
        <v>12489.704946236559</v>
      </c>
      <c r="AS29" s="7">
        <v>12273.900172043011</v>
      </c>
      <c r="AT29" s="7">
        <v>7694.0054193548385</v>
      </c>
      <c r="AU29" s="7">
        <v>8667.9904946236566</v>
      </c>
      <c r="AV29" s="7">
        <v>6016.1456250000001</v>
      </c>
      <c r="AW29" s="7">
        <v>8168.5237551020409</v>
      </c>
      <c r="AX29" s="7">
        <v>7369.0656734693875</v>
      </c>
      <c r="AY29" s="7">
        <v>8778.5827755102036</v>
      </c>
      <c r="AZ29" s="7">
        <v>8064.4963711340206</v>
      </c>
      <c r="BA29" s="7">
        <v>9196.8411428571435</v>
      </c>
      <c r="BB29" s="7">
        <f>8421.47050980392-130.18</f>
        <v>8291.2905098039191</v>
      </c>
      <c r="BC29" s="7">
        <v>8434.0245200000008</v>
      </c>
      <c r="BD29" s="7">
        <v>10939.620639999999</v>
      </c>
      <c r="BE29" s="7">
        <v>5617.3512000000001</v>
      </c>
      <c r="BF29" s="7">
        <v>6631.6404400000001</v>
      </c>
      <c r="BG29" s="7">
        <v>8529.3160493827145</v>
      </c>
      <c r="BH29" s="7">
        <v>9507.2271231828618</v>
      </c>
      <c r="BI29" s="7">
        <v>9235.9308924485122</v>
      </c>
      <c r="BJ29" s="7">
        <v>10516.537575987843</v>
      </c>
      <c r="BK29" s="7">
        <v>8896.6200000000008</v>
      </c>
      <c r="BL29" s="7">
        <v>15167.626062100768</v>
      </c>
      <c r="BM29" s="7">
        <v>15449.822261981804</v>
      </c>
      <c r="BN29" s="7">
        <v>16078.533651659845</v>
      </c>
      <c r="BO29" s="7">
        <v>18467.478094588965</v>
      </c>
      <c r="BP29" s="7">
        <v>18148.663419257016</v>
      </c>
      <c r="BQ29" s="7">
        <v>13742.767138485087</v>
      </c>
      <c r="BR29" s="7">
        <v>10025.437906260689</v>
      </c>
      <c r="BS29" s="7">
        <v>13162.440097420325</v>
      </c>
      <c r="BT29" s="7">
        <v>11680.676992453347</v>
      </c>
      <c r="BU29" s="7">
        <v>7248.9128162399638</v>
      </c>
      <c r="BV29" s="41">
        <f>SUM('FedEx Import'!R:R)</f>
        <v>9743.2527397777885</v>
      </c>
    </row>
    <row r="30" spans="3:74" ht="31.5" customHeight="1">
      <c r="C30" s="394" t="s">
        <v>7</v>
      </c>
      <c r="D30" s="400" t="s">
        <v>3</v>
      </c>
      <c r="E30" s="32">
        <v>2286.8431827956988</v>
      </c>
      <c r="F30" s="39">
        <v>3162.835053763441</v>
      </c>
      <c r="G30" s="32">
        <v>746.30843010752687</v>
      </c>
      <c r="H30" s="32">
        <v>1746.6056774193548</v>
      </c>
      <c r="I30" s="32">
        <v>702.91294623655915</v>
      </c>
      <c r="J30" s="32">
        <v>138.94</v>
      </c>
      <c r="K30" s="32">
        <v>421.58137634408604</v>
      </c>
      <c r="L30" s="32">
        <v>778.10326881720425</v>
      </c>
      <c r="M30" s="32">
        <v>1064.4487741935484</v>
      </c>
      <c r="N30" s="32">
        <v>877.74279569892474</v>
      </c>
      <c r="O30" s="32">
        <v>858.81333333333339</v>
      </c>
      <c r="P30" s="32">
        <v>345.62812903225807</v>
      </c>
      <c r="Q30" s="32">
        <v>420.27823655913977</v>
      </c>
      <c r="R30" s="32">
        <v>1451.7775913978494</v>
      </c>
      <c r="S30" s="32">
        <v>775.64245161290319</v>
      </c>
      <c r="T30" s="32">
        <v>567.76176344086025</v>
      </c>
      <c r="U30" s="32">
        <v>763.31797849462362</v>
      </c>
      <c r="V30" s="32">
        <v>358.93681720430106</v>
      </c>
      <c r="W30" s="32">
        <v>1152.3445161290322</v>
      </c>
      <c r="X30" s="32">
        <v>656.70748387096774</v>
      </c>
      <c r="Y30" s="32">
        <v>2178.3583225806451</v>
      </c>
      <c r="Z30" s="32">
        <f>1465.52546236559-467</f>
        <v>998.5254623655901</v>
      </c>
      <c r="AA30" s="32">
        <v>810.91075268817201</v>
      </c>
      <c r="AB30" s="32">
        <v>1317.0383225806452</v>
      </c>
      <c r="AC30" s="32">
        <v>376.23539784946234</v>
      </c>
      <c r="AD30" s="32">
        <f>19483745/23250</f>
        <v>838.01053763440859</v>
      </c>
      <c r="AE30" s="32">
        <v>704.11492473118278</v>
      </c>
      <c r="AF30" s="32">
        <v>416</v>
      </c>
      <c r="AG30" s="32">
        <v>1219.868559139785</v>
      </c>
      <c r="AH30" s="32">
        <v>252.2305806451613</v>
      </c>
      <c r="AI30" s="32">
        <v>1165.949376344086</v>
      </c>
      <c r="AJ30" s="32">
        <v>931.20993548387094</v>
      </c>
      <c r="AK30" s="7">
        <v>1427.1843440860216</v>
      </c>
      <c r="AL30" s="7">
        <v>1286.6199999999999</v>
      </c>
      <c r="AM30" s="7">
        <v>2969.4950537634409</v>
      </c>
      <c r="AN30" s="7">
        <v>2259.9784516129034</v>
      </c>
      <c r="AO30" s="7">
        <v>1418.5572043010752</v>
      </c>
      <c r="AP30" s="7">
        <v>1444.5117419354838</v>
      </c>
      <c r="AQ30" s="7">
        <v>1149.8510107526881</v>
      </c>
      <c r="AR30" s="7">
        <v>502.97875268817199</v>
      </c>
      <c r="AS30" s="7">
        <v>1696.067182795699</v>
      </c>
      <c r="AT30" s="7">
        <v>964.33113978494623</v>
      </c>
      <c r="AU30" s="7">
        <v>1633.9685161290322</v>
      </c>
      <c r="AV30" s="7">
        <v>261.09041666666667</v>
      </c>
      <c r="AW30" s="7">
        <v>1414.6713469387755</v>
      </c>
      <c r="AX30" s="7">
        <v>989.47</v>
      </c>
      <c r="AY30" s="7">
        <v>1020.1084897959183</v>
      </c>
      <c r="AZ30" s="7">
        <v>346.82787755102044</v>
      </c>
      <c r="BA30" s="7">
        <v>1239.1390612244898</v>
      </c>
      <c r="BB30" s="7">
        <v>975.8825882352894</v>
      </c>
      <c r="BC30" s="7">
        <v>3861.17</v>
      </c>
      <c r="BD30" s="7">
        <v>1092.9640400000001</v>
      </c>
      <c r="BE30" s="7">
        <v>2033.3060800000001</v>
      </c>
      <c r="BF30" s="7">
        <v>866.13016000000005</v>
      </c>
      <c r="BG30" s="7">
        <v>1094.5007716049381</v>
      </c>
      <c r="BH30" s="7">
        <v>633.34667176740629</v>
      </c>
      <c r="BI30" s="7">
        <v>8492.0150266971777</v>
      </c>
      <c r="BJ30" s="7">
        <f>26513392/26320</f>
        <v>1007.3477203647417</v>
      </c>
      <c r="BK30" s="7">
        <v>1227.2343723011363</v>
      </c>
      <c r="BL30" s="7">
        <v>677.28226934270697</v>
      </c>
      <c r="BM30" s="7">
        <v>2218.7457241457773</v>
      </c>
      <c r="BN30" s="7">
        <v>3509.6843262088828</v>
      </c>
      <c r="BO30" s="7">
        <v>1622.8871202957325</v>
      </c>
      <c r="BP30" s="7">
        <v>6549.8443505344949</v>
      </c>
      <c r="BQ30" s="7">
        <v>1554.4614259334353</v>
      </c>
      <c r="BR30" s="7">
        <v>518.70840460713873</v>
      </c>
      <c r="BS30" s="7">
        <v>2518.1200925539588</v>
      </c>
      <c r="BT30" s="7">
        <v>557.44654302726894</v>
      </c>
      <c r="BU30" s="7">
        <v>1461.5199590971065</v>
      </c>
      <c r="BV30" s="41">
        <f>SUM('FedEx Export'!AC:AC)</f>
        <v>584.86641221374043</v>
      </c>
    </row>
    <row r="31" spans="3:74" ht="22.5" customHeight="1">
      <c r="C31" s="394" t="s">
        <v>62</v>
      </c>
      <c r="D31" s="400"/>
      <c r="E31" s="2"/>
      <c r="F31" s="10"/>
      <c r="G31" s="2"/>
      <c r="H31" s="2"/>
      <c r="I31" s="1"/>
      <c r="J31" s="1"/>
      <c r="K31" s="32">
        <v>59.082494623655911</v>
      </c>
      <c r="L31" s="32"/>
      <c r="M31" s="32"/>
      <c r="N31" s="32"/>
      <c r="O31" s="32"/>
      <c r="P31" s="32"/>
      <c r="Q31" s="32"/>
      <c r="R31" s="32"/>
      <c r="S31" s="32"/>
      <c r="T31" s="32"/>
      <c r="U31" s="32"/>
      <c r="V31" s="32"/>
      <c r="W31" s="32">
        <v>496.33475268817205</v>
      </c>
      <c r="X31" s="32"/>
      <c r="Y31" s="32"/>
      <c r="Z31" s="32"/>
      <c r="AA31" s="32"/>
      <c r="AB31" s="32"/>
      <c r="AC31" s="32"/>
      <c r="AD31" s="32"/>
      <c r="AE31" s="32"/>
      <c r="AF31" s="32"/>
      <c r="AG31" s="32"/>
      <c r="AH31" s="32"/>
      <c r="AI31" s="32"/>
      <c r="AJ31" s="32"/>
      <c r="AK31" s="7"/>
      <c r="AL31" s="7"/>
      <c r="AM31" s="7"/>
      <c r="AN31" s="7"/>
      <c r="AO31" s="7"/>
      <c r="AP31" s="7"/>
      <c r="AQ31" s="7"/>
      <c r="AR31" s="7"/>
      <c r="AS31" s="7"/>
      <c r="AT31" s="7"/>
      <c r="AU31" s="7"/>
      <c r="AV31" s="7"/>
      <c r="AW31" s="7"/>
      <c r="AX31" s="7"/>
      <c r="AY31" s="7">
        <v>229.00583673469387</v>
      </c>
      <c r="AZ31" s="7"/>
      <c r="BA31" s="7"/>
      <c r="BB31" s="7"/>
      <c r="BC31" s="7"/>
      <c r="BD31" s="7"/>
      <c r="BE31" s="7"/>
      <c r="BF31" s="7"/>
      <c r="BG31" s="7"/>
      <c r="BH31" s="7"/>
      <c r="BI31" s="7"/>
      <c r="BJ31" s="7"/>
      <c r="BK31" s="7"/>
      <c r="BL31" s="7"/>
      <c r="BM31" s="7"/>
      <c r="BN31" s="7"/>
      <c r="BO31" s="7"/>
      <c r="BP31" s="7"/>
      <c r="BQ31" s="7"/>
      <c r="BR31" s="7"/>
      <c r="BS31" s="7"/>
      <c r="BT31" s="7"/>
      <c r="BU31" s="7"/>
      <c r="BV31" s="344"/>
    </row>
    <row r="32" spans="3:74" ht="31.5" customHeight="1">
      <c r="C32" s="394" t="s">
        <v>35</v>
      </c>
      <c r="D32" s="400"/>
      <c r="E32" s="37">
        <f t="shared" ref="E32:V32" si="4">SUM(E29:E31)</f>
        <v>7836.9714838709679</v>
      </c>
      <c r="F32" s="42">
        <f t="shared" si="4"/>
        <v>7000.445806451613</v>
      </c>
      <c r="G32" s="37">
        <f t="shared" si="4"/>
        <v>10810.996387096775</v>
      </c>
      <c r="H32" s="37">
        <f t="shared" si="4"/>
        <v>8611.1464516129054</v>
      </c>
      <c r="I32" s="37">
        <f t="shared" si="4"/>
        <v>4013.514623655914</v>
      </c>
      <c r="J32" s="37">
        <f t="shared" si="4"/>
        <v>5936.3529462365586</v>
      </c>
      <c r="K32" s="37">
        <f t="shared" si="4"/>
        <v>11911.07139784946</v>
      </c>
      <c r="L32" s="37">
        <f t="shared" si="4"/>
        <v>6991.3887311827957</v>
      </c>
      <c r="M32" s="37">
        <f t="shared" si="4"/>
        <v>9611.4482580645163</v>
      </c>
      <c r="N32" s="37">
        <f t="shared" si="4"/>
        <v>11263.536430107528</v>
      </c>
      <c r="O32" s="37">
        <f t="shared" si="4"/>
        <v>10964.15135483871</v>
      </c>
      <c r="P32" s="37">
        <f t="shared" si="4"/>
        <v>16118.38477419355</v>
      </c>
      <c r="Q32" s="37">
        <f t="shared" si="4"/>
        <v>12713.677634408601</v>
      </c>
      <c r="R32" s="37">
        <f t="shared" si="4"/>
        <v>13439.313376344086</v>
      </c>
      <c r="S32" s="37">
        <f t="shared" si="4"/>
        <v>12648.582451612903</v>
      </c>
      <c r="T32" s="37">
        <f t="shared" si="4"/>
        <v>10215.172516129032</v>
      </c>
      <c r="U32" s="37">
        <f t="shared" si="4"/>
        <v>8522.3879784946239</v>
      </c>
      <c r="V32" s="37">
        <f t="shared" si="4"/>
        <v>11197.873677419355</v>
      </c>
      <c r="W32" s="37">
        <f t="shared" ref="W32:BN32" si="5">SUM(W29:W31)</f>
        <v>13083.625505376305</v>
      </c>
      <c r="X32" s="37">
        <f t="shared" si="5"/>
        <v>13355.538795698925</v>
      </c>
      <c r="Y32" s="37">
        <f t="shared" si="5"/>
        <v>17819.181763440858</v>
      </c>
      <c r="Z32" s="37">
        <f t="shared" si="5"/>
        <v>14000.153849462389</v>
      </c>
      <c r="AA32" s="37">
        <f t="shared" si="5"/>
        <v>12933.035483870968</v>
      </c>
      <c r="AB32" s="37">
        <f t="shared" si="5"/>
        <v>14672.552215053745</v>
      </c>
      <c r="AC32" s="37">
        <f t="shared" si="5"/>
        <v>13594.638494623656</v>
      </c>
      <c r="AD32" s="37">
        <f t="shared" si="5"/>
        <v>11360.633591397809</v>
      </c>
      <c r="AE32" s="37">
        <f t="shared" si="5"/>
        <v>5008.3342150537628</v>
      </c>
      <c r="AF32" s="37">
        <f t="shared" si="5"/>
        <v>5771.6803870967742</v>
      </c>
      <c r="AG32" s="37">
        <f t="shared" si="5"/>
        <v>3320.7104946236559</v>
      </c>
      <c r="AH32" s="37">
        <f t="shared" si="5"/>
        <v>5075.7605806451611</v>
      </c>
      <c r="AI32" s="37">
        <f t="shared" si="5"/>
        <v>6123.1693763440862</v>
      </c>
      <c r="AJ32" s="37">
        <f t="shared" si="5"/>
        <v>4483.1841720430102</v>
      </c>
      <c r="AK32" s="61">
        <f t="shared" si="5"/>
        <v>8401.8204301075311</v>
      </c>
      <c r="AL32" s="61">
        <f t="shared" si="5"/>
        <v>7280.9265376344083</v>
      </c>
      <c r="AM32" s="61">
        <f t="shared" si="5"/>
        <v>7921.2497204301071</v>
      </c>
      <c r="AN32" s="61">
        <f t="shared" si="5"/>
        <v>10390.504172043013</v>
      </c>
      <c r="AO32" s="61">
        <f t="shared" si="5"/>
        <v>8846.9604731182808</v>
      </c>
      <c r="AP32" s="61">
        <f t="shared" si="5"/>
        <v>12359.491741935482</v>
      </c>
      <c r="AQ32" s="61">
        <f t="shared" si="5"/>
        <v>10933.033161290321</v>
      </c>
      <c r="AR32" s="61">
        <f t="shared" si="5"/>
        <v>12992.683698924731</v>
      </c>
      <c r="AS32" s="61">
        <f t="shared" si="5"/>
        <v>13969.967354838711</v>
      </c>
      <c r="AT32" s="61">
        <f t="shared" si="5"/>
        <v>8658.3365591397851</v>
      </c>
      <c r="AU32" s="61">
        <f t="shared" si="5"/>
        <v>10301.959010752689</v>
      </c>
      <c r="AV32" s="61">
        <f t="shared" si="5"/>
        <v>6277.236041666667</v>
      </c>
      <c r="AW32" s="61">
        <f t="shared" si="5"/>
        <v>9583.195102040816</v>
      </c>
      <c r="AX32" s="61">
        <f t="shared" si="5"/>
        <v>8358.5356734693869</v>
      </c>
      <c r="AY32" s="61">
        <f t="shared" si="5"/>
        <v>10027.697102040816</v>
      </c>
      <c r="AZ32" s="61">
        <f t="shared" si="5"/>
        <v>8411.3242486850413</v>
      </c>
      <c r="BA32" s="61">
        <f t="shared" si="5"/>
        <v>10435.980204081634</v>
      </c>
      <c r="BB32" s="61">
        <f t="shared" si="5"/>
        <v>9267.1730980392094</v>
      </c>
      <c r="BC32" s="61">
        <f t="shared" si="5"/>
        <v>12295.194520000001</v>
      </c>
      <c r="BD32" s="61">
        <f t="shared" si="5"/>
        <v>12032.58468</v>
      </c>
      <c r="BE32" s="61">
        <f t="shared" si="5"/>
        <v>7650.6572800000004</v>
      </c>
      <c r="BF32" s="61">
        <f t="shared" si="5"/>
        <v>7497.7705999999998</v>
      </c>
      <c r="BG32" s="61">
        <f t="shared" si="5"/>
        <v>9623.816820987653</v>
      </c>
      <c r="BH32" s="61">
        <f t="shared" si="5"/>
        <v>10140.573794950267</v>
      </c>
      <c r="BI32" s="61">
        <f t="shared" si="5"/>
        <v>17727.945919145692</v>
      </c>
      <c r="BJ32" s="61">
        <f t="shared" si="5"/>
        <v>11523.885296352584</v>
      </c>
      <c r="BK32" s="61">
        <f t="shared" si="5"/>
        <v>10123.854372301137</v>
      </c>
      <c r="BL32" s="61">
        <f t="shared" si="5"/>
        <v>15844.908331443476</v>
      </c>
      <c r="BM32" s="61">
        <f t="shared" si="5"/>
        <v>17668.567986127582</v>
      </c>
      <c r="BN32" s="61">
        <f t="shared" si="5"/>
        <v>19588.217977868728</v>
      </c>
      <c r="BO32" s="61">
        <f>+BO30+BO29</f>
        <v>20090.365214884696</v>
      </c>
      <c r="BP32" s="61">
        <v>24698.507769791511</v>
      </c>
      <c r="BQ32" s="61">
        <v>15297.228564418523</v>
      </c>
      <c r="BR32" s="61">
        <v>10544.146310867829</v>
      </c>
      <c r="BS32" s="61">
        <v>15680.560189974283</v>
      </c>
      <c r="BT32" s="61">
        <v>12238.123535480616</v>
      </c>
      <c r="BU32" s="61">
        <v>8710.4327753370708</v>
      </c>
      <c r="BV32" s="383">
        <f>+BV30+BV29</f>
        <v>10328.119151991528</v>
      </c>
    </row>
    <row r="33" spans="3:74" ht="31.5" customHeight="1">
      <c r="C33" s="4"/>
      <c r="D33" s="5"/>
      <c r="E33" s="388"/>
      <c r="F33" s="390"/>
      <c r="G33" s="388"/>
      <c r="H33" s="388"/>
      <c r="I33" s="388"/>
      <c r="J33" s="388"/>
      <c r="K33" s="388"/>
      <c r="L33" s="388"/>
      <c r="M33" s="388"/>
      <c r="N33" s="388"/>
      <c r="O33" s="388"/>
      <c r="P33" s="388"/>
      <c r="Q33" s="388"/>
      <c r="R33" s="388"/>
      <c r="S33" s="388"/>
      <c r="T33" s="388"/>
      <c r="U33" s="388"/>
      <c r="V33" s="388"/>
      <c r="W33" s="388"/>
      <c r="X33" s="388"/>
      <c r="Y33" s="388"/>
      <c r="Z33" s="388"/>
      <c r="AA33" s="388"/>
      <c r="AB33" s="388"/>
      <c r="AC33" s="388"/>
      <c r="AD33" s="388"/>
      <c r="AE33" s="388"/>
      <c r="AF33" s="388"/>
      <c r="AG33" s="388"/>
      <c r="AH33" s="388"/>
      <c r="AI33" s="388"/>
      <c r="AJ33" s="388"/>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389"/>
    </row>
    <row r="34" spans="3:74" ht="30" customHeight="1">
      <c r="C34" s="30" t="s">
        <v>897</v>
      </c>
      <c r="D34" s="385" t="s">
        <v>1161</v>
      </c>
      <c r="E34" s="16">
        <v>44075</v>
      </c>
      <c r="F34" s="16">
        <v>44105</v>
      </c>
      <c r="G34" s="16">
        <v>44136</v>
      </c>
      <c r="H34" s="16">
        <v>44166</v>
      </c>
      <c r="I34" s="16">
        <v>44197</v>
      </c>
      <c r="J34" s="16">
        <v>44228</v>
      </c>
      <c r="K34" s="16">
        <v>44256</v>
      </c>
      <c r="L34" s="16">
        <v>44287</v>
      </c>
      <c r="M34" s="16">
        <v>44317</v>
      </c>
      <c r="N34" s="16">
        <v>44348</v>
      </c>
      <c r="O34" s="16">
        <v>44378</v>
      </c>
      <c r="P34" s="16">
        <v>44409</v>
      </c>
      <c r="Q34" s="16">
        <v>44440</v>
      </c>
      <c r="R34" s="16">
        <v>44470</v>
      </c>
      <c r="S34" s="16">
        <v>44501</v>
      </c>
      <c r="T34" s="16">
        <v>44531</v>
      </c>
      <c r="U34" s="16">
        <v>44562</v>
      </c>
      <c r="V34" s="16">
        <v>44593</v>
      </c>
      <c r="W34" s="16">
        <v>44621</v>
      </c>
      <c r="X34" s="16">
        <v>44652</v>
      </c>
      <c r="Y34" s="16">
        <v>44682</v>
      </c>
      <c r="Z34" s="16">
        <v>44713</v>
      </c>
      <c r="AA34" s="16">
        <v>44743</v>
      </c>
      <c r="AB34" s="16">
        <v>44774</v>
      </c>
      <c r="AC34" s="16">
        <v>44805</v>
      </c>
      <c r="AD34" s="16">
        <v>44835</v>
      </c>
      <c r="AE34" s="16">
        <v>44866</v>
      </c>
      <c r="AF34" s="16">
        <v>44896</v>
      </c>
      <c r="AG34" s="16">
        <v>44927</v>
      </c>
      <c r="AH34" s="16">
        <v>44958</v>
      </c>
      <c r="AI34" s="16">
        <v>44986</v>
      </c>
      <c r="AJ34" s="16">
        <v>45017</v>
      </c>
      <c r="AK34" s="16">
        <v>45047</v>
      </c>
      <c r="AL34" s="16">
        <v>45078</v>
      </c>
      <c r="AM34" s="16">
        <v>45108</v>
      </c>
      <c r="AN34" s="16">
        <v>45139</v>
      </c>
      <c r="AO34" s="16">
        <v>45170</v>
      </c>
      <c r="AP34" s="16">
        <v>45200</v>
      </c>
      <c r="AQ34" s="16">
        <v>45231</v>
      </c>
      <c r="AR34" s="16">
        <v>45261</v>
      </c>
      <c r="AS34" s="16">
        <v>45292</v>
      </c>
      <c r="AT34" s="16">
        <v>45323</v>
      </c>
      <c r="AU34" s="16">
        <v>45352</v>
      </c>
      <c r="AV34" s="16">
        <v>45383</v>
      </c>
      <c r="AW34" s="16">
        <v>45413</v>
      </c>
      <c r="AX34" s="16">
        <v>45444</v>
      </c>
      <c r="AY34" s="16">
        <v>45474</v>
      </c>
      <c r="AZ34" s="16">
        <v>45505</v>
      </c>
      <c r="BA34" s="16">
        <v>45536</v>
      </c>
      <c r="BB34" s="16">
        <v>45566</v>
      </c>
      <c r="BC34" s="16">
        <v>45597</v>
      </c>
      <c r="BD34" s="16">
        <v>45627</v>
      </c>
      <c r="BE34" s="386">
        <v>45658</v>
      </c>
      <c r="BF34" s="386">
        <v>45689</v>
      </c>
      <c r="BG34" s="386">
        <v>45717</v>
      </c>
      <c r="BH34" s="386">
        <v>45748</v>
      </c>
      <c r="BI34" s="386">
        <v>45778</v>
      </c>
      <c r="BJ34" s="386">
        <v>45833</v>
      </c>
      <c r="BK34" s="386">
        <v>45863</v>
      </c>
      <c r="BL34" s="386">
        <v>45870</v>
      </c>
      <c r="BM34" s="386">
        <v>45901</v>
      </c>
      <c r="BN34" s="386">
        <v>45931</v>
      </c>
      <c r="BO34" s="386">
        <v>45962</v>
      </c>
      <c r="BP34" s="386">
        <v>45992</v>
      </c>
      <c r="BQ34" s="386">
        <v>46023</v>
      </c>
      <c r="BR34" s="386">
        <v>46054</v>
      </c>
      <c r="BS34" s="386">
        <v>46082</v>
      </c>
      <c r="BT34" s="386">
        <v>46113</v>
      </c>
      <c r="BU34" s="386">
        <v>46143</v>
      </c>
      <c r="BV34" s="386">
        <v>46174</v>
      </c>
    </row>
    <row r="35" spans="3:74" ht="31.5" customHeight="1">
      <c r="C35" s="394" t="s">
        <v>1</v>
      </c>
      <c r="D35" s="400" t="s">
        <v>3</v>
      </c>
      <c r="E35" s="32"/>
      <c r="F35" s="39"/>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v>1106.7938903196487</v>
      </c>
      <c r="BV35" s="41">
        <f>SUMIF(DHL!B:B,"import",DHL!W:W)</f>
        <v>2103.8265530572144</v>
      </c>
    </row>
    <row r="36" spans="3:74" ht="31.5" customHeight="1">
      <c r="C36" s="394" t="s">
        <v>7</v>
      </c>
      <c r="D36" s="400" t="s">
        <v>3</v>
      </c>
      <c r="E36" s="32"/>
      <c r="F36" s="39"/>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v>410.71376609604602</v>
      </c>
      <c r="BV36" s="41">
        <f>SUMIF(DHL!B:B,"export",DHL!W:W)</f>
        <v>112.95749365127351</v>
      </c>
    </row>
    <row r="37" spans="3:74" ht="22.5" customHeight="1">
      <c r="C37" s="394" t="s">
        <v>62</v>
      </c>
      <c r="D37" s="400"/>
      <c r="E37" s="2"/>
      <c r="F37" s="10"/>
      <c r="G37" s="2"/>
      <c r="H37" s="2"/>
      <c r="I37" s="1"/>
      <c r="J37" s="1"/>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344"/>
    </row>
    <row r="38" spans="3:74" ht="31.5" customHeight="1">
      <c r="C38" s="394" t="s">
        <v>35</v>
      </c>
      <c r="D38" s="400"/>
      <c r="E38" s="37">
        <f t="shared" ref="E38:BD38" si="6">SUM(E35:E37)</f>
        <v>0</v>
      </c>
      <c r="F38" s="42">
        <f t="shared" si="6"/>
        <v>0</v>
      </c>
      <c r="G38" s="37">
        <f t="shared" si="6"/>
        <v>0</v>
      </c>
      <c r="H38" s="37">
        <f t="shared" si="6"/>
        <v>0</v>
      </c>
      <c r="I38" s="37">
        <f t="shared" si="6"/>
        <v>0</v>
      </c>
      <c r="J38" s="37">
        <f t="shared" si="6"/>
        <v>0</v>
      </c>
      <c r="K38" s="37">
        <f t="shared" si="6"/>
        <v>0</v>
      </c>
      <c r="L38" s="37">
        <f t="shared" si="6"/>
        <v>0</v>
      </c>
      <c r="M38" s="37">
        <f t="shared" si="6"/>
        <v>0</v>
      </c>
      <c r="N38" s="37">
        <f t="shared" si="6"/>
        <v>0</v>
      </c>
      <c r="O38" s="37">
        <f t="shared" si="6"/>
        <v>0</v>
      </c>
      <c r="P38" s="37">
        <f t="shared" si="6"/>
        <v>0</v>
      </c>
      <c r="Q38" s="37">
        <f t="shared" si="6"/>
        <v>0</v>
      </c>
      <c r="R38" s="37">
        <f t="shared" si="6"/>
        <v>0</v>
      </c>
      <c r="S38" s="37">
        <f t="shared" si="6"/>
        <v>0</v>
      </c>
      <c r="T38" s="37">
        <f t="shared" si="6"/>
        <v>0</v>
      </c>
      <c r="U38" s="37">
        <f t="shared" si="6"/>
        <v>0</v>
      </c>
      <c r="V38" s="37">
        <f t="shared" si="6"/>
        <v>0</v>
      </c>
      <c r="W38" s="37">
        <f t="shared" si="6"/>
        <v>0</v>
      </c>
      <c r="X38" s="37">
        <f t="shared" si="6"/>
        <v>0</v>
      </c>
      <c r="Y38" s="37">
        <f t="shared" si="6"/>
        <v>0</v>
      </c>
      <c r="Z38" s="37">
        <f t="shared" si="6"/>
        <v>0</v>
      </c>
      <c r="AA38" s="37">
        <f t="shared" si="6"/>
        <v>0</v>
      </c>
      <c r="AB38" s="37">
        <f t="shared" si="6"/>
        <v>0</v>
      </c>
      <c r="AC38" s="37">
        <f t="shared" si="6"/>
        <v>0</v>
      </c>
      <c r="AD38" s="37">
        <f t="shared" si="6"/>
        <v>0</v>
      </c>
      <c r="AE38" s="37">
        <f t="shared" si="6"/>
        <v>0</v>
      </c>
      <c r="AF38" s="37">
        <f t="shared" si="6"/>
        <v>0</v>
      </c>
      <c r="AG38" s="37">
        <f t="shared" si="6"/>
        <v>0</v>
      </c>
      <c r="AH38" s="37">
        <f t="shared" si="6"/>
        <v>0</v>
      </c>
      <c r="AI38" s="37">
        <f t="shared" si="6"/>
        <v>0</v>
      </c>
      <c r="AJ38" s="37">
        <f t="shared" si="6"/>
        <v>0</v>
      </c>
      <c r="AK38" s="61">
        <f t="shared" si="6"/>
        <v>0</v>
      </c>
      <c r="AL38" s="61">
        <f t="shared" si="6"/>
        <v>0</v>
      </c>
      <c r="AM38" s="61">
        <f t="shared" si="6"/>
        <v>0</v>
      </c>
      <c r="AN38" s="61">
        <f t="shared" si="6"/>
        <v>0</v>
      </c>
      <c r="AO38" s="61">
        <f t="shared" si="6"/>
        <v>0</v>
      </c>
      <c r="AP38" s="61">
        <f t="shared" si="6"/>
        <v>0</v>
      </c>
      <c r="AQ38" s="61">
        <f t="shared" si="6"/>
        <v>0</v>
      </c>
      <c r="AR38" s="61">
        <f t="shared" si="6"/>
        <v>0</v>
      </c>
      <c r="AS38" s="61">
        <f t="shared" si="6"/>
        <v>0</v>
      </c>
      <c r="AT38" s="61">
        <f t="shared" si="6"/>
        <v>0</v>
      </c>
      <c r="AU38" s="61">
        <f t="shared" si="6"/>
        <v>0</v>
      </c>
      <c r="AV38" s="61">
        <f t="shared" si="6"/>
        <v>0</v>
      </c>
      <c r="AW38" s="61">
        <f t="shared" si="6"/>
        <v>0</v>
      </c>
      <c r="AX38" s="61">
        <f t="shared" si="6"/>
        <v>0</v>
      </c>
      <c r="AY38" s="61">
        <f t="shared" si="6"/>
        <v>0</v>
      </c>
      <c r="AZ38" s="61">
        <f t="shared" si="6"/>
        <v>0</v>
      </c>
      <c r="BA38" s="61">
        <f t="shared" si="6"/>
        <v>0</v>
      </c>
      <c r="BB38" s="61">
        <f t="shared" si="6"/>
        <v>0</v>
      </c>
      <c r="BC38" s="61">
        <f t="shared" si="6"/>
        <v>0</v>
      </c>
      <c r="BD38" s="61">
        <f t="shared" si="6"/>
        <v>0</v>
      </c>
      <c r="BE38" s="61"/>
      <c r="BF38" s="61"/>
      <c r="BG38" s="61"/>
      <c r="BH38" s="61"/>
      <c r="BI38" s="61"/>
      <c r="BJ38" s="61"/>
      <c r="BK38" s="61"/>
      <c r="BL38" s="61"/>
      <c r="BM38" s="61"/>
      <c r="BN38" s="61"/>
      <c r="BO38" s="61"/>
      <c r="BP38" s="61"/>
      <c r="BQ38" s="61"/>
      <c r="BR38" s="61"/>
      <c r="BS38" s="61"/>
      <c r="BT38" s="61"/>
      <c r="BU38" s="61">
        <v>1517.5076564156948</v>
      </c>
      <c r="BV38" s="383">
        <f>+BV36+BV35</f>
        <v>2216.7840467084879</v>
      </c>
    </row>
    <row r="39" spans="3:74" ht="31.5" customHeight="1">
      <c r="C39" s="4"/>
      <c r="D39" s="5"/>
      <c r="E39" s="388"/>
      <c r="F39" s="390"/>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8"/>
      <c r="AF39" s="388"/>
      <c r="AG39" s="388"/>
      <c r="AH39" s="388"/>
      <c r="AI39" s="388"/>
      <c r="AJ39" s="388"/>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c r="BU39" s="110"/>
      <c r="BV39" s="389"/>
    </row>
    <row r="40" spans="3:74" ht="31.5" customHeight="1">
      <c r="C40" s="30" t="s">
        <v>85</v>
      </c>
      <c r="D40" s="385" t="s">
        <v>1161</v>
      </c>
      <c r="E40" s="386">
        <v>44075</v>
      </c>
      <c r="F40" s="386">
        <v>44105</v>
      </c>
      <c r="G40" s="386">
        <v>44136</v>
      </c>
      <c r="H40" s="386">
        <v>44166</v>
      </c>
      <c r="I40" s="386">
        <v>44197</v>
      </c>
      <c r="J40" s="386">
        <v>44248</v>
      </c>
      <c r="K40" s="386">
        <v>44256</v>
      </c>
      <c r="L40" s="386">
        <v>44307</v>
      </c>
      <c r="M40" s="386">
        <v>44317</v>
      </c>
      <c r="N40" s="386">
        <v>44348</v>
      </c>
      <c r="O40" s="386">
        <v>44378</v>
      </c>
      <c r="P40" s="386">
        <v>44409</v>
      </c>
      <c r="Q40" s="386">
        <v>44440</v>
      </c>
      <c r="R40" s="386">
        <v>44470</v>
      </c>
      <c r="S40" s="386">
        <v>44501</v>
      </c>
      <c r="T40" s="386">
        <v>44531</v>
      </c>
      <c r="U40" s="386">
        <v>44562</v>
      </c>
      <c r="V40" s="386">
        <v>44593</v>
      </c>
      <c r="W40" s="386">
        <v>44621</v>
      </c>
      <c r="X40" s="386">
        <v>44652</v>
      </c>
      <c r="Y40" s="386">
        <v>44682</v>
      </c>
      <c r="Z40" s="386">
        <v>44713</v>
      </c>
      <c r="AA40" s="386">
        <v>44743</v>
      </c>
      <c r="AB40" s="386">
        <v>44774</v>
      </c>
      <c r="AC40" s="386">
        <v>44805</v>
      </c>
      <c r="AD40" s="386">
        <v>44835</v>
      </c>
      <c r="AE40" s="386">
        <v>44866</v>
      </c>
      <c r="AF40" s="386">
        <v>44896</v>
      </c>
      <c r="AG40" s="386">
        <v>44927</v>
      </c>
      <c r="AH40" s="386">
        <v>44958</v>
      </c>
      <c r="AI40" s="386">
        <v>44986</v>
      </c>
      <c r="AJ40" s="386">
        <v>45017</v>
      </c>
      <c r="AK40" s="386">
        <v>45047</v>
      </c>
      <c r="AL40" s="386">
        <v>45078</v>
      </c>
      <c r="AM40" s="386">
        <v>45108</v>
      </c>
      <c r="AN40" s="386">
        <v>45139</v>
      </c>
      <c r="AO40" s="386">
        <v>45170</v>
      </c>
      <c r="AP40" s="386">
        <v>45200</v>
      </c>
      <c r="AQ40" s="386">
        <v>45231</v>
      </c>
      <c r="AR40" s="386">
        <v>45261</v>
      </c>
      <c r="AS40" s="386">
        <v>45292</v>
      </c>
      <c r="AT40" s="386">
        <v>45323</v>
      </c>
      <c r="AU40" s="386">
        <v>45352</v>
      </c>
      <c r="AV40" s="386">
        <v>45383</v>
      </c>
      <c r="AW40" s="386">
        <v>45413</v>
      </c>
      <c r="AX40" s="386">
        <v>45444</v>
      </c>
      <c r="AY40" s="386">
        <v>45474</v>
      </c>
      <c r="AZ40" s="386">
        <v>45505</v>
      </c>
      <c r="BA40" s="386">
        <v>45536</v>
      </c>
      <c r="BB40" s="386">
        <v>45566</v>
      </c>
      <c r="BC40" s="386">
        <v>45597</v>
      </c>
      <c r="BD40" s="386">
        <v>45627</v>
      </c>
      <c r="BE40" s="386">
        <v>45292</v>
      </c>
      <c r="BF40" s="386">
        <v>45689</v>
      </c>
      <c r="BG40" s="386">
        <v>45717</v>
      </c>
      <c r="BH40" s="386">
        <v>45748</v>
      </c>
      <c r="BI40" s="386">
        <v>45778</v>
      </c>
      <c r="BJ40" s="386">
        <v>45833</v>
      </c>
      <c r="BK40" s="386">
        <v>45863</v>
      </c>
      <c r="BL40" s="386">
        <v>45870</v>
      </c>
      <c r="BM40" s="386">
        <v>45901</v>
      </c>
      <c r="BN40" s="386">
        <v>45931</v>
      </c>
      <c r="BO40" s="386">
        <v>45962</v>
      </c>
      <c r="BP40" s="386">
        <v>45992</v>
      </c>
      <c r="BQ40" s="386">
        <v>46023</v>
      </c>
      <c r="BR40" s="386">
        <v>46054</v>
      </c>
      <c r="BS40" s="386">
        <v>46082</v>
      </c>
      <c r="BT40" s="386">
        <v>46113</v>
      </c>
      <c r="BU40" s="386">
        <v>46143</v>
      </c>
      <c r="BV40" s="386">
        <v>46174</v>
      </c>
    </row>
    <row r="41" spans="3:74" ht="25.5" customHeight="1">
      <c r="C41" s="893" t="s">
        <v>1162</v>
      </c>
      <c r="D41" s="396" t="s">
        <v>66</v>
      </c>
      <c r="E41" s="32">
        <v>28.024086021505376</v>
      </c>
      <c r="F41" s="39">
        <v>355.66494623655916</v>
      </c>
      <c r="G41" s="2">
        <v>0</v>
      </c>
      <c r="H41" s="2">
        <v>0</v>
      </c>
      <c r="I41" s="2">
        <v>0</v>
      </c>
      <c r="J41" s="32">
        <v>307.40283870967744</v>
      </c>
      <c r="K41" s="32">
        <v>0</v>
      </c>
      <c r="L41" s="32">
        <f>(5236420+1553060)/23250</f>
        <v>292.0206451612903</v>
      </c>
      <c r="M41" s="32">
        <v>0</v>
      </c>
      <c r="N41" s="32">
        <f>1679764/23250</f>
        <v>72.247913978494623</v>
      </c>
      <c r="O41" s="32">
        <v>0</v>
      </c>
      <c r="P41" s="32">
        <v>0</v>
      </c>
      <c r="Q41" s="32">
        <v>204.04546236559139</v>
      </c>
      <c r="R41" s="32">
        <v>0</v>
      </c>
      <c r="S41" s="32">
        <v>0</v>
      </c>
      <c r="T41" s="32">
        <v>0</v>
      </c>
      <c r="U41" s="32">
        <v>0</v>
      </c>
      <c r="V41" s="32">
        <v>0</v>
      </c>
      <c r="W41" s="32">
        <v>0</v>
      </c>
      <c r="X41" s="32">
        <v>0</v>
      </c>
      <c r="Y41" s="32">
        <v>0</v>
      </c>
      <c r="Z41" s="32">
        <v>0</v>
      </c>
      <c r="AA41" s="32">
        <v>1086.1300000000001</v>
      </c>
      <c r="AB41" s="32">
        <v>0</v>
      </c>
      <c r="AC41" s="32">
        <f>1847+495</f>
        <v>2342</v>
      </c>
      <c r="AD41" s="32">
        <f>23542760/23250</f>
        <v>1012.5918279569893</v>
      </c>
      <c r="AE41" s="32">
        <v>838.35780645161287</v>
      </c>
      <c r="AF41" s="32">
        <v>367.52808602150537</v>
      </c>
      <c r="AG41" s="32">
        <v>548.86</v>
      </c>
      <c r="AH41" s="32">
        <f>284.22+880000/23250+12.5</f>
        <v>334.56946236559145</v>
      </c>
      <c r="AI41" s="32">
        <v>966.2320430107527</v>
      </c>
      <c r="AJ41" s="32">
        <v>971.98</v>
      </c>
      <c r="AK41" s="7">
        <v>1467.8177634408603</v>
      </c>
      <c r="AL41" s="7">
        <v>2190.8682580645163</v>
      </c>
      <c r="AM41" s="7">
        <v>917.25311827956989</v>
      </c>
      <c r="AN41" s="7">
        <v>3060.4292043010751</v>
      </c>
      <c r="AO41" s="7">
        <v>2369.5476129032259</v>
      </c>
      <c r="AP41" s="7">
        <v>1801.4614193548387</v>
      </c>
      <c r="AQ41" s="7">
        <v>5213.0642580645163</v>
      </c>
      <c r="AR41" s="7">
        <v>3531.8435268817202</v>
      </c>
      <c r="AS41" s="7">
        <v>1266.475440860215</v>
      </c>
      <c r="AT41" s="7">
        <v>2112.4398709677421</v>
      </c>
      <c r="AU41" s="7">
        <v>3223.6584946236558</v>
      </c>
      <c r="AV41" s="7">
        <v>3249.5070000000001</v>
      </c>
      <c r="AW41" s="7">
        <v>4705.4815847922391</v>
      </c>
      <c r="AX41" s="7">
        <v>1960.051836734694</v>
      </c>
      <c r="AY41" s="7">
        <v>3643.7584552254375</v>
      </c>
      <c r="AZ41" s="7">
        <v>2721.173755102041</v>
      </c>
      <c r="BA41" s="7">
        <v>3570.6898775510203</v>
      </c>
      <c r="BB41" s="7">
        <v>3300.5655645261859</v>
      </c>
      <c r="BC41" s="7">
        <v>3395.2647186896197</v>
      </c>
      <c r="BD41" s="7">
        <v>2879.1201825509752</v>
      </c>
      <c r="BE41" s="7">
        <v>1861.3812969155226</v>
      </c>
      <c r="BF41" s="7">
        <v>3958.6588482796042</v>
      </c>
      <c r="BG41" s="7">
        <v>3455.514903961342</v>
      </c>
      <c r="BH41" s="7">
        <v>3204.1325207522586</v>
      </c>
      <c r="BI41" s="7">
        <v>8217.4753990241807</v>
      </c>
      <c r="BJ41" s="7">
        <v>7719.0706686930089</v>
      </c>
      <c r="BK41" s="7">
        <v>6919.79</v>
      </c>
      <c r="BL41" s="7">
        <v>9912.4798352042944</v>
      </c>
      <c r="BM41" s="7">
        <v>11033.394667981342</v>
      </c>
      <c r="BN41" s="7">
        <f>3294.24480824617-546.52</f>
        <v>2747.7248082461701</v>
      </c>
      <c r="BO41" s="7">
        <v>24429.829467928641</v>
      </c>
      <c r="BP41" s="7">
        <v>9223.8699484611134</v>
      </c>
      <c r="BQ41" s="7">
        <v>7105.4503713170552</v>
      </c>
      <c r="BR41" s="7">
        <v>2968.7915015984777</v>
      </c>
      <c r="BS41" s="7">
        <v>4424.3665967519146</v>
      </c>
      <c r="BT41" s="7">
        <v>868.42529276344908</v>
      </c>
      <c r="BU41" s="7">
        <v>2841.9785320343822</v>
      </c>
      <c r="BV41" s="41">
        <f>SUMIF(EI!F:F,"air import",EI!AV:AV)</f>
        <v>2104.7273237799404</v>
      </c>
    </row>
    <row r="42" spans="3:74" s="404" customFormat="1" ht="25.5" customHeight="1">
      <c r="C42" s="893"/>
      <c r="D42" s="407" t="s">
        <v>67</v>
      </c>
      <c r="E42" s="408"/>
      <c r="F42" s="409"/>
      <c r="G42" s="410"/>
      <c r="H42" s="410"/>
      <c r="I42" s="410"/>
      <c r="J42" s="408"/>
      <c r="K42" s="408"/>
      <c r="L42" s="408"/>
      <c r="M42" s="408"/>
      <c r="N42" s="408"/>
      <c r="O42" s="408"/>
      <c r="P42" s="408"/>
      <c r="Q42" s="408"/>
      <c r="R42" s="408"/>
      <c r="S42" s="408"/>
      <c r="T42" s="408"/>
      <c r="U42" s="408"/>
      <c r="V42" s="408"/>
      <c r="W42" s="408"/>
      <c r="X42" s="408"/>
      <c r="Y42" s="408"/>
      <c r="Z42" s="408"/>
      <c r="AA42" s="408">
        <v>1</v>
      </c>
      <c r="AB42" s="408"/>
      <c r="AC42" s="411">
        <v>1</v>
      </c>
      <c r="AD42" s="411">
        <v>2</v>
      </c>
      <c r="AE42" s="411">
        <v>2</v>
      </c>
      <c r="AF42" s="411">
        <v>1</v>
      </c>
      <c r="AG42" s="411">
        <v>1</v>
      </c>
      <c r="AH42" s="411">
        <v>1</v>
      </c>
      <c r="AI42" s="411">
        <v>2</v>
      </c>
      <c r="AJ42" s="411">
        <v>1</v>
      </c>
      <c r="AK42" s="412">
        <v>4</v>
      </c>
      <c r="AL42" s="412">
        <v>6</v>
      </c>
      <c r="AM42" s="411">
        <v>2</v>
      </c>
      <c r="AN42" s="411">
        <v>8</v>
      </c>
      <c r="AO42" s="411">
        <v>6</v>
      </c>
      <c r="AP42" s="412">
        <v>5</v>
      </c>
      <c r="AQ42" s="412">
        <v>12</v>
      </c>
      <c r="AR42" s="412">
        <v>10</v>
      </c>
      <c r="AS42" s="412">
        <v>3</v>
      </c>
      <c r="AT42" s="412">
        <v>5</v>
      </c>
      <c r="AU42" s="412">
        <v>3</v>
      </c>
      <c r="AV42" s="412">
        <v>4</v>
      </c>
      <c r="AW42" s="412">
        <v>12</v>
      </c>
      <c r="AX42" s="412">
        <v>5</v>
      </c>
      <c r="AY42" s="412">
        <v>7</v>
      </c>
      <c r="AZ42" s="411">
        <v>6</v>
      </c>
      <c r="BA42" s="411">
        <v>8</v>
      </c>
      <c r="BB42" s="411">
        <v>9</v>
      </c>
      <c r="BC42" s="411">
        <v>9</v>
      </c>
      <c r="BD42" s="412">
        <v>9</v>
      </c>
      <c r="BE42" s="403">
        <v>4</v>
      </c>
      <c r="BF42" s="403">
        <v>11</v>
      </c>
      <c r="BG42" s="403">
        <v>7</v>
      </c>
      <c r="BH42" s="403">
        <v>6</v>
      </c>
      <c r="BI42" s="403">
        <v>16</v>
      </c>
      <c r="BJ42" s="403">
        <v>14</v>
      </c>
      <c r="BK42" s="403">
        <v>14</v>
      </c>
      <c r="BL42" s="403">
        <v>17</v>
      </c>
      <c r="BM42" s="403">
        <v>18</v>
      </c>
      <c r="BN42" s="403" t="s">
        <v>1273</v>
      </c>
      <c r="BO42" s="403">
        <v>42</v>
      </c>
      <c r="BP42" s="403">
        <v>17</v>
      </c>
      <c r="BQ42" s="403">
        <v>15</v>
      </c>
      <c r="BR42" s="403">
        <v>7</v>
      </c>
      <c r="BS42" s="403">
        <v>10</v>
      </c>
      <c r="BT42" s="403">
        <v>2</v>
      </c>
      <c r="BU42" s="403">
        <v>6</v>
      </c>
      <c r="BV42" s="403">
        <f>COUNTIF(EI!F:F,"air import")</f>
        <v>6</v>
      </c>
    </row>
    <row r="43" spans="3:74" ht="25.5" customHeight="1">
      <c r="C43" s="893" t="s">
        <v>1163</v>
      </c>
      <c r="D43" s="396" t="s">
        <v>66</v>
      </c>
      <c r="E43" s="32"/>
      <c r="F43" s="39"/>
      <c r="G43" s="2"/>
      <c r="H43" s="2"/>
      <c r="I43" s="2"/>
      <c r="J43" s="32"/>
      <c r="K43" s="32"/>
      <c r="L43" s="32"/>
      <c r="M43" s="32"/>
      <c r="N43" s="32"/>
      <c r="O43" s="32"/>
      <c r="P43" s="32"/>
      <c r="Q43" s="32"/>
      <c r="R43" s="32"/>
      <c r="S43" s="32"/>
      <c r="T43" s="32"/>
      <c r="U43" s="32"/>
      <c r="V43" s="32"/>
      <c r="W43" s="32"/>
      <c r="X43" s="32"/>
      <c r="Y43" s="32"/>
      <c r="Z43" s="32"/>
      <c r="AA43" s="32"/>
      <c r="AB43" s="32"/>
      <c r="AC43" s="32"/>
      <c r="AD43" s="32">
        <f>19363847/23250</f>
        <v>832.85363440860215</v>
      </c>
      <c r="AE43" s="32">
        <v>1704.2826666666667</v>
      </c>
      <c r="AF43" s="32">
        <v>1823.0753548387097</v>
      </c>
      <c r="AG43" s="32"/>
      <c r="AH43" s="32"/>
      <c r="AI43" s="32"/>
      <c r="AJ43" s="32"/>
      <c r="AK43" s="7"/>
      <c r="AL43" s="7"/>
      <c r="AM43" s="7"/>
      <c r="AN43" s="7"/>
      <c r="AO43" s="7"/>
      <c r="AP43" s="7"/>
      <c r="AQ43" s="7"/>
      <c r="AR43" s="7"/>
      <c r="AS43" s="7"/>
      <c r="AT43" s="7"/>
      <c r="AU43" s="7"/>
      <c r="AV43" s="7"/>
      <c r="AW43" s="7"/>
      <c r="AX43" s="7"/>
      <c r="AY43" s="7"/>
      <c r="AZ43" s="7"/>
      <c r="BA43" s="7"/>
      <c r="BB43" s="7"/>
      <c r="BC43" s="7"/>
      <c r="BD43" s="7"/>
      <c r="BE43" s="7"/>
      <c r="BF43" s="7"/>
      <c r="BG43" s="7"/>
      <c r="BH43" s="7"/>
      <c r="BI43" s="7">
        <v>0</v>
      </c>
      <c r="BJ43" s="7">
        <v>0</v>
      </c>
      <c r="BK43" s="7"/>
      <c r="BL43" s="7">
        <v>729.31</v>
      </c>
      <c r="BM43" s="7"/>
      <c r="BN43" s="7"/>
      <c r="BO43" s="7">
        <v>0</v>
      </c>
      <c r="BP43" s="7">
        <v>0</v>
      </c>
      <c r="BQ43" s="7">
        <v>0</v>
      </c>
      <c r="BR43" s="7">
        <v>0</v>
      </c>
      <c r="BS43" s="7">
        <v>0</v>
      </c>
      <c r="BT43" s="7">
        <v>0</v>
      </c>
      <c r="BU43" s="7">
        <v>0</v>
      </c>
      <c r="BV43" s="41">
        <f>SUMIF(EI!F:F,"sea import",EI!AV:AV)</f>
        <v>0</v>
      </c>
    </row>
    <row r="44" spans="3:74" s="404" customFormat="1" ht="25.5" customHeight="1">
      <c r="C44" s="893"/>
      <c r="D44" s="407" t="s">
        <v>67</v>
      </c>
      <c r="E44" s="408"/>
      <c r="F44" s="409"/>
      <c r="G44" s="410"/>
      <c r="H44" s="410"/>
      <c r="I44" s="410"/>
      <c r="J44" s="408"/>
      <c r="K44" s="408"/>
      <c r="L44" s="408"/>
      <c r="M44" s="408"/>
      <c r="N44" s="408"/>
      <c r="O44" s="408"/>
      <c r="P44" s="408"/>
      <c r="Q44" s="408"/>
      <c r="R44" s="408"/>
      <c r="S44" s="408"/>
      <c r="T44" s="408"/>
      <c r="U44" s="408"/>
      <c r="V44" s="408"/>
      <c r="W44" s="408"/>
      <c r="X44" s="408"/>
      <c r="Y44" s="408"/>
      <c r="Z44" s="408"/>
      <c r="AA44" s="408"/>
      <c r="AB44" s="408"/>
      <c r="AC44" s="408"/>
      <c r="AD44" s="408">
        <v>1</v>
      </c>
      <c r="AE44" s="408">
        <v>1</v>
      </c>
      <c r="AF44" s="408">
        <v>1</v>
      </c>
      <c r="AG44" s="408"/>
      <c r="AH44" s="408"/>
      <c r="AI44" s="408"/>
      <c r="AJ44" s="408"/>
      <c r="AK44" s="413"/>
      <c r="AL44" s="413"/>
      <c r="AM44" s="413"/>
      <c r="AN44" s="413"/>
      <c r="AO44" s="413"/>
      <c r="AP44" s="413"/>
      <c r="AQ44" s="413"/>
      <c r="AR44" s="413"/>
      <c r="AS44" s="413"/>
      <c r="AT44" s="413"/>
      <c r="AU44" s="413"/>
      <c r="AV44" s="413"/>
      <c r="AW44" s="413"/>
      <c r="AX44" s="413"/>
      <c r="AY44" s="413"/>
      <c r="AZ44" s="413"/>
      <c r="BA44" s="413"/>
      <c r="BB44" s="413"/>
      <c r="BC44" s="413"/>
      <c r="BD44" s="413"/>
      <c r="BE44" s="403"/>
      <c r="BF44" s="403"/>
      <c r="BG44" s="403"/>
      <c r="BH44" s="403"/>
      <c r="BI44" s="403">
        <v>0</v>
      </c>
      <c r="BJ44" s="403">
        <v>0</v>
      </c>
      <c r="BK44" s="403"/>
      <c r="BL44" s="403">
        <v>1</v>
      </c>
      <c r="BM44" s="403"/>
      <c r="BN44" s="403"/>
      <c r="BO44" s="403">
        <v>0</v>
      </c>
      <c r="BP44" s="403">
        <v>0</v>
      </c>
      <c r="BQ44" s="403">
        <v>0</v>
      </c>
      <c r="BR44" s="403">
        <v>0</v>
      </c>
      <c r="BS44" s="403">
        <v>0</v>
      </c>
      <c r="BT44" s="403">
        <v>0</v>
      </c>
      <c r="BU44" s="403">
        <v>0</v>
      </c>
      <c r="BV44" s="403">
        <f>COUNTIF(EI!F:F,"Sea import")</f>
        <v>0</v>
      </c>
    </row>
    <row r="45" spans="3:74" ht="25.5" customHeight="1">
      <c r="C45" s="893" t="s">
        <v>1164</v>
      </c>
      <c r="D45" s="396" t="s">
        <v>66</v>
      </c>
      <c r="E45" s="32"/>
      <c r="F45" s="39"/>
      <c r="G45" s="2"/>
      <c r="H45" s="2"/>
      <c r="I45" s="2"/>
      <c r="J45" s="32"/>
      <c r="K45" s="32"/>
      <c r="L45" s="32"/>
      <c r="M45" s="32"/>
      <c r="N45" s="32"/>
      <c r="O45" s="32"/>
      <c r="P45" s="32"/>
      <c r="Q45" s="32"/>
      <c r="R45" s="32"/>
      <c r="S45" s="32"/>
      <c r="T45" s="32"/>
      <c r="U45" s="32"/>
      <c r="V45" s="32"/>
      <c r="W45" s="32"/>
      <c r="X45" s="32"/>
      <c r="Y45" s="32"/>
      <c r="Z45" s="32"/>
      <c r="AA45" s="32"/>
      <c r="AB45" s="32"/>
      <c r="AC45" s="32"/>
      <c r="AD45" s="32">
        <v>11656.65</v>
      </c>
      <c r="AE45" s="32"/>
      <c r="AF45" s="32"/>
      <c r="AG45" s="32"/>
      <c r="AH45" s="32"/>
      <c r="AI45" s="32"/>
      <c r="AJ45" s="32"/>
      <c r="AK45" s="7"/>
      <c r="AL45" s="7"/>
      <c r="AM45" s="7"/>
      <c r="AN45" s="7"/>
      <c r="AO45" s="7"/>
      <c r="AP45" s="7"/>
      <c r="AQ45" s="7"/>
      <c r="AR45" s="7"/>
      <c r="AS45" s="7"/>
      <c r="AT45" s="7"/>
      <c r="AU45" s="7"/>
      <c r="AV45" s="7">
        <v>3599.54</v>
      </c>
      <c r="AW45" s="7">
        <v>2934.5</v>
      </c>
      <c r="AX45" s="7"/>
      <c r="AY45" s="7"/>
      <c r="AZ45" s="7"/>
      <c r="BA45" s="7"/>
      <c r="BB45" s="7"/>
      <c r="BC45" s="7"/>
      <c r="BD45" s="7"/>
      <c r="BE45" s="7"/>
      <c r="BF45" s="7"/>
      <c r="BG45" s="7"/>
      <c r="BH45" s="7">
        <v>1192.6300000000001</v>
      </c>
      <c r="BI45" s="7">
        <v>0</v>
      </c>
      <c r="BJ45" s="7">
        <v>1540.17</v>
      </c>
      <c r="BK45" s="7">
        <v>2654.67</v>
      </c>
      <c r="BL45" s="7">
        <v>772.93</v>
      </c>
      <c r="BM45" s="7"/>
      <c r="BN45" s="7"/>
      <c r="BO45" s="7"/>
      <c r="BP45" s="7">
        <v>0</v>
      </c>
      <c r="BQ45" s="7">
        <v>0</v>
      </c>
      <c r="BR45" s="7">
        <v>3237.4889531798435</v>
      </c>
      <c r="BS45" s="7">
        <v>0</v>
      </c>
      <c r="BT45" s="7">
        <v>0</v>
      </c>
      <c r="BU45" s="7">
        <v>0</v>
      </c>
      <c r="BV45" s="41">
        <f>SUMIF(EI!F:F,"air export",EI!AV:AV)</f>
        <v>0</v>
      </c>
    </row>
    <row r="46" spans="3:74" s="404" customFormat="1" ht="25.5" customHeight="1">
      <c r="C46" s="893"/>
      <c r="D46" s="407" t="s">
        <v>67</v>
      </c>
      <c r="E46" s="408"/>
      <c r="F46" s="409"/>
      <c r="G46" s="410"/>
      <c r="H46" s="410"/>
      <c r="I46" s="410"/>
      <c r="J46" s="408"/>
      <c r="K46" s="408"/>
      <c r="L46" s="408"/>
      <c r="M46" s="408"/>
      <c r="N46" s="408"/>
      <c r="O46" s="408"/>
      <c r="P46" s="408"/>
      <c r="Q46" s="408"/>
      <c r="R46" s="408"/>
      <c r="S46" s="408"/>
      <c r="T46" s="408"/>
      <c r="U46" s="408"/>
      <c r="V46" s="408"/>
      <c r="W46" s="408"/>
      <c r="X46" s="408"/>
      <c r="Y46" s="408"/>
      <c r="Z46" s="408"/>
      <c r="AA46" s="408"/>
      <c r="AB46" s="408"/>
      <c r="AC46" s="408"/>
      <c r="AD46" s="408">
        <v>1</v>
      </c>
      <c r="AE46" s="408"/>
      <c r="AF46" s="408"/>
      <c r="AG46" s="408"/>
      <c r="AH46" s="408"/>
      <c r="AI46" s="408"/>
      <c r="AJ46" s="408"/>
      <c r="AK46" s="413"/>
      <c r="AL46" s="413"/>
      <c r="AM46" s="413"/>
      <c r="AN46" s="413"/>
      <c r="AO46" s="413"/>
      <c r="AP46" s="413"/>
      <c r="AQ46" s="413"/>
      <c r="AR46" s="413"/>
      <c r="AS46" s="413"/>
      <c r="AT46" s="413"/>
      <c r="AU46" s="413"/>
      <c r="AV46" s="411">
        <v>1</v>
      </c>
      <c r="AW46" s="411">
        <v>1</v>
      </c>
      <c r="AX46" s="411"/>
      <c r="AY46" s="411"/>
      <c r="AZ46" s="411"/>
      <c r="BA46" s="411"/>
      <c r="BB46" s="411"/>
      <c r="BC46" s="411"/>
      <c r="BD46" s="412"/>
      <c r="BE46" s="403"/>
      <c r="BF46" s="403"/>
      <c r="BG46" s="403"/>
      <c r="BH46" s="403">
        <v>1</v>
      </c>
      <c r="BI46" s="403">
        <v>0</v>
      </c>
      <c r="BJ46" s="403">
        <v>1</v>
      </c>
      <c r="BK46" s="403">
        <v>3</v>
      </c>
      <c r="BL46" s="403">
        <v>1</v>
      </c>
      <c r="BM46" s="403"/>
      <c r="BN46" s="403"/>
      <c r="BO46" s="403"/>
      <c r="BP46" s="403">
        <v>0</v>
      </c>
      <c r="BQ46" s="403">
        <v>0</v>
      </c>
      <c r="BR46" s="403">
        <v>2</v>
      </c>
      <c r="BS46" s="403">
        <v>0</v>
      </c>
      <c r="BT46" s="403">
        <v>0</v>
      </c>
      <c r="BU46" s="403">
        <v>0</v>
      </c>
      <c r="BV46" s="403">
        <f>COUNTIF(EI!F:F,"Air Export")</f>
        <v>0</v>
      </c>
    </row>
    <row r="47" spans="3:74" ht="25.5" customHeight="1">
      <c r="C47" s="394" t="s">
        <v>35</v>
      </c>
      <c r="D47" s="400"/>
      <c r="E47" s="37">
        <f t="shared" ref="E47:J47" si="7">SUM(E41:E41)</f>
        <v>28.024086021505376</v>
      </c>
      <c r="F47" s="42">
        <f t="shared" si="7"/>
        <v>355.66494623655916</v>
      </c>
      <c r="G47" s="37">
        <f t="shared" si="7"/>
        <v>0</v>
      </c>
      <c r="H47" s="37">
        <f t="shared" si="7"/>
        <v>0</v>
      </c>
      <c r="I47" s="37">
        <f t="shared" si="7"/>
        <v>0</v>
      </c>
      <c r="J47" s="37">
        <f t="shared" si="7"/>
        <v>307.40283870967744</v>
      </c>
      <c r="K47" s="37">
        <v>0</v>
      </c>
      <c r="L47" s="37">
        <f t="shared" ref="L47:Q47" si="8">L41</f>
        <v>292.0206451612903</v>
      </c>
      <c r="M47" s="37">
        <f t="shared" si="8"/>
        <v>0</v>
      </c>
      <c r="N47" s="37">
        <f t="shared" si="8"/>
        <v>72.247913978494623</v>
      </c>
      <c r="O47" s="37">
        <f t="shared" si="8"/>
        <v>0</v>
      </c>
      <c r="P47" s="37">
        <f t="shared" si="8"/>
        <v>0</v>
      </c>
      <c r="Q47" s="37">
        <f t="shared" si="8"/>
        <v>204.04546236559139</v>
      </c>
      <c r="R47" s="37">
        <v>0</v>
      </c>
      <c r="S47" s="37">
        <v>0</v>
      </c>
      <c r="T47" s="37">
        <v>0</v>
      </c>
      <c r="U47" s="37">
        <v>0</v>
      </c>
      <c r="V47" s="37">
        <v>0</v>
      </c>
      <c r="W47" s="37">
        <v>0</v>
      </c>
      <c r="X47" s="37">
        <v>0</v>
      </c>
      <c r="Y47" s="37">
        <v>0</v>
      </c>
      <c r="Z47" s="37">
        <v>0</v>
      </c>
      <c r="AA47" s="37"/>
      <c r="AB47" s="37">
        <v>0</v>
      </c>
      <c r="AC47" s="37">
        <f>AC41</f>
        <v>2342</v>
      </c>
      <c r="AD47" s="37">
        <f t="shared" ref="AD47:BG47" si="9">SUM(AD41:AD46)</f>
        <v>13506.095462365591</v>
      </c>
      <c r="AE47" s="37">
        <f t="shared" si="9"/>
        <v>2545.6404731182797</v>
      </c>
      <c r="AF47" s="37">
        <f t="shared" si="9"/>
        <v>2192.603440860215</v>
      </c>
      <c r="AG47" s="37">
        <f t="shared" si="9"/>
        <v>549.86</v>
      </c>
      <c r="AH47" s="37">
        <f t="shared" si="9"/>
        <v>335.56946236559145</v>
      </c>
      <c r="AI47" s="37">
        <f t="shared" si="9"/>
        <v>968.2320430107527</v>
      </c>
      <c r="AJ47" s="37">
        <f t="shared" si="9"/>
        <v>972.98</v>
      </c>
      <c r="AK47" s="61">
        <f t="shared" si="9"/>
        <v>1471.8177634408603</v>
      </c>
      <c r="AL47" s="61">
        <f t="shared" si="9"/>
        <v>2196.8682580645163</v>
      </c>
      <c r="AM47" s="61">
        <f t="shared" si="9"/>
        <v>919.25311827956989</v>
      </c>
      <c r="AN47" s="61">
        <f t="shared" si="9"/>
        <v>3068.4292043010751</v>
      </c>
      <c r="AO47" s="61">
        <f t="shared" si="9"/>
        <v>2375.5476129032259</v>
      </c>
      <c r="AP47" s="61">
        <f t="shared" si="9"/>
        <v>1806.4614193548387</v>
      </c>
      <c r="AQ47" s="61">
        <f t="shared" si="9"/>
        <v>5225.0642580645163</v>
      </c>
      <c r="AR47" s="61">
        <f t="shared" si="9"/>
        <v>3541.8435268817202</v>
      </c>
      <c r="AS47" s="61">
        <f t="shared" si="9"/>
        <v>1269.475440860215</v>
      </c>
      <c r="AT47" s="61">
        <f t="shared" si="9"/>
        <v>2117.4398709677421</v>
      </c>
      <c r="AU47" s="61">
        <f t="shared" si="9"/>
        <v>3226.6584946236558</v>
      </c>
      <c r="AV47" s="61">
        <f t="shared" si="9"/>
        <v>6854.0470000000005</v>
      </c>
      <c r="AW47" s="61">
        <f t="shared" si="9"/>
        <v>7652.9815847922391</v>
      </c>
      <c r="AX47" s="61">
        <f t="shared" si="9"/>
        <v>1965.051836734694</v>
      </c>
      <c r="AY47" s="61">
        <f t="shared" si="9"/>
        <v>3650.7584552254375</v>
      </c>
      <c r="AZ47" s="61">
        <f t="shared" si="9"/>
        <v>2727.173755102041</v>
      </c>
      <c r="BA47" s="61">
        <f t="shared" si="9"/>
        <v>3578.6898775510203</v>
      </c>
      <c r="BB47" s="61">
        <f t="shared" si="9"/>
        <v>3309.5655645261859</v>
      </c>
      <c r="BC47" s="61">
        <f t="shared" si="9"/>
        <v>3404.2647186896197</v>
      </c>
      <c r="BD47" s="61">
        <f t="shared" si="9"/>
        <v>2888.1201825509752</v>
      </c>
      <c r="BE47" s="61">
        <f t="shared" si="9"/>
        <v>1865.3812969155226</v>
      </c>
      <c r="BF47" s="61">
        <f t="shared" si="9"/>
        <v>3969.6588482796042</v>
      </c>
      <c r="BG47" s="61">
        <f t="shared" si="9"/>
        <v>3462.514903961342</v>
      </c>
      <c r="BH47" s="61">
        <f t="shared" ref="BH47:BO47" si="10">BH41+BH43+BH45</f>
        <v>4396.7625207522588</v>
      </c>
      <c r="BI47" s="61">
        <f t="shared" si="10"/>
        <v>8217.4753990241807</v>
      </c>
      <c r="BJ47" s="61">
        <f t="shared" si="10"/>
        <v>9259.240668693008</v>
      </c>
      <c r="BK47" s="61">
        <f t="shared" si="10"/>
        <v>9574.4599999999991</v>
      </c>
      <c r="BL47" s="61">
        <f t="shared" si="10"/>
        <v>11414.719835204294</v>
      </c>
      <c r="BM47" s="61">
        <f t="shared" si="10"/>
        <v>11033.394667981342</v>
      </c>
      <c r="BN47" s="61">
        <f t="shared" si="10"/>
        <v>2747.7248082461701</v>
      </c>
      <c r="BO47" s="61">
        <f t="shared" si="10"/>
        <v>24429.829467928641</v>
      </c>
      <c r="BP47" s="61">
        <v>9223.8699484611134</v>
      </c>
      <c r="BQ47" s="61">
        <v>7105.4503713170552</v>
      </c>
      <c r="BR47" s="61">
        <v>6206.2804547783217</v>
      </c>
      <c r="BS47" s="61">
        <v>4424.3665967519146</v>
      </c>
      <c r="BT47" s="61">
        <v>868.42529276344908</v>
      </c>
      <c r="BU47" s="61">
        <v>2841.9785320343822</v>
      </c>
      <c r="BV47" s="383">
        <f>BV41+BV43+BV45</f>
        <v>2104.7273237799404</v>
      </c>
    </row>
    <row r="48" spans="3:74" ht="31.5" customHeight="1">
      <c r="C48" s="27"/>
      <c r="D48" s="27"/>
      <c r="E48" s="36"/>
      <c r="F48" s="391"/>
      <c r="G48" s="27"/>
      <c r="H48" s="27"/>
      <c r="I48" s="27"/>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80"/>
      <c r="AL48" s="80"/>
      <c r="AM48" s="80"/>
      <c r="AN48" s="80"/>
      <c r="AO48" s="80"/>
      <c r="AP48" s="80"/>
      <c r="AQ48" s="80"/>
      <c r="AR48" s="80"/>
      <c r="AS48" s="80"/>
      <c r="AT48" s="80"/>
      <c r="AU48" s="80"/>
      <c r="AV48" s="392"/>
      <c r="AW48" s="392"/>
      <c r="AX48" s="392"/>
      <c r="AY48" s="392"/>
      <c r="AZ48" s="392"/>
      <c r="BA48" s="392"/>
      <c r="BB48" s="392"/>
      <c r="BC48" s="392"/>
      <c r="BD48" s="393"/>
      <c r="BE48" s="393"/>
      <c r="BF48" s="393"/>
      <c r="BG48" s="393"/>
      <c r="BH48" s="392"/>
      <c r="BI48" s="392"/>
      <c r="BJ48" s="392"/>
      <c r="BK48" s="392"/>
      <c r="BL48" s="392"/>
      <c r="BM48" s="392"/>
      <c r="BN48" s="392"/>
      <c r="BO48" s="393"/>
      <c r="BP48" s="393"/>
      <c r="BQ48" s="393"/>
      <c r="BR48" s="393"/>
      <c r="BS48" s="393"/>
      <c r="BT48" s="393"/>
      <c r="BU48" s="393"/>
      <c r="BV48" s="84"/>
    </row>
    <row r="49" spans="2:75" ht="31.5" customHeight="1">
      <c r="C49" s="30" t="s">
        <v>103</v>
      </c>
      <c r="D49" s="385" t="s">
        <v>1161</v>
      </c>
      <c r="E49" s="386">
        <v>44075</v>
      </c>
      <c r="F49" s="386">
        <v>44105</v>
      </c>
      <c r="G49" s="386">
        <v>44136</v>
      </c>
      <c r="H49" s="386">
        <v>44166</v>
      </c>
      <c r="I49" s="386">
        <v>44197</v>
      </c>
      <c r="J49" s="386">
        <v>44248</v>
      </c>
      <c r="K49" s="386">
        <v>44256</v>
      </c>
      <c r="L49" s="386">
        <v>44307</v>
      </c>
      <c r="M49" s="386">
        <v>44317</v>
      </c>
      <c r="N49" s="386">
        <v>44348</v>
      </c>
      <c r="O49" s="386">
        <v>44378</v>
      </c>
      <c r="P49" s="386">
        <v>44409</v>
      </c>
      <c r="Q49" s="386">
        <v>44440</v>
      </c>
      <c r="R49" s="386">
        <v>44470</v>
      </c>
      <c r="S49" s="386">
        <v>44501</v>
      </c>
      <c r="T49" s="386">
        <v>44531</v>
      </c>
      <c r="U49" s="386">
        <v>44562</v>
      </c>
      <c r="V49" s="386">
        <v>44593</v>
      </c>
      <c r="W49" s="386">
        <v>44621</v>
      </c>
      <c r="X49" s="386">
        <v>44652</v>
      </c>
      <c r="Y49" s="386">
        <v>44682</v>
      </c>
      <c r="Z49" s="386">
        <v>44713</v>
      </c>
      <c r="AA49" s="386">
        <v>44743</v>
      </c>
      <c r="AB49" s="386">
        <v>44774</v>
      </c>
      <c r="AC49" s="386">
        <v>44805</v>
      </c>
      <c r="AD49" s="386">
        <v>44835</v>
      </c>
      <c r="AE49" s="386">
        <v>44866</v>
      </c>
      <c r="AF49" s="386">
        <v>44896</v>
      </c>
      <c r="AG49" s="386">
        <v>44927</v>
      </c>
      <c r="AH49" s="386">
        <v>44958</v>
      </c>
      <c r="AI49" s="386">
        <v>44986</v>
      </c>
      <c r="AJ49" s="386">
        <v>45017</v>
      </c>
      <c r="AK49" s="386">
        <v>45047</v>
      </c>
      <c r="AL49" s="386">
        <v>45078</v>
      </c>
      <c r="AM49" s="386">
        <v>45108</v>
      </c>
      <c r="AN49" s="386">
        <v>45139</v>
      </c>
      <c r="AO49" s="386">
        <v>45170</v>
      </c>
      <c r="AP49" s="386">
        <v>45200</v>
      </c>
      <c r="AQ49" s="386">
        <v>45231</v>
      </c>
      <c r="AR49" s="386">
        <v>45261</v>
      </c>
      <c r="AS49" s="386">
        <v>45292</v>
      </c>
      <c r="AT49" s="386">
        <v>45323</v>
      </c>
      <c r="AU49" s="386">
        <v>45352</v>
      </c>
      <c r="AV49" s="386">
        <v>45383</v>
      </c>
      <c r="AW49" s="386">
        <v>45413</v>
      </c>
      <c r="AX49" s="386">
        <v>45444</v>
      </c>
      <c r="AY49" s="386">
        <v>45474</v>
      </c>
      <c r="AZ49" s="386">
        <v>45505</v>
      </c>
      <c r="BA49" s="386">
        <v>45536</v>
      </c>
      <c r="BB49" s="386">
        <v>45566</v>
      </c>
      <c r="BC49" s="386">
        <v>45597</v>
      </c>
      <c r="BD49" s="386">
        <v>45627</v>
      </c>
      <c r="BE49" s="386">
        <v>45658</v>
      </c>
      <c r="BF49" s="386">
        <v>45689</v>
      </c>
      <c r="BG49" s="386">
        <v>45717</v>
      </c>
      <c r="BH49" s="386">
        <v>45748</v>
      </c>
      <c r="BI49" s="386">
        <v>45778</v>
      </c>
      <c r="BJ49" s="386">
        <v>45833</v>
      </c>
      <c r="BK49" s="386">
        <v>45863</v>
      </c>
      <c r="BL49" s="386">
        <v>45870</v>
      </c>
      <c r="BM49" s="386">
        <v>45901</v>
      </c>
      <c r="BN49" s="386">
        <v>45931</v>
      </c>
      <c r="BO49" s="386">
        <v>45962</v>
      </c>
      <c r="BP49" s="386">
        <v>45992</v>
      </c>
      <c r="BQ49" s="386">
        <v>46023</v>
      </c>
      <c r="BR49" s="386">
        <v>46054</v>
      </c>
      <c r="BS49" s="386">
        <v>46082</v>
      </c>
      <c r="BT49" s="386">
        <v>46113</v>
      </c>
      <c r="BU49" s="386">
        <v>46143</v>
      </c>
      <c r="BV49" s="386">
        <v>46174</v>
      </c>
    </row>
    <row r="50" spans="2:75" ht="25.5" customHeight="1">
      <c r="C50" s="896" t="s">
        <v>1162</v>
      </c>
      <c r="D50" s="396" t="s">
        <v>66</v>
      </c>
      <c r="E50" s="32"/>
      <c r="F50" s="39"/>
      <c r="G50" s="32"/>
      <c r="H50" s="39"/>
      <c r="I50" s="32"/>
      <c r="J50" s="39"/>
      <c r="K50" s="32"/>
      <c r="L50" s="39"/>
      <c r="M50" s="32"/>
      <c r="N50" s="39"/>
      <c r="O50" s="32"/>
      <c r="P50" s="39"/>
      <c r="Q50" s="32"/>
      <c r="R50" s="32"/>
      <c r="S50" s="32"/>
      <c r="T50" s="32"/>
      <c r="U50" s="32"/>
      <c r="V50" s="32"/>
      <c r="W50" s="32"/>
      <c r="X50" s="32"/>
      <c r="Y50" s="32"/>
      <c r="Z50" s="32"/>
      <c r="AA50" s="32"/>
      <c r="AB50" s="32"/>
      <c r="AC50" s="32"/>
      <c r="AD50" s="32"/>
      <c r="AE50" s="32"/>
      <c r="AF50" s="32"/>
      <c r="AG50" s="32"/>
      <c r="AH50" s="32"/>
      <c r="AI50" s="32">
        <v>738.93092473118281</v>
      </c>
      <c r="AJ50" s="32">
        <v>0</v>
      </c>
      <c r="AK50" s="7">
        <v>2615.2539354838709</v>
      </c>
      <c r="AL50" s="7"/>
      <c r="AM50" s="7"/>
      <c r="AN50" s="7"/>
      <c r="AO50" s="7"/>
      <c r="AP50" s="7"/>
      <c r="AQ50" s="7"/>
      <c r="AR50" s="7"/>
      <c r="AS50" s="7"/>
      <c r="AT50" s="7"/>
      <c r="AU50" s="7"/>
      <c r="AV50" s="7"/>
      <c r="AW50" s="7">
        <v>4139.03</v>
      </c>
      <c r="AX50" s="7">
        <v>4468.3694693877551</v>
      </c>
      <c r="AY50" s="7"/>
      <c r="AZ50" s="7">
        <v>1421.6484081632652</v>
      </c>
      <c r="BA50" s="7">
        <f>20507400/24500</f>
        <v>837.03673469387752</v>
      </c>
      <c r="BB50" s="7">
        <v>2258.5287137254904</v>
      </c>
      <c r="BC50" s="7">
        <v>1607.5549599999999</v>
      </c>
      <c r="BD50" s="7">
        <v>1199.57772</v>
      </c>
      <c r="BE50" s="7">
        <v>2438.8751600000001</v>
      </c>
      <c r="BF50" s="7">
        <v>1787.15</v>
      </c>
      <c r="BG50" s="7">
        <v>6572.0878433641974</v>
      </c>
      <c r="BH50" s="7">
        <v>4383.0261285386377</v>
      </c>
      <c r="BI50" s="7">
        <v>952.76</v>
      </c>
      <c r="BJ50" s="7">
        <v>0</v>
      </c>
      <c r="BK50" s="7">
        <v>3184.46</v>
      </c>
      <c r="BL50" s="7">
        <v>7896.4998681583611</v>
      </c>
      <c r="BM50" s="7">
        <v>10851.45136334332</v>
      </c>
      <c r="BN50" s="7"/>
      <c r="BO50" s="7">
        <v>9775.3799999999992</v>
      </c>
      <c r="BP50" s="7">
        <v>569.95432145564826</v>
      </c>
      <c r="BQ50" s="7">
        <v>0</v>
      </c>
      <c r="BR50" s="7">
        <v>0</v>
      </c>
      <c r="BS50" s="7">
        <v>0</v>
      </c>
      <c r="BT50" s="7">
        <v>0</v>
      </c>
      <c r="BU50" s="7">
        <v>0</v>
      </c>
      <c r="BV50" s="41">
        <f>SUMIFS(Dolphin!AC:AC,Dolphin!AB:AB,"import",Dolphin!H:H,"AIR")/'Logistics record '!$AD$1</f>
        <v>0</v>
      </c>
    </row>
    <row r="51" spans="2:75" s="148" customFormat="1" ht="25.5" customHeight="1">
      <c r="C51" s="896"/>
      <c r="D51" s="407" t="s">
        <v>67</v>
      </c>
      <c r="E51" s="409"/>
      <c r="F51" s="409"/>
      <c r="G51" s="409"/>
      <c r="H51" s="409"/>
      <c r="I51" s="409"/>
      <c r="J51" s="409"/>
      <c r="K51" s="409"/>
      <c r="L51" s="409"/>
      <c r="M51" s="409"/>
      <c r="N51" s="409"/>
      <c r="O51" s="409"/>
      <c r="P51" s="409"/>
      <c r="Q51" s="409"/>
      <c r="R51" s="403"/>
      <c r="S51" s="403"/>
      <c r="T51" s="403"/>
      <c r="U51" s="403"/>
      <c r="V51" s="403"/>
      <c r="W51" s="403"/>
      <c r="X51" s="403"/>
      <c r="Y51" s="403"/>
      <c r="Z51" s="403"/>
      <c r="AA51" s="403"/>
      <c r="AB51" s="403"/>
      <c r="AC51" s="403"/>
      <c r="AD51" s="403"/>
      <c r="AE51" s="403"/>
      <c r="AF51" s="403"/>
      <c r="AG51" s="403"/>
      <c r="AH51" s="403"/>
      <c r="AI51" s="403">
        <v>1</v>
      </c>
      <c r="AJ51" s="403">
        <v>0</v>
      </c>
      <c r="AK51" s="403">
        <v>2</v>
      </c>
      <c r="AL51" s="403"/>
      <c r="AM51" s="403"/>
      <c r="AN51" s="403"/>
      <c r="AO51" s="403"/>
      <c r="AP51" s="403"/>
      <c r="AQ51" s="403"/>
      <c r="AR51" s="403"/>
      <c r="AS51" s="403"/>
      <c r="AT51" s="403"/>
      <c r="AU51" s="403"/>
      <c r="AV51" s="403"/>
      <c r="AW51" s="403" t="s">
        <v>1274</v>
      </c>
      <c r="AX51" s="403" t="s">
        <v>1274</v>
      </c>
      <c r="AY51" s="403"/>
      <c r="AZ51" s="403">
        <v>2</v>
      </c>
      <c r="BA51" s="403">
        <v>1</v>
      </c>
      <c r="BB51" s="403">
        <v>4</v>
      </c>
      <c r="BC51" s="403">
        <v>2</v>
      </c>
      <c r="BD51" s="403">
        <v>2</v>
      </c>
      <c r="BE51" s="403">
        <v>2</v>
      </c>
      <c r="BF51" s="403">
        <v>2</v>
      </c>
      <c r="BG51" s="403">
        <v>6</v>
      </c>
      <c r="BH51" s="403">
        <v>4</v>
      </c>
      <c r="BI51" s="403">
        <v>2</v>
      </c>
      <c r="BJ51" s="403">
        <v>0</v>
      </c>
      <c r="BK51" s="403">
        <v>3</v>
      </c>
      <c r="BL51" s="403">
        <v>8</v>
      </c>
      <c r="BM51" s="403">
        <v>4</v>
      </c>
      <c r="BN51" s="403"/>
      <c r="BO51" s="403">
        <v>9</v>
      </c>
      <c r="BP51" s="403">
        <v>1</v>
      </c>
      <c r="BQ51" s="403">
        <v>0</v>
      </c>
      <c r="BR51" s="403">
        <v>0</v>
      </c>
      <c r="BS51" s="403">
        <v>0</v>
      </c>
      <c r="BT51" s="403">
        <v>0</v>
      </c>
      <c r="BU51" s="403">
        <v>0</v>
      </c>
      <c r="BV51" s="403">
        <f>COUNTIFS(Dolphin!H:H,"AIR",Dolphin!AB:AB,"import")</f>
        <v>0</v>
      </c>
    </row>
    <row r="52" spans="2:75" ht="25.5" customHeight="1">
      <c r="C52" s="896" t="s">
        <v>1163</v>
      </c>
      <c r="D52" s="396" t="s">
        <v>66</v>
      </c>
      <c r="E52" s="32">
        <v>0</v>
      </c>
      <c r="F52" s="39">
        <v>0</v>
      </c>
      <c r="G52" s="32">
        <v>0</v>
      </c>
      <c r="H52" s="39">
        <v>0</v>
      </c>
      <c r="I52" s="32">
        <v>0</v>
      </c>
      <c r="J52" s="39">
        <v>0</v>
      </c>
      <c r="K52" s="32">
        <v>0</v>
      </c>
      <c r="L52" s="39">
        <v>0</v>
      </c>
      <c r="M52" s="32">
        <v>0</v>
      </c>
      <c r="N52" s="39">
        <v>0</v>
      </c>
      <c r="O52" s="32">
        <v>0</v>
      </c>
      <c r="P52" s="39">
        <v>0</v>
      </c>
      <c r="Q52" s="32">
        <v>0</v>
      </c>
      <c r="R52" s="32">
        <v>5254.46</v>
      </c>
      <c r="S52" s="32">
        <v>0</v>
      </c>
      <c r="T52" s="32">
        <v>0</v>
      </c>
      <c r="U52" s="32">
        <v>0</v>
      </c>
      <c r="V52" s="32">
        <v>0</v>
      </c>
      <c r="W52" s="32">
        <v>0</v>
      </c>
      <c r="X52" s="32">
        <v>0</v>
      </c>
      <c r="Y52" s="32">
        <v>0</v>
      </c>
      <c r="Z52" s="32">
        <v>0</v>
      </c>
      <c r="AA52" s="32"/>
      <c r="AB52" s="32"/>
      <c r="AC52" s="32"/>
      <c r="AD52" s="32"/>
      <c r="AE52" s="32">
        <v>0</v>
      </c>
      <c r="AF52" s="32">
        <v>836.63027956989242</v>
      </c>
      <c r="AG52" s="32"/>
      <c r="AH52" s="32">
        <f>(9377378+2300000)/23250</f>
        <v>502.2528172043011</v>
      </c>
      <c r="AI52" s="32">
        <v>601.22838709677421</v>
      </c>
      <c r="AJ52" s="32">
        <v>0</v>
      </c>
      <c r="AK52" s="7" t="e">
        <f>3650.28021505376-#REF!</f>
        <v>#REF!</v>
      </c>
      <c r="AL52" s="7"/>
      <c r="AM52" s="7"/>
      <c r="AN52" s="7"/>
      <c r="AO52" s="7"/>
      <c r="AP52" s="7"/>
      <c r="AQ52" s="7"/>
      <c r="AR52" s="7"/>
      <c r="AS52" s="7"/>
      <c r="AT52" s="7"/>
      <c r="AU52" s="7"/>
      <c r="AV52" s="7"/>
      <c r="AW52" s="7">
        <v>1688.44</v>
      </c>
      <c r="AX52" s="7">
        <v>1405.6518367346939</v>
      </c>
      <c r="AY52" s="7">
        <v>2290.4959387755102</v>
      </c>
      <c r="AZ52" s="7"/>
      <c r="BA52" s="7"/>
      <c r="BB52" s="7"/>
      <c r="BC52" s="7"/>
      <c r="BD52" s="7"/>
      <c r="BE52" s="7">
        <v>2003.1050399999999</v>
      </c>
      <c r="BF52" s="7">
        <v>1393</v>
      </c>
      <c r="BG52" s="7">
        <v>175.81983024691357</v>
      </c>
      <c r="BH52" s="7">
        <v>4844.1166411629683</v>
      </c>
      <c r="BI52" s="7">
        <v>3974.13</v>
      </c>
      <c r="BJ52" s="7">
        <v>5035.9383206686925</v>
      </c>
      <c r="BK52" s="7">
        <v>8636.6400000000012</v>
      </c>
      <c r="BL52" s="7"/>
      <c r="BM52" s="7">
        <f>9275.52694451818+2289.87</f>
        <v>11565.396944518179</v>
      </c>
      <c r="BN52" s="7">
        <v>13284.855119751401</v>
      </c>
      <c r="BO52" s="7">
        <v>6410</v>
      </c>
      <c r="BP52" s="7">
        <v>16127.425511751328</v>
      </c>
      <c r="BQ52" s="7">
        <v>13111.099387911247</v>
      </c>
      <c r="BR52" s="7">
        <v>6143.7712966130684</v>
      </c>
      <c r="BS52" s="7">
        <v>3961.0926298220993</v>
      </c>
      <c r="BT52" s="7">
        <v>3009.834565934691</v>
      </c>
      <c r="BU52" s="7">
        <v>5424.7241705802153</v>
      </c>
      <c r="BV52" s="41">
        <f>SUMIFS(Dolphin!AC:AC,Dolphin!AB:AB,"import",Dolphin!H:H,"SEA")/'Logistics record '!$AD$1</f>
        <v>1477.4045423626333</v>
      </c>
      <c r="BW52" s="20"/>
    </row>
    <row r="53" spans="2:75" s="148" customFormat="1" ht="25.5" customHeight="1">
      <c r="C53" s="896"/>
      <c r="D53" s="407" t="s">
        <v>67</v>
      </c>
      <c r="E53" s="417">
        <v>0</v>
      </c>
      <c r="F53" s="417">
        <v>0</v>
      </c>
      <c r="G53" s="417">
        <v>0</v>
      </c>
      <c r="H53" s="417">
        <v>0</v>
      </c>
      <c r="I53" s="417">
        <v>0</v>
      </c>
      <c r="J53" s="417">
        <v>0</v>
      </c>
      <c r="K53" s="417">
        <v>0</v>
      </c>
      <c r="L53" s="417">
        <v>0</v>
      </c>
      <c r="M53" s="417">
        <v>0</v>
      </c>
      <c r="N53" s="417">
        <v>0</v>
      </c>
      <c r="O53" s="417">
        <v>0</v>
      </c>
      <c r="P53" s="417">
        <v>0</v>
      </c>
      <c r="Q53" s="417">
        <v>0</v>
      </c>
      <c r="R53" s="418">
        <v>1</v>
      </c>
      <c r="S53" s="418">
        <v>0</v>
      </c>
      <c r="T53" s="418">
        <v>0</v>
      </c>
      <c r="U53" s="418">
        <v>0</v>
      </c>
      <c r="V53" s="418">
        <v>0</v>
      </c>
      <c r="W53" s="418">
        <v>0</v>
      </c>
      <c r="X53" s="418">
        <v>0</v>
      </c>
      <c r="Y53" s="418">
        <v>0</v>
      </c>
      <c r="Z53" s="418">
        <v>0</v>
      </c>
      <c r="AA53" s="403"/>
      <c r="AB53" s="403"/>
      <c r="AC53" s="403"/>
      <c r="AD53" s="403"/>
      <c r="AE53" s="403">
        <v>0</v>
      </c>
      <c r="AF53" s="403">
        <v>2</v>
      </c>
      <c r="AG53" s="403"/>
      <c r="AH53" s="403">
        <v>1</v>
      </c>
      <c r="AI53" s="403">
        <v>1</v>
      </c>
      <c r="AJ53" s="403">
        <v>0</v>
      </c>
      <c r="AK53" s="403">
        <v>3</v>
      </c>
      <c r="AL53" s="403"/>
      <c r="AM53" s="403"/>
      <c r="AN53" s="403"/>
      <c r="AO53" s="403"/>
      <c r="AP53" s="403"/>
      <c r="AQ53" s="403"/>
      <c r="AR53" s="403"/>
      <c r="AS53" s="403"/>
      <c r="AT53" s="403"/>
      <c r="AU53" s="403"/>
      <c r="AV53" s="403"/>
      <c r="AW53" s="403">
        <v>2</v>
      </c>
      <c r="AX53" s="403"/>
      <c r="AY53" s="403">
        <v>2</v>
      </c>
      <c r="AZ53" s="403"/>
      <c r="BA53" s="403"/>
      <c r="BB53" s="403"/>
      <c r="BC53" s="403"/>
      <c r="BD53" s="403"/>
      <c r="BE53" s="403">
        <v>1</v>
      </c>
      <c r="BF53" s="403">
        <v>2</v>
      </c>
      <c r="BG53" s="403">
        <v>1</v>
      </c>
      <c r="BH53" s="403" t="s">
        <v>1274</v>
      </c>
      <c r="BI53" s="403">
        <v>5</v>
      </c>
      <c r="BJ53" s="403">
        <v>6</v>
      </c>
      <c r="BK53" s="403">
        <v>10</v>
      </c>
      <c r="BL53" s="403"/>
      <c r="BM53" s="403">
        <v>9</v>
      </c>
      <c r="BN53" s="403">
        <v>12</v>
      </c>
      <c r="BO53" s="403">
        <v>1</v>
      </c>
      <c r="BP53" s="403">
        <v>19</v>
      </c>
      <c r="BQ53" s="403">
        <v>14</v>
      </c>
      <c r="BR53" s="403">
        <v>9</v>
      </c>
      <c r="BS53" s="403">
        <v>6</v>
      </c>
      <c r="BT53" s="403">
        <v>6</v>
      </c>
      <c r="BU53" s="403">
        <v>6</v>
      </c>
      <c r="BV53" s="403">
        <f>COUNTIFS(Dolphin!H:H,"SEA",Dolphin!AB:AB,"import")</f>
        <v>4</v>
      </c>
    </row>
    <row r="54" spans="2:75" s="148" customFormat="1" ht="25.5" customHeight="1">
      <c r="C54" s="896" t="s">
        <v>1748</v>
      </c>
      <c r="D54" s="396" t="s">
        <v>66</v>
      </c>
      <c r="E54" s="32">
        <v>0</v>
      </c>
      <c r="F54" s="39">
        <v>0</v>
      </c>
      <c r="G54" s="32">
        <v>0</v>
      </c>
      <c r="H54" s="39">
        <v>0</v>
      </c>
      <c r="I54" s="32">
        <v>0</v>
      </c>
      <c r="J54" s="39">
        <v>0</v>
      </c>
      <c r="K54" s="32">
        <v>0</v>
      </c>
      <c r="L54" s="39">
        <v>0</v>
      </c>
      <c r="M54" s="32">
        <v>0</v>
      </c>
      <c r="N54" s="39">
        <v>0</v>
      </c>
      <c r="O54" s="32">
        <v>0</v>
      </c>
      <c r="P54" s="39">
        <v>0</v>
      </c>
      <c r="Q54" s="32">
        <v>0</v>
      </c>
      <c r="R54" s="32">
        <v>5254.46</v>
      </c>
      <c r="S54" s="32">
        <v>0</v>
      </c>
      <c r="T54" s="32">
        <v>0</v>
      </c>
      <c r="U54" s="32">
        <v>0</v>
      </c>
      <c r="V54" s="32">
        <v>0</v>
      </c>
      <c r="W54" s="32">
        <v>0</v>
      </c>
      <c r="X54" s="32">
        <v>0</v>
      </c>
      <c r="Y54" s="32">
        <v>0</v>
      </c>
      <c r="Z54" s="32">
        <v>0</v>
      </c>
      <c r="AA54" s="32"/>
      <c r="AB54" s="32"/>
      <c r="AC54" s="32"/>
      <c r="AD54" s="32"/>
      <c r="AE54" s="32">
        <v>0</v>
      </c>
      <c r="AF54" s="32">
        <v>836.63027956989242</v>
      </c>
      <c r="AG54" s="32"/>
      <c r="AH54" s="32">
        <f>(9377378+2300000)/23250</f>
        <v>502.2528172043011</v>
      </c>
      <c r="AI54" s="32">
        <v>601.22838709677421</v>
      </c>
      <c r="AJ54" s="32">
        <v>0</v>
      </c>
      <c r="AK54" s="7" t="e">
        <f>3650.28021505376-#REF!</f>
        <v>#REF!</v>
      </c>
      <c r="AL54" s="7"/>
      <c r="AM54" s="7"/>
      <c r="AN54" s="7"/>
      <c r="AO54" s="7"/>
      <c r="AP54" s="7"/>
      <c r="AQ54" s="7"/>
      <c r="AR54" s="7"/>
      <c r="AS54" s="7"/>
      <c r="AT54" s="7"/>
      <c r="AU54" s="7"/>
      <c r="AV54" s="7"/>
      <c r="AW54" s="7">
        <v>1688.44</v>
      </c>
      <c r="AX54" s="7">
        <v>1405.6518367346939</v>
      </c>
      <c r="AY54" s="7">
        <v>2290.4959387755102</v>
      </c>
      <c r="AZ54" s="7"/>
      <c r="BA54" s="7"/>
      <c r="BB54" s="7"/>
      <c r="BC54" s="7"/>
      <c r="BD54" s="7"/>
      <c r="BE54" s="7">
        <v>2003.1050399999999</v>
      </c>
      <c r="BF54" s="7">
        <v>1393</v>
      </c>
      <c r="BG54" s="7">
        <v>175.81983024691357</v>
      </c>
      <c r="BH54" s="7">
        <v>4844.1166411629683</v>
      </c>
      <c r="BI54" s="7">
        <v>3974.13</v>
      </c>
      <c r="BJ54" s="7">
        <v>5035.9383206686925</v>
      </c>
      <c r="BK54" s="7"/>
      <c r="BL54" s="7"/>
      <c r="BM54" s="7"/>
      <c r="BN54" s="7"/>
      <c r="BO54" s="7"/>
      <c r="BP54" s="7"/>
      <c r="BQ54" s="7"/>
      <c r="BR54" s="7"/>
      <c r="BS54" s="7">
        <v>589.73098661002166</v>
      </c>
      <c r="BT54" s="7">
        <v>0</v>
      </c>
      <c r="BU54" s="7">
        <v>0</v>
      </c>
      <c r="BV54" s="41">
        <f>SUMIFS(Dolphin!AC:AC,Dolphin!AB:AB,"Export",Dolphin!H:H,"SEA")/'Logistics record '!$AD$1</f>
        <v>0</v>
      </c>
    </row>
    <row r="55" spans="2:75" s="148" customFormat="1" ht="25.5" customHeight="1">
      <c r="C55" s="896"/>
      <c r="D55" s="407" t="s">
        <v>67</v>
      </c>
      <c r="E55" s="417">
        <v>0</v>
      </c>
      <c r="F55" s="417">
        <v>0</v>
      </c>
      <c r="G55" s="417">
        <v>0</v>
      </c>
      <c r="H55" s="417">
        <v>0</v>
      </c>
      <c r="I55" s="417">
        <v>0</v>
      </c>
      <c r="J55" s="417">
        <v>0</v>
      </c>
      <c r="K55" s="417">
        <v>0</v>
      </c>
      <c r="L55" s="417">
        <v>0</v>
      </c>
      <c r="M55" s="417">
        <v>0</v>
      </c>
      <c r="N55" s="417">
        <v>0</v>
      </c>
      <c r="O55" s="417">
        <v>0</v>
      </c>
      <c r="P55" s="417">
        <v>0</v>
      </c>
      <c r="Q55" s="417">
        <v>0</v>
      </c>
      <c r="R55" s="418">
        <v>1</v>
      </c>
      <c r="S55" s="418">
        <v>0</v>
      </c>
      <c r="T55" s="418">
        <v>0</v>
      </c>
      <c r="U55" s="418">
        <v>0</v>
      </c>
      <c r="V55" s="418">
        <v>0</v>
      </c>
      <c r="W55" s="418">
        <v>0</v>
      </c>
      <c r="X55" s="418">
        <v>0</v>
      </c>
      <c r="Y55" s="418">
        <v>0</v>
      </c>
      <c r="Z55" s="418">
        <v>0</v>
      </c>
      <c r="AA55" s="403"/>
      <c r="AB55" s="403"/>
      <c r="AC55" s="403"/>
      <c r="AD55" s="403"/>
      <c r="AE55" s="403">
        <v>0</v>
      </c>
      <c r="AF55" s="403">
        <v>2</v>
      </c>
      <c r="AG55" s="403"/>
      <c r="AH55" s="403">
        <v>1</v>
      </c>
      <c r="AI55" s="403">
        <v>1</v>
      </c>
      <c r="AJ55" s="403">
        <v>0</v>
      </c>
      <c r="AK55" s="403">
        <v>3</v>
      </c>
      <c r="AL55" s="403"/>
      <c r="AM55" s="403"/>
      <c r="AN55" s="403"/>
      <c r="AO55" s="403"/>
      <c r="AP55" s="403"/>
      <c r="AQ55" s="403"/>
      <c r="AR55" s="403"/>
      <c r="AS55" s="403"/>
      <c r="AT55" s="403"/>
      <c r="AU55" s="403"/>
      <c r="AV55" s="403"/>
      <c r="AW55" s="403">
        <v>2</v>
      </c>
      <c r="AX55" s="403"/>
      <c r="AY55" s="403">
        <v>2</v>
      </c>
      <c r="AZ55" s="403"/>
      <c r="BA55" s="403"/>
      <c r="BB55" s="403"/>
      <c r="BC55" s="403"/>
      <c r="BD55" s="403"/>
      <c r="BE55" s="403">
        <v>1</v>
      </c>
      <c r="BF55" s="403">
        <v>2</v>
      </c>
      <c r="BG55" s="403">
        <v>1</v>
      </c>
      <c r="BH55" s="403" t="s">
        <v>1274</v>
      </c>
      <c r="BI55" s="403">
        <v>5</v>
      </c>
      <c r="BJ55" s="403">
        <v>6</v>
      </c>
      <c r="BK55" s="403"/>
      <c r="BL55" s="403"/>
      <c r="BM55" s="403"/>
      <c r="BN55" s="403"/>
      <c r="BO55" s="403"/>
      <c r="BP55" s="403"/>
      <c r="BQ55" s="403"/>
      <c r="BR55" s="403"/>
      <c r="BS55" s="403">
        <v>1</v>
      </c>
      <c r="BT55" s="403">
        <v>0</v>
      </c>
      <c r="BU55" s="403">
        <v>0</v>
      </c>
      <c r="BV55" s="403">
        <f>COUNTIFS(Dolphin!H:H,"SEA",Dolphin!AB:AB,"Export")</f>
        <v>0</v>
      </c>
    </row>
    <row r="56" spans="2:75" s="148" customFormat="1" ht="25.5" customHeight="1">
      <c r="C56" s="396" t="s">
        <v>37</v>
      </c>
      <c r="D56" s="396" t="s">
        <v>66</v>
      </c>
      <c r="E56" s="417"/>
      <c r="F56" s="417"/>
      <c r="G56" s="417"/>
      <c r="H56" s="417"/>
      <c r="I56" s="417"/>
      <c r="J56" s="417"/>
      <c r="K56" s="417"/>
      <c r="L56" s="417"/>
      <c r="M56" s="417"/>
      <c r="N56" s="417"/>
      <c r="O56" s="417"/>
      <c r="P56" s="417"/>
      <c r="Q56" s="417"/>
      <c r="R56" s="418"/>
      <c r="S56" s="418"/>
      <c r="T56" s="418"/>
      <c r="U56" s="418"/>
      <c r="V56" s="418"/>
      <c r="W56" s="418"/>
      <c r="X56" s="418"/>
      <c r="Y56" s="418"/>
      <c r="Z56" s="418"/>
      <c r="AA56" s="403"/>
      <c r="AB56" s="403"/>
      <c r="AC56" s="403"/>
      <c r="AD56" s="403"/>
      <c r="AE56" s="403"/>
      <c r="AF56" s="403"/>
      <c r="AG56" s="403"/>
      <c r="AH56" s="403"/>
      <c r="AI56" s="403"/>
      <c r="AJ56" s="403"/>
      <c r="AK56" s="403"/>
      <c r="AL56" s="403"/>
      <c r="AM56" s="403"/>
      <c r="AN56" s="403"/>
      <c r="AO56" s="403"/>
      <c r="AP56" s="403"/>
      <c r="AQ56" s="403"/>
      <c r="AR56" s="403"/>
      <c r="AS56" s="403"/>
      <c r="AT56" s="403"/>
      <c r="AU56" s="403"/>
      <c r="AV56" s="403"/>
      <c r="AW56" s="403"/>
      <c r="AX56" s="403"/>
      <c r="AY56" s="403"/>
      <c r="AZ56" s="403"/>
      <c r="BA56" s="403"/>
      <c r="BB56" s="403"/>
      <c r="BC56" s="403"/>
      <c r="BD56" s="403"/>
      <c r="BE56" s="403"/>
      <c r="BF56" s="403"/>
      <c r="BG56" s="403"/>
      <c r="BH56" s="403"/>
      <c r="BI56" s="403"/>
      <c r="BJ56" s="403"/>
      <c r="BK56" s="403"/>
      <c r="BL56" s="403"/>
      <c r="BM56" s="403"/>
      <c r="BN56" s="403"/>
      <c r="BO56" s="403"/>
      <c r="BP56" s="41">
        <v>468.53677028051555</v>
      </c>
      <c r="BQ56" s="41">
        <v>289.21193573068092</v>
      </c>
      <c r="BR56" s="41">
        <v>184.7417037290455</v>
      </c>
      <c r="BS56" s="41">
        <v>162.3487463490498</v>
      </c>
      <c r="BT56" s="41">
        <v>137.6720901126408</v>
      </c>
      <c r="BU56" s="41">
        <v>274.20087865474926</v>
      </c>
      <c r="BV56" s="41">
        <f>(SUM(Dolphin!M:M)+SUM(Dolphin!N:N)+SUM(Dolphin!P:P))/'Logistics record '!AD1</f>
        <v>81.626483259012929</v>
      </c>
      <c r="BW56" s="20"/>
    </row>
    <row r="57" spans="2:75" s="148" customFormat="1" ht="25.5" customHeight="1">
      <c r="C57" s="396" t="s">
        <v>54</v>
      </c>
      <c r="D57" s="396" t="s">
        <v>66</v>
      </c>
      <c r="E57" s="417"/>
      <c r="F57" s="417"/>
      <c r="G57" s="417"/>
      <c r="H57" s="417"/>
      <c r="I57" s="417"/>
      <c r="J57" s="417"/>
      <c r="K57" s="417"/>
      <c r="L57" s="417"/>
      <c r="M57" s="417"/>
      <c r="N57" s="417"/>
      <c r="O57" s="417"/>
      <c r="P57" s="417"/>
      <c r="Q57" s="417"/>
      <c r="R57" s="418"/>
      <c r="S57" s="418"/>
      <c r="T57" s="418"/>
      <c r="U57" s="418"/>
      <c r="V57" s="418"/>
      <c r="W57" s="418"/>
      <c r="X57" s="418"/>
      <c r="Y57" s="418"/>
      <c r="Z57" s="418"/>
      <c r="AA57" s="403"/>
      <c r="AB57" s="403"/>
      <c r="AC57" s="403"/>
      <c r="AD57" s="403"/>
      <c r="AE57" s="403"/>
      <c r="AF57" s="403"/>
      <c r="AG57" s="403"/>
      <c r="AH57" s="403"/>
      <c r="AI57" s="403"/>
      <c r="AJ57" s="403"/>
      <c r="AK57" s="403"/>
      <c r="AL57" s="403"/>
      <c r="AM57" s="403"/>
      <c r="AN57" s="403"/>
      <c r="AO57" s="403"/>
      <c r="AP57" s="403"/>
      <c r="AQ57" s="403"/>
      <c r="AR57" s="403"/>
      <c r="AS57" s="403"/>
      <c r="AT57" s="403"/>
      <c r="AU57" s="403"/>
      <c r="AV57" s="403"/>
      <c r="AW57" s="403"/>
      <c r="AX57" s="403"/>
      <c r="AY57" s="403"/>
      <c r="AZ57" s="403"/>
      <c r="BA57" s="403"/>
      <c r="BB57" s="403"/>
      <c r="BC57" s="403"/>
      <c r="BD57" s="403"/>
      <c r="BE57" s="403"/>
      <c r="BF57" s="403"/>
      <c r="BG57" s="403"/>
      <c r="BH57" s="403"/>
      <c r="BI57" s="403"/>
      <c r="BJ57" s="403"/>
      <c r="BK57" s="403"/>
      <c r="BL57" s="403"/>
      <c r="BM57" s="403"/>
      <c r="BN57" s="403"/>
      <c r="BO57" s="403"/>
      <c r="BP57" s="41">
        <v>1773.2183472327522</v>
      </c>
      <c r="BQ57" s="41">
        <v>1281.5608263198164</v>
      </c>
      <c r="BR57" s="41">
        <v>802.06789067548561</v>
      </c>
      <c r="BS57" s="41">
        <v>489.32215605204266</v>
      </c>
      <c r="BT57" s="41">
        <v>348.92099973451661</v>
      </c>
      <c r="BU57" s="41">
        <v>672.24662929859107</v>
      </c>
      <c r="BV57" s="41">
        <f>SUM(Dolphin!O:O)/'Logistics record '!AD1</f>
        <v>211.62421585670018</v>
      </c>
      <c r="BW57" s="20"/>
    </row>
    <row r="58" spans="2:75" s="148" customFormat="1" ht="25.5" customHeight="1">
      <c r="C58" s="396" t="s">
        <v>55</v>
      </c>
      <c r="D58" s="396" t="s">
        <v>66</v>
      </c>
      <c r="E58" s="417"/>
      <c r="F58" s="417"/>
      <c r="G58" s="417"/>
      <c r="H58" s="417"/>
      <c r="I58" s="417"/>
      <c r="J58" s="417"/>
      <c r="K58" s="417"/>
      <c r="L58" s="417"/>
      <c r="M58" s="417"/>
      <c r="N58" s="417"/>
      <c r="O58" s="417"/>
      <c r="P58" s="417"/>
      <c r="Q58" s="417"/>
      <c r="R58" s="418"/>
      <c r="S58" s="418"/>
      <c r="T58" s="418"/>
      <c r="U58" s="418"/>
      <c r="V58" s="418"/>
      <c r="W58" s="418"/>
      <c r="X58" s="418"/>
      <c r="Y58" s="418"/>
      <c r="Z58" s="418"/>
      <c r="AA58" s="403"/>
      <c r="AB58" s="403"/>
      <c r="AC58" s="403"/>
      <c r="AD58" s="403"/>
      <c r="AE58" s="403"/>
      <c r="AF58" s="403"/>
      <c r="AG58" s="403"/>
      <c r="AH58" s="403"/>
      <c r="AI58" s="403"/>
      <c r="AJ58" s="403"/>
      <c r="AK58" s="403"/>
      <c r="AL58" s="403"/>
      <c r="AM58" s="403"/>
      <c r="AN58" s="403"/>
      <c r="AO58" s="403"/>
      <c r="AP58" s="403"/>
      <c r="AQ58" s="403"/>
      <c r="AR58" s="403"/>
      <c r="AS58" s="403"/>
      <c r="AT58" s="403"/>
      <c r="AU58" s="403"/>
      <c r="AV58" s="403"/>
      <c r="AW58" s="403"/>
      <c r="AX58" s="403"/>
      <c r="AY58" s="403"/>
      <c r="AZ58" s="403"/>
      <c r="BA58" s="403"/>
      <c r="BB58" s="403"/>
      <c r="BC58" s="403"/>
      <c r="BD58" s="403"/>
      <c r="BE58" s="403"/>
      <c r="BF58" s="403"/>
      <c r="BG58" s="403"/>
      <c r="BH58" s="403"/>
      <c r="BI58" s="403"/>
      <c r="BJ58" s="403"/>
      <c r="BK58" s="403"/>
      <c r="BL58" s="403"/>
      <c r="BM58" s="403"/>
      <c r="BN58" s="403"/>
      <c r="BO58" s="403"/>
      <c r="BP58" s="41">
        <v>2078.6898028809705</v>
      </c>
      <c r="BQ58" s="41">
        <v>2252.2201606732974</v>
      </c>
      <c r="BR58" s="41">
        <v>1001.2325236629034</v>
      </c>
      <c r="BS58" s="41">
        <v>503.76960133520464</v>
      </c>
      <c r="BT58" s="41">
        <v>864.59013160389884</v>
      </c>
      <c r="BU58" s="41">
        <v>863.37857900318136</v>
      </c>
      <c r="BV58" s="41">
        <f>(SUM(Dolphin!U:U)+SUM(Dolphin!V:V)+SUM(Dolphin!W:W))/'Logistics record '!AD1</f>
        <v>421.72556874008012</v>
      </c>
      <c r="BW58" s="20"/>
    </row>
    <row r="59" spans="2:75" s="148" customFormat="1" ht="25.5" customHeight="1">
      <c r="C59" s="396" t="s">
        <v>1263</v>
      </c>
      <c r="D59" s="396" t="s">
        <v>66</v>
      </c>
      <c r="E59" s="417"/>
      <c r="F59" s="417"/>
      <c r="G59" s="417"/>
      <c r="H59" s="417"/>
      <c r="I59" s="417"/>
      <c r="J59" s="417"/>
      <c r="K59" s="417"/>
      <c r="L59" s="417"/>
      <c r="M59" s="417"/>
      <c r="N59" s="417"/>
      <c r="O59" s="417"/>
      <c r="P59" s="417"/>
      <c r="Q59" s="417"/>
      <c r="R59" s="418"/>
      <c r="S59" s="418"/>
      <c r="T59" s="418"/>
      <c r="U59" s="418"/>
      <c r="V59" s="418"/>
      <c r="W59" s="418"/>
      <c r="X59" s="418"/>
      <c r="Y59" s="418"/>
      <c r="Z59" s="418"/>
      <c r="AA59" s="403"/>
      <c r="AB59" s="403"/>
      <c r="AC59" s="403"/>
      <c r="AD59" s="403"/>
      <c r="AE59" s="403"/>
      <c r="AF59" s="403"/>
      <c r="AG59" s="403"/>
      <c r="AH59" s="403"/>
      <c r="AI59" s="403"/>
      <c r="AJ59" s="403"/>
      <c r="AK59" s="403"/>
      <c r="AL59" s="403"/>
      <c r="AM59" s="403"/>
      <c r="AN59" s="403"/>
      <c r="AO59" s="403"/>
      <c r="AP59" s="403"/>
      <c r="AQ59" s="403"/>
      <c r="AR59" s="403"/>
      <c r="AS59" s="403"/>
      <c r="AT59" s="403"/>
      <c r="AU59" s="403"/>
      <c r="AV59" s="403"/>
      <c r="AW59" s="403"/>
      <c r="AX59" s="403"/>
      <c r="AY59" s="403"/>
      <c r="AZ59" s="403"/>
      <c r="BA59" s="403"/>
      <c r="BB59" s="403"/>
      <c r="BC59" s="403"/>
      <c r="BD59" s="403"/>
      <c r="BE59" s="403"/>
      <c r="BF59" s="403"/>
      <c r="BG59" s="403"/>
      <c r="BH59" s="403"/>
      <c r="BI59" s="403"/>
      <c r="BJ59" s="403"/>
      <c r="BK59" s="403"/>
      <c r="BL59" s="403"/>
      <c r="BM59" s="403"/>
      <c r="BN59" s="403"/>
      <c r="BO59" s="403"/>
      <c r="BP59" s="41">
        <v>15.921152388172858</v>
      </c>
      <c r="BQ59" s="41">
        <v>12.24177505738332</v>
      </c>
      <c r="BR59" s="41">
        <v>6.8422853232979817</v>
      </c>
      <c r="BS59" s="41">
        <v>6.8277510146796647</v>
      </c>
      <c r="BT59" s="41">
        <v>3.7926195623317027</v>
      </c>
      <c r="BU59" s="41">
        <v>3.7873049537948797</v>
      </c>
      <c r="BV59" s="41">
        <f>VLOOKUP("Lệ phí hải quan",Dolphin!$B:$X,23,0)/'Logistics record '!AD1</f>
        <v>2.2674023127503591</v>
      </c>
      <c r="BW59" s="20"/>
    </row>
    <row r="60" spans="2:75" ht="25.5" customHeight="1">
      <c r="B60" s="274"/>
      <c r="C60" s="396" t="s">
        <v>35</v>
      </c>
      <c r="D60" s="401"/>
      <c r="E60" s="37">
        <f t="shared" ref="E60:J60" si="11">SUM(E52:E52)</f>
        <v>0</v>
      </c>
      <c r="F60" s="42">
        <f t="shared" si="11"/>
        <v>0</v>
      </c>
      <c r="G60" s="37">
        <f t="shared" si="11"/>
        <v>0</v>
      </c>
      <c r="H60" s="37">
        <f t="shared" si="11"/>
        <v>0</v>
      </c>
      <c r="I60" s="37">
        <f t="shared" si="11"/>
        <v>0</v>
      </c>
      <c r="J60" s="37">
        <f t="shared" si="11"/>
        <v>0</v>
      </c>
      <c r="K60" s="37">
        <v>0</v>
      </c>
      <c r="L60" s="37">
        <f t="shared" ref="L60:Q60" si="12">L52</f>
        <v>0</v>
      </c>
      <c r="M60" s="37">
        <f t="shared" si="12"/>
        <v>0</v>
      </c>
      <c r="N60" s="37">
        <f t="shared" si="12"/>
        <v>0</v>
      </c>
      <c r="O60" s="37">
        <f t="shared" si="12"/>
        <v>0</v>
      </c>
      <c r="P60" s="37">
        <f t="shared" si="12"/>
        <v>0</v>
      </c>
      <c r="Q60" s="37">
        <f t="shared" si="12"/>
        <v>0</v>
      </c>
      <c r="R60" s="37">
        <v>0</v>
      </c>
      <c r="S60" s="37">
        <v>0</v>
      </c>
      <c r="T60" s="37">
        <v>0</v>
      </c>
      <c r="U60" s="37">
        <v>0</v>
      </c>
      <c r="V60" s="37">
        <v>0</v>
      </c>
      <c r="W60" s="37">
        <v>0</v>
      </c>
      <c r="X60" s="37">
        <v>0</v>
      </c>
      <c r="Y60" s="37">
        <v>0</v>
      </c>
      <c r="Z60" s="37">
        <v>0</v>
      </c>
      <c r="AA60" s="37">
        <v>0</v>
      </c>
      <c r="AB60" s="37">
        <v>0</v>
      </c>
      <c r="AC60" s="37">
        <v>0</v>
      </c>
      <c r="AD60" s="37">
        <v>0</v>
      </c>
      <c r="AE60" s="37">
        <f>AE52</f>
        <v>0</v>
      </c>
      <c r="AF60" s="37">
        <f>AF52</f>
        <v>836.63027956989242</v>
      </c>
      <c r="AG60" s="37">
        <f>AG52</f>
        <v>0</v>
      </c>
      <c r="AH60" s="37">
        <f>AH52</f>
        <v>502.2528172043011</v>
      </c>
      <c r="AI60" s="37">
        <f>AI52+AI50</f>
        <v>1340.159311827957</v>
      </c>
      <c r="AJ60" s="37">
        <v>0</v>
      </c>
      <c r="AK60" s="61" t="e">
        <f>AK52+AK50</f>
        <v>#REF!</v>
      </c>
      <c r="AL60" s="61"/>
      <c r="AM60" s="61"/>
      <c r="AN60" s="61"/>
      <c r="AO60" s="61"/>
      <c r="AP60" s="61"/>
      <c r="AQ60" s="61"/>
      <c r="AR60" s="61"/>
      <c r="AS60" s="61"/>
      <c r="AT60" s="61"/>
      <c r="AU60" s="61"/>
      <c r="AV60" s="61"/>
      <c r="AW60" s="61">
        <f t="shared" ref="AW60:BG60" si="13">SUM(AW50:AW53)</f>
        <v>5829.4699999999993</v>
      </c>
      <c r="AX60" s="61">
        <f t="shared" si="13"/>
        <v>5874.0213061224495</v>
      </c>
      <c r="AY60" s="61">
        <f t="shared" si="13"/>
        <v>2292.4959387755102</v>
      </c>
      <c r="AZ60" s="61">
        <f t="shared" si="13"/>
        <v>1423.6484081632652</v>
      </c>
      <c r="BA60" s="61">
        <f t="shared" si="13"/>
        <v>838.03673469387752</v>
      </c>
      <c r="BB60" s="61">
        <f t="shared" si="13"/>
        <v>2262.5287137254904</v>
      </c>
      <c r="BC60" s="61">
        <f t="shared" si="13"/>
        <v>1609.5549599999999</v>
      </c>
      <c r="BD60" s="61">
        <f t="shared" si="13"/>
        <v>1201.57772</v>
      </c>
      <c r="BE60" s="61">
        <f t="shared" si="13"/>
        <v>4444.9802</v>
      </c>
      <c r="BF60" s="61">
        <f t="shared" si="13"/>
        <v>3184.15</v>
      </c>
      <c r="BG60" s="61">
        <f t="shared" si="13"/>
        <v>6754.907673611111</v>
      </c>
      <c r="BH60" s="61">
        <f t="shared" ref="BH60:BO60" si="14">BH50+BH52</f>
        <v>9227.1427697016061</v>
      </c>
      <c r="BI60" s="61">
        <f t="shared" si="14"/>
        <v>4926.8900000000003</v>
      </c>
      <c r="BJ60" s="61">
        <f t="shared" si="14"/>
        <v>5035.9383206686925</v>
      </c>
      <c r="BK60" s="61">
        <f t="shared" si="14"/>
        <v>11821.100000000002</v>
      </c>
      <c r="BL60" s="61">
        <f t="shared" si="14"/>
        <v>7896.4998681583611</v>
      </c>
      <c r="BM60" s="61">
        <f t="shared" si="14"/>
        <v>22416.848307861499</v>
      </c>
      <c r="BN60" s="61">
        <f t="shared" si="14"/>
        <v>13284.855119751401</v>
      </c>
      <c r="BO60" s="61">
        <f t="shared" si="14"/>
        <v>16185.38</v>
      </c>
      <c r="BP60" s="61">
        <v>21033.745905989399</v>
      </c>
      <c r="BQ60" s="61">
        <v>16946.334085692426</v>
      </c>
      <c r="BR60" s="61">
        <v>8138.655700003801</v>
      </c>
      <c r="BS60" s="61">
        <v>5713.0918711830973</v>
      </c>
      <c r="BT60" s="61">
        <v>4364.8104069480787</v>
      </c>
      <c r="BU60" s="61">
        <v>7238.337562490532</v>
      </c>
      <c r="BV60" s="61">
        <f>+BV59+BV58+BV57+BV56+BV52+BV54</f>
        <v>2194.6482125311768</v>
      </c>
    </row>
    <row r="61" spans="2:75" ht="18.75" customHeight="1">
      <c r="B61" s="274"/>
      <c r="C61" s="27"/>
      <c r="D61" s="27"/>
      <c r="E61" s="36"/>
      <c r="F61" s="36"/>
      <c r="G61" s="36"/>
      <c r="H61" s="36"/>
      <c r="I61" s="36"/>
      <c r="J61" s="36"/>
      <c r="K61" s="36"/>
      <c r="L61" s="36"/>
      <c r="M61" s="36"/>
      <c r="N61" s="36"/>
      <c r="O61" s="36"/>
      <c r="P61" s="36"/>
      <c r="Q61" s="36"/>
      <c r="R61" s="268"/>
      <c r="S61" s="268"/>
      <c r="T61" s="268"/>
      <c r="U61" s="268"/>
      <c r="V61" s="268"/>
      <c r="W61" s="268"/>
      <c r="X61" s="268"/>
      <c r="Y61" s="268"/>
      <c r="Z61" s="268"/>
      <c r="AA61" s="268"/>
      <c r="AB61" s="268"/>
      <c r="AC61" s="268"/>
      <c r="AD61" s="268"/>
      <c r="AE61" s="268"/>
      <c r="AF61" s="268"/>
      <c r="AG61" s="268"/>
      <c r="AH61" s="268"/>
      <c r="AI61" s="268"/>
      <c r="AJ61" s="268"/>
      <c r="AK61" s="268"/>
      <c r="AL61" s="268"/>
      <c r="AM61" s="268"/>
      <c r="AN61" s="268"/>
      <c r="AO61" s="268"/>
      <c r="AP61" s="268"/>
      <c r="AQ61" s="268"/>
      <c r="AR61" s="268"/>
      <c r="AS61" s="268"/>
      <c r="AT61" s="268"/>
      <c r="AU61" s="268"/>
      <c r="AV61" s="268"/>
      <c r="AW61" s="268"/>
      <c r="AX61" s="268"/>
      <c r="AY61" s="268"/>
      <c r="AZ61" s="268"/>
      <c r="BA61" s="268"/>
      <c r="BB61" s="268"/>
      <c r="BC61" s="268"/>
      <c r="BD61" s="268"/>
      <c r="BE61" s="268"/>
      <c r="BF61" s="268"/>
      <c r="BG61" s="268"/>
      <c r="BH61" s="268"/>
      <c r="BI61" s="268"/>
      <c r="BJ61" s="268"/>
      <c r="BK61" s="268"/>
      <c r="BL61" s="268"/>
      <c r="BM61" s="268"/>
      <c r="BN61" s="268"/>
      <c r="BO61" s="268"/>
      <c r="BP61" s="268"/>
      <c r="BQ61" s="268"/>
      <c r="BR61" s="268"/>
      <c r="BS61" s="268"/>
      <c r="BT61" s="268"/>
      <c r="BU61" s="268"/>
      <c r="BV61" s="268"/>
    </row>
    <row r="62" spans="2:75" ht="18" customHeight="1"/>
    <row r="63" spans="2:75" ht="33" customHeight="1">
      <c r="C63" s="30" t="s">
        <v>797</v>
      </c>
      <c r="D63" s="385" t="s">
        <v>1161</v>
      </c>
      <c r="E63" s="386">
        <v>44075</v>
      </c>
      <c r="F63" s="386">
        <v>44105</v>
      </c>
      <c r="G63" s="386">
        <v>44136</v>
      </c>
      <c r="H63" s="386">
        <v>44166</v>
      </c>
      <c r="I63" s="386">
        <v>44197</v>
      </c>
      <c r="J63" s="386">
        <v>44248</v>
      </c>
      <c r="K63" s="386">
        <v>44256</v>
      </c>
      <c r="L63" s="386">
        <v>44307</v>
      </c>
      <c r="M63" s="386">
        <v>44317</v>
      </c>
      <c r="N63" s="386">
        <v>44348</v>
      </c>
      <c r="O63" s="386">
        <v>44378</v>
      </c>
      <c r="P63" s="386">
        <v>44409</v>
      </c>
      <c r="Q63" s="386">
        <v>44440</v>
      </c>
      <c r="R63" s="386">
        <v>44470</v>
      </c>
      <c r="S63" s="386">
        <v>44501</v>
      </c>
      <c r="T63" s="386">
        <v>44531</v>
      </c>
      <c r="U63" s="386">
        <v>44562</v>
      </c>
      <c r="V63" s="386">
        <v>44593</v>
      </c>
      <c r="W63" s="386">
        <v>44621</v>
      </c>
      <c r="X63" s="386">
        <v>44652</v>
      </c>
      <c r="Y63" s="386">
        <v>44682</v>
      </c>
      <c r="Z63" s="386">
        <v>44713</v>
      </c>
      <c r="AA63" s="386">
        <v>44743</v>
      </c>
      <c r="AB63" s="386">
        <v>44774</v>
      </c>
      <c r="AC63" s="386">
        <v>44805</v>
      </c>
      <c r="AD63" s="386">
        <v>44835</v>
      </c>
      <c r="AE63" s="386">
        <v>44866</v>
      </c>
      <c r="AF63" s="386">
        <v>44896</v>
      </c>
      <c r="AG63" s="386">
        <v>44927</v>
      </c>
      <c r="AH63" s="386">
        <v>44958</v>
      </c>
      <c r="AI63" s="386">
        <v>44986</v>
      </c>
      <c r="AJ63" s="386">
        <v>45017</v>
      </c>
      <c r="AK63" s="386">
        <v>45047</v>
      </c>
      <c r="AL63" s="386">
        <v>45078</v>
      </c>
      <c r="AM63" s="386">
        <v>45108</v>
      </c>
      <c r="AN63" s="386">
        <v>45139</v>
      </c>
      <c r="AO63" s="386">
        <v>45170</v>
      </c>
      <c r="AP63" s="386">
        <v>45200</v>
      </c>
      <c r="AQ63" s="386">
        <v>45231</v>
      </c>
      <c r="AR63" s="386">
        <v>45261</v>
      </c>
      <c r="AS63" s="386">
        <v>45292</v>
      </c>
      <c r="AT63" s="386">
        <v>45323</v>
      </c>
      <c r="AU63" s="386">
        <v>45352</v>
      </c>
      <c r="AV63" s="386">
        <v>45383</v>
      </c>
      <c r="AW63" s="386">
        <v>45413</v>
      </c>
      <c r="AX63" s="386">
        <v>45444</v>
      </c>
      <c r="AY63" s="386">
        <v>45474</v>
      </c>
      <c r="AZ63" s="386">
        <v>45505</v>
      </c>
      <c r="BA63" s="386">
        <v>45536</v>
      </c>
      <c r="BB63" s="386"/>
      <c r="BC63" s="386"/>
      <c r="BD63" s="386"/>
      <c r="BE63" s="386"/>
      <c r="BF63" s="386"/>
      <c r="BG63" s="386"/>
      <c r="BH63" s="386"/>
      <c r="BI63" s="386"/>
      <c r="BJ63" s="386"/>
      <c r="BK63" s="386"/>
      <c r="BL63" s="386"/>
      <c r="BM63" s="386">
        <v>45901</v>
      </c>
      <c r="BN63" s="386">
        <v>45931</v>
      </c>
      <c r="BO63" s="386">
        <v>45962</v>
      </c>
      <c r="BP63" s="386">
        <v>45992</v>
      </c>
      <c r="BQ63" s="386">
        <v>46023</v>
      </c>
      <c r="BR63" s="386">
        <v>46054</v>
      </c>
      <c r="BS63" s="386">
        <v>46082</v>
      </c>
      <c r="BT63" s="386">
        <v>46113</v>
      </c>
      <c r="BU63" s="386">
        <v>46143</v>
      </c>
      <c r="BV63" s="386">
        <v>46174</v>
      </c>
    </row>
    <row r="64" spans="2:75" ht="18.75" customHeight="1">
      <c r="C64" s="897" t="s">
        <v>498</v>
      </c>
      <c r="D64" s="394" t="s">
        <v>66</v>
      </c>
      <c r="E64" s="32">
        <v>0</v>
      </c>
      <c r="F64" s="39">
        <v>0</v>
      </c>
      <c r="G64" s="32">
        <v>0</v>
      </c>
      <c r="H64" s="39">
        <v>0</v>
      </c>
      <c r="I64" s="32">
        <v>0</v>
      </c>
      <c r="J64" s="39">
        <v>0</v>
      </c>
      <c r="K64" s="32">
        <v>0</v>
      </c>
      <c r="L64" s="39">
        <v>0</v>
      </c>
      <c r="M64" s="32">
        <v>0</v>
      </c>
      <c r="N64" s="39">
        <v>0</v>
      </c>
      <c r="O64" s="32">
        <v>0</v>
      </c>
      <c r="P64" s="39">
        <v>0</v>
      </c>
      <c r="Q64" s="32">
        <v>0</v>
      </c>
      <c r="R64" s="32">
        <v>5254.46</v>
      </c>
      <c r="S64" s="32">
        <v>0</v>
      </c>
      <c r="T64" s="32">
        <v>0</v>
      </c>
      <c r="U64" s="32">
        <v>0</v>
      </c>
      <c r="V64" s="32">
        <v>0</v>
      </c>
      <c r="W64" s="32">
        <v>0</v>
      </c>
      <c r="X64" s="32">
        <v>0</v>
      </c>
      <c r="Y64" s="32">
        <v>0</v>
      </c>
      <c r="Z64" s="32">
        <v>0</v>
      </c>
      <c r="AA64" s="32"/>
      <c r="AB64" s="32"/>
      <c r="AC64" s="32"/>
      <c r="AD64" s="32"/>
      <c r="AE64" s="32">
        <v>0</v>
      </c>
      <c r="AF64" s="32">
        <v>836.63027956989242</v>
      </c>
      <c r="AG64" s="32"/>
      <c r="AH64" s="32">
        <f>(9377378+2300000)/23250</f>
        <v>502.2528172043011</v>
      </c>
      <c r="AI64" s="32">
        <v>601.22838709677421</v>
      </c>
      <c r="AJ64" s="32">
        <v>0</v>
      </c>
      <c r="AK64" s="7" t="e">
        <f>3650.28021505376-#REF!</f>
        <v>#REF!</v>
      </c>
      <c r="AL64" s="7"/>
      <c r="AM64" s="7"/>
      <c r="AN64" s="7"/>
      <c r="AO64" s="7"/>
      <c r="AP64" s="7"/>
      <c r="AQ64" s="7"/>
      <c r="AR64" s="7"/>
      <c r="AS64" s="7"/>
      <c r="AT64" s="7"/>
      <c r="AU64" s="7"/>
      <c r="AV64" s="7"/>
      <c r="AW64" s="7">
        <v>1688.44</v>
      </c>
      <c r="AX64" s="7">
        <v>1405.6518367346939</v>
      </c>
      <c r="AY64" s="7">
        <v>2290.4959387755102</v>
      </c>
      <c r="AZ64" s="7"/>
      <c r="BA64" s="7"/>
      <c r="BB64" s="7"/>
      <c r="BC64" s="7"/>
      <c r="BD64" s="7"/>
      <c r="BE64" s="7"/>
      <c r="BF64" s="7"/>
      <c r="BG64" s="7"/>
      <c r="BH64" s="7"/>
      <c r="BI64" s="7"/>
      <c r="BJ64" s="7"/>
      <c r="BK64" s="7"/>
      <c r="BL64" s="7"/>
      <c r="BM64" s="125">
        <v>2157.6074178012059</v>
      </c>
      <c r="BN64" s="125"/>
      <c r="BO64" s="7"/>
      <c r="BP64" s="7">
        <v>1730</v>
      </c>
      <c r="BQ64" s="7"/>
      <c r="BR64" s="7"/>
      <c r="BS64" s="7"/>
      <c r="BT64" s="7"/>
      <c r="BU64" s="7"/>
      <c r="BV64" s="41"/>
    </row>
    <row r="65" spans="3:74" s="148" customFormat="1" ht="18.75" customHeight="1">
      <c r="C65" s="897"/>
      <c r="D65" s="414" t="s">
        <v>67</v>
      </c>
      <c r="E65" s="417">
        <v>0</v>
      </c>
      <c r="F65" s="417">
        <v>0</v>
      </c>
      <c r="G65" s="417">
        <v>0</v>
      </c>
      <c r="H65" s="417">
        <v>0</v>
      </c>
      <c r="I65" s="417">
        <v>0</v>
      </c>
      <c r="J65" s="417">
        <v>0</v>
      </c>
      <c r="K65" s="417">
        <v>0</v>
      </c>
      <c r="L65" s="417">
        <v>0</v>
      </c>
      <c r="M65" s="417">
        <v>0</v>
      </c>
      <c r="N65" s="417">
        <v>0</v>
      </c>
      <c r="O65" s="417">
        <v>0</v>
      </c>
      <c r="P65" s="417">
        <v>0</v>
      </c>
      <c r="Q65" s="417">
        <v>0</v>
      </c>
      <c r="R65" s="418">
        <v>1</v>
      </c>
      <c r="S65" s="418">
        <v>0</v>
      </c>
      <c r="T65" s="418">
        <v>0</v>
      </c>
      <c r="U65" s="418">
        <v>0</v>
      </c>
      <c r="V65" s="418">
        <v>0</v>
      </c>
      <c r="W65" s="418">
        <v>0</v>
      </c>
      <c r="X65" s="418">
        <v>0</v>
      </c>
      <c r="Y65" s="418">
        <v>0</v>
      </c>
      <c r="Z65" s="418">
        <v>0</v>
      </c>
      <c r="AA65" s="403"/>
      <c r="AB65" s="403"/>
      <c r="AC65" s="403"/>
      <c r="AD65" s="403"/>
      <c r="AE65" s="403">
        <v>0</v>
      </c>
      <c r="AF65" s="403">
        <v>2</v>
      </c>
      <c r="AG65" s="403"/>
      <c r="AH65" s="403">
        <v>1</v>
      </c>
      <c r="AI65" s="403">
        <v>1</v>
      </c>
      <c r="AJ65" s="403">
        <v>0</v>
      </c>
      <c r="AK65" s="403">
        <v>3</v>
      </c>
      <c r="AL65" s="403"/>
      <c r="AM65" s="403"/>
      <c r="AN65" s="403"/>
      <c r="AO65" s="403"/>
      <c r="AP65" s="403"/>
      <c r="AQ65" s="403"/>
      <c r="AR65" s="403"/>
      <c r="AS65" s="403"/>
      <c r="AT65" s="403"/>
      <c r="AU65" s="403"/>
      <c r="AV65" s="403"/>
      <c r="AW65" s="403">
        <v>2</v>
      </c>
      <c r="AX65" s="403"/>
      <c r="AY65" s="403">
        <v>2</v>
      </c>
      <c r="AZ65" s="403"/>
      <c r="BA65" s="403"/>
      <c r="BB65" s="403"/>
      <c r="BC65" s="403"/>
      <c r="BD65" s="403"/>
      <c r="BE65" s="403"/>
      <c r="BF65" s="403"/>
      <c r="BG65" s="403"/>
      <c r="BH65" s="403"/>
      <c r="BI65" s="403"/>
      <c r="BJ65" s="403"/>
      <c r="BK65" s="403"/>
      <c r="BL65" s="403"/>
      <c r="BM65" s="403">
        <v>1</v>
      </c>
      <c r="BN65" s="403"/>
      <c r="BO65" s="403"/>
      <c r="BP65" s="403">
        <v>1</v>
      </c>
      <c r="BQ65" s="403"/>
      <c r="BR65" s="403"/>
      <c r="BS65" s="403"/>
      <c r="BT65" s="403"/>
      <c r="BU65" s="403"/>
      <c r="BV65" s="403"/>
    </row>
    <row r="66" spans="3:74" ht="18.75" customHeight="1">
      <c r="C66" s="394" t="s">
        <v>35</v>
      </c>
      <c r="D66" s="399"/>
      <c r="E66" s="37">
        <f t="shared" ref="E66:J66" si="15">SUM(E64:E64)</f>
        <v>0</v>
      </c>
      <c r="F66" s="42">
        <f t="shared" si="15"/>
        <v>0</v>
      </c>
      <c r="G66" s="37">
        <f t="shared" si="15"/>
        <v>0</v>
      </c>
      <c r="H66" s="37">
        <f t="shared" si="15"/>
        <v>0</v>
      </c>
      <c r="I66" s="37">
        <f t="shared" si="15"/>
        <v>0</v>
      </c>
      <c r="J66" s="37">
        <f t="shared" si="15"/>
        <v>0</v>
      </c>
      <c r="K66" s="37">
        <v>0</v>
      </c>
      <c r="L66" s="37">
        <f t="shared" ref="L66:Q66" si="16">L64</f>
        <v>0</v>
      </c>
      <c r="M66" s="37">
        <f t="shared" si="16"/>
        <v>0</v>
      </c>
      <c r="N66" s="37">
        <f t="shared" si="16"/>
        <v>0</v>
      </c>
      <c r="O66" s="37">
        <f t="shared" si="16"/>
        <v>0</v>
      </c>
      <c r="P66" s="37">
        <f t="shared" si="16"/>
        <v>0</v>
      </c>
      <c r="Q66" s="37">
        <f t="shared" si="16"/>
        <v>0</v>
      </c>
      <c r="R66" s="37">
        <v>0</v>
      </c>
      <c r="S66" s="37">
        <v>0</v>
      </c>
      <c r="T66" s="37">
        <v>0</v>
      </c>
      <c r="U66" s="37">
        <v>0</v>
      </c>
      <c r="V66" s="37">
        <v>0</v>
      </c>
      <c r="W66" s="37">
        <v>0</v>
      </c>
      <c r="X66" s="37">
        <v>0</v>
      </c>
      <c r="Y66" s="37">
        <v>0</v>
      </c>
      <c r="Z66" s="37">
        <v>0</v>
      </c>
      <c r="AA66" s="37">
        <v>0</v>
      </c>
      <c r="AB66" s="37">
        <v>0</v>
      </c>
      <c r="AC66" s="37">
        <v>0</v>
      </c>
      <c r="AD66" s="37">
        <v>0</v>
      </c>
      <c r="AE66" s="37">
        <f>AE64</f>
        <v>0</v>
      </c>
      <c r="AF66" s="37">
        <f>AF64</f>
        <v>836.63027956989242</v>
      </c>
      <c r="AG66" s="37">
        <f t="shared" ref="AG66" si="17">AG64</f>
        <v>0</v>
      </c>
      <c r="AH66" s="37">
        <f>AH64</f>
        <v>502.2528172043011</v>
      </c>
      <c r="AI66" s="37">
        <f>AI64+AI62</f>
        <v>601.22838709677421</v>
      </c>
      <c r="AJ66" s="37">
        <v>0</v>
      </c>
      <c r="AK66" s="61" t="e">
        <f>AK64+AK62</f>
        <v>#REF!</v>
      </c>
      <c r="AL66" s="61"/>
      <c r="AM66" s="61"/>
      <c r="AN66" s="61"/>
      <c r="AO66" s="61"/>
      <c r="AP66" s="61"/>
      <c r="AQ66" s="61"/>
      <c r="AR66" s="61"/>
      <c r="AS66" s="61"/>
      <c r="AT66" s="61"/>
      <c r="AU66" s="61"/>
      <c r="AV66" s="61"/>
      <c r="AW66" s="61">
        <f t="shared" ref="AW66:BA66" si="18">SUM(AW62:AW65)</f>
        <v>47103.44</v>
      </c>
      <c r="AX66" s="61">
        <f t="shared" si="18"/>
        <v>46849.651836734694</v>
      </c>
      <c r="AY66" s="61">
        <f t="shared" si="18"/>
        <v>47766.495938775508</v>
      </c>
      <c r="AZ66" s="61">
        <f t="shared" si="18"/>
        <v>45505</v>
      </c>
      <c r="BA66" s="61">
        <f t="shared" si="18"/>
        <v>45536</v>
      </c>
      <c r="BB66" s="61"/>
      <c r="BC66" s="61"/>
      <c r="BD66" s="61"/>
      <c r="BE66" s="61"/>
      <c r="BF66" s="61"/>
      <c r="BG66" s="61"/>
      <c r="BH66" s="61"/>
      <c r="BI66" s="61"/>
      <c r="BJ66" s="61"/>
      <c r="BK66" s="61"/>
      <c r="BL66" s="61"/>
      <c r="BM66" s="126">
        <f>BM64</f>
        <v>2157.6074178012059</v>
      </c>
      <c r="BN66" s="126"/>
      <c r="BO66" s="61"/>
      <c r="BP66" s="61">
        <v>1730</v>
      </c>
      <c r="BQ66" s="61"/>
      <c r="BR66" s="61"/>
      <c r="BS66" s="61"/>
      <c r="BT66" s="61"/>
      <c r="BU66" s="61"/>
      <c r="BV66" s="383"/>
    </row>
    <row r="67" spans="3:74" ht="18" customHeight="1">
      <c r="C67" s="21"/>
    </row>
    <row r="68" spans="3:74" ht="35.25" customHeight="1">
      <c r="C68" s="593" t="s">
        <v>89</v>
      </c>
      <c r="D68" s="385" t="s">
        <v>1161</v>
      </c>
      <c r="E68" s="386">
        <v>44075</v>
      </c>
      <c r="F68" s="386">
        <v>44105</v>
      </c>
      <c r="G68" s="386">
        <v>44136</v>
      </c>
      <c r="H68" s="386">
        <v>44166</v>
      </c>
      <c r="I68" s="386">
        <v>44197</v>
      </c>
      <c r="J68" s="386">
        <v>44248</v>
      </c>
      <c r="K68" s="386">
        <v>44256</v>
      </c>
      <c r="L68" s="386">
        <v>44307</v>
      </c>
      <c r="M68" s="386">
        <v>44317</v>
      </c>
      <c r="N68" s="386">
        <v>44348</v>
      </c>
      <c r="O68" s="386">
        <v>44378</v>
      </c>
      <c r="P68" s="386">
        <v>44409</v>
      </c>
      <c r="Q68" s="386">
        <v>44440</v>
      </c>
      <c r="R68" s="386">
        <v>44470</v>
      </c>
      <c r="S68" s="386">
        <v>44501</v>
      </c>
      <c r="T68" s="386">
        <v>44531</v>
      </c>
      <c r="U68" s="386">
        <v>44562</v>
      </c>
      <c r="V68" s="386">
        <v>44593</v>
      </c>
      <c r="W68" s="386">
        <v>44621</v>
      </c>
      <c r="X68" s="386">
        <v>44652</v>
      </c>
      <c r="Y68" s="386">
        <v>44682</v>
      </c>
      <c r="Z68" s="386">
        <v>44713</v>
      </c>
      <c r="AA68" s="386">
        <v>44743</v>
      </c>
      <c r="AB68" s="386">
        <v>44774</v>
      </c>
      <c r="AC68" s="386">
        <v>44805</v>
      </c>
      <c r="AD68" s="386">
        <v>44835</v>
      </c>
      <c r="AE68" s="386">
        <v>44866</v>
      </c>
      <c r="AF68" s="386">
        <v>44896</v>
      </c>
      <c r="AG68" s="386">
        <v>44927</v>
      </c>
      <c r="AH68" s="386">
        <v>44958</v>
      </c>
      <c r="AI68" s="386">
        <v>44986</v>
      </c>
      <c r="AJ68" s="386">
        <v>45017</v>
      </c>
      <c r="AK68" s="386">
        <v>45047</v>
      </c>
      <c r="AL68" s="386">
        <v>45078</v>
      </c>
      <c r="AM68" s="386">
        <v>45108</v>
      </c>
      <c r="AN68" s="386">
        <v>45139</v>
      </c>
      <c r="AO68" s="386">
        <v>45170</v>
      </c>
      <c r="AP68" s="386">
        <v>45200</v>
      </c>
      <c r="AQ68" s="386">
        <v>45231</v>
      </c>
      <c r="AR68" s="386">
        <v>45261</v>
      </c>
      <c r="AS68" s="386">
        <v>45292</v>
      </c>
      <c r="AT68" s="386">
        <v>45323</v>
      </c>
      <c r="AU68" s="386">
        <v>45352</v>
      </c>
      <c r="AV68" s="386">
        <v>45383</v>
      </c>
      <c r="AW68" s="386">
        <v>45413</v>
      </c>
      <c r="AX68" s="386">
        <v>45444</v>
      </c>
      <c r="AY68" s="386">
        <v>45474</v>
      </c>
      <c r="AZ68" s="386">
        <v>45505</v>
      </c>
      <c r="BA68" s="386">
        <v>45536</v>
      </c>
      <c r="BB68" s="386">
        <v>45566</v>
      </c>
      <c r="BC68" s="386">
        <v>45597</v>
      </c>
      <c r="BD68" s="386">
        <v>45627</v>
      </c>
      <c r="BE68" s="386">
        <v>45658</v>
      </c>
      <c r="BF68" s="386">
        <v>45689</v>
      </c>
      <c r="BG68" s="386">
        <v>45717</v>
      </c>
      <c r="BH68" s="386">
        <v>45748</v>
      </c>
      <c r="BI68" s="386">
        <v>45778</v>
      </c>
      <c r="BJ68" s="386">
        <v>45833</v>
      </c>
      <c r="BK68" s="386">
        <v>45863</v>
      </c>
      <c r="BL68" s="386">
        <v>45870</v>
      </c>
      <c r="BM68" s="386">
        <v>45901</v>
      </c>
      <c r="BN68" s="386">
        <v>45931</v>
      </c>
      <c r="BO68" s="386">
        <v>45962</v>
      </c>
      <c r="BP68" s="386">
        <v>45992</v>
      </c>
      <c r="BQ68" s="386">
        <v>46023</v>
      </c>
      <c r="BR68" s="386">
        <v>46054</v>
      </c>
      <c r="BS68" s="386">
        <v>46082</v>
      </c>
      <c r="BT68" s="386">
        <v>46113</v>
      </c>
      <c r="BU68" s="386">
        <v>46143</v>
      </c>
      <c r="BV68" s="386">
        <v>46174</v>
      </c>
    </row>
    <row r="69" spans="3:74" ht="24" customHeight="1">
      <c r="C69" s="398"/>
      <c r="D69" s="400" t="s">
        <v>66</v>
      </c>
      <c r="E69" s="32">
        <v>0</v>
      </c>
      <c r="F69" s="39">
        <v>0</v>
      </c>
      <c r="G69" s="32">
        <v>0</v>
      </c>
      <c r="H69" s="39">
        <v>0</v>
      </c>
      <c r="I69" s="32">
        <v>0</v>
      </c>
      <c r="J69" s="39">
        <v>0</v>
      </c>
      <c r="K69" s="32">
        <v>0</v>
      </c>
      <c r="L69" s="39">
        <v>0</v>
      </c>
      <c r="M69" s="32">
        <v>0</v>
      </c>
      <c r="N69" s="39">
        <v>0</v>
      </c>
      <c r="O69" s="32">
        <v>0</v>
      </c>
      <c r="P69" s="39">
        <v>0</v>
      </c>
      <c r="Q69" s="32">
        <v>0</v>
      </c>
      <c r="R69" s="32">
        <v>5254.46</v>
      </c>
      <c r="S69" s="32">
        <v>0</v>
      </c>
      <c r="T69" s="32">
        <v>0</v>
      </c>
      <c r="U69" s="32">
        <v>0</v>
      </c>
      <c r="V69" s="32">
        <v>0</v>
      </c>
      <c r="W69" s="32">
        <v>0</v>
      </c>
      <c r="X69" s="32">
        <v>0</v>
      </c>
      <c r="Y69" s="32">
        <v>0</v>
      </c>
      <c r="Z69" s="32">
        <v>0</v>
      </c>
      <c r="AA69" s="32"/>
      <c r="AB69" s="32"/>
      <c r="AC69" s="32"/>
      <c r="AD69" s="32"/>
      <c r="AE69" s="32">
        <f>32500000/23250</f>
        <v>1397.8494623655913</v>
      </c>
      <c r="AF69" s="32">
        <f>30000000/23250</f>
        <v>1290.3225806451612</v>
      </c>
      <c r="AG69" s="32">
        <f>29500000/23250</f>
        <v>1268.8172043010752</v>
      </c>
      <c r="AH69" s="32"/>
      <c r="AI69" s="32"/>
      <c r="AJ69" s="32"/>
      <c r="AK69" s="7">
        <f>16000000/23250</f>
        <v>688.17204301075265</v>
      </c>
      <c r="AL69" s="7"/>
      <c r="AM69" s="7"/>
      <c r="AN69" s="7"/>
      <c r="AO69" s="7"/>
      <c r="AP69" s="7"/>
      <c r="AQ69" s="7">
        <f>19500000/23250</f>
        <v>838.70967741935488</v>
      </c>
      <c r="AR69" s="7"/>
      <c r="AS69" s="7"/>
      <c r="AT69" s="7"/>
      <c r="AU69" s="7"/>
      <c r="AV69" s="7"/>
      <c r="AW69" s="7"/>
      <c r="AX69" s="7"/>
      <c r="AY69" s="7"/>
      <c r="AZ69" s="7"/>
      <c r="BA69" s="7">
        <f>22000000/24500</f>
        <v>897.9591836734694</v>
      </c>
      <c r="BB69" s="7"/>
      <c r="BC69" s="83">
        <f>30000000/25000</f>
        <v>1200</v>
      </c>
      <c r="BD69" s="83"/>
      <c r="BE69" s="83"/>
      <c r="BF69" s="83"/>
      <c r="BG69" s="83">
        <v>2237.6543209876545</v>
      </c>
      <c r="BH69" s="83"/>
      <c r="BI69" s="83"/>
      <c r="BJ69" s="83"/>
      <c r="BK69" s="83"/>
      <c r="BL69" s="83"/>
      <c r="BM69" s="83"/>
      <c r="BN69" s="83"/>
      <c r="BO69" s="83"/>
      <c r="BP69" s="83"/>
      <c r="BQ69" s="83"/>
      <c r="BR69" s="83"/>
      <c r="BS69" s="83"/>
      <c r="BT69" s="83"/>
      <c r="BU69" s="83"/>
      <c r="BV69" s="384"/>
    </row>
    <row r="70" spans="3:74" s="148" customFormat="1" ht="24" customHeight="1">
      <c r="C70" s="415"/>
      <c r="D70" s="416" t="s">
        <v>67</v>
      </c>
      <c r="E70" s="417">
        <v>0</v>
      </c>
      <c r="F70" s="417">
        <v>0</v>
      </c>
      <c r="G70" s="417">
        <v>0</v>
      </c>
      <c r="H70" s="417">
        <v>0</v>
      </c>
      <c r="I70" s="417">
        <v>0</v>
      </c>
      <c r="J70" s="417">
        <v>0</v>
      </c>
      <c r="K70" s="417">
        <v>0</v>
      </c>
      <c r="L70" s="417">
        <v>0</v>
      </c>
      <c r="M70" s="417">
        <v>0</v>
      </c>
      <c r="N70" s="417">
        <v>0</v>
      </c>
      <c r="O70" s="417">
        <v>0</v>
      </c>
      <c r="P70" s="417">
        <v>0</v>
      </c>
      <c r="Q70" s="417">
        <v>0</v>
      </c>
      <c r="R70" s="418">
        <v>1</v>
      </c>
      <c r="S70" s="418">
        <v>0</v>
      </c>
      <c r="T70" s="418">
        <v>0</v>
      </c>
      <c r="U70" s="418">
        <v>0</v>
      </c>
      <c r="V70" s="418">
        <v>0</v>
      </c>
      <c r="W70" s="418">
        <v>0</v>
      </c>
      <c r="X70" s="418">
        <v>0</v>
      </c>
      <c r="Y70" s="418">
        <v>0</v>
      </c>
      <c r="Z70" s="418">
        <v>0</v>
      </c>
      <c r="AA70" s="403"/>
      <c r="AB70" s="403"/>
      <c r="AC70" s="403"/>
      <c r="AD70" s="403"/>
      <c r="AE70" s="403"/>
      <c r="AF70" s="403">
        <v>1</v>
      </c>
      <c r="AG70" s="403">
        <v>2</v>
      </c>
      <c r="AH70" s="403"/>
      <c r="AI70" s="403"/>
      <c r="AJ70" s="403"/>
      <c r="AK70" s="403">
        <v>1</v>
      </c>
      <c r="AL70" s="403"/>
      <c r="AM70" s="403"/>
      <c r="AN70" s="403"/>
      <c r="AO70" s="403"/>
      <c r="AP70" s="403"/>
      <c r="AQ70" s="403">
        <v>1</v>
      </c>
      <c r="AR70" s="403"/>
      <c r="AS70" s="403"/>
      <c r="AT70" s="403"/>
      <c r="AU70" s="403"/>
      <c r="AV70" s="403"/>
      <c r="AW70" s="403"/>
      <c r="AX70" s="403"/>
      <c r="AY70" s="403"/>
      <c r="AZ70" s="403"/>
      <c r="BA70" s="403">
        <v>1</v>
      </c>
      <c r="BB70" s="403"/>
      <c r="BC70" s="403">
        <v>1</v>
      </c>
      <c r="BD70" s="403"/>
      <c r="BE70" s="403"/>
      <c r="BF70" s="403"/>
      <c r="BG70" s="403">
        <v>2</v>
      </c>
      <c r="BH70" s="403"/>
      <c r="BI70" s="403">
        <v>1</v>
      </c>
      <c r="BJ70" s="403">
        <v>2</v>
      </c>
      <c r="BK70" s="403">
        <v>0</v>
      </c>
      <c r="BL70" s="403">
        <v>1</v>
      </c>
      <c r="BM70" s="403">
        <v>2</v>
      </c>
      <c r="BN70" s="403"/>
      <c r="BO70" s="403">
        <v>1</v>
      </c>
      <c r="BP70" s="403"/>
      <c r="BQ70" s="403"/>
      <c r="BR70" s="403"/>
      <c r="BS70" s="403"/>
      <c r="BT70" s="403"/>
      <c r="BU70" s="403"/>
      <c r="BV70" s="403"/>
    </row>
    <row r="71" spans="3:74" ht="24" customHeight="1">
      <c r="C71" s="394"/>
      <c r="D71" s="400" t="s">
        <v>35</v>
      </c>
      <c r="E71" s="37">
        <f t="shared" ref="E71:J71" si="19">SUM(E69:E69)</f>
        <v>0</v>
      </c>
      <c r="F71" s="42">
        <f t="shared" si="19"/>
        <v>0</v>
      </c>
      <c r="G71" s="37">
        <f t="shared" si="19"/>
        <v>0</v>
      </c>
      <c r="H71" s="37">
        <f t="shared" si="19"/>
        <v>0</v>
      </c>
      <c r="I71" s="37">
        <f t="shared" si="19"/>
        <v>0</v>
      </c>
      <c r="J71" s="37">
        <f t="shared" si="19"/>
        <v>0</v>
      </c>
      <c r="K71" s="37">
        <v>0</v>
      </c>
      <c r="L71" s="37">
        <f t="shared" ref="L71:Q71" si="20">L69</f>
        <v>0</v>
      </c>
      <c r="M71" s="37">
        <f t="shared" si="20"/>
        <v>0</v>
      </c>
      <c r="N71" s="37">
        <f t="shared" si="20"/>
        <v>0</v>
      </c>
      <c r="O71" s="37">
        <f t="shared" si="20"/>
        <v>0</v>
      </c>
      <c r="P71" s="37">
        <f t="shared" si="20"/>
        <v>0</v>
      </c>
      <c r="Q71" s="37">
        <f t="shared" si="20"/>
        <v>0</v>
      </c>
      <c r="R71" s="37">
        <v>0</v>
      </c>
      <c r="S71" s="37">
        <v>0</v>
      </c>
      <c r="T71" s="37">
        <v>0</v>
      </c>
      <c r="U71" s="37">
        <v>0</v>
      </c>
      <c r="V71" s="37">
        <v>0</v>
      </c>
      <c r="W71" s="37">
        <v>0</v>
      </c>
      <c r="X71" s="37">
        <v>0</v>
      </c>
      <c r="Y71" s="37">
        <v>0</v>
      </c>
      <c r="Z71" s="37">
        <v>0</v>
      </c>
      <c r="AA71" s="37">
        <v>0</v>
      </c>
      <c r="AB71" s="37">
        <v>0</v>
      </c>
      <c r="AC71" s="37">
        <v>0</v>
      </c>
      <c r="AD71" s="37">
        <v>0</v>
      </c>
      <c r="AE71" s="37">
        <f>AE69</f>
        <v>1397.8494623655913</v>
      </c>
      <c r="AF71" s="37">
        <f>AF69</f>
        <v>1290.3225806451612</v>
      </c>
      <c r="AG71" s="37">
        <f>AG69</f>
        <v>1268.8172043010752</v>
      </c>
      <c r="AH71" s="37"/>
      <c r="AI71" s="37"/>
      <c r="AJ71" s="37"/>
      <c r="AK71" s="61">
        <f>AK69</f>
        <v>688.17204301075265</v>
      </c>
      <c r="AL71" s="61"/>
      <c r="AM71" s="61"/>
      <c r="AN71" s="61"/>
      <c r="AO71" s="61"/>
      <c r="AP71" s="61"/>
      <c r="AQ71" s="61">
        <f>AQ69</f>
        <v>838.70967741935488</v>
      </c>
      <c r="AR71" s="61"/>
      <c r="AS71" s="61"/>
      <c r="AT71" s="61"/>
      <c r="AU71" s="61"/>
      <c r="AV71" s="61"/>
      <c r="AW71" s="61"/>
      <c r="AX71" s="61"/>
      <c r="AY71" s="61"/>
      <c r="AZ71" s="61"/>
      <c r="BA71" s="61">
        <f>BA69</f>
        <v>897.9591836734694</v>
      </c>
      <c r="BB71" s="61"/>
      <c r="BC71" s="61">
        <f>BC69</f>
        <v>1200</v>
      </c>
      <c r="BD71" s="61"/>
      <c r="BE71" s="61"/>
      <c r="BF71" s="61"/>
      <c r="BG71" s="61">
        <f>BG69</f>
        <v>2237.6543209876545</v>
      </c>
      <c r="BH71" s="61"/>
      <c r="BI71" s="61">
        <f>21500000/26220</f>
        <v>819.98474446987029</v>
      </c>
      <c r="BJ71" s="61">
        <v>1880</v>
      </c>
      <c r="BK71" s="61">
        <v>0</v>
      </c>
      <c r="BL71" s="61">
        <f>15000000/26547</f>
        <v>565.0355972426263</v>
      </c>
      <c r="BM71" s="61">
        <v>1175.622890515378</v>
      </c>
      <c r="BN71" s="61"/>
      <c r="BO71" s="61">
        <f>25500000/26409</f>
        <v>965.57991593774852</v>
      </c>
      <c r="BP71" s="61"/>
      <c r="BQ71" s="61"/>
      <c r="BR71" s="61"/>
      <c r="BS71" s="61"/>
      <c r="BT71" s="61"/>
      <c r="BU71" s="61"/>
      <c r="BV71" s="383">
        <f>22000000/'Logistics record '!AD1</f>
        <v>831.38084800846502</v>
      </c>
    </row>
    <row r="72" spans="3:74" ht="24" customHeight="1">
      <c r="C72" s="394"/>
      <c r="D72" s="400" t="s">
        <v>90</v>
      </c>
      <c r="E72" s="37"/>
      <c r="F72" s="42"/>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t="s">
        <v>87</v>
      </c>
      <c r="AF72" s="37" t="s">
        <v>91</v>
      </c>
      <c r="AG72" s="37" t="s">
        <v>91</v>
      </c>
      <c r="AH72" s="37"/>
      <c r="AI72" s="37"/>
      <c r="AJ72" s="37"/>
      <c r="AK72" s="61" t="s">
        <v>88</v>
      </c>
      <c r="AL72" s="61"/>
      <c r="AM72" s="61"/>
      <c r="AN72" s="61"/>
      <c r="AO72" s="61"/>
      <c r="AP72" s="61"/>
      <c r="AQ72" s="37" t="s">
        <v>91</v>
      </c>
      <c r="AR72" s="37"/>
      <c r="AS72" s="37"/>
      <c r="AT72" s="37"/>
      <c r="AU72" s="37"/>
      <c r="AV72" s="37"/>
      <c r="AW72" s="37"/>
      <c r="AX72" s="37"/>
      <c r="AY72" s="37"/>
      <c r="AZ72" s="37"/>
      <c r="BA72" s="37" t="s">
        <v>91</v>
      </c>
      <c r="BB72" s="37"/>
      <c r="BC72" s="37" t="s">
        <v>91</v>
      </c>
      <c r="BD72" s="61"/>
      <c r="BE72" s="61"/>
      <c r="BF72" s="61"/>
      <c r="BG72" s="42" t="s">
        <v>91</v>
      </c>
      <c r="BH72" s="42"/>
      <c r="BI72" s="42" t="s">
        <v>91</v>
      </c>
      <c r="BJ72" s="42" t="s">
        <v>91</v>
      </c>
      <c r="BK72" s="42">
        <v>0</v>
      </c>
      <c r="BL72" s="42" t="s">
        <v>272</v>
      </c>
      <c r="BM72" s="42" t="s">
        <v>272</v>
      </c>
      <c r="BN72" s="42"/>
      <c r="BO72" s="42" t="s">
        <v>272</v>
      </c>
      <c r="BP72" s="42"/>
      <c r="BQ72" s="42"/>
      <c r="BR72" s="42"/>
      <c r="BS72" s="42"/>
      <c r="BT72" s="42"/>
      <c r="BU72" s="42"/>
      <c r="BV72" s="42" t="s">
        <v>272</v>
      </c>
    </row>
    <row r="73" spans="3:74" ht="21" customHeight="1">
      <c r="C73" s="21"/>
    </row>
    <row r="74" spans="3:74" ht="30" customHeight="1">
      <c r="C74" s="30" t="s">
        <v>64</v>
      </c>
      <c r="D74" s="385" t="s">
        <v>1161</v>
      </c>
      <c r="E74" s="386">
        <v>44075</v>
      </c>
      <c r="F74" s="386">
        <v>44105</v>
      </c>
      <c r="G74" s="386">
        <v>44136</v>
      </c>
      <c r="H74" s="386">
        <v>44166</v>
      </c>
      <c r="I74" s="386">
        <v>44197</v>
      </c>
      <c r="J74" s="386">
        <v>44228</v>
      </c>
      <c r="K74" s="386">
        <v>44256</v>
      </c>
      <c r="L74" s="386">
        <v>44307</v>
      </c>
      <c r="M74" s="386">
        <v>44317</v>
      </c>
      <c r="N74" s="386">
        <v>44348</v>
      </c>
      <c r="O74" s="386">
        <v>44378</v>
      </c>
      <c r="P74" s="386">
        <v>44409</v>
      </c>
      <c r="Q74" s="386">
        <v>44440</v>
      </c>
      <c r="R74" s="386">
        <v>44470</v>
      </c>
      <c r="S74" s="386">
        <v>44470</v>
      </c>
      <c r="T74" s="386">
        <v>44531</v>
      </c>
      <c r="U74" s="386">
        <v>44562</v>
      </c>
      <c r="V74" s="386">
        <v>44593</v>
      </c>
      <c r="W74" s="386">
        <v>44621</v>
      </c>
      <c r="X74" s="386">
        <v>44652</v>
      </c>
      <c r="Y74" s="386">
        <v>44682</v>
      </c>
      <c r="Z74" s="386">
        <v>44713</v>
      </c>
      <c r="AA74" s="386">
        <v>44743</v>
      </c>
      <c r="AB74" s="386">
        <v>44774</v>
      </c>
      <c r="AC74" s="386">
        <v>44805</v>
      </c>
      <c r="AD74" s="386">
        <v>44835</v>
      </c>
      <c r="AE74" s="386">
        <v>44866</v>
      </c>
      <c r="AF74" s="386">
        <v>44896</v>
      </c>
      <c r="AG74" s="386">
        <v>44927</v>
      </c>
      <c r="AH74" s="386">
        <v>44958</v>
      </c>
      <c r="AI74" s="386">
        <v>44986</v>
      </c>
      <c r="AJ74" s="386">
        <v>45017</v>
      </c>
      <c r="AK74" s="386">
        <v>45047</v>
      </c>
      <c r="AL74" s="386">
        <v>45078</v>
      </c>
      <c r="AM74" s="386">
        <v>45108</v>
      </c>
      <c r="AN74" s="386">
        <v>45139</v>
      </c>
      <c r="AO74" s="386">
        <v>45170</v>
      </c>
      <c r="AP74" s="386">
        <v>45200</v>
      </c>
      <c r="AQ74" s="386">
        <v>45231</v>
      </c>
      <c r="AR74" s="386">
        <v>45261</v>
      </c>
      <c r="AS74" s="386">
        <v>45292</v>
      </c>
      <c r="AT74" s="386">
        <v>45323</v>
      </c>
      <c r="AU74" s="386">
        <v>45352</v>
      </c>
      <c r="AV74" s="386">
        <v>45383</v>
      </c>
      <c r="AW74" s="386">
        <v>45413</v>
      </c>
      <c r="AX74" s="386">
        <v>45444</v>
      </c>
      <c r="AY74" s="386">
        <v>45474</v>
      </c>
      <c r="AZ74" s="386">
        <v>45505</v>
      </c>
      <c r="BA74" s="386">
        <v>45536</v>
      </c>
      <c r="BB74" s="386">
        <v>45566</v>
      </c>
      <c r="BC74" s="386">
        <v>45597</v>
      </c>
      <c r="BD74" s="386">
        <v>45627</v>
      </c>
      <c r="BE74" s="386">
        <v>45658</v>
      </c>
      <c r="BF74" s="386">
        <v>45689</v>
      </c>
      <c r="BG74" s="386">
        <v>45717</v>
      </c>
      <c r="BH74" s="386">
        <v>45748</v>
      </c>
      <c r="BI74" s="386">
        <v>45778</v>
      </c>
      <c r="BJ74" s="386">
        <v>45833</v>
      </c>
      <c r="BK74" s="386">
        <v>45863</v>
      </c>
      <c r="BL74" s="386">
        <v>45870</v>
      </c>
      <c r="BM74" s="386">
        <v>45901</v>
      </c>
      <c r="BN74" s="386">
        <v>45931</v>
      </c>
      <c r="BO74" s="386">
        <v>45962</v>
      </c>
      <c r="BP74" s="386">
        <v>45992</v>
      </c>
      <c r="BQ74" s="386">
        <v>46023</v>
      </c>
      <c r="BR74" s="386">
        <v>46054</v>
      </c>
      <c r="BS74" s="386">
        <v>46082</v>
      </c>
      <c r="BT74" s="386">
        <v>46113</v>
      </c>
      <c r="BU74" s="386">
        <v>46143</v>
      </c>
      <c r="BV74" s="386">
        <v>46174</v>
      </c>
    </row>
    <row r="75" spans="3:74" ht="19.5" customHeight="1">
      <c r="C75" s="898" t="s">
        <v>65</v>
      </c>
      <c r="D75" s="394" t="s">
        <v>66</v>
      </c>
      <c r="E75" s="39">
        <f>2117.41</f>
        <v>2117.41</v>
      </c>
      <c r="F75" s="39">
        <v>2918.14</v>
      </c>
      <c r="G75" s="7">
        <v>1987.2399999999998</v>
      </c>
      <c r="H75" s="7">
        <v>0</v>
      </c>
      <c r="I75" s="7">
        <v>0</v>
      </c>
      <c r="J75" s="7">
        <v>5811.46</v>
      </c>
      <c r="K75" s="7">
        <v>1575.0600000000002</v>
      </c>
      <c r="L75" s="7">
        <v>3551.34</v>
      </c>
      <c r="M75" s="7">
        <v>0</v>
      </c>
      <c r="N75" s="7">
        <v>0</v>
      </c>
      <c r="O75" s="7">
        <v>4827.74</v>
      </c>
      <c r="P75" s="7">
        <v>3169.99</v>
      </c>
      <c r="Q75" s="7">
        <v>1457.25</v>
      </c>
      <c r="R75" s="7">
        <v>4777.91</v>
      </c>
      <c r="S75" s="7">
        <v>11223.625</v>
      </c>
      <c r="T75" s="7">
        <v>0</v>
      </c>
      <c r="U75" s="7">
        <v>1424.6</v>
      </c>
      <c r="V75" s="7"/>
      <c r="W75" s="7">
        <v>4253.03</v>
      </c>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41"/>
    </row>
    <row r="76" spans="3:74" s="404" customFormat="1" ht="19.5" customHeight="1">
      <c r="C76" s="899"/>
      <c r="D76" s="414" t="s">
        <v>67</v>
      </c>
      <c r="E76" s="403">
        <v>2</v>
      </c>
      <c r="F76" s="403">
        <v>2</v>
      </c>
      <c r="G76" s="403">
        <v>1</v>
      </c>
      <c r="H76" s="403">
        <v>0</v>
      </c>
      <c r="I76" s="403">
        <v>0</v>
      </c>
      <c r="J76" s="403">
        <v>2</v>
      </c>
      <c r="K76" s="403">
        <v>1</v>
      </c>
      <c r="L76" s="403">
        <v>1</v>
      </c>
      <c r="M76" s="403">
        <v>0</v>
      </c>
      <c r="N76" s="403">
        <v>0</v>
      </c>
      <c r="O76" s="403">
        <v>2</v>
      </c>
      <c r="P76" s="403">
        <v>2</v>
      </c>
      <c r="Q76" s="403">
        <v>1</v>
      </c>
      <c r="R76" s="403">
        <v>4</v>
      </c>
      <c r="S76" s="403">
        <v>1</v>
      </c>
      <c r="T76" s="403">
        <v>0</v>
      </c>
      <c r="U76" s="403">
        <v>1</v>
      </c>
      <c r="V76" s="403"/>
      <c r="W76" s="403">
        <v>1</v>
      </c>
      <c r="X76" s="403"/>
      <c r="Y76" s="403"/>
      <c r="Z76" s="403"/>
      <c r="AA76" s="403"/>
      <c r="AB76" s="403"/>
      <c r="AC76" s="403"/>
      <c r="AD76" s="403"/>
      <c r="AE76" s="403"/>
      <c r="AF76" s="403"/>
      <c r="AG76" s="403"/>
      <c r="AH76" s="403"/>
      <c r="AI76" s="403"/>
      <c r="AJ76" s="403"/>
      <c r="AK76" s="403"/>
      <c r="AL76" s="403"/>
      <c r="AM76" s="403"/>
      <c r="AN76" s="403"/>
      <c r="AO76" s="403"/>
      <c r="AP76" s="403"/>
      <c r="AQ76" s="403"/>
      <c r="AR76" s="403"/>
      <c r="AS76" s="403"/>
      <c r="AT76" s="403"/>
      <c r="AU76" s="403"/>
      <c r="AV76" s="403"/>
      <c r="AW76" s="403"/>
      <c r="AX76" s="403"/>
      <c r="AY76" s="403"/>
      <c r="AZ76" s="403"/>
      <c r="BA76" s="403"/>
      <c r="BB76" s="403"/>
      <c r="BC76" s="403"/>
      <c r="BD76" s="403"/>
      <c r="BE76" s="403"/>
      <c r="BF76" s="403"/>
      <c r="BG76" s="403"/>
      <c r="BH76" s="403"/>
      <c r="BI76" s="403"/>
      <c r="BJ76" s="403"/>
      <c r="BK76" s="403"/>
      <c r="BL76" s="403"/>
      <c r="BM76" s="403"/>
      <c r="BN76" s="403"/>
      <c r="BO76" s="403"/>
      <c r="BP76" s="403"/>
      <c r="BQ76" s="403"/>
      <c r="BR76" s="403"/>
      <c r="BS76" s="403"/>
      <c r="BT76" s="403"/>
      <c r="BU76" s="403"/>
      <c r="BV76" s="403"/>
    </row>
    <row r="77" spans="3:74" ht="19.5" customHeight="1">
      <c r="C77" s="898" t="s">
        <v>32</v>
      </c>
      <c r="D77" s="394" t="s">
        <v>66</v>
      </c>
      <c r="E77" s="39">
        <v>0</v>
      </c>
      <c r="F77" s="41">
        <v>0</v>
      </c>
      <c r="G77" s="41">
        <v>0</v>
      </c>
      <c r="H77" s="41">
        <v>0</v>
      </c>
      <c r="I77" s="41">
        <v>1857.75</v>
      </c>
      <c r="J77" s="41">
        <v>0</v>
      </c>
      <c r="K77" s="41">
        <v>0</v>
      </c>
      <c r="L77" s="41">
        <v>0</v>
      </c>
      <c r="M77" s="41">
        <v>0</v>
      </c>
      <c r="N77" s="41">
        <v>0</v>
      </c>
      <c r="O77" s="41">
        <v>0</v>
      </c>
      <c r="P77" s="41">
        <v>769.27</v>
      </c>
      <c r="Q77" s="41">
        <v>0</v>
      </c>
      <c r="R77" s="41">
        <v>0</v>
      </c>
      <c r="S77" s="41">
        <v>0</v>
      </c>
      <c r="T77" s="41">
        <v>0</v>
      </c>
      <c r="U77" s="41">
        <v>0</v>
      </c>
      <c r="V77" s="41"/>
      <c r="W77" s="41">
        <v>1765.44</v>
      </c>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row>
    <row r="78" spans="3:74" s="404" customFormat="1" ht="19.5" customHeight="1">
      <c r="C78" s="899"/>
      <c r="D78" s="414" t="s">
        <v>67</v>
      </c>
      <c r="E78" s="403">
        <v>0</v>
      </c>
      <c r="F78" s="403">
        <v>0</v>
      </c>
      <c r="G78" s="403">
        <v>0</v>
      </c>
      <c r="H78" s="403">
        <v>0</v>
      </c>
      <c r="I78" s="403">
        <v>1</v>
      </c>
      <c r="J78" s="403">
        <v>0</v>
      </c>
      <c r="K78" s="403">
        <v>0</v>
      </c>
      <c r="L78" s="403">
        <v>0</v>
      </c>
      <c r="M78" s="403">
        <v>0</v>
      </c>
      <c r="N78" s="403">
        <v>0</v>
      </c>
      <c r="O78" s="403">
        <v>0</v>
      </c>
      <c r="P78" s="403">
        <v>1</v>
      </c>
      <c r="Q78" s="403">
        <v>0</v>
      </c>
      <c r="R78" s="403">
        <v>0</v>
      </c>
      <c r="S78" s="403">
        <v>0</v>
      </c>
      <c r="T78" s="403">
        <v>0</v>
      </c>
      <c r="U78" s="403">
        <v>0</v>
      </c>
      <c r="V78" s="403"/>
      <c r="W78" s="403">
        <v>2</v>
      </c>
      <c r="X78" s="403"/>
      <c r="Y78" s="403"/>
      <c r="Z78" s="403"/>
      <c r="AA78" s="403"/>
      <c r="AB78" s="403"/>
      <c r="AC78" s="403"/>
      <c r="AD78" s="403"/>
      <c r="AE78" s="403"/>
      <c r="AF78" s="403"/>
      <c r="AG78" s="403"/>
      <c r="AH78" s="403"/>
      <c r="AI78" s="403"/>
      <c r="AJ78" s="403"/>
      <c r="AK78" s="403"/>
      <c r="AL78" s="403"/>
      <c r="AM78" s="403"/>
      <c r="AN78" s="403"/>
      <c r="AO78" s="403"/>
      <c r="AP78" s="403"/>
      <c r="AQ78" s="403"/>
      <c r="AR78" s="403"/>
      <c r="AS78" s="403"/>
      <c r="AT78" s="403"/>
      <c r="AU78" s="403"/>
      <c r="AV78" s="403"/>
      <c r="AW78" s="403"/>
      <c r="AX78" s="403"/>
      <c r="AY78" s="403"/>
      <c r="AZ78" s="403"/>
      <c r="BA78" s="403"/>
      <c r="BB78" s="403"/>
      <c r="BC78" s="403"/>
      <c r="BD78" s="403"/>
      <c r="BE78" s="403"/>
      <c r="BF78" s="403"/>
      <c r="BG78" s="403"/>
      <c r="BH78" s="403"/>
      <c r="BI78" s="403"/>
      <c r="BJ78" s="403"/>
      <c r="BK78" s="403"/>
      <c r="BL78" s="403"/>
      <c r="BM78" s="403"/>
      <c r="BN78" s="403"/>
      <c r="BO78" s="403"/>
      <c r="BP78" s="403"/>
      <c r="BQ78" s="403"/>
      <c r="BR78" s="403"/>
      <c r="BS78" s="403"/>
      <c r="BT78" s="403"/>
      <c r="BU78" s="403"/>
      <c r="BV78" s="403"/>
    </row>
    <row r="79" spans="3:74" s="5" customFormat="1" ht="18.600000000000001" customHeight="1">
      <c r="C79" s="402" t="s">
        <v>35</v>
      </c>
      <c r="D79" s="399"/>
      <c r="E79" s="29">
        <f t="shared" ref="E79:J79" si="21">SUM(E75:E78)</f>
        <v>2119.41</v>
      </c>
      <c r="F79" s="40">
        <f>SUM(F75:F78)</f>
        <v>2920.14</v>
      </c>
      <c r="G79" s="29">
        <f t="shared" si="21"/>
        <v>1988.2399999999998</v>
      </c>
      <c r="H79" s="29">
        <f t="shared" si="21"/>
        <v>0</v>
      </c>
      <c r="I79" s="29">
        <f t="shared" si="21"/>
        <v>1858.75</v>
      </c>
      <c r="J79" s="29">
        <f t="shared" si="21"/>
        <v>5813.46</v>
      </c>
      <c r="K79" s="29">
        <f>SUM(K75:K78)</f>
        <v>1576.0600000000002</v>
      </c>
      <c r="L79" s="29">
        <f>SUM(L75:L78)</f>
        <v>3552.34</v>
      </c>
      <c r="M79" s="29">
        <f t="shared" ref="M79:N79" si="22">SUM(M75:M78)</f>
        <v>0</v>
      </c>
      <c r="N79" s="29">
        <f t="shared" si="22"/>
        <v>0</v>
      </c>
      <c r="O79" s="29">
        <f>SUM(O75:O78)</f>
        <v>4829.74</v>
      </c>
      <c r="P79" s="29">
        <f>SUM(P75:P78)</f>
        <v>3942.2599999999998</v>
      </c>
      <c r="Q79" s="29">
        <f>SUM(Q75:Q78)</f>
        <v>1458.25</v>
      </c>
      <c r="R79" s="29">
        <f>SUM(R75:R78)</f>
        <v>4781.91</v>
      </c>
      <c r="S79" s="29">
        <f>SUM(S75:S78)</f>
        <v>11224.625</v>
      </c>
      <c r="T79" s="29">
        <v>0</v>
      </c>
      <c r="U79" s="29">
        <f>SUM(U75:U78)</f>
        <v>1425.6</v>
      </c>
      <c r="V79" s="29"/>
      <c r="W79" s="29">
        <f>SUM(W75:W78)</f>
        <v>6021.4699999999993</v>
      </c>
      <c r="X79" s="29">
        <f>SUM(X75:X78)</f>
        <v>0</v>
      </c>
      <c r="Y79" s="29">
        <f>SUM(Y75:Y78)</f>
        <v>0</v>
      </c>
      <c r="Z79" s="29">
        <f>SUM(Z75:Z78)</f>
        <v>0</v>
      </c>
      <c r="AA79" s="29">
        <f>SUM(AA75:AA78)</f>
        <v>0</v>
      </c>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40"/>
    </row>
    <row r="80" spans="3:74" ht="21" customHeight="1">
      <c r="C80" s="21"/>
    </row>
    <row r="81" spans="3:75" ht="33" customHeight="1">
      <c r="C81" s="30" t="s">
        <v>3077</v>
      </c>
      <c r="D81" s="385" t="s">
        <v>1161</v>
      </c>
      <c r="E81" s="386">
        <v>44075</v>
      </c>
      <c r="F81" s="386">
        <v>44105</v>
      </c>
      <c r="G81" s="386">
        <v>44136</v>
      </c>
      <c r="H81" s="386">
        <v>44166</v>
      </c>
      <c r="I81" s="386">
        <v>44197</v>
      </c>
      <c r="J81" s="386">
        <v>44248</v>
      </c>
      <c r="K81" s="386">
        <v>44256</v>
      </c>
      <c r="L81" s="386">
        <v>44307</v>
      </c>
      <c r="M81" s="386">
        <v>44317</v>
      </c>
      <c r="N81" s="386">
        <v>44348</v>
      </c>
      <c r="O81" s="386">
        <v>44378</v>
      </c>
      <c r="P81" s="386">
        <v>44409</v>
      </c>
      <c r="Q81" s="386">
        <v>44440</v>
      </c>
      <c r="R81" s="386">
        <v>44470</v>
      </c>
      <c r="S81" s="386">
        <v>44501</v>
      </c>
      <c r="T81" s="386">
        <v>44531</v>
      </c>
      <c r="U81" s="386">
        <v>44562</v>
      </c>
      <c r="V81" s="386">
        <v>44593</v>
      </c>
      <c r="W81" s="386">
        <v>44621</v>
      </c>
      <c r="X81" s="386">
        <v>44652</v>
      </c>
      <c r="Y81" s="386">
        <v>44682</v>
      </c>
      <c r="Z81" s="386">
        <v>44713</v>
      </c>
      <c r="AA81" s="386">
        <v>44743</v>
      </c>
      <c r="AB81" s="386">
        <v>44774</v>
      </c>
      <c r="AC81" s="386">
        <v>44805</v>
      </c>
      <c r="AD81" s="386">
        <v>44835</v>
      </c>
      <c r="AE81" s="386">
        <v>44866</v>
      </c>
      <c r="AF81" s="386">
        <v>44896</v>
      </c>
      <c r="AG81" s="386">
        <v>44927</v>
      </c>
      <c r="AH81" s="386">
        <v>44958</v>
      </c>
      <c r="AI81" s="386">
        <v>44986</v>
      </c>
      <c r="AJ81" s="386">
        <v>45017</v>
      </c>
      <c r="AK81" s="386">
        <v>45047</v>
      </c>
      <c r="AL81" s="386">
        <v>45078</v>
      </c>
      <c r="AM81" s="386">
        <v>45108</v>
      </c>
      <c r="AN81" s="386">
        <v>45139</v>
      </c>
      <c r="AO81" s="386">
        <v>45170</v>
      </c>
      <c r="AP81" s="386">
        <v>45200</v>
      </c>
      <c r="AQ81" s="386">
        <v>45231</v>
      </c>
      <c r="AR81" s="386">
        <v>45261</v>
      </c>
      <c r="AS81" s="386">
        <v>45292</v>
      </c>
      <c r="AT81" s="386">
        <v>45323</v>
      </c>
      <c r="AU81" s="386">
        <v>45352</v>
      </c>
      <c r="AV81" s="386">
        <v>45383</v>
      </c>
      <c r="AW81" s="386">
        <v>45413</v>
      </c>
      <c r="AX81" s="386">
        <v>45444</v>
      </c>
      <c r="AY81" s="386">
        <v>45474</v>
      </c>
      <c r="AZ81" s="386">
        <v>45505</v>
      </c>
      <c r="BA81" s="386">
        <v>45536</v>
      </c>
      <c r="BB81" s="386"/>
      <c r="BC81" s="386"/>
      <c r="BD81" s="386"/>
      <c r="BE81" s="386"/>
      <c r="BF81" s="386"/>
      <c r="BG81" s="386"/>
      <c r="BH81" s="386"/>
      <c r="BI81" s="386"/>
      <c r="BJ81" s="386"/>
      <c r="BK81" s="386"/>
      <c r="BL81" s="386"/>
      <c r="BM81" s="386"/>
      <c r="BN81" s="386"/>
      <c r="BO81" s="386"/>
      <c r="BP81" s="386"/>
      <c r="BQ81" s="386"/>
      <c r="BR81" s="386"/>
      <c r="BS81" s="386"/>
      <c r="BT81" s="386"/>
      <c r="BU81" s="386"/>
      <c r="BV81" s="386">
        <v>46174</v>
      </c>
    </row>
    <row r="82" spans="3:75" ht="18.75" customHeight="1">
      <c r="C82" s="897" t="s">
        <v>1186</v>
      </c>
      <c r="D82" s="394" t="s">
        <v>66</v>
      </c>
      <c r="E82" s="32">
        <v>0</v>
      </c>
      <c r="F82" s="39">
        <v>0</v>
      </c>
      <c r="G82" s="32">
        <v>0</v>
      </c>
      <c r="H82" s="39">
        <v>0</v>
      </c>
      <c r="I82" s="32">
        <v>0</v>
      </c>
      <c r="J82" s="39">
        <v>0</v>
      </c>
      <c r="K82" s="32">
        <v>0</v>
      </c>
      <c r="L82" s="39">
        <v>0</v>
      </c>
      <c r="M82" s="32">
        <v>0</v>
      </c>
      <c r="N82" s="39">
        <v>0</v>
      </c>
      <c r="O82" s="32">
        <v>0</v>
      </c>
      <c r="P82" s="39">
        <v>0</v>
      </c>
      <c r="Q82" s="32">
        <v>0</v>
      </c>
      <c r="R82" s="32">
        <v>5254.46</v>
      </c>
      <c r="S82" s="32">
        <v>0</v>
      </c>
      <c r="T82" s="32">
        <v>0</v>
      </c>
      <c r="U82" s="32">
        <v>0</v>
      </c>
      <c r="V82" s="32">
        <v>0</v>
      </c>
      <c r="W82" s="32">
        <v>0</v>
      </c>
      <c r="X82" s="32">
        <v>0</v>
      </c>
      <c r="Y82" s="32">
        <v>0</v>
      </c>
      <c r="Z82" s="32">
        <v>0</v>
      </c>
      <c r="AA82" s="32"/>
      <c r="AB82" s="32"/>
      <c r="AC82" s="32"/>
      <c r="AD82" s="32"/>
      <c r="AE82" s="32">
        <v>0</v>
      </c>
      <c r="AF82" s="32">
        <v>836.63027956989242</v>
      </c>
      <c r="AG82" s="32"/>
      <c r="AH82" s="32">
        <f>(9377378+2300000)/23250</f>
        <v>502.2528172043011</v>
      </c>
      <c r="AI82" s="32">
        <v>601.22838709677421</v>
      </c>
      <c r="AJ82" s="32">
        <v>0</v>
      </c>
      <c r="AK82" s="7" t="e">
        <f>3650.28021505376-#REF!</f>
        <v>#REF!</v>
      </c>
      <c r="AL82" s="7"/>
      <c r="AM82" s="7"/>
      <c r="AN82" s="7"/>
      <c r="AO82" s="7"/>
      <c r="AP82" s="7"/>
      <c r="AQ82" s="7"/>
      <c r="AR82" s="7"/>
      <c r="AS82" s="7"/>
      <c r="AT82" s="7"/>
      <c r="AU82" s="7"/>
      <c r="AV82" s="7"/>
      <c r="AW82" s="7">
        <v>1688.44</v>
      </c>
      <c r="AX82" s="7">
        <v>1405.6518367346939</v>
      </c>
      <c r="AY82" s="7">
        <v>2290.4959387755102</v>
      </c>
      <c r="AZ82" s="7"/>
      <c r="BA82" s="7"/>
      <c r="BB82" s="7"/>
      <c r="BC82" s="7"/>
      <c r="BD82" s="7"/>
      <c r="BE82" s="7"/>
      <c r="BF82" s="7"/>
      <c r="BG82" s="7"/>
      <c r="BH82" s="7"/>
      <c r="BI82" s="7"/>
      <c r="BJ82" s="7"/>
      <c r="BK82" s="7"/>
      <c r="BL82" s="7"/>
      <c r="BM82" s="7"/>
      <c r="BN82" s="7"/>
      <c r="BO82" s="7"/>
      <c r="BP82" s="7"/>
      <c r="BQ82" s="7"/>
      <c r="BR82" s="7"/>
      <c r="BS82" s="7"/>
      <c r="BT82" s="7"/>
      <c r="BU82" s="7"/>
      <c r="BV82" s="41">
        <f>9000000/'Logistics record '!AD1</f>
        <v>340.11034691255384</v>
      </c>
    </row>
    <row r="83" spans="3:75" s="148" customFormat="1" ht="18.75" customHeight="1">
      <c r="C83" s="897"/>
      <c r="D83" s="414" t="s">
        <v>67</v>
      </c>
      <c r="E83" s="417">
        <v>0</v>
      </c>
      <c r="F83" s="417">
        <v>0</v>
      </c>
      <c r="G83" s="417">
        <v>0</v>
      </c>
      <c r="H83" s="417">
        <v>0</v>
      </c>
      <c r="I83" s="417">
        <v>0</v>
      </c>
      <c r="J83" s="417">
        <v>0</v>
      </c>
      <c r="K83" s="417">
        <v>0</v>
      </c>
      <c r="L83" s="417">
        <v>0</v>
      </c>
      <c r="M83" s="417">
        <v>0</v>
      </c>
      <c r="N83" s="417">
        <v>0</v>
      </c>
      <c r="O83" s="417">
        <v>0</v>
      </c>
      <c r="P83" s="417">
        <v>0</v>
      </c>
      <c r="Q83" s="417">
        <v>0</v>
      </c>
      <c r="R83" s="418">
        <v>1</v>
      </c>
      <c r="S83" s="418">
        <v>0</v>
      </c>
      <c r="T83" s="418">
        <v>0</v>
      </c>
      <c r="U83" s="418">
        <v>0</v>
      </c>
      <c r="V83" s="418">
        <v>0</v>
      </c>
      <c r="W83" s="418">
        <v>0</v>
      </c>
      <c r="X83" s="418">
        <v>0</v>
      </c>
      <c r="Y83" s="418">
        <v>0</v>
      </c>
      <c r="Z83" s="418">
        <v>0</v>
      </c>
      <c r="AA83" s="403"/>
      <c r="AB83" s="403"/>
      <c r="AC83" s="403"/>
      <c r="AD83" s="403"/>
      <c r="AE83" s="403">
        <v>0</v>
      </c>
      <c r="AF83" s="403">
        <v>2</v>
      </c>
      <c r="AG83" s="403"/>
      <c r="AH83" s="403">
        <v>1</v>
      </c>
      <c r="AI83" s="403">
        <v>1</v>
      </c>
      <c r="AJ83" s="403">
        <v>0</v>
      </c>
      <c r="AK83" s="403">
        <v>3</v>
      </c>
      <c r="AL83" s="403"/>
      <c r="AM83" s="403"/>
      <c r="AN83" s="403"/>
      <c r="AO83" s="403"/>
      <c r="AP83" s="403"/>
      <c r="AQ83" s="403"/>
      <c r="AR83" s="403"/>
      <c r="AS83" s="403"/>
      <c r="AT83" s="403"/>
      <c r="AU83" s="403"/>
      <c r="AV83" s="403"/>
      <c r="AW83" s="403">
        <v>2</v>
      </c>
      <c r="AX83" s="403"/>
      <c r="AY83" s="403">
        <v>2</v>
      </c>
      <c r="AZ83" s="403"/>
      <c r="BA83" s="403"/>
      <c r="BB83" s="403"/>
      <c r="BC83" s="403"/>
      <c r="BD83" s="403"/>
      <c r="BE83" s="403"/>
      <c r="BF83" s="403"/>
      <c r="BG83" s="403"/>
      <c r="BH83" s="403"/>
      <c r="BI83" s="403"/>
      <c r="BJ83" s="403"/>
      <c r="BK83" s="403"/>
      <c r="BL83" s="403"/>
      <c r="BM83" s="403"/>
      <c r="BN83" s="403"/>
      <c r="BO83" s="403"/>
      <c r="BP83" s="403"/>
      <c r="BQ83" s="403"/>
      <c r="BR83" s="403"/>
      <c r="BS83" s="403"/>
      <c r="BT83" s="403"/>
      <c r="BU83" s="403"/>
      <c r="BV83" s="403">
        <v>1</v>
      </c>
    </row>
    <row r="84" spans="3:75" ht="18.75" customHeight="1">
      <c r="C84" s="394" t="s">
        <v>35</v>
      </c>
      <c r="D84" s="399"/>
      <c r="E84" s="37">
        <f t="shared" ref="E84:J84" si="23">SUM(E82:E82)</f>
        <v>0</v>
      </c>
      <c r="F84" s="42">
        <f t="shared" si="23"/>
        <v>0</v>
      </c>
      <c r="G84" s="37">
        <f t="shared" si="23"/>
        <v>0</v>
      </c>
      <c r="H84" s="37">
        <f t="shared" si="23"/>
        <v>0</v>
      </c>
      <c r="I84" s="37">
        <f t="shared" si="23"/>
        <v>0</v>
      </c>
      <c r="J84" s="37">
        <f t="shared" si="23"/>
        <v>0</v>
      </c>
      <c r="K84" s="37">
        <v>0</v>
      </c>
      <c r="L84" s="37">
        <f t="shared" ref="L84:Q84" si="24">L82</f>
        <v>0</v>
      </c>
      <c r="M84" s="37">
        <f t="shared" si="24"/>
        <v>0</v>
      </c>
      <c r="N84" s="37">
        <f t="shared" si="24"/>
        <v>0</v>
      </c>
      <c r="O84" s="37">
        <f t="shared" si="24"/>
        <v>0</v>
      </c>
      <c r="P84" s="37">
        <f t="shared" si="24"/>
        <v>0</v>
      </c>
      <c r="Q84" s="37">
        <f t="shared" si="24"/>
        <v>0</v>
      </c>
      <c r="R84" s="37">
        <v>0</v>
      </c>
      <c r="S84" s="37">
        <v>0</v>
      </c>
      <c r="T84" s="37">
        <v>0</v>
      </c>
      <c r="U84" s="37">
        <v>0</v>
      </c>
      <c r="V84" s="37">
        <v>0</v>
      </c>
      <c r="W84" s="37">
        <v>0</v>
      </c>
      <c r="X84" s="37">
        <v>0</v>
      </c>
      <c r="Y84" s="37">
        <v>0</v>
      </c>
      <c r="Z84" s="37">
        <v>0</v>
      </c>
      <c r="AA84" s="37">
        <v>0</v>
      </c>
      <c r="AB84" s="37">
        <v>0</v>
      </c>
      <c r="AC84" s="37">
        <v>0</v>
      </c>
      <c r="AD84" s="37">
        <v>0</v>
      </c>
      <c r="AE84" s="37">
        <f>AE82</f>
        <v>0</v>
      </c>
      <c r="AF84" s="37">
        <f>AF82</f>
        <v>836.63027956989242</v>
      </c>
      <c r="AG84" s="37">
        <f t="shared" ref="AG84" si="25">AG82</f>
        <v>0</v>
      </c>
      <c r="AH84" s="37">
        <f>AH82</f>
        <v>502.2528172043011</v>
      </c>
      <c r="AI84" s="37">
        <f>AI82+AI80</f>
        <v>601.22838709677421</v>
      </c>
      <c r="AJ84" s="37">
        <v>0</v>
      </c>
      <c r="AK84" s="61" t="e">
        <f>AK82+AK80</f>
        <v>#REF!</v>
      </c>
      <c r="AL84" s="61"/>
      <c r="AM84" s="61"/>
      <c r="AN84" s="61"/>
      <c r="AO84" s="61"/>
      <c r="AP84" s="61"/>
      <c r="AQ84" s="61"/>
      <c r="AR84" s="61"/>
      <c r="AS84" s="61"/>
      <c r="AT84" s="61"/>
      <c r="AU84" s="61"/>
      <c r="AV84" s="61"/>
      <c r="AW84" s="61">
        <f t="shared" ref="AW84:BA84" si="26">SUM(AW80:AW83)</f>
        <v>47103.44</v>
      </c>
      <c r="AX84" s="61">
        <f t="shared" si="26"/>
        <v>46849.651836734694</v>
      </c>
      <c r="AY84" s="61">
        <f t="shared" si="26"/>
        <v>47766.495938775508</v>
      </c>
      <c r="AZ84" s="61">
        <f t="shared" si="26"/>
        <v>45505</v>
      </c>
      <c r="BA84" s="61">
        <f t="shared" si="26"/>
        <v>45536</v>
      </c>
      <c r="BB84" s="61"/>
      <c r="BC84" s="61"/>
      <c r="BD84" s="61"/>
      <c r="BE84" s="61"/>
      <c r="BF84" s="61"/>
      <c r="BG84" s="61"/>
      <c r="BH84" s="61"/>
      <c r="BI84" s="61"/>
      <c r="BJ84" s="61"/>
      <c r="BK84" s="61"/>
      <c r="BL84" s="61"/>
      <c r="BM84" s="61"/>
      <c r="BN84" s="61"/>
      <c r="BO84" s="61"/>
      <c r="BP84" s="61"/>
      <c r="BQ84" s="61"/>
      <c r="BR84" s="61"/>
      <c r="BS84" s="61"/>
      <c r="BT84" s="61"/>
      <c r="BU84" s="61"/>
      <c r="BV84" s="383">
        <f>BV82</f>
        <v>340.11034691255384</v>
      </c>
    </row>
    <row r="85" spans="3:75" s="5" customFormat="1">
      <c r="F85" s="738"/>
      <c r="BM85" s="739">
        <f>BM26+BM32+BM47+BM60+BM66+BM71+BM79</f>
        <v>79469.763499434877</v>
      </c>
      <c r="BN85" s="739">
        <f>BN26+BN32+BN47+BN60+BN66+BN71+BN79</f>
        <v>74221.790900030261</v>
      </c>
      <c r="BO85" s="739">
        <f>BO26+BO32+BO47+BO60+BO66+BO71+BO79</f>
        <v>96061.241834981178</v>
      </c>
      <c r="BP85" s="739">
        <v>88520.291976023625</v>
      </c>
      <c r="BQ85" s="739">
        <v>58191.251853677437</v>
      </c>
      <c r="BR85" s="739">
        <v>41498.971673085209</v>
      </c>
      <c r="BS85" s="739">
        <v>39828.290508609171</v>
      </c>
      <c r="BT85" s="739">
        <v>32668.28165867602</v>
      </c>
      <c r="BU85" s="739">
        <v>37393.323431254175</v>
      </c>
      <c r="BV85" s="739">
        <f>BV26+BV32+BV38+BV47+BV60+BV66+BV71+BV79+BV84</f>
        <v>45061.398080109684</v>
      </c>
    </row>
    <row r="86" spans="3:75" s="5" customFormat="1">
      <c r="F86" s="738"/>
      <c r="BV86" s="738"/>
    </row>
    <row r="87" spans="3:75">
      <c r="BW87" s="20"/>
    </row>
  </sheetData>
  <mergeCells count="22">
    <mergeCell ref="C82:C83"/>
    <mergeCell ref="C75:C76"/>
    <mergeCell ref="C77:C78"/>
    <mergeCell ref="C64:C65"/>
    <mergeCell ref="D22:D23"/>
    <mergeCell ref="C52:C53"/>
    <mergeCell ref="C54:C55"/>
    <mergeCell ref="D14:D15"/>
    <mergeCell ref="D16:D17"/>
    <mergeCell ref="D18:D19"/>
    <mergeCell ref="D20:D21"/>
    <mergeCell ref="C50:C51"/>
    <mergeCell ref="D4:D5"/>
    <mergeCell ref="D6:D7"/>
    <mergeCell ref="D8:D9"/>
    <mergeCell ref="D10:D11"/>
    <mergeCell ref="D12:D13"/>
    <mergeCell ref="C4:C13"/>
    <mergeCell ref="C14:C23"/>
    <mergeCell ref="C41:C42"/>
    <mergeCell ref="C43:C44"/>
    <mergeCell ref="C45:C46"/>
  </mergeCell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2:AU18"/>
  <sheetViews>
    <sheetView tabSelected="1" zoomScaleNormal="100" workbookViewId="0">
      <pane xSplit="1" topLeftCell="N1" activePane="topRight" state="frozen"/>
      <selection activeCell="Q240" sqref="Q240"/>
      <selection pane="topRight" activeCell="AC7" sqref="AC7"/>
    </sheetView>
  </sheetViews>
  <sheetFormatPr defaultRowHeight="15"/>
  <cols>
    <col min="1" max="1" width="27.28515625" customWidth="1"/>
    <col min="2" max="2" width="8.7109375" hidden="1" customWidth="1"/>
    <col min="3" max="3" width="12" hidden="1" customWidth="1"/>
    <col min="4" max="4" width="8.7109375" hidden="1" customWidth="1"/>
    <col min="5" max="5" width="12" hidden="1" customWidth="1"/>
    <col min="6" max="6" width="8.7109375" hidden="1" customWidth="1"/>
    <col min="7" max="7" width="12" hidden="1" customWidth="1"/>
    <col min="8" max="8" width="8.140625" hidden="1" customWidth="1"/>
    <col min="9" max="9" width="12.28515625" hidden="1" customWidth="1"/>
    <col min="10" max="10" width="8.140625" hidden="1" customWidth="1"/>
    <col min="11" max="11" width="12.28515625" hidden="1" customWidth="1"/>
    <col min="12" max="12" width="8.140625" hidden="1" customWidth="1"/>
    <col min="13" max="13" width="12.28515625" hidden="1" customWidth="1"/>
    <col min="14" max="14" width="8.140625" hidden="1" customWidth="1"/>
    <col min="15" max="15" width="12.28515625" hidden="1" customWidth="1"/>
    <col min="16" max="16" width="8.140625" hidden="1" customWidth="1"/>
    <col min="17" max="17" width="12.28515625" hidden="1" customWidth="1"/>
    <col min="18" max="18" width="8.140625" hidden="1" customWidth="1"/>
    <col min="19" max="19" width="12.28515625" hidden="1" customWidth="1"/>
    <col min="20" max="20" width="9.28515625" hidden="1" customWidth="1"/>
    <col min="21" max="21" width="12.28515625" hidden="1" customWidth="1"/>
    <col min="22" max="22" width="9.28515625" hidden="1" customWidth="1"/>
    <col min="23" max="23" width="12.28515625" hidden="1" customWidth="1"/>
    <col min="24" max="24" width="9.28515625" hidden="1" customWidth="1"/>
    <col min="25" max="25" width="12.28515625" hidden="1" customWidth="1"/>
    <col min="26" max="29" width="12.28515625" customWidth="1"/>
    <col min="30" max="30" width="9.28515625" customWidth="1"/>
    <col min="31" max="35" width="12.28515625" customWidth="1"/>
    <col min="36" max="36" width="9.28515625" customWidth="1"/>
    <col min="37" max="41" width="12.28515625" customWidth="1"/>
    <col min="42" max="42" width="11.42578125" hidden="1" customWidth="1"/>
    <col min="43" max="43" width="15.42578125" hidden="1" customWidth="1"/>
    <col min="44" max="44" width="13.7109375" hidden="1" customWidth="1"/>
    <col min="45" max="45" width="14.28515625" customWidth="1"/>
    <col min="46" max="46" width="15.7109375" customWidth="1"/>
    <col min="47" max="47" width="13.28515625" bestFit="1" customWidth="1"/>
  </cols>
  <sheetData>
    <row r="2" spans="1:47" ht="18" customHeight="1">
      <c r="A2" s="31"/>
      <c r="B2" s="901">
        <v>45658</v>
      </c>
      <c r="C2" s="901"/>
      <c r="D2" s="901">
        <v>45689</v>
      </c>
      <c r="E2" s="901"/>
      <c r="F2" s="901">
        <v>45717</v>
      </c>
      <c r="G2" s="901"/>
      <c r="H2" s="901">
        <v>45748</v>
      </c>
      <c r="I2" s="901"/>
      <c r="J2" s="901">
        <v>45778</v>
      </c>
      <c r="K2" s="901"/>
      <c r="L2" s="901">
        <v>45809</v>
      </c>
      <c r="M2" s="901"/>
      <c r="N2" s="901">
        <v>45863</v>
      </c>
      <c r="O2" s="901"/>
      <c r="P2" s="901">
        <v>45870</v>
      </c>
      <c r="Q2" s="901"/>
      <c r="R2" s="901">
        <v>45901</v>
      </c>
      <c r="S2" s="901"/>
      <c r="T2" s="901">
        <v>45931</v>
      </c>
      <c r="U2" s="901"/>
      <c r="V2" s="901">
        <v>45986</v>
      </c>
      <c r="W2" s="901"/>
      <c r="X2" s="901">
        <v>46016</v>
      </c>
      <c r="Y2" s="901"/>
      <c r="Z2" s="901">
        <v>46048</v>
      </c>
      <c r="AA2" s="901"/>
      <c r="AB2" s="901">
        <v>46079</v>
      </c>
      <c r="AC2" s="901"/>
      <c r="AD2" s="901">
        <v>46107</v>
      </c>
      <c r="AE2" s="901"/>
      <c r="AF2" s="901">
        <v>46138</v>
      </c>
      <c r="AG2" s="903"/>
      <c r="AH2" s="903">
        <v>46168</v>
      </c>
      <c r="AI2" s="904"/>
      <c r="AJ2" s="901">
        <v>46199</v>
      </c>
      <c r="AK2" s="901"/>
      <c r="AL2" s="534"/>
      <c r="AM2" s="534"/>
      <c r="AN2" s="534"/>
      <c r="AO2" s="534"/>
    </row>
    <row r="3" spans="1:47" s="35" customFormat="1" ht="18" customHeight="1">
      <c r="A3" s="34" t="s">
        <v>70</v>
      </c>
      <c r="B3" s="900">
        <v>22785.0610809155</v>
      </c>
      <c r="C3" s="900"/>
      <c r="D3" s="900">
        <v>27028.671568279598</v>
      </c>
      <c r="E3" s="900"/>
      <c r="F3" s="900">
        <v>30730.240471091001</v>
      </c>
      <c r="G3" s="900"/>
      <c r="H3" s="900">
        <v>34957.753301165401</v>
      </c>
      <c r="I3" s="900"/>
      <c r="J3" s="900">
        <v>39619.400239512397</v>
      </c>
      <c r="K3" s="900"/>
      <c r="L3" s="900">
        <v>37801.409165349498</v>
      </c>
      <c r="M3" s="900"/>
      <c r="N3" s="902">
        <v>42787.19</v>
      </c>
      <c r="O3" s="900"/>
      <c r="P3" s="902">
        <v>57556.8398687519</v>
      </c>
      <c r="Q3" s="900"/>
      <c r="R3" s="902">
        <v>65629.280270628296</v>
      </c>
      <c r="S3" s="900"/>
      <c r="T3" s="902">
        <v>66084.0659993179</v>
      </c>
      <c r="U3" s="900"/>
      <c r="V3" s="902">
        <v>81913.019026846901</v>
      </c>
      <c r="W3" s="900"/>
      <c r="X3" s="900">
        <v>74332.992689931896</v>
      </c>
      <c r="Y3" s="900"/>
      <c r="Z3" s="900">
        <v>53586.968828662131</v>
      </c>
      <c r="AA3" s="900"/>
      <c r="AB3" s="900">
        <v>35601.899597542484</v>
      </c>
      <c r="AC3" s="900"/>
      <c r="AD3" s="900">
        <v>34173.437616297975</v>
      </c>
      <c r="AE3" s="900"/>
      <c r="AF3" s="900">
        <v>29403.63682232756</v>
      </c>
      <c r="AG3" s="905"/>
      <c r="AH3" s="905">
        <v>30790.441735475626</v>
      </c>
      <c r="AI3" s="906"/>
      <c r="AJ3" s="900">
        <f>'Logistics record '!U11</f>
        <v>40861.480998130588</v>
      </c>
      <c r="AK3" s="900"/>
      <c r="AL3" s="47"/>
      <c r="AM3" s="47"/>
      <c r="AN3" s="47"/>
      <c r="AO3" s="47"/>
      <c r="AQ3" s="596" t="s">
        <v>1789</v>
      </c>
      <c r="AR3" s="596" t="s">
        <v>1410</v>
      </c>
    </row>
    <row r="4" spans="1:47" ht="33" customHeight="1">
      <c r="A4" s="33" t="s">
        <v>68</v>
      </c>
      <c r="B4" s="674">
        <v>0.51080000000000003</v>
      </c>
      <c r="C4" s="675">
        <f>B4*$B$3</f>
        <v>11638.609200131639</v>
      </c>
      <c r="D4" s="674">
        <v>0.55759999999999998</v>
      </c>
      <c r="E4" s="675">
        <f>D4*$D$3</f>
        <v>15071.187266472703</v>
      </c>
      <c r="F4" s="674">
        <v>0.58520000000000005</v>
      </c>
      <c r="G4" s="675">
        <v>17983.336723682427</v>
      </c>
      <c r="H4" s="674">
        <v>0.46700000000000003</v>
      </c>
      <c r="I4" s="675">
        <f>H4*$H$3</f>
        <v>16325.270791644243</v>
      </c>
      <c r="J4" s="674">
        <v>0.50509999999999999</v>
      </c>
      <c r="K4" s="675">
        <f>J4*$J$3</f>
        <v>20011.759060977711</v>
      </c>
      <c r="L4" s="674">
        <v>0.53539999999999999</v>
      </c>
      <c r="M4" s="675">
        <f>L4*$L$3</f>
        <v>20238.87446712812</v>
      </c>
      <c r="N4" s="674">
        <v>0.42730000000000001</v>
      </c>
      <c r="O4" s="675">
        <f>N4*$N$3</f>
        <v>18282.966287000003</v>
      </c>
      <c r="P4" s="674">
        <v>0.34310000000000002</v>
      </c>
      <c r="Q4" s="675">
        <f>P4*$P$3</f>
        <v>19747.751758968778</v>
      </c>
      <c r="R4" s="674">
        <v>0.23419999999999999</v>
      </c>
      <c r="S4" s="675">
        <f>R4*$R$3</f>
        <v>15370.377439381147</v>
      </c>
      <c r="T4" s="674">
        <v>0.23499999999999999</v>
      </c>
      <c r="U4" s="675">
        <f>T4*$T$3</f>
        <v>15529.755509839706</v>
      </c>
      <c r="V4" s="674">
        <v>0.25</v>
      </c>
      <c r="W4" s="675">
        <f>V4*$V$3</f>
        <v>20478.254756711725</v>
      </c>
      <c r="X4" s="674">
        <v>0.17223882096590443</v>
      </c>
      <c r="Y4" s="675">
        <v>12803.027019781061</v>
      </c>
      <c r="Z4" s="674">
        <v>0.23528103004357001</v>
      </c>
      <c r="AA4" s="675">
        <v>12607.997222920305</v>
      </c>
      <c r="AB4" s="674">
        <v>0.29212633404476696</v>
      </c>
      <c r="AC4" s="675">
        <v>10400.25241445995</v>
      </c>
      <c r="AD4" s="674">
        <v>0.31896733900587299</v>
      </c>
      <c r="AE4" s="675">
        <v>10900.210461153769</v>
      </c>
      <c r="AF4" s="674">
        <v>0.429500067685467</v>
      </c>
      <c r="AG4" s="77">
        <v>12628.864005388577</v>
      </c>
      <c r="AH4" s="674">
        <v>0.39</v>
      </c>
      <c r="AI4" s="77">
        <v>12008.272276835494</v>
      </c>
      <c r="AJ4" s="674">
        <v>0.60499999999999998</v>
      </c>
      <c r="AK4" s="675">
        <f>AJ4*$AJ$3</f>
        <v>24721.196003869005</v>
      </c>
      <c r="AL4" s="78"/>
      <c r="AM4" s="681"/>
      <c r="AN4" s="85"/>
      <c r="AO4" s="85"/>
      <c r="AP4" s="56" t="s">
        <v>75</v>
      </c>
      <c r="AQ4" s="104">
        <v>27180903</v>
      </c>
      <c r="AR4" s="117">
        <f>AQ4/$AQ$11</f>
        <v>0.40540373895414056</v>
      </c>
    </row>
    <row r="5" spans="1:47" ht="26.25" customHeight="1">
      <c r="A5" s="33" t="s">
        <v>76</v>
      </c>
      <c r="B5" s="674">
        <v>7.4999999999999997E-2</v>
      </c>
      <c r="C5" s="675">
        <f t="shared" ref="C5:C9" si="0">B5*$B$3</f>
        <v>1708.8795810686624</v>
      </c>
      <c r="D5" s="674">
        <v>6.1899999999999997E-2</v>
      </c>
      <c r="E5" s="675">
        <f>D5*$D$3</f>
        <v>1673.0747700765071</v>
      </c>
      <c r="F5" s="674">
        <v>2.1700000000000001E-2</v>
      </c>
      <c r="G5" s="675">
        <v>666.84621822267377</v>
      </c>
      <c r="H5" s="674">
        <v>5.2200000000000003E-2</v>
      </c>
      <c r="I5" s="675">
        <f t="shared" ref="I5:I9" si="1">H5*$H$3</f>
        <v>1824.7947223208341</v>
      </c>
      <c r="J5" s="674">
        <v>2.7E-2</v>
      </c>
      <c r="K5" s="675">
        <f t="shared" ref="K5:K9" si="2">J5*$J$3</f>
        <v>1069.7238064668347</v>
      </c>
      <c r="L5" s="674">
        <v>2.5999999999999999E-2</v>
      </c>
      <c r="M5" s="675">
        <f t="shared" ref="M5:M9" si="3">L5*$L$3</f>
        <v>982.83663829908687</v>
      </c>
      <c r="N5" s="674">
        <v>1.5599999999999999E-2</v>
      </c>
      <c r="O5" s="675">
        <f t="shared" ref="O5:O9" si="4">N5*$N$3</f>
        <v>667.48016400000006</v>
      </c>
      <c r="P5" s="674">
        <v>8.5800000000000001E-2</v>
      </c>
      <c r="Q5" s="675">
        <f t="shared" ref="Q5:Q9" si="5">P5*$P$3</f>
        <v>4938.3768607389129</v>
      </c>
      <c r="R5" s="674">
        <v>8.1299999999999997E-2</v>
      </c>
      <c r="S5" s="675">
        <f t="shared" ref="S5:T9" si="6">R5*$R$3</f>
        <v>5335.6604860020807</v>
      </c>
      <c r="T5" s="674">
        <v>0.04</v>
      </c>
      <c r="U5" s="675">
        <f t="shared" ref="U5:U9" si="7">T5*$T$3</f>
        <v>2643.3626399727159</v>
      </c>
      <c r="V5" s="674">
        <v>7.4999999999999997E-2</v>
      </c>
      <c r="W5" s="675">
        <f t="shared" ref="W5:W9" si="8">V5*$V$3</f>
        <v>6143.4764270135174</v>
      </c>
      <c r="X5" s="674">
        <v>3.087163456235862E-2</v>
      </c>
      <c r="Y5" s="675">
        <v>2294.7809862500517</v>
      </c>
      <c r="Z5" s="674">
        <v>1.4031627558519997E-2</v>
      </c>
      <c r="AA5" s="675">
        <v>751.91238859380758</v>
      </c>
      <c r="AB5" s="674">
        <v>6.9337218253288872E-3</v>
      </c>
      <c r="AC5" s="675">
        <v>246.85366826264806</v>
      </c>
      <c r="AD5" s="674">
        <v>1.5664270769405794E-2</v>
      </c>
      <c r="AE5" s="675">
        <v>535.30197994308878</v>
      </c>
      <c r="AF5" s="674">
        <v>2.7E-2</v>
      </c>
      <c r="AG5" s="77">
        <v>793.89819420284414</v>
      </c>
      <c r="AH5" s="674">
        <v>0.04</v>
      </c>
      <c r="AI5" s="77">
        <v>1231.6176694190251</v>
      </c>
      <c r="AJ5" s="674">
        <v>9.5000000000000001E-2</v>
      </c>
      <c r="AK5" s="675">
        <f t="shared" ref="AK5:AK10" si="9">AJ5*$AJ$3</f>
        <v>3881.840694822406</v>
      </c>
      <c r="AL5" s="78"/>
      <c r="AM5" s="681"/>
      <c r="AN5" s="85"/>
      <c r="AO5" s="85"/>
      <c r="AP5" s="56" t="s">
        <v>1411</v>
      </c>
      <c r="AQ5" s="56">
        <v>13006384</v>
      </c>
      <c r="AR5" s="117">
        <f>AQ5/$AQ$11</f>
        <v>0.19399049045108288</v>
      </c>
    </row>
    <row r="6" spans="1:47" ht="34.5" customHeight="1">
      <c r="A6" s="33" t="s">
        <v>69</v>
      </c>
      <c r="B6" s="676">
        <v>0.112</v>
      </c>
      <c r="C6" s="675">
        <f t="shared" si="0"/>
        <v>2551.9268410625359</v>
      </c>
      <c r="D6" s="676">
        <v>8.5000000000000006E-2</v>
      </c>
      <c r="E6" s="675">
        <f>D6*$D$3</f>
        <v>2297.437083303766</v>
      </c>
      <c r="F6" s="676">
        <v>3.7999999999999999E-2</v>
      </c>
      <c r="G6" s="675">
        <v>1167.74913790146</v>
      </c>
      <c r="H6" s="676">
        <v>6.5000000000000002E-2</v>
      </c>
      <c r="I6" s="675">
        <f t="shared" si="1"/>
        <v>2272.2539645757511</v>
      </c>
      <c r="J6" s="676">
        <v>6.7400000000000002E-2</v>
      </c>
      <c r="K6" s="675">
        <f>J6*$J$3</f>
        <v>2670.3475761431355</v>
      </c>
      <c r="L6" s="676">
        <v>6.0999999999999999E-2</v>
      </c>
      <c r="M6" s="675">
        <f>L6*$L$3</f>
        <v>2305.8859590863194</v>
      </c>
      <c r="N6" s="676">
        <v>0.08</v>
      </c>
      <c r="O6" s="675">
        <f t="shared" si="4"/>
        <v>3422.9752000000003</v>
      </c>
      <c r="P6" s="676">
        <v>5.5E-2</v>
      </c>
      <c r="Q6" s="675">
        <f t="shared" si="5"/>
        <v>3165.6261927813543</v>
      </c>
      <c r="R6" s="676">
        <v>8.3000000000000001E-3</v>
      </c>
      <c r="S6" s="675">
        <f t="shared" si="6"/>
        <v>544.72302624621489</v>
      </c>
      <c r="T6" s="676">
        <v>1.3710687617114454E-2</v>
      </c>
      <c r="U6" s="675">
        <f t="shared" si="7"/>
        <v>906.05798538542228</v>
      </c>
      <c r="V6" s="676">
        <v>9.4999999999999998E-3</v>
      </c>
      <c r="W6" s="675">
        <f t="shared" si="8"/>
        <v>778.17368075504555</v>
      </c>
      <c r="X6" s="676">
        <v>7.4375200941686481E-3</v>
      </c>
      <c r="Y6" s="675">
        <v>552.85312679105959</v>
      </c>
      <c r="Z6" s="674">
        <v>2.2253921937160609E-2</v>
      </c>
      <c r="AA6" s="675">
        <v>1192.5202211621061</v>
      </c>
      <c r="AB6" s="674">
        <v>5.047377294779011E-2</v>
      </c>
      <c r="AC6" s="675">
        <v>1796.9621967963794</v>
      </c>
      <c r="AD6" s="674">
        <v>9.6927744456744305E-2</v>
      </c>
      <c r="AE6" s="675">
        <v>3312.3542284810233</v>
      </c>
      <c r="AF6" s="674">
        <v>7.8978643596807563E-2</v>
      </c>
      <c r="AG6" s="77">
        <v>2322.2593530405757</v>
      </c>
      <c r="AH6" s="674">
        <v>0.06</v>
      </c>
      <c r="AI6" s="77">
        <v>1847.4265041285375</v>
      </c>
      <c r="AJ6" s="674">
        <v>6.7000000000000004E-2</v>
      </c>
      <c r="AK6" s="675">
        <f t="shared" si="9"/>
        <v>2737.7192268747494</v>
      </c>
      <c r="AL6" s="78"/>
      <c r="AM6" s="681"/>
      <c r="AN6" s="85"/>
      <c r="AO6" s="85"/>
      <c r="AP6" s="54" t="s">
        <v>21</v>
      </c>
      <c r="AQ6" s="56">
        <v>2152047</v>
      </c>
      <c r="AR6" s="117">
        <f>AQ6/$AQ$11</f>
        <v>3.2097826190875312E-2</v>
      </c>
      <c r="AT6" s="20"/>
    </row>
    <row r="7" spans="1:47" ht="31.5" customHeight="1">
      <c r="A7" s="33" t="s">
        <v>93</v>
      </c>
      <c r="B7" s="676">
        <v>2.2499999999999999E-2</v>
      </c>
      <c r="C7" s="675">
        <f t="shared" si="0"/>
        <v>512.66387432059878</v>
      </c>
      <c r="D7" s="676">
        <v>2.5499999999999998E-2</v>
      </c>
      <c r="E7" s="675">
        <f>D7*$D$3</f>
        <v>689.23112499112972</v>
      </c>
      <c r="F7" s="676">
        <v>1.6E-2</v>
      </c>
      <c r="G7" s="675">
        <v>491.68384753745522</v>
      </c>
      <c r="H7" s="676">
        <v>9.1999999999999998E-3</v>
      </c>
      <c r="I7" s="675">
        <f t="shared" si="1"/>
        <v>321.6113303707217</v>
      </c>
      <c r="J7" s="676">
        <v>0.03</v>
      </c>
      <c r="K7" s="675">
        <f t="shared" si="2"/>
        <v>1188.5820071853718</v>
      </c>
      <c r="L7" s="676">
        <v>3.2000000000000001E-2</v>
      </c>
      <c r="M7" s="675">
        <f t="shared" si="3"/>
        <v>1209.6450932911839</v>
      </c>
      <c r="N7" s="676">
        <v>6.4999999999999997E-3</v>
      </c>
      <c r="O7" s="675">
        <f t="shared" si="4"/>
        <v>278.11673500000001</v>
      </c>
      <c r="P7" s="676">
        <v>0</v>
      </c>
      <c r="Q7" s="675">
        <f t="shared" si="5"/>
        <v>0</v>
      </c>
      <c r="R7" s="676">
        <v>0</v>
      </c>
      <c r="S7" s="675">
        <f t="shared" si="6"/>
        <v>0</v>
      </c>
      <c r="T7" s="676">
        <f t="shared" si="6"/>
        <v>0</v>
      </c>
      <c r="U7" s="675">
        <f t="shared" si="7"/>
        <v>0</v>
      </c>
      <c r="V7" s="676">
        <v>5.9999999999999995E-4</v>
      </c>
      <c r="W7" s="675">
        <f t="shared" si="8"/>
        <v>49.147811416108134</v>
      </c>
      <c r="X7" s="676">
        <v>0</v>
      </c>
      <c r="Y7" s="675">
        <f t="shared" ref="Y7" si="10">X7*$X$3</f>
        <v>0</v>
      </c>
      <c r="Z7" s="674">
        <v>0</v>
      </c>
      <c r="AA7" s="675">
        <v>0</v>
      </c>
      <c r="AB7" s="674">
        <v>0</v>
      </c>
      <c r="AC7" s="675">
        <v>0</v>
      </c>
      <c r="AD7" s="674"/>
      <c r="AE7" s="675">
        <v>0</v>
      </c>
      <c r="AF7" s="674"/>
      <c r="AG7" s="77">
        <v>0</v>
      </c>
      <c r="AH7" s="674"/>
      <c r="AI7" s="77">
        <v>0</v>
      </c>
      <c r="AJ7" s="674"/>
      <c r="AK7" s="675">
        <f t="shared" si="9"/>
        <v>0</v>
      </c>
      <c r="AL7" s="78"/>
      <c r="AM7" s="85"/>
      <c r="AN7" s="85"/>
      <c r="AO7" s="85"/>
      <c r="AP7" s="1"/>
      <c r="AQ7" s="1"/>
      <c r="AR7" s="1"/>
      <c r="AT7" s="78"/>
      <c r="AU7" s="78"/>
    </row>
    <row r="8" spans="1:47" ht="27.75" customHeight="1">
      <c r="A8" s="33" t="s">
        <v>94</v>
      </c>
      <c r="B8" s="676">
        <v>0.2697</v>
      </c>
      <c r="C8" s="675">
        <f t="shared" si="0"/>
        <v>6145.1309735229106</v>
      </c>
      <c r="D8" s="676">
        <v>0.27</v>
      </c>
      <c r="E8" s="675">
        <f>D8*$D$3</f>
        <v>7297.7413234354917</v>
      </c>
      <c r="F8" s="676">
        <v>0.3382</v>
      </c>
      <c r="G8" s="675">
        <v>10392.96732732296</v>
      </c>
      <c r="H8" s="676">
        <v>0.40649999999999997</v>
      </c>
      <c r="I8" s="675">
        <f t="shared" si="1"/>
        <v>14210.326716923735</v>
      </c>
      <c r="J8" s="676">
        <v>0.36199999999999999</v>
      </c>
      <c r="K8" s="675">
        <f t="shared" si="2"/>
        <v>14342.222886703486</v>
      </c>
      <c r="L8" s="676">
        <v>0.33100000000000002</v>
      </c>
      <c r="M8" s="675">
        <f t="shared" si="3"/>
        <v>12512.266433730685</v>
      </c>
      <c r="N8" s="676">
        <v>0.4456</v>
      </c>
      <c r="O8" s="675">
        <f t="shared" si="4"/>
        <v>19065.971863999999</v>
      </c>
      <c r="P8" s="676">
        <v>0.49109999999999998</v>
      </c>
      <c r="Q8" s="675">
        <f t="shared" si="5"/>
        <v>28266.164059544059</v>
      </c>
      <c r="R8" s="676">
        <v>0.67120000000000002</v>
      </c>
      <c r="S8" s="675">
        <f>R8*$R$3</f>
        <v>44050.372917645713</v>
      </c>
      <c r="T8" s="676">
        <v>0.72989999999999999</v>
      </c>
      <c r="U8" s="675">
        <f t="shared" si="7"/>
        <v>48234.759772902136</v>
      </c>
      <c r="V8" s="676">
        <v>0.65490000000000004</v>
      </c>
      <c r="W8" s="675">
        <f t="shared" si="8"/>
        <v>53644.83616068204</v>
      </c>
      <c r="X8" s="676">
        <v>0.78578174076914109</v>
      </c>
      <c r="Y8" s="675">
        <v>58409.508392474512</v>
      </c>
      <c r="Z8" s="674">
        <v>0.72134051503637198</v>
      </c>
      <c r="AA8" s="675">
        <v>38654.451694105155</v>
      </c>
      <c r="AB8" s="674">
        <v>0.64748301717303114</v>
      </c>
      <c r="AC8" s="675">
        <v>23051.625368508132</v>
      </c>
      <c r="AD8" s="674">
        <v>0.56599058468534225</v>
      </c>
      <c r="AE8" s="675">
        <v>19341.843937156558</v>
      </c>
      <c r="AF8" s="674">
        <v>0.46450000000000002</v>
      </c>
      <c r="AG8" s="77">
        <v>13657.989303971153</v>
      </c>
      <c r="AH8" s="674">
        <v>0.48998999999999998</v>
      </c>
      <c r="AI8" s="77">
        <v>15087.008545965702</v>
      </c>
      <c r="AJ8" s="674">
        <v>0.20499999999999999</v>
      </c>
      <c r="AK8" s="675">
        <f t="shared" si="9"/>
        <v>8376.6036046167701</v>
      </c>
      <c r="AL8" s="78"/>
      <c r="AM8" s="681"/>
      <c r="AN8" s="85"/>
      <c r="AO8" s="85"/>
      <c r="AP8" s="10" t="s">
        <v>94</v>
      </c>
      <c r="AQ8" s="56">
        <v>24196968</v>
      </c>
      <c r="AR8" s="117">
        <f>AQ8/$AQ$11</f>
        <v>0.36089828577636629</v>
      </c>
    </row>
    <row r="9" spans="1:47" ht="27" customHeight="1">
      <c r="A9" s="33" t="s">
        <v>99</v>
      </c>
      <c r="B9" s="674">
        <v>0.01</v>
      </c>
      <c r="C9" s="675">
        <f t="shared" si="0"/>
        <v>227.850610809155</v>
      </c>
      <c r="D9" s="674">
        <v>0</v>
      </c>
      <c r="E9" s="675">
        <f t="shared" ref="E9" si="11">D9*$B$3</f>
        <v>0</v>
      </c>
      <c r="F9" s="674">
        <v>0</v>
      </c>
      <c r="G9" s="675">
        <f t="shared" ref="G9" si="12">F9*$F$3</f>
        <v>0</v>
      </c>
      <c r="H9" s="674">
        <v>1E-4</v>
      </c>
      <c r="I9" s="675">
        <f t="shared" si="1"/>
        <v>3.4957753301165404</v>
      </c>
      <c r="J9" s="674">
        <v>8.5000000000000006E-3</v>
      </c>
      <c r="K9" s="675">
        <f t="shared" si="2"/>
        <v>336.76490203585541</v>
      </c>
      <c r="L9" s="674">
        <v>1.46E-2</v>
      </c>
      <c r="M9" s="675">
        <f t="shared" si="3"/>
        <v>551.9005738141027</v>
      </c>
      <c r="N9" s="674">
        <v>2.5000000000000001E-2</v>
      </c>
      <c r="O9" s="675">
        <f t="shared" si="4"/>
        <v>1069.67975</v>
      </c>
      <c r="P9" s="674">
        <v>2.5000000000000001E-2</v>
      </c>
      <c r="Q9" s="675">
        <f t="shared" si="5"/>
        <v>1438.9209967187976</v>
      </c>
      <c r="R9" s="674">
        <v>5.0000000000000001E-3</v>
      </c>
      <c r="S9" s="675">
        <f t="shared" si="6"/>
        <v>328.14640135314147</v>
      </c>
      <c r="T9" s="674">
        <v>2.1210159226932649E-2</v>
      </c>
      <c r="U9" s="675">
        <f t="shared" si="7"/>
        <v>1401.6535622086587</v>
      </c>
      <c r="V9" s="674">
        <v>0.01</v>
      </c>
      <c r="W9" s="675">
        <f t="shared" si="8"/>
        <v>819.13019026846905</v>
      </c>
      <c r="X9" s="674">
        <v>3.6702836084272373E-3</v>
      </c>
      <c r="Y9" s="675">
        <v>272.82316463519862</v>
      </c>
      <c r="Z9" s="674">
        <v>7.0929054243782019E-3</v>
      </c>
      <c r="AA9" s="675">
        <v>380.08730188080324</v>
      </c>
      <c r="AB9" s="674">
        <v>2.98315400908284E-3</v>
      </c>
      <c r="AC9" s="675">
        <v>106.2059495153736</v>
      </c>
      <c r="AD9" s="674">
        <v>2.4500610826346169E-3</v>
      </c>
      <c r="AE9" s="675">
        <v>83.727009563533557</v>
      </c>
      <c r="AF9" s="674">
        <v>2.128871772538865E-5</v>
      </c>
      <c r="AG9" s="77">
        <v>0.62596572441037512</v>
      </c>
      <c r="AH9" s="674">
        <v>1.0000000000000001E-5</v>
      </c>
      <c r="AI9" s="77">
        <v>0.30790441735475627</v>
      </c>
      <c r="AJ9" s="674">
        <v>8.0000000000000002E-3</v>
      </c>
      <c r="AK9" s="675">
        <f t="shared" si="9"/>
        <v>326.89184798504471</v>
      </c>
      <c r="AL9" s="78"/>
      <c r="AM9" s="682"/>
      <c r="AN9" s="85"/>
      <c r="AO9" s="85"/>
      <c r="AP9" s="10" t="s">
        <v>99</v>
      </c>
      <c r="AQ9" s="56">
        <v>172656</v>
      </c>
      <c r="AR9" s="117">
        <f>AQ9/$AQ$11</f>
        <v>2.5751678652054383E-3</v>
      </c>
    </row>
    <row r="10" spans="1:47" ht="27" customHeight="1">
      <c r="A10" s="33" t="s">
        <v>2093</v>
      </c>
      <c r="B10" s="674"/>
      <c r="C10" s="675"/>
      <c r="D10" s="674"/>
      <c r="E10" s="675"/>
      <c r="F10" s="674"/>
      <c r="G10" s="675"/>
      <c r="H10" s="674"/>
      <c r="I10" s="675"/>
      <c r="J10" s="674"/>
      <c r="K10" s="675"/>
      <c r="L10" s="674"/>
      <c r="M10" s="675"/>
      <c r="N10" s="674"/>
      <c r="O10" s="675"/>
      <c r="P10" s="674"/>
      <c r="Q10" s="675"/>
      <c r="R10" s="674"/>
      <c r="S10" s="675"/>
      <c r="T10" s="674"/>
      <c r="U10" s="675"/>
      <c r="V10" s="674"/>
      <c r="W10" s="675"/>
      <c r="X10" s="674"/>
      <c r="Y10" s="675"/>
      <c r="Z10" s="674"/>
      <c r="AA10" s="675"/>
      <c r="AB10" s="674"/>
      <c r="AC10" s="675"/>
      <c r="AD10" s="674"/>
      <c r="AE10" s="675"/>
      <c r="AF10" s="674"/>
      <c r="AG10" s="77"/>
      <c r="AH10" s="674">
        <v>0.02</v>
      </c>
      <c r="AI10" s="77">
        <v>615.80883470951255</v>
      </c>
      <c r="AJ10" s="674">
        <v>0.02</v>
      </c>
      <c r="AK10" s="675">
        <f t="shared" si="9"/>
        <v>817.22961996261176</v>
      </c>
      <c r="AL10" s="78"/>
      <c r="AM10" s="681"/>
      <c r="AN10" s="85"/>
      <c r="AO10" s="85"/>
      <c r="AP10" s="55" t="s">
        <v>2093</v>
      </c>
      <c r="AQ10" s="56">
        <v>337545</v>
      </c>
      <c r="AR10" s="117">
        <f>AQ10/$AQ$11</f>
        <v>5.0344907623295432E-3</v>
      </c>
    </row>
    <row r="11" spans="1:47" ht="27" customHeight="1">
      <c r="J11" s="43"/>
      <c r="L11" s="43"/>
      <c r="N11" s="43"/>
      <c r="P11" s="43"/>
      <c r="Q11" s="85"/>
      <c r="R11" s="43"/>
      <c r="S11" s="85"/>
      <c r="T11" s="43"/>
      <c r="U11" s="85"/>
      <c r="V11" s="43"/>
      <c r="W11" s="85"/>
      <c r="X11" s="43"/>
      <c r="Y11" s="85"/>
      <c r="Z11" s="85"/>
      <c r="AA11" s="85"/>
      <c r="AB11" s="85"/>
      <c r="AC11" s="85"/>
      <c r="AD11" s="43"/>
      <c r="AE11" s="85"/>
      <c r="AF11" s="85"/>
      <c r="AG11" s="85"/>
      <c r="AH11" s="85"/>
      <c r="AI11" s="85"/>
      <c r="AJ11" s="43"/>
      <c r="AK11" s="85"/>
      <c r="AL11" s="85"/>
      <c r="AM11" s="85"/>
      <c r="AN11" s="85"/>
      <c r="AO11" s="85"/>
      <c r="AP11" s="10" t="s">
        <v>35</v>
      </c>
      <c r="AQ11" s="56">
        <f>SUM(AQ4:AQ10)</f>
        <v>67046503</v>
      </c>
      <c r="AR11" s="117">
        <f>SUM(AR4:AR10)</f>
        <v>1</v>
      </c>
      <c r="AS11" s="78"/>
    </row>
    <row r="12" spans="1:47">
      <c r="B12" s="43"/>
      <c r="C12" s="43"/>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row>
    <row r="13" spans="1:47">
      <c r="C13" s="43"/>
      <c r="E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row>
    <row r="15" spans="1:47">
      <c r="C15" s="57"/>
      <c r="E15" s="57"/>
      <c r="G15" s="57"/>
      <c r="H15" s="57"/>
      <c r="J15" s="57"/>
      <c r="L15" s="57"/>
      <c r="N15" s="57"/>
      <c r="P15" s="57"/>
      <c r="R15" s="57"/>
      <c r="T15" s="57"/>
      <c r="V15" s="57"/>
      <c r="X15" s="57"/>
      <c r="AD15" s="57"/>
      <c r="AJ15" s="57"/>
    </row>
    <row r="18" spans="3:41">
      <c r="C18" s="20"/>
      <c r="E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row>
  </sheetData>
  <mergeCells count="36">
    <mergeCell ref="L2:M2"/>
    <mergeCell ref="L3:M3"/>
    <mergeCell ref="AH2:AI2"/>
    <mergeCell ref="AH3:AI3"/>
    <mergeCell ref="AF2:AG2"/>
    <mergeCell ref="AF3:AG3"/>
    <mergeCell ref="AD2:AE2"/>
    <mergeCell ref="AD3:AE3"/>
    <mergeCell ref="D2:E2"/>
    <mergeCell ref="D3:E3"/>
    <mergeCell ref="B2:C2"/>
    <mergeCell ref="B3:C3"/>
    <mergeCell ref="R2:S2"/>
    <mergeCell ref="R3:S3"/>
    <mergeCell ref="P2:Q2"/>
    <mergeCell ref="P3:Q3"/>
    <mergeCell ref="H2:I2"/>
    <mergeCell ref="H3:I3"/>
    <mergeCell ref="F2:G2"/>
    <mergeCell ref="F3:G3"/>
    <mergeCell ref="N2:O2"/>
    <mergeCell ref="N3:O3"/>
    <mergeCell ref="J2:K2"/>
    <mergeCell ref="J3:K3"/>
    <mergeCell ref="AJ3:AK3"/>
    <mergeCell ref="AJ2:AK2"/>
    <mergeCell ref="V2:W2"/>
    <mergeCell ref="V3:W3"/>
    <mergeCell ref="T2:U2"/>
    <mergeCell ref="T3:U3"/>
    <mergeCell ref="X2:Y2"/>
    <mergeCell ref="X3:Y3"/>
    <mergeCell ref="Z2:AA2"/>
    <mergeCell ref="Z3:AA3"/>
    <mergeCell ref="AB2:AC2"/>
    <mergeCell ref="AB3:AC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25D1EF-97C2-4E8F-B1D1-EAC72EB785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Logistics record </vt:lpstr>
      <vt:lpstr>Debit Summary</vt:lpstr>
      <vt:lpstr>FedEx Export</vt:lpstr>
      <vt:lpstr>FedEx Import</vt:lpstr>
      <vt:lpstr>VVMV</vt:lpstr>
      <vt:lpstr>EI</vt:lpstr>
      <vt:lpstr>Dolphin</vt:lpstr>
      <vt:lpstr>DHL</vt:lpstr>
      <vt:lpstr>Import material detail</vt:lpstr>
      <vt:lpstr>EFI</vt:lpstr>
      <vt:lpstr>Lucid</vt:lpstr>
      <vt:lpstr>OEM</vt:lpstr>
      <vt:lpstr>PURE</vt:lpstr>
      <vt:lpstr>FORD</vt:lpstr>
      <vt:lpstr>Unigen MY Export</vt:lpstr>
      <vt:lpstr>FWD Detail</vt:lpstr>
      <vt:lpstr>According to Customer</vt:lpstr>
      <vt:lpstr>Dolphin!Print_Area</vt:lpstr>
      <vt:lpstr>EI!Print_Area</vt:lpstr>
      <vt:lpstr>VVMV!Print_Titles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Diep Thi. Nguyen</dc:creator>
  <cp:lastModifiedBy>The Tuan Tran</cp:lastModifiedBy>
  <cp:lastPrinted>2022-08-10T09:15:41Z</cp:lastPrinted>
  <dcterms:created xsi:type="dcterms:W3CDTF">2019-02-18T09:19:55Z</dcterms:created>
  <dcterms:modified xsi:type="dcterms:W3CDTF">2026-07-22T09:18:04Z</dcterms:modified>
</cp:coreProperties>
</file>